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2power.sharepoint.com/sites/O2PDMS/NewBusinesses/Shared Documents/Backup/"/>
    </mc:Choice>
  </mc:AlternateContent>
  <xr:revisionPtr revIDLastSave="447" documentId="13_ncr:1_{4404795E-A4FE-45B0-8E81-DA2AB2E0CB77}" xr6:coauthVersionLast="47" xr6:coauthVersionMax="47" xr10:uidLastSave="{000E9C52-994D-4127-9EF2-AEF9FC0CA36F}"/>
  <bookViews>
    <workbookView xWindow="-110" yWindow="-110" windowWidth="19420" windowHeight="10300" tabRatio="833" xr2:uid="{00000000-000D-0000-FFFF-FFFF00000000}"/>
  </bookViews>
  <sheets>
    <sheet name="Daily Dashboard" sheetId="13" r:id="rId1"/>
    <sheet name="Annual KPI" sheetId="12" r:id="rId2"/>
    <sheet name="Sheet1" sheetId="20" state="hidden" r:id="rId3"/>
    <sheet name="Monthly KPI" sheetId="10" r:id="rId4"/>
    <sheet name="Daily KPI" sheetId="21" r:id="rId5"/>
    <sheet name="Inv_SY_Dev" sheetId="7" r:id="rId6"/>
    <sheet name="Inv_SY" sheetId="6" r:id="rId7"/>
    <sheet name="Grid BD" sheetId="11" r:id="rId8"/>
    <sheet name="Basic Data" sheetId="2" r:id="rId9"/>
    <sheet name="Modelling New" sheetId="22" state="hidden" r:id="rId10"/>
    <sheet name="Modelling" sheetId="5" state="hidden" r:id="rId11"/>
    <sheet name="Raw Data" sheetId="1" r:id="rId12"/>
    <sheet name="Plant BD" sheetId="3" r:id="rId13"/>
    <sheet name="Spare_Consumable" sheetId="16" r:id="rId14"/>
    <sheet name="Mod_CL" sheetId="19" r:id="rId15"/>
    <sheet name="Grass_Cutting" sheetId="15" r:id="rId16"/>
  </sheets>
  <definedNames>
    <definedName name="MF_Cap_HCCB">'Basic Data'!$V$9</definedName>
    <definedName name="MF_Cap_O2RE10">'Basic Data'!$V$12</definedName>
    <definedName name="MF_Cap_O2RE6">'Basic Data'!$V$11</definedName>
    <definedName name="MF_Cap_Pepsico">'Basic Data'!$V$10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2" i="3" l="1"/>
  <c r="AC202" i="3"/>
  <c r="C202" i="3"/>
  <c r="D202" i="3"/>
  <c r="BN5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09" i="1"/>
  <c r="AR129" i="1"/>
  <c r="AS129" i="1"/>
  <c r="AT129" i="1"/>
  <c r="AU129" i="1"/>
  <c r="BU129" i="1" s="1"/>
  <c r="BJ129" i="1"/>
  <c r="BK129" i="1"/>
  <c r="BL129" i="1"/>
  <c r="BN129" i="1"/>
  <c r="BO129" i="1"/>
  <c r="BP129" i="1"/>
  <c r="BQ129" i="1"/>
  <c r="BR129" i="1"/>
  <c r="G61" i="16"/>
  <c r="C198" i="3"/>
  <c r="D198" i="3"/>
  <c r="C199" i="3"/>
  <c r="D199" i="3"/>
  <c r="C200" i="3"/>
  <c r="D200" i="3"/>
  <c r="C201" i="3"/>
  <c r="D201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BP126" i="1"/>
  <c r="BQ126" i="1"/>
  <c r="BP127" i="1"/>
  <c r="BQ127" i="1"/>
  <c r="BP128" i="1"/>
  <c r="BQ128" i="1"/>
  <c r="C190" i="3"/>
  <c r="D190" i="3"/>
  <c r="N189" i="3"/>
  <c r="M189" i="3"/>
  <c r="D189" i="3"/>
  <c r="C189" i="3"/>
  <c r="C188" i="3"/>
  <c r="D188" i="3"/>
  <c r="C187" i="3"/>
  <c r="D187" i="3"/>
  <c r="C186" i="3"/>
  <c r="D186" i="3"/>
  <c r="N185" i="3"/>
  <c r="M185" i="3"/>
  <c r="C184" i="3"/>
  <c r="D184" i="3"/>
  <c r="C185" i="3"/>
  <c r="D185" i="3"/>
  <c r="G55" i="16"/>
  <c r="G56" i="16"/>
  <c r="G57" i="16"/>
  <c r="G58" i="16"/>
  <c r="G59" i="16"/>
  <c r="G60" i="16"/>
  <c r="C180" i="3"/>
  <c r="D180" i="3"/>
  <c r="C181" i="3"/>
  <c r="D181" i="3"/>
  <c r="C182" i="3"/>
  <c r="D182" i="3"/>
  <c r="C183" i="3"/>
  <c r="D183" i="3"/>
  <c r="C178" i="3"/>
  <c r="D178" i="3"/>
  <c r="C179" i="3"/>
  <c r="D179" i="3"/>
  <c r="D243" i="3"/>
  <c r="G243" i="3"/>
  <c r="H243" i="3" s="1"/>
  <c r="I243" i="3"/>
  <c r="J243" i="3"/>
  <c r="M243" i="3"/>
  <c r="N243" i="3"/>
  <c r="AC243" i="3" s="1"/>
  <c r="W243" i="3"/>
  <c r="X243" i="3"/>
  <c r="Y243" i="3"/>
  <c r="Z243" i="3"/>
  <c r="AE243" i="3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3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H4" i="19"/>
  <c r="H5" i="19" s="1"/>
  <c r="H6" i="19" s="1"/>
  <c r="H7" i="19" s="1"/>
  <c r="H8" i="19" s="1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H44" i="19" s="1"/>
  <c r="H45" i="19" s="1"/>
  <c r="H46" i="19" s="1"/>
  <c r="H47" i="19" s="1"/>
  <c r="H48" i="19" s="1"/>
  <c r="H49" i="19" s="1"/>
  <c r="H50" i="19" s="1"/>
  <c r="H51" i="19" s="1"/>
  <c r="H52" i="19" s="1"/>
  <c r="H53" i="19" s="1"/>
  <c r="H54" i="19" s="1"/>
  <c r="H55" i="19" s="1"/>
  <c r="H56" i="19" s="1"/>
  <c r="H57" i="19" s="1"/>
  <c r="H58" i="19" s="1"/>
  <c r="H59" i="19" s="1"/>
  <c r="H60" i="19" s="1"/>
  <c r="H61" i="19" s="1"/>
  <c r="H62" i="19" s="1"/>
  <c r="H63" i="19" s="1"/>
  <c r="H64" i="19" s="1"/>
  <c r="A5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4" i="15"/>
  <c r="H4" i="15"/>
  <c r="H5" i="15" s="1"/>
  <c r="H6" i="15" s="1"/>
  <c r="H7" i="15" s="1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H64" i="15" s="1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s="1"/>
  <c r="A460" i="16" s="1"/>
  <c r="A461" i="16" s="1"/>
  <c r="A462" i="16" s="1"/>
  <c r="A463" i="16" s="1"/>
  <c r="A464" i="16" s="1"/>
  <c r="A465" i="16" s="1"/>
  <c r="A466" i="16" s="1"/>
  <c r="A467" i="16" s="1"/>
  <c r="A468" i="16" s="1"/>
  <c r="A469" i="16" s="1"/>
  <c r="A470" i="16" s="1"/>
  <c r="A471" i="16" s="1"/>
  <c r="A472" i="16" s="1"/>
  <c r="A473" i="16" s="1"/>
  <c r="A474" i="16" s="1"/>
  <c r="A475" i="16" s="1"/>
  <c r="A476" i="16" s="1"/>
  <c r="A477" i="16" s="1"/>
  <c r="A478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A489" i="16" s="1"/>
  <c r="A3" i="16"/>
  <c r="A4" i="11"/>
  <c r="A5" i="11" s="1"/>
  <c r="A6" i="11" s="1"/>
  <c r="A7" i="11" s="1"/>
  <c r="A8" i="11" s="1"/>
  <c r="C177" i="3"/>
  <c r="D177" i="3"/>
  <c r="C176" i="3"/>
  <c r="D176" i="3"/>
  <c r="C174" i="3"/>
  <c r="D174" i="3"/>
  <c r="G174" i="3"/>
  <c r="H174" i="3" s="1"/>
  <c r="M174" i="3"/>
  <c r="AE174" i="3" s="1"/>
  <c r="N174" i="3"/>
  <c r="W174" i="3"/>
  <c r="X174" i="3"/>
  <c r="C175" i="3"/>
  <c r="D175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N163" i="3"/>
  <c r="M163" i="3"/>
  <c r="N162" i="3"/>
  <c r="M162" i="3"/>
  <c r="N161" i="3"/>
  <c r="M161" i="3"/>
  <c r="C161" i="3"/>
  <c r="D161" i="3"/>
  <c r="C162" i="3"/>
  <c r="D162" i="3"/>
  <c r="C163" i="3"/>
  <c r="D163" i="3"/>
  <c r="D159" i="3"/>
  <c r="C159" i="3"/>
  <c r="G159" i="3"/>
  <c r="H159" i="3" s="1"/>
  <c r="M159" i="3"/>
  <c r="N159" i="3"/>
  <c r="W159" i="3"/>
  <c r="X159" i="3"/>
  <c r="N160" i="3"/>
  <c r="M160" i="3"/>
  <c r="C160" i="3"/>
  <c r="D160" i="3"/>
  <c r="G49" i="16"/>
  <c r="G48" i="16"/>
  <c r="G47" i="16"/>
  <c r="G46" i="16"/>
  <c r="D158" i="3"/>
  <c r="C158" i="3"/>
  <c r="D157" i="3"/>
  <c r="C157" i="3"/>
  <c r="D156" i="3"/>
  <c r="C156" i="3"/>
  <c r="D155" i="3"/>
  <c r="C155" i="3"/>
  <c r="D154" i="3"/>
  <c r="C154" i="3"/>
  <c r="D153" i="3"/>
  <c r="C153" i="3"/>
  <c r="C152" i="3"/>
  <c r="D152" i="3"/>
  <c r="C150" i="3"/>
  <c r="D150" i="3"/>
  <c r="C151" i="3"/>
  <c r="D151" i="3"/>
  <c r="G50" i="16"/>
  <c r="G51" i="16"/>
  <c r="G52" i="16"/>
  <c r="G53" i="16"/>
  <c r="G54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489" i="16"/>
  <c r="G45" i="16"/>
  <c r="G44" i="16"/>
  <c r="G43" i="16"/>
  <c r="C146" i="3"/>
  <c r="D146" i="3"/>
  <c r="C147" i="3"/>
  <c r="D147" i="3"/>
  <c r="C148" i="3"/>
  <c r="D148" i="3"/>
  <c r="C149" i="3"/>
  <c r="D149" i="3"/>
  <c r="C145" i="3"/>
  <c r="D145" i="3"/>
  <c r="D144" i="3"/>
  <c r="C144" i="3"/>
  <c r="D143" i="3"/>
  <c r="C143" i="3"/>
  <c r="G40" i="16"/>
  <c r="G39" i="16"/>
  <c r="G38" i="16"/>
  <c r="M142" i="3"/>
  <c r="N142" i="3"/>
  <c r="N141" i="3"/>
  <c r="M141" i="3"/>
  <c r="C141" i="3"/>
  <c r="D141" i="3"/>
  <c r="C142" i="3"/>
  <c r="D142" i="3"/>
  <c r="C140" i="3"/>
  <c r="D140" i="3"/>
  <c r="C136" i="3"/>
  <c r="D136" i="3"/>
  <c r="C137" i="3"/>
  <c r="D137" i="3"/>
  <c r="C138" i="3"/>
  <c r="D138" i="3"/>
  <c r="C139" i="3"/>
  <c r="D139" i="3"/>
  <c r="BK105" i="1"/>
  <c r="C134" i="3"/>
  <c r="D134" i="3"/>
  <c r="C135" i="3"/>
  <c r="D135" i="3"/>
  <c r="C130" i="3"/>
  <c r="D130" i="3"/>
  <c r="C131" i="3"/>
  <c r="D131" i="3"/>
  <c r="C132" i="3"/>
  <c r="D132" i="3"/>
  <c r="C133" i="3"/>
  <c r="D133" i="3"/>
  <c r="D129" i="3"/>
  <c r="C129" i="3"/>
  <c r="D128" i="3"/>
  <c r="C128" i="3"/>
  <c r="G25" i="16"/>
  <c r="C123" i="3"/>
  <c r="D123" i="3"/>
  <c r="C124" i="3"/>
  <c r="D124" i="3"/>
  <c r="C125" i="3"/>
  <c r="D125" i="3"/>
  <c r="C126" i="3"/>
  <c r="D126" i="3"/>
  <c r="C127" i="3"/>
  <c r="D127" i="3"/>
  <c r="BA129" i="1" l="1"/>
  <c r="BM129" i="1" s="1"/>
  <c r="K243" i="3"/>
  <c r="AE159" i="3"/>
  <c r="G26" i="16"/>
  <c r="G27" i="16"/>
  <c r="G28" i="16"/>
  <c r="G29" i="16"/>
  <c r="G30" i="16"/>
  <c r="C120" i="3" l="1"/>
  <c r="D120" i="3"/>
  <c r="C121" i="3"/>
  <c r="D121" i="3"/>
  <c r="C122" i="3"/>
  <c r="D122" i="3"/>
  <c r="C119" i="3"/>
  <c r="D119" i="3"/>
  <c r="C118" i="3"/>
  <c r="D118" i="3"/>
  <c r="C117" i="3"/>
  <c r="D117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G117" i="3"/>
  <c r="H117" i="3" s="1"/>
  <c r="G118" i="3"/>
  <c r="H118" i="3" s="1"/>
  <c r="G119" i="3"/>
  <c r="H119" i="3" s="1"/>
  <c r="G120" i="3"/>
  <c r="H120" i="3" s="1"/>
  <c r="G121" i="3"/>
  <c r="G122" i="3"/>
  <c r="G123" i="3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G132" i="3"/>
  <c r="H132" i="3" s="1"/>
  <c r="G133" i="3"/>
  <c r="H133" i="3" s="1"/>
  <c r="G134" i="3"/>
  <c r="H134" i="3" s="1"/>
  <c r="G135" i="3"/>
  <c r="H135" i="3" s="1"/>
  <c r="G136" i="3"/>
  <c r="H136" i="3" s="1"/>
  <c r="G137" i="3"/>
  <c r="H137" i="3" s="1"/>
  <c r="G138" i="3"/>
  <c r="G139" i="3"/>
  <c r="H139" i="3" s="1"/>
  <c r="G140" i="3"/>
  <c r="AE140" i="3" s="1"/>
  <c r="G141" i="3"/>
  <c r="G142" i="3"/>
  <c r="G143" i="3"/>
  <c r="H143" i="3" s="1"/>
  <c r="G144" i="3"/>
  <c r="H144" i="3" s="1"/>
  <c r="G145" i="3"/>
  <c r="AE145" i="3" s="1"/>
  <c r="G146" i="3"/>
  <c r="G147" i="3"/>
  <c r="H147" i="3" s="1"/>
  <c r="G148" i="3"/>
  <c r="H148" i="3" s="1"/>
  <c r="G149" i="3"/>
  <c r="H149" i="3" s="1"/>
  <c r="G150" i="3"/>
  <c r="AE150" i="3" s="1"/>
  <c r="G151" i="3"/>
  <c r="H151" i="3" s="1"/>
  <c r="G152" i="3"/>
  <c r="H152" i="3" s="1"/>
  <c r="G153" i="3"/>
  <c r="G154" i="3"/>
  <c r="G155" i="3"/>
  <c r="H155" i="3" s="1"/>
  <c r="G156" i="3"/>
  <c r="H156" i="3" s="1"/>
  <c r="G157" i="3"/>
  <c r="H157" i="3" s="1"/>
  <c r="G158" i="3"/>
  <c r="H158" i="3" s="1"/>
  <c r="G160" i="3"/>
  <c r="G161" i="3"/>
  <c r="G162" i="3"/>
  <c r="AE162" i="3" s="1"/>
  <c r="G163" i="3"/>
  <c r="G164" i="3"/>
  <c r="H164" i="3" s="1"/>
  <c r="G165" i="3"/>
  <c r="H165" i="3" s="1"/>
  <c r="G166" i="3"/>
  <c r="H166" i="3" s="1"/>
  <c r="G167" i="3"/>
  <c r="H167" i="3" s="1"/>
  <c r="G168" i="3"/>
  <c r="H168" i="3" s="1"/>
  <c r="G169" i="3"/>
  <c r="H169" i="3" s="1"/>
  <c r="G170" i="3"/>
  <c r="H170" i="3" s="1"/>
  <c r="G171" i="3"/>
  <c r="H171" i="3" s="1"/>
  <c r="G172" i="3"/>
  <c r="G173" i="3"/>
  <c r="H173" i="3" s="1"/>
  <c r="G175" i="3"/>
  <c r="G176" i="3"/>
  <c r="H176" i="3" s="1"/>
  <c r="G177" i="3"/>
  <c r="H177" i="3" s="1"/>
  <c r="G178" i="3"/>
  <c r="H178" i="3" s="1"/>
  <c r="G179" i="3"/>
  <c r="H179" i="3" s="1"/>
  <c r="G180" i="3"/>
  <c r="H180" i="3" s="1"/>
  <c r="G181" i="3"/>
  <c r="H181" i="3" s="1"/>
  <c r="G182" i="3"/>
  <c r="H182" i="3" s="1"/>
  <c r="G183" i="3"/>
  <c r="H183" i="3" s="1"/>
  <c r="G184" i="3"/>
  <c r="G185" i="3"/>
  <c r="G186" i="3"/>
  <c r="G187" i="3"/>
  <c r="G188" i="3"/>
  <c r="G189" i="3"/>
  <c r="AE189" i="3" s="1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H202" i="3" s="1"/>
  <c r="G203" i="3"/>
  <c r="H203" i="3" s="1"/>
  <c r="G204" i="3"/>
  <c r="H204" i="3" s="1"/>
  <c r="G205" i="3"/>
  <c r="G206" i="3"/>
  <c r="H206" i="3" s="1"/>
  <c r="G207" i="3"/>
  <c r="H207" i="3" s="1"/>
  <c r="G208" i="3"/>
  <c r="H208" i="3" s="1"/>
  <c r="G209" i="3"/>
  <c r="H209" i="3" s="1"/>
  <c r="G210" i="3"/>
  <c r="H210" i="3" s="1"/>
  <c r="G211" i="3"/>
  <c r="H211" i="3" s="1"/>
  <c r="G212" i="3"/>
  <c r="H212" i="3" s="1"/>
  <c r="G213" i="3"/>
  <c r="H213" i="3" s="1"/>
  <c r="G214" i="3"/>
  <c r="H214" i="3" s="1"/>
  <c r="G215" i="3"/>
  <c r="H215" i="3" s="1"/>
  <c r="G216" i="3"/>
  <c r="H216" i="3" s="1"/>
  <c r="G217" i="3"/>
  <c r="H217" i="3" s="1"/>
  <c r="G218" i="3"/>
  <c r="H218" i="3" s="1"/>
  <c r="G219" i="3"/>
  <c r="H219" i="3" s="1"/>
  <c r="G220" i="3"/>
  <c r="G221" i="3"/>
  <c r="G222" i="3"/>
  <c r="H222" i="3" s="1"/>
  <c r="G223" i="3"/>
  <c r="H223" i="3" s="1"/>
  <c r="G224" i="3"/>
  <c r="H224" i="3" s="1"/>
  <c r="G225" i="3"/>
  <c r="H225" i="3" s="1"/>
  <c r="G226" i="3"/>
  <c r="H226" i="3" s="1"/>
  <c r="G227" i="3"/>
  <c r="H227" i="3" s="1"/>
  <c r="G228" i="3"/>
  <c r="H228" i="3" s="1"/>
  <c r="G229" i="3"/>
  <c r="H229" i="3" s="1"/>
  <c r="G230" i="3"/>
  <c r="H230" i="3" s="1"/>
  <c r="G231" i="3"/>
  <c r="H231" i="3" s="1"/>
  <c r="G232" i="3"/>
  <c r="H232" i="3" s="1"/>
  <c r="G233" i="3"/>
  <c r="H233" i="3" s="1"/>
  <c r="G234" i="3"/>
  <c r="H234" i="3" s="1"/>
  <c r="G235" i="3"/>
  <c r="H235" i="3" s="1"/>
  <c r="G236" i="3"/>
  <c r="H236" i="3" s="1"/>
  <c r="G237" i="3"/>
  <c r="H237" i="3" s="1"/>
  <c r="G238" i="3"/>
  <c r="H238" i="3" s="1"/>
  <c r="G239" i="3"/>
  <c r="H239" i="3" s="1"/>
  <c r="G240" i="3"/>
  <c r="H240" i="3" s="1"/>
  <c r="G241" i="3"/>
  <c r="H241" i="3" s="1"/>
  <c r="G242" i="3"/>
  <c r="H242" i="3" s="1"/>
  <c r="H121" i="3"/>
  <c r="H122" i="3"/>
  <c r="H123" i="3"/>
  <c r="H131" i="3"/>
  <c r="H138" i="3"/>
  <c r="H145" i="3"/>
  <c r="H153" i="3"/>
  <c r="H154" i="3"/>
  <c r="H162" i="3"/>
  <c r="H172" i="3"/>
  <c r="H189" i="3"/>
  <c r="H205" i="3"/>
  <c r="H220" i="3"/>
  <c r="H221" i="3"/>
  <c r="M117" i="3"/>
  <c r="AE117" i="3" s="1"/>
  <c r="M118" i="3"/>
  <c r="M119" i="3"/>
  <c r="M120" i="3"/>
  <c r="M121" i="3"/>
  <c r="M122" i="3"/>
  <c r="M123" i="3"/>
  <c r="M124" i="3"/>
  <c r="M125" i="3"/>
  <c r="M126" i="3"/>
  <c r="M127" i="3"/>
  <c r="M128" i="3"/>
  <c r="AE128" i="3" s="1"/>
  <c r="M129" i="3"/>
  <c r="AE129" i="3" s="1"/>
  <c r="M130" i="3"/>
  <c r="AE130" i="3" s="1"/>
  <c r="M131" i="3"/>
  <c r="AE131" i="3" s="1"/>
  <c r="M132" i="3"/>
  <c r="M133" i="3"/>
  <c r="AE133" i="3" s="1"/>
  <c r="M134" i="3"/>
  <c r="M135" i="3"/>
  <c r="M136" i="3"/>
  <c r="AE136" i="3" s="1"/>
  <c r="M137" i="3"/>
  <c r="M138" i="3"/>
  <c r="AE138" i="3" s="1"/>
  <c r="M139" i="3"/>
  <c r="AE139" i="3" s="1"/>
  <c r="M143" i="3"/>
  <c r="M144" i="3"/>
  <c r="AE144" i="3" s="1"/>
  <c r="M146" i="3"/>
  <c r="M147" i="3"/>
  <c r="AE147" i="3" s="1"/>
  <c r="M148" i="3"/>
  <c r="M149" i="3"/>
  <c r="AE149" i="3" s="1"/>
  <c r="M151" i="3"/>
  <c r="M152" i="3"/>
  <c r="M153" i="3"/>
  <c r="M154" i="3"/>
  <c r="M155" i="3"/>
  <c r="AE155" i="3" s="1"/>
  <c r="M156" i="3"/>
  <c r="AE156" i="3" s="1"/>
  <c r="M157" i="3"/>
  <c r="AE157" i="3" s="1"/>
  <c r="M158" i="3"/>
  <c r="M164" i="3"/>
  <c r="AE164" i="3" s="1"/>
  <c r="M165" i="3"/>
  <c r="M166" i="3"/>
  <c r="AE166" i="3" s="1"/>
  <c r="M167" i="3"/>
  <c r="M168" i="3"/>
  <c r="M169" i="3"/>
  <c r="M170" i="3"/>
  <c r="AE170" i="3" s="1"/>
  <c r="M171" i="3"/>
  <c r="AE171" i="3" s="1"/>
  <c r="M172" i="3"/>
  <c r="AE172" i="3" s="1"/>
  <c r="M173" i="3"/>
  <c r="M175" i="3"/>
  <c r="M176" i="3"/>
  <c r="M177" i="3"/>
  <c r="M178" i="3"/>
  <c r="AE178" i="3" s="1"/>
  <c r="M179" i="3"/>
  <c r="AE179" i="3" s="1"/>
  <c r="M180" i="3"/>
  <c r="AE180" i="3" s="1"/>
  <c r="M181" i="3"/>
  <c r="AE181" i="3" s="1"/>
  <c r="M182" i="3"/>
  <c r="M183" i="3"/>
  <c r="AE183" i="3" s="1"/>
  <c r="M184" i="3"/>
  <c r="M187" i="3"/>
  <c r="M192" i="3"/>
  <c r="M193" i="3"/>
  <c r="M194" i="3"/>
  <c r="M195" i="3"/>
  <c r="M196" i="3"/>
  <c r="M197" i="3"/>
  <c r="M198" i="3"/>
  <c r="M199" i="3"/>
  <c r="M200" i="3"/>
  <c r="M201" i="3"/>
  <c r="M203" i="3"/>
  <c r="AE203" i="3" s="1"/>
  <c r="M204" i="3"/>
  <c r="AE204" i="3" s="1"/>
  <c r="M205" i="3"/>
  <c r="AE205" i="3" s="1"/>
  <c r="M206" i="3"/>
  <c r="AE206" i="3" s="1"/>
  <c r="M207" i="3"/>
  <c r="M208" i="3"/>
  <c r="AE208" i="3" s="1"/>
  <c r="M209" i="3"/>
  <c r="AE209" i="3" s="1"/>
  <c r="M210" i="3"/>
  <c r="AE210" i="3" s="1"/>
  <c r="M211" i="3"/>
  <c r="AE211" i="3" s="1"/>
  <c r="M212" i="3"/>
  <c r="AE212" i="3" s="1"/>
  <c r="M213" i="3"/>
  <c r="AE213" i="3" s="1"/>
  <c r="M214" i="3"/>
  <c r="AE214" i="3" s="1"/>
  <c r="M215" i="3"/>
  <c r="AE215" i="3" s="1"/>
  <c r="M216" i="3"/>
  <c r="AE216" i="3" s="1"/>
  <c r="M217" i="3"/>
  <c r="AE217" i="3" s="1"/>
  <c r="M218" i="3"/>
  <c r="AE218" i="3" s="1"/>
  <c r="M219" i="3"/>
  <c r="AE219" i="3" s="1"/>
  <c r="M220" i="3"/>
  <c r="AE220" i="3" s="1"/>
  <c r="M221" i="3"/>
  <c r="AE221" i="3" s="1"/>
  <c r="M222" i="3"/>
  <c r="AE222" i="3" s="1"/>
  <c r="M223" i="3"/>
  <c r="M224" i="3"/>
  <c r="AE224" i="3" s="1"/>
  <c r="M225" i="3"/>
  <c r="AE225" i="3" s="1"/>
  <c r="M226" i="3"/>
  <c r="AE226" i="3" s="1"/>
  <c r="M227" i="3"/>
  <c r="AE227" i="3" s="1"/>
  <c r="M228" i="3"/>
  <c r="AE228" i="3" s="1"/>
  <c r="M229" i="3"/>
  <c r="AE229" i="3" s="1"/>
  <c r="M230" i="3"/>
  <c r="AE230" i="3" s="1"/>
  <c r="M231" i="3"/>
  <c r="AE231" i="3" s="1"/>
  <c r="M232" i="3"/>
  <c r="AE232" i="3" s="1"/>
  <c r="M233" i="3"/>
  <c r="AE233" i="3" s="1"/>
  <c r="M234" i="3"/>
  <c r="AE234" i="3" s="1"/>
  <c r="M235" i="3"/>
  <c r="AE235" i="3" s="1"/>
  <c r="M236" i="3"/>
  <c r="AE236" i="3" s="1"/>
  <c r="M237" i="3"/>
  <c r="AE237" i="3" s="1"/>
  <c r="M238" i="3"/>
  <c r="AE238" i="3" s="1"/>
  <c r="M239" i="3"/>
  <c r="M240" i="3"/>
  <c r="AE240" i="3" s="1"/>
  <c r="M241" i="3"/>
  <c r="AE241" i="3" s="1"/>
  <c r="M242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3" i="3"/>
  <c r="N144" i="3"/>
  <c r="N146" i="3"/>
  <c r="N147" i="3"/>
  <c r="N148" i="3"/>
  <c r="N149" i="3"/>
  <c r="N151" i="3"/>
  <c r="N152" i="3"/>
  <c r="N153" i="3"/>
  <c r="N154" i="3"/>
  <c r="N155" i="3"/>
  <c r="N156" i="3"/>
  <c r="N157" i="3"/>
  <c r="N158" i="3"/>
  <c r="N164" i="3"/>
  <c r="N165" i="3"/>
  <c r="N166" i="3"/>
  <c r="N167" i="3"/>
  <c r="N168" i="3"/>
  <c r="N169" i="3"/>
  <c r="N170" i="3"/>
  <c r="N171" i="3"/>
  <c r="N172" i="3"/>
  <c r="N173" i="3"/>
  <c r="N175" i="3"/>
  <c r="N176" i="3"/>
  <c r="N177" i="3"/>
  <c r="N178" i="3"/>
  <c r="N179" i="3"/>
  <c r="N180" i="3"/>
  <c r="N181" i="3"/>
  <c r="N182" i="3"/>
  <c r="N183" i="3"/>
  <c r="N184" i="3"/>
  <c r="N187" i="3"/>
  <c r="N192" i="3"/>
  <c r="N193" i="3"/>
  <c r="N194" i="3"/>
  <c r="N195" i="3"/>
  <c r="N196" i="3"/>
  <c r="N197" i="3"/>
  <c r="N198" i="3"/>
  <c r="N199" i="3"/>
  <c r="N200" i="3"/>
  <c r="N201" i="3"/>
  <c r="N203" i="3"/>
  <c r="AC203" i="3" s="1"/>
  <c r="N204" i="3"/>
  <c r="AC204" i="3" s="1"/>
  <c r="N205" i="3"/>
  <c r="AC205" i="3" s="1"/>
  <c r="N206" i="3"/>
  <c r="AC206" i="3" s="1"/>
  <c r="N207" i="3"/>
  <c r="AC207" i="3" s="1"/>
  <c r="N208" i="3"/>
  <c r="AC208" i="3" s="1"/>
  <c r="N209" i="3"/>
  <c r="AC209" i="3" s="1"/>
  <c r="N210" i="3"/>
  <c r="AC210" i="3" s="1"/>
  <c r="N211" i="3"/>
  <c r="AC211" i="3" s="1"/>
  <c r="N212" i="3"/>
  <c r="AC212" i="3" s="1"/>
  <c r="N213" i="3"/>
  <c r="AC213" i="3" s="1"/>
  <c r="N214" i="3"/>
  <c r="AC214" i="3" s="1"/>
  <c r="N215" i="3"/>
  <c r="AC215" i="3" s="1"/>
  <c r="N216" i="3"/>
  <c r="AC216" i="3" s="1"/>
  <c r="N217" i="3"/>
  <c r="AC217" i="3" s="1"/>
  <c r="N218" i="3"/>
  <c r="AC218" i="3" s="1"/>
  <c r="N219" i="3"/>
  <c r="AC219" i="3" s="1"/>
  <c r="N220" i="3"/>
  <c r="AC220" i="3" s="1"/>
  <c r="N221" i="3"/>
  <c r="AC221" i="3" s="1"/>
  <c r="N222" i="3"/>
  <c r="AC222" i="3" s="1"/>
  <c r="N223" i="3"/>
  <c r="AC223" i="3" s="1"/>
  <c r="N224" i="3"/>
  <c r="AC224" i="3" s="1"/>
  <c r="N225" i="3"/>
  <c r="AC225" i="3" s="1"/>
  <c r="N226" i="3"/>
  <c r="AC226" i="3" s="1"/>
  <c r="N227" i="3"/>
  <c r="AC227" i="3" s="1"/>
  <c r="N228" i="3"/>
  <c r="AC228" i="3" s="1"/>
  <c r="N229" i="3"/>
  <c r="AC229" i="3" s="1"/>
  <c r="N230" i="3"/>
  <c r="AC230" i="3" s="1"/>
  <c r="N231" i="3"/>
  <c r="AC231" i="3" s="1"/>
  <c r="N232" i="3"/>
  <c r="AC232" i="3" s="1"/>
  <c r="N233" i="3"/>
  <c r="AC233" i="3" s="1"/>
  <c r="N234" i="3"/>
  <c r="AC234" i="3" s="1"/>
  <c r="N235" i="3"/>
  <c r="AC235" i="3" s="1"/>
  <c r="N236" i="3"/>
  <c r="AC236" i="3" s="1"/>
  <c r="N237" i="3"/>
  <c r="AC237" i="3" s="1"/>
  <c r="N238" i="3"/>
  <c r="AC238" i="3" s="1"/>
  <c r="N239" i="3"/>
  <c r="AC239" i="3" s="1"/>
  <c r="N240" i="3"/>
  <c r="AC240" i="3" s="1"/>
  <c r="N241" i="3"/>
  <c r="AC241" i="3" s="1"/>
  <c r="N242" i="3"/>
  <c r="AC242" i="3" s="1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Z188" i="3"/>
  <c r="Z189" i="3"/>
  <c r="Z190" i="3"/>
  <c r="AC190" i="3" s="1"/>
  <c r="Z191" i="3"/>
  <c r="AC191" i="3" s="1"/>
  <c r="Z192" i="3"/>
  <c r="Z193" i="3"/>
  <c r="AC193" i="3" s="1"/>
  <c r="Z194" i="3"/>
  <c r="AC194" i="3" s="1"/>
  <c r="Z195" i="3"/>
  <c r="AC195" i="3" s="1"/>
  <c r="Z196" i="3"/>
  <c r="AC196" i="3" s="1"/>
  <c r="Z197" i="3"/>
  <c r="AC197" i="3" s="1"/>
  <c r="Z198" i="3"/>
  <c r="AC198" i="3" s="1"/>
  <c r="Z199" i="3"/>
  <c r="AC199" i="3" s="1"/>
  <c r="Z200" i="3"/>
  <c r="AC200" i="3" s="1"/>
  <c r="Z201" i="3"/>
  <c r="AC201" i="3" s="1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AE207" i="3"/>
  <c r="AE223" i="3"/>
  <c r="AE239" i="3"/>
  <c r="AE242" i="3"/>
  <c r="H201" i="3" l="1"/>
  <c r="AE201" i="3"/>
  <c r="H200" i="3"/>
  <c r="AE200" i="3"/>
  <c r="H199" i="3"/>
  <c r="AE199" i="3"/>
  <c r="H198" i="3"/>
  <c r="AE198" i="3"/>
  <c r="H197" i="3"/>
  <c r="AE197" i="3"/>
  <c r="H196" i="3"/>
  <c r="AE196" i="3"/>
  <c r="H195" i="3"/>
  <c r="AE195" i="3"/>
  <c r="H194" i="3"/>
  <c r="AE194" i="3"/>
  <c r="H193" i="3"/>
  <c r="AE193" i="3"/>
  <c r="H192" i="3"/>
  <c r="AE192" i="3"/>
  <c r="H190" i="3"/>
  <c r="AE190" i="3"/>
  <c r="H188" i="3"/>
  <c r="AE188" i="3"/>
  <c r="AC192" i="3"/>
  <c r="H191" i="3"/>
  <c r="AE191" i="3"/>
  <c r="H187" i="3"/>
  <c r="AE187" i="3"/>
  <c r="H186" i="3"/>
  <c r="AE186" i="3"/>
  <c r="AE182" i="3"/>
  <c r="H184" i="3"/>
  <c r="AE184" i="3"/>
  <c r="AE177" i="3"/>
  <c r="AE176" i="3"/>
  <c r="AE167" i="3"/>
  <c r="H185" i="3"/>
  <c r="AE185" i="3"/>
  <c r="AE143" i="3"/>
  <c r="AE134" i="3"/>
  <c r="AE126" i="3"/>
  <c r="AE118" i="3"/>
  <c r="AE158" i="3"/>
  <c r="AE135" i="3"/>
  <c r="AE127" i="3"/>
  <c r="AE119" i="3"/>
  <c r="H150" i="3"/>
  <c r="AE169" i="3"/>
  <c r="AE152" i="3"/>
  <c r="AE168" i="3"/>
  <c r="AE151" i="3"/>
  <c r="AE154" i="3"/>
  <c r="AE137" i="3"/>
  <c r="AE125" i="3"/>
  <c r="H175" i="3"/>
  <c r="AE175" i="3"/>
  <c r="AE173" i="3"/>
  <c r="AE165" i="3"/>
  <c r="H140" i="3"/>
  <c r="H163" i="3"/>
  <c r="AE163" i="3"/>
  <c r="AC189" i="3"/>
  <c r="AC188" i="3"/>
  <c r="H161" i="3"/>
  <c r="AE161" i="3"/>
  <c r="AE132" i="3"/>
  <c r="AE148" i="3"/>
  <c r="H160" i="3"/>
  <c r="AE160" i="3"/>
  <c r="H141" i="3"/>
  <c r="AE141" i="3"/>
  <c r="AE146" i="3"/>
  <c r="H146" i="3"/>
  <c r="H142" i="3"/>
  <c r="AE142" i="3"/>
  <c r="AE153" i="3"/>
  <c r="AE123" i="3"/>
  <c r="AE124" i="3"/>
  <c r="AE122" i="3"/>
  <c r="AE121" i="3"/>
  <c r="AE120" i="3"/>
  <c r="C116" i="3"/>
  <c r="D116" i="3"/>
  <c r="G116" i="3"/>
  <c r="AE116" i="3" s="1"/>
  <c r="W116" i="3"/>
  <c r="X116" i="3"/>
  <c r="Y116" i="3"/>
  <c r="Z116" i="3"/>
  <c r="AC116" i="3" s="1"/>
  <c r="C97" i="3"/>
  <c r="D97" i="3"/>
  <c r="G97" i="3"/>
  <c r="W97" i="3"/>
  <c r="X97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G109" i="3"/>
  <c r="H109" i="3" s="1"/>
  <c r="G110" i="3"/>
  <c r="H110" i="3" s="1"/>
  <c r="G111" i="3"/>
  <c r="H111" i="3" s="1"/>
  <c r="G112" i="3"/>
  <c r="H112" i="3" s="1"/>
  <c r="G113" i="3"/>
  <c r="H113" i="3" s="1"/>
  <c r="G114" i="3"/>
  <c r="G115" i="3"/>
  <c r="AE115" i="3" s="1"/>
  <c r="M109" i="3"/>
  <c r="M110" i="3"/>
  <c r="M111" i="3"/>
  <c r="M112" i="3"/>
  <c r="M113" i="3"/>
  <c r="M114" i="3"/>
  <c r="N109" i="3"/>
  <c r="N110" i="3"/>
  <c r="N111" i="3"/>
  <c r="N112" i="3"/>
  <c r="N113" i="3"/>
  <c r="N114" i="3"/>
  <c r="W109" i="3"/>
  <c r="W110" i="3"/>
  <c r="W111" i="3"/>
  <c r="W112" i="3"/>
  <c r="W113" i="3"/>
  <c r="W114" i="3"/>
  <c r="W115" i="3"/>
  <c r="X109" i="3"/>
  <c r="X110" i="3"/>
  <c r="X111" i="3"/>
  <c r="X112" i="3"/>
  <c r="X113" i="3"/>
  <c r="X114" i="3"/>
  <c r="X115" i="3"/>
  <c r="Y113" i="3"/>
  <c r="Y114" i="3"/>
  <c r="Y115" i="3"/>
  <c r="Z113" i="3"/>
  <c r="Z114" i="3"/>
  <c r="Z115" i="3"/>
  <c r="AC115" i="3" s="1"/>
  <c r="C99" i="3"/>
  <c r="D99" i="3"/>
  <c r="D98" i="3"/>
  <c r="C98" i="3"/>
  <c r="C96" i="3"/>
  <c r="D96" i="3"/>
  <c r="C91" i="3"/>
  <c r="D91" i="3"/>
  <c r="C92" i="3"/>
  <c r="D92" i="3"/>
  <c r="C93" i="3"/>
  <c r="D93" i="3"/>
  <c r="C94" i="3"/>
  <c r="D94" i="3"/>
  <c r="C95" i="3"/>
  <c r="D95" i="3"/>
  <c r="G15" i="16"/>
  <c r="G14" i="16"/>
  <c r="G13" i="16"/>
  <c r="G12" i="16"/>
  <c r="G11" i="16"/>
  <c r="G10" i="16"/>
  <c r="G16" i="16"/>
  <c r="G17" i="16"/>
  <c r="G18" i="16"/>
  <c r="G19" i="16"/>
  <c r="G20" i="16"/>
  <c r="G21" i="16"/>
  <c r="G22" i="16"/>
  <c r="G23" i="16"/>
  <c r="G24" i="16"/>
  <c r="G31" i="16"/>
  <c r="G32" i="16"/>
  <c r="G33" i="16"/>
  <c r="G34" i="16"/>
  <c r="G35" i="16"/>
  <c r="G36" i="16"/>
  <c r="G37" i="16"/>
  <c r="G41" i="16"/>
  <c r="G42" i="16"/>
  <c r="C86" i="3"/>
  <c r="D86" i="3"/>
  <c r="C87" i="3"/>
  <c r="D87" i="3"/>
  <c r="C88" i="3"/>
  <c r="D88" i="3"/>
  <c r="C89" i="3"/>
  <c r="D89" i="3"/>
  <c r="C90" i="3"/>
  <c r="D90" i="3"/>
  <c r="C85" i="3"/>
  <c r="D85" i="3"/>
  <c r="G9" i="16"/>
  <c r="G8" i="16"/>
  <c r="G7" i="16"/>
  <c r="C81" i="3"/>
  <c r="D81" i="3"/>
  <c r="C82" i="3"/>
  <c r="D82" i="3"/>
  <c r="C83" i="3"/>
  <c r="D83" i="3"/>
  <c r="C84" i="3"/>
  <c r="D84" i="3"/>
  <c r="C80" i="3"/>
  <c r="D80" i="3"/>
  <c r="C79" i="3"/>
  <c r="D79" i="3"/>
  <c r="C78" i="3"/>
  <c r="D78" i="3"/>
  <c r="C77" i="3"/>
  <c r="D77" i="3"/>
  <c r="D76" i="3"/>
  <c r="C76" i="3"/>
  <c r="M73" i="3"/>
  <c r="N73" i="3"/>
  <c r="D75" i="3"/>
  <c r="C75" i="3"/>
  <c r="C74" i="3"/>
  <c r="D74" i="3"/>
  <c r="C73" i="3"/>
  <c r="D73" i="3"/>
  <c r="Y6" i="11"/>
  <c r="P6" i="11"/>
  <c r="G6" i="11"/>
  <c r="H6" i="11" s="1"/>
  <c r="M6" i="11"/>
  <c r="C71" i="3"/>
  <c r="D71" i="3"/>
  <c r="C72" i="3"/>
  <c r="D72" i="3"/>
  <c r="G8" i="11"/>
  <c r="C70" i="3"/>
  <c r="D70" i="3"/>
  <c r="C69" i="3"/>
  <c r="D69" i="3"/>
  <c r="G7" i="11"/>
  <c r="C68" i="3"/>
  <c r="D68" i="3"/>
  <c r="C67" i="3"/>
  <c r="D67" i="3"/>
  <c r="C66" i="3"/>
  <c r="D66" i="3"/>
  <c r="C65" i="3"/>
  <c r="D65" i="3"/>
  <c r="C64" i="3"/>
  <c r="D64" i="3"/>
  <c r="M62" i="3"/>
  <c r="N62" i="3"/>
  <c r="M64" i="3"/>
  <c r="N64" i="3"/>
  <c r="M65" i="3"/>
  <c r="N65" i="3"/>
  <c r="C63" i="3"/>
  <c r="D63" i="3"/>
  <c r="G5" i="11"/>
  <c r="M66" i="3"/>
  <c r="N66" i="3"/>
  <c r="G65" i="3"/>
  <c r="G66" i="3"/>
  <c r="H66" i="3" s="1"/>
  <c r="G67" i="3"/>
  <c r="H67" i="3" s="1"/>
  <c r="G68" i="3"/>
  <c r="H68" i="3" s="1"/>
  <c r="G69" i="3"/>
  <c r="H69" i="3" s="1"/>
  <c r="G70" i="3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G98" i="3"/>
  <c r="G99" i="3"/>
  <c r="G100" i="3"/>
  <c r="G101" i="3"/>
  <c r="G102" i="3"/>
  <c r="G103" i="3"/>
  <c r="G104" i="3"/>
  <c r="G105" i="3"/>
  <c r="G106" i="3"/>
  <c r="G107" i="3"/>
  <c r="H107" i="3" s="1"/>
  <c r="G108" i="3"/>
  <c r="H108" i="3" s="1"/>
  <c r="M67" i="3"/>
  <c r="M68" i="3"/>
  <c r="M69" i="3"/>
  <c r="M70" i="3"/>
  <c r="M71" i="3"/>
  <c r="M72" i="3"/>
  <c r="M74" i="3"/>
  <c r="M75" i="3"/>
  <c r="AE75" i="3" s="1"/>
  <c r="M76" i="3"/>
  <c r="M77" i="3"/>
  <c r="M78" i="3"/>
  <c r="M79" i="3"/>
  <c r="M80" i="3"/>
  <c r="M81" i="3"/>
  <c r="M82" i="3"/>
  <c r="AE82" i="3" s="1"/>
  <c r="M83" i="3"/>
  <c r="AE83" i="3" s="1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8" i="3"/>
  <c r="M99" i="3"/>
  <c r="M100" i="3"/>
  <c r="M101" i="3"/>
  <c r="M102" i="3"/>
  <c r="M103" i="3"/>
  <c r="M104" i="3"/>
  <c r="M105" i="3"/>
  <c r="M106" i="3"/>
  <c r="M107" i="3"/>
  <c r="M108" i="3"/>
  <c r="N67" i="3"/>
  <c r="N68" i="3"/>
  <c r="N69" i="3"/>
  <c r="N70" i="3"/>
  <c r="N71" i="3"/>
  <c r="N72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8" i="3"/>
  <c r="N99" i="3"/>
  <c r="N100" i="3"/>
  <c r="N101" i="3"/>
  <c r="N102" i="3"/>
  <c r="N103" i="3"/>
  <c r="N104" i="3"/>
  <c r="N105" i="3"/>
  <c r="N106" i="3"/>
  <c r="N107" i="3"/>
  <c r="N108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8" i="3"/>
  <c r="W99" i="3"/>
  <c r="W100" i="3"/>
  <c r="W101" i="3"/>
  <c r="W102" i="3"/>
  <c r="W103" i="3"/>
  <c r="W104" i="3"/>
  <c r="W105" i="3"/>
  <c r="W106" i="3"/>
  <c r="W107" i="3"/>
  <c r="W108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8" i="3"/>
  <c r="X99" i="3"/>
  <c r="X100" i="3"/>
  <c r="X101" i="3"/>
  <c r="X102" i="3"/>
  <c r="X103" i="3"/>
  <c r="X104" i="3"/>
  <c r="X105" i="3"/>
  <c r="X106" i="3"/>
  <c r="X107" i="3"/>
  <c r="X108" i="3"/>
  <c r="C62" i="3"/>
  <c r="D62" i="3"/>
  <c r="C61" i="3"/>
  <c r="D61" i="3"/>
  <c r="C60" i="3"/>
  <c r="D60" i="3"/>
  <c r="C59" i="3"/>
  <c r="D59" i="3"/>
  <c r="C58" i="3"/>
  <c r="D58" i="3"/>
  <c r="C57" i="3"/>
  <c r="D57" i="3"/>
  <c r="C56" i="3"/>
  <c r="D56" i="3"/>
  <c r="C55" i="3"/>
  <c r="D55" i="3"/>
  <c r="C54" i="3"/>
  <c r="D54" i="3"/>
  <c r="BR74" i="1"/>
  <c r="BR75" i="1"/>
  <c r="C53" i="3"/>
  <c r="D53" i="3"/>
  <c r="C52" i="3"/>
  <c r="D52" i="3"/>
  <c r="C51" i="3"/>
  <c r="D51" i="3"/>
  <c r="C50" i="3"/>
  <c r="C49" i="3"/>
  <c r="D49" i="3"/>
  <c r="C48" i="3"/>
  <c r="D48" i="3"/>
  <c r="C47" i="3"/>
  <c r="D47" i="3"/>
  <c r="G5" i="16"/>
  <c r="G6" i="16"/>
  <c r="C43" i="3"/>
  <c r="D43" i="3"/>
  <c r="C44" i="3"/>
  <c r="D44" i="3"/>
  <c r="C45" i="3"/>
  <c r="D45" i="3"/>
  <c r="C46" i="3"/>
  <c r="D46" i="3"/>
  <c r="AE111" i="3" l="1"/>
  <c r="AE91" i="3"/>
  <c r="AE110" i="3"/>
  <c r="AE67" i="3"/>
  <c r="H116" i="3"/>
  <c r="AE109" i="3"/>
  <c r="AC114" i="3"/>
  <c r="AE95" i="3"/>
  <c r="AC113" i="3"/>
  <c r="AE73" i="3"/>
  <c r="AE112" i="3"/>
  <c r="AE113" i="3"/>
  <c r="AE81" i="3"/>
  <c r="AE72" i="3"/>
  <c r="H115" i="3"/>
  <c r="H114" i="3"/>
  <c r="AE114" i="3"/>
  <c r="AE107" i="3"/>
  <c r="H106" i="3"/>
  <c r="AE106" i="3"/>
  <c r="H105" i="3"/>
  <c r="AE105" i="3"/>
  <c r="H104" i="3"/>
  <c r="AE104" i="3"/>
  <c r="H103" i="3"/>
  <c r="AE103" i="3"/>
  <c r="H102" i="3"/>
  <c r="AE102" i="3"/>
  <c r="H101" i="3"/>
  <c r="AE101" i="3"/>
  <c r="H100" i="3"/>
  <c r="AE100" i="3"/>
  <c r="H99" i="3"/>
  <c r="AE99" i="3"/>
  <c r="H98" i="3"/>
  <c r="AE98" i="3"/>
  <c r="H65" i="3"/>
  <c r="AE65" i="3"/>
  <c r="H97" i="3"/>
  <c r="AE97" i="3"/>
  <c r="AE108" i="3"/>
  <c r="AE84" i="3"/>
  <c r="AE86" i="3"/>
  <c r="AE70" i="3"/>
  <c r="H70" i="3"/>
  <c r="H86" i="3"/>
  <c r="AE94" i="3"/>
  <c r="AE85" i="3"/>
  <c r="AE96" i="3"/>
  <c r="AE88" i="3"/>
  <c r="AE69" i="3"/>
  <c r="AE87" i="3"/>
  <c r="H96" i="3"/>
  <c r="AE93" i="3"/>
  <c r="AE92" i="3"/>
  <c r="AE89" i="3"/>
  <c r="AE90" i="3"/>
  <c r="AE80" i="3"/>
  <c r="AE79" i="3"/>
  <c r="AE78" i="3"/>
  <c r="H78" i="3"/>
  <c r="AE77" i="3"/>
  <c r="AE76" i="3"/>
  <c r="AE74" i="3"/>
  <c r="AB6" i="11"/>
  <c r="AE71" i="3"/>
  <c r="AE68" i="3"/>
  <c r="AE66" i="3"/>
  <c r="C40" i="3"/>
  <c r="D40" i="3"/>
  <c r="C41" i="3"/>
  <c r="D41" i="3"/>
  <c r="C42" i="3"/>
  <c r="D42" i="3"/>
  <c r="G40" i="3"/>
  <c r="H40" i="3" s="1"/>
  <c r="M40" i="3"/>
  <c r="N40" i="3"/>
  <c r="W40" i="3"/>
  <c r="X40" i="3"/>
  <c r="C34" i="3"/>
  <c r="D50" i="3"/>
  <c r="G42" i="3"/>
  <c r="H42" i="3" s="1"/>
  <c r="G43" i="3"/>
  <c r="H43" i="3" s="1"/>
  <c r="G44" i="3"/>
  <c r="H44" i="3" s="1"/>
  <c r="G45" i="3"/>
  <c r="H45" i="3" s="1"/>
  <c r="G46" i="3"/>
  <c r="H46" i="3" s="1"/>
  <c r="G47" i="3"/>
  <c r="G48" i="3"/>
  <c r="G49" i="3"/>
  <c r="G50" i="3"/>
  <c r="G51" i="3"/>
  <c r="G52" i="3"/>
  <c r="H52" i="3" s="1"/>
  <c r="G53" i="3"/>
  <c r="H53" i="3" s="1"/>
  <c r="G54" i="3"/>
  <c r="G55" i="3"/>
  <c r="G56" i="3"/>
  <c r="G57" i="3"/>
  <c r="G58" i="3"/>
  <c r="G59" i="3"/>
  <c r="H59" i="3" s="1"/>
  <c r="G60" i="3"/>
  <c r="H60" i="3" s="1"/>
  <c r="G61" i="3"/>
  <c r="H61" i="3" s="1"/>
  <c r="G62" i="3"/>
  <c r="G63" i="3"/>
  <c r="G64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C39" i="3"/>
  <c r="D39" i="3"/>
  <c r="C38" i="3"/>
  <c r="D38" i="3"/>
  <c r="C36" i="3"/>
  <c r="D36" i="3"/>
  <c r="C37" i="3"/>
  <c r="D37" i="3"/>
  <c r="C35" i="3"/>
  <c r="D35" i="3"/>
  <c r="D34" i="3"/>
  <c r="C30" i="3"/>
  <c r="C31" i="3"/>
  <c r="C32" i="3"/>
  <c r="C33" i="3"/>
  <c r="D33" i="3"/>
  <c r="D29" i="3"/>
  <c r="D30" i="3"/>
  <c r="D31" i="3"/>
  <c r="D32" i="3"/>
  <c r="C29" i="3"/>
  <c r="D28" i="3"/>
  <c r="C28" i="3"/>
  <c r="BJ58" i="1"/>
  <c r="BN56" i="1"/>
  <c r="D27" i="3"/>
  <c r="C27" i="3"/>
  <c r="D26" i="3"/>
  <c r="C26" i="3"/>
  <c r="G4" i="16"/>
  <c r="AE46" i="3" l="1"/>
  <c r="AE45" i="3"/>
  <c r="AE44" i="3"/>
  <c r="AE50" i="3"/>
  <c r="H64" i="3"/>
  <c r="AE64" i="3"/>
  <c r="H63" i="3"/>
  <c r="AE63" i="3"/>
  <c r="H62" i="3"/>
  <c r="AE62" i="3"/>
  <c r="AE61" i="3"/>
  <c r="AE60" i="3"/>
  <c r="AE59" i="3"/>
  <c r="H58" i="3"/>
  <c r="AE58" i="3"/>
  <c r="H57" i="3"/>
  <c r="AE57" i="3"/>
  <c r="H56" i="3"/>
  <c r="AE56" i="3"/>
  <c r="H55" i="3"/>
  <c r="AE55" i="3"/>
  <c r="H54" i="3"/>
  <c r="AE54" i="3"/>
  <c r="AE53" i="3"/>
  <c r="AE52" i="3"/>
  <c r="H51" i="3"/>
  <c r="AE51" i="3"/>
  <c r="H50" i="3"/>
  <c r="H48" i="3"/>
  <c r="AE48" i="3"/>
  <c r="H47" i="3"/>
  <c r="AE47" i="3"/>
  <c r="H49" i="3"/>
  <c r="AE49" i="3"/>
  <c r="AE40" i="3"/>
  <c r="AE43" i="3"/>
  <c r="AE42" i="3"/>
  <c r="G4" i="11"/>
  <c r="BJ51" i="1"/>
  <c r="BK51" i="1"/>
  <c r="M25" i="3"/>
  <c r="N25" i="3"/>
  <c r="C25" i="3"/>
  <c r="M23" i="3"/>
  <c r="N23" i="3"/>
  <c r="M24" i="3"/>
  <c r="N24" i="3"/>
  <c r="C23" i="3"/>
  <c r="C24" i="3"/>
  <c r="M22" i="3"/>
  <c r="N22" i="3"/>
  <c r="C22" i="3"/>
  <c r="BJ49" i="1"/>
  <c r="BK49" i="1"/>
  <c r="BJ50" i="1"/>
  <c r="BK50" i="1"/>
  <c r="BJ52" i="1"/>
  <c r="BK52" i="1"/>
  <c r="BJ53" i="1"/>
  <c r="BK53" i="1"/>
  <c r="BJ54" i="1"/>
  <c r="BK54" i="1"/>
  <c r="BJ55" i="1"/>
  <c r="BK55" i="1"/>
  <c r="BJ56" i="1"/>
  <c r="BK56" i="1"/>
  <c r="C21" i="3"/>
  <c r="C20" i="3"/>
  <c r="C19" i="3"/>
  <c r="G3" i="11"/>
  <c r="AD3" i="11" s="1"/>
  <c r="BL55" i="1" l="1"/>
  <c r="BL56" i="1"/>
  <c r="BL54" i="1"/>
  <c r="BL53" i="1"/>
  <c r="BL51" i="1"/>
  <c r="BL52" i="1"/>
  <c r="BL50" i="1"/>
  <c r="BL49" i="1"/>
  <c r="C12" i="3"/>
  <c r="D12" i="3"/>
  <c r="G12" i="3"/>
  <c r="M12" i="3"/>
  <c r="N12" i="3"/>
  <c r="W12" i="3"/>
  <c r="X12" i="3"/>
  <c r="Y12" i="3"/>
  <c r="Z12" i="3"/>
  <c r="C18" i="3"/>
  <c r="C15" i="3"/>
  <c r="C16" i="3"/>
  <c r="C17" i="3"/>
  <c r="D14" i="3"/>
  <c r="C14" i="3"/>
  <c r="D13" i="3"/>
  <c r="C13" i="3"/>
  <c r="D11" i="3"/>
  <c r="C11" i="3"/>
  <c r="D10" i="3"/>
  <c r="C10" i="3"/>
  <c r="D9" i="3"/>
  <c r="C9" i="3"/>
  <c r="AH2" i="2"/>
  <c r="N6" i="3"/>
  <c r="M6" i="3"/>
  <c r="N8" i="3"/>
  <c r="M8" i="3"/>
  <c r="N7" i="3"/>
  <c r="M7" i="3"/>
  <c r="N5" i="3"/>
  <c r="M5" i="3"/>
  <c r="D8" i="3"/>
  <c r="C8" i="3"/>
  <c r="D7" i="3"/>
  <c r="C7" i="3"/>
  <c r="D6" i="3"/>
  <c r="C6" i="3"/>
  <c r="D5" i="3"/>
  <c r="C5" i="3"/>
  <c r="G2" i="16"/>
  <c r="G3" i="16"/>
  <c r="AR27" i="1"/>
  <c r="AS27" i="1"/>
  <c r="AT27" i="1"/>
  <c r="AU27" i="1"/>
  <c r="BJ27" i="1"/>
  <c r="BK27" i="1"/>
  <c r="BN27" i="1"/>
  <c r="BO27" i="1"/>
  <c r="BP27" i="1"/>
  <c r="BQ27" i="1"/>
  <c r="BR27" i="1"/>
  <c r="AR28" i="1"/>
  <c r="AS28" i="1"/>
  <c r="AT28" i="1"/>
  <c r="AU28" i="1"/>
  <c r="BJ28" i="1"/>
  <c r="BK28" i="1"/>
  <c r="BN28" i="1"/>
  <c r="BO28" i="1"/>
  <c r="BP28" i="1"/>
  <c r="BQ28" i="1"/>
  <c r="BR28" i="1"/>
  <c r="AR29" i="1"/>
  <c r="AS29" i="1"/>
  <c r="AT29" i="1"/>
  <c r="AU29" i="1"/>
  <c r="BJ29" i="1"/>
  <c r="BK29" i="1"/>
  <c r="BN29" i="1"/>
  <c r="BO29" i="1"/>
  <c r="BP29" i="1"/>
  <c r="BQ29" i="1"/>
  <c r="BR29" i="1"/>
  <c r="AR24" i="1"/>
  <c r="BJ21" i="1"/>
  <c r="C4" i="3"/>
  <c r="BA28" i="1" l="1"/>
  <c r="BM28" i="1" s="1"/>
  <c r="BL27" i="1"/>
  <c r="BA29" i="1"/>
  <c r="BM29" i="1" s="1"/>
  <c r="BL28" i="1"/>
  <c r="BL29" i="1"/>
  <c r="H12" i="3"/>
  <c r="AE12" i="3"/>
  <c r="AC12" i="3"/>
  <c r="BA27" i="1"/>
  <c r="BM27" i="1" s="1"/>
  <c r="BJ18" i="1"/>
  <c r="BP18" i="1"/>
  <c r="BN18" i="1"/>
  <c r="AQ15" i="1"/>
  <c r="AP15" i="1"/>
  <c r="BP10" i="1"/>
  <c r="F135" i="1"/>
  <c r="G135" i="1" s="1"/>
  <c r="H135" i="1"/>
  <c r="AR135" i="1"/>
  <c r="AS135" i="1"/>
  <c r="AT135" i="1"/>
  <c r="AU135" i="1"/>
  <c r="BA135" i="1"/>
  <c r="AW135" i="1" s="1"/>
  <c r="BB135" i="1"/>
  <c r="BN135" i="1" s="1"/>
  <c r="BJ135" i="1"/>
  <c r="BK135" i="1"/>
  <c r="BQ135" i="1"/>
  <c r="BR135" i="1"/>
  <c r="BP13" i="1"/>
  <c r="BP14" i="1"/>
  <c r="BP15" i="1"/>
  <c r="BP16" i="1"/>
  <c r="BP17" i="1"/>
  <c r="BP19" i="1"/>
  <c r="BP20" i="1"/>
  <c r="BP21" i="1"/>
  <c r="BP22" i="1"/>
  <c r="BP23" i="1"/>
  <c r="BP24" i="1"/>
  <c r="BP25" i="1"/>
  <c r="BP26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30" i="1"/>
  <c r="BP131" i="1"/>
  <c r="BP132" i="1"/>
  <c r="BP133" i="1"/>
  <c r="BP134" i="1"/>
  <c r="BP135" i="1"/>
  <c r="BP9" i="1"/>
  <c r="BP11" i="1"/>
  <c r="BP12" i="1"/>
  <c r="BP8" i="1"/>
  <c r="BP7" i="1"/>
  <c r="BP6" i="1"/>
  <c r="BP5" i="1"/>
  <c r="AR6" i="1"/>
  <c r="G4" i="3"/>
  <c r="AE4" i="3" s="1"/>
  <c r="G5" i="3"/>
  <c r="AE5" i="3" s="1"/>
  <c r="G6" i="3"/>
  <c r="AE6" i="3" s="1"/>
  <c r="G7" i="3"/>
  <c r="AE7" i="3" s="1"/>
  <c r="G8" i="3"/>
  <c r="AE8" i="3" s="1"/>
  <c r="G9" i="3"/>
  <c r="G10" i="3"/>
  <c r="G11" i="3"/>
  <c r="G13" i="3"/>
  <c r="G14" i="3"/>
  <c r="G15" i="3"/>
  <c r="G16" i="3"/>
  <c r="G17" i="3"/>
  <c r="G18" i="3"/>
  <c r="G19" i="3"/>
  <c r="G20" i="3"/>
  <c r="G21" i="3"/>
  <c r="G22" i="3"/>
  <c r="AE22" i="3" s="1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1" i="3"/>
  <c r="C28" i="13"/>
  <c r="C27" i="13"/>
  <c r="C25" i="13"/>
  <c r="C24" i="13"/>
  <c r="BL135" i="1" l="1"/>
  <c r="BO135" i="1"/>
  <c r="BM135" i="1"/>
  <c r="C1" i="12"/>
  <c r="B1" i="12"/>
  <c r="A4" i="10"/>
  <c r="K4" i="10" s="1"/>
  <c r="B1" i="10"/>
  <c r="AW14" i="2"/>
  <c r="AW16" i="2"/>
  <c r="AW20" i="2"/>
  <c r="AW23" i="2"/>
  <c r="AW24" i="2"/>
  <c r="AW26" i="2"/>
  <c r="AW27" i="2"/>
  <c r="AW28" i="2"/>
  <c r="AW30" i="2"/>
  <c r="AW35" i="2"/>
  <c r="AO7" i="2" s="1"/>
  <c r="AW38" i="2"/>
  <c r="AW40" i="2"/>
  <c r="AW41" i="2"/>
  <c r="AW44" i="2"/>
  <c r="AW47" i="2"/>
  <c r="AS14" i="2"/>
  <c r="AS16" i="2"/>
  <c r="AS20" i="2"/>
  <c r="AS23" i="2"/>
  <c r="AS24" i="2"/>
  <c r="AS26" i="2"/>
  <c r="AS27" i="2"/>
  <c r="AS28" i="2"/>
  <c r="AS29" i="2"/>
  <c r="AS30" i="2"/>
  <c r="AS35" i="2"/>
  <c r="AO4" i="2" s="1"/>
  <c r="AS38" i="2"/>
  <c r="AS40" i="2"/>
  <c r="AS41" i="2"/>
  <c r="AS44" i="2"/>
  <c r="AS47" i="2"/>
  <c r="AP47" i="2"/>
  <c r="AN47" i="2"/>
  <c r="AP46" i="2"/>
  <c r="AN46" i="2"/>
  <c r="AP45" i="2"/>
  <c r="AN45" i="2"/>
  <c r="AP44" i="2"/>
  <c r="AN44" i="2"/>
  <c r="AP43" i="2"/>
  <c r="AN43" i="2"/>
  <c r="AP42" i="2"/>
  <c r="AN42" i="2"/>
  <c r="AP41" i="2"/>
  <c r="AN41" i="2"/>
  <c r="AP40" i="2"/>
  <c r="AN40" i="2"/>
  <c r="AP39" i="2"/>
  <c r="AN39" i="2"/>
  <c r="AP38" i="2"/>
  <c r="AN38" i="2"/>
  <c r="AP37" i="2"/>
  <c r="AN37" i="2"/>
  <c r="AP36" i="2"/>
  <c r="AN36" i="2"/>
  <c r="AP35" i="2"/>
  <c r="AN35" i="2"/>
  <c r="AL35" i="2"/>
  <c r="AL47" i="2" s="1"/>
  <c r="AK35" i="2"/>
  <c r="AK47" i="2" s="1"/>
  <c r="AP34" i="2"/>
  <c r="AN34" i="2"/>
  <c r="AL34" i="2"/>
  <c r="AL46" i="2" s="1"/>
  <c r="AK34" i="2"/>
  <c r="AK46" i="2" s="1"/>
  <c r="AP33" i="2"/>
  <c r="AN33" i="2"/>
  <c r="AL33" i="2"/>
  <c r="AL45" i="2" s="1"/>
  <c r="AK33" i="2"/>
  <c r="AK45" i="2" s="1"/>
  <c r="AP32" i="2"/>
  <c r="AN32" i="2"/>
  <c r="AL32" i="2"/>
  <c r="AL44" i="2" s="1"/>
  <c r="AK32" i="2"/>
  <c r="AK44" i="2" s="1"/>
  <c r="AP31" i="2"/>
  <c r="AN31" i="2"/>
  <c r="AL31" i="2"/>
  <c r="AL43" i="2" s="1"/>
  <c r="AK31" i="2"/>
  <c r="AK43" i="2" s="1"/>
  <c r="AP30" i="2"/>
  <c r="AN30" i="2"/>
  <c r="AL30" i="2"/>
  <c r="AL42" i="2" s="1"/>
  <c r="AK30" i="2"/>
  <c r="AK42" i="2" s="1"/>
  <c r="AP29" i="2"/>
  <c r="AN29" i="2"/>
  <c r="AL29" i="2"/>
  <c r="AL41" i="2" s="1"/>
  <c r="AK29" i="2"/>
  <c r="AK41" i="2" s="1"/>
  <c r="AP28" i="2"/>
  <c r="AN28" i="2"/>
  <c r="AL28" i="2"/>
  <c r="AL40" i="2" s="1"/>
  <c r="AK28" i="2"/>
  <c r="AK40" i="2" s="1"/>
  <c r="AP27" i="2"/>
  <c r="AN27" i="2"/>
  <c r="AL27" i="2"/>
  <c r="AL39" i="2" s="1"/>
  <c r="AK27" i="2"/>
  <c r="AK39" i="2" s="1"/>
  <c r="AP26" i="2"/>
  <c r="AN26" i="2"/>
  <c r="AL26" i="2"/>
  <c r="AL38" i="2" s="1"/>
  <c r="AK26" i="2"/>
  <c r="AK38" i="2" s="1"/>
  <c r="AP25" i="2"/>
  <c r="AN25" i="2"/>
  <c r="AL25" i="2"/>
  <c r="AL37" i="2" s="1"/>
  <c r="AK25" i="2"/>
  <c r="AK37" i="2" s="1"/>
  <c r="AP24" i="2"/>
  <c r="AN24" i="2"/>
  <c r="AL24" i="2"/>
  <c r="AL36" i="2" s="1"/>
  <c r="AK24" i="2"/>
  <c r="AK36" i="2" s="1"/>
  <c r="AP23" i="2"/>
  <c r="AN23" i="2"/>
  <c r="AP22" i="2"/>
  <c r="AN22" i="2"/>
  <c r="AP21" i="2"/>
  <c r="AN21" i="2"/>
  <c r="AP20" i="2"/>
  <c r="AN20" i="2"/>
  <c r="AP19" i="2"/>
  <c r="AN19" i="2"/>
  <c r="AP18" i="2"/>
  <c r="AN18" i="2"/>
  <c r="AP17" i="2"/>
  <c r="AN17" i="2"/>
  <c r="AP16" i="2"/>
  <c r="AN16" i="2"/>
  <c r="AP15" i="2"/>
  <c r="AN15" i="2"/>
  <c r="AP14" i="2"/>
  <c r="AN14" i="2"/>
  <c r="AP13" i="2"/>
  <c r="AN13" i="2"/>
  <c r="AP12" i="2"/>
  <c r="AN12" i="2"/>
  <c r="K26" i="22"/>
  <c r="K27" i="22"/>
  <c r="K28" i="22"/>
  <c r="K29" i="22"/>
  <c r="K30" i="22"/>
  <c r="K31" i="22"/>
  <c r="K32" i="22"/>
  <c r="K33" i="22"/>
  <c r="K34" i="22"/>
  <c r="K35" i="22"/>
  <c r="K36" i="22"/>
  <c r="K37" i="22"/>
  <c r="H26" i="22"/>
  <c r="I26" i="22"/>
  <c r="H27" i="22"/>
  <c r="I27" i="22"/>
  <c r="H28" i="22"/>
  <c r="I28" i="22"/>
  <c r="H29" i="22"/>
  <c r="I29" i="22"/>
  <c r="H30" i="22"/>
  <c r="I30" i="22"/>
  <c r="H31" i="22"/>
  <c r="I31" i="22"/>
  <c r="H32" i="22"/>
  <c r="I32" i="22"/>
  <c r="H33" i="22"/>
  <c r="I33" i="22"/>
  <c r="H34" i="22"/>
  <c r="I34" i="22"/>
  <c r="H35" i="22"/>
  <c r="I35" i="22"/>
  <c r="H36" i="22"/>
  <c r="I36" i="22"/>
  <c r="H37" i="22"/>
  <c r="I37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" i="22"/>
  <c r="M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" i="22"/>
  <c r="H15" i="22"/>
  <c r="H16" i="22"/>
  <c r="H17" i="22"/>
  <c r="H18" i="22"/>
  <c r="H19" i="22"/>
  <c r="H20" i="22"/>
  <c r="H21" i="22"/>
  <c r="H22" i="22"/>
  <c r="H23" i="22"/>
  <c r="H24" i="22"/>
  <c r="H25" i="22"/>
  <c r="H14" i="22"/>
  <c r="I15" i="22"/>
  <c r="I16" i="22"/>
  <c r="I17" i="22"/>
  <c r="I18" i="22"/>
  <c r="I19" i="22"/>
  <c r="I20" i="22"/>
  <c r="I21" i="22"/>
  <c r="I22" i="22"/>
  <c r="I23" i="22"/>
  <c r="I24" i="22"/>
  <c r="I25" i="22"/>
  <c r="I14" i="22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30" i="1"/>
  <c r="BR131" i="1"/>
  <c r="BR132" i="1"/>
  <c r="BR133" i="1"/>
  <c r="BR134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30" i="1"/>
  <c r="BO131" i="1"/>
  <c r="BO132" i="1"/>
  <c r="BO133" i="1"/>
  <c r="BO134" i="1"/>
  <c r="E26" i="22"/>
  <c r="E27" i="22"/>
  <c r="E28" i="22"/>
  <c r="E29" i="22"/>
  <c r="E30" i="22"/>
  <c r="E31" i="22"/>
  <c r="E32" i="22"/>
  <c r="E33" i="22"/>
  <c r="E34" i="22"/>
  <c r="E35" i="22"/>
  <c r="E36" i="22"/>
  <c r="E37" i="22"/>
  <c r="G26" i="22"/>
  <c r="G27" i="22"/>
  <c r="G28" i="22"/>
  <c r="T28" i="22" s="1"/>
  <c r="G29" i="22"/>
  <c r="G30" i="22"/>
  <c r="T30" i="22" s="1"/>
  <c r="G31" i="22"/>
  <c r="T31" i="22" s="1"/>
  <c r="G32" i="22"/>
  <c r="G33" i="22"/>
  <c r="G34" i="22"/>
  <c r="G35" i="22"/>
  <c r="G36" i="22"/>
  <c r="G37" i="22"/>
  <c r="T34" i="22"/>
  <c r="T35" i="22"/>
  <c r="AA26" i="22"/>
  <c r="AA27" i="22"/>
  <c r="AA28" i="22"/>
  <c r="AA29" i="22"/>
  <c r="AA30" i="22"/>
  <c r="AA31" i="22"/>
  <c r="AA32" i="22"/>
  <c r="AA33" i="22"/>
  <c r="AA34" i="22"/>
  <c r="AA35" i="22"/>
  <c r="AA36" i="22"/>
  <c r="AA37" i="22"/>
  <c r="AA25" i="22"/>
  <c r="M4" i="10" l="1"/>
  <c r="K4" i="12"/>
  <c r="M4" i="12"/>
  <c r="A4" i="12"/>
  <c r="B4" i="12"/>
  <c r="AS46" i="2"/>
  <c r="AS34" i="2"/>
  <c r="AS22" i="2"/>
  <c r="AW46" i="2"/>
  <c r="AW34" i="2"/>
  <c r="AW22" i="2"/>
  <c r="AS45" i="2"/>
  <c r="AS33" i="2"/>
  <c r="AS21" i="2"/>
  <c r="AW45" i="2"/>
  <c r="AW33" i="2"/>
  <c r="AW21" i="2"/>
  <c r="AS32" i="2"/>
  <c r="AW32" i="2"/>
  <c r="AS43" i="2"/>
  <c r="AS31" i="2"/>
  <c r="AS19" i="2"/>
  <c r="AW43" i="2"/>
  <c r="AW31" i="2"/>
  <c r="AW19" i="2"/>
  <c r="AS42" i="2"/>
  <c r="AS18" i="2"/>
  <c r="AW42" i="2"/>
  <c r="AW18" i="2"/>
  <c r="AS17" i="2"/>
  <c r="AW29" i="2"/>
  <c r="AW17" i="2"/>
  <c r="AS39" i="2"/>
  <c r="AS15" i="2"/>
  <c r="AW39" i="2"/>
  <c r="AW15" i="2"/>
  <c r="AS37" i="2"/>
  <c r="AS25" i="2"/>
  <c r="AS13" i="2"/>
  <c r="AW37" i="2"/>
  <c r="AW25" i="2"/>
  <c r="AW13" i="2"/>
  <c r="AS12" i="2"/>
  <c r="AS36" i="2"/>
  <c r="AW12" i="2"/>
  <c r="AW36" i="2"/>
  <c r="W34" i="22"/>
  <c r="T33" i="22"/>
  <c r="W35" i="22"/>
  <c r="W31" i="22"/>
  <c r="T27" i="22"/>
  <c r="T26" i="22"/>
  <c r="T36" i="22"/>
  <c r="W30" i="22"/>
  <c r="W28" i="22"/>
  <c r="T37" i="22"/>
  <c r="T32" i="22"/>
  <c r="T29" i="22"/>
  <c r="W33" i="22" l="1"/>
  <c r="W29" i="22"/>
  <c r="W37" i="22"/>
  <c r="W27" i="22"/>
  <c r="W32" i="22"/>
  <c r="W26" i="22"/>
  <c r="W36" i="22"/>
  <c r="O25" i="22" l="1"/>
  <c r="K25" i="22"/>
  <c r="G25" i="22"/>
  <c r="E25" i="22"/>
  <c r="C25" i="22"/>
  <c r="C37" i="22" s="1"/>
  <c r="B25" i="22"/>
  <c r="B37" i="22" s="1"/>
  <c r="AA24" i="22"/>
  <c r="O24" i="22"/>
  <c r="K24" i="22"/>
  <c r="G24" i="22"/>
  <c r="T24" i="22" s="1"/>
  <c r="E24" i="22"/>
  <c r="C24" i="22"/>
  <c r="C36" i="22" s="1"/>
  <c r="B24" i="22"/>
  <c r="B36" i="22" s="1"/>
  <c r="AA23" i="22"/>
  <c r="K23" i="22"/>
  <c r="O23" i="22"/>
  <c r="G23" i="22"/>
  <c r="T23" i="22" s="1"/>
  <c r="E23" i="22"/>
  <c r="C23" i="22"/>
  <c r="C35" i="22" s="1"/>
  <c r="B23" i="22"/>
  <c r="B35" i="22" s="1"/>
  <c r="AA22" i="22"/>
  <c r="K22" i="22"/>
  <c r="O22" i="22"/>
  <c r="G22" i="22"/>
  <c r="E22" i="22"/>
  <c r="C22" i="22"/>
  <c r="C34" i="22" s="1"/>
  <c r="B22" i="22"/>
  <c r="B34" i="22" s="1"/>
  <c r="AA21" i="22"/>
  <c r="K21" i="22"/>
  <c r="O21" i="22"/>
  <c r="G21" i="22"/>
  <c r="T21" i="22" s="1"/>
  <c r="E21" i="22"/>
  <c r="C21" i="22"/>
  <c r="C33" i="22" s="1"/>
  <c r="B21" i="22"/>
  <c r="B33" i="22" s="1"/>
  <c r="AA20" i="22"/>
  <c r="K20" i="22"/>
  <c r="O20" i="22"/>
  <c r="G20" i="22"/>
  <c r="T20" i="22" s="1"/>
  <c r="E20" i="22"/>
  <c r="C20" i="22"/>
  <c r="C32" i="22" s="1"/>
  <c r="B20" i="22"/>
  <c r="B32" i="22" s="1"/>
  <c r="AA19" i="22"/>
  <c r="O19" i="22"/>
  <c r="K19" i="22"/>
  <c r="G19" i="22"/>
  <c r="E19" i="22"/>
  <c r="C19" i="22"/>
  <c r="C31" i="22" s="1"/>
  <c r="B19" i="22"/>
  <c r="B31" i="22" s="1"/>
  <c r="AA18" i="22"/>
  <c r="K18" i="22"/>
  <c r="O18" i="22"/>
  <c r="G18" i="22"/>
  <c r="T18" i="22" s="1"/>
  <c r="E18" i="22"/>
  <c r="C18" i="22"/>
  <c r="C30" i="22" s="1"/>
  <c r="B18" i="22"/>
  <c r="B30" i="22" s="1"/>
  <c r="AA17" i="22"/>
  <c r="K17" i="22"/>
  <c r="O17" i="22"/>
  <c r="G17" i="22"/>
  <c r="T17" i="22" s="1"/>
  <c r="E17" i="22"/>
  <c r="C17" i="22"/>
  <c r="C29" i="22" s="1"/>
  <c r="B17" i="22"/>
  <c r="B29" i="22" s="1"/>
  <c r="AA16" i="22"/>
  <c r="K16" i="22"/>
  <c r="O16" i="22"/>
  <c r="G16" i="22"/>
  <c r="E16" i="22"/>
  <c r="C16" i="22"/>
  <c r="C28" i="22" s="1"/>
  <c r="B16" i="22"/>
  <c r="B28" i="22" s="1"/>
  <c r="AA15" i="22"/>
  <c r="O15" i="22"/>
  <c r="K15" i="22"/>
  <c r="G15" i="22"/>
  <c r="T15" i="22" s="1"/>
  <c r="E15" i="22"/>
  <c r="C15" i="22"/>
  <c r="C27" i="22" s="1"/>
  <c r="B15" i="22"/>
  <c r="B27" i="22" s="1"/>
  <c r="AA14" i="22"/>
  <c r="O14" i="22"/>
  <c r="K14" i="22"/>
  <c r="G14" i="22"/>
  <c r="P14" i="22" s="1"/>
  <c r="E14" i="22"/>
  <c r="C14" i="22"/>
  <c r="C26" i="22" s="1"/>
  <c r="B14" i="22"/>
  <c r="B26" i="22" s="1"/>
  <c r="AA13" i="22"/>
  <c r="O13" i="22"/>
  <c r="G13" i="22"/>
  <c r="E13" i="22"/>
  <c r="AA12" i="22"/>
  <c r="O12" i="22"/>
  <c r="G12" i="22"/>
  <c r="T12" i="22" s="1"/>
  <c r="E12" i="22"/>
  <c r="AA11" i="22"/>
  <c r="O11" i="22"/>
  <c r="G11" i="22"/>
  <c r="P11" i="22" s="1"/>
  <c r="E11" i="22"/>
  <c r="AA10" i="22"/>
  <c r="O10" i="22"/>
  <c r="G10" i="22"/>
  <c r="E10" i="22"/>
  <c r="AA9" i="22"/>
  <c r="O9" i="22"/>
  <c r="G9" i="22"/>
  <c r="E9" i="22"/>
  <c r="AA8" i="22"/>
  <c r="O8" i="22"/>
  <c r="G8" i="22"/>
  <c r="P8" i="22" s="1"/>
  <c r="E8" i="22"/>
  <c r="AA7" i="22"/>
  <c r="O7" i="22"/>
  <c r="G7" i="22"/>
  <c r="E7" i="22"/>
  <c r="AA6" i="22"/>
  <c r="O6" i="22"/>
  <c r="G6" i="22"/>
  <c r="E6" i="22"/>
  <c r="AA5" i="22"/>
  <c r="O5" i="22"/>
  <c r="G5" i="22"/>
  <c r="P5" i="22" s="1"/>
  <c r="E5" i="22"/>
  <c r="AA4" i="22"/>
  <c r="O4" i="22"/>
  <c r="G4" i="22"/>
  <c r="E4" i="22"/>
  <c r="AA3" i="22"/>
  <c r="O3" i="22"/>
  <c r="G3" i="22"/>
  <c r="E3" i="22"/>
  <c r="A3" i="22"/>
  <c r="A4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A2" i="22"/>
  <c r="O2" i="22"/>
  <c r="G2" i="22"/>
  <c r="P2" i="22" s="1"/>
  <c r="E2" i="22"/>
  <c r="W15" i="22" l="1"/>
  <c r="W18" i="22"/>
  <c r="W21" i="22"/>
  <c r="W24" i="22"/>
  <c r="W12" i="22"/>
  <c r="W17" i="22"/>
  <c r="W20" i="22"/>
  <c r="W23" i="22"/>
  <c r="P22" i="22"/>
  <c r="T3" i="22"/>
  <c r="P24" i="22"/>
  <c r="T14" i="22"/>
  <c r="P17" i="22"/>
  <c r="P21" i="22"/>
  <c r="P20" i="22"/>
  <c r="P16" i="22"/>
  <c r="T6" i="22"/>
  <c r="T8" i="22"/>
  <c r="P15" i="22"/>
  <c r="T5" i="22"/>
  <c r="T9" i="22"/>
  <c r="T11" i="22"/>
  <c r="T22" i="22"/>
  <c r="T2" i="22"/>
  <c r="P3" i="22"/>
  <c r="P6" i="22"/>
  <c r="P9" i="22"/>
  <c r="P12" i="22"/>
  <c r="P25" i="22"/>
  <c r="P4" i="22"/>
  <c r="P7" i="22"/>
  <c r="P10" i="22"/>
  <c r="P13" i="22"/>
  <c r="T25" i="22"/>
  <c r="P19" i="22"/>
  <c r="P23" i="22"/>
  <c r="T16" i="22"/>
  <c r="T4" i="22"/>
  <c r="T7" i="22"/>
  <c r="T10" i="22"/>
  <c r="T13" i="22"/>
  <c r="P18" i="22"/>
  <c r="T19" i="22"/>
  <c r="W22" i="22" l="1"/>
  <c r="W8" i="22"/>
  <c r="W13" i="22"/>
  <c r="W6" i="22"/>
  <c r="W2" i="22"/>
  <c r="W11" i="22"/>
  <c r="W4" i="22"/>
  <c r="W5" i="22"/>
  <c r="W25" i="22"/>
  <c r="W7" i="22"/>
  <c r="W14" i="22"/>
  <c r="W16" i="22"/>
  <c r="W9" i="22"/>
  <c r="W10" i="22"/>
  <c r="W19" i="22"/>
  <c r="W3" i="22"/>
  <c r="BJ5" i="1" l="1"/>
  <c r="BP4" i="1"/>
  <c r="BK4" i="1" l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30" i="1"/>
  <c r="BK131" i="1"/>
  <c r="BK132" i="1"/>
  <c r="BK133" i="1"/>
  <c r="BK134" i="1"/>
  <c r="BJ4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9" i="1"/>
  <c r="BJ20" i="1"/>
  <c r="BJ22" i="1"/>
  <c r="BJ23" i="1"/>
  <c r="BJ24" i="1"/>
  <c r="BJ25" i="1"/>
  <c r="BJ26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57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30" i="1"/>
  <c r="BJ131" i="1"/>
  <c r="BJ132" i="1"/>
  <c r="BJ133" i="1"/>
  <c r="BJ134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30" i="1"/>
  <c r="BQ131" i="1"/>
  <c r="BQ132" i="1"/>
  <c r="BQ133" i="1"/>
  <c r="BQ134" i="1"/>
  <c r="BM132" i="1" l="1"/>
  <c r="BM133" i="1"/>
  <c r="BM134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30" i="1"/>
  <c r="BL131" i="1"/>
  <c r="BL132" i="1"/>
  <c r="BL133" i="1"/>
  <c r="BL134" i="1"/>
  <c r="AR4" i="1"/>
  <c r="AR5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5" i="1"/>
  <c r="AR26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30" i="1"/>
  <c r="AR131" i="1"/>
  <c r="AR132" i="1"/>
  <c r="AR133" i="1"/>
  <c r="AR134" i="1"/>
  <c r="BN4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9" i="1"/>
  <c r="BN20" i="1"/>
  <c r="BN21" i="1"/>
  <c r="BN22" i="1"/>
  <c r="BN23" i="1"/>
  <c r="BN24" i="1"/>
  <c r="BN25" i="1"/>
  <c r="BN26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30" i="1"/>
  <c r="BN131" i="1"/>
  <c r="BN132" i="1"/>
  <c r="BN133" i="1"/>
  <c r="BN134" i="1"/>
  <c r="U64" i="15" l="1"/>
  <c r="F64" i="15"/>
  <c r="G64" i="15" s="1"/>
  <c r="C64" i="15"/>
  <c r="U63" i="15"/>
  <c r="F63" i="15"/>
  <c r="G63" i="15" s="1"/>
  <c r="C63" i="15"/>
  <c r="U62" i="15"/>
  <c r="F62" i="15"/>
  <c r="G62" i="15" s="1"/>
  <c r="C62" i="15"/>
  <c r="U61" i="15"/>
  <c r="F61" i="15"/>
  <c r="G61" i="15" s="1"/>
  <c r="C61" i="15"/>
  <c r="U60" i="15"/>
  <c r="F60" i="15"/>
  <c r="G60" i="15" s="1"/>
  <c r="C60" i="15"/>
  <c r="U59" i="15"/>
  <c r="F59" i="15"/>
  <c r="G59" i="15" s="1"/>
  <c r="C59" i="15"/>
  <c r="U58" i="15"/>
  <c r="G58" i="15"/>
  <c r="F58" i="15"/>
  <c r="C58" i="15"/>
  <c r="U57" i="15"/>
  <c r="F57" i="15"/>
  <c r="G57" i="15" s="1"/>
  <c r="C57" i="15"/>
  <c r="U56" i="15"/>
  <c r="F56" i="15"/>
  <c r="G56" i="15" s="1"/>
  <c r="C56" i="15"/>
  <c r="U55" i="15"/>
  <c r="F55" i="15"/>
  <c r="G55" i="15" s="1"/>
  <c r="C55" i="15"/>
  <c r="U54" i="15"/>
  <c r="F54" i="15"/>
  <c r="G54" i="15" s="1"/>
  <c r="C54" i="15"/>
  <c r="U53" i="15"/>
  <c r="F53" i="15"/>
  <c r="G53" i="15" s="1"/>
  <c r="C53" i="15"/>
  <c r="U52" i="15"/>
  <c r="F52" i="15"/>
  <c r="G52" i="15" s="1"/>
  <c r="C52" i="15"/>
  <c r="U51" i="15"/>
  <c r="F51" i="15"/>
  <c r="G51" i="15" s="1"/>
  <c r="C51" i="15"/>
  <c r="U50" i="15"/>
  <c r="F50" i="15"/>
  <c r="G50" i="15" s="1"/>
  <c r="C50" i="15"/>
  <c r="U49" i="15"/>
  <c r="F49" i="15"/>
  <c r="G49" i="15" s="1"/>
  <c r="C49" i="15"/>
  <c r="U48" i="15"/>
  <c r="F48" i="15"/>
  <c r="G48" i="15" s="1"/>
  <c r="C48" i="15"/>
  <c r="U47" i="15"/>
  <c r="F47" i="15"/>
  <c r="G47" i="15" s="1"/>
  <c r="C47" i="15"/>
  <c r="U46" i="15"/>
  <c r="F46" i="15"/>
  <c r="G46" i="15" s="1"/>
  <c r="C46" i="15"/>
  <c r="U45" i="15"/>
  <c r="F45" i="15"/>
  <c r="G45" i="15" s="1"/>
  <c r="C45" i="15"/>
  <c r="U44" i="15"/>
  <c r="F44" i="15"/>
  <c r="G44" i="15" s="1"/>
  <c r="C44" i="15"/>
  <c r="U43" i="15"/>
  <c r="F43" i="15"/>
  <c r="G43" i="15" s="1"/>
  <c r="C43" i="15"/>
  <c r="U42" i="15"/>
  <c r="F42" i="15"/>
  <c r="G42" i="15" s="1"/>
  <c r="C42" i="15"/>
  <c r="U41" i="15"/>
  <c r="F41" i="15"/>
  <c r="G41" i="15" s="1"/>
  <c r="C41" i="15"/>
  <c r="U40" i="15"/>
  <c r="F40" i="15"/>
  <c r="G40" i="15" s="1"/>
  <c r="C40" i="15"/>
  <c r="U39" i="15"/>
  <c r="F39" i="15"/>
  <c r="G39" i="15" s="1"/>
  <c r="C39" i="15"/>
  <c r="U38" i="15"/>
  <c r="F38" i="15"/>
  <c r="G38" i="15" s="1"/>
  <c r="C38" i="15"/>
  <c r="U37" i="15"/>
  <c r="F37" i="15"/>
  <c r="G37" i="15" s="1"/>
  <c r="C37" i="15"/>
  <c r="U36" i="15"/>
  <c r="F36" i="15"/>
  <c r="G36" i="15" s="1"/>
  <c r="C36" i="15"/>
  <c r="U35" i="15"/>
  <c r="F35" i="15"/>
  <c r="G35" i="15" s="1"/>
  <c r="C35" i="15"/>
  <c r="U34" i="15"/>
  <c r="F34" i="15"/>
  <c r="G34" i="15" s="1"/>
  <c r="C34" i="15"/>
  <c r="U33" i="15"/>
  <c r="F33" i="15"/>
  <c r="G33" i="15" s="1"/>
  <c r="C33" i="15"/>
  <c r="U32" i="15"/>
  <c r="F32" i="15"/>
  <c r="G32" i="15" s="1"/>
  <c r="C32" i="15"/>
  <c r="U31" i="15"/>
  <c r="F31" i="15"/>
  <c r="G31" i="15" s="1"/>
  <c r="C31" i="15"/>
  <c r="U30" i="15"/>
  <c r="F30" i="15"/>
  <c r="G30" i="15" s="1"/>
  <c r="C30" i="15"/>
  <c r="U29" i="15"/>
  <c r="F29" i="15"/>
  <c r="G29" i="15" s="1"/>
  <c r="C29" i="15"/>
  <c r="U28" i="15"/>
  <c r="F28" i="15"/>
  <c r="G28" i="15" s="1"/>
  <c r="C28" i="15"/>
  <c r="U27" i="15"/>
  <c r="F27" i="15"/>
  <c r="G27" i="15" s="1"/>
  <c r="C27" i="15"/>
  <c r="U26" i="15"/>
  <c r="F26" i="15"/>
  <c r="G26" i="15" s="1"/>
  <c r="C26" i="15"/>
  <c r="U25" i="15"/>
  <c r="G25" i="15"/>
  <c r="F25" i="15"/>
  <c r="C25" i="15"/>
  <c r="U24" i="15"/>
  <c r="F24" i="15"/>
  <c r="G24" i="15" s="1"/>
  <c r="C24" i="15"/>
  <c r="U23" i="15"/>
  <c r="F23" i="15"/>
  <c r="G23" i="15" s="1"/>
  <c r="C23" i="15"/>
  <c r="U22" i="15"/>
  <c r="F22" i="15"/>
  <c r="G22" i="15" s="1"/>
  <c r="C22" i="15"/>
  <c r="U21" i="15"/>
  <c r="F21" i="15"/>
  <c r="G21" i="15" s="1"/>
  <c r="C21" i="15"/>
  <c r="U20" i="15"/>
  <c r="F20" i="15"/>
  <c r="G20" i="15" s="1"/>
  <c r="C20" i="15"/>
  <c r="U19" i="15"/>
  <c r="F19" i="15"/>
  <c r="G19" i="15" s="1"/>
  <c r="C19" i="15"/>
  <c r="U18" i="15"/>
  <c r="F18" i="15"/>
  <c r="G18" i="15" s="1"/>
  <c r="C18" i="15"/>
  <c r="U17" i="15"/>
  <c r="F17" i="15"/>
  <c r="G17" i="15" s="1"/>
  <c r="C17" i="15"/>
  <c r="U16" i="15"/>
  <c r="F16" i="15"/>
  <c r="G16" i="15" s="1"/>
  <c r="C16" i="15"/>
  <c r="U15" i="15"/>
  <c r="F15" i="15"/>
  <c r="G15" i="15" s="1"/>
  <c r="C15" i="15"/>
  <c r="U14" i="15"/>
  <c r="F14" i="15"/>
  <c r="G14" i="15" s="1"/>
  <c r="C14" i="15"/>
  <c r="U13" i="15"/>
  <c r="F13" i="15"/>
  <c r="G13" i="15" s="1"/>
  <c r="C13" i="15"/>
  <c r="U12" i="15"/>
  <c r="F12" i="15"/>
  <c r="G12" i="15" s="1"/>
  <c r="C12" i="15"/>
  <c r="U11" i="15"/>
  <c r="F11" i="15"/>
  <c r="G11" i="15" s="1"/>
  <c r="C11" i="15"/>
  <c r="U10" i="15"/>
  <c r="F10" i="15"/>
  <c r="G10" i="15" s="1"/>
  <c r="C10" i="15"/>
  <c r="U9" i="15"/>
  <c r="F9" i="15"/>
  <c r="G9" i="15" s="1"/>
  <c r="C9" i="15"/>
  <c r="U8" i="15"/>
  <c r="F8" i="15"/>
  <c r="G8" i="15" s="1"/>
  <c r="C8" i="15"/>
  <c r="U7" i="15"/>
  <c r="F7" i="15"/>
  <c r="G7" i="15" s="1"/>
  <c r="C7" i="15"/>
  <c r="U6" i="15"/>
  <c r="F6" i="15"/>
  <c r="G6" i="15" s="1"/>
  <c r="C6" i="15"/>
  <c r="U5" i="15"/>
  <c r="F5" i="15"/>
  <c r="G5" i="15" s="1"/>
  <c r="C5" i="15"/>
  <c r="U4" i="15"/>
  <c r="F4" i="15"/>
  <c r="G4" i="15" s="1"/>
  <c r="C4" i="15"/>
  <c r="U3" i="15"/>
  <c r="F3" i="15"/>
  <c r="G3" i="15" s="1"/>
  <c r="C3" i="15"/>
  <c r="AE64" i="19"/>
  <c r="AE63" i="19"/>
  <c r="AE62" i="19"/>
  <c r="AE61" i="19"/>
  <c r="AE60" i="19"/>
  <c r="AE59" i="19"/>
  <c r="AE58" i="19"/>
  <c r="AE57" i="19"/>
  <c r="AE56" i="19"/>
  <c r="AE55" i="19"/>
  <c r="AE54" i="19"/>
  <c r="AE53" i="19"/>
  <c r="AE52" i="19"/>
  <c r="AE51" i="19"/>
  <c r="AE50" i="19"/>
  <c r="AE49" i="19"/>
  <c r="AE48" i="19"/>
  <c r="AE47" i="19"/>
  <c r="AE46" i="19"/>
  <c r="AE45" i="19"/>
  <c r="AE44" i="19"/>
  <c r="AE43" i="19"/>
  <c r="AE42" i="19"/>
  <c r="AE41" i="19"/>
  <c r="AE40" i="19"/>
  <c r="AE39" i="19"/>
  <c r="AE38" i="19"/>
  <c r="AE37" i="19"/>
  <c r="AE36" i="19"/>
  <c r="AE35" i="19"/>
  <c r="AE34" i="19"/>
  <c r="AE33" i="19"/>
  <c r="AE32" i="19"/>
  <c r="AE31" i="19"/>
  <c r="AE30" i="19"/>
  <c r="AE29" i="19"/>
  <c r="AE28" i="19"/>
  <c r="AE27" i="19"/>
  <c r="AE26" i="19"/>
  <c r="AE25" i="19"/>
  <c r="AE24" i="19"/>
  <c r="AE23" i="19"/>
  <c r="AE22" i="19"/>
  <c r="AE21" i="19"/>
  <c r="AE20" i="19"/>
  <c r="AE19" i="19"/>
  <c r="AE18" i="19"/>
  <c r="AE17" i="19"/>
  <c r="AE16" i="19"/>
  <c r="AE15" i="19"/>
  <c r="AE14" i="19"/>
  <c r="AE13" i="19"/>
  <c r="AE12" i="19"/>
  <c r="AE11" i="19"/>
  <c r="AE10" i="19"/>
  <c r="AE9" i="19"/>
  <c r="AE8" i="19"/>
  <c r="AE7" i="19"/>
  <c r="AE6" i="19"/>
  <c r="AE5" i="19"/>
  <c r="AE4" i="19"/>
  <c r="AE3" i="19"/>
  <c r="X41" i="3"/>
  <c r="W41" i="3"/>
  <c r="N41" i="3"/>
  <c r="M41" i="3"/>
  <c r="AE41" i="3" s="1"/>
  <c r="H41" i="3"/>
  <c r="X39" i="3"/>
  <c r="W39" i="3"/>
  <c r="N39" i="3"/>
  <c r="M39" i="3"/>
  <c r="AE39" i="3" s="1"/>
  <c r="H39" i="3"/>
  <c r="X38" i="3"/>
  <c r="W38" i="3"/>
  <c r="N38" i="3"/>
  <c r="M38" i="3"/>
  <c r="AE38" i="3" s="1"/>
  <c r="H38" i="3"/>
  <c r="X37" i="3"/>
  <c r="W37" i="3"/>
  <c r="N37" i="3"/>
  <c r="M37" i="3"/>
  <c r="AE37" i="3" s="1"/>
  <c r="H37" i="3"/>
  <c r="X36" i="3"/>
  <c r="W36" i="3"/>
  <c r="N36" i="3"/>
  <c r="M36" i="3"/>
  <c r="AE36" i="3" s="1"/>
  <c r="H36" i="3"/>
  <c r="X35" i="3"/>
  <c r="W35" i="3"/>
  <c r="N35" i="3"/>
  <c r="M35" i="3"/>
  <c r="AE35" i="3" s="1"/>
  <c r="H35" i="3"/>
  <c r="X34" i="3"/>
  <c r="W34" i="3"/>
  <c r="N34" i="3"/>
  <c r="M34" i="3"/>
  <c r="AE34" i="3" s="1"/>
  <c r="H34" i="3"/>
  <c r="X33" i="3"/>
  <c r="W33" i="3"/>
  <c r="N33" i="3"/>
  <c r="M33" i="3"/>
  <c r="AE33" i="3" s="1"/>
  <c r="H33" i="3"/>
  <c r="X32" i="3"/>
  <c r="W32" i="3"/>
  <c r="N32" i="3"/>
  <c r="M32" i="3"/>
  <c r="AE32" i="3" s="1"/>
  <c r="H32" i="3"/>
  <c r="X31" i="3"/>
  <c r="W31" i="3"/>
  <c r="N31" i="3"/>
  <c r="M31" i="3"/>
  <c r="AE31" i="3" s="1"/>
  <c r="H31" i="3"/>
  <c r="X30" i="3"/>
  <c r="W30" i="3"/>
  <c r="N30" i="3"/>
  <c r="M30" i="3"/>
  <c r="AE30" i="3" s="1"/>
  <c r="H30" i="3"/>
  <c r="X29" i="3"/>
  <c r="W29" i="3"/>
  <c r="N29" i="3"/>
  <c r="M29" i="3"/>
  <c r="AE29" i="3" s="1"/>
  <c r="H29" i="3"/>
  <c r="X28" i="3"/>
  <c r="W28" i="3"/>
  <c r="N28" i="3"/>
  <c r="M28" i="3"/>
  <c r="AE28" i="3" s="1"/>
  <c r="H28" i="3"/>
  <c r="X27" i="3"/>
  <c r="W27" i="3"/>
  <c r="N27" i="3"/>
  <c r="M27" i="3"/>
  <c r="AE27" i="3" s="1"/>
  <c r="H27" i="3"/>
  <c r="X26" i="3"/>
  <c r="W26" i="3"/>
  <c r="N26" i="3"/>
  <c r="M26" i="3"/>
  <c r="AE26" i="3" s="1"/>
  <c r="H26" i="3"/>
  <c r="X25" i="3"/>
  <c r="W25" i="3"/>
  <c r="AE25" i="3"/>
  <c r="H25" i="3"/>
  <c r="D25" i="3"/>
  <c r="X24" i="3"/>
  <c r="W24" i="3"/>
  <c r="AE24" i="3"/>
  <c r="H24" i="3"/>
  <c r="D24" i="3"/>
  <c r="X23" i="3"/>
  <c r="W23" i="3"/>
  <c r="AE23" i="3"/>
  <c r="H23" i="3"/>
  <c r="D23" i="3"/>
  <c r="X22" i="3"/>
  <c r="W22" i="3"/>
  <c r="H22" i="3"/>
  <c r="D22" i="3"/>
  <c r="X21" i="3"/>
  <c r="W21" i="3"/>
  <c r="AE21" i="3"/>
  <c r="H21" i="3"/>
  <c r="D21" i="3"/>
  <c r="X20" i="3"/>
  <c r="W20" i="3"/>
  <c r="N20" i="3"/>
  <c r="M20" i="3"/>
  <c r="AE20" i="3" s="1"/>
  <c r="H20" i="3"/>
  <c r="D20" i="3"/>
  <c r="X19" i="3"/>
  <c r="W19" i="3"/>
  <c r="N19" i="3"/>
  <c r="M19" i="3"/>
  <c r="AE19" i="3" s="1"/>
  <c r="H19" i="3"/>
  <c r="D19" i="3"/>
  <c r="X18" i="3"/>
  <c r="W18" i="3"/>
  <c r="N18" i="3"/>
  <c r="M18" i="3"/>
  <c r="AE18" i="3" s="1"/>
  <c r="H18" i="3"/>
  <c r="D18" i="3"/>
  <c r="X17" i="3"/>
  <c r="W17" i="3"/>
  <c r="N17" i="3"/>
  <c r="M17" i="3"/>
  <c r="AE17" i="3" s="1"/>
  <c r="H17" i="3"/>
  <c r="D17" i="3"/>
  <c r="X16" i="3"/>
  <c r="W16" i="3"/>
  <c r="N16" i="3"/>
  <c r="M16" i="3"/>
  <c r="AE16" i="3" s="1"/>
  <c r="H16" i="3"/>
  <c r="D16" i="3"/>
  <c r="X15" i="3"/>
  <c r="W15" i="3"/>
  <c r="N15" i="3"/>
  <c r="M15" i="3"/>
  <c r="AE15" i="3" s="1"/>
  <c r="H15" i="3"/>
  <c r="D15" i="3"/>
  <c r="X14" i="3"/>
  <c r="W14" i="3"/>
  <c r="N14" i="3"/>
  <c r="M14" i="3"/>
  <c r="AE14" i="3" s="1"/>
  <c r="H14" i="3"/>
  <c r="X13" i="3"/>
  <c r="W13" i="3"/>
  <c r="N13" i="3"/>
  <c r="M13" i="3"/>
  <c r="AE13" i="3" s="1"/>
  <c r="H13" i="3"/>
  <c r="X11" i="3"/>
  <c r="W11" i="3"/>
  <c r="N11" i="3"/>
  <c r="M11" i="3"/>
  <c r="AE11" i="3" s="1"/>
  <c r="H11" i="3"/>
  <c r="X10" i="3"/>
  <c r="W10" i="3"/>
  <c r="N10" i="3"/>
  <c r="M10" i="3"/>
  <c r="AE10" i="3" s="1"/>
  <c r="H10" i="3"/>
  <c r="X9" i="3"/>
  <c r="W9" i="3"/>
  <c r="N9" i="3"/>
  <c r="M9" i="3"/>
  <c r="AE9" i="3" s="1"/>
  <c r="H9" i="3"/>
  <c r="X8" i="3"/>
  <c r="W8" i="3"/>
  <c r="H8" i="3"/>
  <c r="X7" i="3"/>
  <c r="W7" i="3"/>
  <c r="H7" i="3"/>
  <c r="X6" i="3"/>
  <c r="W6" i="3"/>
  <c r="H6" i="3"/>
  <c r="X5" i="3"/>
  <c r="W5" i="3"/>
  <c r="H5" i="3"/>
  <c r="X4" i="3"/>
  <c r="W4" i="3"/>
  <c r="H4" i="3"/>
  <c r="D4" i="3"/>
  <c r="AC2" i="3"/>
  <c r="AC1" i="3"/>
  <c r="CH748" i="5"/>
  <c r="CG748" i="5"/>
  <c r="BY748" i="5"/>
  <c r="BJ748" i="5"/>
  <c r="BK748" i="5" s="1"/>
  <c r="AU748" i="5"/>
  <c r="AE748" i="5"/>
  <c r="AF748" i="5" s="1"/>
  <c r="O748" i="5"/>
  <c r="N748" i="5"/>
  <c r="M748" i="5"/>
  <c r="I748" i="5"/>
  <c r="G748" i="5"/>
  <c r="H748" i="5" s="1"/>
  <c r="J748" i="5" s="1"/>
  <c r="D748" i="5"/>
  <c r="B748" i="5"/>
  <c r="A748" i="5"/>
  <c r="CH747" i="5"/>
  <c r="CG747" i="5"/>
  <c r="BY747" i="5"/>
  <c r="AU747" i="5"/>
  <c r="S747" i="5"/>
  <c r="O747" i="5"/>
  <c r="N747" i="5"/>
  <c r="M747" i="5"/>
  <c r="I747" i="5"/>
  <c r="G747" i="5"/>
  <c r="H747" i="5" s="1"/>
  <c r="J747" i="5" s="1"/>
  <c r="D747" i="5"/>
  <c r="B747" i="5"/>
  <c r="A747" i="5"/>
  <c r="CH746" i="5"/>
  <c r="CG746" i="5"/>
  <c r="BY746" i="5"/>
  <c r="BJ746" i="5"/>
  <c r="BK746" i="5" s="1"/>
  <c r="AU746" i="5"/>
  <c r="AF746" i="5"/>
  <c r="AE746" i="5"/>
  <c r="O746" i="5"/>
  <c r="N746" i="5"/>
  <c r="M746" i="5"/>
  <c r="I746" i="5"/>
  <c r="G746" i="5"/>
  <c r="H746" i="5" s="1"/>
  <c r="J746" i="5" s="1"/>
  <c r="D746" i="5"/>
  <c r="B746" i="5"/>
  <c r="A746" i="5"/>
  <c r="CH745" i="5"/>
  <c r="CG745" i="5"/>
  <c r="BY745" i="5"/>
  <c r="BJ745" i="5"/>
  <c r="BK745" i="5" s="1"/>
  <c r="AU745" i="5"/>
  <c r="AF745" i="5"/>
  <c r="AE745" i="5"/>
  <c r="P745" i="5"/>
  <c r="O745" i="5"/>
  <c r="N745" i="5"/>
  <c r="M745" i="5"/>
  <c r="I745" i="5"/>
  <c r="G745" i="5"/>
  <c r="H745" i="5" s="1"/>
  <c r="J745" i="5" s="1"/>
  <c r="S745" i="5" s="1"/>
  <c r="D745" i="5"/>
  <c r="B745" i="5"/>
  <c r="A745" i="5"/>
  <c r="CH744" i="5"/>
  <c r="CG744" i="5"/>
  <c r="BY744" i="5"/>
  <c r="BJ744" i="5"/>
  <c r="BK744" i="5" s="1"/>
  <c r="AU744" i="5"/>
  <c r="O744" i="5"/>
  <c r="N744" i="5"/>
  <c r="M744" i="5"/>
  <c r="I744" i="5"/>
  <c r="G744" i="5"/>
  <c r="H744" i="5" s="1"/>
  <c r="J744" i="5" s="1"/>
  <c r="D744" i="5"/>
  <c r="B744" i="5"/>
  <c r="AE744" i="5" s="1"/>
  <c r="AF744" i="5" s="1"/>
  <c r="A744" i="5"/>
  <c r="CH743" i="5"/>
  <c r="CG743" i="5"/>
  <c r="BY743" i="5"/>
  <c r="AU743" i="5"/>
  <c r="O743" i="5"/>
  <c r="N743" i="5"/>
  <c r="M743" i="5"/>
  <c r="J743" i="5"/>
  <c r="I743" i="5"/>
  <c r="G743" i="5"/>
  <c r="H743" i="5" s="1"/>
  <c r="D743" i="5"/>
  <c r="B743" i="5"/>
  <c r="A743" i="5"/>
  <c r="CH742" i="5"/>
  <c r="CG742" i="5"/>
  <c r="BY742" i="5"/>
  <c r="BJ742" i="5"/>
  <c r="BK742" i="5" s="1"/>
  <c r="AU742" i="5"/>
  <c r="AE742" i="5"/>
  <c r="AF742" i="5" s="1"/>
  <c r="O742" i="5"/>
  <c r="N742" i="5"/>
  <c r="M742" i="5"/>
  <c r="I742" i="5"/>
  <c r="D742" i="5"/>
  <c r="B742" i="5"/>
  <c r="G742" i="5" s="1"/>
  <c r="H742" i="5" s="1"/>
  <c r="J742" i="5" s="1"/>
  <c r="A742" i="5"/>
  <c r="CH741" i="5"/>
  <c r="CG741" i="5"/>
  <c r="BY741" i="5"/>
  <c r="AU741" i="5"/>
  <c r="O741" i="5"/>
  <c r="N741" i="5"/>
  <c r="M741" i="5"/>
  <c r="I741" i="5"/>
  <c r="D741" i="5"/>
  <c r="B741" i="5"/>
  <c r="A741" i="5"/>
  <c r="CH740" i="5"/>
  <c r="CG740" i="5"/>
  <c r="BY740" i="5"/>
  <c r="AU740" i="5"/>
  <c r="O740" i="5"/>
  <c r="N740" i="5"/>
  <c r="M740" i="5"/>
  <c r="I740" i="5"/>
  <c r="D740" i="5"/>
  <c r="B740" i="5"/>
  <c r="A740" i="5"/>
  <c r="CH739" i="5"/>
  <c r="CG739" i="5"/>
  <c r="BY739" i="5"/>
  <c r="AU739" i="5"/>
  <c r="O739" i="5"/>
  <c r="N739" i="5"/>
  <c r="M739" i="5"/>
  <c r="I739" i="5"/>
  <c r="D739" i="5"/>
  <c r="B739" i="5"/>
  <c r="A739" i="5"/>
  <c r="CH738" i="5"/>
  <c r="CG738" i="5"/>
  <c r="BY738" i="5"/>
  <c r="BJ738" i="5"/>
  <c r="BK738" i="5" s="1"/>
  <c r="AU738" i="5"/>
  <c r="AF738" i="5"/>
  <c r="O738" i="5"/>
  <c r="N738" i="5"/>
  <c r="M738" i="5"/>
  <c r="I738" i="5"/>
  <c r="H738" i="5"/>
  <c r="J738" i="5" s="1"/>
  <c r="G738" i="5"/>
  <c r="D738" i="5"/>
  <c r="B738" i="5"/>
  <c r="AE738" i="5" s="1"/>
  <c r="A738" i="5"/>
  <c r="CH737" i="5"/>
  <c r="CG737" i="5"/>
  <c r="BY737" i="5"/>
  <c r="AU737" i="5"/>
  <c r="O737" i="5"/>
  <c r="N737" i="5"/>
  <c r="M737" i="5"/>
  <c r="I737" i="5"/>
  <c r="D737" i="5"/>
  <c r="B737" i="5"/>
  <c r="A737" i="5"/>
  <c r="CH736" i="5"/>
  <c r="CG736" i="5"/>
  <c r="BY736" i="5"/>
  <c r="AU736" i="5"/>
  <c r="AF736" i="5"/>
  <c r="AE736" i="5"/>
  <c r="O736" i="5"/>
  <c r="N736" i="5"/>
  <c r="M736" i="5"/>
  <c r="I736" i="5"/>
  <c r="H736" i="5"/>
  <c r="J736" i="5" s="1"/>
  <c r="G736" i="5"/>
  <c r="D736" i="5"/>
  <c r="B736" i="5"/>
  <c r="BJ736" i="5" s="1"/>
  <c r="BK736" i="5" s="1"/>
  <c r="A736" i="5"/>
  <c r="CH735" i="5"/>
  <c r="CG735" i="5"/>
  <c r="BY735" i="5"/>
  <c r="AU735" i="5"/>
  <c r="O735" i="5"/>
  <c r="N735" i="5"/>
  <c r="M735" i="5"/>
  <c r="I735" i="5"/>
  <c r="G735" i="5"/>
  <c r="H735" i="5" s="1"/>
  <c r="J735" i="5" s="1"/>
  <c r="D735" i="5"/>
  <c r="B735" i="5"/>
  <c r="A735" i="5"/>
  <c r="CH734" i="5"/>
  <c r="CG734" i="5"/>
  <c r="BY734" i="5"/>
  <c r="AU734" i="5"/>
  <c r="O734" i="5"/>
  <c r="N734" i="5"/>
  <c r="M734" i="5"/>
  <c r="I734" i="5"/>
  <c r="D734" i="5"/>
  <c r="B734" i="5"/>
  <c r="A734" i="5"/>
  <c r="CH733" i="5"/>
  <c r="CG733" i="5"/>
  <c r="BY733" i="5"/>
  <c r="BK733" i="5"/>
  <c r="AU733" i="5"/>
  <c r="AE733" i="5"/>
  <c r="AF733" i="5" s="1"/>
  <c r="O733" i="5"/>
  <c r="N733" i="5"/>
  <c r="M733" i="5"/>
  <c r="I733" i="5"/>
  <c r="G733" i="5"/>
  <c r="H733" i="5" s="1"/>
  <c r="J733" i="5" s="1"/>
  <c r="D733" i="5"/>
  <c r="B733" i="5"/>
  <c r="BJ733" i="5" s="1"/>
  <c r="A733" i="5"/>
  <c r="CH732" i="5"/>
  <c r="CG732" i="5"/>
  <c r="BY732" i="5"/>
  <c r="AU732" i="5"/>
  <c r="O732" i="5"/>
  <c r="N732" i="5"/>
  <c r="M732" i="5"/>
  <c r="I732" i="5"/>
  <c r="D732" i="5"/>
  <c r="B732" i="5"/>
  <c r="A732" i="5"/>
  <c r="CH731" i="5"/>
  <c r="CG731" i="5"/>
  <c r="BY731" i="5"/>
  <c r="AU731" i="5"/>
  <c r="AE731" i="5"/>
  <c r="AF731" i="5" s="1"/>
  <c r="O731" i="5"/>
  <c r="N731" i="5"/>
  <c r="M731" i="5"/>
  <c r="I731" i="5"/>
  <c r="D731" i="5"/>
  <c r="B731" i="5"/>
  <c r="A731" i="5"/>
  <c r="CH730" i="5"/>
  <c r="CG730" i="5"/>
  <c r="BY730" i="5"/>
  <c r="BJ730" i="5"/>
  <c r="BK730" i="5" s="1"/>
  <c r="AU730" i="5"/>
  <c r="AF730" i="5"/>
  <c r="O730" i="5"/>
  <c r="N730" i="5"/>
  <c r="M730" i="5"/>
  <c r="I730" i="5"/>
  <c r="G730" i="5"/>
  <c r="H730" i="5" s="1"/>
  <c r="J730" i="5" s="1"/>
  <c r="D730" i="5"/>
  <c r="B730" i="5"/>
  <c r="AE730" i="5" s="1"/>
  <c r="A730" i="5"/>
  <c r="CH729" i="5"/>
  <c r="CG729" i="5"/>
  <c r="BY729" i="5"/>
  <c r="AU729" i="5"/>
  <c r="O729" i="5"/>
  <c r="N729" i="5"/>
  <c r="M729" i="5"/>
  <c r="I729" i="5"/>
  <c r="D729" i="5"/>
  <c r="B729" i="5"/>
  <c r="A729" i="5"/>
  <c r="CH728" i="5"/>
  <c r="CG728" i="5"/>
  <c r="BY728" i="5"/>
  <c r="BK728" i="5"/>
  <c r="AU728" i="5"/>
  <c r="AF728" i="5"/>
  <c r="AE728" i="5"/>
  <c r="O728" i="5"/>
  <c r="N728" i="5"/>
  <c r="M728" i="5"/>
  <c r="J728" i="5"/>
  <c r="I728" i="5"/>
  <c r="H728" i="5"/>
  <c r="G728" i="5"/>
  <c r="D728" i="5"/>
  <c r="B728" i="5"/>
  <c r="BJ728" i="5" s="1"/>
  <c r="A728" i="5"/>
  <c r="CH727" i="5"/>
  <c r="CG727" i="5"/>
  <c r="BY727" i="5"/>
  <c r="AU727" i="5"/>
  <c r="O727" i="5"/>
  <c r="N727" i="5"/>
  <c r="M727" i="5"/>
  <c r="I727" i="5"/>
  <c r="G727" i="5"/>
  <c r="H727" i="5" s="1"/>
  <c r="J727" i="5" s="1"/>
  <c r="D727" i="5"/>
  <c r="B727" i="5"/>
  <c r="A727" i="5"/>
  <c r="CH726" i="5"/>
  <c r="CG726" i="5"/>
  <c r="BY726" i="5"/>
  <c r="AU726" i="5"/>
  <c r="O726" i="5"/>
  <c r="N726" i="5"/>
  <c r="M726" i="5"/>
  <c r="I726" i="5"/>
  <c r="D726" i="5"/>
  <c r="B726" i="5"/>
  <c r="A726" i="5"/>
  <c r="CH725" i="5"/>
  <c r="CG725" i="5"/>
  <c r="BY725" i="5"/>
  <c r="BJ725" i="5"/>
  <c r="BK725" i="5" s="1"/>
  <c r="AU725" i="5"/>
  <c r="AE725" i="5"/>
  <c r="AF725" i="5" s="1"/>
  <c r="O725" i="5"/>
  <c r="N725" i="5"/>
  <c r="M725" i="5"/>
  <c r="I725" i="5"/>
  <c r="G725" i="5"/>
  <c r="H725" i="5" s="1"/>
  <c r="J725" i="5" s="1"/>
  <c r="D725" i="5"/>
  <c r="B725" i="5"/>
  <c r="A725" i="5"/>
  <c r="CH724" i="5"/>
  <c r="CG724" i="5"/>
  <c r="BY724" i="5"/>
  <c r="BJ724" i="5"/>
  <c r="BK724" i="5" s="1"/>
  <c r="AU724" i="5"/>
  <c r="AE724" i="5"/>
  <c r="AF724" i="5" s="1"/>
  <c r="O724" i="5"/>
  <c r="N724" i="5"/>
  <c r="M724" i="5"/>
  <c r="I724" i="5"/>
  <c r="D724" i="5"/>
  <c r="B724" i="5"/>
  <c r="G724" i="5" s="1"/>
  <c r="H724" i="5" s="1"/>
  <c r="J724" i="5" s="1"/>
  <c r="A724" i="5"/>
  <c r="CH723" i="5"/>
  <c r="CG723" i="5"/>
  <c r="BY723" i="5"/>
  <c r="AU723" i="5"/>
  <c r="O723" i="5"/>
  <c r="N723" i="5"/>
  <c r="M723" i="5"/>
  <c r="I723" i="5"/>
  <c r="D723" i="5"/>
  <c r="B723" i="5"/>
  <c r="A723" i="5"/>
  <c r="CH722" i="5"/>
  <c r="CG722" i="5"/>
  <c r="BY722" i="5"/>
  <c r="AU722" i="5"/>
  <c r="O722" i="5"/>
  <c r="N722" i="5"/>
  <c r="M722" i="5"/>
  <c r="I722" i="5"/>
  <c r="D722" i="5"/>
  <c r="B722" i="5"/>
  <c r="A722" i="5"/>
  <c r="CH721" i="5"/>
  <c r="CG721" i="5"/>
  <c r="BY721" i="5"/>
  <c r="AU721" i="5"/>
  <c r="AF721" i="5"/>
  <c r="AE721" i="5"/>
  <c r="O721" i="5"/>
  <c r="N721" i="5"/>
  <c r="M721" i="5"/>
  <c r="I721" i="5"/>
  <c r="G721" i="5"/>
  <c r="H721" i="5" s="1"/>
  <c r="J721" i="5" s="1"/>
  <c r="D721" i="5"/>
  <c r="B721" i="5"/>
  <c r="BJ721" i="5" s="1"/>
  <c r="BK721" i="5" s="1"/>
  <c r="A721" i="5"/>
  <c r="CH720" i="5"/>
  <c r="CG720" i="5"/>
  <c r="BY720" i="5"/>
  <c r="BK720" i="5"/>
  <c r="AU720" i="5"/>
  <c r="AE720" i="5"/>
  <c r="AF720" i="5" s="1"/>
  <c r="P720" i="5"/>
  <c r="O720" i="5"/>
  <c r="N720" i="5"/>
  <c r="M720" i="5"/>
  <c r="I720" i="5"/>
  <c r="G720" i="5"/>
  <c r="H720" i="5" s="1"/>
  <c r="J720" i="5" s="1"/>
  <c r="D720" i="5"/>
  <c r="B720" i="5"/>
  <c r="BJ720" i="5" s="1"/>
  <c r="A720" i="5"/>
  <c r="CH719" i="5"/>
  <c r="CG719" i="5"/>
  <c r="BY719" i="5"/>
  <c r="AU719" i="5"/>
  <c r="O719" i="5"/>
  <c r="N719" i="5"/>
  <c r="M719" i="5"/>
  <c r="I719" i="5"/>
  <c r="D719" i="5"/>
  <c r="B719" i="5"/>
  <c r="A719" i="5"/>
  <c r="CH718" i="5"/>
  <c r="BY718" i="5"/>
  <c r="AU718" i="5"/>
  <c r="O718" i="5"/>
  <c r="N718" i="5"/>
  <c r="M718" i="5"/>
  <c r="I718" i="5"/>
  <c r="D718" i="5"/>
  <c r="B718" i="5"/>
  <c r="A718" i="5"/>
  <c r="CH717" i="5"/>
  <c r="CG717" i="5"/>
  <c r="BY717" i="5"/>
  <c r="AU717" i="5"/>
  <c r="O717" i="5"/>
  <c r="N717" i="5"/>
  <c r="M717" i="5"/>
  <c r="I717" i="5"/>
  <c r="D717" i="5"/>
  <c r="B717" i="5"/>
  <c r="A717" i="5"/>
  <c r="CH716" i="5"/>
  <c r="CG716" i="5"/>
  <c r="BY716" i="5"/>
  <c r="AU716" i="5"/>
  <c r="AF716" i="5"/>
  <c r="AE716" i="5"/>
  <c r="O716" i="5"/>
  <c r="N716" i="5"/>
  <c r="M716" i="5"/>
  <c r="J716" i="5"/>
  <c r="I716" i="5"/>
  <c r="H716" i="5"/>
  <c r="D716" i="5"/>
  <c r="B716" i="5"/>
  <c r="G716" i="5" s="1"/>
  <c r="A716" i="5"/>
  <c r="CH715" i="5"/>
  <c r="CG715" i="5"/>
  <c r="BY715" i="5"/>
  <c r="BJ715" i="5"/>
  <c r="BK715" i="5" s="1"/>
  <c r="AU715" i="5"/>
  <c r="AE715" i="5"/>
  <c r="AF715" i="5" s="1"/>
  <c r="P715" i="5"/>
  <c r="O715" i="5"/>
  <c r="N715" i="5"/>
  <c r="M715" i="5"/>
  <c r="I715" i="5"/>
  <c r="G715" i="5"/>
  <c r="H715" i="5" s="1"/>
  <c r="J715" i="5" s="1"/>
  <c r="D715" i="5"/>
  <c r="B715" i="5"/>
  <c r="A715" i="5"/>
  <c r="CH714" i="5"/>
  <c r="CG714" i="5"/>
  <c r="BY714" i="5"/>
  <c r="BK714" i="5"/>
  <c r="BJ714" i="5"/>
  <c r="AU714" i="5"/>
  <c r="AF714" i="5"/>
  <c r="S714" i="5"/>
  <c r="P714" i="5"/>
  <c r="O714" i="5"/>
  <c r="N714" i="5"/>
  <c r="M714" i="5"/>
  <c r="I714" i="5"/>
  <c r="H714" i="5"/>
  <c r="J714" i="5" s="1"/>
  <c r="G714" i="5"/>
  <c r="D714" i="5"/>
  <c r="B714" i="5"/>
  <c r="AE714" i="5" s="1"/>
  <c r="A714" i="5"/>
  <c r="CH713" i="5"/>
  <c r="CG713" i="5"/>
  <c r="BY713" i="5"/>
  <c r="BJ713" i="5"/>
  <c r="BK713" i="5" s="1"/>
  <c r="AU713" i="5"/>
  <c r="AF713" i="5"/>
  <c r="AE713" i="5"/>
  <c r="O713" i="5"/>
  <c r="N713" i="5"/>
  <c r="M713" i="5"/>
  <c r="J713" i="5"/>
  <c r="I713" i="5"/>
  <c r="G713" i="5"/>
  <c r="H713" i="5" s="1"/>
  <c r="D713" i="5"/>
  <c r="B713" i="5"/>
  <c r="A713" i="5"/>
  <c r="CH712" i="5"/>
  <c r="CG712" i="5"/>
  <c r="BY712" i="5"/>
  <c r="BJ712" i="5"/>
  <c r="BK712" i="5" s="1"/>
  <c r="AU712" i="5"/>
  <c r="AE712" i="5"/>
  <c r="AF712" i="5" s="1"/>
  <c r="P712" i="5"/>
  <c r="O712" i="5"/>
  <c r="N712" i="5"/>
  <c r="M712" i="5"/>
  <c r="I712" i="5"/>
  <c r="G712" i="5"/>
  <c r="H712" i="5" s="1"/>
  <c r="J712" i="5" s="1"/>
  <c r="D712" i="5"/>
  <c r="B712" i="5"/>
  <c r="A712" i="5"/>
  <c r="CH711" i="5"/>
  <c r="CG711" i="5"/>
  <c r="BY711" i="5"/>
  <c r="BK711" i="5"/>
  <c r="BJ711" i="5"/>
  <c r="AU711" i="5"/>
  <c r="AF711" i="5"/>
  <c r="O711" i="5"/>
  <c r="N711" i="5"/>
  <c r="M711" i="5"/>
  <c r="I711" i="5"/>
  <c r="G711" i="5"/>
  <c r="H711" i="5" s="1"/>
  <c r="J711" i="5" s="1"/>
  <c r="D711" i="5"/>
  <c r="B711" i="5"/>
  <c r="AE711" i="5" s="1"/>
  <c r="A711" i="5"/>
  <c r="CH710" i="5"/>
  <c r="CG710" i="5"/>
  <c r="BY710" i="5"/>
  <c r="BJ710" i="5"/>
  <c r="BK710" i="5" s="1"/>
  <c r="AU710" i="5"/>
  <c r="AE710" i="5"/>
  <c r="AF710" i="5" s="1"/>
  <c r="O710" i="5"/>
  <c r="N710" i="5"/>
  <c r="M710" i="5"/>
  <c r="I710" i="5"/>
  <c r="G710" i="5"/>
  <c r="H710" i="5" s="1"/>
  <c r="J710" i="5" s="1"/>
  <c r="D710" i="5"/>
  <c r="B710" i="5"/>
  <c r="A710" i="5"/>
  <c r="CH709" i="5"/>
  <c r="CG709" i="5"/>
  <c r="BY709" i="5"/>
  <c r="AU709" i="5"/>
  <c r="O709" i="5"/>
  <c r="N709" i="5"/>
  <c r="M709" i="5"/>
  <c r="I709" i="5"/>
  <c r="H709" i="5"/>
  <c r="J709" i="5" s="1"/>
  <c r="D709" i="5"/>
  <c r="B709" i="5"/>
  <c r="G709" i="5" s="1"/>
  <c r="A709" i="5"/>
  <c r="CH708" i="5"/>
  <c r="CG708" i="5"/>
  <c r="BY708" i="5"/>
  <c r="BJ708" i="5"/>
  <c r="BK708" i="5" s="1"/>
  <c r="AU708" i="5"/>
  <c r="AE708" i="5"/>
  <c r="AF708" i="5" s="1"/>
  <c r="S708" i="5"/>
  <c r="O708" i="5"/>
  <c r="N708" i="5"/>
  <c r="M708" i="5"/>
  <c r="I708" i="5"/>
  <c r="H708" i="5"/>
  <c r="J708" i="5" s="1"/>
  <c r="P708" i="5" s="1"/>
  <c r="G708" i="5"/>
  <c r="D708" i="5"/>
  <c r="B708" i="5"/>
  <c r="A708" i="5"/>
  <c r="CH707" i="5"/>
  <c r="CG707" i="5"/>
  <c r="BY707" i="5"/>
  <c r="BK707" i="5"/>
  <c r="AU707" i="5"/>
  <c r="AF707" i="5"/>
  <c r="AE707" i="5"/>
  <c r="O707" i="5"/>
  <c r="N707" i="5"/>
  <c r="M707" i="5"/>
  <c r="J707" i="5"/>
  <c r="I707" i="5"/>
  <c r="G707" i="5"/>
  <c r="H707" i="5" s="1"/>
  <c r="D707" i="5"/>
  <c r="B707" i="5"/>
  <c r="BJ707" i="5" s="1"/>
  <c r="A707" i="5"/>
  <c r="CH706" i="5"/>
  <c r="CG706" i="5"/>
  <c r="BY706" i="5"/>
  <c r="AU706" i="5"/>
  <c r="O706" i="5"/>
  <c r="N706" i="5"/>
  <c r="M706" i="5"/>
  <c r="I706" i="5"/>
  <c r="D706" i="5"/>
  <c r="B706" i="5"/>
  <c r="A706" i="5"/>
  <c r="CH705" i="5"/>
  <c r="CG705" i="5"/>
  <c r="BY705" i="5"/>
  <c r="BK705" i="5"/>
  <c r="BJ705" i="5"/>
  <c r="AU705" i="5"/>
  <c r="AF705" i="5"/>
  <c r="AE705" i="5"/>
  <c r="O705" i="5"/>
  <c r="N705" i="5"/>
  <c r="M705" i="5"/>
  <c r="I705" i="5"/>
  <c r="H705" i="5"/>
  <c r="J705" i="5" s="1"/>
  <c r="G705" i="5"/>
  <c r="D705" i="5"/>
  <c r="B705" i="5"/>
  <c r="A705" i="5"/>
  <c r="CH704" i="5"/>
  <c r="CG704" i="5"/>
  <c r="BY704" i="5"/>
  <c r="AU704" i="5"/>
  <c r="AF704" i="5"/>
  <c r="AE704" i="5"/>
  <c r="O704" i="5"/>
  <c r="N704" i="5"/>
  <c r="M704" i="5"/>
  <c r="I704" i="5"/>
  <c r="G704" i="5"/>
  <c r="H704" i="5" s="1"/>
  <c r="J704" i="5" s="1"/>
  <c r="D704" i="5"/>
  <c r="B704" i="5"/>
  <c r="BJ704" i="5" s="1"/>
  <c r="BK704" i="5" s="1"/>
  <c r="A704" i="5"/>
  <c r="CH703" i="5"/>
  <c r="CG703" i="5"/>
  <c r="BY703" i="5"/>
  <c r="AU703" i="5"/>
  <c r="O703" i="5"/>
  <c r="N703" i="5"/>
  <c r="M703" i="5"/>
  <c r="I703" i="5"/>
  <c r="D703" i="5"/>
  <c r="B703" i="5"/>
  <c r="A703" i="5"/>
  <c r="CH702" i="5"/>
  <c r="CG702" i="5"/>
  <c r="BY702" i="5"/>
  <c r="BK702" i="5"/>
  <c r="BJ702" i="5"/>
  <c r="AU702" i="5"/>
  <c r="AE702" i="5"/>
  <c r="AF702" i="5" s="1"/>
  <c r="S702" i="5"/>
  <c r="O702" i="5"/>
  <c r="N702" i="5"/>
  <c r="M702" i="5"/>
  <c r="J702" i="5"/>
  <c r="P702" i="5" s="1"/>
  <c r="I702" i="5"/>
  <c r="H702" i="5"/>
  <c r="G702" i="5"/>
  <c r="D702" i="5"/>
  <c r="B702" i="5"/>
  <c r="A702" i="5"/>
  <c r="CH701" i="5"/>
  <c r="CG701" i="5"/>
  <c r="BY701" i="5"/>
  <c r="AU701" i="5"/>
  <c r="O701" i="5"/>
  <c r="N701" i="5"/>
  <c r="M701" i="5"/>
  <c r="I701" i="5"/>
  <c r="D701" i="5"/>
  <c r="B701" i="5"/>
  <c r="A701" i="5"/>
  <c r="CH700" i="5"/>
  <c r="CG700" i="5"/>
  <c r="BY700" i="5"/>
  <c r="AU700" i="5"/>
  <c r="AE700" i="5"/>
  <c r="AF700" i="5" s="1"/>
  <c r="O700" i="5"/>
  <c r="N700" i="5"/>
  <c r="M700" i="5"/>
  <c r="I700" i="5"/>
  <c r="D700" i="5"/>
  <c r="B700" i="5"/>
  <c r="A700" i="5"/>
  <c r="CH699" i="5"/>
  <c r="CG699" i="5"/>
  <c r="BY699" i="5"/>
  <c r="BJ699" i="5"/>
  <c r="BK699" i="5" s="1"/>
  <c r="AU699" i="5"/>
  <c r="AE699" i="5"/>
  <c r="AF699" i="5" s="1"/>
  <c r="O699" i="5"/>
  <c r="N699" i="5"/>
  <c r="M699" i="5"/>
  <c r="J699" i="5"/>
  <c r="I699" i="5"/>
  <c r="H699" i="5"/>
  <c r="G699" i="5"/>
  <c r="D699" i="5"/>
  <c r="B699" i="5"/>
  <c r="A699" i="5"/>
  <c r="CH698" i="5"/>
  <c r="CG698" i="5"/>
  <c r="BY698" i="5"/>
  <c r="BJ698" i="5"/>
  <c r="BK698" i="5" s="1"/>
  <c r="AU698" i="5"/>
  <c r="AF698" i="5"/>
  <c r="O698" i="5"/>
  <c r="N698" i="5"/>
  <c r="M698" i="5"/>
  <c r="I698" i="5"/>
  <c r="G698" i="5"/>
  <c r="H698" i="5" s="1"/>
  <c r="J698" i="5" s="1"/>
  <c r="D698" i="5"/>
  <c r="B698" i="5"/>
  <c r="AE698" i="5" s="1"/>
  <c r="A698" i="5"/>
  <c r="CH697" i="5"/>
  <c r="CG697" i="5"/>
  <c r="BY697" i="5"/>
  <c r="AU697" i="5"/>
  <c r="AF697" i="5"/>
  <c r="AE697" i="5"/>
  <c r="O697" i="5"/>
  <c r="N697" i="5"/>
  <c r="M697" i="5"/>
  <c r="K697" i="5"/>
  <c r="J697" i="5"/>
  <c r="I697" i="5"/>
  <c r="H697" i="5"/>
  <c r="G697" i="5"/>
  <c r="D697" i="5"/>
  <c r="B697" i="5"/>
  <c r="BJ697" i="5" s="1"/>
  <c r="BK697" i="5" s="1"/>
  <c r="A697" i="5"/>
  <c r="CH696" i="5"/>
  <c r="CG696" i="5"/>
  <c r="BY696" i="5"/>
  <c r="BJ696" i="5"/>
  <c r="BK696" i="5" s="1"/>
  <c r="AU696" i="5"/>
  <c r="AE696" i="5"/>
  <c r="AF696" i="5" s="1"/>
  <c r="S696" i="5"/>
  <c r="O696" i="5"/>
  <c r="N696" i="5"/>
  <c r="M696" i="5"/>
  <c r="I696" i="5"/>
  <c r="G696" i="5"/>
  <c r="H696" i="5" s="1"/>
  <c r="J696" i="5" s="1"/>
  <c r="D696" i="5"/>
  <c r="B696" i="5"/>
  <c r="A696" i="5"/>
  <c r="CH695" i="5"/>
  <c r="CG695" i="5"/>
  <c r="BY695" i="5"/>
  <c r="BK695" i="5"/>
  <c r="AU695" i="5"/>
  <c r="AF695" i="5"/>
  <c r="AE695" i="5"/>
  <c r="P695" i="5"/>
  <c r="O695" i="5"/>
  <c r="N695" i="5"/>
  <c r="M695" i="5"/>
  <c r="J695" i="5"/>
  <c r="I695" i="5"/>
  <c r="G695" i="5"/>
  <c r="H695" i="5" s="1"/>
  <c r="D695" i="5"/>
  <c r="B695" i="5"/>
  <c r="BJ695" i="5" s="1"/>
  <c r="A695" i="5"/>
  <c r="CH694" i="5"/>
  <c r="CG694" i="5"/>
  <c r="BY694" i="5"/>
  <c r="AU694" i="5"/>
  <c r="AE694" i="5"/>
  <c r="AF694" i="5" s="1"/>
  <c r="O694" i="5"/>
  <c r="N694" i="5"/>
  <c r="M694" i="5"/>
  <c r="I694" i="5"/>
  <c r="G694" i="5"/>
  <c r="H694" i="5" s="1"/>
  <c r="J694" i="5" s="1"/>
  <c r="D694" i="5"/>
  <c r="B694" i="5"/>
  <c r="BJ694" i="5" s="1"/>
  <c r="BK694" i="5" s="1"/>
  <c r="A694" i="5"/>
  <c r="CH693" i="5"/>
  <c r="CG693" i="5"/>
  <c r="BY693" i="5"/>
  <c r="BK693" i="5"/>
  <c r="BJ693" i="5"/>
  <c r="AU693" i="5"/>
  <c r="AE693" i="5"/>
  <c r="AF693" i="5" s="1"/>
  <c r="O693" i="5"/>
  <c r="N693" i="5"/>
  <c r="M693" i="5"/>
  <c r="I693" i="5"/>
  <c r="H693" i="5"/>
  <c r="J693" i="5" s="1"/>
  <c r="G693" i="5"/>
  <c r="D693" i="5"/>
  <c r="B693" i="5"/>
  <c r="A693" i="5"/>
  <c r="CH692" i="5"/>
  <c r="CG692" i="5"/>
  <c r="BY692" i="5"/>
  <c r="AU692" i="5"/>
  <c r="AE692" i="5"/>
  <c r="AF692" i="5" s="1"/>
  <c r="S692" i="5"/>
  <c r="O692" i="5"/>
  <c r="N692" i="5"/>
  <c r="M692" i="5"/>
  <c r="I692" i="5"/>
  <c r="G692" i="5"/>
  <c r="H692" i="5" s="1"/>
  <c r="J692" i="5" s="1"/>
  <c r="D692" i="5"/>
  <c r="B692" i="5"/>
  <c r="BJ692" i="5" s="1"/>
  <c r="BK692" i="5" s="1"/>
  <c r="A692" i="5"/>
  <c r="CH691" i="5"/>
  <c r="CG691" i="5"/>
  <c r="BY691" i="5"/>
  <c r="AU691" i="5"/>
  <c r="AE691" i="5"/>
  <c r="AF691" i="5" s="1"/>
  <c r="S691" i="5"/>
  <c r="O691" i="5"/>
  <c r="N691" i="5"/>
  <c r="M691" i="5"/>
  <c r="J691" i="5"/>
  <c r="I691" i="5"/>
  <c r="G691" i="5"/>
  <c r="H691" i="5" s="1"/>
  <c r="D691" i="5"/>
  <c r="B691" i="5"/>
  <c r="BJ691" i="5" s="1"/>
  <c r="BK691" i="5" s="1"/>
  <c r="A691" i="5"/>
  <c r="CH690" i="5"/>
  <c r="BY690" i="5"/>
  <c r="BK690" i="5"/>
  <c r="AU690" i="5"/>
  <c r="AE690" i="5"/>
  <c r="AF690" i="5" s="1"/>
  <c r="O690" i="5"/>
  <c r="N690" i="5"/>
  <c r="M690" i="5"/>
  <c r="I690" i="5"/>
  <c r="G690" i="5"/>
  <c r="H690" i="5" s="1"/>
  <c r="J690" i="5" s="1"/>
  <c r="D690" i="5"/>
  <c r="B690" i="5"/>
  <c r="BJ690" i="5" s="1"/>
  <c r="A690" i="5"/>
  <c r="CH689" i="5"/>
  <c r="CG689" i="5"/>
  <c r="BY689" i="5"/>
  <c r="AU689" i="5"/>
  <c r="O689" i="5"/>
  <c r="N689" i="5"/>
  <c r="M689" i="5"/>
  <c r="I689" i="5"/>
  <c r="D689" i="5"/>
  <c r="B689" i="5"/>
  <c r="A689" i="5"/>
  <c r="CH688" i="5"/>
  <c r="CG688" i="5"/>
  <c r="BY688" i="5"/>
  <c r="AU688" i="5"/>
  <c r="AF688" i="5"/>
  <c r="AE688" i="5"/>
  <c r="P688" i="5"/>
  <c r="O688" i="5"/>
  <c r="N688" i="5"/>
  <c r="M688" i="5"/>
  <c r="J688" i="5"/>
  <c r="I688" i="5"/>
  <c r="G688" i="5"/>
  <c r="H688" i="5" s="1"/>
  <c r="D688" i="5"/>
  <c r="B688" i="5"/>
  <c r="BJ688" i="5" s="1"/>
  <c r="BK688" i="5" s="1"/>
  <c r="A688" i="5"/>
  <c r="CH687" i="5"/>
  <c r="CG687" i="5"/>
  <c r="BY687" i="5"/>
  <c r="BJ687" i="5"/>
  <c r="BK687" i="5" s="1"/>
  <c r="AU687" i="5"/>
  <c r="O687" i="5"/>
  <c r="N687" i="5"/>
  <c r="M687" i="5"/>
  <c r="I687" i="5"/>
  <c r="D687" i="5"/>
  <c r="B687" i="5"/>
  <c r="AE687" i="5" s="1"/>
  <c r="AF687" i="5" s="1"/>
  <c r="A687" i="5"/>
  <c r="CH686" i="5"/>
  <c r="CG686" i="5"/>
  <c r="BY686" i="5"/>
  <c r="BJ686" i="5"/>
  <c r="BK686" i="5" s="1"/>
  <c r="AU686" i="5"/>
  <c r="O686" i="5"/>
  <c r="N686" i="5"/>
  <c r="M686" i="5"/>
  <c r="I686" i="5"/>
  <c r="D686" i="5"/>
  <c r="B686" i="5"/>
  <c r="A686" i="5"/>
  <c r="CH685" i="5"/>
  <c r="CG685" i="5"/>
  <c r="BY685" i="5"/>
  <c r="BK685" i="5"/>
  <c r="AU685" i="5"/>
  <c r="AE685" i="5"/>
  <c r="AF685" i="5" s="1"/>
  <c r="O685" i="5"/>
  <c r="N685" i="5"/>
  <c r="M685" i="5"/>
  <c r="I685" i="5"/>
  <c r="H685" i="5"/>
  <c r="J685" i="5" s="1"/>
  <c r="G685" i="5"/>
  <c r="D685" i="5"/>
  <c r="B685" i="5"/>
  <c r="BJ685" i="5" s="1"/>
  <c r="A685" i="5"/>
  <c r="CH684" i="5"/>
  <c r="CG684" i="5"/>
  <c r="BY684" i="5"/>
  <c r="BK684" i="5"/>
  <c r="BJ684" i="5"/>
  <c r="AU684" i="5"/>
  <c r="AE684" i="5"/>
  <c r="AF684" i="5" s="1"/>
  <c r="O684" i="5"/>
  <c r="N684" i="5"/>
  <c r="M684" i="5"/>
  <c r="J684" i="5"/>
  <c r="I684" i="5"/>
  <c r="G684" i="5"/>
  <c r="H684" i="5" s="1"/>
  <c r="D684" i="5"/>
  <c r="B684" i="5"/>
  <c r="A684" i="5"/>
  <c r="CH683" i="5"/>
  <c r="CG683" i="5"/>
  <c r="BY683" i="5"/>
  <c r="AU683" i="5"/>
  <c r="AE683" i="5"/>
  <c r="AF683" i="5" s="1"/>
  <c r="O683" i="5"/>
  <c r="N683" i="5"/>
  <c r="M683" i="5"/>
  <c r="I683" i="5"/>
  <c r="D683" i="5"/>
  <c r="B683" i="5"/>
  <c r="G683" i="5" s="1"/>
  <c r="H683" i="5" s="1"/>
  <c r="J683" i="5" s="1"/>
  <c r="A683" i="5"/>
  <c r="CH682" i="5"/>
  <c r="CG682" i="5"/>
  <c r="BY682" i="5"/>
  <c r="AU682" i="5"/>
  <c r="O682" i="5"/>
  <c r="N682" i="5"/>
  <c r="M682" i="5"/>
  <c r="I682" i="5"/>
  <c r="D682" i="5"/>
  <c r="B682" i="5"/>
  <c r="BJ682" i="5" s="1"/>
  <c r="BK682" i="5" s="1"/>
  <c r="A682" i="5"/>
  <c r="CH681" i="5"/>
  <c r="CG681" i="5"/>
  <c r="BY681" i="5"/>
  <c r="BJ681" i="5"/>
  <c r="BK681" i="5" s="1"/>
  <c r="AU681" i="5"/>
  <c r="AE681" i="5"/>
  <c r="AF681" i="5" s="1"/>
  <c r="O681" i="5"/>
  <c r="N681" i="5"/>
  <c r="M681" i="5"/>
  <c r="I681" i="5"/>
  <c r="G681" i="5"/>
  <c r="H681" i="5" s="1"/>
  <c r="J681" i="5" s="1"/>
  <c r="D681" i="5"/>
  <c r="B681" i="5"/>
  <c r="A681" i="5"/>
  <c r="CH680" i="5"/>
  <c r="CG680" i="5"/>
  <c r="BY680" i="5"/>
  <c r="AU680" i="5"/>
  <c r="O680" i="5"/>
  <c r="N680" i="5"/>
  <c r="M680" i="5"/>
  <c r="I680" i="5"/>
  <c r="D680" i="5"/>
  <c r="B680" i="5"/>
  <c r="A680" i="5"/>
  <c r="CH679" i="5"/>
  <c r="CG679" i="5"/>
  <c r="BY679" i="5"/>
  <c r="AU679" i="5"/>
  <c r="AF679" i="5"/>
  <c r="AE679" i="5"/>
  <c r="P679" i="5"/>
  <c r="O679" i="5"/>
  <c r="N679" i="5"/>
  <c r="M679" i="5"/>
  <c r="I679" i="5"/>
  <c r="G679" i="5"/>
  <c r="H679" i="5" s="1"/>
  <c r="J679" i="5" s="1"/>
  <c r="D679" i="5"/>
  <c r="B679" i="5"/>
  <c r="BJ679" i="5" s="1"/>
  <c r="BK679" i="5" s="1"/>
  <c r="A679" i="5"/>
  <c r="CH678" i="5"/>
  <c r="CG678" i="5"/>
  <c r="BY678" i="5"/>
  <c r="BJ678" i="5"/>
  <c r="BK678" i="5" s="1"/>
  <c r="AU678" i="5"/>
  <c r="O678" i="5"/>
  <c r="N678" i="5"/>
  <c r="M678" i="5"/>
  <c r="I678" i="5"/>
  <c r="D678" i="5"/>
  <c r="B678" i="5"/>
  <c r="A678" i="5"/>
  <c r="CH677" i="5"/>
  <c r="CG677" i="5"/>
  <c r="BY677" i="5"/>
  <c r="AU677" i="5"/>
  <c r="O677" i="5"/>
  <c r="N677" i="5"/>
  <c r="M677" i="5"/>
  <c r="I677" i="5"/>
  <c r="D677" i="5"/>
  <c r="B677" i="5"/>
  <c r="A677" i="5"/>
  <c r="CH676" i="5"/>
  <c r="CG676" i="5"/>
  <c r="BY676" i="5"/>
  <c r="AU676" i="5"/>
  <c r="O676" i="5"/>
  <c r="N676" i="5"/>
  <c r="M676" i="5"/>
  <c r="I676" i="5"/>
  <c r="D676" i="5"/>
  <c r="B676" i="5"/>
  <c r="A676" i="5"/>
  <c r="CH675" i="5"/>
  <c r="CG675" i="5"/>
  <c r="BY675" i="5"/>
  <c r="BK675" i="5"/>
  <c r="BJ675" i="5"/>
  <c r="AU675" i="5"/>
  <c r="O675" i="5"/>
  <c r="N675" i="5"/>
  <c r="M675" i="5"/>
  <c r="I675" i="5"/>
  <c r="D675" i="5"/>
  <c r="B675" i="5"/>
  <c r="AE675" i="5" s="1"/>
  <c r="AF675" i="5" s="1"/>
  <c r="A675" i="5"/>
  <c r="CH674" i="5"/>
  <c r="CG674" i="5"/>
  <c r="BY674" i="5"/>
  <c r="AU674" i="5"/>
  <c r="O674" i="5"/>
  <c r="N674" i="5"/>
  <c r="M674" i="5"/>
  <c r="I674" i="5"/>
  <c r="D674" i="5"/>
  <c r="B674" i="5"/>
  <c r="A674" i="5"/>
  <c r="CH673" i="5"/>
  <c r="CG673" i="5"/>
  <c r="BY673" i="5"/>
  <c r="AU673" i="5"/>
  <c r="O673" i="5"/>
  <c r="N673" i="5"/>
  <c r="M673" i="5"/>
  <c r="I673" i="5"/>
  <c r="G673" i="5"/>
  <c r="H673" i="5" s="1"/>
  <c r="J673" i="5" s="1"/>
  <c r="D673" i="5"/>
  <c r="B673" i="5"/>
  <c r="A673" i="5"/>
  <c r="CH672" i="5"/>
  <c r="CG672" i="5"/>
  <c r="BY672" i="5"/>
  <c r="BJ672" i="5"/>
  <c r="BK672" i="5" s="1"/>
  <c r="AU672" i="5"/>
  <c r="AE672" i="5"/>
  <c r="AF672" i="5" s="1"/>
  <c r="O672" i="5"/>
  <c r="N672" i="5"/>
  <c r="M672" i="5"/>
  <c r="I672" i="5"/>
  <c r="G672" i="5"/>
  <c r="H672" i="5" s="1"/>
  <c r="J672" i="5" s="1"/>
  <c r="D672" i="5"/>
  <c r="B672" i="5"/>
  <c r="A672" i="5"/>
  <c r="CH671" i="5"/>
  <c r="CG671" i="5"/>
  <c r="BY671" i="5"/>
  <c r="AU671" i="5"/>
  <c r="O671" i="5"/>
  <c r="N671" i="5"/>
  <c r="M671" i="5"/>
  <c r="I671" i="5"/>
  <c r="D671" i="5"/>
  <c r="B671" i="5"/>
  <c r="A671" i="5"/>
  <c r="CH670" i="5"/>
  <c r="CG670" i="5"/>
  <c r="BY670" i="5"/>
  <c r="BK670" i="5"/>
  <c r="AU670" i="5"/>
  <c r="AF670" i="5"/>
  <c r="AE670" i="5"/>
  <c r="O670" i="5"/>
  <c r="N670" i="5"/>
  <c r="M670" i="5"/>
  <c r="J670" i="5"/>
  <c r="I670" i="5"/>
  <c r="H670" i="5"/>
  <c r="G670" i="5"/>
  <c r="D670" i="5"/>
  <c r="B670" i="5"/>
  <c r="BJ670" i="5" s="1"/>
  <c r="A670" i="5"/>
  <c r="CH669" i="5"/>
  <c r="CG669" i="5"/>
  <c r="BY669" i="5"/>
  <c r="AU669" i="5"/>
  <c r="O669" i="5"/>
  <c r="N669" i="5"/>
  <c r="M669" i="5"/>
  <c r="I669" i="5"/>
  <c r="D669" i="5"/>
  <c r="B669" i="5"/>
  <c r="A669" i="5"/>
  <c r="CH668" i="5"/>
  <c r="CG668" i="5"/>
  <c r="BY668" i="5"/>
  <c r="AU668" i="5"/>
  <c r="O668" i="5"/>
  <c r="N668" i="5"/>
  <c r="M668" i="5"/>
  <c r="I668" i="5"/>
  <c r="G668" i="5"/>
  <c r="H668" i="5" s="1"/>
  <c r="J668" i="5" s="1"/>
  <c r="D668" i="5"/>
  <c r="B668" i="5"/>
  <c r="AE668" i="5" s="1"/>
  <c r="AF668" i="5" s="1"/>
  <c r="A668" i="5"/>
  <c r="CH667" i="5"/>
  <c r="CG667" i="5"/>
  <c r="BY667" i="5"/>
  <c r="BK667" i="5"/>
  <c r="BJ667" i="5"/>
  <c r="AU667" i="5"/>
  <c r="AF667" i="5"/>
  <c r="AE667" i="5"/>
  <c r="O667" i="5"/>
  <c r="N667" i="5"/>
  <c r="M667" i="5"/>
  <c r="I667" i="5"/>
  <c r="G667" i="5"/>
  <c r="H667" i="5" s="1"/>
  <c r="J667" i="5" s="1"/>
  <c r="D667" i="5"/>
  <c r="B667" i="5"/>
  <c r="A667" i="5"/>
  <c r="CH666" i="5"/>
  <c r="CG666" i="5"/>
  <c r="BY666" i="5"/>
  <c r="AU666" i="5"/>
  <c r="O666" i="5"/>
  <c r="N666" i="5"/>
  <c r="M666" i="5"/>
  <c r="I666" i="5"/>
  <c r="D666" i="5"/>
  <c r="B666" i="5"/>
  <c r="A666" i="5"/>
  <c r="CH665" i="5"/>
  <c r="CG665" i="5"/>
  <c r="BY665" i="5"/>
  <c r="AU665" i="5"/>
  <c r="O665" i="5"/>
  <c r="N665" i="5"/>
  <c r="M665" i="5"/>
  <c r="I665" i="5"/>
  <c r="D665" i="5"/>
  <c r="B665" i="5"/>
  <c r="BJ665" i="5" s="1"/>
  <c r="BK665" i="5" s="1"/>
  <c r="A665" i="5"/>
  <c r="CH664" i="5"/>
  <c r="CG664" i="5"/>
  <c r="BY664" i="5"/>
  <c r="BK664" i="5"/>
  <c r="BJ664" i="5"/>
  <c r="AU664" i="5"/>
  <c r="AE664" i="5"/>
  <c r="AF664" i="5" s="1"/>
  <c r="S664" i="5"/>
  <c r="O664" i="5"/>
  <c r="N664" i="5"/>
  <c r="M664" i="5"/>
  <c r="J664" i="5"/>
  <c r="P664" i="5" s="1"/>
  <c r="I664" i="5"/>
  <c r="G664" i="5"/>
  <c r="H664" i="5" s="1"/>
  <c r="D664" i="5"/>
  <c r="B664" i="5"/>
  <c r="A664" i="5"/>
  <c r="CH663" i="5"/>
  <c r="CG663" i="5"/>
  <c r="BY663" i="5"/>
  <c r="BK663" i="5"/>
  <c r="AU663" i="5"/>
  <c r="AF663" i="5"/>
  <c r="AE663" i="5"/>
  <c r="O663" i="5"/>
  <c r="N663" i="5"/>
  <c r="M663" i="5"/>
  <c r="I663" i="5"/>
  <c r="H663" i="5"/>
  <c r="J663" i="5" s="1"/>
  <c r="G663" i="5"/>
  <c r="D663" i="5"/>
  <c r="B663" i="5"/>
  <c r="BJ663" i="5" s="1"/>
  <c r="A663" i="5"/>
  <c r="CH662" i="5"/>
  <c r="CG662" i="5"/>
  <c r="BY662" i="5"/>
  <c r="AU662" i="5"/>
  <c r="AF662" i="5"/>
  <c r="AE662" i="5"/>
  <c r="O662" i="5"/>
  <c r="N662" i="5"/>
  <c r="M662" i="5"/>
  <c r="I662" i="5"/>
  <c r="D662" i="5"/>
  <c r="B662" i="5"/>
  <c r="BJ662" i="5" s="1"/>
  <c r="BK662" i="5" s="1"/>
  <c r="A662" i="5"/>
  <c r="CH661" i="5"/>
  <c r="CG661" i="5"/>
  <c r="BY661" i="5"/>
  <c r="BK661" i="5"/>
  <c r="BJ661" i="5"/>
  <c r="AU661" i="5"/>
  <c r="AF661" i="5"/>
  <c r="AE661" i="5"/>
  <c r="O661" i="5"/>
  <c r="N661" i="5"/>
  <c r="M661" i="5"/>
  <c r="I661" i="5"/>
  <c r="G661" i="5"/>
  <c r="H661" i="5" s="1"/>
  <c r="J661" i="5" s="1"/>
  <c r="D661" i="5"/>
  <c r="B661" i="5"/>
  <c r="A661" i="5"/>
  <c r="CH660" i="5"/>
  <c r="CG660" i="5"/>
  <c r="BY660" i="5"/>
  <c r="AU660" i="5"/>
  <c r="AE660" i="5"/>
  <c r="AF660" i="5" s="1"/>
  <c r="O660" i="5"/>
  <c r="N660" i="5"/>
  <c r="M660" i="5"/>
  <c r="I660" i="5"/>
  <c r="D660" i="5"/>
  <c r="B660" i="5"/>
  <c r="A660" i="5"/>
  <c r="CH659" i="5"/>
  <c r="BY659" i="5"/>
  <c r="BK659" i="5"/>
  <c r="AU659" i="5"/>
  <c r="AE659" i="5"/>
  <c r="AF659" i="5" s="1"/>
  <c r="S659" i="5"/>
  <c r="O659" i="5"/>
  <c r="N659" i="5"/>
  <c r="M659" i="5"/>
  <c r="J659" i="5"/>
  <c r="I659" i="5"/>
  <c r="H659" i="5"/>
  <c r="G659" i="5"/>
  <c r="D659" i="5"/>
  <c r="B659" i="5"/>
  <c r="BJ659" i="5" s="1"/>
  <c r="A659" i="5"/>
  <c r="CH658" i="5"/>
  <c r="CG658" i="5"/>
  <c r="BY658" i="5"/>
  <c r="BJ658" i="5"/>
  <c r="BK658" i="5" s="1"/>
  <c r="AU658" i="5"/>
  <c r="AF658" i="5"/>
  <c r="AE658" i="5"/>
  <c r="O658" i="5"/>
  <c r="N658" i="5"/>
  <c r="M658" i="5"/>
  <c r="I658" i="5"/>
  <c r="D658" i="5"/>
  <c r="C658" i="5"/>
  <c r="B658" i="5"/>
  <c r="G658" i="5" s="1"/>
  <c r="H658" i="5" s="1"/>
  <c r="J658" i="5" s="1"/>
  <c r="A658" i="5"/>
  <c r="CH657" i="5"/>
  <c r="CG657" i="5"/>
  <c r="BY657" i="5"/>
  <c r="AU657" i="5"/>
  <c r="AE657" i="5"/>
  <c r="AF657" i="5" s="1"/>
  <c r="O657" i="5"/>
  <c r="N657" i="5"/>
  <c r="M657" i="5"/>
  <c r="I657" i="5"/>
  <c r="D657" i="5"/>
  <c r="C657" i="5"/>
  <c r="B657" i="5"/>
  <c r="BJ657" i="5" s="1"/>
  <c r="BK657" i="5" s="1"/>
  <c r="A657" i="5"/>
  <c r="CH656" i="5"/>
  <c r="CG656" i="5"/>
  <c r="BY656" i="5"/>
  <c r="BJ656" i="5"/>
  <c r="BK656" i="5" s="1"/>
  <c r="AU656" i="5"/>
  <c r="O656" i="5"/>
  <c r="N656" i="5"/>
  <c r="M656" i="5"/>
  <c r="I656" i="5"/>
  <c r="G656" i="5"/>
  <c r="H656" i="5" s="1"/>
  <c r="J656" i="5" s="1"/>
  <c r="D656" i="5"/>
  <c r="B656" i="5"/>
  <c r="A656" i="5"/>
  <c r="CH655" i="5"/>
  <c r="CG655" i="5"/>
  <c r="BY655" i="5"/>
  <c r="AU655" i="5"/>
  <c r="O655" i="5"/>
  <c r="N655" i="5"/>
  <c r="M655" i="5"/>
  <c r="I655" i="5"/>
  <c r="D655" i="5"/>
  <c r="B655" i="5"/>
  <c r="A655" i="5"/>
  <c r="CH654" i="5"/>
  <c r="CG654" i="5"/>
  <c r="BY654" i="5"/>
  <c r="AU654" i="5"/>
  <c r="AE654" i="5"/>
  <c r="AF654" i="5" s="1"/>
  <c r="O654" i="5"/>
  <c r="N654" i="5"/>
  <c r="M654" i="5"/>
  <c r="I654" i="5"/>
  <c r="D654" i="5"/>
  <c r="C654" i="5"/>
  <c r="B654" i="5"/>
  <c r="BJ654" i="5" s="1"/>
  <c r="BK654" i="5" s="1"/>
  <c r="A654" i="5"/>
  <c r="CH653" i="5"/>
  <c r="CG653" i="5"/>
  <c r="BY653" i="5"/>
  <c r="BK653" i="5"/>
  <c r="BJ653" i="5"/>
  <c r="AU653" i="5"/>
  <c r="O653" i="5"/>
  <c r="N653" i="5"/>
  <c r="M653" i="5"/>
  <c r="J653" i="5"/>
  <c r="I653" i="5"/>
  <c r="G653" i="5"/>
  <c r="H653" i="5" s="1"/>
  <c r="D653" i="5"/>
  <c r="B653" i="5"/>
  <c r="A653" i="5"/>
  <c r="CH652" i="5"/>
  <c r="CG652" i="5"/>
  <c r="BY652" i="5"/>
  <c r="AU652" i="5"/>
  <c r="O652" i="5"/>
  <c r="N652" i="5"/>
  <c r="M652" i="5"/>
  <c r="I652" i="5"/>
  <c r="D652" i="5"/>
  <c r="B652" i="5"/>
  <c r="A652" i="5"/>
  <c r="CH651" i="5"/>
  <c r="CG651" i="5"/>
  <c r="BY651" i="5"/>
  <c r="BJ651" i="5"/>
  <c r="BK651" i="5" s="1"/>
  <c r="AU651" i="5"/>
  <c r="AE651" i="5"/>
  <c r="AF651" i="5" s="1"/>
  <c r="O651" i="5"/>
  <c r="N651" i="5"/>
  <c r="M651" i="5"/>
  <c r="J651" i="5"/>
  <c r="I651" i="5"/>
  <c r="G651" i="5"/>
  <c r="H651" i="5" s="1"/>
  <c r="D651" i="5"/>
  <c r="C651" i="5"/>
  <c r="B651" i="5"/>
  <c r="A651" i="5"/>
  <c r="CH650" i="5"/>
  <c r="CG650" i="5"/>
  <c r="BY650" i="5"/>
  <c r="AU650" i="5"/>
  <c r="O650" i="5"/>
  <c r="N650" i="5"/>
  <c r="M650" i="5"/>
  <c r="I650" i="5"/>
  <c r="D650" i="5"/>
  <c r="C650" i="5"/>
  <c r="B650" i="5"/>
  <c r="AE650" i="5" s="1"/>
  <c r="AF650" i="5" s="1"/>
  <c r="A650" i="5"/>
  <c r="CH649" i="5"/>
  <c r="CG649" i="5"/>
  <c r="BY649" i="5"/>
  <c r="BJ649" i="5"/>
  <c r="BK649" i="5" s="1"/>
  <c r="AU649" i="5"/>
  <c r="AF649" i="5"/>
  <c r="AE649" i="5"/>
  <c r="O649" i="5"/>
  <c r="N649" i="5"/>
  <c r="M649" i="5"/>
  <c r="I649" i="5"/>
  <c r="H649" i="5"/>
  <c r="J649" i="5" s="1"/>
  <c r="G649" i="5"/>
  <c r="D649" i="5"/>
  <c r="C649" i="5"/>
  <c r="B649" i="5"/>
  <c r="A649" i="5"/>
  <c r="CH648" i="5"/>
  <c r="CG648" i="5"/>
  <c r="BY648" i="5"/>
  <c r="BJ648" i="5"/>
  <c r="BK648" i="5" s="1"/>
  <c r="AU648" i="5"/>
  <c r="AF648" i="5"/>
  <c r="AE648" i="5"/>
  <c r="O648" i="5"/>
  <c r="N648" i="5"/>
  <c r="M648" i="5"/>
  <c r="I648" i="5"/>
  <c r="G648" i="5"/>
  <c r="H648" i="5" s="1"/>
  <c r="J648" i="5" s="1"/>
  <c r="D648" i="5"/>
  <c r="C648" i="5"/>
  <c r="B648" i="5"/>
  <c r="A648" i="5"/>
  <c r="CH647" i="5"/>
  <c r="CG647" i="5"/>
  <c r="BY647" i="5"/>
  <c r="BJ647" i="5"/>
  <c r="BK647" i="5" s="1"/>
  <c r="AU647" i="5"/>
  <c r="AF647" i="5"/>
  <c r="O647" i="5"/>
  <c r="N647" i="5"/>
  <c r="M647" i="5"/>
  <c r="J647" i="5"/>
  <c r="I647" i="5"/>
  <c r="H647" i="5"/>
  <c r="G647" i="5"/>
  <c r="D647" i="5"/>
  <c r="C647" i="5"/>
  <c r="B647" i="5"/>
  <c r="AE647" i="5" s="1"/>
  <c r="A647" i="5"/>
  <c r="CH646" i="5"/>
  <c r="CG646" i="5"/>
  <c r="BY646" i="5"/>
  <c r="BK646" i="5"/>
  <c r="BJ646" i="5"/>
  <c r="AU646" i="5"/>
  <c r="AF646" i="5"/>
  <c r="AE646" i="5"/>
  <c r="O646" i="5"/>
  <c r="N646" i="5"/>
  <c r="M646" i="5"/>
  <c r="J646" i="5"/>
  <c r="I646" i="5"/>
  <c r="H646" i="5"/>
  <c r="G646" i="5"/>
  <c r="D646" i="5"/>
  <c r="C646" i="5"/>
  <c r="B646" i="5"/>
  <c r="A646" i="5"/>
  <c r="CH645" i="5"/>
  <c r="CG645" i="5"/>
  <c r="BY645" i="5"/>
  <c r="BK645" i="5"/>
  <c r="AU645" i="5"/>
  <c r="AF645" i="5"/>
  <c r="AE645" i="5"/>
  <c r="O645" i="5"/>
  <c r="N645" i="5"/>
  <c r="M645" i="5"/>
  <c r="I645" i="5"/>
  <c r="G645" i="5"/>
  <c r="H645" i="5" s="1"/>
  <c r="J645" i="5" s="1"/>
  <c r="D645" i="5"/>
  <c r="C645" i="5"/>
  <c r="B645" i="5"/>
  <c r="BJ645" i="5" s="1"/>
  <c r="A645" i="5"/>
  <c r="CH644" i="5"/>
  <c r="CG644" i="5"/>
  <c r="BY644" i="5"/>
  <c r="BK644" i="5"/>
  <c r="BJ644" i="5"/>
  <c r="AU644" i="5"/>
  <c r="S644" i="5"/>
  <c r="O644" i="5"/>
  <c r="N644" i="5"/>
  <c r="M644" i="5"/>
  <c r="I644" i="5"/>
  <c r="G644" i="5"/>
  <c r="H644" i="5" s="1"/>
  <c r="J644" i="5" s="1"/>
  <c r="D644" i="5"/>
  <c r="B644" i="5"/>
  <c r="A644" i="5"/>
  <c r="CH643" i="5"/>
  <c r="CG643" i="5"/>
  <c r="BY643" i="5"/>
  <c r="BK643" i="5"/>
  <c r="BJ643" i="5"/>
  <c r="AU643" i="5"/>
  <c r="O643" i="5"/>
  <c r="N643" i="5"/>
  <c r="M643" i="5"/>
  <c r="I643" i="5"/>
  <c r="D643" i="5"/>
  <c r="B643" i="5"/>
  <c r="A643" i="5"/>
  <c r="CH642" i="5"/>
  <c r="CG642" i="5"/>
  <c r="BY642" i="5"/>
  <c r="AU642" i="5"/>
  <c r="AE642" i="5"/>
  <c r="AF642" i="5" s="1"/>
  <c r="O642" i="5"/>
  <c r="N642" i="5"/>
  <c r="M642" i="5"/>
  <c r="I642" i="5"/>
  <c r="D642" i="5"/>
  <c r="C642" i="5"/>
  <c r="B642" i="5"/>
  <c r="BJ642" i="5" s="1"/>
  <c r="BK642" i="5" s="1"/>
  <c r="A642" i="5"/>
  <c r="CH641" i="5"/>
  <c r="CG641" i="5"/>
  <c r="BY641" i="5"/>
  <c r="BJ641" i="5"/>
  <c r="BK641" i="5" s="1"/>
  <c r="AU641" i="5"/>
  <c r="O641" i="5"/>
  <c r="N641" i="5"/>
  <c r="M641" i="5"/>
  <c r="I641" i="5"/>
  <c r="D641" i="5"/>
  <c r="B641" i="5"/>
  <c r="C641" i="5" s="1"/>
  <c r="A641" i="5"/>
  <c r="CH640" i="5"/>
  <c r="CG640" i="5"/>
  <c r="BY640" i="5"/>
  <c r="BJ640" i="5"/>
  <c r="BK640" i="5" s="1"/>
  <c r="AU640" i="5"/>
  <c r="O640" i="5"/>
  <c r="N640" i="5"/>
  <c r="M640" i="5"/>
  <c r="I640" i="5"/>
  <c r="D640" i="5"/>
  <c r="B640" i="5"/>
  <c r="A640" i="5"/>
  <c r="CH639" i="5"/>
  <c r="CG639" i="5"/>
  <c r="BY639" i="5"/>
  <c r="BJ639" i="5"/>
  <c r="BK639" i="5" s="1"/>
  <c r="AU639" i="5"/>
  <c r="AE639" i="5"/>
  <c r="AF639" i="5" s="1"/>
  <c r="O639" i="5"/>
  <c r="N639" i="5"/>
  <c r="M639" i="5"/>
  <c r="I639" i="5"/>
  <c r="D639" i="5"/>
  <c r="B639" i="5"/>
  <c r="C639" i="5" s="1"/>
  <c r="A639" i="5"/>
  <c r="CH638" i="5"/>
  <c r="CG638" i="5"/>
  <c r="BY638" i="5"/>
  <c r="AU638" i="5"/>
  <c r="AE638" i="5"/>
  <c r="AF638" i="5" s="1"/>
  <c r="P638" i="5"/>
  <c r="O638" i="5"/>
  <c r="N638" i="5"/>
  <c r="M638" i="5"/>
  <c r="I638" i="5"/>
  <c r="G638" i="5"/>
  <c r="H638" i="5" s="1"/>
  <c r="J638" i="5" s="1"/>
  <c r="D638" i="5"/>
  <c r="C638" i="5"/>
  <c r="B638" i="5"/>
  <c r="BJ638" i="5" s="1"/>
  <c r="BK638" i="5" s="1"/>
  <c r="A638" i="5"/>
  <c r="CH637" i="5"/>
  <c r="CG637" i="5"/>
  <c r="BY637" i="5"/>
  <c r="BJ637" i="5"/>
  <c r="BK637" i="5" s="1"/>
  <c r="AU637" i="5"/>
  <c r="AF637" i="5"/>
  <c r="AE637" i="5"/>
  <c r="S637" i="5"/>
  <c r="O637" i="5"/>
  <c r="N637" i="5"/>
  <c r="M637" i="5"/>
  <c r="J637" i="5"/>
  <c r="I637" i="5"/>
  <c r="G637" i="5"/>
  <c r="H637" i="5" s="1"/>
  <c r="D637" i="5"/>
  <c r="C637" i="5"/>
  <c r="B637" i="5"/>
  <c r="A637" i="5"/>
  <c r="CH636" i="5"/>
  <c r="CG636" i="5"/>
  <c r="BY636" i="5"/>
  <c r="AU636" i="5"/>
  <c r="O636" i="5"/>
  <c r="N636" i="5"/>
  <c r="M636" i="5"/>
  <c r="I636" i="5"/>
  <c r="D636" i="5"/>
  <c r="B636" i="5"/>
  <c r="A636" i="5"/>
  <c r="CH635" i="5"/>
  <c r="CG635" i="5"/>
  <c r="BY635" i="5"/>
  <c r="BJ635" i="5"/>
  <c r="BK635" i="5" s="1"/>
  <c r="AU635" i="5"/>
  <c r="O635" i="5"/>
  <c r="N635" i="5"/>
  <c r="M635" i="5"/>
  <c r="I635" i="5"/>
  <c r="H635" i="5"/>
  <c r="J635" i="5" s="1"/>
  <c r="G635" i="5"/>
  <c r="D635" i="5"/>
  <c r="B635" i="5"/>
  <c r="A635" i="5"/>
  <c r="CH634" i="5"/>
  <c r="CG634" i="5"/>
  <c r="BY634" i="5"/>
  <c r="AU634" i="5"/>
  <c r="O634" i="5"/>
  <c r="N634" i="5"/>
  <c r="M634" i="5"/>
  <c r="I634" i="5"/>
  <c r="D634" i="5"/>
  <c r="B634" i="5"/>
  <c r="G634" i="5" s="1"/>
  <c r="H634" i="5" s="1"/>
  <c r="J634" i="5" s="1"/>
  <c r="A634" i="5"/>
  <c r="CH633" i="5"/>
  <c r="CG633" i="5"/>
  <c r="BY633" i="5"/>
  <c r="BK633" i="5"/>
  <c r="BJ633" i="5"/>
  <c r="AU633" i="5"/>
  <c r="AE633" i="5"/>
  <c r="AF633" i="5" s="1"/>
  <c r="O633" i="5"/>
  <c r="N633" i="5"/>
  <c r="M633" i="5"/>
  <c r="I633" i="5"/>
  <c r="G633" i="5"/>
  <c r="H633" i="5" s="1"/>
  <c r="J633" i="5" s="1"/>
  <c r="D633" i="5"/>
  <c r="C633" i="5"/>
  <c r="B633" i="5"/>
  <c r="A633" i="5"/>
  <c r="CH632" i="5"/>
  <c r="CG632" i="5"/>
  <c r="BY632" i="5"/>
  <c r="AU632" i="5"/>
  <c r="AE632" i="5"/>
  <c r="AF632" i="5" s="1"/>
  <c r="O632" i="5"/>
  <c r="N632" i="5"/>
  <c r="M632" i="5"/>
  <c r="J632" i="5"/>
  <c r="I632" i="5"/>
  <c r="G632" i="5"/>
  <c r="H632" i="5" s="1"/>
  <c r="D632" i="5"/>
  <c r="B632" i="5"/>
  <c r="C632" i="5" s="1"/>
  <c r="A632" i="5"/>
  <c r="CH631" i="5"/>
  <c r="CG631" i="5"/>
  <c r="BY631" i="5"/>
  <c r="AU631" i="5"/>
  <c r="O631" i="5"/>
  <c r="N631" i="5"/>
  <c r="M631" i="5"/>
  <c r="I631" i="5"/>
  <c r="D631" i="5"/>
  <c r="B631" i="5"/>
  <c r="A631" i="5"/>
  <c r="CH630" i="5"/>
  <c r="CG630" i="5"/>
  <c r="BY630" i="5"/>
  <c r="BJ630" i="5"/>
  <c r="BK630" i="5" s="1"/>
  <c r="AU630" i="5"/>
  <c r="AE630" i="5"/>
  <c r="AF630" i="5" s="1"/>
  <c r="O630" i="5"/>
  <c r="N630" i="5"/>
  <c r="M630" i="5"/>
  <c r="I630" i="5"/>
  <c r="H630" i="5"/>
  <c r="J630" i="5" s="1"/>
  <c r="D630" i="5"/>
  <c r="C630" i="5"/>
  <c r="B630" i="5"/>
  <c r="G630" i="5" s="1"/>
  <c r="A630" i="5"/>
  <c r="CH629" i="5"/>
  <c r="CG629" i="5"/>
  <c r="BY629" i="5"/>
  <c r="AU629" i="5"/>
  <c r="O629" i="5"/>
  <c r="N629" i="5"/>
  <c r="M629" i="5"/>
  <c r="I629" i="5"/>
  <c r="D629" i="5"/>
  <c r="B629" i="5"/>
  <c r="A629" i="5"/>
  <c r="CH628" i="5"/>
  <c r="BY628" i="5"/>
  <c r="BK628" i="5"/>
  <c r="BJ628" i="5"/>
  <c r="AU628" i="5"/>
  <c r="AE628" i="5"/>
  <c r="AF628" i="5" s="1"/>
  <c r="S628" i="5"/>
  <c r="O628" i="5"/>
  <c r="N628" i="5"/>
  <c r="M628" i="5"/>
  <c r="I628" i="5"/>
  <c r="G628" i="5"/>
  <c r="H628" i="5" s="1"/>
  <c r="J628" i="5" s="1"/>
  <c r="D628" i="5"/>
  <c r="C628" i="5"/>
  <c r="B628" i="5"/>
  <c r="A628" i="5"/>
  <c r="CH627" i="5"/>
  <c r="CG627" i="5"/>
  <c r="BY627" i="5"/>
  <c r="AU627" i="5"/>
  <c r="O627" i="5"/>
  <c r="N627" i="5"/>
  <c r="M627" i="5"/>
  <c r="I627" i="5"/>
  <c r="D627" i="5"/>
  <c r="B627" i="5"/>
  <c r="A627" i="5"/>
  <c r="CH626" i="5"/>
  <c r="CG626" i="5"/>
  <c r="BY626" i="5"/>
  <c r="AU626" i="5"/>
  <c r="O626" i="5"/>
  <c r="N626" i="5"/>
  <c r="M626" i="5"/>
  <c r="I626" i="5"/>
  <c r="D626" i="5"/>
  <c r="B626" i="5"/>
  <c r="A626" i="5"/>
  <c r="CH625" i="5"/>
  <c r="CG625" i="5"/>
  <c r="BY625" i="5"/>
  <c r="BK625" i="5"/>
  <c r="BJ625" i="5"/>
  <c r="AU625" i="5"/>
  <c r="AE625" i="5"/>
  <c r="AF625" i="5" s="1"/>
  <c r="O625" i="5"/>
  <c r="N625" i="5"/>
  <c r="M625" i="5"/>
  <c r="I625" i="5"/>
  <c r="D625" i="5"/>
  <c r="C625" i="5"/>
  <c r="B625" i="5"/>
  <c r="G625" i="5" s="1"/>
  <c r="H625" i="5" s="1"/>
  <c r="J625" i="5" s="1"/>
  <c r="A625" i="5"/>
  <c r="CH624" i="5"/>
  <c r="CG624" i="5"/>
  <c r="BY624" i="5"/>
  <c r="BK624" i="5"/>
  <c r="AU624" i="5"/>
  <c r="AE624" i="5"/>
  <c r="AF624" i="5" s="1"/>
  <c r="O624" i="5"/>
  <c r="N624" i="5"/>
  <c r="M624" i="5"/>
  <c r="J624" i="5"/>
  <c r="S624" i="5" s="1"/>
  <c r="I624" i="5"/>
  <c r="G624" i="5"/>
  <c r="H624" i="5" s="1"/>
  <c r="D624" i="5"/>
  <c r="B624" i="5"/>
  <c r="BJ624" i="5" s="1"/>
  <c r="A624" i="5"/>
  <c r="CH623" i="5"/>
  <c r="CG623" i="5"/>
  <c r="BY623" i="5"/>
  <c r="BJ623" i="5"/>
  <c r="BK623" i="5" s="1"/>
  <c r="AU623" i="5"/>
  <c r="AF623" i="5"/>
  <c r="AE623" i="5"/>
  <c r="O623" i="5"/>
  <c r="N623" i="5"/>
  <c r="M623" i="5"/>
  <c r="J623" i="5"/>
  <c r="I623" i="5"/>
  <c r="H623" i="5"/>
  <c r="G623" i="5"/>
  <c r="D623" i="5"/>
  <c r="B623" i="5"/>
  <c r="C623" i="5" s="1"/>
  <c r="A623" i="5"/>
  <c r="CH622" i="5"/>
  <c r="CG622" i="5"/>
  <c r="BY622" i="5"/>
  <c r="BK622" i="5"/>
  <c r="BJ622" i="5"/>
  <c r="AU622" i="5"/>
  <c r="AF622" i="5"/>
  <c r="AE622" i="5"/>
  <c r="P622" i="5"/>
  <c r="O622" i="5"/>
  <c r="N622" i="5"/>
  <c r="M622" i="5"/>
  <c r="I622" i="5"/>
  <c r="H622" i="5"/>
  <c r="J622" i="5" s="1"/>
  <c r="S622" i="5" s="1"/>
  <c r="D622" i="5"/>
  <c r="C622" i="5"/>
  <c r="B622" i="5"/>
  <c r="G622" i="5" s="1"/>
  <c r="A622" i="5"/>
  <c r="CH621" i="5"/>
  <c r="CG621" i="5"/>
  <c r="BY621" i="5"/>
  <c r="AU621" i="5"/>
  <c r="O621" i="5"/>
  <c r="N621" i="5"/>
  <c r="M621" i="5"/>
  <c r="I621" i="5"/>
  <c r="H621" i="5"/>
  <c r="J621" i="5" s="1"/>
  <c r="G621" i="5"/>
  <c r="D621" i="5"/>
  <c r="C621" i="5"/>
  <c r="B621" i="5"/>
  <c r="A621" i="5"/>
  <c r="CH620" i="5"/>
  <c r="CG620" i="5"/>
  <c r="BY620" i="5"/>
  <c r="BJ620" i="5"/>
  <c r="BK620" i="5" s="1"/>
  <c r="AU620" i="5"/>
  <c r="AE620" i="5"/>
  <c r="AF620" i="5" s="1"/>
  <c r="O620" i="5"/>
  <c r="N620" i="5"/>
  <c r="M620" i="5"/>
  <c r="I620" i="5"/>
  <c r="D620" i="5"/>
  <c r="C620" i="5"/>
  <c r="B620" i="5"/>
  <c r="G620" i="5" s="1"/>
  <c r="H620" i="5" s="1"/>
  <c r="J620" i="5" s="1"/>
  <c r="A620" i="5"/>
  <c r="CH619" i="5"/>
  <c r="CG619" i="5"/>
  <c r="BY619" i="5"/>
  <c r="AU619" i="5"/>
  <c r="AE619" i="5"/>
  <c r="AF619" i="5" s="1"/>
  <c r="O619" i="5"/>
  <c r="N619" i="5"/>
  <c r="M619" i="5"/>
  <c r="I619" i="5"/>
  <c r="G619" i="5"/>
  <c r="H619" i="5" s="1"/>
  <c r="J619" i="5" s="1"/>
  <c r="D619" i="5"/>
  <c r="C619" i="5"/>
  <c r="B619" i="5"/>
  <c r="BJ619" i="5" s="1"/>
  <c r="BK619" i="5" s="1"/>
  <c r="A619" i="5"/>
  <c r="CH618" i="5"/>
  <c r="CG618" i="5"/>
  <c r="BY618" i="5"/>
  <c r="AU618" i="5"/>
  <c r="O618" i="5"/>
  <c r="N618" i="5"/>
  <c r="M618" i="5"/>
  <c r="I618" i="5"/>
  <c r="G618" i="5"/>
  <c r="H618" i="5" s="1"/>
  <c r="J618" i="5" s="1"/>
  <c r="D618" i="5"/>
  <c r="B618" i="5"/>
  <c r="A618" i="5"/>
  <c r="CH617" i="5"/>
  <c r="CG617" i="5"/>
  <c r="BY617" i="5"/>
  <c r="BJ617" i="5"/>
  <c r="BK617" i="5" s="1"/>
  <c r="AU617" i="5"/>
  <c r="AF617" i="5"/>
  <c r="AE617" i="5"/>
  <c r="P617" i="5"/>
  <c r="O617" i="5"/>
  <c r="N617" i="5"/>
  <c r="M617" i="5"/>
  <c r="I617" i="5"/>
  <c r="H617" i="5"/>
  <c r="J617" i="5" s="1"/>
  <c r="S617" i="5" s="1"/>
  <c r="D617" i="5"/>
  <c r="C617" i="5"/>
  <c r="B617" i="5"/>
  <c r="G617" i="5" s="1"/>
  <c r="A617" i="5"/>
  <c r="CH616" i="5"/>
  <c r="CG616" i="5"/>
  <c r="BY616" i="5"/>
  <c r="AU616" i="5"/>
  <c r="AE616" i="5"/>
  <c r="AF616" i="5" s="1"/>
  <c r="O616" i="5"/>
  <c r="N616" i="5"/>
  <c r="M616" i="5"/>
  <c r="I616" i="5"/>
  <c r="G616" i="5"/>
  <c r="H616" i="5" s="1"/>
  <c r="J616" i="5" s="1"/>
  <c r="D616" i="5"/>
  <c r="C616" i="5"/>
  <c r="B616" i="5"/>
  <c r="BJ616" i="5" s="1"/>
  <c r="BK616" i="5" s="1"/>
  <c r="A616" i="5"/>
  <c r="CH615" i="5"/>
  <c r="CG615" i="5"/>
  <c r="BY615" i="5"/>
  <c r="AU615" i="5"/>
  <c r="O615" i="5"/>
  <c r="N615" i="5"/>
  <c r="M615" i="5"/>
  <c r="I615" i="5"/>
  <c r="D615" i="5"/>
  <c r="B615" i="5"/>
  <c r="A615" i="5"/>
  <c r="CH614" i="5"/>
  <c r="CG614" i="5"/>
  <c r="BY614" i="5"/>
  <c r="BJ614" i="5"/>
  <c r="BK614" i="5" s="1"/>
  <c r="AU614" i="5"/>
  <c r="O614" i="5"/>
  <c r="N614" i="5"/>
  <c r="M614" i="5"/>
  <c r="I614" i="5"/>
  <c r="G614" i="5"/>
  <c r="H614" i="5" s="1"/>
  <c r="J614" i="5" s="1"/>
  <c r="D614" i="5"/>
  <c r="C614" i="5"/>
  <c r="B614" i="5"/>
  <c r="AE614" i="5" s="1"/>
  <c r="AF614" i="5" s="1"/>
  <c r="A614" i="5"/>
  <c r="CH613" i="5"/>
  <c r="CG613" i="5"/>
  <c r="BY613" i="5"/>
  <c r="BJ613" i="5"/>
  <c r="BK613" i="5" s="1"/>
  <c r="AU613" i="5"/>
  <c r="O613" i="5"/>
  <c r="N613" i="5"/>
  <c r="M613" i="5"/>
  <c r="I613" i="5"/>
  <c r="D613" i="5"/>
  <c r="C613" i="5"/>
  <c r="B613" i="5"/>
  <c r="A613" i="5"/>
  <c r="CH612" i="5"/>
  <c r="CG612" i="5"/>
  <c r="BY612" i="5"/>
  <c r="AU612" i="5"/>
  <c r="O612" i="5"/>
  <c r="N612" i="5"/>
  <c r="M612" i="5"/>
  <c r="I612" i="5"/>
  <c r="D612" i="5"/>
  <c r="B612" i="5"/>
  <c r="A612" i="5"/>
  <c r="CH611" i="5"/>
  <c r="CG611" i="5"/>
  <c r="BY611" i="5"/>
  <c r="BJ611" i="5"/>
  <c r="BK611" i="5" s="1"/>
  <c r="AU611" i="5"/>
  <c r="AF611" i="5"/>
  <c r="AE611" i="5"/>
  <c r="O611" i="5"/>
  <c r="N611" i="5"/>
  <c r="M611" i="5"/>
  <c r="I611" i="5"/>
  <c r="H611" i="5"/>
  <c r="J611" i="5" s="1"/>
  <c r="G611" i="5"/>
  <c r="D611" i="5"/>
  <c r="B611" i="5"/>
  <c r="C611" i="5" s="1"/>
  <c r="A611" i="5"/>
  <c r="CH610" i="5"/>
  <c r="CG610" i="5"/>
  <c r="BY610" i="5"/>
  <c r="AU610" i="5"/>
  <c r="AE610" i="5"/>
  <c r="AF610" i="5" s="1"/>
  <c r="O610" i="5"/>
  <c r="N610" i="5"/>
  <c r="M610" i="5"/>
  <c r="I610" i="5"/>
  <c r="G610" i="5"/>
  <c r="H610" i="5" s="1"/>
  <c r="J610" i="5" s="1"/>
  <c r="D610" i="5"/>
  <c r="B610" i="5"/>
  <c r="C610" i="5" s="1"/>
  <c r="A610" i="5"/>
  <c r="CH609" i="5"/>
  <c r="CG609" i="5"/>
  <c r="BY609" i="5"/>
  <c r="BJ609" i="5"/>
  <c r="BK609" i="5" s="1"/>
  <c r="AU609" i="5"/>
  <c r="O609" i="5"/>
  <c r="N609" i="5"/>
  <c r="M609" i="5"/>
  <c r="I609" i="5"/>
  <c r="H609" i="5"/>
  <c r="J609" i="5" s="1"/>
  <c r="S609" i="5" s="1"/>
  <c r="G609" i="5"/>
  <c r="D609" i="5"/>
  <c r="C609" i="5"/>
  <c r="B609" i="5"/>
  <c r="AE609" i="5" s="1"/>
  <c r="AF609" i="5" s="1"/>
  <c r="A609" i="5"/>
  <c r="CH608" i="5"/>
  <c r="CG608" i="5"/>
  <c r="BY608" i="5"/>
  <c r="BK608" i="5"/>
  <c r="BJ608" i="5"/>
  <c r="AU608" i="5"/>
  <c r="AE608" i="5"/>
  <c r="AF608" i="5" s="1"/>
  <c r="O608" i="5"/>
  <c r="N608" i="5"/>
  <c r="M608" i="5"/>
  <c r="J608" i="5"/>
  <c r="I608" i="5"/>
  <c r="H608" i="5"/>
  <c r="G608" i="5"/>
  <c r="D608" i="5"/>
  <c r="C608" i="5"/>
  <c r="B608" i="5"/>
  <c r="A608" i="5"/>
  <c r="CH607" i="5"/>
  <c r="CG607" i="5"/>
  <c r="BY607" i="5"/>
  <c r="BK607" i="5"/>
  <c r="AU607" i="5"/>
  <c r="AE607" i="5"/>
  <c r="AF607" i="5" s="1"/>
  <c r="O607" i="5"/>
  <c r="N607" i="5"/>
  <c r="M607" i="5"/>
  <c r="I607" i="5"/>
  <c r="H607" i="5"/>
  <c r="J607" i="5" s="1"/>
  <c r="G607" i="5"/>
  <c r="D607" i="5"/>
  <c r="C607" i="5"/>
  <c r="B607" i="5"/>
  <c r="BJ607" i="5" s="1"/>
  <c r="A607" i="5"/>
  <c r="CH606" i="5"/>
  <c r="CG606" i="5"/>
  <c r="BY606" i="5"/>
  <c r="AU606" i="5"/>
  <c r="AF606" i="5"/>
  <c r="O606" i="5"/>
  <c r="N606" i="5"/>
  <c r="M606" i="5"/>
  <c r="I606" i="5"/>
  <c r="D606" i="5"/>
  <c r="C606" i="5"/>
  <c r="B606" i="5"/>
  <c r="AE606" i="5" s="1"/>
  <c r="A606" i="5"/>
  <c r="CH605" i="5"/>
  <c r="CG605" i="5"/>
  <c r="BY605" i="5"/>
  <c r="BJ605" i="5"/>
  <c r="BK605" i="5" s="1"/>
  <c r="AU605" i="5"/>
  <c r="O605" i="5"/>
  <c r="N605" i="5"/>
  <c r="M605" i="5"/>
  <c r="I605" i="5"/>
  <c r="D605" i="5"/>
  <c r="C605" i="5"/>
  <c r="B605" i="5"/>
  <c r="AE605" i="5" s="1"/>
  <c r="AF605" i="5" s="1"/>
  <c r="A605" i="5"/>
  <c r="CH604" i="5"/>
  <c r="CG604" i="5"/>
  <c r="BY604" i="5"/>
  <c r="BJ604" i="5"/>
  <c r="BK604" i="5" s="1"/>
  <c r="AU604" i="5"/>
  <c r="AF604" i="5"/>
  <c r="AE604" i="5"/>
  <c r="O604" i="5"/>
  <c r="N604" i="5"/>
  <c r="M604" i="5"/>
  <c r="J604" i="5"/>
  <c r="I604" i="5"/>
  <c r="H604" i="5"/>
  <c r="G604" i="5"/>
  <c r="D604" i="5"/>
  <c r="C604" i="5"/>
  <c r="B604" i="5"/>
  <c r="A604" i="5"/>
  <c r="CH603" i="5"/>
  <c r="CG603" i="5"/>
  <c r="BY603" i="5"/>
  <c r="BK603" i="5"/>
  <c r="AU603" i="5"/>
  <c r="AF603" i="5"/>
  <c r="AE603" i="5"/>
  <c r="O603" i="5"/>
  <c r="N603" i="5"/>
  <c r="M603" i="5"/>
  <c r="I603" i="5"/>
  <c r="H603" i="5"/>
  <c r="J603" i="5" s="1"/>
  <c r="G603" i="5"/>
  <c r="D603" i="5"/>
  <c r="C603" i="5"/>
  <c r="B603" i="5"/>
  <c r="BJ603" i="5" s="1"/>
  <c r="A603" i="5"/>
  <c r="CH602" i="5"/>
  <c r="CG602" i="5"/>
  <c r="BY602" i="5"/>
  <c r="AU602" i="5"/>
  <c r="O602" i="5"/>
  <c r="N602" i="5"/>
  <c r="M602" i="5"/>
  <c r="I602" i="5"/>
  <c r="D602" i="5"/>
  <c r="B602" i="5"/>
  <c r="A602" i="5"/>
  <c r="CH601" i="5"/>
  <c r="CG601" i="5"/>
  <c r="BY601" i="5"/>
  <c r="AU601" i="5"/>
  <c r="O601" i="5"/>
  <c r="N601" i="5"/>
  <c r="M601" i="5"/>
  <c r="I601" i="5"/>
  <c r="D601" i="5"/>
  <c r="C601" i="5"/>
  <c r="B601" i="5"/>
  <c r="G601" i="5" s="1"/>
  <c r="H601" i="5" s="1"/>
  <c r="J601" i="5" s="1"/>
  <c r="A601" i="5"/>
  <c r="CH600" i="5"/>
  <c r="CG600" i="5"/>
  <c r="BY600" i="5"/>
  <c r="BK600" i="5"/>
  <c r="AU600" i="5"/>
  <c r="AE600" i="5"/>
  <c r="AF600" i="5" s="1"/>
  <c r="O600" i="5"/>
  <c r="N600" i="5"/>
  <c r="M600" i="5"/>
  <c r="I600" i="5"/>
  <c r="H600" i="5"/>
  <c r="J600" i="5" s="1"/>
  <c r="G600" i="5"/>
  <c r="D600" i="5"/>
  <c r="C600" i="5"/>
  <c r="B600" i="5"/>
  <c r="BJ600" i="5" s="1"/>
  <c r="A600" i="5"/>
  <c r="CH599" i="5"/>
  <c r="CG599" i="5"/>
  <c r="BY599" i="5"/>
  <c r="AU599" i="5"/>
  <c r="O599" i="5"/>
  <c r="N599" i="5"/>
  <c r="M599" i="5"/>
  <c r="I599" i="5"/>
  <c r="D599" i="5"/>
  <c r="B599" i="5"/>
  <c r="A599" i="5"/>
  <c r="CH598" i="5"/>
  <c r="BY598" i="5"/>
  <c r="AU598" i="5"/>
  <c r="AE598" i="5"/>
  <c r="AF598" i="5" s="1"/>
  <c r="O598" i="5"/>
  <c r="N598" i="5"/>
  <c r="M598" i="5"/>
  <c r="I598" i="5"/>
  <c r="G598" i="5"/>
  <c r="H598" i="5" s="1"/>
  <c r="J598" i="5" s="1"/>
  <c r="D598" i="5"/>
  <c r="B598" i="5"/>
  <c r="BJ598" i="5" s="1"/>
  <c r="BK598" i="5" s="1"/>
  <c r="A598" i="5"/>
  <c r="CH597" i="5"/>
  <c r="CG597" i="5"/>
  <c r="BY597" i="5"/>
  <c r="BJ597" i="5"/>
  <c r="BK597" i="5" s="1"/>
  <c r="AU597" i="5"/>
  <c r="O597" i="5"/>
  <c r="N597" i="5"/>
  <c r="M597" i="5"/>
  <c r="I597" i="5"/>
  <c r="G597" i="5"/>
  <c r="H597" i="5" s="1"/>
  <c r="J597" i="5" s="1"/>
  <c r="D597" i="5"/>
  <c r="B597" i="5"/>
  <c r="A597" i="5"/>
  <c r="CH596" i="5"/>
  <c r="CG596" i="5"/>
  <c r="BY596" i="5"/>
  <c r="AU596" i="5"/>
  <c r="AE596" i="5"/>
  <c r="AF596" i="5" s="1"/>
  <c r="P596" i="5"/>
  <c r="O596" i="5"/>
  <c r="N596" i="5"/>
  <c r="M596" i="5"/>
  <c r="I596" i="5"/>
  <c r="H596" i="5"/>
  <c r="J596" i="5" s="1"/>
  <c r="S596" i="5" s="1"/>
  <c r="D596" i="5"/>
  <c r="C596" i="5"/>
  <c r="B596" i="5"/>
  <c r="G596" i="5" s="1"/>
  <c r="A596" i="5"/>
  <c r="CH595" i="5"/>
  <c r="CG595" i="5"/>
  <c r="BY595" i="5"/>
  <c r="BK595" i="5"/>
  <c r="AU595" i="5"/>
  <c r="AE595" i="5"/>
  <c r="AF595" i="5" s="1"/>
  <c r="O595" i="5"/>
  <c r="N595" i="5"/>
  <c r="M595" i="5"/>
  <c r="I595" i="5"/>
  <c r="G595" i="5"/>
  <c r="H595" i="5" s="1"/>
  <c r="J595" i="5" s="1"/>
  <c r="D595" i="5"/>
  <c r="B595" i="5"/>
  <c r="BJ595" i="5" s="1"/>
  <c r="A595" i="5"/>
  <c r="CH594" i="5"/>
  <c r="CG594" i="5"/>
  <c r="BY594" i="5"/>
  <c r="BJ594" i="5"/>
  <c r="BK594" i="5" s="1"/>
  <c r="AU594" i="5"/>
  <c r="AF594" i="5"/>
  <c r="AE594" i="5"/>
  <c r="O594" i="5"/>
  <c r="N594" i="5"/>
  <c r="M594" i="5"/>
  <c r="I594" i="5"/>
  <c r="G594" i="5"/>
  <c r="H594" i="5" s="1"/>
  <c r="J594" i="5" s="1"/>
  <c r="D594" i="5"/>
  <c r="B594" i="5"/>
  <c r="C594" i="5" s="1"/>
  <c r="A594" i="5"/>
  <c r="CH593" i="5"/>
  <c r="CG593" i="5"/>
  <c r="BY593" i="5"/>
  <c r="AU593" i="5"/>
  <c r="AE593" i="5"/>
  <c r="AF593" i="5" s="1"/>
  <c r="O593" i="5"/>
  <c r="N593" i="5"/>
  <c r="M593" i="5"/>
  <c r="I593" i="5"/>
  <c r="G593" i="5"/>
  <c r="H593" i="5" s="1"/>
  <c r="J593" i="5" s="1"/>
  <c r="P593" i="5" s="1"/>
  <c r="D593" i="5"/>
  <c r="C593" i="5"/>
  <c r="B593" i="5"/>
  <c r="BJ593" i="5" s="1"/>
  <c r="BK593" i="5" s="1"/>
  <c r="A593" i="5"/>
  <c r="CH592" i="5"/>
  <c r="CG592" i="5"/>
  <c r="BY592" i="5"/>
  <c r="AU592" i="5"/>
  <c r="AE592" i="5"/>
  <c r="AF592" i="5" s="1"/>
  <c r="O592" i="5"/>
  <c r="N592" i="5"/>
  <c r="M592" i="5"/>
  <c r="I592" i="5"/>
  <c r="D592" i="5"/>
  <c r="C592" i="5"/>
  <c r="B592" i="5"/>
  <c r="BJ592" i="5" s="1"/>
  <c r="BK592" i="5" s="1"/>
  <c r="A592" i="5"/>
  <c r="CH591" i="5"/>
  <c r="CG591" i="5"/>
  <c r="BY591" i="5"/>
  <c r="AU591" i="5"/>
  <c r="O591" i="5"/>
  <c r="N591" i="5"/>
  <c r="M591" i="5"/>
  <c r="I591" i="5"/>
  <c r="G591" i="5"/>
  <c r="H591" i="5" s="1"/>
  <c r="J591" i="5" s="1"/>
  <c r="D591" i="5"/>
  <c r="B591" i="5"/>
  <c r="AE591" i="5" s="1"/>
  <c r="AF591" i="5" s="1"/>
  <c r="A591" i="5"/>
  <c r="CH590" i="5"/>
  <c r="CG590" i="5"/>
  <c r="BY590" i="5"/>
  <c r="BJ590" i="5"/>
  <c r="BK590" i="5" s="1"/>
  <c r="AU590" i="5"/>
  <c r="AE590" i="5"/>
  <c r="AF590" i="5" s="1"/>
  <c r="O590" i="5"/>
  <c r="N590" i="5"/>
  <c r="M590" i="5"/>
  <c r="I590" i="5"/>
  <c r="H590" i="5"/>
  <c r="J590" i="5" s="1"/>
  <c r="G590" i="5"/>
  <c r="D590" i="5"/>
  <c r="C590" i="5"/>
  <c r="B590" i="5"/>
  <c r="A590" i="5"/>
  <c r="CH589" i="5"/>
  <c r="CG589" i="5"/>
  <c r="BY589" i="5"/>
  <c r="AU589" i="5"/>
  <c r="AF589" i="5"/>
  <c r="AE589" i="5"/>
  <c r="O589" i="5"/>
  <c r="N589" i="5"/>
  <c r="M589" i="5"/>
  <c r="I589" i="5"/>
  <c r="D589" i="5"/>
  <c r="C589" i="5"/>
  <c r="B589" i="5"/>
  <c r="BJ589" i="5" s="1"/>
  <c r="BK589" i="5" s="1"/>
  <c r="A589" i="5"/>
  <c r="CH588" i="5"/>
  <c r="CG588" i="5"/>
  <c r="BY588" i="5"/>
  <c r="AU588" i="5"/>
  <c r="O588" i="5"/>
  <c r="N588" i="5"/>
  <c r="M588" i="5"/>
  <c r="I588" i="5"/>
  <c r="G588" i="5"/>
  <c r="H588" i="5" s="1"/>
  <c r="J588" i="5" s="1"/>
  <c r="D588" i="5"/>
  <c r="B588" i="5"/>
  <c r="A588" i="5"/>
  <c r="CH587" i="5"/>
  <c r="CG587" i="5"/>
  <c r="BY587" i="5"/>
  <c r="BJ587" i="5"/>
  <c r="BK587" i="5" s="1"/>
  <c r="AU587" i="5"/>
  <c r="AE587" i="5"/>
  <c r="AF587" i="5" s="1"/>
  <c r="O587" i="5"/>
  <c r="N587" i="5"/>
  <c r="M587" i="5"/>
  <c r="I587" i="5"/>
  <c r="H587" i="5"/>
  <c r="J587" i="5" s="1"/>
  <c r="G587" i="5"/>
  <c r="D587" i="5"/>
  <c r="C587" i="5"/>
  <c r="B587" i="5"/>
  <c r="A587" i="5"/>
  <c r="CH586" i="5"/>
  <c r="CG586" i="5"/>
  <c r="BY586" i="5"/>
  <c r="AU586" i="5"/>
  <c r="AF586" i="5"/>
  <c r="AE586" i="5"/>
  <c r="O586" i="5"/>
  <c r="N586" i="5"/>
  <c r="M586" i="5"/>
  <c r="I586" i="5"/>
  <c r="D586" i="5"/>
  <c r="C586" i="5"/>
  <c r="B586" i="5"/>
  <c r="BJ586" i="5" s="1"/>
  <c r="BK586" i="5" s="1"/>
  <c r="A586" i="5"/>
  <c r="CH585" i="5"/>
  <c r="CG585" i="5"/>
  <c r="BY585" i="5"/>
  <c r="BK585" i="5"/>
  <c r="BJ585" i="5"/>
  <c r="AU585" i="5"/>
  <c r="O585" i="5"/>
  <c r="N585" i="5"/>
  <c r="M585" i="5"/>
  <c r="I585" i="5"/>
  <c r="D585" i="5"/>
  <c r="B585" i="5"/>
  <c r="A585" i="5"/>
  <c r="CH584" i="5"/>
  <c r="CG584" i="5"/>
  <c r="BY584" i="5"/>
  <c r="BJ584" i="5"/>
  <c r="BK584" i="5" s="1"/>
  <c r="AU584" i="5"/>
  <c r="O584" i="5"/>
  <c r="N584" i="5"/>
  <c r="M584" i="5"/>
  <c r="I584" i="5"/>
  <c r="D584" i="5"/>
  <c r="B584" i="5"/>
  <c r="A584" i="5"/>
  <c r="CH583" i="5"/>
  <c r="CG583" i="5"/>
  <c r="BY583" i="5"/>
  <c r="AU583" i="5"/>
  <c r="AE583" i="5"/>
  <c r="AF583" i="5" s="1"/>
  <c r="O583" i="5"/>
  <c r="N583" i="5"/>
  <c r="M583" i="5"/>
  <c r="I583" i="5"/>
  <c r="D583" i="5"/>
  <c r="C583" i="5"/>
  <c r="B583" i="5"/>
  <c r="BJ583" i="5" s="1"/>
  <c r="BK583" i="5" s="1"/>
  <c r="A583" i="5"/>
  <c r="CH582" i="5"/>
  <c r="CG582" i="5"/>
  <c r="BY582" i="5"/>
  <c r="AU582" i="5"/>
  <c r="AE582" i="5"/>
  <c r="AF582" i="5" s="1"/>
  <c r="O582" i="5"/>
  <c r="N582" i="5"/>
  <c r="M582" i="5"/>
  <c r="J582" i="5"/>
  <c r="I582" i="5"/>
  <c r="G582" i="5"/>
  <c r="H582" i="5" s="1"/>
  <c r="D582" i="5"/>
  <c r="B582" i="5"/>
  <c r="C582" i="5" s="1"/>
  <c r="A582" i="5"/>
  <c r="CH581" i="5"/>
  <c r="CG581" i="5"/>
  <c r="BY581" i="5"/>
  <c r="AU581" i="5"/>
  <c r="O581" i="5"/>
  <c r="N581" i="5"/>
  <c r="M581" i="5"/>
  <c r="I581" i="5"/>
  <c r="D581" i="5"/>
  <c r="C581" i="5"/>
  <c r="B581" i="5"/>
  <c r="G581" i="5" s="1"/>
  <c r="H581" i="5" s="1"/>
  <c r="J581" i="5" s="1"/>
  <c r="A581" i="5"/>
  <c r="CH580" i="5"/>
  <c r="CG580" i="5"/>
  <c r="BY580" i="5"/>
  <c r="AU580" i="5"/>
  <c r="AE580" i="5"/>
  <c r="AF580" i="5" s="1"/>
  <c r="O580" i="5"/>
  <c r="N580" i="5"/>
  <c r="M580" i="5"/>
  <c r="I580" i="5"/>
  <c r="D580" i="5"/>
  <c r="B580" i="5"/>
  <c r="A580" i="5"/>
  <c r="CH579" i="5"/>
  <c r="CG579" i="5"/>
  <c r="BY579" i="5"/>
  <c r="BJ579" i="5"/>
  <c r="BK579" i="5" s="1"/>
  <c r="AU579" i="5"/>
  <c r="AF579" i="5"/>
  <c r="AE579" i="5"/>
  <c r="O579" i="5"/>
  <c r="N579" i="5"/>
  <c r="M579" i="5"/>
  <c r="J579" i="5"/>
  <c r="P579" i="5" s="1"/>
  <c r="I579" i="5"/>
  <c r="G579" i="5"/>
  <c r="H579" i="5" s="1"/>
  <c r="D579" i="5"/>
  <c r="C579" i="5"/>
  <c r="B579" i="5"/>
  <c r="A579" i="5"/>
  <c r="CH578" i="5"/>
  <c r="CG578" i="5"/>
  <c r="BY578" i="5"/>
  <c r="BJ578" i="5"/>
  <c r="BK578" i="5" s="1"/>
  <c r="AU578" i="5"/>
  <c r="AE578" i="5"/>
  <c r="AF578" i="5" s="1"/>
  <c r="S578" i="5"/>
  <c r="O578" i="5"/>
  <c r="N578" i="5"/>
  <c r="M578" i="5"/>
  <c r="I578" i="5"/>
  <c r="G578" i="5"/>
  <c r="H578" i="5" s="1"/>
  <c r="J578" i="5" s="1"/>
  <c r="P578" i="5" s="1"/>
  <c r="D578" i="5"/>
  <c r="C578" i="5"/>
  <c r="B578" i="5"/>
  <c r="A578" i="5"/>
  <c r="CH577" i="5"/>
  <c r="CG577" i="5"/>
  <c r="BY577" i="5"/>
  <c r="AU577" i="5"/>
  <c r="O577" i="5"/>
  <c r="N577" i="5"/>
  <c r="M577" i="5"/>
  <c r="I577" i="5"/>
  <c r="D577" i="5"/>
  <c r="B577" i="5"/>
  <c r="A577" i="5"/>
  <c r="CH576" i="5"/>
  <c r="CG576" i="5"/>
  <c r="BY576" i="5"/>
  <c r="BJ576" i="5"/>
  <c r="BK576" i="5" s="1"/>
  <c r="AU576" i="5"/>
  <c r="AF576" i="5"/>
  <c r="O576" i="5"/>
  <c r="N576" i="5"/>
  <c r="M576" i="5"/>
  <c r="I576" i="5"/>
  <c r="H576" i="5"/>
  <c r="J576" i="5" s="1"/>
  <c r="G576" i="5"/>
  <c r="D576" i="5"/>
  <c r="C576" i="5"/>
  <c r="B576" i="5"/>
  <c r="AE576" i="5" s="1"/>
  <c r="A576" i="5"/>
  <c r="CH575" i="5"/>
  <c r="CG575" i="5"/>
  <c r="BY575" i="5"/>
  <c r="BJ575" i="5"/>
  <c r="BK575" i="5" s="1"/>
  <c r="AU575" i="5"/>
  <c r="AF575" i="5"/>
  <c r="AE575" i="5"/>
  <c r="O575" i="5"/>
  <c r="N575" i="5"/>
  <c r="M575" i="5"/>
  <c r="J575" i="5"/>
  <c r="I575" i="5"/>
  <c r="H575" i="5"/>
  <c r="G575" i="5"/>
  <c r="D575" i="5"/>
  <c r="C575" i="5"/>
  <c r="B575" i="5"/>
  <c r="A575" i="5"/>
  <c r="CH574" i="5"/>
  <c r="CG574" i="5"/>
  <c r="BY574" i="5"/>
  <c r="AU574" i="5"/>
  <c r="O574" i="5"/>
  <c r="N574" i="5"/>
  <c r="M574" i="5"/>
  <c r="I574" i="5"/>
  <c r="D574" i="5"/>
  <c r="C574" i="5"/>
  <c r="B574" i="5"/>
  <c r="A574" i="5"/>
  <c r="CH573" i="5"/>
  <c r="CG573" i="5"/>
  <c r="BY573" i="5"/>
  <c r="AU573" i="5"/>
  <c r="O573" i="5"/>
  <c r="N573" i="5"/>
  <c r="M573" i="5"/>
  <c r="I573" i="5"/>
  <c r="G573" i="5"/>
  <c r="H573" i="5" s="1"/>
  <c r="J573" i="5" s="1"/>
  <c r="D573" i="5"/>
  <c r="B573" i="5"/>
  <c r="A573" i="5"/>
  <c r="CH572" i="5"/>
  <c r="CG572" i="5"/>
  <c r="BY572" i="5"/>
  <c r="BK572" i="5"/>
  <c r="BJ572" i="5"/>
  <c r="AU572" i="5"/>
  <c r="O572" i="5"/>
  <c r="N572" i="5"/>
  <c r="M572" i="5"/>
  <c r="I572" i="5"/>
  <c r="D572" i="5"/>
  <c r="B572" i="5"/>
  <c r="C572" i="5" s="1"/>
  <c r="A572" i="5"/>
  <c r="CH571" i="5"/>
  <c r="CG571" i="5"/>
  <c r="BY571" i="5"/>
  <c r="AU571" i="5"/>
  <c r="AE571" i="5"/>
  <c r="AF571" i="5" s="1"/>
  <c r="O571" i="5"/>
  <c r="N571" i="5"/>
  <c r="M571" i="5"/>
  <c r="I571" i="5"/>
  <c r="G571" i="5"/>
  <c r="H571" i="5" s="1"/>
  <c r="J571" i="5" s="1"/>
  <c r="D571" i="5"/>
  <c r="B571" i="5"/>
  <c r="BJ571" i="5" s="1"/>
  <c r="BK571" i="5" s="1"/>
  <c r="A571" i="5"/>
  <c r="CH570" i="5"/>
  <c r="CG570" i="5"/>
  <c r="BY570" i="5"/>
  <c r="BJ570" i="5"/>
  <c r="BK570" i="5" s="1"/>
  <c r="AU570" i="5"/>
  <c r="AE570" i="5"/>
  <c r="AF570" i="5" s="1"/>
  <c r="O570" i="5"/>
  <c r="N570" i="5"/>
  <c r="M570" i="5"/>
  <c r="I570" i="5"/>
  <c r="D570" i="5"/>
  <c r="B570" i="5"/>
  <c r="A570" i="5"/>
  <c r="CH569" i="5"/>
  <c r="CG569" i="5"/>
  <c r="BY569" i="5"/>
  <c r="AU569" i="5"/>
  <c r="AF569" i="5"/>
  <c r="O569" i="5"/>
  <c r="N569" i="5"/>
  <c r="M569" i="5"/>
  <c r="I569" i="5"/>
  <c r="G569" i="5"/>
  <c r="H569" i="5" s="1"/>
  <c r="J569" i="5" s="1"/>
  <c r="D569" i="5"/>
  <c r="B569" i="5"/>
  <c r="AE569" i="5" s="1"/>
  <c r="A569" i="5"/>
  <c r="CH568" i="5"/>
  <c r="CG568" i="5"/>
  <c r="BY568" i="5"/>
  <c r="BJ568" i="5"/>
  <c r="BK568" i="5" s="1"/>
  <c r="AU568" i="5"/>
  <c r="AE568" i="5"/>
  <c r="AF568" i="5" s="1"/>
  <c r="O568" i="5"/>
  <c r="N568" i="5"/>
  <c r="M568" i="5"/>
  <c r="J568" i="5"/>
  <c r="I568" i="5"/>
  <c r="H568" i="5"/>
  <c r="G568" i="5"/>
  <c r="D568" i="5"/>
  <c r="C568" i="5"/>
  <c r="B568" i="5"/>
  <c r="A568" i="5"/>
  <c r="CH567" i="5"/>
  <c r="BY567" i="5"/>
  <c r="BJ567" i="5"/>
  <c r="BK567" i="5" s="1"/>
  <c r="AU567" i="5"/>
  <c r="AE567" i="5"/>
  <c r="AF567" i="5" s="1"/>
  <c r="O567" i="5"/>
  <c r="N567" i="5"/>
  <c r="M567" i="5"/>
  <c r="I567" i="5"/>
  <c r="H567" i="5"/>
  <c r="J567" i="5" s="1"/>
  <c r="D567" i="5"/>
  <c r="B567" i="5"/>
  <c r="G567" i="5" s="1"/>
  <c r="A567" i="5"/>
  <c r="CH566" i="5"/>
  <c r="CG566" i="5"/>
  <c r="BY566" i="5"/>
  <c r="AU566" i="5"/>
  <c r="O566" i="5"/>
  <c r="N566" i="5"/>
  <c r="M566" i="5"/>
  <c r="I566" i="5"/>
  <c r="G566" i="5"/>
  <c r="H566" i="5" s="1"/>
  <c r="J566" i="5" s="1"/>
  <c r="D566" i="5"/>
  <c r="B566" i="5"/>
  <c r="C566" i="5" s="1"/>
  <c r="A566" i="5"/>
  <c r="CH565" i="5"/>
  <c r="CG565" i="5"/>
  <c r="BY565" i="5"/>
  <c r="BK565" i="5"/>
  <c r="BJ565" i="5"/>
  <c r="AU565" i="5"/>
  <c r="O565" i="5"/>
  <c r="N565" i="5"/>
  <c r="M565" i="5"/>
  <c r="J565" i="5"/>
  <c r="I565" i="5"/>
  <c r="G565" i="5"/>
  <c r="H565" i="5" s="1"/>
  <c r="D565" i="5"/>
  <c r="B565" i="5"/>
  <c r="A565" i="5"/>
  <c r="CH564" i="5"/>
  <c r="CG564" i="5"/>
  <c r="BY564" i="5"/>
  <c r="AU564" i="5"/>
  <c r="AF564" i="5"/>
  <c r="AE564" i="5"/>
  <c r="O564" i="5"/>
  <c r="N564" i="5"/>
  <c r="M564" i="5"/>
  <c r="I564" i="5"/>
  <c r="G564" i="5"/>
  <c r="H564" i="5" s="1"/>
  <c r="J564" i="5" s="1"/>
  <c r="D564" i="5"/>
  <c r="B564" i="5"/>
  <c r="BJ564" i="5" s="1"/>
  <c r="BK564" i="5" s="1"/>
  <c r="A564" i="5"/>
  <c r="CH563" i="5"/>
  <c r="CG563" i="5"/>
  <c r="BY563" i="5"/>
  <c r="BJ563" i="5"/>
  <c r="BK563" i="5" s="1"/>
  <c r="AU563" i="5"/>
  <c r="O563" i="5"/>
  <c r="N563" i="5"/>
  <c r="M563" i="5"/>
  <c r="I563" i="5"/>
  <c r="G563" i="5"/>
  <c r="H563" i="5" s="1"/>
  <c r="J563" i="5" s="1"/>
  <c r="D563" i="5"/>
  <c r="C563" i="5"/>
  <c r="B563" i="5"/>
  <c r="AE563" i="5" s="1"/>
  <c r="AF563" i="5" s="1"/>
  <c r="A563" i="5"/>
  <c r="CH562" i="5"/>
  <c r="CG562" i="5"/>
  <c r="BY562" i="5"/>
  <c r="AU562" i="5"/>
  <c r="O562" i="5"/>
  <c r="N562" i="5"/>
  <c r="M562" i="5"/>
  <c r="I562" i="5"/>
  <c r="D562" i="5"/>
  <c r="B562" i="5"/>
  <c r="A562" i="5"/>
  <c r="CH561" i="5"/>
  <c r="CG561" i="5"/>
  <c r="BY561" i="5"/>
  <c r="BJ561" i="5"/>
  <c r="BK561" i="5" s="1"/>
  <c r="AU561" i="5"/>
  <c r="AE561" i="5"/>
  <c r="AF561" i="5" s="1"/>
  <c r="S561" i="5"/>
  <c r="O561" i="5"/>
  <c r="N561" i="5"/>
  <c r="M561" i="5"/>
  <c r="J561" i="5"/>
  <c r="P561" i="5" s="1"/>
  <c r="I561" i="5"/>
  <c r="H561" i="5"/>
  <c r="G561" i="5"/>
  <c r="D561" i="5"/>
  <c r="C561" i="5"/>
  <c r="B561" i="5"/>
  <c r="A561" i="5"/>
  <c r="CH560" i="5"/>
  <c r="CG560" i="5"/>
  <c r="BY560" i="5"/>
  <c r="BJ560" i="5"/>
  <c r="BK560" i="5" s="1"/>
  <c r="AU560" i="5"/>
  <c r="AE560" i="5"/>
  <c r="AF560" i="5" s="1"/>
  <c r="O560" i="5"/>
  <c r="N560" i="5"/>
  <c r="M560" i="5"/>
  <c r="J560" i="5"/>
  <c r="I560" i="5"/>
  <c r="H560" i="5"/>
  <c r="G560" i="5"/>
  <c r="D560" i="5"/>
  <c r="C560" i="5"/>
  <c r="B560" i="5"/>
  <c r="A560" i="5"/>
  <c r="CH559" i="5"/>
  <c r="CG559" i="5"/>
  <c r="BY559" i="5"/>
  <c r="AU559" i="5"/>
  <c r="O559" i="5"/>
  <c r="N559" i="5"/>
  <c r="M559" i="5"/>
  <c r="I559" i="5"/>
  <c r="D559" i="5"/>
  <c r="B559" i="5"/>
  <c r="AE559" i="5" s="1"/>
  <c r="AF559" i="5" s="1"/>
  <c r="A559" i="5"/>
  <c r="CH558" i="5"/>
  <c r="CG558" i="5"/>
  <c r="BY558" i="5"/>
  <c r="BJ558" i="5"/>
  <c r="BK558" i="5" s="1"/>
  <c r="AU558" i="5"/>
  <c r="AF558" i="5"/>
  <c r="AE558" i="5"/>
  <c r="O558" i="5"/>
  <c r="N558" i="5"/>
  <c r="M558" i="5"/>
  <c r="J558" i="5"/>
  <c r="I558" i="5"/>
  <c r="H558" i="5"/>
  <c r="G558" i="5"/>
  <c r="D558" i="5"/>
  <c r="C558" i="5"/>
  <c r="B558" i="5"/>
  <c r="A558" i="5"/>
  <c r="CH557" i="5"/>
  <c r="CG557" i="5"/>
  <c r="BY557" i="5"/>
  <c r="BK557" i="5"/>
  <c r="AU557" i="5"/>
  <c r="AE557" i="5"/>
  <c r="AF557" i="5" s="1"/>
  <c r="O557" i="5"/>
  <c r="N557" i="5"/>
  <c r="M557" i="5"/>
  <c r="I557" i="5"/>
  <c r="G557" i="5"/>
  <c r="H557" i="5" s="1"/>
  <c r="J557" i="5" s="1"/>
  <c r="D557" i="5"/>
  <c r="C557" i="5"/>
  <c r="B557" i="5"/>
  <c r="BJ557" i="5" s="1"/>
  <c r="A557" i="5"/>
  <c r="CH556" i="5"/>
  <c r="CG556" i="5"/>
  <c r="BY556" i="5"/>
  <c r="AU556" i="5"/>
  <c r="O556" i="5"/>
  <c r="N556" i="5"/>
  <c r="M556" i="5"/>
  <c r="I556" i="5"/>
  <c r="D556" i="5"/>
  <c r="B556" i="5"/>
  <c r="A556" i="5"/>
  <c r="CH555" i="5"/>
  <c r="CG555" i="5"/>
  <c r="BY555" i="5"/>
  <c r="AU555" i="5"/>
  <c r="AE555" i="5"/>
  <c r="AF555" i="5" s="1"/>
  <c r="P555" i="5"/>
  <c r="O555" i="5"/>
  <c r="N555" i="5"/>
  <c r="M555" i="5"/>
  <c r="I555" i="5"/>
  <c r="H555" i="5"/>
  <c r="J555" i="5" s="1"/>
  <c r="S555" i="5" s="1"/>
  <c r="D555" i="5"/>
  <c r="C555" i="5"/>
  <c r="B555" i="5"/>
  <c r="G555" i="5" s="1"/>
  <c r="A555" i="5"/>
  <c r="CH554" i="5"/>
  <c r="CG554" i="5"/>
  <c r="BY554" i="5"/>
  <c r="BK554" i="5"/>
  <c r="AU554" i="5"/>
  <c r="AE554" i="5"/>
  <c r="AF554" i="5" s="1"/>
  <c r="S554" i="5"/>
  <c r="P554" i="5"/>
  <c r="O554" i="5"/>
  <c r="N554" i="5"/>
  <c r="M554" i="5"/>
  <c r="I554" i="5"/>
  <c r="H554" i="5"/>
  <c r="J554" i="5" s="1"/>
  <c r="G554" i="5"/>
  <c r="D554" i="5"/>
  <c r="C554" i="5"/>
  <c r="B554" i="5"/>
  <c r="BJ554" i="5" s="1"/>
  <c r="A554" i="5"/>
  <c r="CH553" i="5"/>
  <c r="CG553" i="5"/>
  <c r="BY553" i="5"/>
  <c r="AU553" i="5"/>
  <c r="O553" i="5"/>
  <c r="N553" i="5"/>
  <c r="M553" i="5"/>
  <c r="I553" i="5"/>
  <c r="D553" i="5"/>
  <c r="B553" i="5"/>
  <c r="A553" i="5"/>
  <c r="CH552" i="5"/>
  <c r="CG552" i="5"/>
  <c r="BY552" i="5"/>
  <c r="BJ552" i="5"/>
  <c r="BK552" i="5" s="1"/>
  <c r="AU552" i="5"/>
  <c r="AE552" i="5"/>
  <c r="AF552" i="5" s="1"/>
  <c r="S552" i="5"/>
  <c r="O552" i="5"/>
  <c r="N552" i="5"/>
  <c r="M552" i="5"/>
  <c r="I552" i="5"/>
  <c r="H552" i="5"/>
  <c r="J552" i="5" s="1"/>
  <c r="P552" i="5" s="1"/>
  <c r="G552" i="5"/>
  <c r="D552" i="5"/>
  <c r="C552" i="5"/>
  <c r="B552" i="5"/>
  <c r="A552" i="5"/>
  <c r="CH551" i="5"/>
  <c r="CG551" i="5"/>
  <c r="BY551" i="5"/>
  <c r="AU551" i="5"/>
  <c r="AE551" i="5"/>
  <c r="AF551" i="5" s="1"/>
  <c r="P551" i="5"/>
  <c r="O551" i="5"/>
  <c r="N551" i="5"/>
  <c r="M551" i="5"/>
  <c r="I551" i="5"/>
  <c r="H551" i="5"/>
  <c r="J551" i="5" s="1"/>
  <c r="G551" i="5"/>
  <c r="D551" i="5"/>
  <c r="B551" i="5"/>
  <c r="C551" i="5" s="1"/>
  <c r="A551" i="5"/>
  <c r="CH550" i="5"/>
  <c r="CG550" i="5"/>
  <c r="BY550" i="5"/>
  <c r="BJ550" i="5"/>
  <c r="BK550" i="5" s="1"/>
  <c r="AU550" i="5"/>
  <c r="AE550" i="5"/>
  <c r="AF550" i="5" s="1"/>
  <c r="S550" i="5"/>
  <c r="O550" i="5"/>
  <c r="N550" i="5"/>
  <c r="M550" i="5"/>
  <c r="J550" i="5"/>
  <c r="I550" i="5"/>
  <c r="G550" i="5"/>
  <c r="H550" i="5" s="1"/>
  <c r="D550" i="5"/>
  <c r="C550" i="5"/>
  <c r="B550" i="5"/>
  <c r="A550" i="5"/>
  <c r="CH549" i="5"/>
  <c r="CG549" i="5"/>
  <c r="BY549" i="5"/>
  <c r="BJ549" i="5"/>
  <c r="BK549" i="5" s="1"/>
  <c r="AU549" i="5"/>
  <c r="O549" i="5"/>
  <c r="N549" i="5"/>
  <c r="M549" i="5"/>
  <c r="I549" i="5"/>
  <c r="D549" i="5"/>
  <c r="B549" i="5"/>
  <c r="C549" i="5" s="1"/>
  <c r="A549" i="5"/>
  <c r="CH548" i="5"/>
  <c r="CG548" i="5"/>
  <c r="BY548" i="5"/>
  <c r="BJ548" i="5"/>
  <c r="BK548" i="5" s="1"/>
  <c r="AU548" i="5"/>
  <c r="AF548" i="5"/>
  <c r="AE548" i="5"/>
  <c r="O548" i="5"/>
  <c r="N548" i="5"/>
  <c r="M548" i="5"/>
  <c r="J548" i="5"/>
  <c r="I548" i="5"/>
  <c r="H548" i="5"/>
  <c r="G548" i="5"/>
  <c r="D548" i="5"/>
  <c r="C548" i="5"/>
  <c r="B548" i="5"/>
  <c r="A548" i="5"/>
  <c r="CH547" i="5"/>
  <c r="CG547" i="5"/>
  <c r="BY547" i="5"/>
  <c r="BK547" i="5"/>
  <c r="AU547" i="5"/>
  <c r="AE547" i="5"/>
  <c r="AF547" i="5" s="1"/>
  <c r="O547" i="5"/>
  <c r="N547" i="5"/>
  <c r="M547" i="5"/>
  <c r="J547" i="5"/>
  <c r="I547" i="5"/>
  <c r="G547" i="5"/>
  <c r="H547" i="5" s="1"/>
  <c r="D547" i="5"/>
  <c r="C547" i="5"/>
  <c r="B547" i="5"/>
  <c r="BJ547" i="5" s="1"/>
  <c r="A547" i="5"/>
  <c r="CH546" i="5"/>
  <c r="CG546" i="5"/>
  <c r="BY546" i="5"/>
  <c r="AU546" i="5"/>
  <c r="P546" i="5"/>
  <c r="O546" i="5"/>
  <c r="N546" i="5"/>
  <c r="M546" i="5"/>
  <c r="I546" i="5"/>
  <c r="G546" i="5"/>
  <c r="H546" i="5" s="1"/>
  <c r="J546" i="5" s="1"/>
  <c r="D546" i="5"/>
  <c r="B546" i="5"/>
  <c r="A546" i="5"/>
  <c r="CH545" i="5"/>
  <c r="CG545" i="5"/>
  <c r="BY545" i="5"/>
  <c r="AU545" i="5"/>
  <c r="AE545" i="5"/>
  <c r="AF545" i="5" s="1"/>
  <c r="P545" i="5"/>
  <c r="O545" i="5"/>
  <c r="N545" i="5"/>
  <c r="M545" i="5"/>
  <c r="I545" i="5"/>
  <c r="H545" i="5"/>
  <c r="J545" i="5" s="1"/>
  <c r="S545" i="5" s="1"/>
  <c r="D545" i="5"/>
  <c r="C545" i="5"/>
  <c r="B545" i="5"/>
  <c r="G545" i="5" s="1"/>
  <c r="A545" i="5"/>
  <c r="CH544" i="5"/>
  <c r="CG544" i="5"/>
  <c r="BY544" i="5"/>
  <c r="BK544" i="5"/>
  <c r="AU544" i="5"/>
  <c r="AE544" i="5"/>
  <c r="AF544" i="5" s="1"/>
  <c r="O544" i="5"/>
  <c r="N544" i="5"/>
  <c r="M544" i="5"/>
  <c r="I544" i="5"/>
  <c r="G544" i="5"/>
  <c r="H544" i="5" s="1"/>
  <c r="J544" i="5" s="1"/>
  <c r="D544" i="5"/>
  <c r="C544" i="5"/>
  <c r="B544" i="5"/>
  <c r="BJ544" i="5" s="1"/>
  <c r="A544" i="5"/>
  <c r="CH543" i="5"/>
  <c r="CG543" i="5"/>
  <c r="BY543" i="5"/>
  <c r="AU543" i="5"/>
  <c r="O543" i="5"/>
  <c r="N543" i="5"/>
  <c r="M543" i="5"/>
  <c r="I543" i="5"/>
  <c r="D543" i="5"/>
  <c r="B543" i="5"/>
  <c r="A543" i="5"/>
  <c r="CH542" i="5"/>
  <c r="CG542" i="5"/>
  <c r="BY542" i="5"/>
  <c r="BJ542" i="5"/>
  <c r="BK542" i="5" s="1"/>
  <c r="AU542" i="5"/>
  <c r="AE542" i="5"/>
  <c r="AF542" i="5" s="1"/>
  <c r="O542" i="5"/>
  <c r="N542" i="5"/>
  <c r="M542" i="5"/>
  <c r="I542" i="5"/>
  <c r="H542" i="5"/>
  <c r="J542" i="5" s="1"/>
  <c r="G542" i="5"/>
  <c r="D542" i="5"/>
  <c r="C542" i="5"/>
  <c r="B542" i="5"/>
  <c r="A542" i="5"/>
  <c r="CH541" i="5"/>
  <c r="CG541" i="5"/>
  <c r="BY541" i="5"/>
  <c r="BK541" i="5"/>
  <c r="BJ541" i="5"/>
  <c r="AU541" i="5"/>
  <c r="O541" i="5"/>
  <c r="N541" i="5"/>
  <c r="M541" i="5"/>
  <c r="I541" i="5"/>
  <c r="H541" i="5"/>
  <c r="J541" i="5" s="1"/>
  <c r="G541" i="5"/>
  <c r="D541" i="5"/>
  <c r="B541" i="5"/>
  <c r="AE541" i="5" s="1"/>
  <c r="AF541" i="5" s="1"/>
  <c r="A541" i="5"/>
  <c r="CH540" i="5"/>
  <c r="CG540" i="5"/>
  <c r="BY540" i="5"/>
  <c r="AU540" i="5"/>
  <c r="AE540" i="5"/>
  <c r="AF540" i="5" s="1"/>
  <c r="O540" i="5"/>
  <c r="N540" i="5"/>
  <c r="M540" i="5"/>
  <c r="I540" i="5"/>
  <c r="G540" i="5"/>
  <c r="H540" i="5" s="1"/>
  <c r="J540" i="5" s="1"/>
  <c r="S540" i="5" s="1"/>
  <c r="D540" i="5"/>
  <c r="C540" i="5"/>
  <c r="B540" i="5"/>
  <c r="BJ540" i="5" s="1"/>
  <c r="BK540" i="5" s="1"/>
  <c r="A540" i="5"/>
  <c r="CH539" i="5"/>
  <c r="CG539" i="5"/>
  <c r="BY539" i="5"/>
  <c r="BJ539" i="5"/>
  <c r="BK539" i="5" s="1"/>
  <c r="AU539" i="5"/>
  <c r="AE539" i="5"/>
  <c r="AF539" i="5" s="1"/>
  <c r="O539" i="5"/>
  <c r="N539" i="5"/>
  <c r="M539" i="5"/>
  <c r="I539" i="5"/>
  <c r="G539" i="5"/>
  <c r="H539" i="5" s="1"/>
  <c r="J539" i="5" s="1"/>
  <c r="D539" i="5"/>
  <c r="C539" i="5"/>
  <c r="B539" i="5"/>
  <c r="A539" i="5"/>
  <c r="CH538" i="5"/>
  <c r="CG538" i="5"/>
  <c r="BY538" i="5"/>
  <c r="BJ538" i="5"/>
  <c r="BK538" i="5" s="1"/>
  <c r="AU538" i="5"/>
  <c r="AE538" i="5"/>
  <c r="AF538" i="5" s="1"/>
  <c r="O538" i="5"/>
  <c r="N538" i="5"/>
  <c r="M538" i="5"/>
  <c r="I538" i="5"/>
  <c r="H538" i="5"/>
  <c r="J538" i="5" s="1"/>
  <c r="G538" i="5"/>
  <c r="D538" i="5"/>
  <c r="B538" i="5"/>
  <c r="C538" i="5" s="1"/>
  <c r="A538" i="5"/>
  <c r="CH537" i="5"/>
  <c r="BY537" i="5"/>
  <c r="BJ537" i="5"/>
  <c r="BK537" i="5" s="1"/>
  <c r="AU537" i="5"/>
  <c r="O537" i="5"/>
  <c r="N537" i="5"/>
  <c r="M537" i="5"/>
  <c r="I537" i="5"/>
  <c r="G537" i="5"/>
  <c r="H537" i="5" s="1"/>
  <c r="J537" i="5" s="1"/>
  <c r="D537" i="5"/>
  <c r="B537" i="5"/>
  <c r="AE537" i="5" s="1"/>
  <c r="AF537" i="5" s="1"/>
  <c r="A537" i="5"/>
  <c r="CH536" i="5"/>
  <c r="CG536" i="5"/>
  <c r="BY536" i="5"/>
  <c r="AU536" i="5"/>
  <c r="O536" i="5"/>
  <c r="N536" i="5"/>
  <c r="M536" i="5"/>
  <c r="I536" i="5"/>
  <c r="D536" i="5"/>
  <c r="B536" i="5"/>
  <c r="AE536" i="5" s="1"/>
  <c r="AF536" i="5" s="1"/>
  <c r="A536" i="5"/>
  <c r="CH535" i="5"/>
  <c r="CG535" i="5"/>
  <c r="BY535" i="5"/>
  <c r="AU535" i="5"/>
  <c r="AE535" i="5"/>
  <c r="AF535" i="5" s="1"/>
  <c r="O535" i="5"/>
  <c r="N535" i="5"/>
  <c r="M535" i="5"/>
  <c r="I535" i="5"/>
  <c r="G535" i="5"/>
  <c r="H535" i="5" s="1"/>
  <c r="J535" i="5" s="1"/>
  <c r="D535" i="5"/>
  <c r="B535" i="5"/>
  <c r="C535" i="5" s="1"/>
  <c r="A535" i="5"/>
  <c r="CH534" i="5"/>
  <c r="CG534" i="5"/>
  <c r="BY534" i="5"/>
  <c r="BJ534" i="5"/>
  <c r="BK534" i="5" s="1"/>
  <c r="AU534" i="5"/>
  <c r="AE534" i="5"/>
  <c r="AF534" i="5" s="1"/>
  <c r="O534" i="5"/>
  <c r="N534" i="5"/>
  <c r="M534" i="5"/>
  <c r="I534" i="5"/>
  <c r="G534" i="5"/>
  <c r="H534" i="5" s="1"/>
  <c r="J534" i="5" s="1"/>
  <c r="D534" i="5"/>
  <c r="C534" i="5"/>
  <c r="B534" i="5"/>
  <c r="A534" i="5"/>
  <c r="CH533" i="5"/>
  <c r="CG533" i="5"/>
  <c r="BY533" i="5"/>
  <c r="AU533" i="5"/>
  <c r="O533" i="5"/>
  <c r="N533" i="5"/>
  <c r="M533" i="5"/>
  <c r="I533" i="5"/>
  <c r="D533" i="5"/>
  <c r="B533" i="5"/>
  <c r="A533" i="5"/>
  <c r="CH532" i="5"/>
  <c r="CG532" i="5"/>
  <c r="BY532" i="5"/>
  <c r="AU532" i="5"/>
  <c r="O532" i="5"/>
  <c r="N532" i="5"/>
  <c r="M532" i="5"/>
  <c r="I532" i="5"/>
  <c r="G532" i="5"/>
  <c r="H532" i="5" s="1"/>
  <c r="J532" i="5" s="1"/>
  <c r="D532" i="5"/>
  <c r="B532" i="5"/>
  <c r="A532" i="5"/>
  <c r="CH531" i="5"/>
  <c r="CG531" i="5"/>
  <c r="BY531" i="5"/>
  <c r="BJ531" i="5"/>
  <c r="BK531" i="5" s="1"/>
  <c r="AU531" i="5"/>
  <c r="AE531" i="5"/>
  <c r="AF531" i="5" s="1"/>
  <c r="O531" i="5"/>
  <c r="N531" i="5"/>
  <c r="M531" i="5"/>
  <c r="I531" i="5"/>
  <c r="H531" i="5"/>
  <c r="J531" i="5" s="1"/>
  <c r="D531" i="5"/>
  <c r="C531" i="5"/>
  <c r="B531" i="5"/>
  <c r="G531" i="5" s="1"/>
  <c r="A531" i="5"/>
  <c r="CH530" i="5"/>
  <c r="CG530" i="5"/>
  <c r="BY530" i="5"/>
  <c r="AU530" i="5"/>
  <c r="AF530" i="5"/>
  <c r="AE530" i="5"/>
  <c r="O530" i="5"/>
  <c r="N530" i="5"/>
  <c r="M530" i="5"/>
  <c r="I530" i="5"/>
  <c r="G530" i="5"/>
  <c r="H530" i="5" s="1"/>
  <c r="J530" i="5" s="1"/>
  <c r="D530" i="5"/>
  <c r="B530" i="5"/>
  <c r="A530" i="5"/>
  <c r="CH529" i="5"/>
  <c r="CG529" i="5"/>
  <c r="BY529" i="5"/>
  <c r="BJ529" i="5"/>
  <c r="BK529" i="5" s="1"/>
  <c r="AU529" i="5"/>
  <c r="O529" i="5"/>
  <c r="N529" i="5"/>
  <c r="M529" i="5"/>
  <c r="I529" i="5"/>
  <c r="G529" i="5"/>
  <c r="H529" i="5" s="1"/>
  <c r="J529" i="5" s="1"/>
  <c r="D529" i="5"/>
  <c r="B529" i="5"/>
  <c r="A529" i="5"/>
  <c r="CH528" i="5"/>
  <c r="CG528" i="5"/>
  <c r="BY528" i="5"/>
  <c r="BK528" i="5"/>
  <c r="BJ528" i="5"/>
  <c r="AU528" i="5"/>
  <c r="AE528" i="5"/>
  <c r="AF528" i="5" s="1"/>
  <c r="O528" i="5"/>
  <c r="N528" i="5"/>
  <c r="M528" i="5"/>
  <c r="I528" i="5"/>
  <c r="H528" i="5"/>
  <c r="J528" i="5" s="1"/>
  <c r="S528" i="5" s="1"/>
  <c r="D528" i="5"/>
  <c r="B528" i="5"/>
  <c r="G528" i="5" s="1"/>
  <c r="A528" i="5"/>
  <c r="CH527" i="5"/>
  <c r="CG527" i="5"/>
  <c r="BY527" i="5"/>
  <c r="AU527" i="5"/>
  <c r="AE527" i="5"/>
  <c r="AF527" i="5" s="1"/>
  <c r="O527" i="5"/>
  <c r="N527" i="5"/>
  <c r="M527" i="5"/>
  <c r="I527" i="5"/>
  <c r="G527" i="5"/>
  <c r="H527" i="5" s="1"/>
  <c r="J527" i="5" s="1"/>
  <c r="D527" i="5"/>
  <c r="B527" i="5"/>
  <c r="A527" i="5"/>
  <c r="CH526" i="5"/>
  <c r="CG526" i="5"/>
  <c r="BY526" i="5"/>
  <c r="BK526" i="5"/>
  <c r="BJ526" i="5"/>
  <c r="AU526" i="5"/>
  <c r="AE526" i="5"/>
  <c r="AF526" i="5" s="1"/>
  <c r="O526" i="5"/>
  <c r="N526" i="5"/>
  <c r="M526" i="5"/>
  <c r="I526" i="5"/>
  <c r="G526" i="5"/>
  <c r="H526" i="5" s="1"/>
  <c r="J526" i="5" s="1"/>
  <c r="D526" i="5"/>
  <c r="B526" i="5"/>
  <c r="C526" i="5" s="1"/>
  <c r="A526" i="5"/>
  <c r="CH525" i="5"/>
  <c r="CG525" i="5"/>
  <c r="BY525" i="5"/>
  <c r="BJ525" i="5"/>
  <c r="BK525" i="5" s="1"/>
  <c r="AU525" i="5"/>
  <c r="P525" i="5"/>
  <c r="O525" i="5"/>
  <c r="N525" i="5"/>
  <c r="M525" i="5"/>
  <c r="I525" i="5"/>
  <c r="G525" i="5"/>
  <c r="H525" i="5" s="1"/>
  <c r="J525" i="5" s="1"/>
  <c r="S525" i="5" s="1"/>
  <c r="D525" i="5"/>
  <c r="C525" i="5"/>
  <c r="B525" i="5"/>
  <c r="AE525" i="5" s="1"/>
  <c r="AF525" i="5" s="1"/>
  <c r="A525" i="5"/>
  <c r="CH524" i="5"/>
  <c r="CG524" i="5"/>
  <c r="BY524" i="5"/>
  <c r="AU524" i="5"/>
  <c r="O524" i="5"/>
  <c r="N524" i="5"/>
  <c r="M524" i="5"/>
  <c r="I524" i="5"/>
  <c r="D524" i="5"/>
  <c r="B524" i="5"/>
  <c r="A524" i="5"/>
  <c r="CH523" i="5"/>
  <c r="CG523" i="5"/>
  <c r="BY523" i="5"/>
  <c r="AU523" i="5"/>
  <c r="AF523" i="5"/>
  <c r="AE523" i="5"/>
  <c r="O523" i="5"/>
  <c r="N523" i="5"/>
  <c r="M523" i="5"/>
  <c r="J523" i="5"/>
  <c r="I523" i="5"/>
  <c r="G523" i="5"/>
  <c r="H523" i="5" s="1"/>
  <c r="D523" i="5"/>
  <c r="B523" i="5"/>
  <c r="C523" i="5" s="1"/>
  <c r="A523" i="5"/>
  <c r="CH522" i="5"/>
  <c r="CG522" i="5"/>
  <c r="BY522" i="5"/>
  <c r="BJ522" i="5"/>
  <c r="BK522" i="5" s="1"/>
  <c r="AU522" i="5"/>
  <c r="AE522" i="5"/>
  <c r="AF522" i="5" s="1"/>
  <c r="O522" i="5"/>
  <c r="N522" i="5"/>
  <c r="M522" i="5"/>
  <c r="I522" i="5"/>
  <c r="G522" i="5"/>
  <c r="H522" i="5" s="1"/>
  <c r="J522" i="5" s="1"/>
  <c r="D522" i="5"/>
  <c r="C522" i="5"/>
  <c r="B522" i="5"/>
  <c r="A522" i="5"/>
  <c r="CH521" i="5"/>
  <c r="CG521" i="5"/>
  <c r="BY521" i="5"/>
  <c r="AU521" i="5"/>
  <c r="AE521" i="5"/>
  <c r="AF521" i="5" s="1"/>
  <c r="O521" i="5"/>
  <c r="N521" i="5"/>
  <c r="M521" i="5"/>
  <c r="I521" i="5"/>
  <c r="D521" i="5"/>
  <c r="C521" i="5"/>
  <c r="B521" i="5"/>
  <c r="A521" i="5"/>
  <c r="CH520" i="5"/>
  <c r="CG520" i="5"/>
  <c r="BY520" i="5"/>
  <c r="AU520" i="5"/>
  <c r="O520" i="5"/>
  <c r="N520" i="5"/>
  <c r="M520" i="5"/>
  <c r="I520" i="5"/>
  <c r="D520" i="5"/>
  <c r="B520" i="5"/>
  <c r="G520" i="5" s="1"/>
  <c r="H520" i="5" s="1"/>
  <c r="J520" i="5" s="1"/>
  <c r="A520" i="5"/>
  <c r="CH519" i="5"/>
  <c r="CG519" i="5"/>
  <c r="BY519" i="5"/>
  <c r="BJ519" i="5"/>
  <c r="BK519" i="5" s="1"/>
  <c r="AU519" i="5"/>
  <c r="AE519" i="5"/>
  <c r="AF519" i="5" s="1"/>
  <c r="O519" i="5"/>
  <c r="N519" i="5"/>
  <c r="M519" i="5"/>
  <c r="I519" i="5"/>
  <c r="H519" i="5"/>
  <c r="J519" i="5" s="1"/>
  <c r="G519" i="5"/>
  <c r="D519" i="5"/>
  <c r="C519" i="5"/>
  <c r="B519" i="5"/>
  <c r="A519" i="5"/>
  <c r="CH518" i="5"/>
  <c r="CG518" i="5"/>
  <c r="BY518" i="5"/>
  <c r="AU518" i="5"/>
  <c r="O518" i="5"/>
  <c r="N518" i="5"/>
  <c r="M518" i="5"/>
  <c r="I518" i="5"/>
  <c r="D518" i="5"/>
  <c r="B518" i="5"/>
  <c r="AE518" i="5" s="1"/>
  <c r="AF518" i="5" s="1"/>
  <c r="A518" i="5"/>
  <c r="CH517" i="5"/>
  <c r="CG517" i="5"/>
  <c r="BY517" i="5"/>
  <c r="BJ517" i="5"/>
  <c r="BK517" i="5" s="1"/>
  <c r="AU517" i="5"/>
  <c r="O517" i="5"/>
  <c r="N517" i="5"/>
  <c r="M517" i="5"/>
  <c r="I517" i="5"/>
  <c r="D517" i="5"/>
  <c r="B517" i="5"/>
  <c r="A517" i="5"/>
  <c r="CH516" i="5"/>
  <c r="CG516" i="5"/>
  <c r="BY516" i="5"/>
  <c r="BK516" i="5"/>
  <c r="BJ516" i="5"/>
  <c r="AU516" i="5"/>
  <c r="O516" i="5"/>
  <c r="N516" i="5"/>
  <c r="M516" i="5"/>
  <c r="I516" i="5"/>
  <c r="D516" i="5"/>
  <c r="B516" i="5"/>
  <c r="A516" i="5"/>
  <c r="CH515" i="5"/>
  <c r="CG515" i="5"/>
  <c r="BY515" i="5"/>
  <c r="AU515" i="5"/>
  <c r="O515" i="5"/>
  <c r="N515" i="5"/>
  <c r="M515" i="5"/>
  <c r="I515" i="5"/>
  <c r="D515" i="5"/>
  <c r="C515" i="5"/>
  <c r="B515" i="5"/>
  <c r="A515" i="5"/>
  <c r="CH514" i="5"/>
  <c r="CG514" i="5"/>
  <c r="BY514" i="5"/>
  <c r="AU514" i="5"/>
  <c r="AE514" i="5"/>
  <c r="AF514" i="5" s="1"/>
  <c r="O514" i="5"/>
  <c r="N514" i="5"/>
  <c r="M514" i="5"/>
  <c r="I514" i="5"/>
  <c r="G514" i="5"/>
  <c r="H514" i="5" s="1"/>
  <c r="J514" i="5" s="1"/>
  <c r="D514" i="5"/>
  <c r="B514" i="5"/>
  <c r="C514" i="5" s="1"/>
  <c r="A514" i="5"/>
  <c r="CH513" i="5"/>
  <c r="CG513" i="5"/>
  <c r="BY513" i="5"/>
  <c r="AU513" i="5"/>
  <c r="O513" i="5"/>
  <c r="N513" i="5"/>
  <c r="M513" i="5"/>
  <c r="I513" i="5"/>
  <c r="D513" i="5"/>
  <c r="C513" i="5"/>
  <c r="B513" i="5"/>
  <c r="BJ513" i="5" s="1"/>
  <c r="BK513" i="5" s="1"/>
  <c r="A513" i="5"/>
  <c r="CH512" i="5"/>
  <c r="CG512" i="5"/>
  <c r="BY512" i="5"/>
  <c r="BJ512" i="5"/>
  <c r="BK512" i="5" s="1"/>
  <c r="AU512" i="5"/>
  <c r="O512" i="5"/>
  <c r="N512" i="5"/>
  <c r="M512" i="5"/>
  <c r="I512" i="5"/>
  <c r="G512" i="5"/>
  <c r="H512" i="5" s="1"/>
  <c r="J512" i="5" s="1"/>
  <c r="D512" i="5"/>
  <c r="B512" i="5"/>
  <c r="C512" i="5" s="1"/>
  <c r="A512" i="5"/>
  <c r="CH511" i="5"/>
  <c r="CG511" i="5"/>
  <c r="BY511" i="5"/>
  <c r="AU511" i="5"/>
  <c r="O511" i="5"/>
  <c r="N511" i="5"/>
  <c r="M511" i="5"/>
  <c r="I511" i="5"/>
  <c r="D511" i="5"/>
  <c r="B511" i="5"/>
  <c r="G511" i="5" s="1"/>
  <c r="H511" i="5" s="1"/>
  <c r="J511" i="5" s="1"/>
  <c r="A511" i="5"/>
  <c r="CH510" i="5"/>
  <c r="CG510" i="5"/>
  <c r="BY510" i="5"/>
  <c r="AU510" i="5"/>
  <c r="O510" i="5"/>
  <c r="N510" i="5"/>
  <c r="M510" i="5"/>
  <c r="I510" i="5"/>
  <c r="D510" i="5"/>
  <c r="B510" i="5"/>
  <c r="G510" i="5" s="1"/>
  <c r="H510" i="5" s="1"/>
  <c r="J510" i="5" s="1"/>
  <c r="A510" i="5"/>
  <c r="CH509" i="5"/>
  <c r="CG509" i="5"/>
  <c r="BY509" i="5"/>
  <c r="BK509" i="5"/>
  <c r="BJ509" i="5"/>
  <c r="AU509" i="5"/>
  <c r="AF509" i="5"/>
  <c r="AE509" i="5"/>
  <c r="O509" i="5"/>
  <c r="N509" i="5"/>
  <c r="M509" i="5"/>
  <c r="J509" i="5"/>
  <c r="I509" i="5"/>
  <c r="G509" i="5"/>
  <c r="H509" i="5" s="1"/>
  <c r="D509" i="5"/>
  <c r="B509" i="5"/>
  <c r="C509" i="5" s="1"/>
  <c r="A509" i="5"/>
  <c r="CH508" i="5"/>
  <c r="CG508" i="5"/>
  <c r="BY508" i="5"/>
  <c r="AU508" i="5"/>
  <c r="AE508" i="5"/>
  <c r="AF508" i="5" s="1"/>
  <c r="O508" i="5"/>
  <c r="N508" i="5"/>
  <c r="M508" i="5"/>
  <c r="I508" i="5"/>
  <c r="H508" i="5"/>
  <c r="J508" i="5" s="1"/>
  <c r="P508" i="5" s="1"/>
  <c r="G508" i="5"/>
  <c r="D508" i="5"/>
  <c r="B508" i="5"/>
  <c r="BJ508" i="5" s="1"/>
  <c r="BK508" i="5" s="1"/>
  <c r="A508" i="5"/>
  <c r="CH507" i="5"/>
  <c r="CG507" i="5"/>
  <c r="BY507" i="5"/>
  <c r="BJ507" i="5"/>
  <c r="BK507" i="5" s="1"/>
  <c r="AU507" i="5"/>
  <c r="O507" i="5"/>
  <c r="N507" i="5"/>
  <c r="M507" i="5"/>
  <c r="I507" i="5"/>
  <c r="G507" i="5"/>
  <c r="H507" i="5" s="1"/>
  <c r="J507" i="5" s="1"/>
  <c r="D507" i="5"/>
  <c r="B507" i="5"/>
  <c r="A507" i="5"/>
  <c r="CH506" i="5"/>
  <c r="BY506" i="5"/>
  <c r="BJ506" i="5"/>
  <c r="BK506" i="5" s="1"/>
  <c r="AU506" i="5"/>
  <c r="AF506" i="5"/>
  <c r="AE506" i="5"/>
  <c r="O506" i="5"/>
  <c r="N506" i="5"/>
  <c r="M506" i="5"/>
  <c r="I506" i="5"/>
  <c r="H506" i="5"/>
  <c r="J506" i="5" s="1"/>
  <c r="D506" i="5"/>
  <c r="B506" i="5"/>
  <c r="G506" i="5" s="1"/>
  <c r="A506" i="5"/>
  <c r="CH505" i="5"/>
  <c r="CG505" i="5"/>
  <c r="BY505" i="5"/>
  <c r="AU505" i="5"/>
  <c r="O505" i="5"/>
  <c r="N505" i="5"/>
  <c r="M505" i="5"/>
  <c r="I505" i="5"/>
  <c r="G505" i="5"/>
  <c r="H505" i="5" s="1"/>
  <c r="J505" i="5" s="1"/>
  <c r="D505" i="5"/>
  <c r="B505" i="5"/>
  <c r="A505" i="5"/>
  <c r="CH504" i="5"/>
  <c r="CG504" i="5"/>
  <c r="BY504" i="5"/>
  <c r="BJ504" i="5"/>
  <c r="BK504" i="5" s="1"/>
  <c r="AU504" i="5"/>
  <c r="AE504" i="5"/>
  <c r="AF504" i="5" s="1"/>
  <c r="O504" i="5"/>
  <c r="N504" i="5"/>
  <c r="M504" i="5"/>
  <c r="J504" i="5"/>
  <c r="I504" i="5"/>
  <c r="G504" i="5"/>
  <c r="H504" i="5" s="1"/>
  <c r="D504" i="5"/>
  <c r="B504" i="5"/>
  <c r="C504" i="5" s="1"/>
  <c r="A504" i="5"/>
  <c r="CH503" i="5"/>
  <c r="CG503" i="5"/>
  <c r="BY503" i="5"/>
  <c r="AU503" i="5"/>
  <c r="O503" i="5"/>
  <c r="N503" i="5"/>
  <c r="M503" i="5"/>
  <c r="I503" i="5"/>
  <c r="D503" i="5"/>
  <c r="B503" i="5"/>
  <c r="BJ503" i="5" s="1"/>
  <c r="BK503" i="5" s="1"/>
  <c r="A503" i="5"/>
  <c r="CH502" i="5"/>
  <c r="CG502" i="5"/>
  <c r="BY502" i="5"/>
  <c r="AU502" i="5"/>
  <c r="O502" i="5"/>
  <c r="N502" i="5"/>
  <c r="M502" i="5"/>
  <c r="I502" i="5"/>
  <c r="D502" i="5"/>
  <c r="B502" i="5"/>
  <c r="BJ502" i="5" s="1"/>
  <c r="BK502" i="5" s="1"/>
  <c r="A502" i="5"/>
  <c r="CH501" i="5"/>
  <c r="CG501" i="5"/>
  <c r="BY501" i="5"/>
  <c r="AU501" i="5"/>
  <c r="O501" i="5"/>
  <c r="N501" i="5"/>
  <c r="M501" i="5"/>
  <c r="I501" i="5"/>
  <c r="D501" i="5"/>
  <c r="C501" i="5"/>
  <c r="B501" i="5"/>
  <c r="G501" i="5" s="1"/>
  <c r="H501" i="5" s="1"/>
  <c r="J501" i="5" s="1"/>
  <c r="S501" i="5" s="1"/>
  <c r="A501" i="5"/>
  <c r="CH500" i="5"/>
  <c r="CG500" i="5"/>
  <c r="BY500" i="5"/>
  <c r="BJ500" i="5"/>
  <c r="BK500" i="5" s="1"/>
  <c r="AU500" i="5"/>
  <c r="AE500" i="5"/>
  <c r="AF500" i="5" s="1"/>
  <c r="O500" i="5"/>
  <c r="N500" i="5"/>
  <c r="M500" i="5"/>
  <c r="I500" i="5"/>
  <c r="H500" i="5"/>
  <c r="J500" i="5" s="1"/>
  <c r="G500" i="5"/>
  <c r="D500" i="5"/>
  <c r="C500" i="5"/>
  <c r="B500" i="5"/>
  <c r="A500" i="5"/>
  <c r="CH499" i="5"/>
  <c r="CG499" i="5"/>
  <c r="BY499" i="5"/>
  <c r="AU499" i="5"/>
  <c r="O499" i="5"/>
  <c r="N499" i="5"/>
  <c r="M499" i="5"/>
  <c r="I499" i="5"/>
  <c r="D499" i="5"/>
  <c r="B499" i="5"/>
  <c r="C499" i="5" s="1"/>
  <c r="A499" i="5"/>
  <c r="CH498" i="5"/>
  <c r="CG498" i="5"/>
  <c r="BY498" i="5"/>
  <c r="AU498" i="5"/>
  <c r="O498" i="5"/>
  <c r="N498" i="5"/>
  <c r="M498" i="5"/>
  <c r="I498" i="5"/>
  <c r="D498" i="5"/>
  <c r="B498" i="5"/>
  <c r="AE498" i="5" s="1"/>
  <c r="AF498" i="5" s="1"/>
  <c r="A498" i="5"/>
  <c r="CH497" i="5"/>
  <c r="CG497" i="5"/>
  <c r="BY497" i="5"/>
  <c r="BK497" i="5"/>
  <c r="BJ497" i="5"/>
  <c r="AU497" i="5"/>
  <c r="AE497" i="5"/>
  <c r="AF497" i="5" s="1"/>
  <c r="O497" i="5"/>
  <c r="N497" i="5"/>
  <c r="M497" i="5"/>
  <c r="J497" i="5"/>
  <c r="I497" i="5"/>
  <c r="H497" i="5"/>
  <c r="G497" i="5"/>
  <c r="D497" i="5"/>
  <c r="C497" i="5"/>
  <c r="B497" i="5"/>
  <c r="A497" i="5"/>
  <c r="CH496" i="5"/>
  <c r="CG496" i="5"/>
  <c r="BY496" i="5"/>
  <c r="AU496" i="5"/>
  <c r="O496" i="5"/>
  <c r="N496" i="5"/>
  <c r="M496" i="5"/>
  <c r="I496" i="5"/>
  <c r="D496" i="5"/>
  <c r="C496" i="5"/>
  <c r="B496" i="5"/>
  <c r="BJ496" i="5" s="1"/>
  <c r="BK496" i="5" s="1"/>
  <c r="A496" i="5"/>
  <c r="CH495" i="5"/>
  <c r="CG495" i="5"/>
  <c r="BY495" i="5"/>
  <c r="BJ495" i="5"/>
  <c r="BK495" i="5" s="1"/>
  <c r="AU495" i="5"/>
  <c r="O495" i="5"/>
  <c r="N495" i="5"/>
  <c r="M495" i="5"/>
  <c r="I495" i="5"/>
  <c r="H495" i="5"/>
  <c r="J495" i="5" s="1"/>
  <c r="G495" i="5"/>
  <c r="D495" i="5"/>
  <c r="B495" i="5"/>
  <c r="C495" i="5" s="1"/>
  <c r="A495" i="5"/>
  <c r="CH494" i="5"/>
  <c r="CG494" i="5"/>
  <c r="BY494" i="5"/>
  <c r="AU494" i="5"/>
  <c r="P494" i="5"/>
  <c r="O494" i="5"/>
  <c r="N494" i="5"/>
  <c r="M494" i="5"/>
  <c r="I494" i="5"/>
  <c r="H494" i="5"/>
  <c r="J494" i="5" s="1"/>
  <c r="S494" i="5" s="1"/>
  <c r="D494" i="5"/>
  <c r="C494" i="5"/>
  <c r="B494" i="5"/>
  <c r="G494" i="5" s="1"/>
  <c r="A494" i="5"/>
  <c r="CH493" i="5"/>
  <c r="CG493" i="5"/>
  <c r="BY493" i="5"/>
  <c r="BK493" i="5"/>
  <c r="AU493" i="5"/>
  <c r="AE493" i="5"/>
  <c r="AF493" i="5" s="1"/>
  <c r="O493" i="5"/>
  <c r="N493" i="5"/>
  <c r="M493" i="5"/>
  <c r="I493" i="5"/>
  <c r="H493" i="5"/>
  <c r="J493" i="5" s="1"/>
  <c r="G493" i="5"/>
  <c r="D493" i="5"/>
  <c r="C493" i="5"/>
  <c r="B493" i="5"/>
  <c r="BJ493" i="5" s="1"/>
  <c r="A493" i="5"/>
  <c r="CH492" i="5"/>
  <c r="CG492" i="5"/>
  <c r="BY492" i="5"/>
  <c r="AU492" i="5"/>
  <c r="O492" i="5"/>
  <c r="N492" i="5"/>
  <c r="M492" i="5"/>
  <c r="I492" i="5"/>
  <c r="D492" i="5"/>
  <c r="B492" i="5"/>
  <c r="C492" i="5" s="1"/>
  <c r="A492" i="5"/>
  <c r="CH491" i="5"/>
  <c r="CG491" i="5"/>
  <c r="BY491" i="5"/>
  <c r="AU491" i="5"/>
  <c r="O491" i="5"/>
  <c r="N491" i="5"/>
  <c r="M491" i="5"/>
  <c r="I491" i="5"/>
  <c r="G491" i="5"/>
  <c r="H491" i="5" s="1"/>
  <c r="J491" i="5" s="1"/>
  <c r="D491" i="5"/>
  <c r="B491" i="5"/>
  <c r="BJ491" i="5" s="1"/>
  <c r="BK491" i="5" s="1"/>
  <c r="A491" i="5"/>
  <c r="CH490" i="5"/>
  <c r="CG490" i="5"/>
  <c r="BY490" i="5"/>
  <c r="BJ490" i="5"/>
  <c r="BK490" i="5" s="1"/>
  <c r="AU490" i="5"/>
  <c r="O490" i="5"/>
  <c r="N490" i="5"/>
  <c r="M490" i="5"/>
  <c r="I490" i="5"/>
  <c r="G490" i="5"/>
  <c r="H490" i="5" s="1"/>
  <c r="J490" i="5" s="1"/>
  <c r="D490" i="5"/>
  <c r="C490" i="5"/>
  <c r="B490" i="5"/>
  <c r="AE490" i="5" s="1"/>
  <c r="AF490" i="5" s="1"/>
  <c r="A490" i="5"/>
  <c r="CH489" i="5"/>
  <c r="CG489" i="5"/>
  <c r="BY489" i="5"/>
  <c r="AU489" i="5"/>
  <c r="AF489" i="5"/>
  <c r="AE489" i="5"/>
  <c r="O489" i="5"/>
  <c r="N489" i="5"/>
  <c r="M489" i="5"/>
  <c r="J489" i="5"/>
  <c r="P489" i="5" s="1"/>
  <c r="I489" i="5"/>
  <c r="G489" i="5"/>
  <c r="H489" i="5" s="1"/>
  <c r="D489" i="5"/>
  <c r="C489" i="5"/>
  <c r="B489" i="5"/>
  <c r="BJ489" i="5" s="1"/>
  <c r="BK489" i="5" s="1"/>
  <c r="A489" i="5"/>
  <c r="CH488" i="5"/>
  <c r="CG488" i="5"/>
  <c r="BY488" i="5"/>
  <c r="BJ488" i="5"/>
  <c r="BK488" i="5" s="1"/>
  <c r="AU488" i="5"/>
  <c r="AF488" i="5"/>
  <c r="AE488" i="5"/>
  <c r="O488" i="5"/>
  <c r="N488" i="5"/>
  <c r="M488" i="5"/>
  <c r="I488" i="5"/>
  <c r="H488" i="5"/>
  <c r="J488" i="5" s="1"/>
  <c r="G488" i="5"/>
  <c r="D488" i="5"/>
  <c r="C488" i="5"/>
  <c r="B488" i="5"/>
  <c r="A488" i="5"/>
  <c r="CH487" i="5"/>
  <c r="CG487" i="5"/>
  <c r="BY487" i="5"/>
  <c r="AU487" i="5"/>
  <c r="O487" i="5"/>
  <c r="N487" i="5"/>
  <c r="M487" i="5"/>
  <c r="I487" i="5"/>
  <c r="D487" i="5"/>
  <c r="C487" i="5"/>
  <c r="B487" i="5"/>
  <c r="G487" i="5" s="1"/>
  <c r="H487" i="5" s="1"/>
  <c r="J487" i="5" s="1"/>
  <c r="A487" i="5"/>
  <c r="CH486" i="5"/>
  <c r="CG486" i="5"/>
  <c r="BY486" i="5"/>
  <c r="BJ486" i="5"/>
  <c r="BK486" i="5" s="1"/>
  <c r="AU486" i="5"/>
  <c r="AF486" i="5"/>
  <c r="O486" i="5"/>
  <c r="N486" i="5"/>
  <c r="M486" i="5"/>
  <c r="I486" i="5"/>
  <c r="G486" i="5"/>
  <c r="H486" i="5" s="1"/>
  <c r="J486" i="5" s="1"/>
  <c r="D486" i="5"/>
  <c r="B486" i="5"/>
  <c r="AE486" i="5" s="1"/>
  <c r="A486" i="5"/>
  <c r="CH485" i="5"/>
  <c r="CG485" i="5"/>
  <c r="BY485" i="5"/>
  <c r="BJ485" i="5"/>
  <c r="BK485" i="5" s="1"/>
  <c r="AU485" i="5"/>
  <c r="AE485" i="5"/>
  <c r="AF485" i="5" s="1"/>
  <c r="O485" i="5"/>
  <c r="N485" i="5"/>
  <c r="M485" i="5"/>
  <c r="I485" i="5"/>
  <c r="H485" i="5"/>
  <c r="J485" i="5" s="1"/>
  <c r="D485" i="5"/>
  <c r="C485" i="5"/>
  <c r="B485" i="5"/>
  <c r="G485" i="5" s="1"/>
  <c r="A485" i="5"/>
  <c r="CH484" i="5"/>
  <c r="CG484" i="5"/>
  <c r="BY484" i="5"/>
  <c r="AU484" i="5"/>
  <c r="O484" i="5"/>
  <c r="N484" i="5"/>
  <c r="M484" i="5"/>
  <c r="I484" i="5"/>
  <c r="D484" i="5"/>
  <c r="B484" i="5"/>
  <c r="A484" i="5"/>
  <c r="CH483" i="5"/>
  <c r="CG483" i="5"/>
  <c r="BY483" i="5"/>
  <c r="AU483" i="5"/>
  <c r="O483" i="5"/>
  <c r="N483" i="5"/>
  <c r="M483" i="5"/>
  <c r="J483" i="5"/>
  <c r="I483" i="5"/>
  <c r="G483" i="5"/>
  <c r="H483" i="5" s="1"/>
  <c r="D483" i="5"/>
  <c r="B483" i="5"/>
  <c r="A483" i="5"/>
  <c r="CH482" i="5"/>
  <c r="CG482" i="5"/>
  <c r="BY482" i="5"/>
  <c r="AU482" i="5"/>
  <c r="O482" i="5"/>
  <c r="N482" i="5"/>
  <c r="M482" i="5"/>
  <c r="I482" i="5"/>
  <c r="D482" i="5"/>
  <c r="B482" i="5"/>
  <c r="A482" i="5"/>
  <c r="CH481" i="5"/>
  <c r="CG481" i="5"/>
  <c r="BY481" i="5"/>
  <c r="AU481" i="5"/>
  <c r="O481" i="5"/>
  <c r="N481" i="5"/>
  <c r="M481" i="5"/>
  <c r="I481" i="5"/>
  <c r="D481" i="5"/>
  <c r="B481" i="5"/>
  <c r="A481" i="5"/>
  <c r="CH480" i="5"/>
  <c r="CG480" i="5"/>
  <c r="BY480" i="5"/>
  <c r="AU480" i="5"/>
  <c r="AF480" i="5"/>
  <c r="AE480" i="5"/>
  <c r="O480" i="5"/>
  <c r="N480" i="5"/>
  <c r="M480" i="5"/>
  <c r="I480" i="5"/>
  <c r="D480" i="5"/>
  <c r="B480" i="5"/>
  <c r="C480" i="5" s="1"/>
  <c r="A480" i="5"/>
  <c r="CH479" i="5"/>
  <c r="CG479" i="5"/>
  <c r="BY479" i="5"/>
  <c r="AU479" i="5"/>
  <c r="O479" i="5"/>
  <c r="N479" i="5"/>
  <c r="M479" i="5"/>
  <c r="I479" i="5"/>
  <c r="D479" i="5"/>
  <c r="B479" i="5"/>
  <c r="A479" i="5"/>
  <c r="CH478" i="5"/>
  <c r="CG478" i="5"/>
  <c r="BY478" i="5"/>
  <c r="AU478" i="5"/>
  <c r="O478" i="5"/>
  <c r="N478" i="5"/>
  <c r="M478" i="5"/>
  <c r="I478" i="5"/>
  <c r="D478" i="5"/>
  <c r="C478" i="5"/>
  <c r="B478" i="5"/>
  <c r="BJ478" i="5" s="1"/>
  <c r="BK478" i="5" s="1"/>
  <c r="A478" i="5"/>
  <c r="CH477" i="5"/>
  <c r="CG477" i="5"/>
  <c r="BY477" i="5"/>
  <c r="AU477" i="5"/>
  <c r="AF477" i="5"/>
  <c r="AE477" i="5"/>
  <c r="O477" i="5"/>
  <c r="N477" i="5"/>
  <c r="M477" i="5"/>
  <c r="J477" i="5"/>
  <c r="I477" i="5"/>
  <c r="D477" i="5"/>
  <c r="C477" i="5"/>
  <c r="B477" i="5"/>
  <c r="G477" i="5" s="1"/>
  <c r="H477" i="5" s="1"/>
  <c r="A477" i="5"/>
  <c r="CH476" i="5"/>
  <c r="CG476" i="5"/>
  <c r="BY476" i="5"/>
  <c r="BJ476" i="5"/>
  <c r="BK476" i="5" s="1"/>
  <c r="AU476" i="5"/>
  <c r="AF476" i="5"/>
  <c r="AE476" i="5"/>
  <c r="O476" i="5"/>
  <c r="N476" i="5"/>
  <c r="M476" i="5"/>
  <c r="I476" i="5"/>
  <c r="G476" i="5"/>
  <c r="H476" i="5" s="1"/>
  <c r="J476" i="5" s="1"/>
  <c r="D476" i="5"/>
  <c r="C476" i="5"/>
  <c r="B476" i="5"/>
  <c r="A476" i="5"/>
  <c r="CH475" i="5"/>
  <c r="BY475" i="5"/>
  <c r="AU475" i="5"/>
  <c r="O475" i="5"/>
  <c r="N475" i="5"/>
  <c r="M475" i="5"/>
  <c r="I475" i="5"/>
  <c r="D475" i="5"/>
  <c r="B475" i="5"/>
  <c r="C475" i="5" s="1"/>
  <c r="A475" i="5"/>
  <c r="CH474" i="5"/>
  <c r="CG474" i="5"/>
  <c r="BY474" i="5"/>
  <c r="BJ474" i="5"/>
  <c r="BK474" i="5" s="1"/>
  <c r="AU474" i="5"/>
  <c r="AF474" i="5"/>
  <c r="AE474" i="5"/>
  <c r="O474" i="5"/>
  <c r="N474" i="5"/>
  <c r="M474" i="5"/>
  <c r="I474" i="5"/>
  <c r="G474" i="5"/>
  <c r="H474" i="5" s="1"/>
  <c r="J474" i="5" s="1"/>
  <c r="D474" i="5"/>
  <c r="B474" i="5"/>
  <c r="C474" i="5" s="1"/>
  <c r="A474" i="5"/>
  <c r="CH473" i="5"/>
  <c r="CG473" i="5"/>
  <c r="BY473" i="5"/>
  <c r="BK473" i="5"/>
  <c r="BJ473" i="5"/>
  <c r="AU473" i="5"/>
  <c r="AE473" i="5"/>
  <c r="AF473" i="5" s="1"/>
  <c r="O473" i="5"/>
  <c r="N473" i="5"/>
  <c r="M473" i="5"/>
  <c r="I473" i="5"/>
  <c r="G473" i="5"/>
  <c r="H473" i="5" s="1"/>
  <c r="J473" i="5" s="1"/>
  <c r="D473" i="5"/>
  <c r="C473" i="5"/>
  <c r="B473" i="5"/>
  <c r="A473" i="5"/>
  <c r="CH472" i="5"/>
  <c r="CG472" i="5"/>
  <c r="BY472" i="5"/>
  <c r="BK472" i="5"/>
  <c r="AU472" i="5"/>
  <c r="O472" i="5"/>
  <c r="N472" i="5"/>
  <c r="M472" i="5"/>
  <c r="I472" i="5"/>
  <c r="D472" i="5"/>
  <c r="C472" i="5"/>
  <c r="B472" i="5"/>
  <c r="BJ472" i="5" s="1"/>
  <c r="A472" i="5"/>
  <c r="CH471" i="5"/>
  <c r="CG471" i="5"/>
  <c r="BY471" i="5"/>
  <c r="BJ471" i="5"/>
  <c r="BK471" i="5" s="1"/>
  <c r="AU471" i="5"/>
  <c r="AF471" i="5"/>
  <c r="AE471" i="5"/>
  <c r="O471" i="5"/>
  <c r="N471" i="5"/>
  <c r="M471" i="5"/>
  <c r="I471" i="5"/>
  <c r="H471" i="5"/>
  <c r="J471" i="5" s="1"/>
  <c r="G471" i="5"/>
  <c r="D471" i="5"/>
  <c r="C471" i="5"/>
  <c r="B471" i="5"/>
  <c r="A471" i="5"/>
  <c r="CH470" i="5"/>
  <c r="CG470" i="5"/>
  <c r="BY470" i="5"/>
  <c r="AU470" i="5"/>
  <c r="O470" i="5"/>
  <c r="N470" i="5"/>
  <c r="M470" i="5"/>
  <c r="J470" i="5"/>
  <c r="I470" i="5"/>
  <c r="H470" i="5"/>
  <c r="G470" i="5"/>
  <c r="D470" i="5"/>
  <c r="C470" i="5"/>
  <c r="B470" i="5"/>
  <c r="BJ470" i="5" s="1"/>
  <c r="BK470" i="5" s="1"/>
  <c r="A470" i="5"/>
  <c r="CH469" i="5"/>
  <c r="CG469" i="5"/>
  <c r="BY469" i="5"/>
  <c r="BJ469" i="5"/>
  <c r="BK469" i="5" s="1"/>
  <c r="AU469" i="5"/>
  <c r="O469" i="5"/>
  <c r="N469" i="5"/>
  <c r="M469" i="5"/>
  <c r="I469" i="5"/>
  <c r="D469" i="5"/>
  <c r="B469" i="5"/>
  <c r="A469" i="5"/>
  <c r="CH468" i="5"/>
  <c r="CG468" i="5"/>
  <c r="BY468" i="5"/>
  <c r="BJ468" i="5"/>
  <c r="BK468" i="5" s="1"/>
  <c r="AU468" i="5"/>
  <c r="AE468" i="5"/>
  <c r="AF468" i="5" s="1"/>
  <c r="O468" i="5"/>
  <c r="N468" i="5"/>
  <c r="M468" i="5"/>
  <c r="I468" i="5"/>
  <c r="D468" i="5"/>
  <c r="C468" i="5"/>
  <c r="B468" i="5"/>
  <c r="G468" i="5" s="1"/>
  <c r="H468" i="5" s="1"/>
  <c r="J468" i="5" s="1"/>
  <c r="A468" i="5"/>
  <c r="CH467" i="5"/>
  <c r="CG467" i="5"/>
  <c r="BY467" i="5"/>
  <c r="AU467" i="5"/>
  <c r="O467" i="5"/>
  <c r="N467" i="5"/>
  <c r="M467" i="5"/>
  <c r="I467" i="5"/>
  <c r="G467" i="5"/>
  <c r="H467" i="5" s="1"/>
  <c r="J467" i="5" s="1"/>
  <c r="D467" i="5"/>
  <c r="B467" i="5"/>
  <c r="A467" i="5"/>
  <c r="CH466" i="5"/>
  <c r="CG466" i="5"/>
  <c r="BY466" i="5"/>
  <c r="AU466" i="5"/>
  <c r="O466" i="5"/>
  <c r="N466" i="5"/>
  <c r="M466" i="5"/>
  <c r="I466" i="5"/>
  <c r="D466" i="5"/>
  <c r="B466" i="5"/>
  <c r="BJ466" i="5" s="1"/>
  <c r="BK466" i="5" s="1"/>
  <c r="A466" i="5"/>
  <c r="CH465" i="5"/>
  <c r="CG465" i="5"/>
  <c r="BY465" i="5"/>
  <c r="AU465" i="5"/>
  <c r="AE465" i="5"/>
  <c r="AF465" i="5" s="1"/>
  <c r="O465" i="5"/>
  <c r="N465" i="5"/>
  <c r="M465" i="5"/>
  <c r="I465" i="5"/>
  <c r="H465" i="5"/>
  <c r="J465" i="5" s="1"/>
  <c r="D465" i="5"/>
  <c r="B465" i="5"/>
  <c r="G465" i="5" s="1"/>
  <c r="A465" i="5"/>
  <c r="CH464" i="5"/>
  <c r="CG464" i="5"/>
  <c r="BY464" i="5"/>
  <c r="AU464" i="5"/>
  <c r="O464" i="5"/>
  <c r="N464" i="5"/>
  <c r="M464" i="5"/>
  <c r="I464" i="5"/>
  <c r="D464" i="5"/>
  <c r="B464" i="5"/>
  <c r="A464" i="5"/>
  <c r="CH463" i="5"/>
  <c r="CG463" i="5"/>
  <c r="BY463" i="5"/>
  <c r="AU463" i="5"/>
  <c r="O463" i="5"/>
  <c r="N463" i="5"/>
  <c r="M463" i="5"/>
  <c r="I463" i="5"/>
  <c r="D463" i="5"/>
  <c r="B463" i="5"/>
  <c r="A463" i="5"/>
  <c r="CH462" i="5"/>
  <c r="CG462" i="5"/>
  <c r="BY462" i="5"/>
  <c r="BJ462" i="5"/>
  <c r="BK462" i="5" s="1"/>
  <c r="AU462" i="5"/>
  <c r="AF462" i="5"/>
  <c r="AE462" i="5"/>
  <c r="O462" i="5"/>
  <c r="N462" i="5"/>
  <c r="M462" i="5"/>
  <c r="I462" i="5"/>
  <c r="G462" i="5"/>
  <c r="H462" i="5" s="1"/>
  <c r="J462" i="5" s="1"/>
  <c r="D462" i="5"/>
  <c r="B462" i="5"/>
  <c r="C462" i="5" s="1"/>
  <c r="A462" i="5"/>
  <c r="CH461" i="5"/>
  <c r="CG461" i="5"/>
  <c r="BY461" i="5"/>
  <c r="BJ461" i="5"/>
  <c r="BK461" i="5" s="1"/>
  <c r="AU461" i="5"/>
  <c r="AE461" i="5"/>
  <c r="AF461" i="5" s="1"/>
  <c r="O461" i="5"/>
  <c r="N461" i="5"/>
  <c r="M461" i="5"/>
  <c r="I461" i="5"/>
  <c r="G461" i="5"/>
  <c r="H461" i="5" s="1"/>
  <c r="J461" i="5" s="1"/>
  <c r="D461" i="5"/>
  <c r="C461" i="5"/>
  <c r="B461" i="5"/>
  <c r="A461" i="5"/>
  <c r="CH460" i="5"/>
  <c r="CG460" i="5"/>
  <c r="BY460" i="5"/>
  <c r="BK460" i="5"/>
  <c r="AU460" i="5"/>
  <c r="O460" i="5"/>
  <c r="N460" i="5"/>
  <c r="M460" i="5"/>
  <c r="I460" i="5"/>
  <c r="D460" i="5"/>
  <c r="C460" i="5"/>
  <c r="B460" i="5"/>
  <c r="BJ460" i="5" s="1"/>
  <c r="A460" i="5"/>
  <c r="CH459" i="5"/>
  <c r="CG459" i="5"/>
  <c r="BY459" i="5"/>
  <c r="BJ459" i="5"/>
  <c r="BK459" i="5" s="1"/>
  <c r="AU459" i="5"/>
  <c r="AF459" i="5"/>
  <c r="AE459" i="5"/>
  <c r="O459" i="5"/>
  <c r="N459" i="5"/>
  <c r="M459" i="5"/>
  <c r="I459" i="5"/>
  <c r="G459" i="5"/>
  <c r="H459" i="5" s="1"/>
  <c r="J459" i="5" s="1"/>
  <c r="D459" i="5"/>
  <c r="C459" i="5"/>
  <c r="B459" i="5"/>
  <c r="A459" i="5"/>
  <c r="CH458" i="5"/>
  <c r="CG458" i="5"/>
  <c r="BY458" i="5"/>
  <c r="AU458" i="5"/>
  <c r="O458" i="5"/>
  <c r="N458" i="5"/>
  <c r="M458" i="5"/>
  <c r="I458" i="5"/>
  <c r="D458" i="5"/>
  <c r="B458" i="5"/>
  <c r="G458" i="5" s="1"/>
  <c r="H458" i="5" s="1"/>
  <c r="J458" i="5" s="1"/>
  <c r="A458" i="5"/>
  <c r="CH457" i="5"/>
  <c r="CG457" i="5"/>
  <c r="BY457" i="5"/>
  <c r="AU457" i="5"/>
  <c r="O457" i="5"/>
  <c r="N457" i="5"/>
  <c r="M457" i="5"/>
  <c r="I457" i="5"/>
  <c r="D457" i="5"/>
  <c r="B457" i="5"/>
  <c r="C457" i="5" s="1"/>
  <c r="A457" i="5"/>
  <c r="CH456" i="5"/>
  <c r="CG456" i="5"/>
  <c r="BY456" i="5"/>
  <c r="AU456" i="5"/>
  <c r="O456" i="5"/>
  <c r="N456" i="5"/>
  <c r="M456" i="5"/>
  <c r="I456" i="5"/>
  <c r="D456" i="5"/>
  <c r="B456" i="5"/>
  <c r="A456" i="5"/>
  <c r="CH455" i="5"/>
  <c r="CG455" i="5"/>
  <c r="BY455" i="5"/>
  <c r="BJ455" i="5"/>
  <c r="BK455" i="5" s="1"/>
  <c r="AU455" i="5"/>
  <c r="AE455" i="5"/>
  <c r="AF455" i="5" s="1"/>
  <c r="O455" i="5"/>
  <c r="N455" i="5"/>
  <c r="M455" i="5"/>
  <c r="I455" i="5"/>
  <c r="G455" i="5"/>
  <c r="H455" i="5" s="1"/>
  <c r="J455" i="5" s="1"/>
  <c r="D455" i="5"/>
  <c r="B455" i="5"/>
  <c r="C455" i="5" s="1"/>
  <c r="A455" i="5"/>
  <c r="CH454" i="5"/>
  <c r="CG454" i="5"/>
  <c r="BY454" i="5"/>
  <c r="AU454" i="5"/>
  <c r="AF454" i="5"/>
  <c r="AE454" i="5"/>
  <c r="O454" i="5"/>
  <c r="N454" i="5"/>
  <c r="M454" i="5"/>
  <c r="I454" i="5"/>
  <c r="H454" i="5"/>
  <c r="J454" i="5" s="1"/>
  <c r="P454" i="5" s="1"/>
  <c r="G454" i="5"/>
  <c r="D454" i="5"/>
  <c r="C454" i="5"/>
  <c r="B454" i="5"/>
  <c r="BJ454" i="5" s="1"/>
  <c r="BK454" i="5" s="1"/>
  <c r="A454" i="5"/>
  <c r="CH453" i="5"/>
  <c r="CG453" i="5"/>
  <c r="BY453" i="5"/>
  <c r="AU453" i="5"/>
  <c r="O453" i="5"/>
  <c r="N453" i="5"/>
  <c r="M453" i="5"/>
  <c r="I453" i="5"/>
  <c r="G453" i="5"/>
  <c r="H453" i="5" s="1"/>
  <c r="J453" i="5" s="1"/>
  <c r="D453" i="5"/>
  <c r="B453" i="5"/>
  <c r="BJ453" i="5" s="1"/>
  <c r="BK453" i="5" s="1"/>
  <c r="A453" i="5"/>
  <c r="CH452" i="5"/>
  <c r="CG452" i="5"/>
  <c r="BY452" i="5"/>
  <c r="BJ452" i="5"/>
  <c r="BK452" i="5" s="1"/>
  <c r="AU452" i="5"/>
  <c r="O452" i="5"/>
  <c r="N452" i="5"/>
  <c r="M452" i="5"/>
  <c r="I452" i="5"/>
  <c r="D452" i="5"/>
  <c r="C452" i="5"/>
  <c r="B452" i="5"/>
  <c r="A452" i="5"/>
  <c r="CH451" i="5"/>
  <c r="CG451" i="5"/>
  <c r="BY451" i="5"/>
  <c r="BJ451" i="5"/>
  <c r="BK451" i="5" s="1"/>
  <c r="AU451" i="5"/>
  <c r="AE451" i="5"/>
  <c r="AF451" i="5" s="1"/>
  <c r="O451" i="5"/>
  <c r="N451" i="5"/>
  <c r="M451" i="5"/>
  <c r="I451" i="5"/>
  <c r="H451" i="5"/>
  <c r="J451" i="5" s="1"/>
  <c r="G451" i="5"/>
  <c r="D451" i="5"/>
  <c r="C451" i="5"/>
  <c r="B451" i="5"/>
  <c r="A451" i="5"/>
  <c r="CH450" i="5"/>
  <c r="CG450" i="5"/>
  <c r="BY450" i="5"/>
  <c r="AU450" i="5"/>
  <c r="AE450" i="5"/>
  <c r="AF450" i="5" s="1"/>
  <c r="S450" i="5"/>
  <c r="O450" i="5"/>
  <c r="N450" i="5"/>
  <c r="M450" i="5"/>
  <c r="J450" i="5"/>
  <c r="P450" i="5" s="1"/>
  <c r="I450" i="5"/>
  <c r="G450" i="5"/>
  <c r="H450" i="5" s="1"/>
  <c r="D450" i="5"/>
  <c r="B450" i="5"/>
  <c r="A450" i="5"/>
  <c r="CH449" i="5"/>
  <c r="CG449" i="5"/>
  <c r="BY449" i="5"/>
  <c r="AU449" i="5"/>
  <c r="O449" i="5"/>
  <c r="N449" i="5"/>
  <c r="M449" i="5"/>
  <c r="I449" i="5"/>
  <c r="D449" i="5"/>
  <c r="B449" i="5"/>
  <c r="A449" i="5"/>
  <c r="CH448" i="5"/>
  <c r="CG448" i="5"/>
  <c r="BY448" i="5"/>
  <c r="BK448" i="5"/>
  <c r="BJ448" i="5"/>
  <c r="AU448" i="5"/>
  <c r="AE448" i="5"/>
  <c r="AF448" i="5" s="1"/>
  <c r="O448" i="5"/>
  <c r="N448" i="5"/>
  <c r="M448" i="5"/>
  <c r="I448" i="5"/>
  <c r="D448" i="5"/>
  <c r="C448" i="5"/>
  <c r="B448" i="5"/>
  <c r="G448" i="5" s="1"/>
  <c r="H448" i="5" s="1"/>
  <c r="J448" i="5" s="1"/>
  <c r="A448" i="5"/>
  <c r="CH447" i="5"/>
  <c r="CG447" i="5"/>
  <c r="BY447" i="5"/>
  <c r="AU447" i="5"/>
  <c r="O447" i="5"/>
  <c r="N447" i="5"/>
  <c r="M447" i="5"/>
  <c r="I447" i="5"/>
  <c r="D447" i="5"/>
  <c r="B447" i="5"/>
  <c r="BJ447" i="5" s="1"/>
  <c r="BK447" i="5" s="1"/>
  <c r="A447" i="5"/>
  <c r="CH446" i="5"/>
  <c r="CG446" i="5"/>
  <c r="BY446" i="5"/>
  <c r="BJ446" i="5"/>
  <c r="BK446" i="5" s="1"/>
  <c r="AU446" i="5"/>
  <c r="O446" i="5"/>
  <c r="N446" i="5"/>
  <c r="M446" i="5"/>
  <c r="I446" i="5"/>
  <c r="H446" i="5"/>
  <c r="J446" i="5" s="1"/>
  <c r="G446" i="5"/>
  <c r="D446" i="5"/>
  <c r="B446" i="5"/>
  <c r="C446" i="5" s="1"/>
  <c r="A446" i="5"/>
  <c r="CH445" i="5"/>
  <c r="BY445" i="5"/>
  <c r="AU445" i="5"/>
  <c r="O445" i="5"/>
  <c r="N445" i="5"/>
  <c r="M445" i="5"/>
  <c r="I445" i="5"/>
  <c r="G445" i="5"/>
  <c r="H445" i="5" s="1"/>
  <c r="J445" i="5" s="1"/>
  <c r="D445" i="5"/>
  <c r="B445" i="5"/>
  <c r="C445" i="5" s="1"/>
  <c r="A445" i="5"/>
  <c r="CH444" i="5"/>
  <c r="CG444" i="5"/>
  <c r="BY444" i="5"/>
  <c r="AU444" i="5"/>
  <c r="O444" i="5"/>
  <c r="N444" i="5"/>
  <c r="M444" i="5"/>
  <c r="I444" i="5"/>
  <c r="D444" i="5"/>
  <c r="C444" i="5"/>
  <c r="B444" i="5"/>
  <c r="AE444" i="5" s="1"/>
  <c r="AF444" i="5" s="1"/>
  <c r="A444" i="5"/>
  <c r="CH443" i="5"/>
  <c r="CG443" i="5"/>
  <c r="BY443" i="5"/>
  <c r="BK443" i="5"/>
  <c r="BJ443" i="5"/>
  <c r="AU443" i="5"/>
  <c r="AE443" i="5"/>
  <c r="AF443" i="5" s="1"/>
  <c r="O443" i="5"/>
  <c r="N443" i="5"/>
  <c r="M443" i="5"/>
  <c r="I443" i="5"/>
  <c r="D443" i="5"/>
  <c r="C443" i="5"/>
  <c r="B443" i="5"/>
  <c r="G443" i="5" s="1"/>
  <c r="H443" i="5" s="1"/>
  <c r="J443" i="5" s="1"/>
  <c r="A443" i="5"/>
  <c r="CH442" i="5"/>
  <c r="CG442" i="5"/>
  <c r="BY442" i="5"/>
  <c r="BK442" i="5"/>
  <c r="AU442" i="5"/>
  <c r="AE442" i="5"/>
  <c r="AF442" i="5" s="1"/>
  <c r="O442" i="5"/>
  <c r="N442" i="5"/>
  <c r="M442" i="5"/>
  <c r="J442" i="5"/>
  <c r="S442" i="5" s="1"/>
  <c r="I442" i="5"/>
  <c r="G442" i="5"/>
  <c r="H442" i="5" s="1"/>
  <c r="D442" i="5"/>
  <c r="B442" i="5"/>
  <c r="BJ442" i="5" s="1"/>
  <c r="A442" i="5"/>
  <c r="CH441" i="5"/>
  <c r="CG441" i="5"/>
  <c r="BY441" i="5"/>
  <c r="BJ441" i="5"/>
  <c r="BK441" i="5" s="1"/>
  <c r="AU441" i="5"/>
  <c r="O441" i="5"/>
  <c r="N441" i="5"/>
  <c r="M441" i="5"/>
  <c r="I441" i="5"/>
  <c r="G441" i="5"/>
  <c r="H441" i="5" s="1"/>
  <c r="J441" i="5" s="1"/>
  <c r="D441" i="5"/>
  <c r="B441" i="5"/>
  <c r="C441" i="5" s="1"/>
  <c r="A441" i="5"/>
  <c r="CH440" i="5"/>
  <c r="CG440" i="5"/>
  <c r="BY440" i="5"/>
  <c r="AU440" i="5"/>
  <c r="AE440" i="5"/>
  <c r="AF440" i="5" s="1"/>
  <c r="O440" i="5"/>
  <c r="N440" i="5"/>
  <c r="M440" i="5"/>
  <c r="I440" i="5"/>
  <c r="H440" i="5"/>
  <c r="J440" i="5" s="1"/>
  <c r="S440" i="5" s="1"/>
  <c r="D440" i="5"/>
  <c r="B440" i="5"/>
  <c r="G440" i="5" s="1"/>
  <c r="A440" i="5"/>
  <c r="CH439" i="5"/>
  <c r="CG439" i="5"/>
  <c r="BY439" i="5"/>
  <c r="AU439" i="5"/>
  <c r="O439" i="5"/>
  <c r="N439" i="5"/>
  <c r="M439" i="5"/>
  <c r="I439" i="5"/>
  <c r="G439" i="5"/>
  <c r="H439" i="5" s="1"/>
  <c r="J439" i="5" s="1"/>
  <c r="D439" i="5"/>
  <c r="B439" i="5"/>
  <c r="A439" i="5"/>
  <c r="CH438" i="5"/>
  <c r="CG438" i="5"/>
  <c r="BY438" i="5"/>
  <c r="BJ438" i="5"/>
  <c r="BK438" i="5" s="1"/>
  <c r="AU438" i="5"/>
  <c r="AF438" i="5"/>
  <c r="AE438" i="5"/>
  <c r="O438" i="5"/>
  <c r="N438" i="5"/>
  <c r="M438" i="5"/>
  <c r="I438" i="5"/>
  <c r="G438" i="5"/>
  <c r="H438" i="5" s="1"/>
  <c r="J438" i="5" s="1"/>
  <c r="D438" i="5"/>
  <c r="B438" i="5"/>
  <c r="C438" i="5" s="1"/>
  <c r="A438" i="5"/>
  <c r="CH437" i="5"/>
  <c r="CG437" i="5"/>
  <c r="BY437" i="5"/>
  <c r="AU437" i="5"/>
  <c r="O437" i="5"/>
  <c r="N437" i="5"/>
  <c r="M437" i="5"/>
  <c r="I437" i="5"/>
  <c r="D437" i="5"/>
  <c r="B437" i="5"/>
  <c r="BJ437" i="5" s="1"/>
  <c r="BK437" i="5" s="1"/>
  <c r="A437" i="5"/>
  <c r="CH436" i="5"/>
  <c r="CG436" i="5"/>
  <c r="BY436" i="5"/>
  <c r="BJ436" i="5"/>
  <c r="BK436" i="5" s="1"/>
  <c r="AU436" i="5"/>
  <c r="O436" i="5"/>
  <c r="N436" i="5"/>
  <c r="M436" i="5"/>
  <c r="I436" i="5"/>
  <c r="G436" i="5"/>
  <c r="H436" i="5" s="1"/>
  <c r="J436" i="5" s="1"/>
  <c r="D436" i="5"/>
  <c r="B436" i="5"/>
  <c r="A436" i="5"/>
  <c r="CH435" i="5"/>
  <c r="CG435" i="5"/>
  <c r="BY435" i="5"/>
  <c r="BJ435" i="5"/>
  <c r="BK435" i="5" s="1"/>
  <c r="AU435" i="5"/>
  <c r="O435" i="5"/>
  <c r="N435" i="5"/>
  <c r="M435" i="5"/>
  <c r="I435" i="5"/>
  <c r="D435" i="5"/>
  <c r="B435" i="5"/>
  <c r="G435" i="5" s="1"/>
  <c r="H435" i="5" s="1"/>
  <c r="J435" i="5" s="1"/>
  <c r="S435" i="5" s="1"/>
  <c r="A435" i="5"/>
  <c r="CH434" i="5"/>
  <c r="CG434" i="5"/>
  <c r="BY434" i="5"/>
  <c r="BJ434" i="5"/>
  <c r="BK434" i="5" s="1"/>
  <c r="AU434" i="5"/>
  <c r="AE434" i="5"/>
  <c r="AF434" i="5" s="1"/>
  <c r="O434" i="5"/>
  <c r="N434" i="5"/>
  <c r="M434" i="5"/>
  <c r="I434" i="5"/>
  <c r="H434" i="5"/>
  <c r="J434" i="5" s="1"/>
  <c r="G434" i="5"/>
  <c r="D434" i="5"/>
  <c r="C434" i="5"/>
  <c r="B434" i="5"/>
  <c r="A434" i="5"/>
  <c r="CH433" i="5"/>
  <c r="CG433" i="5"/>
  <c r="BY433" i="5"/>
  <c r="AU433" i="5"/>
  <c r="AE433" i="5"/>
  <c r="AF433" i="5" s="1"/>
  <c r="O433" i="5"/>
  <c r="N433" i="5"/>
  <c r="M433" i="5"/>
  <c r="I433" i="5"/>
  <c r="D433" i="5"/>
  <c r="B433" i="5"/>
  <c r="C433" i="5" s="1"/>
  <c r="A433" i="5"/>
  <c r="CH432" i="5"/>
  <c r="CG432" i="5"/>
  <c r="BY432" i="5"/>
  <c r="AU432" i="5"/>
  <c r="O432" i="5"/>
  <c r="N432" i="5"/>
  <c r="M432" i="5"/>
  <c r="I432" i="5"/>
  <c r="G432" i="5"/>
  <c r="H432" i="5" s="1"/>
  <c r="J432" i="5" s="1"/>
  <c r="D432" i="5"/>
  <c r="C432" i="5"/>
  <c r="B432" i="5"/>
  <c r="AE432" i="5" s="1"/>
  <c r="AF432" i="5" s="1"/>
  <c r="A432" i="5"/>
  <c r="CH431" i="5"/>
  <c r="CG431" i="5"/>
  <c r="BY431" i="5"/>
  <c r="BK431" i="5"/>
  <c r="BJ431" i="5"/>
  <c r="AU431" i="5"/>
  <c r="AE431" i="5"/>
  <c r="AF431" i="5" s="1"/>
  <c r="O431" i="5"/>
  <c r="N431" i="5"/>
  <c r="M431" i="5"/>
  <c r="I431" i="5"/>
  <c r="H431" i="5"/>
  <c r="J431" i="5" s="1"/>
  <c r="D431" i="5"/>
  <c r="C431" i="5"/>
  <c r="B431" i="5"/>
  <c r="G431" i="5" s="1"/>
  <c r="A431" i="5"/>
  <c r="CH430" i="5"/>
  <c r="CG430" i="5"/>
  <c r="BY430" i="5"/>
  <c r="AU430" i="5"/>
  <c r="O430" i="5"/>
  <c r="N430" i="5"/>
  <c r="M430" i="5"/>
  <c r="I430" i="5"/>
  <c r="D430" i="5"/>
  <c r="C430" i="5"/>
  <c r="B430" i="5"/>
  <c r="BJ430" i="5" s="1"/>
  <c r="BK430" i="5" s="1"/>
  <c r="A430" i="5"/>
  <c r="CH429" i="5"/>
  <c r="CG429" i="5"/>
  <c r="BY429" i="5"/>
  <c r="BJ429" i="5"/>
  <c r="BK429" i="5" s="1"/>
  <c r="AU429" i="5"/>
  <c r="O429" i="5"/>
  <c r="N429" i="5"/>
  <c r="M429" i="5"/>
  <c r="I429" i="5"/>
  <c r="H429" i="5"/>
  <c r="J429" i="5" s="1"/>
  <c r="G429" i="5"/>
  <c r="D429" i="5"/>
  <c r="B429" i="5"/>
  <c r="C429" i="5" s="1"/>
  <c r="A429" i="5"/>
  <c r="CH428" i="5"/>
  <c r="CG428" i="5"/>
  <c r="BY428" i="5"/>
  <c r="BK428" i="5"/>
  <c r="BJ428" i="5"/>
  <c r="AU428" i="5"/>
  <c r="P428" i="5"/>
  <c r="O428" i="5"/>
  <c r="N428" i="5"/>
  <c r="M428" i="5"/>
  <c r="I428" i="5"/>
  <c r="H428" i="5"/>
  <c r="J428" i="5" s="1"/>
  <c r="S428" i="5" s="1"/>
  <c r="D428" i="5"/>
  <c r="B428" i="5"/>
  <c r="G428" i="5" s="1"/>
  <c r="A428" i="5"/>
  <c r="CH427" i="5"/>
  <c r="CG427" i="5"/>
  <c r="BY427" i="5"/>
  <c r="AU427" i="5"/>
  <c r="O427" i="5"/>
  <c r="N427" i="5"/>
  <c r="M427" i="5"/>
  <c r="I427" i="5"/>
  <c r="G427" i="5"/>
  <c r="H427" i="5" s="1"/>
  <c r="J427" i="5" s="1"/>
  <c r="D427" i="5"/>
  <c r="B427" i="5"/>
  <c r="C427" i="5" s="1"/>
  <c r="A427" i="5"/>
  <c r="CH426" i="5"/>
  <c r="CG426" i="5"/>
  <c r="BY426" i="5"/>
  <c r="BK426" i="5"/>
  <c r="BJ426" i="5"/>
  <c r="AU426" i="5"/>
  <c r="AF426" i="5"/>
  <c r="AE426" i="5"/>
  <c r="O426" i="5"/>
  <c r="N426" i="5"/>
  <c r="M426" i="5"/>
  <c r="J426" i="5"/>
  <c r="I426" i="5"/>
  <c r="G426" i="5"/>
  <c r="H426" i="5" s="1"/>
  <c r="D426" i="5"/>
  <c r="B426" i="5"/>
  <c r="C426" i="5" s="1"/>
  <c r="A426" i="5"/>
  <c r="CH425" i="5"/>
  <c r="CG425" i="5"/>
  <c r="BY425" i="5"/>
  <c r="AU425" i="5"/>
  <c r="AE425" i="5"/>
  <c r="AF425" i="5" s="1"/>
  <c r="O425" i="5"/>
  <c r="N425" i="5"/>
  <c r="M425" i="5"/>
  <c r="I425" i="5"/>
  <c r="H425" i="5"/>
  <c r="J425" i="5" s="1"/>
  <c r="G425" i="5"/>
  <c r="D425" i="5"/>
  <c r="B425" i="5"/>
  <c r="BJ425" i="5" s="1"/>
  <c r="BK425" i="5" s="1"/>
  <c r="A425" i="5"/>
  <c r="CH424" i="5"/>
  <c r="CG424" i="5"/>
  <c r="BY424" i="5"/>
  <c r="AU424" i="5"/>
  <c r="O424" i="5"/>
  <c r="N424" i="5"/>
  <c r="M424" i="5"/>
  <c r="I424" i="5"/>
  <c r="D424" i="5"/>
  <c r="B424" i="5"/>
  <c r="A424" i="5"/>
  <c r="CH423" i="5"/>
  <c r="CG423" i="5"/>
  <c r="BY423" i="5"/>
  <c r="AU423" i="5"/>
  <c r="O423" i="5"/>
  <c r="N423" i="5"/>
  <c r="M423" i="5"/>
  <c r="I423" i="5"/>
  <c r="D423" i="5"/>
  <c r="B423" i="5"/>
  <c r="G423" i="5" s="1"/>
  <c r="H423" i="5" s="1"/>
  <c r="J423" i="5" s="1"/>
  <c r="S423" i="5" s="1"/>
  <c r="A423" i="5"/>
  <c r="CH422" i="5"/>
  <c r="CG422" i="5"/>
  <c r="BY422" i="5"/>
  <c r="BJ422" i="5"/>
  <c r="BK422" i="5" s="1"/>
  <c r="AU422" i="5"/>
  <c r="AE422" i="5"/>
  <c r="AF422" i="5" s="1"/>
  <c r="O422" i="5"/>
  <c r="N422" i="5"/>
  <c r="M422" i="5"/>
  <c r="I422" i="5"/>
  <c r="G422" i="5"/>
  <c r="H422" i="5" s="1"/>
  <c r="J422" i="5" s="1"/>
  <c r="D422" i="5"/>
  <c r="C422" i="5"/>
  <c r="B422" i="5"/>
  <c r="A422" i="5"/>
  <c r="CH421" i="5"/>
  <c r="CG421" i="5"/>
  <c r="BY421" i="5"/>
  <c r="AU421" i="5"/>
  <c r="O421" i="5"/>
  <c r="N421" i="5"/>
  <c r="M421" i="5"/>
  <c r="I421" i="5"/>
  <c r="D421" i="5"/>
  <c r="B421" i="5"/>
  <c r="C421" i="5" s="1"/>
  <c r="A421" i="5"/>
  <c r="CH420" i="5"/>
  <c r="CG420" i="5"/>
  <c r="BY420" i="5"/>
  <c r="AU420" i="5"/>
  <c r="AF420" i="5"/>
  <c r="O420" i="5"/>
  <c r="N420" i="5"/>
  <c r="M420" i="5"/>
  <c r="I420" i="5"/>
  <c r="D420" i="5"/>
  <c r="C420" i="5"/>
  <c r="B420" i="5"/>
  <c r="AE420" i="5" s="1"/>
  <c r="A420" i="5"/>
  <c r="CH419" i="5"/>
  <c r="CG419" i="5"/>
  <c r="BY419" i="5"/>
  <c r="BJ419" i="5"/>
  <c r="BK419" i="5" s="1"/>
  <c r="AU419" i="5"/>
  <c r="AE419" i="5"/>
  <c r="AF419" i="5" s="1"/>
  <c r="O419" i="5"/>
  <c r="N419" i="5"/>
  <c r="M419" i="5"/>
  <c r="I419" i="5"/>
  <c r="D419" i="5"/>
  <c r="C419" i="5"/>
  <c r="B419" i="5"/>
  <c r="G419" i="5" s="1"/>
  <c r="H419" i="5" s="1"/>
  <c r="J419" i="5" s="1"/>
  <c r="A419" i="5"/>
  <c r="CH418" i="5"/>
  <c r="CG418" i="5"/>
  <c r="BY418" i="5"/>
  <c r="BK418" i="5"/>
  <c r="AU418" i="5"/>
  <c r="AE418" i="5"/>
  <c r="AF418" i="5" s="1"/>
  <c r="O418" i="5"/>
  <c r="N418" i="5"/>
  <c r="M418" i="5"/>
  <c r="I418" i="5"/>
  <c r="G418" i="5"/>
  <c r="H418" i="5" s="1"/>
  <c r="J418" i="5" s="1"/>
  <c r="D418" i="5"/>
  <c r="C418" i="5"/>
  <c r="B418" i="5"/>
  <c r="BJ418" i="5" s="1"/>
  <c r="A418" i="5"/>
  <c r="CH417" i="5"/>
  <c r="CG417" i="5"/>
  <c r="BY417" i="5"/>
  <c r="BJ417" i="5"/>
  <c r="BK417" i="5" s="1"/>
  <c r="AU417" i="5"/>
  <c r="O417" i="5"/>
  <c r="N417" i="5"/>
  <c r="M417" i="5"/>
  <c r="I417" i="5"/>
  <c r="G417" i="5"/>
  <c r="H417" i="5" s="1"/>
  <c r="J417" i="5" s="1"/>
  <c r="D417" i="5"/>
  <c r="B417" i="5"/>
  <c r="C417" i="5" s="1"/>
  <c r="A417" i="5"/>
  <c r="CH416" i="5"/>
  <c r="CG416" i="5"/>
  <c r="BY416" i="5"/>
  <c r="AU416" i="5"/>
  <c r="O416" i="5"/>
  <c r="N416" i="5"/>
  <c r="M416" i="5"/>
  <c r="I416" i="5"/>
  <c r="D416" i="5"/>
  <c r="C416" i="5"/>
  <c r="B416" i="5"/>
  <c r="G416" i="5" s="1"/>
  <c r="H416" i="5" s="1"/>
  <c r="J416" i="5" s="1"/>
  <c r="A416" i="5"/>
  <c r="CH415" i="5"/>
  <c r="CG415" i="5"/>
  <c r="BY415" i="5"/>
  <c r="AU415" i="5"/>
  <c r="O415" i="5"/>
  <c r="N415" i="5"/>
  <c r="M415" i="5"/>
  <c r="I415" i="5"/>
  <c r="D415" i="5"/>
  <c r="C415" i="5"/>
  <c r="B415" i="5"/>
  <c r="G415" i="5" s="1"/>
  <c r="H415" i="5" s="1"/>
  <c r="J415" i="5" s="1"/>
  <c r="A415" i="5"/>
  <c r="CH414" i="5"/>
  <c r="BY414" i="5"/>
  <c r="BJ414" i="5"/>
  <c r="BK414" i="5" s="1"/>
  <c r="AU414" i="5"/>
  <c r="AE414" i="5"/>
  <c r="AF414" i="5" s="1"/>
  <c r="O414" i="5"/>
  <c r="N414" i="5"/>
  <c r="M414" i="5"/>
  <c r="I414" i="5"/>
  <c r="H414" i="5"/>
  <c r="J414" i="5" s="1"/>
  <c r="G414" i="5"/>
  <c r="D414" i="5"/>
  <c r="C414" i="5"/>
  <c r="B414" i="5"/>
  <c r="A414" i="5"/>
  <c r="CH413" i="5"/>
  <c r="CG413" i="5"/>
  <c r="BY413" i="5"/>
  <c r="BK413" i="5"/>
  <c r="AU413" i="5"/>
  <c r="AE413" i="5"/>
  <c r="AF413" i="5" s="1"/>
  <c r="O413" i="5"/>
  <c r="N413" i="5"/>
  <c r="M413" i="5"/>
  <c r="J413" i="5"/>
  <c r="S413" i="5" s="1"/>
  <c r="I413" i="5"/>
  <c r="G413" i="5"/>
  <c r="H413" i="5" s="1"/>
  <c r="D413" i="5"/>
  <c r="B413" i="5"/>
  <c r="BJ413" i="5" s="1"/>
  <c r="A413" i="5"/>
  <c r="CH412" i="5"/>
  <c r="CG412" i="5"/>
  <c r="BY412" i="5"/>
  <c r="BJ412" i="5"/>
  <c r="BK412" i="5" s="1"/>
  <c r="AU412" i="5"/>
  <c r="O412" i="5"/>
  <c r="N412" i="5"/>
  <c r="M412" i="5"/>
  <c r="I412" i="5"/>
  <c r="G412" i="5"/>
  <c r="H412" i="5" s="1"/>
  <c r="J412" i="5" s="1"/>
  <c r="D412" i="5"/>
  <c r="B412" i="5"/>
  <c r="C412" i="5" s="1"/>
  <c r="A412" i="5"/>
  <c r="CH411" i="5"/>
  <c r="CG411" i="5"/>
  <c r="BY411" i="5"/>
  <c r="AU411" i="5"/>
  <c r="AF411" i="5"/>
  <c r="AE411" i="5"/>
  <c r="O411" i="5"/>
  <c r="N411" i="5"/>
  <c r="M411" i="5"/>
  <c r="I411" i="5"/>
  <c r="H411" i="5"/>
  <c r="J411" i="5" s="1"/>
  <c r="S411" i="5" s="1"/>
  <c r="D411" i="5"/>
  <c r="B411" i="5"/>
  <c r="G411" i="5" s="1"/>
  <c r="A411" i="5"/>
  <c r="CH410" i="5"/>
  <c r="CG410" i="5"/>
  <c r="BY410" i="5"/>
  <c r="AU410" i="5"/>
  <c r="O410" i="5"/>
  <c r="N410" i="5"/>
  <c r="M410" i="5"/>
  <c r="I410" i="5"/>
  <c r="G410" i="5"/>
  <c r="H410" i="5" s="1"/>
  <c r="J410" i="5" s="1"/>
  <c r="D410" i="5"/>
  <c r="B410" i="5"/>
  <c r="A410" i="5"/>
  <c r="CH409" i="5"/>
  <c r="CG409" i="5"/>
  <c r="BY409" i="5"/>
  <c r="BJ409" i="5"/>
  <c r="BK409" i="5" s="1"/>
  <c r="AU409" i="5"/>
  <c r="AF409" i="5"/>
  <c r="AE409" i="5"/>
  <c r="O409" i="5"/>
  <c r="N409" i="5"/>
  <c r="M409" i="5"/>
  <c r="I409" i="5"/>
  <c r="G409" i="5"/>
  <c r="H409" i="5" s="1"/>
  <c r="J409" i="5" s="1"/>
  <c r="D409" i="5"/>
  <c r="B409" i="5"/>
  <c r="C409" i="5" s="1"/>
  <c r="A409" i="5"/>
  <c r="CH408" i="5"/>
  <c r="CG408" i="5"/>
  <c r="BY408" i="5"/>
  <c r="AU408" i="5"/>
  <c r="O408" i="5"/>
  <c r="N408" i="5"/>
  <c r="M408" i="5"/>
  <c r="I408" i="5"/>
  <c r="D408" i="5"/>
  <c r="B408" i="5"/>
  <c r="BJ408" i="5" s="1"/>
  <c r="BK408" i="5" s="1"/>
  <c r="A408" i="5"/>
  <c r="CH407" i="5"/>
  <c r="CG407" i="5"/>
  <c r="BY407" i="5"/>
  <c r="BJ407" i="5"/>
  <c r="BK407" i="5" s="1"/>
  <c r="AU407" i="5"/>
  <c r="O407" i="5"/>
  <c r="N407" i="5"/>
  <c r="M407" i="5"/>
  <c r="I407" i="5"/>
  <c r="H407" i="5"/>
  <c r="J407" i="5" s="1"/>
  <c r="G407" i="5"/>
  <c r="D407" i="5"/>
  <c r="B407" i="5"/>
  <c r="A407" i="5"/>
  <c r="CH406" i="5"/>
  <c r="CG406" i="5"/>
  <c r="BY406" i="5"/>
  <c r="BJ406" i="5"/>
  <c r="BK406" i="5" s="1"/>
  <c r="AU406" i="5"/>
  <c r="O406" i="5"/>
  <c r="N406" i="5"/>
  <c r="M406" i="5"/>
  <c r="I406" i="5"/>
  <c r="D406" i="5"/>
  <c r="B406" i="5"/>
  <c r="G406" i="5" s="1"/>
  <c r="H406" i="5" s="1"/>
  <c r="J406" i="5" s="1"/>
  <c r="S406" i="5" s="1"/>
  <c r="A406" i="5"/>
  <c r="CH405" i="5"/>
  <c r="CG405" i="5"/>
  <c r="BY405" i="5"/>
  <c r="BJ405" i="5"/>
  <c r="BK405" i="5" s="1"/>
  <c r="AU405" i="5"/>
  <c r="AE405" i="5"/>
  <c r="AF405" i="5" s="1"/>
  <c r="O405" i="5"/>
  <c r="N405" i="5"/>
  <c r="M405" i="5"/>
  <c r="I405" i="5"/>
  <c r="H405" i="5"/>
  <c r="J405" i="5" s="1"/>
  <c r="G405" i="5"/>
  <c r="D405" i="5"/>
  <c r="C405" i="5"/>
  <c r="B405" i="5"/>
  <c r="A405" i="5"/>
  <c r="CH404" i="5"/>
  <c r="CG404" i="5"/>
  <c r="BY404" i="5"/>
  <c r="AU404" i="5"/>
  <c r="O404" i="5"/>
  <c r="N404" i="5"/>
  <c r="M404" i="5"/>
  <c r="I404" i="5"/>
  <c r="D404" i="5"/>
  <c r="B404" i="5"/>
  <c r="C404" i="5" s="1"/>
  <c r="A404" i="5"/>
  <c r="CH403" i="5"/>
  <c r="CG403" i="5"/>
  <c r="BY403" i="5"/>
  <c r="AU403" i="5"/>
  <c r="O403" i="5"/>
  <c r="N403" i="5"/>
  <c r="M403" i="5"/>
  <c r="I403" i="5"/>
  <c r="G403" i="5"/>
  <c r="H403" i="5" s="1"/>
  <c r="J403" i="5" s="1"/>
  <c r="D403" i="5"/>
  <c r="C403" i="5"/>
  <c r="B403" i="5"/>
  <c r="AE403" i="5" s="1"/>
  <c r="AF403" i="5" s="1"/>
  <c r="A403" i="5"/>
  <c r="CH402" i="5"/>
  <c r="CG402" i="5"/>
  <c r="BY402" i="5"/>
  <c r="BK402" i="5"/>
  <c r="BJ402" i="5"/>
  <c r="AU402" i="5"/>
  <c r="AE402" i="5"/>
  <c r="AF402" i="5" s="1"/>
  <c r="O402" i="5"/>
  <c r="N402" i="5"/>
  <c r="M402" i="5"/>
  <c r="I402" i="5"/>
  <c r="H402" i="5"/>
  <c r="J402" i="5" s="1"/>
  <c r="D402" i="5"/>
  <c r="C402" i="5"/>
  <c r="B402" i="5"/>
  <c r="G402" i="5" s="1"/>
  <c r="A402" i="5"/>
  <c r="CH401" i="5"/>
  <c r="CG401" i="5"/>
  <c r="BY401" i="5"/>
  <c r="AU401" i="5"/>
  <c r="O401" i="5"/>
  <c r="N401" i="5"/>
  <c r="M401" i="5"/>
  <c r="I401" i="5"/>
  <c r="D401" i="5"/>
  <c r="C401" i="5"/>
  <c r="B401" i="5"/>
  <c r="BJ401" i="5" s="1"/>
  <c r="BK401" i="5" s="1"/>
  <c r="A401" i="5"/>
  <c r="CH400" i="5"/>
  <c r="CG400" i="5"/>
  <c r="BY400" i="5"/>
  <c r="BJ400" i="5"/>
  <c r="BK400" i="5" s="1"/>
  <c r="AU400" i="5"/>
  <c r="O400" i="5"/>
  <c r="N400" i="5"/>
  <c r="M400" i="5"/>
  <c r="I400" i="5"/>
  <c r="H400" i="5"/>
  <c r="J400" i="5" s="1"/>
  <c r="G400" i="5"/>
  <c r="D400" i="5"/>
  <c r="B400" i="5"/>
  <c r="C400" i="5" s="1"/>
  <c r="A400" i="5"/>
  <c r="CH399" i="5"/>
  <c r="CG399" i="5"/>
  <c r="BY399" i="5"/>
  <c r="BK399" i="5"/>
  <c r="BJ399" i="5"/>
  <c r="AU399" i="5"/>
  <c r="P399" i="5"/>
  <c r="O399" i="5"/>
  <c r="N399" i="5"/>
  <c r="M399" i="5"/>
  <c r="I399" i="5"/>
  <c r="H399" i="5"/>
  <c r="J399" i="5" s="1"/>
  <c r="S399" i="5" s="1"/>
  <c r="D399" i="5"/>
  <c r="B399" i="5"/>
  <c r="G399" i="5" s="1"/>
  <c r="A399" i="5"/>
  <c r="CH398" i="5"/>
  <c r="CG398" i="5"/>
  <c r="BY398" i="5"/>
  <c r="AU398" i="5"/>
  <c r="O398" i="5"/>
  <c r="N398" i="5"/>
  <c r="M398" i="5"/>
  <c r="I398" i="5"/>
  <c r="G398" i="5"/>
  <c r="H398" i="5" s="1"/>
  <c r="J398" i="5" s="1"/>
  <c r="D398" i="5"/>
  <c r="B398" i="5"/>
  <c r="C398" i="5" s="1"/>
  <c r="A398" i="5"/>
  <c r="CH397" i="5"/>
  <c r="CG397" i="5"/>
  <c r="BY397" i="5"/>
  <c r="BK397" i="5"/>
  <c r="BJ397" i="5"/>
  <c r="AU397" i="5"/>
  <c r="AF397" i="5"/>
  <c r="AE397" i="5"/>
  <c r="O397" i="5"/>
  <c r="N397" i="5"/>
  <c r="M397" i="5"/>
  <c r="J397" i="5"/>
  <c r="I397" i="5"/>
  <c r="G397" i="5"/>
  <c r="H397" i="5" s="1"/>
  <c r="D397" i="5"/>
  <c r="B397" i="5"/>
  <c r="C397" i="5" s="1"/>
  <c r="A397" i="5"/>
  <c r="CH396" i="5"/>
  <c r="CG396" i="5"/>
  <c r="BY396" i="5"/>
  <c r="AU396" i="5"/>
  <c r="AE396" i="5"/>
  <c r="AF396" i="5" s="1"/>
  <c r="O396" i="5"/>
  <c r="N396" i="5"/>
  <c r="M396" i="5"/>
  <c r="I396" i="5"/>
  <c r="H396" i="5"/>
  <c r="J396" i="5" s="1"/>
  <c r="G396" i="5"/>
  <c r="D396" i="5"/>
  <c r="B396" i="5"/>
  <c r="BJ396" i="5" s="1"/>
  <c r="BK396" i="5" s="1"/>
  <c r="A396" i="5"/>
  <c r="CH395" i="5"/>
  <c r="CG395" i="5"/>
  <c r="BY395" i="5"/>
  <c r="AU395" i="5"/>
  <c r="O395" i="5"/>
  <c r="N395" i="5"/>
  <c r="M395" i="5"/>
  <c r="I395" i="5"/>
  <c r="D395" i="5"/>
  <c r="B395" i="5"/>
  <c r="A395" i="5"/>
  <c r="CH394" i="5"/>
  <c r="CG394" i="5"/>
  <c r="BY394" i="5"/>
  <c r="AU394" i="5"/>
  <c r="O394" i="5"/>
  <c r="N394" i="5"/>
  <c r="M394" i="5"/>
  <c r="I394" i="5"/>
  <c r="D394" i="5"/>
  <c r="B394" i="5"/>
  <c r="AE394" i="5" s="1"/>
  <c r="AF394" i="5" s="1"/>
  <c r="A394" i="5"/>
  <c r="CH393" i="5"/>
  <c r="CG393" i="5"/>
  <c r="BY393" i="5"/>
  <c r="BJ393" i="5"/>
  <c r="BK393" i="5" s="1"/>
  <c r="AU393" i="5"/>
  <c r="AE393" i="5"/>
  <c r="AF393" i="5" s="1"/>
  <c r="S393" i="5"/>
  <c r="O393" i="5"/>
  <c r="N393" i="5"/>
  <c r="M393" i="5"/>
  <c r="I393" i="5"/>
  <c r="G393" i="5"/>
  <c r="H393" i="5" s="1"/>
  <c r="J393" i="5" s="1"/>
  <c r="D393" i="5"/>
  <c r="C393" i="5"/>
  <c r="B393" i="5"/>
  <c r="A393" i="5"/>
  <c r="CH392" i="5"/>
  <c r="CG392" i="5"/>
  <c r="BY392" i="5"/>
  <c r="AU392" i="5"/>
  <c r="O392" i="5"/>
  <c r="N392" i="5"/>
  <c r="M392" i="5"/>
  <c r="I392" i="5"/>
  <c r="G392" i="5"/>
  <c r="H392" i="5" s="1"/>
  <c r="J392" i="5" s="1"/>
  <c r="D392" i="5"/>
  <c r="B392" i="5"/>
  <c r="A392" i="5"/>
  <c r="CH391" i="5"/>
  <c r="CG391" i="5"/>
  <c r="BY391" i="5"/>
  <c r="AU391" i="5"/>
  <c r="AF391" i="5"/>
  <c r="S391" i="5"/>
  <c r="O391" i="5"/>
  <c r="N391" i="5"/>
  <c r="M391" i="5"/>
  <c r="I391" i="5"/>
  <c r="H391" i="5"/>
  <c r="J391" i="5" s="1"/>
  <c r="P391" i="5" s="1"/>
  <c r="G391" i="5"/>
  <c r="D391" i="5"/>
  <c r="C391" i="5"/>
  <c r="B391" i="5"/>
  <c r="AE391" i="5" s="1"/>
  <c r="A391" i="5"/>
  <c r="CH390" i="5"/>
  <c r="CG390" i="5"/>
  <c r="BY390" i="5"/>
  <c r="BJ390" i="5"/>
  <c r="BK390" i="5" s="1"/>
  <c r="AU390" i="5"/>
  <c r="AE390" i="5"/>
  <c r="AF390" i="5" s="1"/>
  <c r="O390" i="5"/>
  <c r="N390" i="5"/>
  <c r="M390" i="5"/>
  <c r="J390" i="5"/>
  <c r="I390" i="5"/>
  <c r="H390" i="5"/>
  <c r="D390" i="5"/>
  <c r="C390" i="5"/>
  <c r="B390" i="5"/>
  <c r="G390" i="5" s="1"/>
  <c r="A390" i="5"/>
  <c r="CH389" i="5"/>
  <c r="CG389" i="5"/>
  <c r="BY389" i="5"/>
  <c r="BK389" i="5"/>
  <c r="AU389" i="5"/>
  <c r="AE389" i="5"/>
  <c r="AF389" i="5" s="1"/>
  <c r="P389" i="5"/>
  <c r="O389" i="5"/>
  <c r="N389" i="5"/>
  <c r="M389" i="5"/>
  <c r="I389" i="5"/>
  <c r="G389" i="5"/>
  <c r="H389" i="5" s="1"/>
  <c r="J389" i="5" s="1"/>
  <c r="D389" i="5"/>
  <c r="C389" i="5"/>
  <c r="B389" i="5"/>
  <c r="BJ389" i="5" s="1"/>
  <c r="A389" i="5"/>
  <c r="CH388" i="5"/>
  <c r="CG388" i="5"/>
  <c r="BY388" i="5"/>
  <c r="BJ388" i="5"/>
  <c r="BK388" i="5" s="1"/>
  <c r="AU388" i="5"/>
  <c r="O388" i="5"/>
  <c r="N388" i="5"/>
  <c r="M388" i="5"/>
  <c r="I388" i="5"/>
  <c r="G388" i="5"/>
  <c r="H388" i="5" s="1"/>
  <c r="J388" i="5" s="1"/>
  <c r="D388" i="5"/>
  <c r="B388" i="5"/>
  <c r="A388" i="5"/>
  <c r="CH387" i="5"/>
  <c r="CG387" i="5"/>
  <c r="BY387" i="5"/>
  <c r="AU387" i="5"/>
  <c r="AE387" i="5"/>
  <c r="AF387" i="5" s="1"/>
  <c r="O387" i="5"/>
  <c r="N387" i="5"/>
  <c r="M387" i="5"/>
  <c r="I387" i="5"/>
  <c r="H387" i="5"/>
  <c r="J387" i="5" s="1"/>
  <c r="D387" i="5"/>
  <c r="C387" i="5"/>
  <c r="B387" i="5"/>
  <c r="G387" i="5" s="1"/>
  <c r="A387" i="5"/>
  <c r="CH386" i="5"/>
  <c r="CG386" i="5"/>
  <c r="BY386" i="5"/>
  <c r="AU386" i="5"/>
  <c r="O386" i="5"/>
  <c r="N386" i="5"/>
  <c r="M386" i="5"/>
  <c r="I386" i="5"/>
  <c r="D386" i="5"/>
  <c r="B386" i="5"/>
  <c r="AE386" i="5" s="1"/>
  <c r="AF386" i="5" s="1"/>
  <c r="A386" i="5"/>
  <c r="CH385" i="5"/>
  <c r="CG385" i="5"/>
  <c r="BY385" i="5"/>
  <c r="BJ385" i="5"/>
  <c r="BK385" i="5" s="1"/>
  <c r="AU385" i="5"/>
  <c r="AF385" i="5"/>
  <c r="AE385" i="5"/>
  <c r="O385" i="5"/>
  <c r="N385" i="5"/>
  <c r="M385" i="5"/>
  <c r="I385" i="5"/>
  <c r="G385" i="5"/>
  <c r="H385" i="5" s="1"/>
  <c r="J385" i="5" s="1"/>
  <c r="D385" i="5"/>
  <c r="B385" i="5"/>
  <c r="C385" i="5" s="1"/>
  <c r="A385" i="5"/>
  <c r="BY384" i="5"/>
  <c r="BJ384" i="5"/>
  <c r="BK384" i="5" s="1"/>
  <c r="AU384" i="5"/>
  <c r="AE384" i="5"/>
  <c r="AF384" i="5" s="1"/>
  <c r="O384" i="5"/>
  <c r="N384" i="5"/>
  <c r="M384" i="5"/>
  <c r="I384" i="5"/>
  <c r="D384" i="5"/>
  <c r="B384" i="5"/>
  <c r="A384" i="5"/>
  <c r="CH383" i="5"/>
  <c r="CG383" i="5"/>
  <c r="BY383" i="5"/>
  <c r="BK383" i="5"/>
  <c r="AU383" i="5"/>
  <c r="AF383" i="5"/>
  <c r="T383" i="5"/>
  <c r="S383" i="5"/>
  <c r="Q383" i="5"/>
  <c r="P383" i="5"/>
  <c r="O383" i="5"/>
  <c r="N383" i="5"/>
  <c r="M383" i="5"/>
  <c r="K383" i="5"/>
  <c r="J383" i="5"/>
  <c r="I383" i="5"/>
  <c r="H383" i="5"/>
  <c r="D383" i="5"/>
  <c r="B383" i="5"/>
  <c r="A383" i="5"/>
  <c r="CH382" i="5"/>
  <c r="CG382" i="5"/>
  <c r="BY382" i="5"/>
  <c r="BK382" i="5"/>
  <c r="AU382" i="5"/>
  <c r="AF382" i="5"/>
  <c r="T382" i="5"/>
  <c r="S382" i="5"/>
  <c r="Q382" i="5"/>
  <c r="P382" i="5"/>
  <c r="O382" i="5"/>
  <c r="N382" i="5"/>
  <c r="M382" i="5"/>
  <c r="K382" i="5"/>
  <c r="J382" i="5"/>
  <c r="I382" i="5"/>
  <c r="H382" i="5"/>
  <c r="D382" i="5"/>
  <c r="B382" i="5"/>
  <c r="CH381" i="5"/>
  <c r="CG381" i="5"/>
  <c r="BY381" i="5"/>
  <c r="BK381" i="5"/>
  <c r="AU381" i="5"/>
  <c r="AF381" i="5"/>
  <c r="U381" i="5"/>
  <c r="T381" i="5"/>
  <c r="S381" i="5"/>
  <c r="R381" i="5"/>
  <c r="Q381" i="5"/>
  <c r="P381" i="5"/>
  <c r="O381" i="5"/>
  <c r="N381" i="5"/>
  <c r="M381" i="5"/>
  <c r="L381" i="5"/>
  <c r="K381" i="5"/>
  <c r="J381" i="5"/>
  <c r="I381" i="5"/>
  <c r="H381" i="5"/>
  <c r="D381" i="5"/>
  <c r="B381" i="5"/>
  <c r="CH380" i="5"/>
  <c r="CG380" i="5"/>
  <c r="BY380" i="5"/>
  <c r="BK380" i="5"/>
  <c r="AU380" i="5"/>
  <c r="AF380" i="5"/>
  <c r="U380" i="5"/>
  <c r="T380" i="5"/>
  <c r="S380" i="5"/>
  <c r="R380" i="5"/>
  <c r="Q380" i="5"/>
  <c r="P380" i="5"/>
  <c r="O380" i="5"/>
  <c r="N380" i="5"/>
  <c r="M380" i="5"/>
  <c r="L380" i="5"/>
  <c r="K380" i="5"/>
  <c r="J380" i="5"/>
  <c r="I380" i="5"/>
  <c r="H380" i="5"/>
  <c r="D380" i="5"/>
  <c r="B380" i="5"/>
  <c r="CH379" i="5"/>
  <c r="CG379" i="5"/>
  <c r="BY379" i="5"/>
  <c r="BK379" i="5"/>
  <c r="AU379" i="5"/>
  <c r="AF379" i="5"/>
  <c r="U379" i="5"/>
  <c r="T379" i="5"/>
  <c r="S379" i="5"/>
  <c r="R379" i="5"/>
  <c r="Q379" i="5"/>
  <c r="P379" i="5"/>
  <c r="O379" i="5"/>
  <c r="N379" i="5"/>
  <c r="M379" i="5"/>
  <c r="L379" i="5"/>
  <c r="K379" i="5"/>
  <c r="J379" i="5"/>
  <c r="I379" i="5"/>
  <c r="H379" i="5"/>
  <c r="D379" i="5"/>
  <c r="B379" i="5"/>
  <c r="CH378" i="5"/>
  <c r="CG378" i="5"/>
  <c r="BY378" i="5"/>
  <c r="BK378" i="5"/>
  <c r="AU378" i="5"/>
  <c r="AF378" i="5"/>
  <c r="U378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H378" i="5"/>
  <c r="D378" i="5"/>
  <c r="B378" i="5"/>
  <c r="CH377" i="5"/>
  <c r="CG377" i="5"/>
  <c r="BY377" i="5"/>
  <c r="BK377" i="5"/>
  <c r="AU377" i="5"/>
  <c r="AF377" i="5"/>
  <c r="U377" i="5"/>
  <c r="T377" i="5"/>
  <c r="S377" i="5"/>
  <c r="R377" i="5"/>
  <c r="Q377" i="5"/>
  <c r="P377" i="5"/>
  <c r="O377" i="5"/>
  <c r="N377" i="5"/>
  <c r="M377" i="5"/>
  <c r="L377" i="5"/>
  <c r="K377" i="5"/>
  <c r="J377" i="5"/>
  <c r="I377" i="5"/>
  <c r="H377" i="5"/>
  <c r="D377" i="5"/>
  <c r="B377" i="5"/>
  <c r="CH376" i="5"/>
  <c r="CG376" i="5"/>
  <c r="BY376" i="5"/>
  <c r="BK376" i="5"/>
  <c r="AU376" i="5"/>
  <c r="AF376" i="5"/>
  <c r="U376" i="5"/>
  <c r="T376" i="5"/>
  <c r="S376" i="5"/>
  <c r="R376" i="5"/>
  <c r="Q376" i="5"/>
  <c r="P376" i="5"/>
  <c r="O376" i="5"/>
  <c r="N376" i="5"/>
  <c r="M376" i="5"/>
  <c r="L376" i="5"/>
  <c r="K376" i="5"/>
  <c r="J376" i="5"/>
  <c r="I376" i="5"/>
  <c r="H376" i="5"/>
  <c r="D376" i="5"/>
  <c r="B376" i="5"/>
  <c r="CH375" i="5"/>
  <c r="CG375" i="5"/>
  <c r="BY375" i="5"/>
  <c r="BK375" i="5"/>
  <c r="AU375" i="5"/>
  <c r="AF375" i="5"/>
  <c r="U375" i="5"/>
  <c r="T375" i="5"/>
  <c r="S375" i="5"/>
  <c r="R375" i="5"/>
  <c r="Q375" i="5"/>
  <c r="P375" i="5"/>
  <c r="O375" i="5"/>
  <c r="N375" i="5"/>
  <c r="M375" i="5"/>
  <c r="L375" i="5"/>
  <c r="K375" i="5"/>
  <c r="J375" i="5"/>
  <c r="I375" i="5"/>
  <c r="H375" i="5"/>
  <c r="D375" i="5"/>
  <c r="B375" i="5"/>
  <c r="CH374" i="5"/>
  <c r="CG374" i="5"/>
  <c r="BY374" i="5"/>
  <c r="BK374" i="5"/>
  <c r="AU374" i="5"/>
  <c r="AF374" i="5"/>
  <c r="U374" i="5"/>
  <c r="T374" i="5"/>
  <c r="S374" i="5"/>
  <c r="R374" i="5"/>
  <c r="Q374" i="5"/>
  <c r="P374" i="5"/>
  <c r="O374" i="5"/>
  <c r="N374" i="5"/>
  <c r="M374" i="5"/>
  <c r="L374" i="5"/>
  <c r="K374" i="5"/>
  <c r="J374" i="5"/>
  <c r="I374" i="5"/>
  <c r="H374" i="5"/>
  <c r="D374" i="5"/>
  <c r="B374" i="5"/>
  <c r="CH373" i="5"/>
  <c r="CG373" i="5"/>
  <c r="BY373" i="5"/>
  <c r="BK373" i="5"/>
  <c r="AU373" i="5"/>
  <c r="AF373" i="5"/>
  <c r="U373" i="5"/>
  <c r="T373" i="5"/>
  <c r="S373" i="5"/>
  <c r="R373" i="5"/>
  <c r="Q373" i="5"/>
  <c r="P373" i="5"/>
  <c r="O373" i="5"/>
  <c r="N373" i="5"/>
  <c r="M373" i="5"/>
  <c r="L373" i="5"/>
  <c r="K373" i="5"/>
  <c r="J373" i="5"/>
  <c r="I373" i="5"/>
  <c r="H373" i="5"/>
  <c r="D373" i="5"/>
  <c r="B373" i="5"/>
  <c r="CH372" i="5"/>
  <c r="CG372" i="5"/>
  <c r="BY372" i="5"/>
  <c r="BK372" i="5"/>
  <c r="AU372" i="5"/>
  <c r="AF372" i="5"/>
  <c r="U372" i="5"/>
  <c r="T372" i="5"/>
  <c r="S372" i="5"/>
  <c r="R372" i="5"/>
  <c r="Q372" i="5"/>
  <c r="P372" i="5"/>
  <c r="O372" i="5"/>
  <c r="N372" i="5"/>
  <c r="M372" i="5"/>
  <c r="L372" i="5"/>
  <c r="K372" i="5"/>
  <c r="J372" i="5"/>
  <c r="I372" i="5"/>
  <c r="H372" i="5"/>
  <c r="D372" i="5"/>
  <c r="B372" i="5"/>
  <c r="CH371" i="5"/>
  <c r="CG371" i="5"/>
  <c r="BY371" i="5"/>
  <c r="BK371" i="5"/>
  <c r="AU371" i="5"/>
  <c r="AF371" i="5"/>
  <c r="U371" i="5"/>
  <c r="T371" i="5"/>
  <c r="S371" i="5"/>
  <c r="R371" i="5"/>
  <c r="Q371" i="5"/>
  <c r="P371" i="5"/>
  <c r="O371" i="5"/>
  <c r="N371" i="5"/>
  <c r="M371" i="5"/>
  <c r="L371" i="5"/>
  <c r="K371" i="5"/>
  <c r="J371" i="5"/>
  <c r="I371" i="5"/>
  <c r="H371" i="5"/>
  <c r="D371" i="5"/>
  <c r="B371" i="5"/>
  <c r="CH370" i="5"/>
  <c r="CG370" i="5"/>
  <c r="BY370" i="5"/>
  <c r="BK370" i="5"/>
  <c r="AU370" i="5"/>
  <c r="AF370" i="5"/>
  <c r="U370" i="5"/>
  <c r="T370" i="5"/>
  <c r="S370" i="5"/>
  <c r="R370" i="5"/>
  <c r="Q370" i="5"/>
  <c r="P370" i="5"/>
  <c r="O370" i="5"/>
  <c r="N370" i="5"/>
  <c r="M370" i="5"/>
  <c r="L370" i="5"/>
  <c r="K370" i="5"/>
  <c r="J370" i="5"/>
  <c r="I370" i="5"/>
  <c r="H370" i="5"/>
  <c r="D370" i="5"/>
  <c r="B370" i="5"/>
  <c r="CH369" i="5"/>
  <c r="CG369" i="5"/>
  <c r="BY369" i="5"/>
  <c r="BK369" i="5"/>
  <c r="AU369" i="5"/>
  <c r="AF369" i="5"/>
  <c r="U369" i="5"/>
  <c r="T369" i="5"/>
  <c r="S369" i="5"/>
  <c r="R369" i="5"/>
  <c r="Q369" i="5"/>
  <c r="P369" i="5"/>
  <c r="O369" i="5"/>
  <c r="N369" i="5"/>
  <c r="M369" i="5"/>
  <c r="L369" i="5"/>
  <c r="K369" i="5"/>
  <c r="J369" i="5"/>
  <c r="I369" i="5"/>
  <c r="H369" i="5"/>
  <c r="D369" i="5"/>
  <c r="B369" i="5"/>
  <c r="CH368" i="5"/>
  <c r="CG368" i="5"/>
  <c r="BY368" i="5"/>
  <c r="BK368" i="5"/>
  <c r="AU368" i="5"/>
  <c r="AF368" i="5"/>
  <c r="U368" i="5"/>
  <c r="T368" i="5"/>
  <c r="S368" i="5"/>
  <c r="R368" i="5"/>
  <c r="Q368" i="5"/>
  <c r="P368" i="5"/>
  <c r="O368" i="5"/>
  <c r="N368" i="5"/>
  <c r="M368" i="5"/>
  <c r="L368" i="5"/>
  <c r="K368" i="5"/>
  <c r="J368" i="5"/>
  <c r="I368" i="5"/>
  <c r="H368" i="5"/>
  <c r="D368" i="5"/>
  <c r="B368" i="5"/>
  <c r="CH367" i="5"/>
  <c r="CG367" i="5"/>
  <c r="BY367" i="5"/>
  <c r="BK367" i="5"/>
  <c r="AU367" i="5"/>
  <c r="AF367" i="5"/>
  <c r="U367" i="5"/>
  <c r="T367" i="5"/>
  <c r="S367" i="5"/>
  <c r="R367" i="5"/>
  <c r="Q367" i="5"/>
  <c r="P367" i="5"/>
  <c r="O367" i="5"/>
  <c r="N367" i="5"/>
  <c r="M367" i="5"/>
  <c r="L367" i="5"/>
  <c r="K367" i="5"/>
  <c r="J367" i="5"/>
  <c r="I367" i="5"/>
  <c r="H367" i="5"/>
  <c r="D367" i="5"/>
  <c r="B367" i="5"/>
  <c r="CH366" i="5"/>
  <c r="CG366" i="5"/>
  <c r="BY366" i="5"/>
  <c r="BK366" i="5"/>
  <c r="AU366" i="5"/>
  <c r="AF366" i="5"/>
  <c r="U366" i="5"/>
  <c r="T366" i="5"/>
  <c r="S366" i="5"/>
  <c r="R366" i="5"/>
  <c r="Q366" i="5"/>
  <c r="P366" i="5"/>
  <c r="O366" i="5"/>
  <c r="N366" i="5"/>
  <c r="M366" i="5"/>
  <c r="L366" i="5"/>
  <c r="K366" i="5"/>
  <c r="J366" i="5"/>
  <c r="I366" i="5"/>
  <c r="H366" i="5"/>
  <c r="D366" i="5"/>
  <c r="B366" i="5"/>
  <c r="CH365" i="5"/>
  <c r="CG365" i="5"/>
  <c r="BY365" i="5"/>
  <c r="BK365" i="5"/>
  <c r="AU365" i="5"/>
  <c r="AF365" i="5"/>
  <c r="U365" i="5"/>
  <c r="T365" i="5"/>
  <c r="S365" i="5"/>
  <c r="R365" i="5"/>
  <c r="Q365" i="5"/>
  <c r="P365" i="5"/>
  <c r="O365" i="5"/>
  <c r="N365" i="5"/>
  <c r="M365" i="5"/>
  <c r="L365" i="5"/>
  <c r="K365" i="5"/>
  <c r="J365" i="5"/>
  <c r="I365" i="5"/>
  <c r="H365" i="5"/>
  <c r="D365" i="5"/>
  <c r="B365" i="5"/>
  <c r="CH364" i="5"/>
  <c r="CG364" i="5"/>
  <c r="BY364" i="5"/>
  <c r="BK364" i="5"/>
  <c r="AU364" i="5"/>
  <c r="AF364" i="5"/>
  <c r="U364" i="5"/>
  <c r="T364" i="5"/>
  <c r="S364" i="5"/>
  <c r="R364" i="5"/>
  <c r="Q364" i="5"/>
  <c r="P364" i="5"/>
  <c r="O364" i="5"/>
  <c r="N364" i="5"/>
  <c r="M364" i="5"/>
  <c r="L364" i="5"/>
  <c r="K364" i="5"/>
  <c r="J364" i="5"/>
  <c r="I364" i="5"/>
  <c r="H364" i="5"/>
  <c r="D364" i="5"/>
  <c r="B364" i="5"/>
  <c r="CH363" i="5"/>
  <c r="CG363" i="5"/>
  <c r="BY363" i="5"/>
  <c r="BK363" i="5"/>
  <c r="AU363" i="5"/>
  <c r="AF363" i="5"/>
  <c r="U363" i="5"/>
  <c r="T363" i="5"/>
  <c r="S363" i="5"/>
  <c r="R363" i="5"/>
  <c r="Q363" i="5"/>
  <c r="P363" i="5"/>
  <c r="O363" i="5"/>
  <c r="N363" i="5"/>
  <c r="M363" i="5"/>
  <c r="L363" i="5"/>
  <c r="K363" i="5"/>
  <c r="J363" i="5"/>
  <c r="I363" i="5"/>
  <c r="H363" i="5"/>
  <c r="D363" i="5"/>
  <c r="B363" i="5"/>
  <c r="CH362" i="5"/>
  <c r="CG362" i="5"/>
  <c r="BY362" i="5"/>
  <c r="BK362" i="5"/>
  <c r="AU362" i="5"/>
  <c r="AF362" i="5"/>
  <c r="U362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H362" i="5"/>
  <c r="D362" i="5"/>
  <c r="B362" i="5"/>
  <c r="CH361" i="5"/>
  <c r="CG361" i="5"/>
  <c r="BY361" i="5"/>
  <c r="BK361" i="5"/>
  <c r="AU361" i="5"/>
  <c r="AF361" i="5"/>
  <c r="U361" i="5"/>
  <c r="T361" i="5"/>
  <c r="S361" i="5"/>
  <c r="R361" i="5"/>
  <c r="Q361" i="5"/>
  <c r="P361" i="5"/>
  <c r="O361" i="5"/>
  <c r="N361" i="5"/>
  <c r="M361" i="5"/>
  <c r="L361" i="5"/>
  <c r="K361" i="5"/>
  <c r="J361" i="5"/>
  <c r="I361" i="5"/>
  <c r="H361" i="5"/>
  <c r="D361" i="5"/>
  <c r="B361" i="5"/>
  <c r="CH360" i="5"/>
  <c r="CG360" i="5"/>
  <c r="BY360" i="5"/>
  <c r="BK360" i="5"/>
  <c r="AU360" i="5"/>
  <c r="AF360" i="5"/>
  <c r="U360" i="5"/>
  <c r="T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D360" i="5"/>
  <c r="B360" i="5"/>
  <c r="CH359" i="5"/>
  <c r="CG359" i="5"/>
  <c r="BY359" i="5"/>
  <c r="BK359" i="5"/>
  <c r="AU359" i="5"/>
  <c r="AF359" i="5"/>
  <c r="U359" i="5"/>
  <c r="T359" i="5"/>
  <c r="S359" i="5"/>
  <c r="R359" i="5"/>
  <c r="Q359" i="5"/>
  <c r="P359" i="5"/>
  <c r="O359" i="5"/>
  <c r="N359" i="5"/>
  <c r="M359" i="5"/>
  <c r="L359" i="5"/>
  <c r="K359" i="5"/>
  <c r="J359" i="5"/>
  <c r="I359" i="5"/>
  <c r="H359" i="5"/>
  <c r="D359" i="5"/>
  <c r="B359" i="5"/>
  <c r="CH358" i="5"/>
  <c r="CG358" i="5"/>
  <c r="BY358" i="5"/>
  <c r="BK358" i="5"/>
  <c r="AU358" i="5"/>
  <c r="AF358" i="5"/>
  <c r="U358" i="5"/>
  <c r="T358" i="5"/>
  <c r="S358" i="5"/>
  <c r="R358" i="5"/>
  <c r="Q358" i="5"/>
  <c r="P358" i="5"/>
  <c r="O358" i="5"/>
  <c r="N358" i="5"/>
  <c r="M358" i="5"/>
  <c r="L358" i="5"/>
  <c r="K358" i="5"/>
  <c r="J358" i="5"/>
  <c r="I358" i="5"/>
  <c r="H358" i="5"/>
  <c r="D358" i="5"/>
  <c r="B358" i="5"/>
  <c r="CH357" i="5"/>
  <c r="CG357" i="5"/>
  <c r="BY357" i="5"/>
  <c r="BK357" i="5"/>
  <c r="AU357" i="5"/>
  <c r="AF357" i="5"/>
  <c r="U357" i="5"/>
  <c r="T357" i="5"/>
  <c r="S357" i="5"/>
  <c r="R357" i="5"/>
  <c r="Q357" i="5"/>
  <c r="P357" i="5"/>
  <c r="O357" i="5"/>
  <c r="N357" i="5"/>
  <c r="M357" i="5"/>
  <c r="L357" i="5"/>
  <c r="K357" i="5"/>
  <c r="J357" i="5"/>
  <c r="I357" i="5"/>
  <c r="H357" i="5"/>
  <c r="D357" i="5"/>
  <c r="B357" i="5"/>
  <c r="CH356" i="5"/>
  <c r="CG356" i="5"/>
  <c r="BY356" i="5"/>
  <c r="BK356" i="5"/>
  <c r="AU356" i="5"/>
  <c r="AF356" i="5"/>
  <c r="U356" i="5"/>
  <c r="T356" i="5"/>
  <c r="S356" i="5"/>
  <c r="R356" i="5"/>
  <c r="Q356" i="5"/>
  <c r="P356" i="5"/>
  <c r="O356" i="5"/>
  <c r="N356" i="5"/>
  <c r="M356" i="5"/>
  <c r="L356" i="5"/>
  <c r="K356" i="5"/>
  <c r="J356" i="5"/>
  <c r="I356" i="5"/>
  <c r="H356" i="5"/>
  <c r="D356" i="5"/>
  <c r="B356" i="5"/>
  <c r="CH355" i="5"/>
  <c r="CG355" i="5"/>
  <c r="BY355" i="5"/>
  <c r="BK355" i="5"/>
  <c r="AU355" i="5"/>
  <c r="AF355" i="5"/>
  <c r="U355" i="5"/>
  <c r="T355" i="5"/>
  <c r="S355" i="5"/>
  <c r="R355" i="5"/>
  <c r="Q355" i="5"/>
  <c r="P355" i="5"/>
  <c r="O355" i="5"/>
  <c r="N355" i="5"/>
  <c r="M355" i="5"/>
  <c r="L355" i="5"/>
  <c r="K355" i="5"/>
  <c r="J355" i="5"/>
  <c r="I355" i="5"/>
  <c r="H355" i="5"/>
  <c r="D355" i="5"/>
  <c r="B355" i="5"/>
  <c r="CH354" i="5"/>
  <c r="CG354" i="5"/>
  <c r="BY354" i="5"/>
  <c r="BK354" i="5"/>
  <c r="AU354" i="5"/>
  <c r="AF354" i="5"/>
  <c r="U354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D354" i="5"/>
  <c r="B354" i="5"/>
  <c r="CH353" i="5"/>
  <c r="BY353" i="5"/>
  <c r="BK353" i="5"/>
  <c r="AU353" i="5"/>
  <c r="AF353" i="5"/>
  <c r="U353" i="5"/>
  <c r="T353" i="5"/>
  <c r="S353" i="5"/>
  <c r="R353" i="5"/>
  <c r="Q353" i="5"/>
  <c r="P353" i="5"/>
  <c r="O353" i="5"/>
  <c r="N353" i="5"/>
  <c r="M353" i="5"/>
  <c r="L353" i="5"/>
  <c r="K353" i="5"/>
  <c r="J353" i="5"/>
  <c r="I353" i="5"/>
  <c r="H353" i="5"/>
  <c r="D353" i="5"/>
  <c r="B353" i="5"/>
  <c r="CH352" i="5"/>
  <c r="CG352" i="5"/>
  <c r="BY352" i="5"/>
  <c r="BK352" i="5"/>
  <c r="AU352" i="5"/>
  <c r="AF352" i="5"/>
  <c r="U352" i="5"/>
  <c r="T352" i="5"/>
  <c r="S352" i="5"/>
  <c r="R352" i="5"/>
  <c r="Q352" i="5"/>
  <c r="P352" i="5"/>
  <c r="O352" i="5"/>
  <c r="N352" i="5"/>
  <c r="M352" i="5"/>
  <c r="L352" i="5"/>
  <c r="K352" i="5"/>
  <c r="J352" i="5"/>
  <c r="I352" i="5"/>
  <c r="H352" i="5"/>
  <c r="D352" i="5"/>
  <c r="B352" i="5"/>
  <c r="CH351" i="5"/>
  <c r="CG351" i="5"/>
  <c r="BY351" i="5"/>
  <c r="BK351" i="5"/>
  <c r="AU351" i="5"/>
  <c r="AF351" i="5"/>
  <c r="U351" i="5"/>
  <c r="T351" i="5"/>
  <c r="S351" i="5"/>
  <c r="R351" i="5"/>
  <c r="Q351" i="5"/>
  <c r="P351" i="5"/>
  <c r="O351" i="5"/>
  <c r="N351" i="5"/>
  <c r="M351" i="5"/>
  <c r="L351" i="5"/>
  <c r="K351" i="5"/>
  <c r="J351" i="5"/>
  <c r="I351" i="5"/>
  <c r="H351" i="5"/>
  <c r="D351" i="5"/>
  <c r="B351" i="5"/>
  <c r="CH350" i="5"/>
  <c r="CG350" i="5"/>
  <c r="BK350" i="5"/>
  <c r="AU350" i="5"/>
  <c r="AF350" i="5"/>
  <c r="U350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D350" i="5"/>
  <c r="B350" i="5"/>
  <c r="CH349" i="5"/>
  <c r="CG349" i="5"/>
  <c r="BK349" i="5"/>
  <c r="AU349" i="5"/>
  <c r="AF349" i="5"/>
  <c r="U349" i="5"/>
  <c r="T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D349" i="5"/>
  <c r="B349" i="5"/>
  <c r="CH348" i="5"/>
  <c r="CG348" i="5"/>
  <c r="BK348" i="5"/>
  <c r="AU348" i="5"/>
  <c r="AF348" i="5"/>
  <c r="U348" i="5"/>
  <c r="T348" i="5"/>
  <c r="S348" i="5"/>
  <c r="R348" i="5"/>
  <c r="Q348" i="5"/>
  <c r="P348" i="5"/>
  <c r="O348" i="5"/>
  <c r="N348" i="5"/>
  <c r="M348" i="5"/>
  <c r="L348" i="5"/>
  <c r="K348" i="5"/>
  <c r="J348" i="5"/>
  <c r="I348" i="5"/>
  <c r="H348" i="5"/>
  <c r="D348" i="5"/>
  <c r="B348" i="5"/>
  <c r="CH347" i="5"/>
  <c r="CG347" i="5"/>
  <c r="BK347" i="5"/>
  <c r="AU347" i="5"/>
  <c r="AF347" i="5"/>
  <c r="U347" i="5"/>
  <c r="T347" i="5"/>
  <c r="S347" i="5"/>
  <c r="R347" i="5"/>
  <c r="Q347" i="5"/>
  <c r="P347" i="5"/>
  <c r="O347" i="5"/>
  <c r="N347" i="5"/>
  <c r="M347" i="5"/>
  <c r="L347" i="5"/>
  <c r="K347" i="5"/>
  <c r="J347" i="5"/>
  <c r="I347" i="5"/>
  <c r="H347" i="5"/>
  <c r="D347" i="5"/>
  <c r="B347" i="5"/>
  <c r="CH346" i="5"/>
  <c r="CG346" i="5"/>
  <c r="BK346" i="5"/>
  <c r="AU346" i="5"/>
  <c r="AF346" i="5"/>
  <c r="U346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D346" i="5"/>
  <c r="B346" i="5"/>
  <c r="CH345" i="5"/>
  <c r="CG345" i="5"/>
  <c r="BK345" i="5"/>
  <c r="AU345" i="5"/>
  <c r="AF345" i="5"/>
  <c r="U345" i="5"/>
  <c r="T345" i="5"/>
  <c r="S345" i="5"/>
  <c r="R345" i="5"/>
  <c r="Q345" i="5"/>
  <c r="P345" i="5"/>
  <c r="O345" i="5"/>
  <c r="N345" i="5"/>
  <c r="M345" i="5"/>
  <c r="L345" i="5"/>
  <c r="K345" i="5"/>
  <c r="J345" i="5"/>
  <c r="I345" i="5"/>
  <c r="H345" i="5"/>
  <c r="D345" i="5"/>
  <c r="B345" i="5"/>
  <c r="CH344" i="5"/>
  <c r="CG344" i="5"/>
  <c r="BK344" i="5"/>
  <c r="AU344" i="5"/>
  <c r="AF344" i="5"/>
  <c r="U344" i="5"/>
  <c r="T344" i="5"/>
  <c r="S344" i="5"/>
  <c r="R344" i="5"/>
  <c r="Q344" i="5"/>
  <c r="P344" i="5"/>
  <c r="O344" i="5"/>
  <c r="N344" i="5"/>
  <c r="M344" i="5"/>
  <c r="L344" i="5"/>
  <c r="K344" i="5"/>
  <c r="J344" i="5"/>
  <c r="I344" i="5"/>
  <c r="H344" i="5"/>
  <c r="D344" i="5"/>
  <c r="B344" i="5"/>
  <c r="CH343" i="5"/>
  <c r="CG343" i="5"/>
  <c r="BK343" i="5"/>
  <c r="AU343" i="5"/>
  <c r="AF343" i="5"/>
  <c r="U343" i="5"/>
  <c r="T343" i="5"/>
  <c r="S343" i="5"/>
  <c r="R343" i="5"/>
  <c r="Q343" i="5"/>
  <c r="P343" i="5"/>
  <c r="O343" i="5"/>
  <c r="N343" i="5"/>
  <c r="M343" i="5"/>
  <c r="L343" i="5"/>
  <c r="K343" i="5"/>
  <c r="J343" i="5"/>
  <c r="I343" i="5"/>
  <c r="H343" i="5"/>
  <c r="D343" i="5"/>
  <c r="B343" i="5"/>
  <c r="CH342" i="5"/>
  <c r="CG342" i="5"/>
  <c r="BK342" i="5"/>
  <c r="AU342" i="5"/>
  <c r="AF342" i="5"/>
  <c r="U342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H342" i="5"/>
  <c r="D342" i="5"/>
  <c r="B342" i="5"/>
  <c r="CH341" i="5"/>
  <c r="CG341" i="5"/>
  <c r="BK341" i="5"/>
  <c r="AU341" i="5"/>
  <c r="AF341" i="5"/>
  <c r="U341" i="5"/>
  <c r="T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D341" i="5"/>
  <c r="B341" i="5"/>
  <c r="CH340" i="5"/>
  <c r="CG340" i="5"/>
  <c r="BK340" i="5"/>
  <c r="AU340" i="5"/>
  <c r="AF340" i="5"/>
  <c r="U340" i="5"/>
  <c r="T340" i="5"/>
  <c r="S340" i="5"/>
  <c r="R340" i="5"/>
  <c r="Q340" i="5"/>
  <c r="P340" i="5"/>
  <c r="O340" i="5"/>
  <c r="N340" i="5"/>
  <c r="M340" i="5"/>
  <c r="L340" i="5"/>
  <c r="K340" i="5"/>
  <c r="J340" i="5"/>
  <c r="I340" i="5"/>
  <c r="H340" i="5"/>
  <c r="D340" i="5"/>
  <c r="B340" i="5"/>
  <c r="CH339" i="5"/>
  <c r="CG339" i="5"/>
  <c r="BK339" i="5"/>
  <c r="AU339" i="5"/>
  <c r="AF339" i="5"/>
  <c r="U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D339" i="5"/>
  <c r="B339" i="5"/>
  <c r="CH338" i="5"/>
  <c r="CG338" i="5"/>
  <c r="BK338" i="5"/>
  <c r="AU338" i="5"/>
  <c r="AF338" i="5"/>
  <c r="U338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D338" i="5"/>
  <c r="B338" i="5"/>
  <c r="CH337" i="5"/>
  <c r="CG337" i="5"/>
  <c r="BK337" i="5"/>
  <c r="AU337" i="5"/>
  <c r="AF337" i="5"/>
  <c r="U337" i="5"/>
  <c r="T337" i="5"/>
  <c r="S337" i="5"/>
  <c r="R337" i="5"/>
  <c r="Q337" i="5"/>
  <c r="P337" i="5"/>
  <c r="O337" i="5"/>
  <c r="N337" i="5"/>
  <c r="M337" i="5"/>
  <c r="L337" i="5"/>
  <c r="K337" i="5"/>
  <c r="J337" i="5"/>
  <c r="I337" i="5"/>
  <c r="H337" i="5"/>
  <c r="D337" i="5"/>
  <c r="B337" i="5"/>
  <c r="CH336" i="5"/>
  <c r="CG336" i="5"/>
  <c r="BK336" i="5"/>
  <c r="AU336" i="5"/>
  <c r="AF336" i="5"/>
  <c r="U336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D336" i="5"/>
  <c r="B336" i="5"/>
  <c r="CH335" i="5"/>
  <c r="CG335" i="5"/>
  <c r="BK335" i="5"/>
  <c r="AU335" i="5"/>
  <c r="AF335" i="5"/>
  <c r="U335" i="5"/>
  <c r="T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D335" i="5"/>
  <c r="B335" i="5"/>
  <c r="CH334" i="5"/>
  <c r="CG334" i="5"/>
  <c r="BK334" i="5"/>
  <c r="AU334" i="5"/>
  <c r="AF334" i="5"/>
  <c r="U334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H334" i="5"/>
  <c r="D334" i="5"/>
  <c r="B334" i="5"/>
  <c r="CH333" i="5"/>
  <c r="CG333" i="5"/>
  <c r="BK333" i="5"/>
  <c r="AU333" i="5"/>
  <c r="AF333" i="5"/>
  <c r="U333" i="5"/>
  <c r="T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D333" i="5"/>
  <c r="B333" i="5"/>
  <c r="CH332" i="5"/>
  <c r="CG332" i="5"/>
  <c r="BK332" i="5"/>
  <c r="AU332" i="5"/>
  <c r="AF332" i="5"/>
  <c r="U332" i="5"/>
  <c r="T332" i="5"/>
  <c r="S332" i="5"/>
  <c r="R332" i="5"/>
  <c r="Q332" i="5"/>
  <c r="P332" i="5"/>
  <c r="O332" i="5"/>
  <c r="N332" i="5"/>
  <c r="M332" i="5"/>
  <c r="L332" i="5"/>
  <c r="K332" i="5"/>
  <c r="J332" i="5"/>
  <c r="I332" i="5"/>
  <c r="H332" i="5"/>
  <c r="D332" i="5"/>
  <c r="B332" i="5"/>
  <c r="CH331" i="5"/>
  <c r="CG331" i="5"/>
  <c r="BK331" i="5"/>
  <c r="AU331" i="5"/>
  <c r="AF331" i="5"/>
  <c r="U331" i="5"/>
  <c r="T331" i="5"/>
  <c r="S331" i="5"/>
  <c r="R331" i="5"/>
  <c r="Q331" i="5"/>
  <c r="P331" i="5"/>
  <c r="O331" i="5"/>
  <c r="N331" i="5"/>
  <c r="M331" i="5"/>
  <c r="L331" i="5"/>
  <c r="K331" i="5"/>
  <c r="J331" i="5"/>
  <c r="I331" i="5"/>
  <c r="H331" i="5"/>
  <c r="D331" i="5"/>
  <c r="B331" i="5"/>
  <c r="CH330" i="5"/>
  <c r="CG330" i="5"/>
  <c r="BK330" i="5"/>
  <c r="AU330" i="5"/>
  <c r="AF330" i="5"/>
  <c r="U330" i="5"/>
  <c r="T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D330" i="5"/>
  <c r="B330" i="5"/>
  <c r="CH329" i="5"/>
  <c r="CG329" i="5"/>
  <c r="BK329" i="5"/>
  <c r="AU329" i="5"/>
  <c r="AF329" i="5"/>
  <c r="U329" i="5"/>
  <c r="T329" i="5"/>
  <c r="S329" i="5"/>
  <c r="R329" i="5"/>
  <c r="Q329" i="5"/>
  <c r="P329" i="5"/>
  <c r="O329" i="5"/>
  <c r="N329" i="5"/>
  <c r="M329" i="5"/>
  <c r="L329" i="5"/>
  <c r="K329" i="5"/>
  <c r="J329" i="5"/>
  <c r="I329" i="5"/>
  <c r="H329" i="5"/>
  <c r="D329" i="5"/>
  <c r="B329" i="5"/>
  <c r="CH328" i="5"/>
  <c r="CG328" i="5"/>
  <c r="BK328" i="5"/>
  <c r="AU328" i="5"/>
  <c r="AF328" i="5"/>
  <c r="U328" i="5"/>
  <c r="T328" i="5"/>
  <c r="S328" i="5"/>
  <c r="R328" i="5"/>
  <c r="Q328" i="5"/>
  <c r="P328" i="5"/>
  <c r="O328" i="5"/>
  <c r="N328" i="5"/>
  <c r="M328" i="5"/>
  <c r="L328" i="5"/>
  <c r="K328" i="5"/>
  <c r="J328" i="5"/>
  <c r="I328" i="5"/>
  <c r="H328" i="5"/>
  <c r="D328" i="5"/>
  <c r="B328" i="5"/>
  <c r="CH327" i="5"/>
  <c r="CG327" i="5"/>
  <c r="BK327" i="5"/>
  <c r="AU327" i="5"/>
  <c r="AF327" i="5"/>
  <c r="U327" i="5"/>
  <c r="T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D327" i="5"/>
  <c r="B327" i="5"/>
  <c r="CH326" i="5"/>
  <c r="CG326" i="5"/>
  <c r="BK326" i="5"/>
  <c r="AU326" i="5"/>
  <c r="AF326" i="5"/>
  <c r="U326" i="5"/>
  <c r="T326" i="5"/>
  <c r="S326" i="5"/>
  <c r="R326" i="5"/>
  <c r="Q326" i="5"/>
  <c r="P326" i="5"/>
  <c r="O326" i="5"/>
  <c r="N326" i="5"/>
  <c r="M326" i="5"/>
  <c r="L326" i="5"/>
  <c r="K326" i="5"/>
  <c r="J326" i="5"/>
  <c r="I326" i="5"/>
  <c r="H326" i="5"/>
  <c r="D326" i="5"/>
  <c r="B326" i="5"/>
  <c r="CH325" i="5"/>
  <c r="CG325" i="5"/>
  <c r="BK325" i="5"/>
  <c r="AU325" i="5"/>
  <c r="AF325" i="5"/>
  <c r="U325" i="5"/>
  <c r="T325" i="5"/>
  <c r="S325" i="5"/>
  <c r="R325" i="5"/>
  <c r="Q325" i="5"/>
  <c r="P325" i="5"/>
  <c r="O325" i="5"/>
  <c r="N325" i="5"/>
  <c r="M325" i="5"/>
  <c r="L325" i="5"/>
  <c r="K325" i="5"/>
  <c r="J325" i="5"/>
  <c r="I325" i="5"/>
  <c r="H325" i="5"/>
  <c r="D325" i="5"/>
  <c r="B325" i="5"/>
  <c r="CH324" i="5"/>
  <c r="BK324" i="5"/>
  <c r="AU324" i="5"/>
  <c r="AF324" i="5"/>
  <c r="U324" i="5"/>
  <c r="T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D324" i="5"/>
  <c r="B324" i="5"/>
  <c r="CH323" i="5"/>
  <c r="CG323" i="5"/>
  <c r="BY323" i="5"/>
  <c r="BK323" i="5"/>
  <c r="AU323" i="5"/>
  <c r="AF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D323" i="5"/>
  <c r="B323" i="5"/>
  <c r="CH322" i="5"/>
  <c r="CG322" i="5"/>
  <c r="BY322" i="5"/>
  <c r="BK322" i="5"/>
  <c r="AU322" i="5"/>
  <c r="AF322" i="5"/>
  <c r="U322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D322" i="5"/>
  <c r="B322" i="5"/>
  <c r="CH321" i="5"/>
  <c r="CG321" i="5"/>
  <c r="BY321" i="5"/>
  <c r="BK321" i="5"/>
  <c r="AU321" i="5"/>
  <c r="AF321" i="5"/>
  <c r="U321" i="5"/>
  <c r="T321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D321" i="5"/>
  <c r="B321" i="5"/>
  <c r="CH320" i="5"/>
  <c r="CG320" i="5"/>
  <c r="BY320" i="5"/>
  <c r="BK320" i="5"/>
  <c r="AU320" i="5"/>
  <c r="AF320" i="5"/>
  <c r="U320" i="5"/>
  <c r="T320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D320" i="5"/>
  <c r="B320" i="5"/>
  <c r="CH319" i="5"/>
  <c r="CG319" i="5"/>
  <c r="BY319" i="5"/>
  <c r="BK319" i="5"/>
  <c r="AU319" i="5"/>
  <c r="AF319" i="5"/>
  <c r="U319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D319" i="5"/>
  <c r="B319" i="5"/>
  <c r="CH318" i="5"/>
  <c r="CG318" i="5"/>
  <c r="BY318" i="5"/>
  <c r="BK318" i="5"/>
  <c r="AU318" i="5"/>
  <c r="AF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D318" i="5"/>
  <c r="B318" i="5"/>
  <c r="CH317" i="5"/>
  <c r="CG317" i="5"/>
  <c r="BY317" i="5"/>
  <c r="BK317" i="5"/>
  <c r="AU317" i="5"/>
  <c r="AF317" i="5"/>
  <c r="U317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D317" i="5"/>
  <c r="B317" i="5"/>
  <c r="CH316" i="5"/>
  <c r="CG316" i="5"/>
  <c r="BY316" i="5"/>
  <c r="BK316" i="5"/>
  <c r="AU316" i="5"/>
  <c r="AF316" i="5"/>
  <c r="U316" i="5"/>
  <c r="T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D316" i="5"/>
  <c r="B316" i="5"/>
  <c r="CH315" i="5"/>
  <c r="CG315" i="5"/>
  <c r="BY315" i="5"/>
  <c r="BK315" i="5"/>
  <c r="AU315" i="5"/>
  <c r="AF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D315" i="5"/>
  <c r="B315" i="5"/>
  <c r="CH314" i="5"/>
  <c r="CG314" i="5"/>
  <c r="BY314" i="5"/>
  <c r="BK314" i="5"/>
  <c r="AU314" i="5"/>
  <c r="AF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D314" i="5"/>
  <c r="B314" i="5"/>
  <c r="CH313" i="5"/>
  <c r="CG313" i="5"/>
  <c r="BY313" i="5"/>
  <c r="BK313" i="5"/>
  <c r="AU313" i="5"/>
  <c r="AF313" i="5"/>
  <c r="U313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D313" i="5"/>
  <c r="B313" i="5"/>
  <c r="CH312" i="5"/>
  <c r="CG312" i="5"/>
  <c r="BY312" i="5"/>
  <c r="BK312" i="5"/>
  <c r="AU312" i="5"/>
  <c r="AF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D312" i="5"/>
  <c r="B312" i="5"/>
  <c r="CH311" i="5"/>
  <c r="CG311" i="5"/>
  <c r="BY311" i="5"/>
  <c r="BK311" i="5"/>
  <c r="AU311" i="5"/>
  <c r="AF311" i="5"/>
  <c r="U311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D311" i="5"/>
  <c r="B311" i="5"/>
  <c r="CH310" i="5"/>
  <c r="CG310" i="5"/>
  <c r="BY310" i="5"/>
  <c r="BK310" i="5"/>
  <c r="AU310" i="5"/>
  <c r="AF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D310" i="5"/>
  <c r="B310" i="5"/>
  <c r="CH309" i="5"/>
  <c r="CG309" i="5"/>
  <c r="BY309" i="5"/>
  <c r="BK309" i="5"/>
  <c r="AU309" i="5"/>
  <c r="AF309" i="5"/>
  <c r="U309" i="5"/>
  <c r="T309" i="5"/>
  <c r="S309" i="5"/>
  <c r="R309" i="5"/>
  <c r="Q309" i="5"/>
  <c r="P309" i="5"/>
  <c r="O309" i="5"/>
  <c r="N309" i="5"/>
  <c r="M309" i="5"/>
  <c r="L309" i="5"/>
  <c r="K309" i="5"/>
  <c r="J309" i="5"/>
  <c r="I309" i="5"/>
  <c r="H309" i="5"/>
  <c r="D309" i="5"/>
  <c r="B309" i="5"/>
  <c r="CH308" i="5"/>
  <c r="CG308" i="5"/>
  <c r="BY308" i="5"/>
  <c r="BK308" i="5"/>
  <c r="AU308" i="5"/>
  <c r="AF308" i="5"/>
  <c r="U308" i="5"/>
  <c r="T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D308" i="5"/>
  <c r="B308" i="5"/>
  <c r="CH307" i="5"/>
  <c r="CG307" i="5"/>
  <c r="BY307" i="5"/>
  <c r="BK307" i="5"/>
  <c r="AU307" i="5"/>
  <c r="AF307" i="5"/>
  <c r="U307" i="5"/>
  <c r="T307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D307" i="5"/>
  <c r="B307" i="5"/>
  <c r="CH306" i="5"/>
  <c r="CG306" i="5"/>
  <c r="BY306" i="5"/>
  <c r="BK306" i="5"/>
  <c r="AU306" i="5"/>
  <c r="AF306" i="5"/>
  <c r="U306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D306" i="5"/>
  <c r="B306" i="5"/>
  <c r="CH305" i="5"/>
  <c r="CG305" i="5"/>
  <c r="BY305" i="5"/>
  <c r="BK305" i="5"/>
  <c r="AU305" i="5"/>
  <c r="AF305" i="5"/>
  <c r="U305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D305" i="5"/>
  <c r="B305" i="5"/>
  <c r="CH304" i="5"/>
  <c r="CG304" i="5"/>
  <c r="BY304" i="5"/>
  <c r="BK304" i="5"/>
  <c r="AU304" i="5"/>
  <c r="AF304" i="5"/>
  <c r="U304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D304" i="5"/>
  <c r="B304" i="5"/>
  <c r="CH303" i="5"/>
  <c r="CG303" i="5"/>
  <c r="BY303" i="5"/>
  <c r="BK303" i="5"/>
  <c r="AU303" i="5"/>
  <c r="AF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D303" i="5"/>
  <c r="B303" i="5"/>
  <c r="CH302" i="5"/>
  <c r="CG302" i="5"/>
  <c r="BY302" i="5"/>
  <c r="BK302" i="5"/>
  <c r="AU302" i="5"/>
  <c r="AF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D302" i="5"/>
  <c r="B302" i="5"/>
  <c r="CH301" i="5"/>
  <c r="CG301" i="5"/>
  <c r="BY301" i="5"/>
  <c r="BK301" i="5"/>
  <c r="AU301" i="5"/>
  <c r="AF301" i="5"/>
  <c r="U301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D301" i="5"/>
  <c r="B301" i="5"/>
  <c r="CH300" i="5"/>
  <c r="CG300" i="5"/>
  <c r="BY300" i="5"/>
  <c r="BK300" i="5"/>
  <c r="AU300" i="5"/>
  <c r="AF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D300" i="5"/>
  <c r="B300" i="5"/>
  <c r="CH299" i="5"/>
  <c r="CG299" i="5"/>
  <c r="BY299" i="5"/>
  <c r="BK299" i="5"/>
  <c r="AU299" i="5"/>
  <c r="AF299" i="5"/>
  <c r="U299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D299" i="5"/>
  <c r="B299" i="5"/>
  <c r="CH298" i="5"/>
  <c r="CG298" i="5"/>
  <c r="BY298" i="5"/>
  <c r="BK298" i="5"/>
  <c r="AU298" i="5"/>
  <c r="AF298" i="5"/>
  <c r="U298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D298" i="5"/>
  <c r="B298" i="5"/>
  <c r="CH297" i="5"/>
  <c r="CG297" i="5"/>
  <c r="BY297" i="5"/>
  <c r="BK297" i="5"/>
  <c r="AU297" i="5"/>
  <c r="AF297" i="5"/>
  <c r="U297" i="5"/>
  <c r="T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D297" i="5"/>
  <c r="B297" i="5"/>
  <c r="CH296" i="5"/>
  <c r="CG296" i="5"/>
  <c r="BY296" i="5"/>
  <c r="BK296" i="5"/>
  <c r="AU296" i="5"/>
  <c r="AF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D296" i="5"/>
  <c r="B296" i="5"/>
  <c r="CH295" i="5"/>
  <c r="CG295" i="5"/>
  <c r="BY295" i="5"/>
  <c r="BK295" i="5"/>
  <c r="AU295" i="5"/>
  <c r="AF295" i="5"/>
  <c r="U295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D295" i="5"/>
  <c r="B295" i="5"/>
  <c r="CH294" i="5"/>
  <c r="CG294" i="5"/>
  <c r="BY294" i="5"/>
  <c r="BK294" i="5"/>
  <c r="AU294" i="5"/>
  <c r="AF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D294" i="5"/>
  <c r="B294" i="5"/>
  <c r="CH293" i="5"/>
  <c r="BY293" i="5"/>
  <c r="BK293" i="5"/>
  <c r="AU293" i="5"/>
  <c r="AF293" i="5"/>
  <c r="U293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D293" i="5"/>
  <c r="B293" i="5"/>
  <c r="CH292" i="5"/>
  <c r="CG292" i="5"/>
  <c r="BY292" i="5"/>
  <c r="BP292" i="5"/>
  <c r="BS292" i="5" s="1"/>
  <c r="BO292" i="5"/>
  <c r="BN292" i="5"/>
  <c r="BM292" i="5"/>
  <c r="BV292" i="5" s="1"/>
  <c r="BK292" i="5"/>
  <c r="AF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D292" i="5"/>
  <c r="B292" i="5"/>
  <c r="CH291" i="5"/>
  <c r="CG291" i="5"/>
  <c r="BY291" i="5"/>
  <c r="BP291" i="5"/>
  <c r="BO291" i="5"/>
  <c r="BN291" i="5"/>
  <c r="BM291" i="5"/>
  <c r="BK291" i="5"/>
  <c r="AF291" i="5"/>
  <c r="U291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H291" i="5"/>
  <c r="D291" i="5"/>
  <c r="C291" i="5"/>
  <c r="B291" i="5"/>
  <c r="CH290" i="5"/>
  <c r="CG290" i="5"/>
  <c r="BY290" i="5"/>
  <c r="BP290" i="5" s="1"/>
  <c r="BS290" i="5" s="1"/>
  <c r="BV290" i="5"/>
  <c r="BO290" i="5"/>
  <c r="BN290" i="5"/>
  <c r="BM290" i="5"/>
  <c r="BK290" i="5"/>
  <c r="AF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D290" i="5"/>
  <c r="B290" i="5"/>
  <c r="C290" i="5" s="1"/>
  <c r="CH289" i="5"/>
  <c r="CG289" i="5"/>
  <c r="BY289" i="5"/>
  <c r="BP289" i="5" s="1"/>
  <c r="BO289" i="5"/>
  <c r="BN289" i="5"/>
  <c r="BM289" i="5"/>
  <c r="BS289" i="5" s="1"/>
  <c r="BK289" i="5"/>
  <c r="AF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D289" i="5"/>
  <c r="C289" i="5"/>
  <c r="B289" i="5"/>
  <c r="CH288" i="5"/>
  <c r="CG288" i="5"/>
  <c r="BY288" i="5"/>
  <c r="BV288" i="5"/>
  <c r="BS288" i="5"/>
  <c r="BP288" i="5"/>
  <c r="BO288" i="5"/>
  <c r="BN288" i="5"/>
  <c r="BM288" i="5"/>
  <c r="BK288" i="5"/>
  <c r="AF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D288" i="5"/>
  <c r="C288" i="5"/>
  <c r="B288" i="5"/>
  <c r="CH287" i="5"/>
  <c r="CG287" i="5"/>
  <c r="BY287" i="5"/>
  <c r="BS287" i="5"/>
  <c r="BP287" i="5"/>
  <c r="BO287" i="5"/>
  <c r="BN287" i="5"/>
  <c r="BM287" i="5"/>
  <c r="BV287" i="5" s="1"/>
  <c r="BK287" i="5"/>
  <c r="AF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D287" i="5"/>
  <c r="B287" i="5"/>
  <c r="C287" i="5" s="1"/>
  <c r="CH286" i="5"/>
  <c r="CG286" i="5"/>
  <c r="BY286" i="5"/>
  <c r="BS286" i="5"/>
  <c r="BP286" i="5"/>
  <c r="BO286" i="5"/>
  <c r="BN286" i="5"/>
  <c r="BM286" i="5"/>
  <c r="BV286" i="5" s="1"/>
  <c r="BK286" i="5"/>
  <c r="AF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D286" i="5"/>
  <c r="B286" i="5"/>
  <c r="C286" i="5" s="1"/>
  <c r="CH285" i="5"/>
  <c r="CG285" i="5"/>
  <c r="BY285" i="5"/>
  <c r="BP285" i="5" s="1"/>
  <c r="BO285" i="5"/>
  <c r="BN285" i="5"/>
  <c r="BM285" i="5"/>
  <c r="BK285" i="5"/>
  <c r="AF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D285" i="5"/>
  <c r="C285" i="5"/>
  <c r="B285" i="5"/>
  <c r="CH284" i="5"/>
  <c r="CG284" i="5"/>
  <c r="BY284" i="5"/>
  <c r="BP284" i="5"/>
  <c r="BO284" i="5"/>
  <c r="BN284" i="5"/>
  <c r="BM284" i="5"/>
  <c r="BS284" i="5" s="1"/>
  <c r="BK284" i="5"/>
  <c r="AF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D284" i="5"/>
  <c r="B284" i="5"/>
  <c r="C284" i="5" s="1"/>
  <c r="CH283" i="5"/>
  <c r="CG283" i="5"/>
  <c r="BY283" i="5"/>
  <c r="BP283" i="5" s="1"/>
  <c r="BO283" i="5"/>
  <c r="BN283" i="5"/>
  <c r="BM283" i="5"/>
  <c r="BS283" i="5" s="1"/>
  <c r="BK283" i="5"/>
  <c r="AF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D283" i="5"/>
  <c r="C283" i="5"/>
  <c r="B283" i="5"/>
  <c r="CH282" i="5"/>
  <c r="CG282" i="5"/>
  <c r="BY282" i="5"/>
  <c r="BV282" i="5"/>
  <c r="BS282" i="5"/>
  <c r="BP282" i="5"/>
  <c r="BO282" i="5"/>
  <c r="BN282" i="5"/>
  <c r="BM282" i="5"/>
  <c r="BK282" i="5"/>
  <c r="AF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D282" i="5"/>
  <c r="B282" i="5"/>
  <c r="C282" i="5" s="1"/>
  <c r="CH281" i="5"/>
  <c r="CG281" i="5"/>
  <c r="BY281" i="5"/>
  <c r="BP281" i="5" s="1"/>
  <c r="BO281" i="5"/>
  <c r="BN281" i="5"/>
  <c r="BM281" i="5"/>
  <c r="BV281" i="5" s="1"/>
  <c r="BK281" i="5"/>
  <c r="AF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D281" i="5"/>
  <c r="C281" i="5"/>
  <c r="B281" i="5"/>
  <c r="CH280" i="5"/>
  <c r="CG280" i="5"/>
  <c r="BY280" i="5"/>
  <c r="BP280" i="5"/>
  <c r="BS280" i="5" s="1"/>
  <c r="BO280" i="5"/>
  <c r="BN280" i="5"/>
  <c r="BM280" i="5"/>
  <c r="BV280" i="5" s="1"/>
  <c r="BK280" i="5"/>
  <c r="AF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D280" i="5"/>
  <c r="B280" i="5"/>
  <c r="C280" i="5" s="1"/>
  <c r="CH279" i="5"/>
  <c r="CG279" i="5"/>
  <c r="BY279" i="5"/>
  <c r="BP279" i="5"/>
  <c r="BO279" i="5"/>
  <c r="BN279" i="5"/>
  <c r="BM279" i="5"/>
  <c r="BK279" i="5"/>
  <c r="AF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D279" i="5"/>
  <c r="C279" i="5"/>
  <c r="B279" i="5"/>
  <c r="CH278" i="5"/>
  <c r="CG278" i="5"/>
  <c r="BY278" i="5"/>
  <c r="BV278" i="5" s="1"/>
  <c r="BO278" i="5"/>
  <c r="BN278" i="5"/>
  <c r="BM278" i="5"/>
  <c r="BK278" i="5"/>
  <c r="AF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D278" i="5"/>
  <c r="B278" i="5"/>
  <c r="C278" i="5" s="1"/>
  <c r="CH277" i="5"/>
  <c r="CG277" i="5"/>
  <c r="BY277" i="5"/>
  <c r="BP277" i="5" s="1"/>
  <c r="BO277" i="5"/>
  <c r="BN277" i="5"/>
  <c r="BM277" i="5"/>
  <c r="BK277" i="5"/>
  <c r="AF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D277" i="5"/>
  <c r="B277" i="5"/>
  <c r="C277" i="5" s="1"/>
  <c r="CH276" i="5"/>
  <c r="CG276" i="5"/>
  <c r="BY276" i="5"/>
  <c r="BV276" i="5"/>
  <c r="BS276" i="5"/>
  <c r="BP276" i="5"/>
  <c r="BO276" i="5"/>
  <c r="BN276" i="5"/>
  <c r="BM276" i="5"/>
  <c r="BK276" i="5"/>
  <c r="AF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D276" i="5"/>
  <c r="B276" i="5"/>
  <c r="C276" i="5" s="1"/>
  <c r="CH275" i="5"/>
  <c r="CG275" i="5"/>
  <c r="BY275" i="5"/>
  <c r="BP275" i="5"/>
  <c r="BO275" i="5"/>
  <c r="BN275" i="5"/>
  <c r="BM275" i="5"/>
  <c r="BS275" i="5" s="1"/>
  <c r="BK275" i="5"/>
  <c r="AF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D275" i="5"/>
  <c r="C275" i="5"/>
  <c r="B275" i="5"/>
  <c r="CH274" i="5"/>
  <c r="CG274" i="5"/>
  <c r="BY274" i="5"/>
  <c r="BP274" i="5"/>
  <c r="BS274" i="5" s="1"/>
  <c r="BO274" i="5"/>
  <c r="BN274" i="5"/>
  <c r="BM274" i="5"/>
  <c r="BV274" i="5" s="1"/>
  <c r="BK274" i="5"/>
  <c r="AF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D274" i="5"/>
  <c r="B274" i="5"/>
  <c r="C274" i="5" s="1"/>
  <c r="CH273" i="5"/>
  <c r="CG273" i="5"/>
  <c r="BY273" i="5"/>
  <c r="BP273" i="5" s="1"/>
  <c r="BO273" i="5"/>
  <c r="BN273" i="5"/>
  <c r="BM273" i="5"/>
  <c r="BK273" i="5"/>
  <c r="AF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D273" i="5"/>
  <c r="C273" i="5"/>
  <c r="B273" i="5"/>
  <c r="CH272" i="5"/>
  <c r="CG272" i="5"/>
  <c r="BY272" i="5"/>
  <c r="BP272" i="5" s="1"/>
  <c r="BO272" i="5"/>
  <c r="BN272" i="5"/>
  <c r="BM272" i="5"/>
  <c r="BV272" i="5" s="1"/>
  <c r="BK272" i="5"/>
  <c r="AF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D272" i="5"/>
  <c r="B272" i="5"/>
  <c r="C272" i="5" s="1"/>
  <c r="CH271" i="5"/>
  <c r="CG271" i="5"/>
  <c r="BY271" i="5"/>
  <c r="BP271" i="5" s="1"/>
  <c r="BO271" i="5"/>
  <c r="BN271" i="5"/>
  <c r="BM271" i="5"/>
  <c r="BV271" i="5" s="1"/>
  <c r="BK271" i="5"/>
  <c r="AF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D271" i="5"/>
  <c r="B271" i="5"/>
  <c r="C271" i="5" s="1"/>
  <c r="CH270" i="5"/>
  <c r="CG270" i="5"/>
  <c r="BY270" i="5"/>
  <c r="BV270" i="5"/>
  <c r="BS270" i="5"/>
  <c r="BP270" i="5"/>
  <c r="BO270" i="5"/>
  <c r="BN270" i="5"/>
  <c r="BM270" i="5"/>
  <c r="BK270" i="5"/>
  <c r="AF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D270" i="5"/>
  <c r="B270" i="5"/>
  <c r="C270" i="5" s="1"/>
  <c r="CH269" i="5"/>
  <c r="CG269" i="5"/>
  <c r="BY269" i="5"/>
  <c r="BV269" i="5" s="1"/>
  <c r="BO269" i="5"/>
  <c r="BN269" i="5"/>
  <c r="BM269" i="5"/>
  <c r="BK269" i="5"/>
  <c r="AF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D269" i="5"/>
  <c r="B269" i="5"/>
  <c r="C269" i="5" s="1"/>
  <c r="CH268" i="5"/>
  <c r="CG268" i="5"/>
  <c r="BY268" i="5"/>
  <c r="BP268" i="5"/>
  <c r="BS268" i="5" s="1"/>
  <c r="BO268" i="5"/>
  <c r="BN268" i="5"/>
  <c r="BM268" i="5"/>
  <c r="BV268" i="5" s="1"/>
  <c r="BK268" i="5"/>
  <c r="AF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D268" i="5"/>
  <c r="B268" i="5"/>
  <c r="C268" i="5" s="1"/>
  <c r="CH267" i="5"/>
  <c r="CG267" i="5"/>
  <c r="BY267" i="5"/>
  <c r="BP267" i="5"/>
  <c r="BO267" i="5"/>
  <c r="BN267" i="5"/>
  <c r="BM267" i="5"/>
  <c r="BK267" i="5"/>
  <c r="AF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D267" i="5"/>
  <c r="C267" i="5"/>
  <c r="B267" i="5"/>
  <c r="CH266" i="5"/>
  <c r="CG266" i="5"/>
  <c r="BY266" i="5"/>
  <c r="BP266" i="5"/>
  <c r="BO266" i="5"/>
  <c r="BN266" i="5"/>
  <c r="BM266" i="5"/>
  <c r="BV266" i="5" s="1"/>
  <c r="BK266" i="5"/>
  <c r="AF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D266" i="5"/>
  <c r="B266" i="5"/>
  <c r="C266" i="5" s="1"/>
  <c r="CH265" i="5"/>
  <c r="CG265" i="5"/>
  <c r="BY265" i="5"/>
  <c r="BP265" i="5" s="1"/>
  <c r="BV265" i="5"/>
  <c r="BO265" i="5"/>
  <c r="BN265" i="5"/>
  <c r="BM265" i="5"/>
  <c r="BK265" i="5"/>
  <c r="AF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D265" i="5"/>
  <c r="B265" i="5"/>
  <c r="C265" i="5" s="1"/>
  <c r="CH264" i="5"/>
  <c r="CG264" i="5"/>
  <c r="BY264" i="5"/>
  <c r="BV264" i="5"/>
  <c r="BS264" i="5"/>
  <c r="BP264" i="5"/>
  <c r="BO264" i="5"/>
  <c r="BN264" i="5"/>
  <c r="BM264" i="5"/>
  <c r="BK264" i="5"/>
  <c r="AF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D264" i="5"/>
  <c r="C264" i="5"/>
  <c r="B264" i="5"/>
  <c r="CH263" i="5"/>
  <c r="CG263" i="5"/>
  <c r="BY263" i="5"/>
  <c r="BV263" i="5"/>
  <c r="BP263" i="5"/>
  <c r="BO263" i="5"/>
  <c r="BN263" i="5"/>
  <c r="BM263" i="5"/>
  <c r="BS263" i="5" s="1"/>
  <c r="BK263" i="5"/>
  <c r="AF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D263" i="5"/>
  <c r="C263" i="5"/>
  <c r="B263" i="5"/>
  <c r="CH262" i="5"/>
  <c r="BY262" i="5"/>
  <c r="BP262" i="5"/>
  <c r="BO262" i="5"/>
  <c r="BN262" i="5"/>
  <c r="BM262" i="5"/>
  <c r="BS262" i="5" s="1"/>
  <c r="BK262" i="5"/>
  <c r="AF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D262" i="5"/>
  <c r="B262" i="5"/>
  <c r="C262" i="5" s="1"/>
  <c r="CH261" i="5"/>
  <c r="CG261" i="5"/>
  <c r="BY261" i="5"/>
  <c r="BP261" i="5"/>
  <c r="BO261" i="5"/>
  <c r="BN261" i="5"/>
  <c r="BM261" i="5"/>
  <c r="BK261" i="5"/>
  <c r="AF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D261" i="5"/>
  <c r="B261" i="5"/>
  <c r="C261" i="5" s="1"/>
  <c r="CH260" i="5"/>
  <c r="CG260" i="5"/>
  <c r="BY260" i="5"/>
  <c r="BP260" i="5" s="1"/>
  <c r="BO260" i="5"/>
  <c r="BN260" i="5"/>
  <c r="BM260" i="5"/>
  <c r="BK260" i="5"/>
  <c r="AF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D260" i="5"/>
  <c r="C260" i="5"/>
  <c r="B260" i="5"/>
  <c r="CH259" i="5"/>
  <c r="CG259" i="5"/>
  <c r="BY259" i="5"/>
  <c r="BP259" i="5" s="1"/>
  <c r="BV259" i="5"/>
  <c r="BO259" i="5"/>
  <c r="BN259" i="5"/>
  <c r="BM259" i="5"/>
  <c r="BS259" i="5" s="1"/>
  <c r="BK259" i="5"/>
  <c r="AF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D259" i="5"/>
  <c r="C259" i="5"/>
  <c r="B259" i="5"/>
  <c r="CH258" i="5"/>
  <c r="CG258" i="5"/>
  <c r="BY258" i="5"/>
  <c r="BV258" i="5"/>
  <c r="BS258" i="5"/>
  <c r="BP258" i="5"/>
  <c r="BO258" i="5"/>
  <c r="BN258" i="5"/>
  <c r="BM258" i="5"/>
  <c r="BK258" i="5"/>
  <c r="AF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D258" i="5"/>
  <c r="C258" i="5"/>
  <c r="B258" i="5"/>
  <c r="CH257" i="5"/>
  <c r="CG257" i="5"/>
  <c r="BY257" i="5"/>
  <c r="BP257" i="5"/>
  <c r="BS257" i="5" s="1"/>
  <c r="BO257" i="5"/>
  <c r="BN257" i="5"/>
  <c r="BM257" i="5"/>
  <c r="BV257" i="5" s="1"/>
  <c r="BK257" i="5"/>
  <c r="AF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D257" i="5"/>
  <c r="B257" i="5"/>
  <c r="C257" i="5" s="1"/>
  <c r="CH256" i="5"/>
  <c r="CG256" i="5"/>
  <c r="BY256" i="5"/>
  <c r="BV256" i="5" s="1"/>
  <c r="BO256" i="5"/>
  <c r="BN256" i="5"/>
  <c r="BM256" i="5"/>
  <c r="BK256" i="5"/>
  <c r="AF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D256" i="5"/>
  <c r="B256" i="5"/>
  <c r="C256" i="5" s="1"/>
  <c r="CH255" i="5"/>
  <c r="CG255" i="5"/>
  <c r="BY255" i="5"/>
  <c r="BP255" i="5" s="1"/>
  <c r="BO255" i="5"/>
  <c r="BN255" i="5"/>
  <c r="BM255" i="5"/>
  <c r="BK255" i="5"/>
  <c r="AF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D255" i="5"/>
  <c r="B255" i="5"/>
  <c r="C255" i="5" s="1"/>
  <c r="CH254" i="5"/>
  <c r="CG254" i="5"/>
  <c r="BY254" i="5"/>
  <c r="BP254" i="5" s="1"/>
  <c r="BO254" i="5"/>
  <c r="BN254" i="5"/>
  <c r="BM254" i="5"/>
  <c r="BS254" i="5" s="1"/>
  <c r="BK254" i="5"/>
  <c r="AF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D254" i="5"/>
  <c r="C254" i="5"/>
  <c r="B254" i="5"/>
  <c r="CH253" i="5"/>
  <c r="CG253" i="5"/>
  <c r="BY253" i="5"/>
  <c r="BS253" i="5"/>
  <c r="BP253" i="5"/>
  <c r="BO253" i="5"/>
  <c r="BN253" i="5"/>
  <c r="BM253" i="5"/>
  <c r="BV253" i="5" s="1"/>
  <c r="BK253" i="5"/>
  <c r="AF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D253" i="5"/>
  <c r="B253" i="5"/>
  <c r="C253" i="5" s="1"/>
  <c r="CH252" i="5"/>
  <c r="CG252" i="5"/>
  <c r="BY252" i="5"/>
  <c r="BV252" i="5"/>
  <c r="BS252" i="5"/>
  <c r="BP252" i="5"/>
  <c r="BO252" i="5"/>
  <c r="BN252" i="5"/>
  <c r="BM252" i="5"/>
  <c r="BK252" i="5"/>
  <c r="AF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D252" i="5"/>
  <c r="C252" i="5"/>
  <c r="B252" i="5"/>
  <c r="CH251" i="5"/>
  <c r="CG251" i="5"/>
  <c r="BY251" i="5"/>
  <c r="BS251" i="5"/>
  <c r="BP251" i="5"/>
  <c r="BO251" i="5"/>
  <c r="BN251" i="5"/>
  <c r="BM251" i="5"/>
  <c r="BV251" i="5" s="1"/>
  <c r="BK251" i="5"/>
  <c r="AF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D251" i="5"/>
  <c r="C251" i="5"/>
  <c r="B251" i="5"/>
  <c r="CH250" i="5"/>
  <c r="CG250" i="5"/>
  <c r="BY250" i="5"/>
  <c r="BP250" i="5"/>
  <c r="BO250" i="5"/>
  <c r="BN250" i="5"/>
  <c r="BM250" i="5"/>
  <c r="BV250" i="5" s="1"/>
  <c r="BK250" i="5"/>
  <c r="AF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D250" i="5"/>
  <c r="B250" i="5"/>
  <c r="C250" i="5" s="1"/>
  <c r="CH249" i="5"/>
  <c r="CG249" i="5"/>
  <c r="BY249" i="5"/>
  <c r="BP249" i="5"/>
  <c r="BO249" i="5"/>
  <c r="BN249" i="5"/>
  <c r="BM249" i="5"/>
  <c r="BK249" i="5"/>
  <c r="AF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D249" i="5"/>
  <c r="B249" i="5"/>
  <c r="C249" i="5" s="1"/>
  <c r="CH248" i="5"/>
  <c r="CG248" i="5"/>
  <c r="BY248" i="5"/>
  <c r="BP248" i="5" s="1"/>
  <c r="BV248" i="5"/>
  <c r="BO248" i="5"/>
  <c r="BN248" i="5"/>
  <c r="BM248" i="5"/>
  <c r="BS248" i="5" s="1"/>
  <c r="BK248" i="5"/>
  <c r="AF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D248" i="5"/>
  <c r="C248" i="5"/>
  <c r="B248" i="5"/>
  <c r="CH247" i="5"/>
  <c r="CG247" i="5"/>
  <c r="BY247" i="5"/>
  <c r="BV247" i="5"/>
  <c r="BP247" i="5"/>
  <c r="BS247" i="5" s="1"/>
  <c r="BO247" i="5"/>
  <c r="BN247" i="5"/>
  <c r="BM247" i="5"/>
  <c r="BK247" i="5"/>
  <c r="AF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D247" i="5"/>
  <c r="B247" i="5"/>
  <c r="C247" i="5" s="1"/>
  <c r="CH246" i="5"/>
  <c r="CG246" i="5"/>
  <c r="BY246" i="5"/>
  <c r="BV246" i="5"/>
  <c r="BS246" i="5"/>
  <c r="BP246" i="5"/>
  <c r="BO246" i="5"/>
  <c r="BN246" i="5"/>
  <c r="BM246" i="5"/>
  <c r="BK246" i="5"/>
  <c r="AF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D246" i="5"/>
  <c r="C246" i="5"/>
  <c r="B246" i="5"/>
  <c r="CH245" i="5"/>
  <c r="CG245" i="5"/>
  <c r="BY245" i="5"/>
  <c r="BP245" i="5"/>
  <c r="BS245" i="5" s="1"/>
  <c r="BO245" i="5"/>
  <c r="BN245" i="5"/>
  <c r="BM245" i="5"/>
  <c r="BV245" i="5" s="1"/>
  <c r="BK245" i="5"/>
  <c r="AF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D245" i="5"/>
  <c r="C245" i="5"/>
  <c r="B245" i="5"/>
  <c r="CH244" i="5"/>
  <c r="CG244" i="5"/>
  <c r="BY244" i="5"/>
  <c r="BV244" i="5" s="1"/>
  <c r="BO244" i="5"/>
  <c r="BN244" i="5"/>
  <c r="BM244" i="5"/>
  <c r="BK244" i="5"/>
  <c r="AF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D244" i="5"/>
  <c r="B244" i="5"/>
  <c r="C244" i="5" s="1"/>
  <c r="CH243" i="5"/>
  <c r="CG243" i="5"/>
  <c r="BY243" i="5"/>
  <c r="BP243" i="5" s="1"/>
  <c r="BO243" i="5"/>
  <c r="BN243" i="5"/>
  <c r="BM243" i="5"/>
  <c r="BK243" i="5"/>
  <c r="AF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D243" i="5"/>
  <c r="B243" i="5"/>
  <c r="C243" i="5" s="1"/>
  <c r="CH242" i="5"/>
  <c r="CG242" i="5"/>
  <c r="BY242" i="5"/>
  <c r="BP242" i="5" s="1"/>
  <c r="BV242" i="5"/>
  <c r="BO242" i="5"/>
  <c r="BN242" i="5"/>
  <c r="BM242" i="5"/>
  <c r="BK242" i="5"/>
  <c r="AF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D242" i="5"/>
  <c r="C242" i="5"/>
  <c r="B242" i="5"/>
  <c r="CH241" i="5"/>
  <c r="CG241" i="5"/>
  <c r="BY241" i="5"/>
  <c r="BP241" i="5" s="1"/>
  <c r="BO241" i="5"/>
  <c r="BN241" i="5"/>
  <c r="BM241" i="5"/>
  <c r="BV241" i="5" s="1"/>
  <c r="BK241" i="5"/>
  <c r="AF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D241" i="5"/>
  <c r="B241" i="5"/>
  <c r="C241" i="5" s="1"/>
  <c r="CH240" i="5"/>
  <c r="CG240" i="5"/>
  <c r="BY240" i="5"/>
  <c r="BV240" i="5"/>
  <c r="BS240" i="5"/>
  <c r="BP240" i="5"/>
  <c r="BO240" i="5"/>
  <c r="BN240" i="5"/>
  <c r="BM240" i="5"/>
  <c r="BK240" i="5"/>
  <c r="AF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D240" i="5"/>
  <c r="B240" i="5"/>
  <c r="C240" i="5" s="1"/>
  <c r="CH239" i="5"/>
  <c r="CG239" i="5"/>
  <c r="BY239" i="5"/>
  <c r="BS239" i="5"/>
  <c r="BP239" i="5"/>
  <c r="BO239" i="5"/>
  <c r="BN239" i="5"/>
  <c r="BM239" i="5"/>
  <c r="BV239" i="5" s="1"/>
  <c r="BK239" i="5"/>
  <c r="AF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D239" i="5"/>
  <c r="B239" i="5"/>
  <c r="C239" i="5" s="1"/>
  <c r="CH238" i="5"/>
  <c r="CG238" i="5"/>
  <c r="BY238" i="5"/>
  <c r="BP238" i="5" s="1"/>
  <c r="BO238" i="5"/>
  <c r="BN238" i="5"/>
  <c r="BM238" i="5"/>
  <c r="BV238" i="5" s="1"/>
  <c r="BK238" i="5"/>
  <c r="AF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D238" i="5"/>
  <c r="B238" i="5"/>
  <c r="C238" i="5" s="1"/>
  <c r="CH237" i="5"/>
  <c r="CG237" i="5"/>
  <c r="BY237" i="5"/>
  <c r="BP237" i="5"/>
  <c r="BO237" i="5"/>
  <c r="BN237" i="5"/>
  <c r="BM237" i="5"/>
  <c r="BK237" i="5"/>
  <c r="AF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D237" i="5"/>
  <c r="B237" i="5"/>
  <c r="C237" i="5" s="1"/>
  <c r="CH236" i="5"/>
  <c r="CG236" i="5"/>
  <c r="BY236" i="5"/>
  <c r="BP236" i="5" s="1"/>
  <c r="BO236" i="5"/>
  <c r="BN236" i="5"/>
  <c r="BM236" i="5"/>
  <c r="BS236" i="5" s="1"/>
  <c r="BK236" i="5"/>
  <c r="AF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D236" i="5"/>
  <c r="C236" i="5"/>
  <c r="B236" i="5"/>
  <c r="CH235" i="5"/>
  <c r="CG235" i="5"/>
  <c r="BY235" i="5"/>
  <c r="BV235" i="5"/>
  <c r="BP235" i="5"/>
  <c r="BS235" i="5" s="1"/>
  <c r="BO235" i="5"/>
  <c r="BN235" i="5"/>
  <c r="BM235" i="5"/>
  <c r="BK235" i="5"/>
  <c r="AF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D235" i="5"/>
  <c r="B235" i="5"/>
  <c r="C235" i="5" s="1"/>
  <c r="CH234" i="5"/>
  <c r="CG234" i="5"/>
  <c r="BY234" i="5"/>
  <c r="BV234" i="5"/>
  <c r="BS234" i="5"/>
  <c r="BP234" i="5"/>
  <c r="BO234" i="5"/>
  <c r="BN234" i="5"/>
  <c r="BM234" i="5"/>
  <c r="BK234" i="5"/>
  <c r="AF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D234" i="5"/>
  <c r="C234" i="5"/>
  <c r="B234" i="5"/>
  <c r="CH233" i="5"/>
  <c r="CG233" i="5"/>
  <c r="BY233" i="5"/>
  <c r="BP233" i="5"/>
  <c r="BO233" i="5"/>
  <c r="BN233" i="5"/>
  <c r="BM233" i="5"/>
  <c r="BS233" i="5" s="1"/>
  <c r="BK233" i="5"/>
  <c r="AF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D233" i="5"/>
  <c r="B233" i="5"/>
  <c r="C233" i="5" s="1"/>
  <c r="CH232" i="5"/>
  <c r="BY232" i="5"/>
  <c r="BV232" i="5"/>
  <c r="BP232" i="5"/>
  <c r="BO232" i="5"/>
  <c r="BN232" i="5"/>
  <c r="BM232" i="5"/>
  <c r="BK232" i="5"/>
  <c r="AF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D232" i="5"/>
  <c r="C232" i="5"/>
  <c r="B232" i="5"/>
  <c r="CH231" i="5"/>
  <c r="CG231" i="5"/>
  <c r="BY231" i="5"/>
  <c r="BP231" i="5" s="1"/>
  <c r="BO231" i="5"/>
  <c r="BN231" i="5"/>
  <c r="BM231" i="5"/>
  <c r="BV231" i="5" s="1"/>
  <c r="BK231" i="5"/>
  <c r="AF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D231" i="5"/>
  <c r="B231" i="5"/>
  <c r="C231" i="5" s="1"/>
  <c r="CH230" i="5"/>
  <c r="CG230" i="5"/>
  <c r="BY230" i="5"/>
  <c r="BP230" i="5" s="1"/>
  <c r="BO230" i="5"/>
  <c r="BN230" i="5"/>
  <c r="BM230" i="5"/>
  <c r="BS230" i="5" s="1"/>
  <c r="BK230" i="5"/>
  <c r="AF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D230" i="5"/>
  <c r="B230" i="5"/>
  <c r="C230" i="5" s="1"/>
  <c r="CH229" i="5"/>
  <c r="CG229" i="5"/>
  <c r="BY229" i="5"/>
  <c r="BV229" i="5"/>
  <c r="BS229" i="5"/>
  <c r="BP229" i="5"/>
  <c r="BO229" i="5"/>
  <c r="BN229" i="5"/>
  <c r="BM229" i="5"/>
  <c r="BK229" i="5"/>
  <c r="AF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D229" i="5"/>
  <c r="B229" i="5"/>
  <c r="C229" i="5" s="1"/>
  <c r="CH228" i="5"/>
  <c r="CG228" i="5"/>
  <c r="BY228" i="5"/>
  <c r="BP228" i="5" s="1"/>
  <c r="BO228" i="5"/>
  <c r="BN228" i="5"/>
  <c r="BM228" i="5"/>
  <c r="BV228" i="5" s="1"/>
  <c r="BK228" i="5"/>
  <c r="AF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D228" i="5"/>
  <c r="C228" i="5"/>
  <c r="B228" i="5"/>
  <c r="CH227" i="5"/>
  <c r="CG227" i="5"/>
  <c r="BY227" i="5"/>
  <c r="BP227" i="5"/>
  <c r="BS227" i="5" s="1"/>
  <c r="BO227" i="5"/>
  <c r="BN227" i="5"/>
  <c r="BM227" i="5"/>
  <c r="BV227" i="5" s="1"/>
  <c r="BK227" i="5"/>
  <c r="AF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D227" i="5"/>
  <c r="B227" i="5"/>
  <c r="C227" i="5" s="1"/>
  <c r="CH226" i="5"/>
  <c r="CG226" i="5"/>
  <c r="BY226" i="5"/>
  <c r="BP226" i="5" s="1"/>
  <c r="BV226" i="5"/>
  <c r="BO226" i="5"/>
  <c r="BN226" i="5"/>
  <c r="BM226" i="5"/>
  <c r="BK226" i="5"/>
  <c r="AF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D226" i="5"/>
  <c r="C226" i="5"/>
  <c r="B226" i="5"/>
  <c r="CH225" i="5"/>
  <c r="CG225" i="5"/>
  <c r="BY225" i="5"/>
  <c r="BS225" i="5"/>
  <c r="BP225" i="5"/>
  <c r="BO225" i="5"/>
  <c r="BN225" i="5"/>
  <c r="BM225" i="5"/>
  <c r="BV225" i="5" s="1"/>
  <c r="BK225" i="5"/>
  <c r="AF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D225" i="5"/>
  <c r="B225" i="5"/>
  <c r="C225" i="5" s="1"/>
  <c r="CH224" i="5"/>
  <c r="CG224" i="5"/>
  <c r="BY224" i="5"/>
  <c r="BP224" i="5" s="1"/>
  <c r="BV224" i="5"/>
  <c r="BO224" i="5"/>
  <c r="BN224" i="5"/>
  <c r="BM224" i="5"/>
  <c r="BS224" i="5" s="1"/>
  <c r="BK224" i="5"/>
  <c r="AF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D224" i="5"/>
  <c r="B224" i="5"/>
  <c r="C224" i="5" s="1"/>
  <c r="CH223" i="5"/>
  <c r="CG223" i="5"/>
  <c r="BY223" i="5"/>
  <c r="BP223" i="5" s="1"/>
  <c r="BV223" i="5"/>
  <c r="BO223" i="5"/>
  <c r="BN223" i="5"/>
  <c r="BM223" i="5"/>
  <c r="BS223" i="5" s="1"/>
  <c r="BK223" i="5"/>
  <c r="AF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D223" i="5"/>
  <c r="B223" i="5"/>
  <c r="C223" i="5" s="1"/>
  <c r="CH222" i="5"/>
  <c r="CG222" i="5"/>
  <c r="BY222" i="5"/>
  <c r="BV222" i="5"/>
  <c r="BP222" i="5"/>
  <c r="BS222" i="5" s="1"/>
  <c r="BO222" i="5"/>
  <c r="BN222" i="5"/>
  <c r="BM222" i="5"/>
  <c r="BK222" i="5"/>
  <c r="AF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D222" i="5"/>
  <c r="B222" i="5"/>
  <c r="C222" i="5" s="1"/>
  <c r="CH221" i="5"/>
  <c r="CG221" i="5"/>
  <c r="BY221" i="5"/>
  <c r="BP221" i="5"/>
  <c r="BS221" i="5" s="1"/>
  <c r="BO221" i="5"/>
  <c r="BN221" i="5"/>
  <c r="BM221" i="5"/>
  <c r="BV221" i="5" s="1"/>
  <c r="BK221" i="5"/>
  <c r="AF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D221" i="5"/>
  <c r="C221" i="5"/>
  <c r="B221" i="5"/>
  <c r="CH220" i="5"/>
  <c r="CG220" i="5"/>
  <c r="BY220" i="5"/>
  <c r="BV220" i="5" s="1"/>
  <c r="BO220" i="5"/>
  <c r="BN220" i="5"/>
  <c r="BM220" i="5"/>
  <c r="BK220" i="5"/>
  <c r="AF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D220" i="5"/>
  <c r="C220" i="5"/>
  <c r="B220" i="5"/>
  <c r="CH219" i="5"/>
  <c r="CG219" i="5"/>
  <c r="BY219" i="5"/>
  <c r="BS219" i="5"/>
  <c r="BP219" i="5"/>
  <c r="BO219" i="5"/>
  <c r="BN219" i="5"/>
  <c r="BM219" i="5"/>
  <c r="BV219" i="5" s="1"/>
  <c r="BK219" i="5"/>
  <c r="AF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D219" i="5"/>
  <c r="B219" i="5"/>
  <c r="C219" i="5" s="1"/>
  <c r="CH218" i="5"/>
  <c r="CG218" i="5"/>
  <c r="BY218" i="5"/>
  <c r="BP218" i="5" s="1"/>
  <c r="BO218" i="5"/>
  <c r="BN218" i="5"/>
  <c r="BM218" i="5"/>
  <c r="BK218" i="5"/>
  <c r="AF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D218" i="5"/>
  <c r="C218" i="5"/>
  <c r="B218" i="5"/>
  <c r="CH217" i="5"/>
  <c r="CG217" i="5"/>
  <c r="BY217" i="5"/>
  <c r="BP217" i="5"/>
  <c r="BO217" i="5"/>
  <c r="BN217" i="5"/>
  <c r="BM217" i="5"/>
  <c r="BS217" i="5" s="1"/>
  <c r="BK217" i="5"/>
  <c r="AF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D217" i="5"/>
  <c r="B217" i="5"/>
  <c r="C217" i="5" s="1"/>
  <c r="CH216" i="5"/>
  <c r="CG216" i="5"/>
  <c r="BY216" i="5"/>
  <c r="BP216" i="5" s="1"/>
  <c r="BO216" i="5"/>
  <c r="BN216" i="5"/>
  <c r="BM216" i="5"/>
  <c r="BV216" i="5" s="1"/>
  <c r="BK216" i="5"/>
  <c r="AF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D216" i="5"/>
  <c r="C216" i="5"/>
  <c r="B216" i="5"/>
  <c r="CH215" i="5"/>
  <c r="CG215" i="5"/>
  <c r="BY215" i="5"/>
  <c r="BP215" i="5" s="1"/>
  <c r="BO215" i="5"/>
  <c r="BN215" i="5"/>
  <c r="BM215" i="5"/>
  <c r="BV215" i="5" s="1"/>
  <c r="BK215" i="5"/>
  <c r="AF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D215" i="5"/>
  <c r="C215" i="5"/>
  <c r="B215" i="5"/>
  <c r="CH214" i="5"/>
  <c r="CG214" i="5"/>
  <c r="BY214" i="5"/>
  <c r="BV214" i="5"/>
  <c r="BS214" i="5"/>
  <c r="BP214" i="5"/>
  <c r="BO214" i="5"/>
  <c r="BN214" i="5"/>
  <c r="BM214" i="5"/>
  <c r="BK214" i="5"/>
  <c r="AF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D214" i="5"/>
  <c r="C214" i="5"/>
  <c r="B214" i="5"/>
  <c r="CH213" i="5"/>
  <c r="CG213" i="5"/>
  <c r="BY213" i="5"/>
  <c r="BS213" i="5"/>
  <c r="BP213" i="5"/>
  <c r="BO213" i="5"/>
  <c r="BN213" i="5"/>
  <c r="BM213" i="5"/>
  <c r="BV213" i="5" s="1"/>
  <c r="BK213" i="5"/>
  <c r="AF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D213" i="5"/>
  <c r="C213" i="5"/>
  <c r="B213" i="5"/>
  <c r="CH212" i="5"/>
  <c r="CG212" i="5"/>
  <c r="BY212" i="5"/>
  <c r="BP212" i="5" s="1"/>
  <c r="BS212" i="5" s="1"/>
  <c r="BO212" i="5"/>
  <c r="BN212" i="5"/>
  <c r="BM212" i="5"/>
  <c r="BV212" i="5" s="1"/>
  <c r="BK212" i="5"/>
  <c r="AF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D212" i="5"/>
  <c r="B212" i="5"/>
  <c r="C212" i="5" s="1"/>
  <c r="CH211" i="5"/>
  <c r="CG211" i="5"/>
  <c r="BY211" i="5"/>
  <c r="BP211" i="5"/>
  <c r="BO211" i="5"/>
  <c r="BN211" i="5"/>
  <c r="BM211" i="5"/>
  <c r="BV211" i="5" s="1"/>
  <c r="BK211" i="5"/>
  <c r="AF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D211" i="5"/>
  <c r="B211" i="5"/>
  <c r="C211" i="5" s="1"/>
  <c r="CH210" i="5"/>
  <c r="CG210" i="5"/>
  <c r="BY210" i="5"/>
  <c r="BP210" i="5" s="1"/>
  <c r="BO210" i="5"/>
  <c r="BN210" i="5"/>
  <c r="BM210" i="5"/>
  <c r="BV210" i="5" s="1"/>
  <c r="BK210" i="5"/>
  <c r="AF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D210" i="5"/>
  <c r="C210" i="5"/>
  <c r="B210" i="5"/>
  <c r="CH209" i="5"/>
  <c r="CG209" i="5"/>
  <c r="BY209" i="5"/>
  <c r="BP209" i="5" s="1"/>
  <c r="BO209" i="5"/>
  <c r="BN209" i="5"/>
  <c r="BM209" i="5"/>
  <c r="BV209" i="5" s="1"/>
  <c r="BK209" i="5"/>
  <c r="AF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D209" i="5"/>
  <c r="C209" i="5"/>
  <c r="B209" i="5"/>
  <c r="CH208" i="5"/>
  <c r="CG208" i="5"/>
  <c r="BY208" i="5"/>
  <c r="BV208" i="5"/>
  <c r="BS208" i="5"/>
  <c r="BP208" i="5"/>
  <c r="BO208" i="5"/>
  <c r="BN208" i="5"/>
  <c r="BM208" i="5"/>
  <c r="BK208" i="5"/>
  <c r="AF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D208" i="5"/>
  <c r="C208" i="5"/>
  <c r="B208" i="5"/>
  <c r="CH207" i="5"/>
  <c r="CG207" i="5"/>
  <c r="BY207" i="5"/>
  <c r="BV207" i="5"/>
  <c r="BS207" i="5"/>
  <c r="BP207" i="5"/>
  <c r="BO207" i="5"/>
  <c r="BN207" i="5"/>
  <c r="BM207" i="5"/>
  <c r="BK207" i="5"/>
  <c r="AF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D207" i="5"/>
  <c r="C207" i="5"/>
  <c r="B207" i="5"/>
  <c r="CH206" i="5"/>
  <c r="CG206" i="5"/>
  <c r="BY206" i="5"/>
  <c r="BP206" i="5" s="1"/>
  <c r="BS206" i="5" s="1"/>
  <c r="BO206" i="5"/>
  <c r="BN206" i="5"/>
  <c r="BM206" i="5"/>
  <c r="BV206" i="5" s="1"/>
  <c r="BK206" i="5"/>
  <c r="AF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D206" i="5"/>
  <c r="B206" i="5"/>
  <c r="C206" i="5" s="1"/>
  <c r="CH205" i="5"/>
  <c r="CG205" i="5"/>
  <c r="BY205" i="5"/>
  <c r="BP205" i="5"/>
  <c r="BO205" i="5"/>
  <c r="BN205" i="5"/>
  <c r="BM205" i="5"/>
  <c r="BV205" i="5" s="1"/>
  <c r="BK205" i="5"/>
  <c r="AF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D205" i="5"/>
  <c r="B205" i="5"/>
  <c r="C205" i="5" s="1"/>
  <c r="CH204" i="5"/>
  <c r="CG204" i="5"/>
  <c r="BY204" i="5"/>
  <c r="BP204" i="5" s="1"/>
  <c r="BO204" i="5"/>
  <c r="BN204" i="5"/>
  <c r="BM204" i="5"/>
  <c r="BV204" i="5" s="1"/>
  <c r="BK204" i="5"/>
  <c r="AF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D204" i="5"/>
  <c r="C204" i="5"/>
  <c r="B204" i="5"/>
  <c r="CH203" i="5"/>
  <c r="CG203" i="5"/>
  <c r="BY203" i="5"/>
  <c r="BP203" i="5" s="1"/>
  <c r="BO203" i="5"/>
  <c r="BN203" i="5"/>
  <c r="BM203" i="5"/>
  <c r="BV203" i="5" s="1"/>
  <c r="BK203" i="5"/>
  <c r="AF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D203" i="5"/>
  <c r="C203" i="5"/>
  <c r="B203" i="5"/>
  <c r="CH202" i="5"/>
  <c r="CG202" i="5"/>
  <c r="BY202" i="5"/>
  <c r="BV202" i="5"/>
  <c r="BS202" i="5"/>
  <c r="BP202" i="5"/>
  <c r="BO202" i="5"/>
  <c r="BN202" i="5"/>
  <c r="BM202" i="5"/>
  <c r="BK202" i="5"/>
  <c r="AF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D202" i="5"/>
  <c r="C202" i="5"/>
  <c r="B202" i="5"/>
  <c r="CH201" i="5"/>
  <c r="BY201" i="5"/>
  <c r="BS201" i="5"/>
  <c r="BP201" i="5"/>
  <c r="BO201" i="5"/>
  <c r="BN201" i="5"/>
  <c r="BM201" i="5"/>
  <c r="BV201" i="5" s="1"/>
  <c r="BK201" i="5"/>
  <c r="AF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D201" i="5"/>
  <c r="B201" i="5"/>
  <c r="C201" i="5" s="1"/>
  <c r="CH200" i="5"/>
  <c r="CG200" i="5"/>
  <c r="BY200" i="5"/>
  <c r="BP200" i="5"/>
  <c r="BO200" i="5"/>
  <c r="BN200" i="5"/>
  <c r="BM200" i="5"/>
  <c r="BS200" i="5" s="1"/>
  <c r="BK200" i="5"/>
  <c r="AF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D200" i="5"/>
  <c r="C200" i="5"/>
  <c r="B200" i="5"/>
  <c r="CH199" i="5"/>
  <c r="CG199" i="5"/>
  <c r="BY199" i="5"/>
  <c r="BV199" i="5"/>
  <c r="BP199" i="5"/>
  <c r="BO199" i="5"/>
  <c r="BN199" i="5"/>
  <c r="BM199" i="5"/>
  <c r="BS199" i="5" s="1"/>
  <c r="BK199" i="5"/>
  <c r="AF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D199" i="5"/>
  <c r="B199" i="5"/>
  <c r="C199" i="5" s="1"/>
  <c r="CH198" i="5"/>
  <c r="CG198" i="5"/>
  <c r="BY198" i="5"/>
  <c r="BP198" i="5" s="1"/>
  <c r="BO198" i="5"/>
  <c r="BN198" i="5"/>
  <c r="BM198" i="5"/>
  <c r="BK198" i="5"/>
  <c r="AF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D198" i="5"/>
  <c r="B198" i="5"/>
  <c r="C198" i="5" s="1"/>
  <c r="CH197" i="5"/>
  <c r="CG197" i="5"/>
  <c r="BY197" i="5"/>
  <c r="BP197" i="5" s="1"/>
  <c r="BS197" i="5" s="1"/>
  <c r="BV197" i="5"/>
  <c r="BO197" i="5"/>
  <c r="BN197" i="5"/>
  <c r="BM197" i="5"/>
  <c r="BK197" i="5"/>
  <c r="AF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D197" i="5"/>
  <c r="B197" i="5"/>
  <c r="C197" i="5" s="1"/>
  <c r="CH196" i="5"/>
  <c r="CG196" i="5"/>
  <c r="BY196" i="5"/>
  <c r="BV196" i="5"/>
  <c r="BP196" i="5"/>
  <c r="BO196" i="5"/>
  <c r="BN196" i="5"/>
  <c r="BM196" i="5"/>
  <c r="BK196" i="5"/>
  <c r="AF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D196" i="5"/>
  <c r="B196" i="5"/>
  <c r="C196" i="5" s="1"/>
  <c r="CH195" i="5"/>
  <c r="CG195" i="5"/>
  <c r="BY195" i="5"/>
  <c r="BS195" i="5"/>
  <c r="BP195" i="5"/>
  <c r="BO195" i="5"/>
  <c r="BN195" i="5"/>
  <c r="BM195" i="5"/>
  <c r="BV195" i="5" s="1"/>
  <c r="BK195" i="5"/>
  <c r="AF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D195" i="5"/>
  <c r="B195" i="5"/>
  <c r="C195" i="5" s="1"/>
  <c r="CH194" i="5"/>
  <c r="CG194" i="5"/>
  <c r="BY194" i="5"/>
  <c r="BP194" i="5"/>
  <c r="BO194" i="5"/>
  <c r="BN194" i="5"/>
  <c r="BM194" i="5"/>
  <c r="BK194" i="5"/>
  <c r="AF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D194" i="5"/>
  <c r="C194" i="5"/>
  <c r="B194" i="5"/>
  <c r="CH193" i="5"/>
  <c r="CG193" i="5"/>
  <c r="BY193" i="5"/>
  <c r="BV193" i="5"/>
  <c r="BP193" i="5"/>
  <c r="BS193" i="5" s="1"/>
  <c r="BO193" i="5"/>
  <c r="BN193" i="5"/>
  <c r="BM193" i="5"/>
  <c r="BK193" i="5"/>
  <c r="AF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D193" i="5"/>
  <c r="B193" i="5"/>
  <c r="C193" i="5" s="1"/>
  <c r="CH192" i="5"/>
  <c r="CG192" i="5"/>
  <c r="BY192" i="5"/>
  <c r="BP192" i="5" s="1"/>
  <c r="BO192" i="5"/>
  <c r="BN192" i="5"/>
  <c r="BM192" i="5"/>
  <c r="BS192" i="5" s="1"/>
  <c r="BK192" i="5"/>
  <c r="AF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D192" i="5"/>
  <c r="B192" i="5"/>
  <c r="C192" i="5" s="1"/>
  <c r="CH191" i="5"/>
  <c r="CG191" i="5"/>
  <c r="BY191" i="5"/>
  <c r="BP191" i="5" s="1"/>
  <c r="BS191" i="5" s="1"/>
  <c r="BV191" i="5"/>
  <c r="BO191" i="5"/>
  <c r="BN191" i="5"/>
  <c r="BM191" i="5"/>
  <c r="BK191" i="5"/>
  <c r="AF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D191" i="5"/>
  <c r="B191" i="5"/>
  <c r="C191" i="5" s="1"/>
  <c r="CH190" i="5"/>
  <c r="CG190" i="5"/>
  <c r="BY190" i="5"/>
  <c r="BV190" i="5"/>
  <c r="BP190" i="5"/>
  <c r="BO190" i="5"/>
  <c r="BN190" i="5"/>
  <c r="BM190" i="5"/>
  <c r="BK190" i="5"/>
  <c r="AF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D190" i="5"/>
  <c r="C190" i="5"/>
  <c r="B190" i="5"/>
  <c r="CH189" i="5"/>
  <c r="CG189" i="5"/>
  <c r="BY189" i="5"/>
  <c r="BP189" i="5"/>
  <c r="BS189" i="5" s="1"/>
  <c r="BO189" i="5"/>
  <c r="BN189" i="5"/>
  <c r="BM189" i="5"/>
  <c r="BV189" i="5" s="1"/>
  <c r="BK189" i="5"/>
  <c r="AF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D189" i="5"/>
  <c r="B189" i="5"/>
  <c r="C189" i="5" s="1"/>
  <c r="CH188" i="5"/>
  <c r="CG188" i="5"/>
  <c r="BY188" i="5"/>
  <c r="BP188" i="5"/>
  <c r="BO188" i="5"/>
  <c r="BN188" i="5"/>
  <c r="BM188" i="5"/>
  <c r="BK188" i="5"/>
  <c r="AF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D188" i="5"/>
  <c r="C188" i="5"/>
  <c r="B188" i="5"/>
  <c r="CH187" i="5"/>
  <c r="CG187" i="5"/>
  <c r="BY187" i="5"/>
  <c r="BV187" i="5"/>
  <c r="BS187" i="5"/>
  <c r="BP187" i="5"/>
  <c r="BO187" i="5"/>
  <c r="BN187" i="5"/>
  <c r="BM187" i="5"/>
  <c r="BK187" i="5"/>
  <c r="AF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D187" i="5"/>
  <c r="B187" i="5"/>
  <c r="C187" i="5" s="1"/>
  <c r="CH186" i="5"/>
  <c r="CG186" i="5"/>
  <c r="BY186" i="5"/>
  <c r="BP186" i="5" s="1"/>
  <c r="BO186" i="5"/>
  <c r="BN186" i="5"/>
  <c r="BM186" i="5"/>
  <c r="BK186" i="5"/>
  <c r="AF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D186" i="5"/>
  <c r="B186" i="5"/>
  <c r="C186" i="5" s="1"/>
  <c r="CH185" i="5"/>
  <c r="CG185" i="5"/>
  <c r="BY185" i="5"/>
  <c r="BP185" i="5" s="1"/>
  <c r="BV185" i="5"/>
  <c r="BS185" i="5"/>
  <c r="BO185" i="5"/>
  <c r="BN185" i="5"/>
  <c r="BM185" i="5"/>
  <c r="BK185" i="5"/>
  <c r="AF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D185" i="5"/>
  <c r="B185" i="5"/>
  <c r="C185" i="5" s="1"/>
  <c r="CH184" i="5"/>
  <c r="CG184" i="5"/>
  <c r="BY184" i="5"/>
  <c r="BV184" i="5" s="1"/>
  <c r="BO184" i="5"/>
  <c r="BN184" i="5"/>
  <c r="BM184" i="5"/>
  <c r="BK184" i="5"/>
  <c r="AF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D184" i="5"/>
  <c r="B184" i="5"/>
  <c r="C184" i="5" s="1"/>
  <c r="CH183" i="5"/>
  <c r="CG183" i="5"/>
  <c r="BY183" i="5"/>
  <c r="BV183" i="5"/>
  <c r="BP183" i="5"/>
  <c r="BS183" i="5" s="1"/>
  <c r="BO183" i="5"/>
  <c r="BN183" i="5"/>
  <c r="BM183" i="5"/>
  <c r="BK183" i="5"/>
  <c r="AF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D183" i="5"/>
  <c r="B183" i="5"/>
  <c r="C183" i="5" s="1"/>
  <c r="CH182" i="5"/>
  <c r="CG182" i="5"/>
  <c r="BY182" i="5"/>
  <c r="BP182" i="5"/>
  <c r="BO182" i="5"/>
  <c r="BN182" i="5"/>
  <c r="BM182" i="5"/>
  <c r="BK182" i="5"/>
  <c r="AF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D182" i="5"/>
  <c r="C182" i="5"/>
  <c r="B182" i="5"/>
  <c r="CH181" i="5"/>
  <c r="CG181" i="5"/>
  <c r="BY181" i="5"/>
  <c r="BV181" i="5"/>
  <c r="BP181" i="5"/>
  <c r="BS181" i="5" s="1"/>
  <c r="BO181" i="5"/>
  <c r="BN181" i="5"/>
  <c r="BM181" i="5"/>
  <c r="BK181" i="5"/>
  <c r="AF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D181" i="5"/>
  <c r="B181" i="5"/>
  <c r="C181" i="5" s="1"/>
  <c r="CH180" i="5"/>
  <c r="CG180" i="5"/>
  <c r="BY180" i="5"/>
  <c r="BP180" i="5" s="1"/>
  <c r="BO180" i="5"/>
  <c r="BN180" i="5"/>
  <c r="BM180" i="5"/>
  <c r="BK180" i="5"/>
  <c r="AF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D180" i="5"/>
  <c r="C180" i="5"/>
  <c r="B180" i="5"/>
  <c r="CH179" i="5"/>
  <c r="CG179" i="5"/>
  <c r="BY179" i="5"/>
  <c r="BV179" i="5"/>
  <c r="BS179" i="5"/>
  <c r="BP179" i="5"/>
  <c r="BO179" i="5"/>
  <c r="BN179" i="5"/>
  <c r="BM179" i="5"/>
  <c r="BK179" i="5"/>
  <c r="AF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D179" i="5"/>
  <c r="C179" i="5"/>
  <c r="B179" i="5"/>
  <c r="CH178" i="5"/>
  <c r="CG178" i="5"/>
  <c r="BY178" i="5"/>
  <c r="BP178" i="5" s="1"/>
  <c r="BO178" i="5"/>
  <c r="BN178" i="5"/>
  <c r="BM178" i="5"/>
  <c r="BV178" i="5" s="1"/>
  <c r="BK178" i="5"/>
  <c r="AF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D178" i="5"/>
  <c r="B178" i="5"/>
  <c r="C178" i="5" s="1"/>
  <c r="CH177" i="5"/>
  <c r="CG177" i="5"/>
  <c r="BY177" i="5"/>
  <c r="BV177" i="5"/>
  <c r="BP177" i="5"/>
  <c r="BS177" i="5" s="1"/>
  <c r="BO177" i="5"/>
  <c r="BN177" i="5"/>
  <c r="BM177" i="5"/>
  <c r="BK177" i="5"/>
  <c r="AF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D177" i="5"/>
  <c r="B177" i="5"/>
  <c r="C177" i="5" s="1"/>
  <c r="CH176" i="5"/>
  <c r="CG176" i="5"/>
  <c r="BY176" i="5"/>
  <c r="BP176" i="5" s="1"/>
  <c r="BO176" i="5"/>
  <c r="BN176" i="5"/>
  <c r="BM176" i="5"/>
  <c r="BK176" i="5"/>
  <c r="AF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D176" i="5"/>
  <c r="C176" i="5"/>
  <c r="B176" i="5"/>
  <c r="CH175" i="5"/>
  <c r="CG175" i="5"/>
  <c r="BY175" i="5"/>
  <c r="BP175" i="5" s="1"/>
  <c r="BO175" i="5"/>
  <c r="BN175" i="5"/>
  <c r="BM175" i="5"/>
  <c r="BV175" i="5" s="1"/>
  <c r="BK175" i="5"/>
  <c r="AF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D175" i="5"/>
  <c r="B175" i="5"/>
  <c r="C175" i="5" s="1"/>
  <c r="CH174" i="5"/>
  <c r="CG174" i="5"/>
  <c r="BY174" i="5"/>
  <c r="BP174" i="5" s="1"/>
  <c r="BO174" i="5"/>
  <c r="BN174" i="5"/>
  <c r="BM174" i="5"/>
  <c r="BV174" i="5" s="1"/>
  <c r="BK174" i="5"/>
  <c r="AF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D174" i="5"/>
  <c r="B174" i="5"/>
  <c r="C174" i="5" s="1"/>
  <c r="CH173" i="5"/>
  <c r="CG173" i="5"/>
  <c r="BY173" i="5"/>
  <c r="BV173" i="5"/>
  <c r="BS173" i="5"/>
  <c r="BP173" i="5"/>
  <c r="BO173" i="5"/>
  <c r="BN173" i="5"/>
  <c r="BM173" i="5"/>
  <c r="BK173" i="5"/>
  <c r="AF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D173" i="5"/>
  <c r="B173" i="5"/>
  <c r="C173" i="5" s="1"/>
  <c r="CH172" i="5"/>
  <c r="CG172" i="5"/>
  <c r="BY172" i="5"/>
  <c r="BV172" i="5" s="1"/>
  <c r="BO172" i="5"/>
  <c r="BN172" i="5"/>
  <c r="BM172" i="5"/>
  <c r="BK172" i="5"/>
  <c r="AF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D172" i="5"/>
  <c r="B172" i="5"/>
  <c r="C172" i="5" s="1"/>
  <c r="CH171" i="5"/>
  <c r="BY171" i="5"/>
  <c r="BP171" i="5" s="1"/>
  <c r="BS171" i="5" s="1"/>
  <c r="BO171" i="5"/>
  <c r="BN171" i="5"/>
  <c r="BM171" i="5"/>
  <c r="BV171" i="5" s="1"/>
  <c r="BK171" i="5"/>
  <c r="AF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D171" i="5"/>
  <c r="B171" i="5"/>
  <c r="C171" i="5" s="1"/>
  <c r="CH170" i="5"/>
  <c r="CG170" i="5"/>
  <c r="BY170" i="5"/>
  <c r="BP170" i="5" s="1"/>
  <c r="BO170" i="5"/>
  <c r="BN170" i="5"/>
  <c r="BM170" i="5"/>
  <c r="BK170" i="5"/>
  <c r="AF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D170" i="5"/>
  <c r="B170" i="5"/>
  <c r="C170" i="5" s="1"/>
  <c r="CH169" i="5"/>
  <c r="CG169" i="5"/>
  <c r="BY169" i="5"/>
  <c r="BP169" i="5" s="1"/>
  <c r="BO169" i="5"/>
  <c r="BN169" i="5"/>
  <c r="BM169" i="5"/>
  <c r="BS169" i="5" s="1"/>
  <c r="BK169" i="5"/>
  <c r="AF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D169" i="5"/>
  <c r="C169" i="5"/>
  <c r="B169" i="5"/>
  <c r="CH168" i="5"/>
  <c r="CG168" i="5"/>
  <c r="BY168" i="5"/>
  <c r="BP168" i="5"/>
  <c r="BO168" i="5"/>
  <c r="BN168" i="5"/>
  <c r="BM168" i="5"/>
  <c r="BV168" i="5" s="1"/>
  <c r="BK168" i="5"/>
  <c r="AF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D168" i="5"/>
  <c r="B168" i="5"/>
  <c r="C168" i="5" s="1"/>
  <c r="CH167" i="5"/>
  <c r="CG167" i="5"/>
  <c r="BY167" i="5"/>
  <c r="BP167" i="5" s="1"/>
  <c r="BS167" i="5" s="1"/>
  <c r="BV167" i="5"/>
  <c r="BO167" i="5"/>
  <c r="BN167" i="5"/>
  <c r="BM167" i="5"/>
  <c r="BK167" i="5"/>
  <c r="AF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D167" i="5"/>
  <c r="B167" i="5"/>
  <c r="C167" i="5" s="1"/>
  <c r="CH166" i="5"/>
  <c r="CG166" i="5"/>
  <c r="BY166" i="5"/>
  <c r="BP166" i="5"/>
  <c r="BS166" i="5" s="1"/>
  <c r="BO166" i="5"/>
  <c r="BN166" i="5"/>
  <c r="BM166" i="5"/>
  <c r="BV166" i="5" s="1"/>
  <c r="BK166" i="5"/>
  <c r="AF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D166" i="5"/>
  <c r="C166" i="5"/>
  <c r="B166" i="5"/>
  <c r="CH165" i="5"/>
  <c r="CG165" i="5"/>
  <c r="BY165" i="5"/>
  <c r="BP165" i="5"/>
  <c r="BO165" i="5"/>
  <c r="BN165" i="5"/>
  <c r="BM165" i="5"/>
  <c r="BV165" i="5" s="1"/>
  <c r="BK165" i="5"/>
  <c r="AF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D165" i="5"/>
  <c r="B165" i="5"/>
  <c r="C165" i="5" s="1"/>
  <c r="CH164" i="5"/>
  <c r="CG164" i="5"/>
  <c r="BY164" i="5"/>
  <c r="BP164" i="5"/>
  <c r="BO164" i="5"/>
  <c r="BN164" i="5"/>
  <c r="BM164" i="5"/>
  <c r="BK164" i="5"/>
  <c r="AF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D164" i="5"/>
  <c r="B164" i="5"/>
  <c r="C164" i="5" s="1"/>
  <c r="CH163" i="5"/>
  <c r="CG163" i="5"/>
  <c r="BY163" i="5"/>
  <c r="BP163" i="5" s="1"/>
  <c r="BV163" i="5"/>
  <c r="BO163" i="5"/>
  <c r="BN163" i="5"/>
  <c r="BM163" i="5"/>
  <c r="BK163" i="5"/>
  <c r="AF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D163" i="5"/>
  <c r="C163" i="5"/>
  <c r="B163" i="5"/>
  <c r="CH162" i="5"/>
  <c r="CG162" i="5"/>
  <c r="BY162" i="5"/>
  <c r="BV162" i="5" s="1"/>
  <c r="BO162" i="5"/>
  <c r="BN162" i="5"/>
  <c r="BM162" i="5"/>
  <c r="BK162" i="5"/>
  <c r="AF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D162" i="5"/>
  <c r="B162" i="5"/>
  <c r="C162" i="5" s="1"/>
  <c r="CH161" i="5"/>
  <c r="CG161" i="5"/>
  <c r="BY161" i="5"/>
  <c r="BP161" i="5" s="1"/>
  <c r="BS161" i="5" s="1"/>
  <c r="BV161" i="5"/>
  <c r="BO161" i="5"/>
  <c r="BN161" i="5"/>
  <c r="BM161" i="5"/>
  <c r="BK161" i="5"/>
  <c r="AF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D161" i="5"/>
  <c r="C161" i="5"/>
  <c r="B161" i="5"/>
  <c r="CH160" i="5"/>
  <c r="CG160" i="5"/>
  <c r="BY160" i="5"/>
  <c r="BP160" i="5"/>
  <c r="BS160" i="5" s="1"/>
  <c r="BO160" i="5"/>
  <c r="BN160" i="5"/>
  <c r="BM160" i="5"/>
  <c r="BV160" i="5" s="1"/>
  <c r="BK160" i="5"/>
  <c r="AF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D160" i="5"/>
  <c r="C160" i="5"/>
  <c r="B160" i="5"/>
  <c r="CH159" i="5"/>
  <c r="CG159" i="5"/>
  <c r="BY159" i="5"/>
  <c r="BV159" i="5" s="1"/>
  <c r="BO159" i="5"/>
  <c r="BN159" i="5"/>
  <c r="BM159" i="5"/>
  <c r="BK159" i="5"/>
  <c r="AF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D159" i="5"/>
  <c r="B159" i="5"/>
  <c r="C159" i="5" s="1"/>
  <c r="CH158" i="5"/>
  <c r="CG158" i="5"/>
  <c r="BY158" i="5"/>
  <c r="BP158" i="5" s="1"/>
  <c r="BO158" i="5"/>
  <c r="BN158" i="5"/>
  <c r="BM158" i="5"/>
  <c r="BK158" i="5"/>
  <c r="AF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D158" i="5"/>
  <c r="B158" i="5"/>
  <c r="C158" i="5" s="1"/>
  <c r="CH157" i="5"/>
  <c r="CG157" i="5"/>
  <c r="BY157" i="5"/>
  <c r="BP157" i="5" s="1"/>
  <c r="BV157" i="5"/>
  <c r="BO157" i="5"/>
  <c r="BN157" i="5"/>
  <c r="BM157" i="5"/>
  <c r="BK157" i="5"/>
  <c r="AF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D157" i="5"/>
  <c r="C157" i="5"/>
  <c r="B157" i="5"/>
  <c r="CH156" i="5"/>
  <c r="CG156" i="5"/>
  <c r="BY156" i="5"/>
  <c r="BP156" i="5" s="1"/>
  <c r="BO156" i="5"/>
  <c r="BN156" i="5"/>
  <c r="BM156" i="5"/>
  <c r="BV156" i="5" s="1"/>
  <c r="BK156" i="5"/>
  <c r="AF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D156" i="5"/>
  <c r="B156" i="5"/>
  <c r="C156" i="5" s="1"/>
  <c r="CH155" i="5"/>
  <c r="CG155" i="5"/>
  <c r="BY155" i="5"/>
  <c r="BP155" i="5" s="1"/>
  <c r="BV155" i="5"/>
  <c r="BS155" i="5"/>
  <c r="BO155" i="5"/>
  <c r="BN155" i="5"/>
  <c r="BM155" i="5"/>
  <c r="BK155" i="5"/>
  <c r="AF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D155" i="5"/>
  <c r="C155" i="5"/>
  <c r="B155" i="5"/>
  <c r="CH154" i="5"/>
  <c r="CG154" i="5"/>
  <c r="BY154" i="5"/>
  <c r="BV154" i="5"/>
  <c r="BS154" i="5"/>
  <c r="BP154" i="5"/>
  <c r="BO154" i="5"/>
  <c r="BN154" i="5"/>
  <c r="BM154" i="5"/>
  <c r="BK154" i="5"/>
  <c r="AF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D154" i="5"/>
  <c r="B154" i="5"/>
  <c r="C154" i="5" s="1"/>
  <c r="CH153" i="5"/>
  <c r="CG153" i="5"/>
  <c r="BY153" i="5"/>
  <c r="BP153" i="5" s="1"/>
  <c r="BV153" i="5"/>
  <c r="BO153" i="5"/>
  <c r="BN153" i="5"/>
  <c r="BM153" i="5"/>
  <c r="BS153" i="5" s="1"/>
  <c r="BK153" i="5"/>
  <c r="AF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D153" i="5"/>
  <c r="B153" i="5"/>
  <c r="C153" i="5" s="1"/>
  <c r="CH152" i="5"/>
  <c r="CG152" i="5"/>
  <c r="BY152" i="5"/>
  <c r="BP152" i="5"/>
  <c r="BO152" i="5"/>
  <c r="BN152" i="5"/>
  <c r="BM152" i="5"/>
  <c r="BK152" i="5"/>
  <c r="AF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D152" i="5"/>
  <c r="B152" i="5"/>
  <c r="C152" i="5" s="1"/>
  <c r="CH151" i="5"/>
  <c r="CG151" i="5"/>
  <c r="BY151" i="5"/>
  <c r="BP151" i="5" s="1"/>
  <c r="BO151" i="5"/>
  <c r="BN151" i="5"/>
  <c r="BM151" i="5"/>
  <c r="BS151" i="5" s="1"/>
  <c r="BK151" i="5"/>
  <c r="AF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D151" i="5"/>
  <c r="C151" i="5"/>
  <c r="B151" i="5"/>
  <c r="CH150" i="5"/>
  <c r="CG150" i="5"/>
  <c r="BY150" i="5"/>
  <c r="BV150" i="5"/>
  <c r="BP150" i="5"/>
  <c r="BS150" i="5" s="1"/>
  <c r="BO150" i="5"/>
  <c r="BN150" i="5"/>
  <c r="BM150" i="5"/>
  <c r="BK150" i="5"/>
  <c r="AF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D150" i="5"/>
  <c r="B150" i="5"/>
  <c r="C150" i="5" s="1"/>
  <c r="CH149" i="5"/>
  <c r="CG149" i="5"/>
  <c r="BY149" i="5"/>
  <c r="BV149" i="5"/>
  <c r="BS149" i="5"/>
  <c r="BP149" i="5"/>
  <c r="BO149" i="5"/>
  <c r="BN149" i="5"/>
  <c r="BM149" i="5"/>
  <c r="BK149" i="5"/>
  <c r="AF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D149" i="5"/>
  <c r="C149" i="5"/>
  <c r="B149" i="5"/>
  <c r="CH148" i="5"/>
  <c r="CG148" i="5"/>
  <c r="BY148" i="5"/>
  <c r="BV148" i="5"/>
  <c r="BP148" i="5"/>
  <c r="BS148" i="5" s="1"/>
  <c r="BO148" i="5"/>
  <c r="BN148" i="5"/>
  <c r="BM148" i="5"/>
  <c r="BK148" i="5"/>
  <c r="AF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D148" i="5"/>
  <c r="B148" i="5"/>
  <c r="C148" i="5" s="1"/>
  <c r="CH147" i="5"/>
  <c r="CG147" i="5"/>
  <c r="BY147" i="5"/>
  <c r="BV147" i="5"/>
  <c r="BP147" i="5"/>
  <c r="BS147" i="5" s="1"/>
  <c r="BO147" i="5"/>
  <c r="BN147" i="5"/>
  <c r="BM147" i="5"/>
  <c r="BK147" i="5"/>
  <c r="AF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D147" i="5"/>
  <c r="B147" i="5"/>
  <c r="C147" i="5" s="1"/>
  <c r="CH146" i="5"/>
  <c r="CG146" i="5"/>
  <c r="BY146" i="5"/>
  <c r="BP146" i="5"/>
  <c r="BO146" i="5"/>
  <c r="BN146" i="5"/>
  <c r="BM146" i="5"/>
  <c r="BK146" i="5"/>
  <c r="AF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D146" i="5"/>
  <c r="B146" i="5"/>
  <c r="C146" i="5" s="1"/>
  <c r="CH145" i="5"/>
  <c r="CG145" i="5"/>
  <c r="BY145" i="5"/>
  <c r="BP145" i="5" s="1"/>
  <c r="BO145" i="5"/>
  <c r="BN145" i="5"/>
  <c r="BM145" i="5"/>
  <c r="BK145" i="5"/>
  <c r="AF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D145" i="5"/>
  <c r="C145" i="5"/>
  <c r="B145" i="5"/>
  <c r="CH144" i="5"/>
  <c r="CG144" i="5"/>
  <c r="BY144" i="5"/>
  <c r="BP144" i="5" s="1"/>
  <c r="BV144" i="5"/>
  <c r="BO144" i="5"/>
  <c r="BN144" i="5"/>
  <c r="BM144" i="5"/>
  <c r="BK144" i="5"/>
  <c r="AF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D144" i="5"/>
  <c r="C144" i="5"/>
  <c r="B144" i="5"/>
  <c r="CH143" i="5"/>
  <c r="CG143" i="5"/>
  <c r="BY143" i="5"/>
  <c r="BV143" i="5"/>
  <c r="BS143" i="5"/>
  <c r="BP143" i="5"/>
  <c r="BO143" i="5"/>
  <c r="BN143" i="5"/>
  <c r="BM143" i="5"/>
  <c r="BK143" i="5"/>
  <c r="AF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D143" i="5"/>
  <c r="C143" i="5"/>
  <c r="B143" i="5"/>
  <c r="CH142" i="5"/>
  <c r="CG142" i="5"/>
  <c r="BY142" i="5"/>
  <c r="BV142" i="5"/>
  <c r="BS142" i="5"/>
  <c r="BP142" i="5"/>
  <c r="BO142" i="5"/>
  <c r="BN142" i="5"/>
  <c r="BM142" i="5"/>
  <c r="BK142" i="5"/>
  <c r="AF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D142" i="5"/>
  <c r="B142" i="5"/>
  <c r="C142" i="5" s="1"/>
  <c r="CH141" i="5"/>
  <c r="CG141" i="5"/>
  <c r="BY141" i="5"/>
  <c r="BP141" i="5" s="1"/>
  <c r="BV141" i="5"/>
  <c r="BO141" i="5"/>
  <c r="BN141" i="5"/>
  <c r="BM141" i="5"/>
  <c r="BS141" i="5" s="1"/>
  <c r="BK141" i="5"/>
  <c r="AF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D141" i="5"/>
  <c r="B141" i="5"/>
  <c r="C141" i="5" s="1"/>
  <c r="CH140" i="5"/>
  <c r="BY140" i="5"/>
  <c r="BP140" i="5" s="1"/>
  <c r="BO140" i="5"/>
  <c r="BN140" i="5"/>
  <c r="BM140" i="5"/>
  <c r="BV140" i="5" s="1"/>
  <c r="BK140" i="5"/>
  <c r="AF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D140" i="5"/>
  <c r="B140" i="5"/>
  <c r="C140" i="5" s="1"/>
  <c r="CH139" i="5"/>
  <c r="CG139" i="5"/>
  <c r="BY139" i="5"/>
  <c r="BP139" i="5" s="1"/>
  <c r="BO139" i="5"/>
  <c r="BN139" i="5"/>
  <c r="BM139" i="5"/>
  <c r="BS139" i="5" s="1"/>
  <c r="BK139" i="5"/>
  <c r="AF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D139" i="5"/>
  <c r="C139" i="5"/>
  <c r="B139" i="5"/>
  <c r="CH138" i="5"/>
  <c r="CG138" i="5"/>
  <c r="BY138" i="5"/>
  <c r="BP138" i="5" s="1"/>
  <c r="BV138" i="5"/>
  <c r="BS138" i="5"/>
  <c r="BO138" i="5"/>
  <c r="BN138" i="5"/>
  <c r="BM138" i="5"/>
  <c r="BK138" i="5"/>
  <c r="AF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D138" i="5"/>
  <c r="B138" i="5"/>
  <c r="C138" i="5" s="1"/>
  <c r="CH137" i="5"/>
  <c r="CG137" i="5"/>
  <c r="BY137" i="5"/>
  <c r="BV137" i="5" s="1"/>
  <c r="BO137" i="5"/>
  <c r="BN137" i="5"/>
  <c r="BM137" i="5"/>
  <c r="BK137" i="5"/>
  <c r="AF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D137" i="5"/>
  <c r="B137" i="5"/>
  <c r="C137" i="5" s="1"/>
  <c r="CH136" i="5"/>
  <c r="CG136" i="5"/>
  <c r="BY136" i="5"/>
  <c r="BP136" i="5"/>
  <c r="BS136" i="5" s="1"/>
  <c r="BO136" i="5"/>
  <c r="BN136" i="5"/>
  <c r="BM136" i="5"/>
  <c r="BV136" i="5" s="1"/>
  <c r="BK136" i="5"/>
  <c r="AF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D136" i="5"/>
  <c r="B136" i="5"/>
  <c r="C136" i="5" s="1"/>
  <c r="CH135" i="5"/>
  <c r="CG135" i="5"/>
  <c r="BY135" i="5"/>
  <c r="BP135" i="5"/>
  <c r="BO135" i="5"/>
  <c r="BN135" i="5"/>
  <c r="BM135" i="5"/>
  <c r="BK135" i="5"/>
  <c r="AF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D135" i="5"/>
  <c r="C135" i="5"/>
  <c r="B135" i="5"/>
  <c r="CH134" i="5"/>
  <c r="CG134" i="5"/>
  <c r="BY134" i="5"/>
  <c r="BP134" i="5"/>
  <c r="BO134" i="5"/>
  <c r="BN134" i="5"/>
  <c r="BM134" i="5"/>
  <c r="BV134" i="5" s="1"/>
  <c r="BK134" i="5"/>
  <c r="AF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D134" i="5"/>
  <c r="B134" i="5"/>
  <c r="C134" i="5" s="1"/>
  <c r="CH133" i="5"/>
  <c r="CG133" i="5"/>
  <c r="BY133" i="5"/>
  <c r="BP133" i="5" s="1"/>
  <c r="BV133" i="5"/>
  <c r="BO133" i="5"/>
  <c r="BN133" i="5"/>
  <c r="BM133" i="5"/>
  <c r="BK133" i="5"/>
  <c r="AF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D133" i="5"/>
  <c r="B133" i="5"/>
  <c r="C133" i="5" s="1"/>
  <c r="CH132" i="5"/>
  <c r="CG132" i="5"/>
  <c r="BY132" i="5"/>
  <c r="BP132" i="5" s="1"/>
  <c r="BS132" i="5" s="1"/>
  <c r="BV132" i="5"/>
  <c r="BO132" i="5"/>
  <c r="BN132" i="5"/>
  <c r="BM132" i="5"/>
  <c r="BK132" i="5"/>
  <c r="AF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D132" i="5"/>
  <c r="C132" i="5"/>
  <c r="B132" i="5"/>
  <c r="CH131" i="5"/>
  <c r="CG131" i="5"/>
  <c r="BY131" i="5"/>
  <c r="BP131" i="5" s="1"/>
  <c r="BO131" i="5"/>
  <c r="BN131" i="5"/>
  <c r="BM131" i="5"/>
  <c r="BV131" i="5" s="1"/>
  <c r="BK131" i="5"/>
  <c r="AF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D131" i="5"/>
  <c r="B131" i="5"/>
  <c r="C131" i="5" s="1"/>
  <c r="CH130" i="5"/>
  <c r="CG130" i="5"/>
  <c r="BY130" i="5"/>
  <c r="BV130" i="5"/>
  <c r="BP130" i="5"/>
  <c r="BS130" i="5" s="1"/>
  <c r="BO130" i="5"/>
  <c r="BN130" i="5"/>
  <c r="BM130" i="5"/>
  <c r="BK130" i="5"/>
  <c r="AF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D130" i="5"/>
  <c r="B130" i="5"/>
  <c r="C130" i="5" s="1"/>
  <c r="CH129" i="5"/>
  <c r="CG129" i="5"/>
  <c r="BY129" i="5"/>
  <c r="BP129" i="5" s="1"/>
  <c r="BO129" i="5"/>
  <c r="BN129" i="5"/>
  <c r="BM129" i="5"/>
  <c r="BK129" i="5"/>
  <c r="AF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D129" i="5"/>
  <c r="C129" i="5"/>
  <c r="B129" i="5"/>
  <c r="CH128" i="5"/>
  <c r="CG128" i="5"/>
  <c r="BY128" i="5"/>
  <c r="BP128" i="5" s="1"/>
  <c r="BV128" i="5"/>
  <c r="BO128" i="5"/>
  <c r="BN128" i="5"/>
  <c r="BM128" i="5"/>
  <c r="BK128" i="5"/>
  <c r="AF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D128" i="5"/>
  <c r="B128" i="5"/>
  <c r="C128" i="5" s="1"/>
  <c r="CH127" i="5"/>
  <c r="CG127" i="5"/>
  <c r="BY127" i="5"/>
  <c r="BP127" i="5" s="1"/>
  <c r="BO127" i="5"/>
  <c r="BN127" i="5"/>
  <c r="BM127" i="5"/>
  <c r="BV127" i="5" s="1"/>
  <c r="BK127" i="5"/>
  <c r="AF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D127" i="5"/>
  <c r="C127" i="5"/>
  <c r="B127" i="5"/>
  <c r="CH126" i="5"/>
  <c r="CG126" i="5"/>
  <c r="BY126" i="5"/>
  <c r="BP126" i="5" s="1"/>
  <c r="BV126" i="5"/>
  <c r="BS126" i="5"/>
  <c r="BO126" i="5"/>
  <c r="BN126" i="5"/>
  <c r="BM126" i="5"/>
  <c r="BK126" i="5"/>
  <c r="AF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D126" i="5"/>
  <c r="B126" i="5"/>
  <c r="C126" i="5" s="1"/>
  <c r="CH125" i="5"/>
  <c r="CG125" i="5"/>
  <c r="BY125" i="5"/>
  <c r="BP125" i="5"/>
  <c r="BS125" i="5" s="1"/>
  <c r="BO125" i="5"/>
  <c r="BN125" i="5"/>
  <c r="BM125" i="5"/>
  <c r="BV125" i="5" s="1"/>
  <c r="BK125" i="5"/>
  <c r="AF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D125" i="5"/>
  <c r="B125" i="5"/>
  <c r="C125" i="5" s="1"/>
  <c r="CH124" i="5"/>
  <c r="CG124" i="5"/>
  <c r="BY124" i="5"/>
  <c r="BV124" i="5"/>
  <c r="BS124" i="5"/>
  <c r="BP124" i="5"/>
  <c r="BO124" i="5"/>
  <c r="BN124" i="5"/>
  <c r="BM124" i="5"/>
  <c r="BK124" i="5"/>
  <c r="AF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D124" i="5"/>
  <c r="B124" i="5"/>
  <c r="C124" i="5" s="1"/>
  <c r="CH123" i="5"/>
  <c r="CG123" i="5"/>
  <c r="BY123" i="5"/>
  <c r="BP123" i="5" s="1"/>
  <c r="BO123" i="5"/>
  <c r="BN123" i="5"/>
  <c r="BM123" i="5"/>
  <c r="BK123" i="5"/>
  <c r="AF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D123" i="5"/>
  <c r="C123" i="5"/>
  <c r="B123" i="5"/>
  <c r="CH122" i="5"/>
  <c r="CG122" i="5"/>
  <c r="BY122" i="5"/>
  <c r="BS122" i="5"/>
  <c r="BP122" i="5"/>
  <c r="BO122" i="5"/>
  <c r="BN122" i="5"/>
  <c r="BM122" i="5"/>
  <c r="BV122" i="5" s="1"/>
  <c r="BK122" i="5"/>
  <c r="AF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D122" i="5"/>
  <c r="B122" i="5"/>
  <c r="C122" i="5" s="1"/>
  <c r="CH121" i="5"/>
  <c r="CG121" i="5"/>
  <c r="BY121" i="5"/>
  <c r="BP121" i="5" s="1"/>
  <c r="BV121" i="5"/>
  <c r="BO121" i="5"/>
  <c r="BN121" i="5"/>
  <c r="BM121" i="5"/>
  <c r="BS121" i="5" s="1"/>
  <c r="BK121" i="5"/>
  <c r="AF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D121" i="5"/>
  <c r="C121" i="5"/>
  <c r="B121" i="5"/>
  <c r="CH120" i="5"/>
  <c r="CG120" i="5"/>
  <c r="BY120" i="5"/>
  <c r="BP120" i="5" s="1"/>
  <c r="BV120" i="5"/>
  <c r="BS120" i="5"/>
  <c r="BO120" i="5"/>
  <c r="BN120" i="5"/>
  <c r="BM120" i="5"/>
  <c r="BK120" i="5"/>
  <c r="AF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D120" i="5"/>
  <c r="B120" i="5"/>
  <c r="C120" i="5" s="1"/>
  <c r="CH119" i="5"/>
  <c r="CG119" i="5"/>
  <c r="BY119" i="5"/>
  <c r="BP119" i="5" s="1"/>
  <c r="BO119" i="5"/>
  <c r="BN119" i="5"/>
  <c r="BM119" i="5"/>
  <c r="BV119" i="5" s="1"/>
  <c r="BK119" i="5"/>
  <c r="AF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D119" i="5"/>
  <c r="C119" i="5"/>
  <c r="B119" i="5"/>
  <c r="CH118" i="5"/>
  <c r="CG118" i="5"/>
  <c r="BY118" i="5"/>
  <c r="BV118" i="5"/>
  <c r="BP118" i="5"/>
  <c r="BS118" i="5" s="1"/>
  <c r="BO118" i="5"/>
  <c r="BN118" i="5"/>
  <c r="BM118" i="5"/>
  <c r="BK118" i="5"/>
  <c r="AF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D118" i="5"/>
  <c r="B118" i="5"/>
  <c r="C118" i="5" s="1"/>
  <c r="CH117" i="5"/>
  <c r="CG117" i="5"/>
  <c r="BY117" i="5"/>
  <c r="BP117" i="5"/>
  <c r="BO117" i="5"/>
  <c r="BN117" i="5"/>
  <c r="BM117" i="5"/>
  <c r="BK117" i="5"/>
  <c r="AF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D117" i="5"/>
  <c r="C117" i="5"/>
  <c r="B117" i="5"/>
  <c r="CH116" i="5"/>
  <c r="CG116" i="5"/>
  <c r="BY116" i="5"/>
  <c r="BV116" i="5"/>
  <c r="BP116" i="5"/>
  <c r="BS116" i="5" s="1"/>
  <c r="BO116" i="5"/>
  <c r="BN116" i="5"/>
  <c r="BM116" i="5"/>
  <c r="BK116" i="5"/>
  <c r="AF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D116" i="5"/>
  <c r="B116" i="5"/>
  <c r="C116" i="5" s="1"/>
  <c r="CH115" i="5"/>
  <c r="CG115" i="5"/>
  <c r="BY115" i="5"/>
  <c r="BP115" i="5" s="1"/>
  <c r="BO115" i="5"/>
  <c r="BN115" i="5"/>
  <c r="BM115" i="5"/>
  <c r="BK115" i="5"/>
  <c r="AF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D115" i="5"/>
  <c r="B115" i="5"/>
  <c r="C115" i="5" s="1"/>
  <c r="CH114" i="5"/>
  <c r="CG114" i="5"/>
  <c r="BY114" i="5"/>
  <c r="BV114" i="5"/>
  <c r="BS114" i="5"/>
  <c r="BP114" i="5"/>
  <c r="BO114" i="5"/>
  <c r="BN114" i="5"/>
  <c r="BM114" i="5"/>
  <c r="BK114" i="5"/>
  <c r="AF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D114" i="5"/>
  <c r="C114" i="5"/>
  <c r="B114" i="5"/>
  <c r="CH113" i="5"/>
  <c r="CG113" i="5"/>
  <c r="BY113" i="5"/>
  <c r="BS113" i="5"/>
  <c r="BP113" i="5"/>
  <c r="BO113" i="5"/>
  <c r="BN113" i="5"/>
  <c r="BM113" i="5"/>
  <c r="BV113" i="5" s="1"/>
  <c r="BK113" i="5"/>
  <c r="AF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D113" i="5"/>
  <c r="B113" i="5"/>
  <c r="C113" i="5" s="1"/>
  <c r="CH112" i="5"/>
  <c r="CG112" i="5"/>
  <c r="BY112" i="5"/>
  <c r="BV112" i="5"/>
  <c r="BS112" i="5"/>
  <c r="BP112" i="5"/>
  <c r="BO112" i="5"/>
  <c r="BN112" i="5"/>
  <c r="BM112" i="5"/>
  <c r="BK112" i="5"/>
  <c r="AF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D112" i="5"/>
  <c r="B112" i="5"/>
  <c r="C112" i="5" s="1"/>
  <c r="CH111" i="5"/>
  <c r="CG111" i="5"/>
  <c r="BY111" i="5"/>
  <c r="BP111" i="5" s="1"/>
  <c r="BO111" i="5"/>
  <c r="BN111" i="5"/>
  <c r="BM111" i="5"/>
  <c r="BK111" i="5"/>
  <c r="AF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D111" i="5"/>
  <c r="C111" i="5"/>
  <c r="B111" i="5"/>
  <c r="CH110" i="5"/>
  <c r="CG110" i="5"/>
  <c r="BY110" i="5"/>
  <c r="BP110" i="5"/>
  <c r="BO110" i="5"/>
  <c r="BN110" i="5"/>
  <c r="BM110" i="5"/>
  <c r="BS110" i="5" s="1"/>
  <c r="BK110" i="5"/>
  <c r="AF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D110" i="5"/>
  <c r="B110" i="5"/>
  <c r="C110" i="5" s="1"/>
  <c r="CH109" i="5"/>
  <c r="BY109" i="5"/>
  <c r="BP109" i="5" s="1"/>
  <c r="BS109" i="5" s="1"/>
  <c r="BO109" i="5"/>
  <c r="BN109" i="5"/>
  <c r="BM109" i="5"/>
  <c r="BV109" i="5" s="1"/>
  <c r="BK109" i="5"/>
  <c r="AF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D109" i="5"/>
  <c r="B109" i="5"/>
  <c r="C109" i="5" s="1"/>
  <c r="CH108" i="5"/>
  <c r="CG108" i="5"/>
  <c r="BY108" i="5"/>
  <c r="BP108" i="5" s="1"/>
  <c r="BV108" i="5"/>
  <c r="BS108" i="5"/>
  <c r="BO108" i="5"/>
  <c r="BN108" i="5"/>
  <c r="BM108" i="5"/>
  <c r="BK108" i="5"/>
  <c r="AF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D108" i="5"/>
  <c r="B108" i="5"/>
  <c r="C108" i="5" s="1"/>
  <c r="CH107" i="5"/>
  <c r="CG107" i="5"/>
  <c r="BY107" i="5"/>
  <c r="BS107" i="5"/>
  <c r="BP107" i="5"/>
  <c r="BO107" i="5"/>
  <c r="BN107" i="5"/>
  <c r="BM107" i="5"/>
  <c r="BV107" i="5" s="1"/>
  <c r="BK107" i="5"/>
  <c r="AF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D107" i="5"/>
  <c r="C107" i="5"/>
  <c r="B107" i="5"/>
  <c r="CH106" i="5"/>
  <c r="CG106" i="5"/>
  <c r="BY106" i="5"/>
  <c r="BP106" i="5" s="1"/>
  <c r="BO106" i="5"/>
  <c r="BN106" i="5"/>
  <c r="BM106" i="5"/>
  <c r="BV106" i="5" s="1"/>
  <c r="BK106" i="5"/>
  <c r="AF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D106" i="5"/>
  <c r="B106" i="5"/>
  <c r="C106" i="5" s="1"/>
  <c r="CH105" i="5"/>
  <c r="CG105" i="5"/>
  <c r="BY105" i="5"/>
  <c r="BP105" i="5"/>
  <c r="BO105" i="5"/>
  <c r="BN105" i="5"/>
  <c r="BM105" i="5"/>
  <c r="BK105" i="5"/>
  <c r="AF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D105" i="5"/>
  <c r="B105" i="5"/>
  <c r="C105" i="5" s="1"/>
  <c r="CH104" i="5"/>
  <c r="CG104" i="5"/>
  <c r="BY104" i="5"/>
  <c r="BP104" i="5" s="1"/>
  <c r="BV104" i="5"/>
  <c r="BO104" i="5"/>
  <c r="BN104" i="5"/>
  <c r="BM104" i="5"/>
  <c r="BS104" i="5" s="1"/>
  <c r="BK104" i="5"/>
  <c r="AF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D104" i="5"/>
  <c r="C104" i="5"/>
  <c r="B104" i="5"/>
  <c r="CH103" i="5"/>
  <c r="CG103" i="5"/>
  <c r="BY103" i="5"/>
  <c r="BV103" i="5"/>
  <c r="BS103" i="5"/>
  <c r="BP103" i="5"/>
  <c r="BO103" i="5"/>
  <c r="BN103" i="5"/>
  <c r="BM103" i="5"/>
  <c r="BK103" i="5"/>
  <c r="AF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D103" i="5"/>
  <c r="C103" i="5"/>
  <c r="B103" i="5"/>
  <c r="CH102" i="5"/>
  <c r="CG102" i="5"/>
  <c r="BY102" i="5"/>
  <c r="BP102" i="5" s="1"/>
  <c r="BS102" i="5" s="1"/>
  <c r="BV102" i="5"/>
  <c r="BO102" i="5"/>
  <c r="BN102" i="5"/>
  <c r="BM102" i="5"/>
  <c r="BK102" i="5"/>
  <c r="AF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D102" i="5"/>
  <c r="C102" i="5"/>
  <c r="B102" i="5"/>
  <c r="CH101" i="5"/>
  <c r="CG101" i="5"/>
  <c r="BY101" i="5"/>
  <c r="BP101" i="5"/>
  <c r="BS101" i="5" s="1"/>
  <c r="BO101" i="5"/>
  <c r="BN101" i="5"/>
  <c r="BM101" i="5"/>
  <c r="BV101" i="5" s="1"/>
  <c r="BK101" i="5"/>
  <c r="AF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D101" i="5"/>
  <c r="C101" i="5"/>
  <c r="B101" i="5"/>
  <c r="CH100" i="5"/>
  <c r="CG100" i="5"/>
  <c r="BY100" i="5"/>
  <c r="BS100" i="5"/>
  <c r="BP100" i="5"/>
  <c r="BO100" i="5"/>
  <c r="BN100" i="5"/>
  <c r="BM100" i="5"/>
  <c r="BV100" i="5" s="1"/>
  <c r="BK100" i="5"/>
  <c r="AF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D100" i="5"/>
  <c r="B100" i="5"/>
  <c r="C100" i="5" s="1"/>
  <c r="CH99" i="5"/>
  <c r="CG99" i="5"/>
  <c r="BY99" i="5"/>
  <c r="BP99" i="5" s="1"/>
  <c r="BO99" i="5"/>
  <c r="BN99" i="5"/>
  <c r="BM99" i="5"/>
  <c r="BK99" i="5"/>
  <c r="AF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D99" i="5"/>
  <c r="B99" i="5"/>
  <c r="C99" i="5" s="1"/>
  <c r="CH98" i="5"/>
  <c r="CG98" i="5"/>
  <c r="BY98" i="5"/>
  <c r="BP98" i="5" s="1"/>
  <c r="BV98" i="5"/>
  <c r="BO98" i="5"/>
  <c r="BN98" i="5"/>
  <c r="BM98" i="5"/>
  <c r="BK98" i="5"/>
  <c r="AF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D98" i="5"/>
  <c r="C98" i="5"/>
  <c r="B98" i="5"/>
  <c r="CH97" i="5"/>
  <c r="CG97" i="5"/>
  <c r="BY97" i="5"/>
  <c r="BP97" i="5" s="1"/>
  <c r="BO97" i="5"/>
  <c r="BN97" i="5"/>
  <c r="BM97" i="5"/>
  <c r="BV97" i="5" s="1"/>
  <c r="BK97" i="5"/>
  <c r="AF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D97" i="5"/>
  <c r="C97" i="5"/>
  <c r="B97" i="5"/>
  <c r="CH96" i="5"/>
  <c r="CG96" i="5"/>
  <c r="BY96" i="5"/>
  <c r="BV96" i="5"/>
  <c r="BS96" i="5"/>
  <c r="BP96" i="5"/>
  <c r="BO96" i="5"/>
  <c r="BN96" i="5"/>
  <c r="BM96" i="5"/>
  <c r="BK96" i="5"/>
  <c r="AF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D96" i="5"/>
  <c r="B96" i="5"/>
  <c r="C96" i="5" s="1"/>
  <c r="CH95" i="5"/>
  <c r="CG95" i="5"/>
  <c r="BY95" i="5"/>
  <c r="BP95" i="5"/>
  <c r="BS95" i="5" s="1"/>
  <c r="BO95" i="5"/>
  <c r="BN95" i="5"/>
  <c r="BM95" i="5"/>
  <c r="BV95" i="5" s="1"/>
  <c r="BK95" i="5"/>
  <c r="AF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D95" i="5"/>
  <c r="C95" i="5"/>
  <c r="B95" i="5"/>
  <c r="CH94" i="5"/>
  <c r="CG94" i="5"/>
  <c r="BY94" i="5"/>
  <c r="BP94" i="5" s="1"/>
  <c r="BS94" i="5" s="1"/>
  <c r="BV94" i="5"/>
  <c r="BO94" i="5"/>
  <c r="BN94" i="5"/>
  <c r="BM94" i="5"/>
  <c r="BK94" i="5"/>
  <c r="AF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D94" i="5"/>
  <c r="B94" i="5"/>
  <c r="C94" i="5" s="1"/>
  <c r="CH93" i="5"/>
  <c r="CG93" i="5"/>
  <c r="BY93" i="5"/>
  <c r="BP93" i="5" s="1"/>
  <c r="BO93" i="5"/>
  <c r="BN93" i="5"/>
  <c r="BM93" i="5"/>
  <c r="BK93" i="5"/>
  <c r="AF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D93" i="5"/>
  <c r="B93" i="5"/>
  <c r="C93" i="5" s="1"/>
  <c r="CH92" i="5"/>
  <c r="CG92" i="5"/>
  <c r="BY92" i="5"/>
  <c r="BP92" i="5" s="1"/>
  <c r="BO92" i="5"/>
  <c r="BN92" i="5"/>
  <c r="BM92" i="5"/>
  <c r="BV92" i="5" s="1"/>
  <c r="BK92" i="5"/>
  <c r="AF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D92" i="5"/>
  <c r="C92" i="5"/>
  <c r="B92" i="5"/>
  <c r="CH91" i="5"/>
  <c r="CG91" i="5"/>
  <c r="BY91" i="5"/>
  <c r="BS91" i="5"/>
  <c r="BP91" i="5"/>
  <c r="BO91" i="5"/>
  <c r="BN91" i="5"/>
  <c r="BM91" i="5"/>
  <c r="BV91" i="5" s="1"/>
  <c r="BK91" i="5"/>
  <c r="AF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D91" i="5"/>
  <c r="C91" i="5"/>
  <c r="B91" i="5"/>
  <c r="CH90" i="5"/>
  <c r="CG90" i="5"/>
  <c r="BY90" i="5"/>
  <c r="BV90" i="5"/>
  <c r="BS90" i="5"/>
  <c r="BP90" i="5"/>
  <c r="BO90" i="5"/>
  <c r="BN90" i="5"/>
  <c r="BM90" i="5"/>
  <c r="BK90" i="5"/>
  <c r="AF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D90" i="5"/>
  <c r="B90" i="5"/>
  <c r="C90" i="5" s="1"/>
  <c r="CH89" i="5"/>
  <c r="CG89" i="5"/>
  <c r="BY89" i="5"/>
  <c r="BV89" i="5"/>
  <c r="BP89" i="5"/>
  <c r="BS89" i="5" s="1"/>
  <c r="BO89" i="5"/>
  <c r="BN89" i="5"/>
  <c r="BM89" i="5"/>
  <c r="BK89" i="5"/>
  <c r="AF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D89" i="5"/>
  <c r="B89" i="5"/>
  <c r="C89" i="5" s="1"/>
  <c r="CH88" i="5"/>
  <c r="CG88" i="5"/>
  <c r="BY88" i="5"/>
  <c r="BP88" i="5"/>
  <c r="BO88" i="5"/>
  <c r="BN88" i="5"/>
  <c r="BM88" i="5"/>
  <c r="BS88" i="5" s="1"/>
  <c r="BK88" i="5"/>
  <c r="AF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D88" i="5"/>
  <c r="B88" i="5"/>
  <c r="C88" i="5" s="1"/>
  <c r="CH87" i="5"/>
  <c r="CG87" i="5"/>
  <c r="BY87" i="5"/>
  <c r="BP87" i="5"/>
  <c r="BO87" i="5"/>
  <c r="BN87" i="5"/>
  <c r="BM87" i="5"/>
  <c r="BK87" i="5"/>
  <c r="AF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D87" i="5"/>
  <c r="B87" i="5"/>
  <c r="C87" i="5" s="1"/>
  <c r="CH86" i="5"/>
  <c r="CG86" i="5"/>
  <c r="BY86" i="5"/>
  <c r="BP86" i="5" s="1"/>
  <c r="BO86" i="5"/>
  <c r="BN86" i="5"/>
  <c r="BM86" i="5"/>
  <c r="BK86" i="5"/>
  <c r="AF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D86" i="5"/>
  <c r="C86" i="5"/>
  <c r="B86" i="5"/>
  <c r="CH85" i="5"/>
  <c r="CG85" i="5"/>
  <c r="BY85" i="5"/>
  <c r="BP85" i="5" s="1"/>
  <c r="BV85" i="5"/>
  <c r="BO85" i="5"/>
  <c r="BN85" i="5"/>
  <c r="BM85" i="5"/>
  <c r="BK85" i="5"/>
  <c r="AF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D85" i="5"/>
  <c r="C85" i="5"/>
  <c r="B85" i="5"/>
  <c r="CH84" i="5"/>
  <c r="CG84" i="5"/>
  <c r="BY84" i="5"/>
  <c r="BV84" i="5"/>
  <c r="BS84" i="5"/>
  <c r="BP84" i="5"/>
  <c r="BO84" i="5"/>
  <c r="BN84" i="5"/>
  <c r="BM84" i="5"/>
  <c r="BK84" i="5"/>
  <c r="AF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D84" i="5"/>
  <c r="C84" i="5"/>
  <c r="B84" i="5"/>
  <c r="CH83" i="5"/>
  <c r="CG83" i="5"/>
  <c r="BY83" i="5"/>
  <c r="BV83" i="5"/>
  <c r="BP83" i="5"/>
  <c r="BS83" i="5" s="1"/>
  <c r="BO83" i="5"/>
  <c r="BN83" i="5"/>
  <c r="BM83" i="5"/>
  <c r="BK83" i="5"/>
  <c r="AF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D83" i="5"/>
  <c r="C83" i="5"/>
  <c r="B83" i="5"/>
  <c r="CH82" i="5"/>
  <c r="CG82" i="5"/>
  <c r="BY82" i="5"/>
  <c r="BP82" i="5" s="1"/>
  <c r="BS82" i="5" s="1"/>
  <c r="BV82" i="5"/>
  <c r="BO82" i="5"/>
  <c r="BN82" i="5"/>
  <c r="BM82" i="5"/>
  <c r="BK82" i="5"/>
  <c r="AF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D82" i="5"/>
  <c r="B82" i="5"/>
  <c r="C82" i="5" s="1"/>
  <c r="CH81" i="5"/>
  <c r="CG81" i="5"/>
  <c r="BY81" i="5"/>
  <c r="BP81" i="5" s="1"/>
  <c r="BO81" i="5"/>
  <c r="BN81" i="5"/>
  <c r="BM81" i="5"/>
  <c r="BK81" i="5"/>
  <c r="AF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D81" i="5"/>
  <c r="B81" i="5"/>
  <c r="C81" i="5" s="1"/>
  <c r="CH80" i="5"/>
  <c r="CG80" i="5"/>
  <c r="BY80" i="5"/>
  <c r="BP80" i="5" s="1"/>
  <c r="BO80" i="5"/>
  <c r="BN80" i="5"/>
  <c r="BM80" i="5"/>
  <c r="BV80" i="5" s="1"/>
  <c r="BK80" i="5"/>
  <c r="AF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D80" i="5"/>
  <c r="C80" i="5"/>
  <c r="B80" i="5"/>
  <c r="CH79" i="5"/>
  <c r="BY79" i="5"/>
  <c r="BP79" i="5" s="1"/>
  <c r="BV79" i="5"/>
  <c r="BS79" i="5"/>
  <c r="BO79" i="5"/>
  <c r="BN79" i="5"/>
  <c r="BM79" i="5"/>
  <c r="BK79" i="5"/>
  <c r="AF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D79" i="5"/>
  <c r="C79" i="5"/>
  <c r="B79" i="5"/>
  <c r="CH78" i="5"/>
  <c r="CG78" i="5"/>
  <c r="BY78" i="5"/>
  <c r="BP78" i="5"/>
  <c r="BS78" i="5" s="1"/>
  <c r="BO78" i="5"/>
  <c r="BN78" i="5"/>
  <c r="BM78" i="5"/>
  <c r="BV78" i="5" s="1"/>
  <c r="BK78" i="5"/>
  <c r="AF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D78" i="5"/>
  <c r="C78" i="5"/>
  <c r="B78" i="5"/>
  <c r="CH77" i="5"/>
  <c r="CG77" i="5"/>
  <c r="BY77" i="5"/>
  <c r="BS77" i="5"/>
  <c r="BP77" i="5"/>
  <c r="BO77" i="5"/>
  <c r="BN77" i="5"/>
  <c r="BM77" i="5"/>
  <c r="BV77" i="5" s="1"/>
  <c r="BK77" i="5"/>
  <c r="AF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D77" i="5"/>
  <c r="B77" i="5"/>
  <c r="C77" i="5" s="1"/>
  <c r="CH76" i="5"/>
  <c r="CG76" i="5"/>
  <c r="BY76" i="5"/>
  <c r="BP76" i="5" s="1"/>
  <c r="BO76" i="5"/>
  <c r="BN76" i="5"/>
  <c r="BM76" i="5"/>
  <c r="BK76" i="5"/>
  <c r="AF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D76" i="5"/>
  <c r="C76" i="5"/>
  <c r="B76" i="5"/>
  <c r="CH75" i="5"/>
  <c r="CG75" i="5"/>
  <c r="BY75" i="5"/>
  <c r="BS75" i="5"/>
  <c r="BP75" i="5"/>
  <c r="BO75" i="5"/>
  <c r="BN75" i="5"/>
  <c r="BM75" i="5"/>
  <c r="BV75" i="5" s="1"/>
  <c r="BK75" i="5"/>
  <c r="AF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D75" i="5"/>
  <c r="B75" i="5"/>
  <c r="C75" i="5" s="1"/>
  <c r="CH74" i="5"/>
  <c r="CG74" i="5"/>
  <c r="BY74" i="5"/>
  <c r="BP74" i="5" s="1"/>
  <c r="BV74" i="5"/>
  <c r="BO74" i="5"/>
  <c r="BN74" i="5"/>
  <c r="BM74" i="5"/>
  <c r="BS74" i="5" s="1"/>
  <c r="BK74" i="5"/>
  <c r="AF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D74" i="5"/>
  <c r="C74" i="5"/>
  <c r="B74" i="5"/>
  <c r="CH73" i="5"/>
  <c r="CG73" i="5"/>
  <c r="BY73" i="5"/>
  <c r="BP73" i="5" s="1"/>
  <c r="BV73" i="5"/>
  <c r="BS73" i="5"/>
  <c r="BO73" i="5"/>
  <c r="BN73" i="5"/>
  <c r="BM73" i="5"/>
  <c r="BK73" i="5"/>
  <c r="AF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D73" i="5"/>
  <c r="B73" i="5"/>
  <c r="C73" i="5" s="1"/>
  <c r="CH72" i="5"/>
  <c r="CG72" i="5"/>
  <c r="BY72" i="5"/>
  <c r="BP72" i="5" s="1"/>
  <c r="BO72" i="5"/>
  <c r="BN72" i="5"/>
  <c r="BM72" i="5"/>
  <c r="BV72" i="5" s="1"/>
  <c r="BK72" i="5"/>
  <c r="AF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D72" i="5"/>
  <c r="C72" i="5"/>
  <c r="B72" i="5"/>
  <c r="CH71" i="5"/>
  <c r="CG71" i="5"/>
  <c r="BY71" i="5"/>
  <c r="BP71" i="5"/>
  <c r="BS71" i="5" s="1"/>
  <c r="BO71" i="5"/>
  <c r="BN71" i="5"/>
  <c r="BM71" i="5"/>
  <c r="BV71" i="5" s="1"/>
  <c r="BK71" i="5"/>
  <c r="AF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D71" i="5"/>
  <c r="B71" i="5"/>
  <c r="C71" i="5" s="1"/>
  <c r="CH70" i="5"/>
  <c r="CG70" i="5"/>
  <c r="BY70" i="5"/>
  <c r="BP70" i="5"/>
  <c r="BO70" i="5"/>
  <c r="BN70" i="5"/>
  <c r="BM70" i="5"/>
  <c r="BK70" i="5"/>
  <c r="AF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D70" i="5"/>
  <c r="C70" i="5"/>
  <c r="B70" i="5"/>
  <c r="CH69" i="5"/>
  <c r="CG69" i="5"/>
  <c r="BY69" i="5"/>
  <c r="BV69" i="5" s="1"/>
  <c r="BO69" i="5"/>
  <c r="BN69" i="5"/>
  <c r="BM69" i="5"/>
  <c r="BK69" i="5"/>
  <c r="AF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D69" i="5"/>
  <c r="B69" i="5"/>
  <c r="C69" i="5" s="1"/>
  <c r="CH68" i="5"/>
  <c r="CG68" i="5"/>
  <c r="BY68" i="5"/>
  <c r="BP68" i="5" s="1"/>
  <c r="BV68" i="5"/>
  <c r="BO68" i="5"/>
  <c r="BN68" i="5"/>
  <c r="BM68" i="5"/>
  <c r="BK68" i="5"/>
  <c r="AF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D68" i="5"/>
  <c r="B68" i="5"/>
  <c r="C68" i="5" s="1"/>
  <c r="CH67" i="5"/>
  <c r="CG67" i="5"/>
  <c r="BY67" i="5"/>
  <c r="BP67" i="5" s="1"/>
  <c r="BV67" i="5"/>
  <c r="BS67" i="5"/>
  <c r="BO67" i="5"/>
  <c r="BN67" i="5"/>
  <c r="BM67" i="5"/>
  <c r="BK67" i="5"/>
  <c r="AF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D67" i="5"/>
  <c r="C67" i="5"/>
  <c r="B67" i="5"/>
  <c r="CH66" i="5"/>
  <c r="CG66" i="5"/>
  <c r="BY66" i="5"/>
  <c r="BP66" i="5" s="1"/>
  <c r="BO66" i="5"/>
  <c r="BN66" i="5"/>
  <c r="BM66" i="5"/>
  <c r="BV66" i="5" s="1"/>
  <c r="BK66" i="5"/>
  <c r="AF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D66" i="5"/>
  <c r="B66" i="5"/>
  <c r="C66" i="5" s="1"/>
  <c r="CH65" i="5"/>
  <c r="CG65" i="5"/>
  <c r="BY65" i="5"/>
  <c r="BP65" i="5"/>
  <c r="BS65" i="5" s="1"/>
  <c r="BO65" i="5"/>
  <c r="BN65" i="5"/>
  <c r="BM65" i="5"/>
  <c r="BV65" i="5" s="1"/>
  <c r="BK65" i="5"/>
  <c r="AF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D65" i="5"/>
  <c r="B65" i="5"/>
  <c r="C65" i="5" s="1"/>
  <c r="CH64" i="5"/>
  <c r="CG64" i="5"/>
  <c r="BY64" i="5"/>
  <c r="BP64" i="5"/>
  <c r="BO64" i="5"/>
  <c r="BN64" i="5"/>
  <c r="BM64" i="5"/>
  <c r="BK64" i="5"/>
  <c r="AF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D64" i="5"/>
  <c r="C64" i="5"/>
  <c r="B64" i="5"/>
  <c r="CH63" i="5"/>
  <c r="CG63" i="5"/>
  <c r="BY63" i="5"/>
  <c r="BP63" i="5" s="1"/>
  <c r="BO63" i="5"/>
  <c r="BN63" i="5"/>
  <c r="BM63" i="5"/>
  <c r="BV63" i="5" s="1"/>
  <c r="BK63" i="5"/>
  <c r="AF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D63" i="5"/>
  <c r="B63" i="5"/>
  <c r="C63" i="5" s="1"/>
  <c r="CH62" i="5"/>
  <c r="CG62" i="5"/>
  <c r="BY62" i="5"/>
  <c r="BP62" i="5" s="1"/>
  <c r="BO62" i="5"/>
  <c r="BN62" i="5"/>
  <c r="BM62" i="5"/>
  <c r="BV62" i="5" s="1"/>
  <c r="BK62" i="5"/>
  <c r="AF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D62" i="5"/>
  <c r="C62" i="5"/>
  <c r="B62" i="5"/>
  <c r="CH61" i="5"/>
  <c r="CG61" i="5"/>
  <c r="BY61" i="5"/>
  <c r="BP61" i="5" s="1"/>
  <c r="BV61" i="5"/>
  <c r="BS61" i="5"/>
  <c r="BO61" i="5"/>
  <c r="BN61" i="5"/>
  <c r="BM61" i="5"/>
  <c r="BK61" i="5"/>
  <c r="AF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D61" i="5"/>
  <c r="C61" i="5"/>
  <c r="B61" i="5"/>
  <c r="CH60" i="5"/>
  <c r="CG60" i="5"/>
  <c r="BY60" i="5"/>
  <c r="BP60" i="5"/>
  <c r="BS60" i="5" s="1"/>
  <c r="BO60" i="5"/>
  <c r="BN60" i="5"/>
  <c r="BM60" i="5"/>
  <c r="BV60" i="5" s="1"/>
  <c r="BK60" i="5"/>
  <c r="AF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D60" i="5"/>
  <c r="C60" i="5"/>
  <c r="B60" i="5"/>
  <c r="CH59" i="5"/>
  <c r="CG59" i="5"/>
  <c r="BY59" i="5"/>
  <c r="BS59" i="5"/>
  <c r="BP59" i="5"/>
  <c r="BO59" i="5"/>
  <c r="BN59" i="5"/>
  <c r="BM59" i="5"/>
  <c r="BV59" i="5" s="1"/>
  <c r="BK59" i="5"/>
  <c r="AF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D59" i="5"/>
  <c r="B59" i="5"/>
  <c r="C59" i="5" s="1"/>
  <c r="CH58" i="5"/>
  <c r="CG58" i="5"/>
  <c r="BY58" i="5"/>
  <c r="BP58" i="5" s="1"/>
  <c r="BO58" i="5"/>
  <c r="BN58" i="5"/>
  <c r="BM58" i="5"/>
  <c r="BK58" i="5"/>
  <c r="AF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D58" i="5"/>
  <c r="C58" i="5"/>
  <c r="B58" i="5"/>
  <c r="CH57" i="5"/>
  <c r="CG57" i="5"/>
  <c r="BY57" i="5"/>
  <c r="BS57" i="5"/>
  <c r="BP57" i="5"/>
  <c r="BO57" i="5"/>
  <c r="BN57" i="5"/>
  <c r="BM57" i="5"/>
  <c r="BV57" i="5" s="1"/>
  <c r="BK57" i="5"/>
  <c r="AF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D57" i="5"/>
  <c r="B57" i="5"/>
  <c r="C57" i="5" s="1"/>
  <c r="CH56" i="5"/>
  <c r="CG56" i="5"/>
  <c r="BY56" i="5"/>
  <c r="BP56" i="5" s="1"/>
  <c r="BV56" i="5"/>
  <c r="BO56" i="5"/>
  <c r="BN56" i="5"/>
  <c r="BM56" i="5"/>
  <c r="BS56" i="5" s="1"/>
  <c r="BK56" i="5"/>
  <c r="AF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D56" i="5"/>
  <c r="C56" i="5"/>
  <c r="B56" i="5"/>
  <c r="CH55" i="5"/>
  <c r="CG55" i="5"/>
  <c r="BY55" i="5"/>
  <c r="BV55" i="5"/>
  <c r="BS55" i="5"/>
  <c r="BP55" i="5"/>
  <c r="BO55" i="5"/>
  <c r="BN55" i="5"/>
  <c r="BM55" i="5"/>
  <c r="BK55" i="5"/>
  <c r="AF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D55" i="5"/>
  <c r="B55" i="5"/>
  <c r="C55" i="5" s="1"/>
  <c r="CH54" i="5"/>
  <c r="CG54" i="5"/>
  <c r="BY54" i="5"/>
  <c r="BP54" i="5" s="1"/>
  <c r="BO54" i="5"/>
  <c r="BN54" i="5"/>
  <c r="BM54" i="5"/>
  <c r="BV54" i="5" s="1"/>
  <c r="BK54" i="5"/>
  <c r="AF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D54" i="5"/>
  <c r="C54" i="5"/>
  <c r="B54" i="5"/>
  <c r="CH53" i="5"/>
  <c r="CG53" i="5"/>
  <c r="BY53" i="5"/>
  <c r="BV53" i="5"/>
  <c r="BS53" i="5"/>
  <c r="BP53" i="5"/>
  <c r="BO53" i="5"/>
  <c r="BN53" i="5"/>
  <c r="BM53" i="5"/>
  <c r="BK53" i="5"/>
  <c r="AF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D53" i="5"/>
  <c r="B53" i="5"/>
  <c r="C53" i="5" s="1"/>
  <c r="CH52" i="5"/>
  <c r="CG52" i="5"/>
  <c r="BY52" i="5"/>
  <c r="BP52" i="5"/>
  <c r="BO52" i="5"/>
  <c r="BN52" i="5"/>
  <c r="BM52" i="5"/>
  <c r="BK52" i="5"/>
  <c r="AF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D52" i="5"/>
  <c r="C52" i="5"/>
  <c r="B52" i="5"/>
  <c r="CH51" i="5"/>
  <c r="CG51" i="5"/>
  <c r="BY51" i="5"/>
  <c r="BP51" i="5" s="1"/>
  <c r="BS51" i="5" s="1"/>
  <c r="BV51" i="5"/>
  <c r="BO51" i="5"/>
  <c r="BN51" i="5"/>
  <c r="BM51" i="5"/>
  <c r="BK51" i="5"/>
  <c r="AF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D51" i="5"/>
  <c r="B51" i="5"/>
  <c r="C51" i="5" s="1"/>
  <c r="CH50" i="5"/>
  <c r="CG50" i="5"/>
  <c r="BY50" i="5"/>
  <c r="BP50" i="5" s="1"/>
  <c r="BV50" i="5"/>
  <c r="BO50" i="5"/>
  <c r="BN50" i="5"/>
  <c r="BM50" i="5"/>
  <c r="BS50" i="5" s="1"/>
  <c r="BK50" i="5"/>
  <c r="AF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D50" i="5"/>
  <c r="C50" i="5"/>
  <c r="B50" i="5"/>
  <c r="CH49" i="5"/>
  <c r="CG49" i="5"/>
  <c r="BY49" i="5"/>
  <c r="BV49" i="5"/>
  <c r="BS49" i="5"/>
  <c r="BP49" i="5"/>
  <c r="BO49" i="5"/>
  <c r="BN49" i="5"/>
  <c r="BM49" i="5"/>
  <c r="BK49" i="5"/>
  <c r="AF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D49" i="5"/>
  <c r="B49" i="5"/>
  <c r="C49" i="5" s="1"/>
  <c r="CH48" i="5"/>
  <c r="BY48" i="5"/>
  <c r="BS48" i="5"/>
  <c r="BP48" i="5"/>
  <c r="BO48" i="5"/>
  <c r="BN48" i="5"/>
  <c r="BM48" i="5"/>
  <c r="BV48" i="5" s="1"/>
  <c r="BK48" i="5"/>
  <c r="AF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D48" i="5"/>
  <c r="B48" i="5"/>
  <c r="C48" i="5" s="1"/>
  <c r="CH47" i="5"/>
  <c r="CG47" i="5"/>
  <c r="BY47" i="5"/>
  <c r="BV47" i="5" s="1"/>
  <c r="BO47" i="5"/>
  <c r="BN47" i="5"/>
  <c r="BM47" i="5"/>
  <c r="BK47" i="5"/>
  <c r="AF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D47" i="5"/>
  <c r="B47" i="5"/>
  <c r="C47" i="5" s="1"/>
  <c r="CH46" i="5"/>
  <c r="CG46" i="5"/>
  <c r="BY46" i="5"/>
  <c r="BP46" i="5" s="1"/>
  <c r="BO46" i="5"/>
  <c r="BN46" i="5"/>
  <c r="BM46" i="5"/>
  <c r="BK46" i="5"/>
  <c r="AF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D46" i="5"/>
  <c r="B46" i="5"/>
  <c r="C46" i="5" s="1"/>
  <c r="CH45" i="5"/>
  <c r="CG45" i="5"/>
  <c r="BY45" i="5"/>
  <c r="BP45" i="5" s="1"/>
  <c r="BO45" i="5"/>
  <c r="BN45" i="5"/>
  <c r="BM45" i="5"/>
  <c r="BS45" i="5" s="1"/>
  <c r="BK45" i="5"/>
  <c r="AF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D45" i="5"/>
  <c r="C45" i="5"/>
  <c r="B45" i="5"/>
  <c r="CH44" i="5"/>
  <c r="CG44" i="5"/>
  <c r="BY44" i="5"/>
  <c r="BP44" i="5" s="1"/>
  <c r="BS44" i="5" s="1"/>
  <c r="BO44" i="5"/>
  <c r="BN44" i="5"/>
  <c r="BM44" i="5"/>
  <c r="BV44" i="5" s="1"/>
  <c r="BK44" i="5"/>
  <c r="AF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D44" i="5"/>
  <c r="B44" i="5"/>
  <c r="C44" i="5" s="1"/>
  <c r="CH43" i="5"/>
  <c r="CG43" i="5"/>
  <c r="BY43" i="5"/>
  <c r="BP43" i="5" s="1"/>
  <c r="BV43" i="5"/>
  <c r="BS43" i="5"/>
  <c r="BO43" i="5"/>
  <c r="BN43" i="5"/>
  <c r="BM43" i="5"/>
  <c r="BK43" i="5"/>
  <c r="AF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D43" i="5"/>
  <c r="B43" i="5"/>
  <c r="C43" i="5" s="1"/>
  <c r="CH42" i="5"/>
  <c r="CG42" i="5"/>
  <c r="BY42" i="5"/>
  <c r="BS42" i="5"/>
  <c r="BP42" i="5"/>
  <c r="BO42" i="5"/>
  <c r="BN42" i="5"/>
  <c r="BM42" i="5"/>
  <c r="BV42" i="5" s="1"/>
  <c r="BK42" i="5"/>
  <c r="AF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D42" i="5"/>
  <c r="C42" i="5"/>
  <c r="B42" i="5"/>
  <c r="CH41" i="5"/>
  <c r="CG41" i="5"/>
  <c r="BY41" i="5"/>
  <c r="BP41" i="5" s="1"/>
  <c r="BO41" i="5"/>
  <c r="BN41" i="5"/>
  <c r="BM41" i="5"/>
  <c r="BV41" i="5" s="1"/>
  <c r="BK41" i="5"/>
  <c r="AF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D41" i="5"/>
  <c r="B41" i="5"/>
  <c r="C41" i="5" s="1"/>
  <c r="CH40" i="5"/>
  <c r="CG40" i="5"/>
  <c r="BY40" i="5"/>
  <c r="BP40" i="5"/>
  <c r="BO40" i="5"/>
  <c r="BN40" i="5"/>
  <c r="BM40" i="5"/>
  <c r="BK40" i="5"/>
  <c r="AF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D40" i="5"/>
  <c r="B40" i="5"/>
  <c r="C40" i="5" s="1"/>
  <c r="CH39" i="5"/>
  <c r="CG39" i="5"/>
  <c r="BY39" i="5"/>
  <c r="BP39" i="5" s="1"/>
  <c r="BV39" i="5"/>
  <c r="BO39" i="5"/>
  <c r="BN39" i="5"/>
  <c r="BM39" i="5"/>
  <c r="BS39" i="5" s="1"/>
  <c r="BK39" i="5"/>
  <c r="AF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D39" i="5"/>
  <c r="C39" i="5"/>
  <c r="B39" i="5"/>
  <c r="CH38" i="5"/>
  <c r="CG38" i="5"/>
  <c r="BY38" i="5"/>
  <c r="BV38" i="5"/>
  <c r="BS38" i="5"/>
  <c r="BP38" i="5"/>
  <c r="BO38" i="5"/>
  <c r="BN38" i="5"/>
  <c r="BM38" i="5"/>
  <c r="BK38" i="5"/>
  <c r="AF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D38" i="5"/>
  <c r="C38" i="5"/>
  <c r="B38" i="5"/>
  <c r="CH37" i="5"/>
  <c r="CG37" i="5"/>
  <c r="BY37" i="5"/>
  <c r="BP37" i="5" s="1"/>
  <c r="BS37" i="5" s="1"/>
  <c r="BV37" i="5"/>
  <c r="BO37" i="5"/>
  <c r="BN37" i="5"/>
  <c r="BM37" i="5"/>
  <c r="BK37" i="5"/>
  <c r="AF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D37" i="5"/>
  <c r="C37" i="5"/>
  <c r="B37" i="5"/>
  <c r="CH36" i="5"/>
  <c r="CG36" i="5"/>
  <c r="BY36" i="5"/>
  <c r="BP36" i="5"/>
  <c r="BS36" i="5" s="1"/>
  <c r="BO36" i="5"/>
  <c r="BN36" i="5"/>
  <c r="BM36" i="5"/>
  <c r="BV36" i="5" s="1"/>
  <c r="BK36" i="5"/>
  <c r="AF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D36" i="5"/>
  <c r="C36" i="5"/>
  <c r="B36" i="5"/>
  <c r="CH35" i="5"/>
  <c r="CG35" i="5"/>
  <c r="BY35" i="5"/>
  <c r="BS35" i="5"/>
  <c r="BP35" i="5"/>
  <c r="BO35" i="5"/>
  <c r="BN35" i="5"/>
  <c r="BM35" i="5"/>
  <c r="BV35" i="5" s="1"/>
  <c r="BK35" i="5"/>
  <c r="AF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D35" i="5"/>
  <c r="B35" i="5"/>
  <c r="C35" i="5" s="1"/>
  <c r="CH34" i="5"/>
  <c r="CG34" i="5"/>
  <c r="BY34" i="5"/>
  <c r="BP34" i="5" s="1"/>
  <c r="BO34" i="5"/>
  <c r="BN34" i="5"/>
  <c r="BM34" i="5"/>
  <c r="BK34" i="5"/>
  <c r="AF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D34" i="5"/>
  <c r="B34" i="5"/>
  <c r="C34" i="5" s="1"/>
  <c r="CH33" i="5"/>
  <c r="CG33" i="5"/>
  <c r="BY33" i="5"/>
  <c r="BP33" i="5" s="1"/>
  <c r="BV33" i="5"/>
  <c r="BO33" i="5"/>
  <c r="BN33" i="5"/>
  <c r="BM33" i="5"/>
  <c r="BK33" i="5"/>
  <c r="AF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D33" i="5"/>
  <c r="C33" i="5"/>
  <c r="B33" i="5"/>
  <c r="CH32" i="5"/>
  <c r="CG32" i="5"/>
  <c r="BY32" i="5"/>
  <c r="BP32" i="5" s="1"/>
  <c r="BO32" i="5"/>
  <c r="BN32" i="5"/>
  <c r="BM32" i="5"/>
  <c r="BV32" i="5" s="1"/>
  <c r="BK32" i="5"/>
  <c r="AF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D32" i="5"/>
  <c r="C32" i="5"/>
  <c r="B32" i="5"/>
  <c r="CH31" i="5"/>
  <c r="CG31" i="5"/>
  <c r="BY31" i="5"/>
  <c r="BV31" i="5"/>
  <c r="BS31" i="5"/>
  <c r="BP31" i="5"/>
  <c r="BO31" i="5"/>
  <c r="BN31" i="5"/>
  <c r="BM31" i="5"/>
  <c r="BK31" i="5"/>
  <c r="AF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D31" i="5"/>
  <c r="B31" i="5"/>
  <c r="C31" i="5" s="1"/>
  <c r="CH30" i="5"/>
  <c r="CG30" i="5"/>
  <c r="BY30" i="5"/>
  <c r="BP30" i="5"/>
  <c r="BS30" i="5" s="1"/>
  <c r="BO30" i="5"/>
  <c r="BN30" i="5"/>
  <c r="BM30" i="5"/>
  <c r="BV30" i="5" s="1"/>
  <c r="BK30" i="5"/>
  <c r="AF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D30" i="5"/>
  <c r="C30" i="5"/>
  <c r="B30" i="5"/>
  <c r="CH29" i="5"/>
  <c r="CG29" i="5"/>
  <c r="BY29" i="5"/>
  <c r="BP29" i="5" s="1"/>
  <c r="BS29" i="5" s="1"/>
  <c r="BV29" i="5"/>
  <c r="BO29" i="5"/>
  <c r="BN29" i="5"/>
  <c r="BM29" i="5"/>
  <c r="BK29" i="5"/>
  <c r="AF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D29" i="5"/>
  <c r="B29" i="5"/>
  <c r="C29" i="5" s="1"/>
  <c r="CH28" i="5"/>
  <c r="CG28" i="5"/>
  <c r="BY28" i="5"/>
  <c r="BP28" i="5" s="1"/>
  <c r="BO28" i="5"/>
  <c r="BN28" i="5"/>
  <c r="BM28" i="5"/>
  <c r="BK28" i="5"/>
  <c r="AF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D28" i="5"/>
  <c r="B28" i="5"/>
  <c r="C28" i="5" s="1"/>
  <c r="CH27" i="5"/>
  <c r="CG27" i="5"/>
  <c r="BY27" i="5"/>
  <c r="BP27" i="5" s="1"/>
  <c r="BO27" i="5"/>
  <c r="BN27" i="5"/>
  <c r="BM27" i="5"/>
  <c r="BV27" i="5" s="1"/>
  <c r="BK27" i="5"/>
  <c r="AF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D27" i="5"/>
  <c r="C27" i="5"/>
  <c r="B27" i="5"/>
  <c r="CH26" i="5"/>
  <c r="CG26" i="5"/>
  <c r="BY26" i="5"/>
  <c r="BS26" i="5"/>
  <c r="BP26" i="5"/>
  <c r="BO26" i="5"/>
  <c r="BN26" i="5"/>
  <c r="BM26" i="5"/>
  <c r="BV26" i="5" s="1"/>
  <c r="BK26" i="5"/>
  <c r="AF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D26" i="5"/>
  <c r="C26" i="5"/>
  <c r="B26" i="5"/>
  <c r="CH25" i="5"/>
  <c r="CG25" i="5"/>
  <c r="BY25" i="5"/>
  <c r="BV25" i="5"/>
  <c r="BS25" i="5"/>
  <c r="BP25" i="5"/>
  <c r="BO25" i="5"/>
  <c r="BN25" i="5"/>
  <c r="BM25" i="5"/>
  <c r="BK25" i="5"/>
  <c r="AF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D25" i="5"/>
  <c r="B25" i="5"/>
  <c r="C25" i="5" s="1"/>
  <c r="CH24" i="5"/>
  <c r="CG24" i="5"/>
  <c r="BY24" i="5"/>
  <c r="BV24" i="5"/>
  <c r="BP24" i="5"/>
  <c r="BS24" i="5" s="1"/>
  <c r="BO24" i="5"/>
  <c r="BN24" i="5"/>
  <c r="BM24" i="5"/>
  <c r="BK24" i="5"/>
  <c r="AF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D24" i="5"/>
  <c r="B24" i="5"/>
  <c r="C24" i="5" s="1"/>
  <c r="CH23" i="5"/>
  <c r="CG23" i="5"/>
  <c r="BY23" i="5"/>
  <c r="BP23" i="5"/>
  <c r="BO23" i="5"/>
  <c r="BN23" i="5"/>
  <c r="BM23" i="5"/>
  <c r="BS23" i="5" s="1"/>
  <c r="BK23" i="5"/>
  <c r="AF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D23" i="5"/>
  <c r="B23" i="5"/>
  <c r="C23" i="5" s="1"/>
  <c r="CH22" i="5"/>
  <c r="CG22" i="5"/>
  <c r="BY22" i="5"/>
  <c r="BP22" i="5"/>
  <c r="BO22" i="5"/>
  <c r="BN22" i="5"/>
  <c r="BM22" i="5"/>
  <c r="BK22" i="5"/>
  <c r="AF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D22" i="5"/>
  <c r="B22" i="5"/>
  <c r="C22" i="5" s="1"/>
  <c r="CH21" i="5"/>
  <c r="CG21" i="5"/>
  <c r="BY21" i="5"/>
  <c r="BP21" i="5" s="1"/>
  <c r="BO21" i="5"/>
  <c r="BN21" i="5"/>
  <c r="BM21" i="5"/>
  <c r="BK21" i="5"/>
  <c r="AF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D21" i="5"/>
  <c r="C21" i="5"/>
  <c r="B21" i="5"/>
  <c r="CH20" i="5"/>
  <c r="CG20" i="5"/>
  <c r="BY20" i="5"/>
  <c r="BV20" i="5" s="1"/>
  <c r="BO20" i="5"/>
  <c r="BN20" i="5"/>
  <c r="BM20" i="5"/>
  <c r="BL20" i="5"/>
  <c r="BK20" i="5"/>
  <c r="BE20" i="5"/>
  <c r="BD20" i="5"/>
  <c r="AF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D20" i="5"/>
  <c r="C20" i="5"/>
  <c r="B20" i="5"/>
  <c r="CH19" i="5"/>
  <c r="CG19" i="5"/>
  <c r="BY19" i="5"/>
  <c r="BV19" i="5"/>
  <c r="BS19" i="5"/>
  <c r="BP19" i="5"/>
  <c r="BO19" i="5"/>
  <c r="BN19" i="5"/>
  <c r="BM19" i="5"/>
  <c r="BK19" i="5"/>
  <c r="BG19" i="5"/>
  <c r="BD19" i="5"/>
  <c r="AF19" i="5"/>
  <c r="Z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D19" i="5"/>
  <c r="C19" i="5"/>
  <c r="B19" i="5"/>
  <c r="BY18" i="5"/>
  <c r="BP18" i="5"/>
  <c r="BO18" i="5"/>
  <c r="BN18" i="5"/>
  <c r="BM18" i="5"/>
  <c r="BV18" i="5" s="1"/>
  <c r="BK18" i="5"/>
  <c r="BG18" i="5"/>
  <c r="BD18" i="5"/>
  <c r="AF18" i="5"/>
  <c r="Z18" i="5"/>
  <c r="Y18" i="5"/>
  <c r="Y19" i="5" s="1"/>
  <c r="Y20" i="5" s="1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D18" i="5"/>
  <c r="B18" i="5"/>
  <c r="C18" i="5" s="1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Q14" i="5"/>
  <c r="BP14" i="5"/>
  <c r="BO14" i="5"/>
  <c r="AK14" i="5"/>
  <c r="AJ14" i="5"/>
  <c r="M14" i="5"/>
  <c r="L14" i="5"/>
  <c r="K14" i="5"/>
  <c r="J14" i="5"/>
  <c r="G14" i="5"/>
  <c r="F14" i="5"/>
  <c r="E14" i="5"/>
  <c r="D14" i="5"/>
  <c r="A14" i="5"/>
  <c r="BQ13" i="5"/>
  <c r="BP13" i="5"/>
  <c r="BO13" i="5"/>
  <c r="AK13" i="5"/>
  <c r="AJ13" i="5"/>
  <c r="O13" i="5"/>
  <c r="M13" i="5"/>
  <c r="K13" i="5"/>
  <c r="BQ12" i="5"/>
  <c r="BP12" i="5"/>
  <c r="BO12" i="5"/>
  <c r="AK12" i="5"/>
  <c r="AJ12" i="5"/>
  <c r="O12" i="5"/>
  <c r="M12" i="5"/>
  <c r="K12" i="5"/>
  <c r="BQ11" i="5"/>
  <c r="BP11" i="5"/>
  <c r="BO11" i="5"/>
  <c r="AK11" i="5"/>
  <c r="AJ11" i="5"/>
  <c r="O11" i="5"/>
  <c r="M11" i="5"/>
  <c r="K11" i="5"/>
  <c r="BQ10" i="5"/>
  <c r="BP10" i="5"/>
  <c r="BO10" i="5"/>
  <c r="AK10" i="5"/>
  <c r="AJ10" i="5"/>
  <c r="O10" i="5"/>
  <c r="M10" i="5"/>
  <c r="K10" i="5"/>
  <c r="BQ9" i="5"/>
  <c r="BP9" i="5"/>
  <c r="BO9" i="5"/>
  <c r="AK9" i="5"/>
  <c r="AJ9" i="5"/>
  <c r="O9" i="5"/>
  <c r="M9" i="5"/>
  <c r="K9" i="5"/>
  <c r="BQ8" i="5"/>
  <c r="BP8" i="5"/>
  <c r="BO8" i="5"/>
  <c r="AK8" i="5"/>
  <c r="AJ8" i="5"/>
  <c r="O8" i="5"/>
  <c r="M8" i="5"/>
  <c r="K8" i="5"/>
  <c r="BQ7" i="5"/>
  <c r="BP7" i="5"/>
  <c r="BO7" i="5"/>
  <c r="AK7" i="5"/>
  <c r="AJ7" i="5"/>
  <c r="O7" i="5"/>
  <c r="M7" i="5"/>
  <c r="K7" i="5"/>
  <c r="BQ6" i="5"/>
  <c r="BP6" i="5"/>
  <c r="BO6" i="5"/>
  <c r="AK6" i="5"/>
  <c r="AJ6" i="5"/>
  <c r="O6" i="5"/>
  <c r="M6" i="5"/>
  <c r="K6" i="5"/>
  <c r="BQ5" i="5"/>
  <c r="BP5" i="5"/>
  <c r="BO5" i="5"/>
  <c r="AK5" i="5"/>
  <c r="AJ5" i="5"/>
  <c r="O5" i="5"/>
  <c r="M5" i="5"/>
  <c r="K5" i="5"/>
  <c r="BQ4" i="5"/>
  <c r="BP4" i="5"/>
  <c r="BO4" i="5"/>
  <c r="AK4" i="5"/>
  <c r="AJ4" i="5"/>
  <c r="O4" i="5"/>
  <c r="M4" i="5"/>
  <c r="K4" i="5"/>
  <c r="BQ3" i="5"/>
  <c r="BP3" i="5"/>
  <c r="BO3" i="5"/>
  <c r="AK3" i="5"/>
  <c r="O3" i="5"/>
  <c r="M3" i="5"/>
  <c r="K3" i="5"/>
  <c r="BQ2" i="5"/>
  <c r="BP2" i="5"/>
  <c r="BO2" i="5"/>
  <c r="AK2" i="5"/>
  <c r="AJ2" i="5"/>
  <c r="O2" i="5"/>
  <c r="M2" i="5"/>
  <c r="K2" i="5"/>
  <c r="S1" i="5"/>
  <c r="R1" i="5"/>
  <c r="C187" i="2"/>
  <c r="B187" i="2"/>
  <c r="C186" i="2"/>
  <c r="B186" i="2"/>
  <c r="C185" i="2"/>
  <c r="B185" i="2"/>
  <c r="C184" i="2"/>
  <c r="B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P86" i="2"/>
  <c r="O86" i="2"/>
  <c r="C86" i="2"/>
  <c r="O85" i="2"/>
  <c r="C85" i="2"/>
  <c r="O84" i="2"/>
  <c r="C84" i="2"/>
  <c r="O83" i="2"/>
  <c r="C83" i="2"/>
  <c r="O82" i="2"/>
  <c r="C82" i="2"/>
  <c r="O81" i="2"/>
  <c r="C81" i="2"/>
  <c r="O80" i="2"/>
  <c r="C80" i="2"/>
  <c r="O79" i="2"/>
  <c r="C79" i="2"/>
  <c r="O78" i="2"/>
  <c r="C78" i="2"/>
  <c r="O77" i="2"/>
  <c r="C77" i="2"/>
  <c r="O76" i="2"/>
  <c r="C76" i="2"/>
  <c r="O75" i="2"/>
  <c r="C75" i="2"/>
  <c r="O74" i="2"/>
  <c r="C74" i="2"/>
  <c r="O73" i="2"/>
  <c r="C73" i="2"/>
  <c r="O72" i="2"/>
  <c r="C72" i="2"/>
  <c r="O71" i="2"/>
  <c r="C71" i="2"/>
  <c r="O70" i="2"/>
  <c r="C70" i="2"/>
  <c r="O69" i="2"/>
  <c r="C69" i="2"/>
  <c r="O68" i="2"/>
  <c r="C68" i="2"/>
  <c r="O67" i="2"/>
  <c r="C67" i="2"/>
  <c r="O66" i="2"/>
  <c r="C66" i="2"/>
  <c r="O65" i="2"/>
  <c r="C65" i="2"/>
  <c r="O64" i="2"/>
  <c r="C64" i="2"/>
  <c r="O63" i="2"/>
  <c r="C63" i="2"/>
  <c r="O62" i="2"/>
  <c r="C62" i="2"/>
  <c r="O61" i="2"/>
  <c r="C61" i="2"/>
  <c r="O60" i="2"/>
  <c r="C60" i="2"/>
  <c r="O59" i="2"/>
  <c r="C59" i="2"/>
  <c r="O58" i="2"/>
  <c r="C58" i="2"/>
  <c r="O57" i="2"/>
  <c r="C57" i="2"/>
  <c r="O56" i="2"/>
  <c r="C56" i="2"/>
  <c r="O55" i="2"/>
  <c r="C55" i="2"/>
  <c r="O54" i="2"/>
  <c r="C54" i="2"/>
  <c r="O53" i="2"/>
  <c r="C53" i="2"/>
  <c r="O52" i="2"/>
  <c r="C52" i="2"/>
  <c r="O51" i="2"/>
  <c r="C51" i="2"/>
  <c r="O50" i="2"/>
  <c r="C50" i="2"/>
  <c r="O49" i="2"/>
  <c r="C49" i="2"/>
  <c r="O48" i="2"/>
  <c r="C48" i="2"/>
  <c r="O47" i="2"/>
  <c r="C47" i="2"/>
  <c r="O46" i="2"/>
  <c r="C46" i="2"/>
  <c r="O45" i="2"/>
  <c r="C45" i="2"/>
  <c r="O44" i="2"/>
  <c r="C44" i="2"/>
  <c r="O43" i="2"/>
  <c r="C43" i="2"/>
  <c r="O42" i="2"/>
  <c r="C42" i="2"/>
  <c r="O41" i="2"/>
  <c r="C41" i="2"/>
  <c r="O40" i="2"/>
  <c r="C40" i="2"/>
  <c r="O39" i="2"/>
  <c r="C39" i="2"/>
  <c r="O38" i="2"/>
  <c r="C38" i="2"/>
  <c r="O37" i="2"/>
  <c r="C37" i="2"/>
  <c r="O36" i="2"/>
  <c r="C36" i="2"/>
  <c r="O35" i="2"/>
  <c r="C35" i="2"/>
  <c r="O34" i="2"/>
  <c r="C34" i="2"/>
  <c r="O33" i="2"/>
  <c r="C33" i="2"/>
  <c r="O32" i="2"/>
  <c r="C32" i="2"/>
  <c r="O31" i="2"/>
  <c r="C31" i="2"/>
  <c r="O30" i="2"/>
  <c r="C30" i="2"/>
  <c r="O29" i="2"/>
  <c r="C29" i="2"/>
  <c r="O28" i="2"/>
  <c r="C28" i="2"/>
  <c r="O27" i="2"/>
  <c r="C27" i="2"/>
  <c r="O26" i="2"/>
  <c r="C26" i="2"/>
  <c r="O25" i="2"/>
  <c r="C25" i="2"/>
  <c r="O24" i="2"/>
  <c r="C24" i="2"/>
  <c r="O23" i="2"/>
  <c r="C23" i="2"/>
  <c r="O22" i="2"/>
  <c r="C22" i="2"/>
  <c r="O21" i="2"/>
  <c r="C21" i="2"/>
  <c r="O20" i="2"/>
  <c r="C20" i="2"/>
  <c r="O19" i="2"/>
  <c r="C19" i="2"/>
  <c r="O18" i="2"/>
  <c r="K18" i="2"/>
  <c r="C18" i="2"/>
  <c r="O17" i="2"/>
  <c r="K17" i="2"/>
  <c r="C17" i="2"/>
  <c r="O16" i="2"/>
  <c r="K16" i="2"/>
  <c r="J16" i="2"/>
  <c r="C16" i="2"/>
  <c r="O15" i="2"/>
  <c r="K15" i="2"/>
  <c r="J15" i="2"/>
  <c r="C15" i="2"/>
  <c r="O14" i="2"/>
  <c r="K14" i="2"/>
  <c r="J14" i="2"/>
  <c r="C14" i="2"/>
  <c r="O13" i="2"/>
  <c r="K13" i="2"/>
  <c r="J13" i="2"/>
  <c r="C13" i="2"/>
  <c r="O12" i="2"/>
  <c r="K12" i="2"/>
  <c r="J12" i="2"/>
  <c r="C12" i="2"/>
  <c r="O11" i="2"/>
  <c r="C11" i="2"/>
  <c r="O10" i="2"/>
  <c r="C10" i="2"/>
  <c r="O9" i="2"/>
  <c r="C9" i="2"/>
  <c r="O8" i="2"/>
  <c r="C8" i="2"/>
  <c r="AL7" i="2"/>
  <c r="O7" i="2"/>
  <c r="C7" i="2"/>
  <c r="AH6" i="2"/>
  <c r="AH9" i="2" s="1"/>
  <c r="O6" i="2"/>
  <c r="C6" i="2"/>
  <c r="V5" i="2"/>
  <c r="C5" i="2"/>
  <c r="AH4" i="2"/>
  <c r="AH7" i="2" s="1"/>
  <c r="AB4" i="2"/>
  <c r="V4" i="2"/>
  <c r="K4" i="2"/>
  <c r="J4" i="2"/>
  <c r="C4" i="2"/>
  <c r="AC3" i="2"/>
  <c r="K3" i="2"/>
  <c r="J3" i="2"/>
  <c r="C3" i="2"/>
  <c r="AC2" i="2"/>
  <c r="X2" i="2"/>
  <c r="K2" i="2"/>
  <c r="J2" i="2"/>
  <c r="C2" i="2"/>
  <c r="Y8" i="11"/>
  <c r="P8" i="11"/>
  <c r="M8" i="11"/>
  <c r="AD8" i="11" s="1"/>
  <c r="Y7" i="11"/>
  <c r="P7" i="11"/>
  <c r="M7" i="11"/>
  <c r="AD7" i="11" s="1"/>
  <c r="Y5" i="11"/>
  <c r="P5" i="11"/>
  <c r="M5" i="11"/>
  <c r="AD5" i="11" s="1"/>
  <c r="Y4" i="11"/>
  <c r="P4" i="11"/>
  <c r="M4" i="11"/>
  <c r="AD4" i="11" s="1"/>
  <c r="B7" i="10"/>
  <c r="E4" i="6"/>
  <c r="Z1" i="6"/>
  <c r="Y1" i="6"/>
  <c r="X1" i="6"/>
  <c r="W1" i="6"/>
  <c r="V1" i="6"/>
  <c r="U1" i="6"/>
  <c r="T1" i="6"/>
  <c r="S1" i="6"/>
  <c r="R1" i="6"/>
  <c r="Q1" i="6"/>
  <c r="O1" i="6"/>
  <c r="N1" i="6"/>
  <c r="M1" i="6"/>
  <c r="L1" i="6"/>
  <c r="K1" i="6"/>
  <c r="J1" i="6"/>
  <c r="I1" i="6"/>
  <c r="H1" i="6"/>
  <c r="G1" i="6"/>
  <c r="AU134" i="1"/>
  <c r="AT134" i="1"/>
  <c r="AS134" i="1"/>
  <c r="AU133" i="1"/>
  <c r="AT133" i="1"/>
  <c r="AS133" i="1"/>
  <c r="AU132" i="1"/>
  <c r="AT132" i="1"/>
  <c r="AS132" i="1"/>
  <c r="AU131" i="1"/>
  <c r="AT131" i="1"/>
  <c r="AS131" i="1"/>
  <c r="AU130" i="1"/>
  <c r="AT130" i="1"/>
  <c r="AS130" i="1"/>
  <c r="AU128" i="1"/>
  <c r="AT128" i="1"/>
  <c r="AS128" i="1"/>
  <c r="AU127" i="1"/>
  <c r="AT127" i="1"/>
  <c r="AS127" i="1"/>
  <c r="AU126" i="1"/>
  <c r="AT126" i="1"/>
  <c r="AS126" i="1"/>
  <c r="AU125" i="1"/>
  <c r="AT125" i="1"/>
  <c r="AS125" i="1"/>
  <c r="AU124" i="1"/>
  <c r="AT124" i="1"/>
  <c r="AS124" i="1"/>
  <c r="AU123" i="1"/>
  <c r="AT123" i="1"/>
  <c r="AS123" i="1"/>
  <c r="AU122" i="1"/>
  <c r="AT122" i="1"/>
  <c r="AS122" i="1"/>
  <c r="AU121" i="1"/>
  <c r="AT121" i="1"/>
  <c r="AS121" i="1"/>
  <c r="AU120" i="1"/>
  <c r="AT120" i="1"/>
  <c r="AS120" i="1"/>
  <c r="AU119" i="1"/>
  <c r="AT119" i="1"/>
  <c r="AS119" i="1"/>
  <c r="AU118" i="1"/>
  <c r="AT118" i="1"/>
  <c r="AS118" i="1"/>
  <c r="AU117" i="1"/>
  <c r="AT117" i="1"/>
  <c r="AS117" i="1"/>
  <c r="AU116" i="1"/>
  <c r="AT116" i="1"/>
  <c r="AS116" i="1"/>
  <c r="AU115" i="1"/>
  <c r="AT115" i="1"/>
  <c r="AS115" i="1"/>
  <c r="AU114" i="1"/>
  <c r="AT114" i="1"/>
  <c r="AS114" i="1"/>
  <c r="AU113" i="1"/>
  <c r="AT113" i="1"/>
  <c r="AS113" i="1"/>
  <c r="AU112" i="1"/>
  <c r="AT112" i="1"/>
  <c r="AS112" i="1"/>
  <c r="AU111" i="1"/>
  <c r="AT111" i="1"/>
  <c r="AS111" i="1"/>
  <c r="AU110" i="1"/>
  <c r="AT110" i="1"/>
  <c r="AS110" i="1"/>
  <c r="AU109" i="1"/>
  <c r="AT109" i="1"/>
  <c r="AS109" i="1"/>
  <c r="AU108" i="1"/>
  <c r="AT108" i="1"/>
  <c r="AS108" i="1"/>
  <c r="AU107" i="1"/>
  <c r="AT107" i="1"/>
  <c r="AS107" i="1"/>
  <c r="AU106" i="1"/>
  <c r="AT106" i="1"/>
  <c r="AS106" i="1"/>
  <c r="AU105" i="1"/>
  <c r="AT105" i="1"/>
  <c r="AS105" i="1"/>
  <c r="AU104" i="1"/>
  <c r="AT104" i="1"/>
  <c r="AS104" i="1"/>
  <c r="AU103" i="1"/>
  <c r="AT103" i="1"/>
  <c r="AS103" i="1"/>
  <c r="AU102" i="1"/>
  <c r="AT102" i="1"/>
  <c r="AS102" i="1"/>
  <c r="AU101" i="1"/>
  <c r="AT101" i="1"/>
  <c r="AS101" i="1"/>
  <c r="AU100" i="1"/>
  <c r="AT100" i="1"/>
  <c r="AS100" i="1"/>
  <c r="AU99" i="1"/>
  <c r="AT99" i="1"/>
  <c r="AS99" i="1"/>
  <c r="AU98" i="1"/>
  <c r="AT98" i="1"/>
  <c r="AS98" i="1"/>
  <c r="AU97" i="1"/>
  <c r="AT97" i="1"/>
  <c r="AS97" i="1"/>
  <c r="AU96" i="1"/>
  <c r="AT96" i="1"/>
  <c r="AS96" i="1"/>
  <c r="AU95" i="1"/>
  <c r="AT95" i="1"/>
  <c r="AS95" i="1"/>
  <c r="AU94" i="1"/>
  <c r="AT94" i="1"/>
  <c r="AS94" i="1"/>
  <c r="AU93" i="1"/>
  <c r="AT93" i="1"/>
  <c r="AS93" i="1"/>
  <c r="AU92" i="1"/>
  <c r="AT92" i="1"/>
  <c r="AS92" i="1"/>
  <c r="AU91" i="1"/>
  <c r="AT91" i="1"/>
  <c r="AS91" i="1"/>
  <c r="AU90" i="1"/>
  <c r="AT90" i="1"/>
  <c r="AS90" i="1"/>
  <c r="AU89" i="1"/>
  <c r="AT89" i="1"/>
  <c r="AS89" i="1"/>
  <c r="AU88" i="1"/>
  <c r="AT88" i="1"/>
  <c r="AS88" i="1"/>
  <c r="AU87" i="1"/>
  <c r="AT87" i="1"/>
  <c r="AS87" i="1"/>
  <c r="AU86" i="1"/>
  <c r="AT86" i="1"/>
  <c r="AS86" i="1"/>
  <c r="AU85" i="1"/>
  <c r="AT85" i="1"/>
  <c r="AS85" i="1"/>
  <c r="AU84" i="1"/>
  <c r="AT84" i="1"/>
  <c r="AS84" i="1"/>
  <c r="AU83" i="1"/>
  <c r="AT83" i="1"/>
  <c r="AS83" i="1"/>
  <c r="AU82" i="1"/>
  <c r="AT82" i="1"/>
  <c r="AS82" i="1"/>
  <c r="AU81" i="1"/>
  <c r="AT81" i="1"/>
  <c r="AS81" i="1"/>
  <c r="AU80" i="1"/>
  <c r="AT80" i="1"/>
  <c r="AS80" i="1"/>
  <c r="AU79" i="1"/>
  <c r="AT79" i="1"/>
  <c r="AS79" i="1"/>
  <c r="AU78" i="1"/>
  <c r="AT78" i="1"/>
  <c r="AS78" i="1"/>
  <c r="AU77" i="1"/>
  <c r="AT77" i="1"/>
  <c r="AS77" i="1"/>
  <c r="AU76" i="1"/>
  <c r="AT76" i="1"/>
  <c r="AS76" i="1"/>
  <c r="AU75" i="1"/>
  <c r="AT75" i="1"/>
  <c r="AS75" i="1"/>
  <c r="AU74" i="1"/>
  <c r="AT74" i="1"/>
  <c r="AS74" i="1"/>
  <c r="AU73" i="1"/>
  <c r="AT73" i="1"/>
  <c r="AS73" i="1"/>
  <c r="AU72" i="1"/>
  <c r="AT72" i="1"/>
  <c r="AS72" i="1"/>
  <c r="AU71" i="1"/>
  <c r="AT71" i="1"/>
  <c r="AS71" i="1"/>
  <c r="AU70" i="1"/>
  <c r="AT70" i="1"/>
  <c r="AS70" i="1"/>
  <c r="AU69" i="1"/>
  <c r="AT69" i="1"/>
  <c r="AS69" i="1"/>
  <c r="AU68" i="1"/>
  <c r="AT68" i="1"/>
  <c r="AS68" i="1"/>
  <c r="AU67" i="1"/>
  <c r="AT67" i="1"/>
  <c r="AS67" i="1"/>
  <c r="AU66" i="1"/>
  <c r="AT66" i="1"/>
  <c r="AS66" i="1"/>
  <c r="AU65" i="1"/>
  <c r="AT65" i="1"/>
  <c r="AS65" i="1"/>
  <c r="AU64" i="1"/>
  <c r="AT64" i="1"/>
  <c r="AS64" i="1"/>
  <c r="AU63" i="1"/>
  <c r="AT63" i="1"/>
  <c r="AS63" i="1"/>
  <c r="AU62" i="1"/>
  <c r="AT62" i="1"/>
  <c r="AS62" i="1"/>
  <c r="AU61" i="1"/>
  <c r="AT61" i="1"/>
  <c r="AS61" i="1"/>
  <c r="AU60" i="1"/>
  <c r="AT60" i="1"/>
  <c r="AS60" i="1"/>
  <c r="AU59" i="1"/>
  <c r="AT59" i="1"/>
  <c r="AS59" i="1"/>
  <c r="AU58" i="1"/>
  <c r="AT58" i="1"/>
  <c r="AS58" i="1"/>
  <c r="AU57" i="1"/>
  <c r="AT57" i="1"/>
  <c r="AS57" i="1"/>
  <c r="AU56" i="1"/>
  <c r="AT56" i="1"/>
  <c r="AS56" i="1"/>
  <c r="AU55" i="1"/>
  <c r="AT55" i="1"/>
  <c r="AS55" i="1"/>
  <c r="AU54" i="1"/>
  <c r="AT54" i="1"/>
  <c r="AS54" i="1"/>
  <c r="AU53" i="1"/>
  <c r="AT53" i="1"/>
  <c r="AS53" i="1"/>
  <c r="AU52" i="1"/>
  <c r="AT52" i="1"/>
  <c r="AS52" i="1"/>
  <c r="AU51" i="1"/>
  <c r="AT51" i="1"/>
  <c r="AS51" i="1"/>
  <c r="AU50" i="1"/>
  <c r="AT50" i="1"/>
  <c r="AS50" i="1"/>
  <c r="AU49" i="1"/>
  <c r="AT49" i="1"/>
  <c r="AS49" i="1"/>
  <c r="AU48" i="1"/>
  <c r="AT48" i="1"/>
  <c r="AS48" i="1"/>
  <c r="AU47" i="1"/>
  <c r="AT47" i="1"/>
  <c r="AS47" i="1"/>
  <c r="AU46" i="1"/>
  <c r="AT46" i="1"/>
  <c r="AS46" i="1"/>
  <c r="AU45" i="1"/>
  <c r="AT45" i="1"/>
  <c r="AS45" i="1"/>
  <c r="AU44" i="1"/>
  <c r="AT44" i="1"/>
  <c r="AS44" i="1"/>
  <c r="AU43" i="1"/>
  <c r="AT43" i="1"/>
  <c r="AS43" i="1"/>
  <c r="AU42" i="1"/>
  <c r="AT42" i="1"/>
  <c r="AS42" i="1"/>
  <c r="AU41" i="1"/>
  <c r="AT41" i="1"/>
  <c r="AS41" i="1"/>
  <c r="AU40" i="1"/>
  <c r="AT40" i="1"/>
  <c r="AS40" i="1"/>
  <c r="AU39" i="1"/>
  <c r="AT39" i="1"/>
  <c r="AS39" i="1"/>
  <c r="AU38" i="1"/>
  <c r="AT38" i="1"/>
  <c r="AS38" i="1"/>
  <c r="AU37" i="1"/>
  <c r="AT37" i="1"/>
  <c r="AS37" i="1"/>
  <c r="AU36" i="1"/>
  <c r="AT36" i="1"/>
  <c r="AS36" i="1"/>
  <c r="AU35" i="1"/>
  <c r="AT35" i="1"/>
  <c r="AS35" i="1"/>
  <c r="AU34" i="1"/>
  <c r="AT34" i="1"/>
  <c r="AS34" i="1"/>
  <c r="AU33" i="1"/>
  <c r="AT33" i="1"/>
  <c r="AS33" i="1"/>
  <c r="AU32" i="1"/>
  <c r="AT32" i="1"/>
  <c r="AS32" i="1"/>
  <c r="AU31" i="1"/>
  <c r="AT31" i="1"/>
  <c r="AS31" i="1"/>
  <c r="AU30" i="1"/>
  <c r="AT30" i="1"/>
  <c r="AS30" i="1"/>
  <c r="AU26" i="1"/>
  <c r="AT26" i="1"/>
  <c r="AS26" i="1"/>
  <c r="AU25" i="1"/>
  <c r="AT25" i="1"/>
  <c r="AS25" i="1"/>
  <c r="AU24" i="1"/>
  <c r="AT24" i="1"/>
  <c r="AS24" i="1"/>
  <c r="AU23" i="1"/>
  <c r="AT23" i="1"/>
  <c r="AS23" i="1"/>
  <c r="AU22" i="1"/>
  <c r="AT22" i="1"/>
  <c r="AS22" i="1"/>
  <c r="AU21" i="1"/>
  <c r="AT21" i="1"/>
  <c r="AS21" i="1"/>
  <c r="AU20" i="1"/>
  <c r="AT20" i="1"/>
  <c r="AS20" i="1"/>
  <c r="AU19" i="1"/>
  <c r="AT19" i="1"/>
  <c r="AS19" i="1"/>
  <c r="AU18" i="1"/>
  <c r="AT18" i="1"/>
  <c r="AS18" i="1"/>
  <c r="AU17" i="1"/>
  <c r="AT17" i="1"/>
  <c r="AS17" i="1"/>
  <c r="AU16" i="1"/>
  <c r="AT16" i="1"/>
  <c r="AS16" i="1"/>
  <c r="AU15" i="1"/>
  <c r="AT15" i="1"/>
  <c r="AS15" i="1"/>
  <c r="AU14" i="1"/>
  <c r="AT14" i="1"/>
  <c r="AS14" i="1"/>
  <c r="AU13" i="1"/>
  <c r="AT13" i="1"/>
  <c r="AS13" i="1"/>
  <c r="AU12" i="1"/>
  <c r="AT12" i="1"/>
  <c r="AS12" i="1"/>
  <c r="AU11" i="1"/>
  <c r="AT11" i="1"/>
  <c r="AS11" i="1"/>
  <c r="AU10" i="1"/>
  <c r="AT10" i="1"/>
  <c r="AS10" i="1"/>
  <c r="AU9" i="1"/>
  <c r="AT9" i="1"/>
  <c r="AS9" i="1"/>
  <c r="AU8" i="1"/>
  <c r="AT8" i="1"/>
  <c r="AS8" i="1"/>
  <c r="AU7" i="1"/>
  <c r="AT7" i="1"/>
  <c r="AS7" i="1"/>
  <c r="AU6" i="1"/>
  <c r="AT6" i="1"/>
  <c r="AS6" i="1"/>
  <c r="AU5" i="1"/>
  <c r="AT5" i="1"/>
  <c r="AS5" i="1"/>
  <c r="AU4" i="1"/>
  <c r="AT4" i="1"/>
  <c r="AS4" i="1"/>
  <c r="B2" i="1"/>
  <c r="C2" i="1" s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F2" i="7"/>
  <c r="F3" i="7" s="1"/>
  <c r="F4" i="7" s="1"/>
  <c r="F5" i="7" s="1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B36" i="13"/>
  <c r="B35" i="13"/>
  <c r="B34" i="13"/>
  <c r="B33" i="13"/>
  <c r="B32" i="13"/>
  <c r="BA131" i="1" l="1"/>
  <c r="BM131" i="1" s="1"/>
  <c r="BA130" i="1"/>
  <c r="BM130" i="1" s="1"/>
  <c r="BU109" i="1"/>
  <c r="BV109" i="1" s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A125" i="1"/>
  <c r="BM125" i="1" s="1"/>
  <c r="BA128" i="1"/>
  <c r="BM128" i="1" s="1"/>
  <c r="BA126" i="1"/>
  <c r="BM126" i="1" s="1"/>
  <c r="BA124" i="1"/>
  <c r="BM124" i="1" s="1"/>
  <c r="BA127" i="1"/>
  <c r="BM127" i="1" s="1"/>
  <c r="BA123" i="1"/>
  <c r="BM123" i="1" s="1"/>
  <c r="BA121" i="1"/>
  <c r="BM121" i="1" s="1"/>
  <c r="BA120" i="1"/>
  <c r="BM120" i="1" s="1"/>
  <c r="BA119" i="1"/>
  <c r="BM119" i="1" s="1"/>
  <c r="BA122" i="1"/>
  <c r="BM122" i="1" s="1"/>
  <c r="BA118" i="1"/>
  <c r="BM118" i="1" s="1"/>
  <c r="BA117" i="1"/>
  <c r="BM117" i="1" s="1"/>
  <c r="BA114" i="1"/>
  <c r="BM114" i="1" s="1"/>
  <c r="BA111" i="1"/>
  <c r="BM111" i="1" s="1"/>
  <c r="BA112" i="1"/>
  <c r="BM112" i="1" s="1"/>
  <c r="BA115" i="1"/>
  <c r="BM115" i="1" s="1"/>
  <c r="BA113" i="1"/>
  <c r="BM113" i="1" s="1"/>
  <c r="BA116" i="1"/>
  <c r="BM116" i="1" s="1"/>
  <c r="BA57" i="1"/>
  <c r="BM57" i="1" s="1"/>
  <c r="BS144" i="5"/>
  <c r="BS128" i="5"/>
  <c r="BS85" i="5"/>
  <c r="Z20" i="5"/>
  <c r="AG20" i="5"/>
  <c r="AA20" i="5"/>
  <c r="Y21" i="5"/>
  <c r="AB20" i="5"/>
  <c r="AB18" i="5"/>
  <c r="BS18" i="5"/>
  <c r="AG19" i="5"/>
  <c r="BV23" i="5"/>
  <c r="BS66" i="5"/>
  <c r="BS68" i="5"/>
  <c r="BV88" i="5"/>
  <c r="BV110" i="5"/>
  <c r="BV139" i="5"/>
  <c r="BS140" i="5"/>
  <c r="BS145" i="5"/>
  <c r="BS156" i="5"/>
  <c r="BV158" i="5"/>
  <c r="BS158" i="5"/>
  <c r="BS165" i="5"/>
  <c r="BV169" i="5"/>
  <c r="BS176" i="5"/>
  <c r="BV176" i="5"/>
  <c r="BS178" i="5"/>
  <c r="BS190" i="5"/>
  <c r="BL19" i="5"/>
  <c r="BS33" i="5"/>
  <c r="BS64" i="5"/>
  <c r="BV64" i="5"/>
  <c r="BS98" i="5"/>
  <c r="BV146" i="5"/>
  <c r="BS146" i="5"/>
  <c r="BS175" i="5"/>
  <c r="BS180" i="5"/>
  <c r="BS203" i="5"/>
  <c r="AG18" i="5"/>
  <c r="BE19" i="5"/>
  <c r="BP20" i="5"/>
  <c r="BS20" i="5" s="1"/>
  <c r="BS21" i="5"/>
  <c r="BS32" i="5"/>
  <c r="BV34" i="5"/>
  <c r="BS34" i="5"/>
  <c r="BS41" i="5"/>
  <c r="BV45" i="5"/>
  <c r="BS63" i="5"/>
  <c r="BS86" i="5"/>
  <c r="BS97" i="5"/>
  <c r="BV99" i="5"/>
  <c r="BS99" i="5"/>
  <c r="BS106" i="5"/>
  <c r="BS129" i="5"/>
  <c r="BV129" i="5"/>
  <c r="BS131" i="5"/>
  <c r="BS133" i="5"/>
  <c r="BS186" i="5"/>
  <c r="BS194" i="5"/>
  <c r="BE18" i="5"/>
  <c r="BL18" i="5"/>
  <c r="BF18" i="5"/>
  <c r="BF19" i="5"/>
  <c r="BV22" i="5"/>
  <c r="BS22" i="5"/>
  <c r="BP47" i="5"/>
  <c r="BS47" i="5" s="1"/>
  <c r="BS52" i="5"/>
  <c r="BV52" i="5"/>
  <c r="BS54" i="5"/>
  <c r="BV87" i="5"/>
  <c r="BS87" i="5"/>
  <c r="BP137" i="5"/>
  <c r="BS137" i="5" s="1"/>
  <c r="BP162" i="5"/>
  <c r="BS162" i="5" s="1"/>
  <c r="BS163" i="5"/>
  <c r="BP172" i="5"/>
  <c r="BS172" i="5" s="1"/>
  <c r="BP184" i="5"/>
  <c r="BS184" i="5" s="1"/>
  <c r="BS188" i="5"/>
  <c r="BV188" i="5"/>
  <c r="BS198" i="5"/>
  <c r="BS72" i="5"/>
  <c r="BS117" i="5"/>
  <c r="BV117" i="5"/>
  <c r="BS119" i="5"/>
  <c r="BV164" i="5"/>
  <c r="BS164" i="5"/>
  <c r="BD21" i="5"/>
  <c r="BP69" i="5"/>
  <c r="BS69" i="5" s="1"/>
  <c r="BS70" i="5"/>
  <c r="BV70" i="5"/>
  <c r="BV115" i="5"/>
  <c r="BV145" i="5"/>
  <c r="BP159" i="5"/>
  <c r="BS159" i="5" s="1"/>
  <c r="BV40" i="5"/>
  <c r="BS40" i="5"/>
  <c r="BV105" i="5"/>
  <c r="BS105" i="5"/>
  <c r="BS182" i="5"/>
  <c r="BV182" i="5"/>
  <c r="BF20" i="5"/>
  <c r="BV21" i="5"/>
  <c r="BV86" i="5"/>
  <c r="BS135" i="5"/>
  <c r="BV135" i="5"/>
  <c r="BV152" i="5"/>
  <c r="BS152" i="5"/>
  <c r="BS174" i="5"/>
  <c r="BV180" i="5"/>
  <c r="BV198" i="5"/>
  <c r="BG20" i="5"/>
  <c r="BS27" i="5"/>
  <c r="BS62" i="5"/>
  <c r="BS80" i="5"/>
  <c r="BS92" i="5"/>
  <c r="BS134" i="5"/>
  <c r="BS168" i="5"/>
  <c r="BV170" i="5"/>
  <c r="BS170" i="5"/>
  <c r="BV186" i="5"/>
  <c r="AB19" i="5"/>
  <c r="AA19" i="5"/>
  <c r="BV28" i="5"/>
  <c r="BS28" i="5"/>
  <c r="BS58" i="5"/>
  <c r="BV58" i="5"/>
  <c r="BS76" i="5"/>
  <c r="BV76" i="5"/>
  <c r="BV81" i="5"/>
  <c r="BS81" i="5"/>
  <c r="BV93" i="5"/>
  <c r="BS93" i="5"/>
  <c r="BS123" i="5"/>
  <c r="BV123" i="5"/>
  <c r="BS127" i="5"/>
  <c r="BV46" i="5"/>
  <c r="BS46" i="5"/>
  <c r="BS111" i="5"/>
  <c r="BV111" i="5"/>
  <c r="AA18" i="5"/>
  <c r="BS115" i="5"/>
  <c r="BV151" i="5"/>
  <c r="BS157" i="5"/>
  <c r="BV192" i="5"/>
  <c r="BS196" i="5"/>
  <c r="BS205" i="5"/>
  <c r="BS211" i="5"/>
  <c r="BS218" i="5"/>
  <c r="BS241" i="5"/>
  <c r="BV243" i="5"/>
  <c r="BS243" i="5"/>
  <c r="BV262" i="5"/>
  <c r="BS273" i="5"/>
  <c r="BV273" i="5"/>
  <c r="BS277" i="5"/>
  <c r="BV284" i="5"/>
  <c r="C384" i="5"/>
  <c r="G384" i="5"/>
  <c r="H384" i="5" s="1"/>
  <c r="J384" i="5" s="1"/>
  <c r="C392" i="5"/>
  <c r="BJ392" i="5"/>
  <c r="BK392" i="5" s="1"/>
  <c r="AE392" i="5"/>
  <c r="AF392" i="5" s="1"/>
  <c r="P393" i="5"/>
  <c r="P412" i="5"/>
  <c r="S412" i="5"/>
  <c r="P455" i="5"/>
  <c r="S455" i="5"/>
  <c r="P459" i="5"/>
  <c r="S459" i="5"/>
  <c r="BV230" i="5"/>
  <c r="BS250" i="5"/>
  <c r="BS272" i="5"/>
  <c r="P429" i="5"/>
  <c r="S429" i="5"/>
  <c r="P476" i="5"/>
  <c r="S476" i="5"/>
  <c r="BV194" i="5"/>
  <c r="BV200" i="5"/>
  <c r="BS204" i="5"/>
  <c r="BS210" i="5"/>
  <c r="BS216" i="5"/>
  <c r="BV217" i="5"/>
  <c r="BS228" i="5"/>
  <c r="BS231" i="5"/>
  <c r="BV254" i="5"/>
  <c r="BS260" i="5"/>
  <c r="BS265" i="5"/>
  <c r="BV275" i="5"/>
  <c r="S392" i="5"/>
  <c r="P392" i="5"/>
  <c r="P422" i="5"/>
  <c r="S422" i="5"/>
  <c r="P439" i="5"/>
  <c r="S439" i="5"/>
  <c r="BP220" i="5"/>
  <c r="BS220" i="5" s="1"/>
  <c r="BS232" i="5"/>
  <c r="BS238" i="5"/>
  <c r="BP256" i="5"/>
  <c r="BS256" i="5" s="1"/>
  <c r="BV261" i="5"/>
  <c r="BS261" i="5"/>
  <c r="BP269" i="5"/>
  <c r="BS269" i="5" s="1"/>
  <c r="BS291" i="5"/>
  <c r="BV291" i="5"/>
  <c r="S396" i="5"/>
  <c r="P396" i="5"/>
  <c r="P398" i="5"/>
  <c r="S398" i="5"/>
  <c r="S403" i="5"/>
  <c r="P403" i="5"/>
  <c r="S431" i="5"/>
  <c r="P431" i="5"/>
  <c r="P441" i="5"/>
  <c r="S441" i="5"/>
  <c r="P471" i="5"/>
  <c r="S471" i="5"/>
  <c r="BS209" i="5"/>
  <c r="BS215" i="5"/>
  <c r="BS281" i="5"/>
  <c r="BV289" i="5"/>
  <c r="P405" i="5"/>
  <c r="S405" i="5"/>
  <c r="BP244" i="5"/>
  <c r="BS244" i="5" s="1"/>
  <c r="BV249" i="5"/>
  <c r="BS249" i="5"/>
  <c r="BP278" i="5"/>
  <c r="BS278" i="5" s="1"/>
  <c r="BS279" i="5"/>
  <c r="BV279" i="5"/>
  <c r="S389" i="5"/>
  <c r="S415" i="5"/>
  <c r="P415" i="5"/>
  <c r="S416" i="5"/>
  <c r="P416" i="5"/>
  <c r="S443" i="5"/>
  <c r="P443" i="5"/>
  <c r="S451" i="5"/>
  <c r="P451" i="5"/>
  <c r="S461" i="5"/>
  <c r="P461" i="5"/>
  <c r="BV277" i="5"/>
  <c r="S390" i="5"/>
  <c r="P390" i="5"/>
  <c r="K415" i="5"/>
  <c r="S414" i="5"/>
  <c r="K418" i="5"/>
  <c r="P414" i="5"/>
  <c r="K419" i="5"/>
  <c r="K414" i="5"/>
  <c r="K417" i="5"/>
  <c r="K416" i="5"/>
  <c r="BV218" i="5"/>
  <c r="BV233" i="5"/>
  <c r="BV237" i="5"/>
  <c r="BS237" i="5"/>
  <c r="BV260" i="5"/>
  <c r="BS267" i="5"/>
  <c r="BV267" i="5"/>
  <c r="BS271" i="5"/>
  <c r="BJ386" i="5"/>
  <c r="BK386" i="5" s="1"/>
  <c r="C386" i="5"/>
  <c r="G386" i="5"/>
  <c r="H386" i="5" s="1"/>
  <c r="J386" i="5" s="1"/>
  <c r="S387" i="5"/>
  <c r="P387" i="5"/>
  <c r="S388" i="5"/>
  <c r="P388" i="5"/>
  <c r="S407" i="5"/>
  <c r="P407" i="5"/>
  <c r="P409" i="5"/>
  <c r="S409" i="5"/>
  <c r="P417" i="5"/>
  <c r="S417" i="5"/>
  <c r="S432" i="5"/>
  <c r="P432" i="5"/>
  <c r="BS266" i="5"/>
  <c r="S448" i="5"/>
  <c r="P448" i="5"/>
  <c r="S453" i="5"/>
  <c r="P453" i="5"/>
  <c r="S473" i="5"/>
  <c r="P473" i="5"/>
  <c r="P486" i="5"/>
  <c r="S486" i="5"/>
  <c r="G394" i="5"/>
  <c r="H394" i="5" s="1"/>
  <c r="J394" i="5" s="1"/>
  <c r="BJ394" i="5"/>
  <c r="BK394" i="5" s="1"/>
  <c r="C394" i="5"/>
  <c r="P400" i="5"/>
  <c r="S400" i="5"/>
  <c r="S418" i="5"/>
  <c r="P418" i="5"/>
  <c r="S419" i="5"/>
  <c r="P419" i="5"/>
  <c r="P427" i="5"/>
  <c r="S427" i="5"/>
  <c r="P434" i="5"/>
  <c r="S434" i="5"/>
  <c r="BV255" i="5"/>
  <c r="BS255" i="5"/>
  <c r="BS285" i="5"/>
  <c r="BV285" i="5"/>
  <c r="S385" i="5"/>
  <c r="P385" i="5"/>
  <c r="P410" i="5"/>
  <c r="S410" i="5"/>
  <c r="S445" i="5"/>
  <c r="P445" i="5"/>
  <c r="K445" i="5"/>
  <c r="K446" i="5"/>
  <c r="P446" i="5"/>
  <c r="S446" i="5"/>
  <c r="S458" i="5"/>
  <c r="P458" i="5"/>
  <c r="BS226" i="5"/>
  <c r="BV236" i="5"/>
  <c r="BS242" i="5"/>
  <c r="BV283" i="5"/>
  <c r="S402" i="5"/>
  <c r="P402" i="5"/>
  <c r="S436" i="5"/>
  <c r="P436" i="5"/>
  <c r="P438" i="5"/>
  <c r="S438" i="5"/>
  <c r="C399" i="5"/>
  <c r="G401" i="5"/>
  <c r="H401" i="5" s="1"/>
  <c r="J401" i="5" s="1"/>
  <c r="AE401" i="5"/>
  <c r="AF401" i="5" s="1"/>
  <c r="C413" i="5"/>
  <c r="P423" i="5"/>
  <c r="P425" i="5"/>
  <c r="C428" i="5"/>
  <c r="G430" i="5"/>
  <c r="H430" i="5" s="1"/>
  <c r="J430" i="5" s="1"/>
  <c r="AE430" i="5"/>
  <c r="AF430" i="5" s="1"/>
  <c r="C442" i="5"/>
  <c r="G444" i="5"/>
  <c r="H444" i="5" s="1"/>
  <c r="J444" i="5" s="1"/>
  <c r="AE445" i="5"/>
  <c r="AF445" i="5" s="1"/>
  <c r="C450" i="5"/>
  <c r="BJ450" i="5"/>
  <c r="BK450" i="5" s="1"/>
  <c r="S532" i="5"/>
  <c r="P532" i="5"/>
  <c r="P534" i="5"/>
  <c r="S534" i="5"/>
  <c r="BJ391" i="5"/>
  <c r="BK391" i="5" s="1"/>
  <c r="AE395" i="5"/>
  <c r="AF395" i="5" s="1"/>
  <c r="C395" i="5"/>
  <c r="BJ404" i="5"/>
  <c r="BK404" i="5" s="1"/>
  <c r="AE410" i="5"/>
  <c r="AF410" i="5" s="1"/>
  <c r="BJ410" i="5"/>
  <c r="BK410" i="5" s="1"/>
  <c r="AE416" i="5"/>
  <c r="AF416" i="5" s="1"/>
  <c r="BJ420" i="5"/>
  <c r="BK420" i="5" s="1"/>
  <c r="AE424" i="5"/>
  <c r="AF424" i="5" s="1"/>
  <c r="C424" i="5"/>
  <c r="BJ433" i="5"/>
  <c r="BK433" i="5" s="1"/>
  <c r="AE439" i="5"/>
  <c r="AF439" i="5" s="1"/>
  <c r="BJ439" i="5"/>
  <c r="BK439" i="5" s="1"/>
  <c r="P467" i="5"/>
  <c r="S468" i="5"/>
  <c r="P468" i="5"/>
  <c r="S485" i="5"/>
  <c r="P485" i="5"/>
  <c r="S505" i="5"/>
  <c r="P505" i="5"/>
  <c r="S520" i="5"/>
  <c r="P520" i="5"/>
  <c r="C388" i="5"/>
  <c r="AE388" i="5"/>
  <c r="AF388" i="5" s="1"/>
  <c r="P406" i="5"/>
  <c r="C410" i="5"/>
  <c r="C411" i="5"/>
  <c r="P435" i="5"/>
  <c r="C439" i="5"/>
  <c r="C440" i="5"/>
  <c r="G482" i="5"/>
  <c r="H482" i="5" s="1"/>
  <c r="J482" i="5" s="1"/>
  <c r="AE482" i="5"/>
  <c r="AF482" i="5" s="1"/>
  <c r="C482" i="5"/>
  <c r="BJ482" i="5"/>
  <c r="BK482" i="5" s="1"/>
  <c r="P483" i="5"/>
  <c r="S483" i="5"/>
  <c r="S527" i="5"/>
  <c r="P527" i="5"/>
  <c r="S535" i="5"/>
  <c r="P535" i="5"/>
  <c r="G395" i="5"/>
  <c r="H395" i="5" s="1"/>
  <c r="J395" i="5" s="1"/>
  <c r="C396" i="5"/>
  <c r="AE399" i="5"/>
  <c r="AF399" i="5" s="1"/>
  <c r="BJ403" i="5"/>
  <c r="BK403" i="5" s="1"/>
  <c r="AE407" i="5"/>
  <c r="AF407" i="5" s="1"/>
  <c r="C407" i="5"/>
  <c r="BJ416" i="5"/>
  <c r="BK416" i="5" s="1"/>
  <c r="G424" i="5"/>
  <c r="H424" i="5" s="1"/>
  <c r="J424" i="5" s="1"/>
  <c r="C425" i="5"/>
  <c r="S425" i="5"/>
  <c r="AE428" i="5"/>
  <c r="AF428" i="5" s="1"/>
  <c r="BJ432" i="5"/>
  <c r="BK432" i="5" s="1"/>
  <c r="AE436" i="5"/>
  <c r="AF436" i="5" s="1"/>
  <c r="C436" i="5"/>
  <c r="BJ445" i="5"/>
  <c r="BK445" i="5" s="1"/>
  <c r="G452" i="5"/>
  <c r="H452" i="5" s="1"/>
  <c r="J452" i="5" s="1"/>
  <c r="AE452" i="5"/>
  <c r="AF452" i="5" s="1"/>
  <c r="AE469" i="5"/>
  <c r="AF469" i="5" s="1"/>
  <c r="G469" i="5"/>
  <c r="H469" i="5" s="1"/>
  <c r="J469" i="5" s="1"/>
  <c r="C469" i="5"/>
  <c r="S474" i="5"/>
  <c r="P474" i="5"/>
  <c r="P488" i="5"/>
  <c r="S488" i="5"/>
  <c r="P495" i="5"/>
  <c r="S495" i="5"/>
  <c r="P507" i="5"/>
  <c r="S507" i="5"/>
  <c r="P538" i="5"/>
  <c r="K541" i="5"/>
  <c r="K539" i="5"/>
  <c r="S538" i="5"/>
  <c r="AE456" i="5"/>
  <c r="AF456" i="5" s="1"/>
  <c r="BJ456" i="5"/>
  <c r="BK456" i="5" s="1"/>
  <c r="S462" i="5"/>
  <c r="P462" i="5"/>
  <c r="BJ484" i="5"/>
  <c r="BK484" i="5" s="1"/>
  <c r="G484" i="5"/>
  <c r="H484" i="5" s="1"/>
  <c r="J484" i="5" s="1"/>
  <c r="C484" i="5"/>
  <c r="AE484" i="5"/>
  <c r="AF484" i="5" s="1"/>
  <c r="S487" i="5"/>
  <c r="P487" i="5"/>
  <c r="P522" i="5"/>
  <c r="S522" i="5"/>
  <c r="P397" i="5"/>
  <c r="S397" i="5"/>
  <c r="C408" i="5"/>
  <c r="C423" i="5"/>
  <c r="P426" i="5"/>
  <c r="S426" i="5"/>
  <c r="C437" i="5"/>
  <c r="BJ444" i="5"/>
  <c r="BK444" i="5" s="1"/>
  <c r="C447" i="5"/>
  <c r="S454" i="5"/>
  <c r="C456" i="5"/>
  <c r="C463" i="5"/>
  <c r="BJ463" i="5"/>
  <c r="BK463" i="5" s="1"/>
  <c r="AE463" i="5"/>
  <c r="AF463" i="5" s="1"/>
  <c r="G463" i="5"/>
  <c r="H463" i="5" s="1"/>
  <c r="J463" i="5" s="1"/>
  <c r="BJ464" i="5"/>
  <c r="BK464" i="5" s="1"/>
  <c r="C464" i="5"/>
  <c r="AE464" i="5"/>
  <c r="AF464" i="5" s="1"/>
  <c r="P544" i="5"/>
  <c r="S544" i="5"/>
  <c r="G421" i="5"/>
  <c r="H421" i="5" s="1"/>
  <c r="J421" i="5" s="1"/>
  <c r="AE423" i="5"/>
  <c r="AF423" i="5" s="1"/>
  <c r="C449" i="5"/>
  <c r="AE449" i="5"/>
  <c r="AF449" i="5" s="1"/>
  <c r="P477" i="5"/>
  <c r="S477" i="5"/>
  <c r="BJ479" i="5"/>
  <c r="BK479" i="5" s="1"/>
  <c r="C479" i="5"/>
  <c r="AE479" i="5"/>
  <c r="AF479" i="5" s="1"/>
  <c r="S529" i="5"/>
  <c r="P529" i="5"/>
  <c r="P539" i="5"/>
  <c r="S539" i="5"/>
  <c r="P566" i="5"/>
  <c r="S566" i="5"/>
  <c r="BJ387" i="5"/>
  <c r="BK387" i="5" s="1"/>
  <c r="C406" i="5"/>
  <c r="G408" i="5"/>
  <c r="H408" i="5" s="1"/>
  <c r="J408" i="5" s="1"/>
  <c r="BJ411" i="5"/>
  <c r="BK411" i="5" s="1"/>
  <c r="C435" i="5"/>
  <c r="G437" i="5"/>
  <c r="H437" i="5" s="1"/>
  <c r="J437" i="5" s="1"/>
  <c r="BJ440" i="5"/>
  <c r="BK440" i="5" s="1"/>
  <c r="G447" i="5"/>
  <c r="H447" i="5" s="1"/>
  <c r="J447" i="5" s="1"/>
  <c r="K466" i="5" s="1"/>
  <c r="AE447" i="5"/>
  <c r="AF447" i="5" s="1"/>
  <c r="G456" i="5"/>
  <c r="H456" i="5" s="1"/>
  <c r="J456" i="5" s="1"/>
  <c r="G464" i="5"/>
  <c r="H464" i="5" s="1"/>
  <c r="J464" i="5" s="1"/>
  <c r="S467" i="5"/>
  <c r="S530" i="5"/>
  <c r="P530" i="5"/>
  <c r="G404" i="5"/>
  <c r="H404" i="5" s="1"/>
  <c r="J404" i="5" s="1"/>
  <c r="AE406" i="5"/>
  <c r="AF406" i="5" s="1"/>
  <c r="AE408" i="5"/>
  <c r="AF408" i="5" s="1"/>
  <c r="P413" i="5"/>
  <c r="G420" i="5"/>
  <c r="H420" i="5" s="1"/>
  <c r="J420" i="5" s="1"/>
  <c r="AE421" i="5"/>
  <c r="AF421" i="5" s="1"/>
  <c r="BJ423" i="5"/>
  <c r="BK423" i="5" s="1"/>
  <c r="G433" i="5"/>
  <c r="H433" i="5" s="1"/>
  <c r="J433" i="5" s="1"/>
  <c r="AE435" i="5"/>
  <c r="AF435" i="5" s="1"/>
  <c r="AE437" i="5"/>
  <c r="AF437" i="5" s="1"/>
  <c r="P442" i="5"/>
  <c r="G449" i="5"/>
  <c r="H449" i="5" s="1"/>
  <c r="J449" i="5" s="1"/>
  <c r="AE453" i="5"/>
  <c r="AF453" i="5" s="1"/>
  <c r="C453" i="5"/>
  <c r="G479" i="5"/>
  <c r="H479" i="5" s="1"/>
  <c r="J479" i="5" s="1"/>
  <c r="BJ481" i="5"/>
  <c r="BK481" i="5" s="1"/>
  <c r="G481" i="5"/>
  <c r="H481" i="5" s="1"/>
  <c r="J481" i="5" s="1"/>
  <c r="C481" i="5"/>
  <c r="AE481" i="5"/>
  <c r="AF481" i="5" s="1"/>
  <c r="S490" i="5"/>
  <c r="P490" i="5"/>
  <c r="S511" i="5"/>
  <c r="P511" i="5"/>
  <c r="AE415" i="5"/>
  <c r="AF415" i="5" s="1"/>
  <c r="BJ415" i="5"/>
  <c r="BK415" i="5" s="1"/>
  <c r="S491" i="5"/>
  <c r="P491" i="5"/>
  <c r="S510" i="5"/>
  <c r="P510" i="5"/>
  <c r="P512" i="5"/>
  <c r="S512" i="5"/>
  <c r="AE404" i="5"/>
  <c r="AF404" i="5" s="1"/>
  <c r="BJ458" i="5"/>
  <c r="BK458" i="5" s="1"/>
  <c r="AE458" i="5"/>
  <c r="AF458" i="5" s="1"/>
  <c r="S465" i="5"/>
  <c r="P465" i="5"/>
  <c r="S470" i="5"/>
  <c r="P470" i="5"/>
  <c r="S493" i="5"/>
  <c r="P493" i="5"/>
  <c r="P500" i="5"/>
  <c r="S500" i="5"/>
  <c r="S514" i="5"/>
  <c r="P514" i="5"/>
  <c r="BJ395" i="5"/>
  <c r="BK395" i="5" s="1"/>
  <c r="AE398" i="5"/>
  <c r="AF398" i="5" s="1"/>
  <c r="BJ398" i="5"/>
  <c r="BK398" i="5" s="1"/>
  <c r="P411" i="5"/>
  <c r="BJ421" i="5"/>
  <c r="BK421" i="5" s="1"/>
  <c r="BJ424" i="5"/>
  <c r="BK424" i="5" s="1"/>
  <c r="AE427" i="5"/>
  <c r="AF427" i="5" s="1"/>
  <c r="BJ427" i="5"/>
  <c r="BK427" i="5" s="1"/>
  <c r="P440" i="5"/>
  <c r="BJ449" i="5"/>
  <c r="BK449" i="5" s="1"/>
  <c r="AE457" i="5"/>
  <c r="AF457" i="5" s="1"/>
  <c r="G457" i="5"/>
  <c r="H457" i="5" s="1"/>
  <c r="J457" i="5" s="1"/>
  <c r="BJ457" i="5"/>
  <c r="BK457" i="5" s="1"/>
  <c r="C458" i="5"/>
  <c r="BJ467" i="5"/>
  <c r="BK467" i="5" s="1"/>
  <c r="C467" i="5"/>
  <c r="AE467" i="5"/>
  <c r="AF467" i="5" s="1"/>
  <c r="S526" i="5"/>
  <c r="P526" i="5"/>
  <c r="P541" i="5"/>
  <c r="S541" i="5"/>
  <c r="AE400" i="5"/>
  <c r="AF400" i="5" s="1"/>
  <c r="AE412" i="5"/>
  <c r="AF412" i="5" s="1"/>
  <c r="AE417" i="5"/>
  <c r="AF417" i="5" s="1"/>
  <c r="AE429" i="5"/>
  <c r="AF429" i="5" s="1"/>
  <c r="AE441" i="5"/>
  <c r="AF441" i="5" s="1"/>
  <c r="AE446" i="5"/>
  <c r="AF446" i="5" s="1"/>
  <c r="G460" i="5"/>
  <c r="H460" i="5" s="1"/>
  <c r="J460" i="5" s="1"/>
  <c r="AE470" i="5"/>
  <c r="AF470" i="5" s="1"/>
  <c r="G472" i="5"/>
  <c r="H472" i="5" s="1"/>
  <c r="J472" i="5" s="1"/>
  <c r="G475" i="5"/>
  <c r="H475" i="5" s="1"/>
  <c r="J475" i="5" s="1"/>
  <c r="BJ477" i="5"/>
  <c r="BK477" i="5" s="1"/>
  <c r="C483" i="5"/>
  <c r="AE483" i="5"/>
  <c r="AF483" i="5" s="1"/>
  <c r="C486" i="5"/>
  <c r="AE491" i="5"/>
  <c r="AF491" i="5" s="1"/>
  <c r="AE494" i="5"/>
  <c r="AF494" i="5" s="1"/>
  <c r="G496" i="5"/>
  <c r="H496" i="5" s="1"/>
  <c r="J496" i="5" s="1"/>
  <c r="AE496" i="5"/>
  <c r="AF496" i="5" s="1"/>
  <c r="P506" i="5"/>
  <c r="AE507" i="5"/>
  <c r="AF507" i="5" s="1"/>
  <c r="C507" i="5"/>
  <c r="G513" i="5"/>
  <c r="H513" i="5" s="1"/>
  <c r="J513" i="5" s="1"/>
  <c r="K517" i="5" s="1"/>
  <c r="C518" i="5"/>
  <c r="AE532" i="5"/>
  <c r="AF532" i="5" s="1"/>
  <c r="BJ532" i="5"/>
  <c r="BK532" i="5" s="1"/>
  <c r="C532" i="5"/>
  <c r="G549" i="5"/>
  <c r="H549" i="5" s="1"/>
  <c r="J549" i="5" s="1"/>
  <c r="P550" i="5"/>
  <c r="P571" i="5"/>
  <c r="S571" i="5"/>
  <c r="P576" i="5"/>
  <c r="S576" i="5"/>
  <c r="S489" i="5"/>
  <c r="S497" i="5"/>
  <c r="P497" i="5"/>
  <c r="AE513" i="5"/>
  <c r="AF513" i="5" s="1"/>
  <c r="K538" i="5"/>
  <c r="C543" i="5"/>
  <c r="G543" i="5"/>
  <c r="H543" i="5" s="1"/>
  <c r="J543" i="5" s="1"/>
  <c r="K550" i="5" s="1"/>
  <c r="AE543" i="5"/>
  <c r="AF543" i="5" s="1"/>
  <c r="C556" i="5"/>
  <c r="AE556" i="5"/>
  <c r="AF556" i="5" s="1"/>
  <c r="G556" i="5"/>
  <c r="H556" i="5" s="1"/>
  <c r="J556" i="5" s="1"/>
  <c r="AE562" i="5"/>
  <c r="AF562" i="5" s="1"/>
  <c r="G562" i="5"/>
  <c r="H562" i="5" s="1"/>
  <c r="J562" i="5" s="1"/>
  <c r="BJ562" i="5"/>
  <c r="BK562" i="5" s="1"/>
  <c r="P563" i="5"/>
  <c r="S563" i="5"/>
  <c r="S597" i="5"/>
  <c r="P597" i="5"/>
  <c r="BJ465" i="5"/>
  <c r="BK465" i="5" s="1"/>
  <c r="BJ480" i="5"/>
  <c r="BK480" i="5" s="1"/>
  <c r="BJ499" i="5"/>
  <c r="BK499" i="5" s="1"/>
  <c r="AE505" i="5"/>
  <c r="AF505" i="5" s="1"/>
  <c r="BJ505" i="5"/>
  <c r="BK505" i="5" s="1"/>
  <c r="C508" i="5"/>
  <c r="S508" i="5"/>
  <c r="AE511" i="5"/>
  <c r="AF511" i="5" s="1"/>
  <c r="G516" i="5"/>
  <c r="H516" i="5" s="1"/>
  <c r="J516" i="5" s="1"/>
  <c r="AE516" i="5"/>
  <c r="AF516" i="5" s="1"/>
  <c r="S537" i="5"/>
  <c r="P542" i="5"/>
  <c r="S542" i="5"/>
  <c r="BJ543" i="5"/>
  <c r="BK543" i="5" s="1"/>
  <c r="C562" i="5"/>
  <c r="K625" i="5"/>
  <c r="P598" i="5"/>
  <c r="K600" i="5"/>
  <c r="K615" i="5"/>
  <c r="S598" i="5"/>
  <c r="K598" i="5"/>
  <c r="AE460" i="5"/>
  <c r="AF460" i="5" s="1"/>
  <c r="C465" i="5"/>
  <c r="AE472" i="5"/>
  <c r="AF472" i="5" s="1"/>
  <c r="G480" i="5"/>
  <c r="H480" i="5" s="1"/>
  <c r="J480" i="5" s="1"/>
  <c r="BJ483" i="5"/>
  <c r="BK483" i="5" s="1"/>
  <c r="AE487" i="5"/>
  <c r="AF487" i="5" s="1"/>
  <c r="G492" i="5"/>
  <c r="H492" i="5" s="1"/>
  <c r="J492" i="5" s="1"/>
  <c r="P501" i="5"/>
  <c r="C505" i="5"/>
  <c r="C506" i="5"/>
  <c r="K511" i="5"/>
  <c r="K512" i="5"/>
  <c r="C516" i="5"/>
  <c r="BJ521" i="5"/>
  <c r="BK521" i="5" s="1"/>
  <c r="G521" i="5"/>
  <c r="H521" i="5" s="1"/>
  <c r="J521" i="5" s="1"/>
  <c r="C528" i="5"/>
  <c r="BJ530" i="5"/>
  <c r="BK530" i="5" s="1"/>
  <c r="C530" i="5"/>
  <c r="C537" i="5"/>
  <c r="AE475" i="5"/>
  <c r="AF475" i="5" s="1"/>
  <c r="AE478" i="5"/>
  <c r="AF478" i="5" s="1"/>
  <c r="BJ494" i="5"/>
  <c r="BK494" i="5" s="1"/>
  <c r="BJ498" i="5"/>
  <c r="BK498" i="5" s="1"/>
  <c r="AE502" i="5"/>
  <c r="AF502" i="5" s="1"/>
  <c r="C502" i="5"/>
  <c r="P509" i="5"/>
  <c r="S509" i="5"/>
  <c r="BJ511" i="5"/>
  <c r="BK511" i="5" s="1"/>
  <c r="K527" i="5"/>
  <c r="P540" i="5"/>
  <c r="K542" i="5"/>
  <c r="S551" i="5"/>
  <c r="P560" i="5"/>
  <c r="S560" i="5"/>
  <c r="K576" i="5"/>
  <c r="S567" i="5"/>
  <c r="K569" i="5"/>
  <c r="K568" i="5"/>
  <c r="K567" i="5"/>
  <c r="P567" i="5"/>
  <c r="P573" i="5"/>
  <c r="S573" i="5"/>
  <c r="K532" i="5"/>
  <c r="K510" i="5"/>
  <c r="K513" i="5"/>
  <c r="S506" i="5"/>
  <c r="K509" i="5"/>
  <c r="BJ533" i="5"/>
  <c r="BK533" i="5" s="1"/>
  <c r="G533" i="5"/>
  <c r="H533" i="5" s="1"/>
  <c r="J533" i="5" s="1"/>
  <c r="K540" i="5"/>
  <c r="K556" i="5"/>
  <c r="K552" i="5"/>
  <c r="K553" i="5"/>
  <c r="K551" i="5"/>
  <c r="K560" i="5"/>
  <c r="K555" i="5"/>
  <c r="K554" i="5"/>
  <c r="P547" i="5"/>
  <c r="S548" i="5"/>
  <c r="P548" i="5"/>
  <c r="P557" i="5"/>
  <c r="S569" i="5"/>
  <c r="P569" i="5"/>
  <c r="C491" i="5"/>
  <c r="AE492" i="5"/>
  <c r="AF492" i="5" s="1"/>
  <c r="G502" i="5"/>
  <c r="H502" i="5" s="1"/>
  <c r="J502" i="5" s="1"/>
  <c r="C503" i="5"/>
  <c r="K507" i="5"/>
  <c r="C533" i="5"/>
  <c r="BJ556" i="5"/>
  <c r="BK556" i="5" s="1"/>
  <c r="K506" i="5"/>
  <c r="K508" i="5"/>
  <c r="C517" i="5"/>
  <c r="AE517" i="5"/>
  <c r="AF517" i="5" s="1"/>
  <c r="G517" i="5"/>
  <c r="H517" i="5" s="1"/>
  <c r="J517" i="5" s="1"/>
  <c r="AE533" i="5"/>
  <c r="AF533" i="5" s="1"/>
  <c r="K537" i="5"/>
  <c r="C553" i="5"/>
  <c r="AE553" i="5"/>
  <c r="AF553" i="5" s="1"/>
  <c r="BJ553" i="5"/>
  <c r="BK553" i="5" s="1"/>
  <c r="G503" i="5"/>
  <c r="H503" i="5" s="1"/>
  <c r="J503" i="5" s="1"/>
  <c r="P504" i="5"/>
  <c r="S504" i="5"/>
  <c r="S519" i="5"/>
  <c r="P519" i="5"/>
  <c r="S523" i="5"/>
  <c r="P523" i="5"/>
  <c r="BJ524" i="5"/>
  <c r="BK524" i="5" s="1"/>
  <c r="G524" i="5"/>
  <c r="H524" i="5" s="1"/>
  <c r="J524" i="5" s="1"/>
  <c r="S581" i="5"/>
  <c r="P581" i="5"/>
  <c r="S588" i="5"/>
  <c r="P588" i="5"/>
  <c r="P595" i="5"/>
  <c r="S595" i="5"/>
  <c r="C466" i="5"/>
  <c r="AE466" i="5"/>
  <c r="AF466" i="5" s="1"/>
  <c r="BJ487" i="5"/>
  <c r="BK487" i="5" s="1"/>
  <c r="C498" i="5"/>
  <c r="G499" i="5"/>
  <c r="H499" i="5" s="1"/>
  <c r="J499" i="5" s="1"/>
  <c r="AE501" i="5"/>
  <c r="AF501" i="5" s="1"/>
  <c r="AE503" i="5"/>
  <c r="AF503" i="5" s="1"/>
  <c r="BJ515" i="5"/>
  <c r="BK515" i="5" s="1"/>
  <c r="G515" i="5"/>
  <c r="H515" i="5" s="1"/>
  <c r="J515" i="5" s="1"/>
  <c r="K519" i="5" s="1"/>
  <c r="C524" i="5"/>
  <c r="K545" i="5"/>
  <c r="G553" i="5"/>
  <c r="H553" i="5" s="1"/>
  <c r="J553" i="5" s="1"/>
  <c r="S564" i="5"/>
  <c r="P564" i="5"/>
  <c r="S565" i="5"/>
  <c r="P565" i="5"/>
  <c r="G478" i="5"/>
  <c r="H478" i="5" s="1"/>
  <c r="J478" i="5" s="1"/>
  <c r="AE510" i="5"/>
  <c r="AF510" i="5" s="1"/>
  <c r="BJ510" i="5"/>
  <c r="BK510" i="5" s="1"/>
  <c r="K514" i="5"/>
  <c r="AE520" i="5"/>
  <c r="AF520" i="5" s="1"/>
  <c r="BJ520" i="5"/>
  <c r="BK520" i="5" s="1"/>
  <c r="C520" i="5"/>
  <c r="S531" i="5"/>
  <c r="P531" i="5"/>
  <c r="BJ536" i="5"/>
  <c r="BK536" i="5" s="1"/>
  <c r="G536" i="5"/>
  <c r="H536" i="5" s="1"/>
  <c r="J536" i="5" s="1"/>
  <c r="S547" i="5"/>
  <c r="AE549" i="5"/>
  <c r="AF549" i="5" s="1"/>
  <c r="S557" i="5"/>
  <c r="K565" i="5"/>
  <c r="G466" i="5"/>
  <c r="H466" i="5" s="1"/>
  <c r="J466" i="5" s="1"/>
  <c r="BJ475" i="5"/>
  <c r="BK475" i="5" s="1"/>
  <c r="BJ492" i="5"/>
  <c r="BK492" i="5" s="1"/>
  <c r="G498" i="5"/>
  <c r="H498" i="5" s="1"/>
  <c r="J498" i="5" s="1"/>
  <c r="AE499" i="5"/>
  <c r="AF499" i="5" s="1"/>
  <c r="BJ501" i="5"/>
  <c r="BK501" i="5" s="1"/>
  <c r="C510" i="5"/>
  <c r="C511" i="5"/>
  <c r="AE515" i="5"/>
  <c r="AF515" i="5" s="1"/>
  <c r="BJ518" i="5"/>
  <c r="BK518" i="5" s="1"/>
  <c r="G518" i="5"/>
  <c r="H518" i="5" s="1"/>
  <c r="J518" i="5" s="1"/>
  <c r="AE524" i="5"/>
  <c r="AF524" i="5" s="1"/>
  <c r="BJ527" i="5"/>
  <c r="BK527" i="5" s="1"/>
  <c r="C527" i="5"/>
  <c r="P528" i="5"/>
  <c r="C536" i="5"/>
  <c r="P537" i="5"/>
  <c r="S546" i="5"/>
  <c r="K564" i="5"/>
  <c r="K566" i="5"/>
  <c r="AE495" i="5"/>
  <c r="AF495" i="5" s="1"/>
  <c r="AE512" i="5"/>
  <c r="AF512" i="5" s="1"/>
  <c r="BJ545" i="5"/>
  <c r="BK545" i="5" s="1"/>
  <c r="G559" i="5"/>
  <c r="H559" i="5" s="1"/>
  <c r="J559" i="5" s="1"/>
  <c r="C564" i="5"/>
  <c r="C565" i="5"/>
  <c r="AE565" i="5"/>
  <c r="AF565" i="5" s="1"/>
  <c r="BJ581" i="5"/>
  <c r="BK581" i="5" s="1"/>
  <c r="P590" i="5"/>
  <c r="S590" i="5"/>
  <c r="P616" i="5"/>
  <c r="S616" i="5"/>
  <c r="P633" i="5"/>
  <c r="S633" i="5"/>
  <c r="S568" i="5"/>
  <c r="S601" i="5"/>
  <c r="P601" i="5"/>
  <c r="S621" i="5"/>
  <c r="P621" i="5"/>
  <c r="BJ523" i="5"/>
  <c r="BK523" i="5" s="1"/>
  <c r="C529" i="5"/>
  <c r="AE529" i="5"/>
  <c r="AF529" i="5" s="1"/>
  <c r="BJ535" i="5"/>
  <c r="BK535" i="5" s="1"/>
  <c r="BJ514" i="5"/>
  <c r="BK514" i="5" s="1"/>
  <c r="C541" i="5"/>
  <c r="S558" i="5"/>
  <c r="P558" i="5"/>
  <c r="C567" i="5"/>
  <c r="C569" i="5"/>
  <c r="C570" i="5"/>
  <c r="G570" i="5"/>
  <c r="H570" i="5" s="1"/>
  <c r="J570" i="5" s="1"/>
  <c r="K588" i="5" s="1"/>
  <c r="C571" i="5"/>
  <c r="S587" i="5"/>
  <c r="P587" i="5"/>
  <c r="S635" i="5"/>
  <c r="P635" i="5"/>
  <c r="BJ574" i="5"/>
  <c r="BK574" i="5" s="1"/>
  <c r="G574" i="5"/>
  <c r="H574" i="5" s="1"/>
  <c r="J574" i="5" s="1"/>
  <c r="AE574" i="5"/>
  <c r="AF574" i="5" s="1"/>
  <c r="S575" i="5"/>
  <c r="P575" i="5"/>
  <c r="BJ580" i="5"/>
  <c r="BK580" i="5" s="1"/>
  <c r="G580" i="5"/>
  <c r="H580" i="5" s="1"/>
  <c r="J580" i="5" s="1"/>
  <c r="C580" i="5"/>
  <c r="S591" i="5"/>
  <c r="P591" i="5"/>
  <c r="C599" i="5"/>
  <c r="AE599" i="5"/>
  <c r="AF599" i="5" s="1"/>
  <c r="G599" i="5"/>
  <c r="H599" i="5" s="1"/>
  <c r="J599" i="5" s="1"/>
  <c r="K609" i="5" s="1"/>
  <c r="BJ599" i="5"/>
  <c r="BK599" i="5" s="1"/>
  <c r="G577" i="5"/>
  <c r="H577" i="5" s="1"/>
  <c r="J577" i="5" s="1"/>
  <c r="C577" i="5"/>
  <c r="AE577" i="5"/>
  <c r="AF577" i="5" s="1"/>
  <c r="S582" i="5"/>
  <c r="P582" i="5"/>
  <c r="P600" i="5"/>
  <c r="S600" i="5"/>
  <c r="P603" i="5"/>
  <c r="S603" i="5"/>
  <c r="P611" i="5"/>
  <c r="S611" i="5"/>
  <c r="BJ577" i="5"/>
  <c r="BK577" i="5" s="1"/>
  <c r="C602" i="5"/>
  <c r="AE602" i="5"/>
  <c r="AF602" i="5" s="1"/>
  <c r="BJ602" i="5"/>
  <c r="BK602" i="5" s="1"/>
  <c r="G602" i="5"/>
  <c r="H602" i="5" s="1"/>
  <c r="J602" i="5" s="1"/>
  <c r="S614" i="5"/>
  <c r="P614" i="5"/>
  <c r="C546" i="5"/>
  <c r="AE546" i="5"/>
  <c r="AF546" i="5" s="1"/>
  <c r="G584" i="5"/>
  <c r="H584" i="5" s="1"/>
  <c r="J584" i="5" s="1"/>
  <c r="C584" i="5"/>
  <c r="AE584" i="5"/>
  <c r="AF584" i="5" s="1"/>
  <c r="AE588" i="5"/>
  <c r="AF588" i="5" s="1"/>
  <c r="BJ588" i="5"/>
  <c r="BK588" i="5" s="1"/>
  <c r="C588" i="5"/>
  <c r="S618" i="5"/>
  <c r="P618" i="5"/>
  <c r="P620" i="5"/>
  <c r="S620" i="5"/>
  <c r="S645" i="5"/>
  <c r="P645" i="5"/>
  <c r="BJ559" i="5"/>
  <c r="BK559" i="5" s="1"/>
  <c r="S594" i="5"/>
  <c r="P594" i="5"/>
  <c r="P607" i="5"/>
  <c r="S607" i="5"/>
  <c r="BJ612" i="5"/>
  <c r="BK612" i="5" s="1"/>
  <c r="AE612" i="5"/>
  <c r="AF612" i="5" s="1"/>
  <c r="G612" i="5"/>
  <c r="H612" i="5" s="1"/>
  <c r="J612" i="5" s="1"/>
  <c r="C612" i="5"/>
  <c r="S619" i="5"/>
  <c r="P619" i="5"/>
  <c r="S593" i="5"/>
  <c r="BJ546" i="5"/>
  <c r="BK546" i="5" s="1"/>
  <c r="C559" i="5"/>
  <c r="AE581" i="5"/>
  <c r="AF581" i="5" s="1"/>
  <c r="BJ551" i="5"/>
  <c r="BK551" i="5" s="1"/>
  <c r="BJ566" i="5"/>
  <c r="BK566" i="5" s="1"/>
  <c r="AE566" i="5"/>
  <c r="AF566" i="5" s="1"/>
  <c r="P568" i="5"/>
  <c r="BJ569" i="5"/>
  <c r="BK569" i="5" s="1"/>
  <c r="G572" i="5"/>
  <c r="H572" i="5" s="1"/>
  <c r="J572" i="5" s="1"/>
  <c r="AE572" i="5"/>
  <c r="AF572" i="5" s="1"/>
  <c r="S579" i="5"/>
  <c r="C585" i="5"/>
  <c r="AE585" i="5"/>
  <c r="AF585" i="5" s="1"/>
  <c r="G585" i="5"/>
  <c r="H585" i="5" s="1"/>
  <c r="J585" i="5" s="1"/>
  <c r="BJ555" i="5"/>
  <c r="BK555" i="5" s="1"/>
  <c r="C573" i="5"/>
  <c r="AE573" i="5"/>
  <c r="AF573" i="5" s="1"/>
  <c r="G583" i="5"/>
  <c r="H583" i="5" s="1"/>
  <c r="J583" i="5" s="1"/>
  <c r="G586" i="5"/>
  <c r="H586" i="5" s="1"/>
  <c r="J586" i="5" s="1"/>
  <c r="G589" i="5"/>
  <c r="H589" i="5" s="1"/>
  <c r="J589" i="5" s="1"/>
  <c r="G592" i="5"/>
  <c r="H592" i="5" s="1"/>
  <c r="J592" i="5" s="1"/>
  <c r="G606" i="5"/>
  <c r="H606" i="5" s="1"/>
  <c r="J606" i="5" s="1"/>
  <c r="G613" i="5"/>
  <c r="H613" i="5" s="1"/>
  <c r="J613" i="5" s="1"/>
  <c r="AE613" i="5"/>
  <c r="AF613" i="5" s="1"/>
  <c r="BJ634" i="5"/>
  <c r="BK634" i="5" s="1"/>
  <c r="S638" i="5"/>
  <c r="S610" i="5"/>
  <c r="S630" i="5"/>
  <c r="P630" i="5"/>
  <c r="AE641" i="5"/>
  <c r="AF641" i="5" s="1"/>
  <c r="P644" i="5"/>
  <c r="P656" i="5"/>
  <c r="S656" i="5"/>
  <c r="P673" i="5"/>
  <c r="S673" i="5"/>
  <c r="BJ591" i="5"/>
  <c r="BK591" i="5" s="1"/>
  <c r="C597" i="5"/>
  <c r="AE597" i="5"/>
  <c r="AF597" i="5" s="1"/>
  <c r="S604" i="5"/>
  <c r="P604" i="5"/>
  <c r="P623" i="5"/>
  <c r="AE626" i="5"/>
  <c r="AF626" i="5" s="1"/>
  <c r="BJ626" i="5"/>
  <c r="BK626" i="5" s="1"/>
  <c r="G626" i="5"/>
  <c r="H626" i="5" s="1"/>
  <c r="J626" i="5" s="1"/>
  <c r="P651" i="5"/>
  <c r="S651" i="5"/>
  <c r="S667" i="5"/>
  <c r="P667" i="5"/>
  <c r="AE701" i="5"/>
  <c r="AF701" i="5" s="1"/>
  <c r="G701" i="5"/>
  <c r="H701" i="5" s="1"/>
  <c r="J701" i="5" s="1"/>
  <c r="BJ701" i="5"/>
  <c r="BK701" i="5" s="1"/>
  <c r="BJ573" i="5"/>
  <c r="BK573" i="5" s="1"/>
  <c r="BJ582" i="5"/>
  <c r="BK582" i="5" s="1"/>
  <c r="C591" i="5"/>
  <c r="AE601" i="5"/>
  <c r="AF601" i="5" s="1"/>
  <c r="BJ610" i="5"/>
  <c r="BK610" i="5" s="1"/>
  <c r="C626" i="5"/>
  <c r="P628" i="5"/>
  <c r="K637" i="5"/>
  <c r="K628" i="5"/>
  <c r="C636" i="5"/>
  <c r="BJ636" i="5"/>
  <c r="BK636" i="5" s="1"/>
  <c r="AE636" i="5"/>
  <c r="AF636" i="5" s="1"/>
  <c r="G636" i="5"/>
  <c r="H636" i="5" s="1"/>
  <c r="J636" i="5" s="1"/>
  <c r="G640" i="5"/>
  <c r="H640" i="5" s="1"/>
  <c r="J640" i="5" s="1"/>
  <c r="AE640" i="5"/>
  <c r="AF640" i="5" s="1"/>
  <c r="C640" i="5"/>
  <c r="G641" i="5"/>
  <c r="H641" i="5" s="1"/>
  <c r="J641" i="5" s="1"/>
  <c r="P661" i="5"/>
  <c r="S661" i="5"/>
  <c r="P632" i="5"/>
  <c r="AE634" i="5"/>
  <c r="AF634" i="5" s="1"/>
  <c r="P647" i="5"/>
  <c r="S647" i="5"/>
  <c r="AE631" i="5"/>
  <c r="AF631" i="5" s="1"/>
  <c r="BJ631" i="5"/>
  <c r="BK631" i="5" s="1"/>
  <c r="S634" i="5"/>
  <c r="P634" i="5"/>
  <c r="BJ629" i="5"/>
  <c r="BK629" i="5" s="1"/>
  <c r="AE629" i="5"/>
  <c r="AF629" i="5" s="1"/>
  <c r="G629" i="5"/>
  <c r="H629" i="5" s="1"/>
  <c r="J629" i="5" s="1"/>
  <c r="K634" i="5" s="1"/>
  <c r="C631" i="5"/>
  <c r="C634" i="5"/>
  <c r="P670" i="5"/>
  <c r="S670" i="5"/>
  <c r="T697" i="5"/>
  <c r="Q697" i="5"/>
  <c r="P736" i="5"/>
  <c r="S736" i="5"/>
  <c r="BJ596" i="5"/>
  <c r="BK596" i="5" s="1"/>
  <c r="G605" i="5"/>
  <c r="H605" i="5" s="1"/>
  <c r="J605" i="5" s="1"/>
  <c r="C615" i="5"/>
  <c r="BJ615" i="5"/>
  <c r="BK615" i="5" s="1"/>
  <c r="C627" i="5"/>
  <c r="BJ627" i="5"/>
  <c r="BK627" i="5" s="1"/>
  <c r="AE627" i="5"/>
  <c r="AF627" i="5" s="1"/>
  <c r="C629" i="5"/>
  <c r="G655" i="5"/>
  <c r="H655" i="5" s="1"/>
  <c r="J655" i="5" s="1"/>
  <c r="AE655" i="5"/>
  <c r="AF655" i="5" s="1"/>
  <c r="BJ655" i="5"/>
  <c r="BK655" i="5" s="1"/>
  <c r="P608" i="5"/>
  <c r="S608" i="5"/>
  <c r="P610" i="5"/>
  <c r="P624" i="5"/>
  <c r="S625" i="5"/>
  <c r="P625" i="5"/>
  <c r="G631" i="5"/>
  <c r="H631" i="5" s="1"/>
  <c r="J631" i="5" s="1"/>
  <c r="C655" i="5"/>
  <c r="BJ601" i="5"/>
  <c r="BK601" i="5" s="1"/>
  <c r="BJ606" i="5"/>
  <c r="BK606" i="5" s="1"/>
  <c r="G615" i="5"/>
  <c r="H615" i="5" s="1"/>
  <c r="J615" i="5" s="1"/>
  <c r="AE618" i="5"/>
  <c r="AF618" i="5" s="1"/>
  <c r="C618" i="5"/>
  <c r="BJ618" i="5"/>
  <c r="BK618" i="5" s="1"/>
  <c r="S623" i="5"/>
  <c r="G627" i="5"/>
  <c r="H627" i="5" s="1"/>
  <c r="J627" i="5" s="1"/>
  <c r="S632" i="5"/>
  <c r="P649" i="5"/>
  <c r="S649" i="5"/>
  <c r="BJ666" i="5"/>
  <c r="BK666" i="5" s="1"/>
  <c r="AE666" i="5"/>
  <c r="AF666" i="5" s="1"/>
  <c r="G666" i="5"/>
  <c r="H666" i="5" s="1"/>
  <c r="J666" i="5" s="1"/>
  <c r="P668" i="5"/>
  <c r="S668" i="5"/>
  <c r="P609" i="5"/>
  <c r="S683" i="5"/>
  <c r="P683" i="5"/>
  <c r="S685" i="5"/>
  <c r="P685" i="5"/>
  <c r="C595" i="5"/>
  <c r="C598" i="5"/>
  <c r="AE615" i="5"/>
  <c r="AF615" i="5" s="1"/>
  <c r="P648" i="5"/>
  <c r="S648" i="5"/>
  <c r="P653" i="5"/>
  <c r="S653" i="5"/>
  <c r="AE621" i="5"/>
  <c r="AF621" i="5" s="1"/>
  <c r="BJ621" i="5"/>
  <c r="BK621" i="5" s="1"/>
  <c r="C624" i="5"/>
  <c r="BJ632" i="5"/>
  <c r="BK632" i="5" s="1"/>
  <c r="G650" i="5"/>
  <c r="H650" i="5" s="1"/>
  <c r="J650" i="5" s="1"/>
  <c r="BJ650" i="5"/>
  <c r="BK650" i="5" s="1"/>
  <c r="BJ660" i="5"/>
  <c r="BK660" i="5" s="1"/>
  <c r="G660" i="5"/>
  <c r="H660" i="5" s="1"/>
  <c r="J660" i="5" s="1"/>
  <c r="K676" i="5" s="1"/>
  <c r="AE665" i="5"/>
  <c r="AF665" i="5" s="1"/>
  <c r="S704" i="5"/>
  <c r="P704" i="5"/>
  <c r="G639" i="5"/>
  <c r="H639" i="5" s="1"/>
  <c r="J639" i="5" s="1"/>
  <c r="S646" i="5"/>
  <c r="P646" i="5"/>
  <c r="G665" i="5"/>
  <c r="H665" i="5" s="1"/>
  <c r="J665" i="5" s="1"/>
  <c r="G675" i="5"/>
  <c r="H675" i="5" s="1"/>
  <c r="J675" i="5" s="1"/>
  <c r="BJ676" i="5"/>
  <c r="BK676" i="5" s="1"/>
  <c r="AE676" i="5"/>
  <c r="AF676" i="5" s="1"/>
  <c r="P692" i="5"/>
  <c r="BJ668" i="5"/>
  <c r="BK668" i="5" s="1"/>
  <c r="P684" i="5"/>
  <c r="S684" i="5"/>
  <c r="AE635" i="5"/>
  <c r="AF635" i="5" s="1"/>
  <c r="C635" i="5"/>
  <c r="C653" i="5"/>
  <c r="AE653" i="5"/>
  <c r="AF653" i="5" s="1"/>
  <c r="K660" i="5"/>
  <c r="G676" i="5"/>
  <c r="H676" i="5" s="1"/>
  <c r="J676" i="5" s="1"/>
  <c r="AE678" i="5"/>
  <c r="AF678" i="5" s="1"/>
  <c r="G678" i="5"/>
  <c r="H678" i="5" s="1"/>
  <c r="J678" i="5" s="1"/>
  <c r="P693" i="5"/>
  <c r="S693" i="5"/>
  <c r="P696" i="5"/>
  <c r="P698" i="5"/>
  <c r="S698" i="5"/>
  <c r="G718" i="5"/>
  <c r="H718" i="5" s="1"/>
  <c r="J718" i="5" s="1"/>
  <c r="AE718" i="5"/>
  <c r="AF718" i="5" s="1"/>
  <c r="BJ718" i="5"/>
  <c r="BK718" i="5" s="1"/>
  <c r="G643" i="5"/>
  <c r="H643" i="5" s="1"/>
  <c r="J643" i="5" s="1"/>
  <c r="AE643" i="5"/>
  <c r="AF643" i="5" s="1"/>
  <c r="K673" i="5"/>
  <c r="P659" i="5"/>
  <c r="K661" i="5"/>
  <c r="S663" i="5"/>
  <c r="P663" i="5"/>
  <c r="P672" i="5"/>
  <c r="S672" i="5"/>
  <c r="G677" i="5"/>
  <c r="H677" i="5" s="1"/>
  <c r="J677" i="5" s="1"/>
  <c r="AE677" i="5"/>
  <c r="AF677" i="5" s="1"/>
  <c r="BJ677" i="5"/>
  <c r="BK677" i="5" s="1"/>
  <c r="P690" i="5"/>
  <c r="K711" i="5"/>
  <c r="K713" i="5"/>
  <c r="K691" i="5"/>
  <c r="K692" i="5"/>
  <c r="K695" i="5"/>
  <c r="K694" i="5"/>
  <c r="S690" i="5"/>
  <c r="K698" i="5"/>
  <c r="K690" i="5"/>
  <c r="K705" i="5"/>
  <c r="K696" i="5"/>
  <c r="P691" i="5"/>
  <c r="P694" i="5"/>
  <c r="S694" i="5"/>
  <c r="S695" i="5"/>
  <c r="P637" i="5"/>
  <c r="C643" i="5"/>
  <c r="K659" i="5"/>
  <c r="S679" i="5"/>
  <c r="G680" i="5"/>
  <c r="H680" i="5" s="1"/>
  <c r="J680" i="5" s="1"/>
  <c r="BJ680" i="5"/>
  <c r="BK680" i="5" s="1"/>
  <c r="AE680" i="5"/>
  <c r="AF680" i="5" s="1"/>
  <c r="S688" i="5"/>
  <c r="K693" i="5"/>
  <c r="P699" i="5"/>
  <c r="S699" i="5"/>
  <c r="BJ706" i="5"/>
  <c r="BK706" i="5" s="1"/>
  <c r="AE706" i="5"/>
  <c r="AF706" i="5" s="1"/>
  <c r="G706" i="5"/>
  <c r="H706" i="5" s="1"/>
  <c r="J706" i="5" s="1"/>
  <c r="K717" i="5" s="1"/>
  <c r="S743" i="5"/>
  <c r="P743" i="5"/>
  <c r="C656" i="5"/>
  <c r="AE656" i="5"/>
  <c r="AF656" i="5" s="1"/>
  <c r="P681" i="5"/>
  <c r="S681" i="5"/>
  <c r="S697" i="5"/>
  <c r="P697" i="5"/>
  <c r="K699" i="5"/>
  <c r="BJ727" i="5"/>
  <c r="BK727" i="5" s="1"/>
  <c r="AE727" i="5"/>
  <c r="AF727" i="5" s="1"/>
  <c r="P727" i="5"/>
  <c r="S727" i="5"/>
  <c r="AE671" i="5"/>
  <c r="AF671" i="5" s="1"/>
  <c r="BJ671" i="5"/>
  <c r="BK671" i="5" s="1"/>
  <c r="G671" i="5"/>
  <c r="H671" i="5" s="1"/>
  <c r="J671" i="5" s="1"/>
  <c r="S744" i="5"/>
  <c r="P744" i="5"/>
  <c r="BJ652" i="5"/>
  <c r="BK652" i="5" s="1"/>
  <c r="G652" i="5"/>
  <c r="H652" i="5" s="1"/>
  <c r="J652" i="5" s="1"/>
  <c r="S658" i="5"/>
  <c r="P658" i="5"/>
  <c r="G674" i="5"/>
  <c r="H674" i="5" s="1"/>
  <c r="J674" i="5" s="1"/>
  <c r="AE674" i="5"/>
  <c r="AF674" i="5" s="1"/>
  <c r="BJ674" i="5"/>
  <c r="BK674" i="5" s="1"/>
  <c r="BJ734" i="5"/>
  <c r="BK734" i="5" s="1"/>
  <c r="G734" i="5"/>
  <c r="H734" i="5" s="1"/>
  <c r="J734" i="5" s="1"/>
  <c r="AE734" i="5"/>
  <c r="AF734" i="5" s="1"/>
  <c r="C652" i="5"/>
  <c r="AE652" i="5"/>
  <c r="AF652" i="5" s="1"/>
  <c r="AE669" i="5"/>
  <c r="AF669" i="5" s="1"/>
  <c r="G669" i="5"/>
  <c r="H669" i="5" s="1"/>
  <c r="J669" i="5" s="1"/>
  <c r="BJ669" i="5"/>
  <c r="BK669" i="5" s="1"/>
  <c r="BJ683" i="5"/>
  <c r="BK683" i="5" s="1"/>
  <c r="G689" i="5"/>
  <c r="H689" i="5" s="1"/>
  <c r="J689" i="5" s="1"/>
  <c r="AE689" i="5"/>
  <c r="AF689" i="5" s="1"/>
  <c r="BJ689" i="5"/>
  <c r="BK689" i="5" s="1"/>
  <c r="G722" i="5"/>
  <c r="H722" i="5" s="1"/>
  <c r="J722" i="5" s="1"/>
  <c r="BJ722" i="5"/>
  <c r="BK722" i="5" s="1"/>
  <c r="AE722" i="5"/>
  <c r="AF722" i="5" s="1"/>
  <c r="S733" i="5"/>
  <c r="P733" i="5"/>
  <c r="AE735" i="5"/>
  <c r="AF735" i="5" s="1"/>
  <c r="BJ735" i="5"/>
  <c r="BK735" i="5" s="1"/>
  <c r="P711" i="5"/>
  <c r="S711" i="5"/>
  <c r="P746" i="5"/>
  <c r="S746" i="5"/>
  <c r="G642" i="5"/>
  <c r="H642" i="5" s="1"/>
  <c r="J642" i="5" s="1"/>
  <c r="G662" i="5"/>
  <c r="H662" i="5" s="1"/>
  <c r="J662" i="5" s="1"/>
  <c r="K688" i="5" s="1"/>
  <c r="G682" i="5"/>
  <c r="H682" i="5" s="1"/>
  <c r="J682" i="5" s="1"/>
  <c r="AE682" i="5"/>
  <c r="AF682" i="5" s="1"/>
  <c r="S707" i="5"/>
  <c r="P707" i="5"/>
  <c r="S713" i="5"/>
  <c r="P713" i="5"/>
  <c r="P735" i="5"/>
  <c r="S735" i="5"/>
  <c r="C644" i="5"/>
  <c r="AE644" i="5"/>
  <c r="AF644" i="5" s="1"/>
  <c r="G654" i="5"/>
  <c r="H654" i="5" s="1"/>
  <c r="J654" i="5" s="1"/>
  <c r="G657" i="5"/>
  <c r="H657" i="5" s="1"/>
  <c r="J657" i="5" s="1"/>
  <c r="BJ673" i="5"/>
  <c r="BK673" i="5" s="1"/>
  <c r="AE673" i="5"/>
  <c r="AF673" i="5" s="1"/>
  <c r="BJ703" i="5"/>
  <c r="BK703" i="5" s="1"/>
  <c r="AE703" i="5"/>
  <c r="AF703" i="5" s="1"/>
  <c r="G703" i="5"/>
  <c r="H703" i="5" s="1"/>
  <c r="J703" i="5" s="1"/>
  <c r="K706" i="5" s="1"/>
  <c r="P710" i="5"/>
  <c r="S710" i="5"/>
  <c r="AE737" i="5"/>
  <c r="AF737" i="5" s="1"/>
  <c r="G737" i="5"/>
  <c r="H737" i="5" s="1"/>
  <c r="J737" i="5" s="1"/>
  <c r="BJ737" i="5"/>
  <c r="BK737" i="5" s="1"/>
  <c r="G719" i="5"/>
  <c r="H719" i="5" s="1"/>
  <c r="J719" i="5" s="1"/>
  <c r="BJ719" i="5"/>
  <c r="BK719" i="5" s="1"/>
  <c r="S721" i="5"/>
  <c r="P721" i="5"/>
  <c r="S738" i="5"/>
  <c r="P738" i="5"/>
  <c r="AE740" i="5"/>
  <c r="AF740" i="5" s="1"/>
  <c r="BJ740" i="5"/>
  <c r="BK740" i="5" s="1"/>
  <c r="G740" i="5"/>
  <c r="H740" i="5" s="1"/>
  <c r="J740" i="5" s="1"/>
  <c r="AE741" i="5"/>
  <c r="AF741" i="5" s="1"/>
  <c r="G741" i="5"/>
  <c r="H741" i="5" s="1"/>
  <c r="J741" i="5" s="1"/>
  <c r="BJ741" i="5"/>
  <c r="BK741" i="5" s="1"/>
  <c r="S716" i="5"/>
  <c r="P716" i="5"/>
  <c r="S728" i="5"/>
  <c r="P728" i="5"/>
  <c r="AE732" i="5"/>
  <c r="AF732" i="5" s="1"/>
  <c r="BJ732" i="5"/>
  <c r="BK732" i="5" s="1"/>
  <c r="G686" i="5"/>
  <c r="H686" i="5" s="1"/>
  <c r="J686" i="5" s="1"/>
  <c r="AE686" i="5"/>
  <c r="AF686" i="5" s="1"/>
  <c r="G687" i="5"/>
  <c r="H687" i="5" s="1"/>
  <c r="J687" i="5" s="1"/>
  <c r="BJ700" i="5"/>
  <c r="BK700" i="5" s="1"/>
  <c r="G700" i="5"/>
  <c r="H700" i="5" s="1"/>
  <c r="J700" i="5" s="1"/>
  <c r="S712" i="5"/>
  <c r="P730" i="5"/>
  <c r="S730" i="5"/>
  <c r="BJ743" i="5"/>
  <c r="BK743" i="5" s="1"/>
  <c r="AE743" i="5"/>
  <c r="AF743" i="5" s="1"/>
  <c r="P705" i="5"/>
  <c r="S705" i="5"/>
  <c r="AE717" i="5"/>
  <c r="AF717" i="5" s="1"/>
  <c r="G717" i="5"/>
  <c r="H717" i="5" s="1"/>
  <c r="J717" i="5" s="1"/>
  <c r="BJ717" i="5"/>
  <c r="BK717" i="5" s="1"/>
  <c r="S725" i="5"/>
  <c r="P725" i="5"/>
  <c r="G732" i="5"/>
  <c r="H732" i="5" s="1"/>
  <c r="J732" i="5" s="1"/>
  <c r="P747" i="5"/>
  <c r="AE719" i="5"/>
  <c r="AF719" i="5" s="1"/>
  <c r="AE729" i="5"/>
  <c r="AF729" i="5" s="1"/>
  <c r="BJ729" i="5"/>
  <c r="BK729" i="5" s="1"/>
  <c r="G729" i="5"/>
  <c r="H729" i="5" s="1"/>
  <c r="J729" i="5" s="1"/>
  <c r="AE709" i="5"/>
  <c r="AF709" i="5" s="1"/>
  <c r="BJ709" i="5"/>
  <c r="BK709" i="5" s="1"/>
  <c r="AE723" i="5"/>
  <c r="AF723" i="5" s="1"/>
  <c r="G723" i="5"/>
  <c r="H723" i="5" s="1"/>
  <c r="J723" i="5" s="1"/>
  <c r="BJ723" i="5"/>
  <c r="BK723" i="5" s="1"/>
  <c r="S724" i="5"/>
  <c r="P724" i="5"/>
  <c r="G731" i="5"/>
  <c r="H731" i="5" s="1"/>
  <c r="J731" i="5" s="1"/>
  <c r="BJ731" i="5"/>
  <c r="BK731" i="5" s="1"/>
  <c r="P742" i="5"/>
  <c r="S742" i="5"/>
  <c r="AE747" i="5"/>
  <c r="AF747" i="5" s="1"/>
  <c r="BJ747" i="5"/>
  <c r="BK747" i="5" s="1"/>
  <c r="P709" i="5"/>
  <c r="S709" i="5"/>
  <c r="S715" i="5"/>
  <c r="S720" i="5"/>
  <c r="AE726" i="5"/>
  <c r="AF726" i="5" s="1"/>
  <c r="G726" i="5"/>
  <c r="H726" i="5" s="1"/>
  <c r="J726" i="5" s="1"/>
  <c r="BJ726" i="5"/>
  <c r="BK726" i="5" s="1"/>
  <c r="P748" i="5"/>
  <c r="S748" i="5"/>
  <c r="AE739" i="5"/>
  <c r="AF739" i="5" s="1"/>
  <c r="BJ739" i="5"/>
  <c r="BK739" i="5" s="1"/>
  <c r="G739" i="5"/>
  <c r="H739" i="5" s="1"/>
  <c r="J739" i="5" s="1"/>
  <c r="BJ716" i="5"/>
  <c r="BK716" i="5" s="1"/>
  <c r="AB4" i="11"/>
  <c r="AB7" i="11"/>
  <c r="AB5" i="11"/>
  <c r="AB8" i="11"/>
  <c r="U2" i="1"/>
  <c r="V2" i="1" s="1"/>
  <c r="W2" i="1" s="1"/>
  <c r="X2" i="1" s="1"/>
  <c r="Y2" i="1" s="1"/>
  <c r="Z2" i="1" s="1"/>
  <c r="AA2" i="1" s="1"/>
  <c r="AB2" i="1" s="1"/>
  <c r="AC2" i="1" s="1"/>
  <c r="AD2" i="1" s="1"/>
  <c r="AM2" i="1"/>
  <c r="AN2" i="1" s="1"/>
  <c r="AO2" i="1" s="1"/>
  <c r="AP2" i="1" s="1"/>
  <c r="AV2" i="1" s="1"/>
  <c r="AW2" i="1" s="1"/>
  <c r="AX2" i="1" s="1"/>
  <c r="AY2" i="1" s="1"/>
  <c r="AZ2" i="1" s="1"/>
  <c r="BA2" i="1" s="1"/>
  <c r="BJ2" i="1" s="1"/>
  <c r="BK2" i="1" s="1"/>
  <c r="BL2" i="1" s="1"/>
  <c r="BA9" i="1"/>
  <c r="BA51" i="1"/>
  <c r="BA63" i="1"/>
  <c r="BA46" i="1"/>
  <c r="BA53" i="1"/>
  <c r="BA21" i="1"/>
  <c r="BA88" i="1"/>
  <c r="BA66" i="1"/>
  <c r="BA70" i="1"/>
  <c r="BA82" i="1"/>
  <c r="BA106" i="1"/>
  <c r="BA59" i="1"/>
  <c r="BA11" i="1"/>
  <c r="BA23" i="1"/>
  <c r="BA67" i="1"/>
  <c r="BA30" i="1"/>
  <c r="BA72" i="1"/>
  <c r="BA78" i="1"/>
  <c r="BA90" i="1"/>
  <c r="BA102" i="1"/>
  <c r="BA108" i="1"/>
  <c r="BA5" i="1"/>
  <c r="BA34" i="1"/>
  <c r="BA45" i="1"/>
  <c r="BA69" i="1"/>
  <c r="BA75" i="1"/>
  <c r="BA37" i="1"/>
  <c r="BA80" i="1"/>
  <c r="BA92" i="1"/>
  <c r="BA104" i="1"/>
  <c r="BA12" i="1"/>
  <c r="BA24" i="1"/>
  <c r="BA79" i="1"/>
  <c r="BA14" i="1"/>
  <c r="BA20" i="1"/>
  <c r="BA39" i="1"/>
  <c r="BA52" i="1"/>
  <c r="BA58" i="1"/>
  <c r="BA71" i="1"/>
  <c r="BA107" i="1"/>
  <c r="BA94" i="1"/>
  <c r="BA43" i="1"/>
  <c r="BA81" i="1"/>
  <c r="BA87" i="1"/>
  <c r="BA105" i="1"/>
  <c r="BA17" i="1"/>
  <c r="BA36" i="1"/>
  <c r="BA50" i="1"/>
  <c r="BA62" i="1"/>
  <c r="BA68" i="1"/>
  <c r="BA93" i="1"/>
  <c r="BA22" i="1"/>
  <c r="BA41" i="1"/>
  <c r="BA48" i="1"/>
  <c r="BA73" i="1"/>
  <c r="BA10" i="1"/>
  <c r="BA91" i="1"/>
  <c r="BA103" i="1"/>
  <c r="BA16" i="1"/>
  <c r="BA18" i="1"/>
  <c r="BA31" i="1"/>
  <c r="BA97" i="1"/>
  <c r="BA15" i="1"/>
  <c r="BA44" i="1"/>
  <c r="BA47" i="1"/>
  <c r="BA61" i="1"/>
  <c r="BA77" i="1"/>
  <c r="BA96" i="1"/>
  <c r="BA98" i="1"/>
  <c r="BA13" i="1"/>
  <c r="BA60" i="1"/>
  <c r="BA76" i="1"/>
  <c r="BA95" i="1"/>
  <c r="BA25" i="1"/>
  <c r="BA40" i="1"/>
  <c r="BA56" i="1"/>
  <c r="BA89" i="1"/>
  <c r="BA109" i="1"/>
  <c r="BA26" i="1"/>
  <c r="BA42" i="1"/>
  <c r="BA110" i="1"/>
  <c r="BA8" i="1"/>
  <c r="BA55" i="1"/>
  <c r="BA74" i="1"/>
  <c r="BA7" i="1"/>
  <c r="BA38" i="1"/>
  <c r="BA54" i="1"/>
  <c r="BA85" i="1"/>
  <c r="BA101" i="1"/>
  <c r="BA33" i="1"/>
  <c r="BA35" i="1"/>
  <c r="BA65" i="1"/>
  <c r="BA84" i="1"/>
  <c r="BA86" i="1"/>
  <c r="BA100" i="1"/>
  <c r="BA6" i="1"/>
  <c r="BA19" i="1"/>
  <c r="BA32" i="1"/>
  <c r="BA49" i="1"/>
  <c r="BA64" i="1"/>
  <c r="BA83" i="1"/>
  <c r="BA99" i="1"/>
  <c r="AI4" i="2"/>
  <c r="E5" i="6"/>
  <c r="AS4" i="2"/>
  <c r="B6" i="10"/>
  <c r="B4" i="10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BA4" i="1"/>
  <c r="A40" i="3" l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Q706" i="5"/>
  <c r="T706" i="5"/>
  <c r="T550" i="5"/>
  <c r="Q550" i="5"/>
  <c r="Q609" i="5"/>
  <c r="T609" i="5"/>
  <c r="T688" i="5"/>
  <c r="Q688" i="5"/>
  <c r="Q466" i="5"/>
  <c r="T466" i="5"/>
  <c r="Q717" i="5"/>
  <c r="T717" i="5"/>
  <c r="T676" i="5"/>
  <c r="Q676" i="5"/>
  <c r="Q517" i="5"/>
  <c r="T517" i="5"/>
  <c r="T634" i="5"/>
  <c r="Q634" i="5"/>
  <c r="T588" i="5"/>
  <c r="Q588" i="5"/>
  <c r="T519" i="5"/>
  <c r="Q519" i="5"/>
  <c r="S674" i="5"/>
  <c r="P674" i="5"/>
  <c r="Q659" i="5"/>
  <c r="T659" i="5"/>
  <c r="Q705" i="5"/>
  <c r="T705" i="5"/>
  <c r="Q713" i="5"/>
  <c r="T713" i="5"/>
  <c r="K677" i="5"/>
  <c r="T673" i="5"/>
  <c r="Q673" i="5"/>
  <c r="T660" i="5"/>
  <c r="Q660" i="5"/>
  <c r="K686" i="5"/>
  <c r="P641" i="5"/>
  <c r="S641" i="5"/>
  <c r="T628" i="5"/>
  <c r="Q628" i="5"/>
  <c r="T637" i="5"/>
  <c r="Q637" i="5"/>
  <c r="S589" i="5"/>
  <c r="P589" i="5"/>
  <c r="S580" i="5"/>
  <c r="P580" i="5"/>
  <c r="S499" i="5"/>
  <c r="P499" i="5"/>
  <c r="T506" i="5"/>
  <c r="Q506" i="5"/>
  <c r="T560" i="5"/>
  <c r="Q560" i="5"/>
  <c r="S533" i="5"/>
  <c r="P533" i="5"/>
  <c r="T532" i="5"/>
  <c r="Q532" i="5"/>
  <c r="K583" i="5"/>
  <c r="K596" i="5"/>
  <c r="T576" i="5"/>
  <c r="Q576" i="5"/>
  <c r="T527" i="5"/>
  <c r="Q527" i="5"/>
  <c r="K536" i="5"/>
  <c r="Q615" i="5"/>
  <c r="T615" i="5"/>
  <c r="T600" i="5"/>
  <c r="Q600" i="5"/>
  <c r="T625" i="5"/>
  <c r="Q625" i="5"/>
  <c r="S496" i="5"/>
  <c r="P496" i="5"/>
  <c r="S481" i="5"/>
  <c r="P481" i="5"/>
  <c r="S420" i="5"/>
  <c r="P420" i="5"/>
  <c r="S456" i="5"/>
  <c r="P456" i="5"/>
  <c r="K474" i="5"/>
  <c r="K463" i="5"/>
  <c r="K440" i="5"/>
  <c r="K420" i="5"/>
  <c r="K439" i="5"/>
  <c r="S717" i="5"/>
  <c r="P717" i="5"/>
  <c r="S700" i="5"/>
  <c r="P700" i="5"/>
  <c r="K683" i="5"/>
  <c r="K667" i="5"/>
  <c r="K670" i="5"/>
  <c r="K672" i="5"/>
  <c r="T690" i="5"/>
  <c r="Q690" i="5"/>
  <c r="K702" i="5"/>
  <c r="K680" i="5"/>
  <c r="K636" i="5"/>
  <c r="K640" i="5"/>
  <c r="S586" i="5"/>
  <c r="P586" i="5"/>
  <c r="S498" i="5"/>
  <c r="P498" i="5"/>
  <c r="Q551" i="5"/>
  <c r="T551" i="5"/>
  <c r="K523" i="5"/>
  <c r="Q567" i="5"/>
  <c r="T567" i="5"/>
  <c r="K593" i="5"/>
  <c r="K518" i="5"/>
  <c r="K611" i="5"/>
  <c r="K603" i="5"/>
  <c r="K626" i="5"/>
  <c r="S556" i="5"/>
  <c r="P556" i="5"/>
  <c r="S549" i="5"/>
  <c r="P549" i="5"/>
  <c r="S484" i="5"/>
  <c r="P484" i="5"/>
  <c r="S424" i="5"/>
  <c r="P424" i="5"/>
  <c r="S430" i="5"/>
  <c r="P430" i="5"/>
  <c r="K441" i="5"/>
  <c r="K432" i="5"/>
  <c r="S729" i="5"/>
  <c r="P729" i="5"/>
  <c r="K663" i="5"/>
  <c r="T698" i="5"/>
  <c r="Q698" i="5"/>
  <c r="K714" i="5"/>
  <c r="S677" i="5"/>
  <c r="P677" i="5"/>
  <c r="K678" i="5"/>
  <c r="K679" i="5"/>
  <c r="S660" i="5"/>
  <c r="P660" i="5"/>
  <c r="K662" i="5"/>
  <c r="S627" i="5"/>
  <c r="P627" i="5"/>
  <c r="K644" i="5"/>
  <c r="K646" i="5"/>
  <c r="S583" i="5"/>
  <c r="P583" i="5"/>
  <c r="S570" i="5"/>
  <c r="P570" i="5"/>
  <c r="S559" i="5"/>
  <c r="P559" i="5"/>
  <c r="K526" i="5"/>
  <c r="S503" i="5"/>
  <c r="P503" i="5"/>
  <c r="T553" i="5"/>
  <c r="Q553" i="5"/>
  <c r="K525" i="5"/>
  <c r="K535" i="5"/>
  <c r="T568" i="5"/>
  <c r="Q568" i="5"/>
  <c r="K571" i="5"/>
  <c r="K579" i="5"/>
  <c r="P492" i="5"/>
  <c r="S492" i="5"/>
  <c r="K607" i="5"/>
  <c r="K612" i="5"/>
  <c r="K522" i="5"/>
  <c r="S479" i="5"/>
  <c r="P479" i="5"/>
  <c r="S447" i="5"/>
  <c r="P447" i="5"/>
  <c r="P463" i="5"/>
  <c r="S463" i="5"/>
  <c r="S469" i="5"/>
  <c r="P469" i="5"/>
  <c r="K455" i="5"/>
  <c r="S394" i="5"/>
  <c r="P394" i="5"/>
  <c r="K424" i="5"/>
  <c r="K444" i="5"/>
  <c r="BE21" i="5"/>
  <c r="BD22" i="5"/>
  <c r="BG21" i="5"/>
  <c r="BF21" i="5"/>
  <c r="BL21" i="5"/>
  <c r="P687" i="5"/>
  <c r="S687" i="5"/>
  <c r="S741" i="5"/>
  <c r="P741" i="5"/>
  <c r="S719" i="5"/>
  <c r="P719" i="5"/>
  <c r="P657" i="5"/>
  <c r="S657" i="5"/>
  <c r="P669" i="5"/>
  <c r="S669" i="5"/>
  <c r="K715" i="5"/>
  <c r="K708" i="5"/>
  <c r="K681" i="5"/>
  <c r="K682" i="5"/>
  <c r="P675" i="5"/>
  <c r="S675" i="5"/>
  <c r="P640" i="5"/>
  <c r="S640" i="5"/>
  <c r="K648" i="5"/>
  <c r="K655" i="5"/>
  <c r="K558" i="5"/>
  <c r="K548" i="5"/>
  <c r="K544" i="5"/>
  <c r="T509" i="5"/>
  <c r="Q509" i="5"/>
  <c r="K570" i="5"/>
  <c r="K574" i="5"/>
  <c r="K591" i="5"/>
  <c r="K529" i="5"/>
  <c r="K601" i="5"/>
  <c r="K624" i="5"/>
  <c r="Q446" i="5"/>
  <c r="T446" i="5"/>
  <c r="K462" i="5"/>
  <c r="K456" i="5"/>
  <c r="K434" i="5"/>
  <c r="K425" i="5"/>
  <c r="T418" i="5"/>
  <c r="Q418" i="5"/>
  <c r="AB21" i="5"/>
  <c r="AG21" i="5"/>
  <c r="Y22" i="5"/>
  <c r="AA21" i="5"/>
  <c r="Z21" i="5"/>
  <c r="P726" i="5"/>
  <c r="S726" i="5"/>
  <c r="P654" i="5"/>
  <c r="S654" i="5"/>
  <c r="Q693" i="5"/>
  <c r="T693" i="5"/>
  <c r="K707" i="5"/>
  <c r="K712" i="5"/>
  <c r="K664" i="5"/>
  <c r="K685" i="5"/>
  <c r="P665" i="5"/>
  <c r="S665" i="5"/>
  <c r="K639" i="5"/>
  <c r="K657" i="5"/>
  <c r="K658" i="5"/>
  <c r="P612" i="5"/>
  <c r="S612" i="5"/>
  <c r="K653" i="5"/>
  <c r="S577" i="5"/>
  <c r="P577" i="5"/>
  <c r="S466" i="5"/>
  <c r="P466" i="5"/>
  <c r="S553" i="5"/>
  <c r="P553" i="5"/>
  <c r="K530" i="5"/>
  <c r="K546" i="5"/>
  <c r="K547" i="5"/>
  <c r="K589" i="5"/>
  <c r="K577" i="5"/>
  <c r="K604" i="5"/>
  <c r="K608" i="5"/>
  <c r="K617" i="5"/>
  <c r="S516" i="5"/>
  <c r="P516" i="5"/>
  <c r="S457" i="5"/>
  <c r="P457" i="5"/>
  <c r="S404" i="5"/>
  <c r="P404" i="5"/>
  <c r="K465" i="5"/>
  <c r="K458" i="5"/>
  <c r="K431" i="5"/>
  <c r="K438" i="5"/>
  <c r="K430" i="5"/>
  <c r="P731" i="5"/>
  <c r="S731" i="5"/>
  <c r="S686" i="5"/>
  <c r="P686" i="5"/>
  <c r="P740" i="5"/>
  <c r="S740" i="5"/>
  <c r="S682" i="5"/>
  <c r="P682" i="5"/>
  <c r="S652" i="5"/>
  <c r="P652" i="5"/>
  <c r="K674" i="5"/>
  <c r="P650" i="5"/>
  <c r="S650" i="5"/>
  <c r="S636" i="5"/>
  <c r="P636" i="5"/>
  <c r="K642" i="5"/>
  <c r="P626" i="5"/>
  <c r="S626" i="5"/>
  <c r="S584" i="5"/>
  <c r="P584" i="5"/>
  <c r="S518" i="5"/>
  <c r="P518" i="5"/>
  <c r="T565" i="5"/>
  <c r="Q565" i="5"/>
  <c r="T514" i="5"/>
  <c r="Q514" i="5"/>
  <c r="Q545" i="5"/>
  <c r="T545" i="5"/>
  <c r="S524" i="5"/>
  <c r="P524" i="5"/>
  <c r="T552" i="5"/>
  <c r="Q552" i="5"/>
  <c r="T513" i="5"/>
  <c r="Q513" i="5"/>
  <c r="T569" i="5"/>
  <c r="Q569" i="5"/>
  <c r="K580" i="5"/>
  <c r="K610" i="5"/>
  <c r="K599" i="5"/>
  <c r="K515" i="5"/>
  <c r="S449" i="5"/>
  <c r="P449" i="5"/>
  <c r="S437" i="5"/>
  <c r="P437" i="5"/>
  <c r="S452" i="5"/>
  <c r="P452" i="5"/>
  <c r="Q445" i="5"/>
  <c r="T445" i="5"/>
  <c r="K459" i="5"/>
  <c r="K461" i="5"/>
  <c r="T416" i="5"/>
  <c r="Q416" i="5"/>
  <c r="K421" i="5"/>
  <c r="K442" i="5"/>
  <c r="S737" i="5"/>
  <c r="P737" i="5"/>
  <c r="P662" i="5"/>
  <c r="S662" i="5"/>
  <c r="Q699" i="5"/>
  <c r="T699" i="5"/>
  <c r="T694" i="5"/>
  <c r="Q694" i="5"/>
  <c r="K703" i="5"/>
  <c r="K675" i="5"/>
  <c r="S605" i="5"/>
  <c r="P605" i="5"/>
  <c r="K651" i="5"/>
  <c r="S585" i="5"/>
  <c r="P585" i="5"/>
  <c r="P599" i="5"/>
  <c r="S599" i="5"/>
  <c r="S574" i="5"/>
  <c r="P574" i="5"/>
  <c r="Q566" i="5"/>
  <c r="T566" i="5"/>
  <c r="T537" i="5"/>
  <c r="Q537" i="5"/>
  <c r="Q507" i="5"/>
  <c r="T507" i="5"/>
  <c r="K561" i="5"/>
  <c r="K586" i="5"/>
  <c r="K585" i="5"/>
  <c r="S521" i="5"/>
  <c r="P521" i="5"/>
  <c r="P480" i="5"/>
  <c r="S480" i="5"/>
  <c r="K618" i="5"/>
  <c r="K602" i="5"/>
  <c r="K621" i="5"/>
  <c r="S543" i="5"/>
  <c r="P543" i="5"/>
  <c r="K451" i="5"/>
  <c r="K454" i="5"/>
  <c r="K470" i="5"/>
  <c r="Q417" i="5"/>
  <c r="T417" i="5"/>
  <c r="K436" i="5"/>
  <c r="L738" i="5"/>
  <c r="L737" i="5"/>
  <c r="L736" i="5"/>
  <c r="L747" i="5"/>
  <c r="L746" i="5"/>
  <c r="L742" i="5"/>
  <c r="L688" i="5"/>
  <c r="L685" i="5"/>
  <c r="L682" i="5"/>
  <c r="L679" i="5"/>
  <c r="L676" i="5"/>
  <c r="L673" i="5"/>
  <c r="L670" i="5"/>
  <c r="L732" i="5"/>
  <c r="L706" i="5"/>
  <c r="L703" i="5"/>
  <c r="L700" i="5"/>
  <c r="L697" i="5"/>
  <c r="L694" i="5"/>
  <c r="L691" i="5"/>
  <c r="L743" i="5"/>
  <c r="L740" i="5"/>
  <c r="L735" i="5"/>
  <c r="L730" i="5"/>
  <c r="L727" i="5"/>
  <c r="L717" i="5"/>
  <c r="L710" i="5"/>
  <c r="L745" i="5"/>
  <c r="L711" i="5"/>
  <c r="L698" i="5"/>
  <c r="L719" i="5"/>
  <c r="L714" i="5"/>
  <c r="L708" i="5"/>
  <c r="L729" i="5"/>
  <c r="L701" i="5"/>
  <c r="L741" i="5"/>
  <c r="L689" i="5"/>
  <c r="L713" i="5"/>
  <c r="L686" i="5"/>
  <c r="L684" i="5"/>
  <c r="L677" i="5"/>
  <c r="L675" i="5"/>
  <c r="L666" i="5"/>
  <c r="L663" i="5"/>
  <c r="L660" i="5"/>
  <c r="L657" i="5"/>
  <c r="L645" i="5"/>
  <c r="L734" i="5"/>
  <c r="L720" i="5"/>
  <c r="L748" i="5"/>
  <c r="L718" i="5"/>
  <c r="L712" i="5"/>
  <c r="L659" i="5"/>
  <c r="L654" i="5"/>
  <c r="L642" i="5"/>
  <c r="L723" i="5"/>
  <c r="L678" i="5"/>
  <c r="L728" i="5"/>
  <c r="L716" i="5"/>
  <c r="L702" i="5"/>
  <c r="L695" i="5"/>
  <c r="L721" i="5"/>
  <c r="L672" i="5"/>
  <c r="L744" i="5"/>
  <c r="L724" i="5"/>
  <c r="L709" i="5"/>
  <c r="L671" i="5"/>
  <c r="L668" i="5"/>
  <c r="L665" i="5"/>
  <c r="L661" i="5"/>
  <c r="L656" i="5"/>
  <c r="L653" i="5"/>
  <c r="L633" i="5"/>
  <c r="L628" i="5"/>
  <c r="L616" i="5"/>
  <c r="L739" i="5"/>
  <c r="L726" i="5"/>
  <c r="L722" i="5"/>
  <c r="L680" i="5"/>
  <c r="L658" i="5"/>
  <c r="L655" i="5"/>
  <c r="L646" i="5"/>
  <c r="L640" i="5"/>
  <c r="L637" i="5"/>
  <c r="L629" i="5"/>
  <c r="L624" i="5"/>
  <c r="L612" i="5"/>
  <c r="L733" i="5"/>
  <c r="L715" i="5"/>
  <c r="L690" i="5"/>
  <c r="L669" i="5"/>
  <c r="L643" i="5"/>
  <c r="L619" i="5"/>
  <c r="L607" i="5"/>
  <c r="L705" i="5"/>
  <c r="L696" i="5"/>
  <c r="L692" i="5"/>
  <c r="L664" i="5"/>
  <c r="L621" i="5"/>
  <c r="L667" i="5"/>
  <c r="L632" i="5"/>
  <c r="L731" i="5"/>
  <c r="L651" i="5"/>
  <c r="L662" i="5"/>
  <c r="L649" i="5"/>
  <c r="L707" i="5"/>
  <c r="L693" i="5"/>
  <c r="L648" i="5"/>
  <c r="L639" i="5"/>
  <c r="L687" i="5"/>
  <c r="L644" i="5"/>
  <c r="L704" i="5"/>
  <c r="L652" i="5"/>
  <c r="L650" i="5"/>
  <c r="L636" i="5"/>
  <c r="L626" i="5"/>
  <c r="L613" i="5"/>
  <c r="L606" i="5"/>
  <c r="L603" i="5"/>
  <c r="L598" i="5"/>
  <c r="L586" i="5"/>
  <c r="L574" i="5"/>
  <c r="L557" i="5"/>
  <c r="L725" i="5"/>
  <c r="L627" i="5"/>
  <c r="L674" i="5"/>
  <c r="L630" i="5"/>
  <c r="L683" i="5"/>
  <c r="L641" i="5"/>
  <c r="L638" i="5"/>
  <c r="L631" i="5"/>
  <c r="L600" i="5"/>
  <c r="L595" i="5"/>
  <c r="L583" i="5"/>
  <c r="L571" i="5"/>
  <c r="L566" i="5"/>
  <c r="L554" i="5"/>
  <c r="L605" i="5"/>
  <c r="L602" i="5"/>
  <c r="L599" i="5"/>
  <c r="L572" i="5"/>
  <c r="L608" i="5"/>
  <c r="L634" i="5"/>
  <c r="L597" i="5"/>
  <c r="L594" i="5"/>
  <c r="L681" i="5"/>
  <c r="L591" i="5"/>
  <c r="L588" i="5"/>
  <c r="L585" i="5"/>
  <c r="L617" i="5"/>
  <c r="L609" i="5"/>
  <c r="L647" i="5"/>
  <c r="L635" i="5"/>
  <c r="L620" i="5"/>
  <c r="L623" i="5"/>
  <c r="L618" i="5"/>
  <c r="L610" i="5"/>
  <c r="L604" i="5"/>
  <c r="L601" i="5"/>
  <c r="L568" i="5"/>
  <c r="L565" i="5"/>
  <c r="L547" i="5"/>
  <c r="L530" i="5"/>
  <c r="L518" i="5"/>
  <c r="L699" i="5"/>
  <c r="L611" i="5"/>
  <c r="L593" i="5"/>
  <c r="L590" i="5"/>
  <c r="L615" i="5"/>
  <c r="L596" i="5"/>
  <c r="L625" i="5"/>
  <c r="L622" i="5"/>
  <c r="L584" i="5"/>
  <c r="L575" i="5"/>
  <c r="L569" i="5"/>
  <c r="L550" i="5"/>
  <c r="L549" i="5"/>
  <c r="L544" i="5"/>
  <c r="L527" i="5"/>
  <c r="L515" i="5"/>
  <c r="L592" i="5"/>
  <c r="L562" i="5"/>
  <c r="L561" i="5"/>
  <c r="L552" i="5"/>
  <c r="L500" i="5"/>
  <c r="L577" i="5"/>
  <c r="L614" i="5"/>
  <c r="L589" i="5"/>
  <c r="L580" i="5"/>
  <c r="L570" i="5"/>
  <c r="L567" i="5"/>
  <c r="L560" i="5"/>
  <c r="L582" i="5"/>
  <c r="L548" i="5"/>
  <c r="L579" i="5"/>
  <c r="L587" i="5"/>
  <c r="L576" i="5"/>
  <c r="L563" i="5"/>
  <c r="L496" i="5"/>
  <c r="L484" i="5"/>
  <c r="L467" i="5"/>
  <c r="L573" i="5"/>
  <c r="L546" i="5"/>
  <c r="L543" i="5"/>
  <c r="L537" i="5"/>
  <c r="L534" i="5"/>
  <c r="L525" i="5"/>
  <c r="L522" i="5"/>
  <c r="L508" i="5"/>
  <c r="L503" i="5"/>
  <c r="L581" i="5"/>
  <c r="L578" i="5"/>
  <c r="L555" i="5"/>
  <c r="L556" i="5"/>
  <c r="L516" i="5"/>
  <c r="L510" i="5"/>
  <c r="L505" i="5"/>
  <c r="L493" i="5"/>
  <c r="L481" i="5"/>
  <c r="L464" i="5"/>
  <c r="L553" i="5"/>
  <c r="L535" i="5"/>
  <c r="L533" i="5"/>
  <c r="L514" i="5"/>
  <c r="L502" i="5"/>
  <c r="L501" i="5"/>
  <c r="L485" i="5"/>
  <c r="L482" i="5"/>
  <c r="L451" i="5"/>
  <c r="L434" i="5"/>
  <c r="L422" i="5"/>
  <c r="K410" i="5"/>
  <c r="L405" i="5"/>
  <c r="K398" i="5"/>
  <c r="L393" i="5"/>
  <c r="L545" i="5"/>
  <c r="L519" i="5"/>
  <c r="L504" i="5"/>
  <c r="L558" i="5"/>
  <c r="L541" i="5"/>
  <c r="L539" i="5"/>
  <c r="L523" i="5"/>
  <c r="L521" i="5"/>
  <c r="L474" i="5"/>
  <c r="L471" i="5"/>
  <c r="L462" i="5"/>
  <c r="L506" i="5"/>
  <c r="L528" i="5"/>
  <c r="L507" i="5"/>
  <c r="L492" i="5"/>
  <c r="L483" i="5"/>
  <c r="L480" i="5"/>
  <c r="L551" i="5"/>
  <c r="L532" i="5"/>
  <c r="L509" i="5"/>
  <c r="L489" i="5"/>
  <c r="L486" i="5"/>
  <c r="L477" i="5"/>
  <c r="L450" i="5"/>
  <c r="L559" i="5"/>
  <c r="L542" i="5"/>
  <c r="L495" i="5"/>
  <c r="L536" i="5"/>
  <c r="L529" i="5"/>
  <c r="L520" i="5"/>
  <c r="L512" i="5"/>
  <c r="L511" i="5"/>
  <c r="L475" i="5"/>
  <c r="L466" i="5"/>
  <c r="L463" i="5"/>
  <c r="L513" i="5"/>
  <c r="L497" i="5"/>
  <c r="L490" i="5"/>
  <c r="L487" i="5"/>
  <c r="L478" i="5"/>
  <c r="L472" i="5"/>
  <c r="L469" i="5"/>
  <c r="L460" i="5"/>
  <c r="L457" i="5"/>
  <c r="L447" i="5"/>
  <c r="L442" i="5"/>
  <c r="L430" i="5"/>
  <c r="L418" i="5"/>
  <c r="L413" i="5"/>
  <c r="K406" i="5"/>
  <c r="L401" i="5"/>
  <c r="K394" i="5"/>
  <c r="L389" i="5"/>
  <c r="K384" i="5"/>
  <c r="L538" i="5"/>
  <c r="L524" i="5"/>
  <c r="L498" i="5"/>
  <c r="L454" i="5"/>
  <c r="L437" i="5"/>
  <c r="L425" i="5"/>
  <c r="K413" i="5"/>
  <c r="L408" i="5"/>
  <c r="K401" i="5"/>
  <c r="L396" i="5"/>
  <c r="K389" i="5"/>
  <c r="L517" i="5"/>
  <c r="L499" i="5"/>
  <c r="L494" i="5"/>
  <c r="L564" i="5"/>
  <c r="L540" i="5"/>
  <c r="L531" i="5"/>
  <c r="L526" i="5"/>
  <c r="L491" i="5"/>
  <c r="L488" i="5"/>
  <c r="L479" i="5"/>
  <c r="L476" i="5"/>
  <c r="L473" i="5"/>
  <c r="L470" i="5"/>
  <c r="L461" i="5"/>
  <c r="L458" i="5"/>
  <c r="L456" i="5"/>
  <c r="L439" i="5"/>
  <c r="L427" i="5"/>
  <c r="L415" i="5"/>
  <c r="L410" i="5"/>
  <c r="K403" i="5"/>
  <c r="L398" i="5"/>
  <c r="K391" i="5"/>
  <c r="L386" i="5"/>
  <c r="L382" i="5"/>
  <c r="L449" i="5"/>
  <c r="L420" i="5"/>
  <c r="K404" i="5"/>
  <c r="L391" i="5"/>
  <c r="K390" i="5"/>
  <c r="S384" i="5"/>
  <c r="L436" i="5"/>
  <c r="L435" i="5"/>
  <c r="L421" i="5"/>
  <c r="K408" i="5"/>
  <c r="L407" i="5"/>
  <c r="L406" i="5"/>
  <c r="L459" i="5"/>
  <c r="L438" i="5"/>
  <c r="L409" i="5"/>
  <c r="K407" i="5"/>
  <c r="K392" i="5"/>
  <c r="L388" i="5"/>
  <c r="L385" i="5"/>
  <c r="L424" i="5"/>
  <c r="L423" i="5"/>
  <c r="K409" i="5"/>
  <c r="K396" i="5"/>
  <c r="L395" i="5"/>
  <c r="L394" i="5"/>
  <c r="K388" i="5"/>
  <c r="K385" i="5"/>
  <c r="P384" i="5"/>
  <c r="L452" i="5"/>
  <c r="L441" i="5"/>
  <c r="L440" i="5"/>
  <c r="L426" i="5"/>
  <c r="L412" i="5"/>
  <c r="L411" i="5"/>
  <c r="L397" i="5"/>
  <c r="K395" i="5"/>
  <c r="L468" i="5"/>
  <c r="K412" i="5"/>
  <c r="K411" i="5"/>
  <c r="K397" i="5"/>
  <c r="L448" i="5"/>
  <c r="L429" i="5"/>
  <c r="L428" i="5"/>
  <c r="L414" i="5"/>
  <c r="L400" i="5"/>
  <c r="L399" i="5"/>
  <c r="K386" i="5"/>
  <c r="L455" i="5"/>
  <c r="L443" i="5"/>
  <c r="K400" i="5"/>
  <c r="K399" i="5"/>
  <c r="L453" i="5"/>
  <c r="L444" i="5"/>
  <c r="L417" i="5"/>
  <c r="L416" i="5"/>
  <c r="L445" i="5"/>
  <c r="L431" i="5"/>
  <c r="L402" i="5"/>
  <c r="L465" i="5"/>
  <c r="L446" i="5"/>
  <c r="L432" i="5"/>
  <c r="L403" i="5"/>
  <c r="K402" i="5"/>
  <c r="L387" i="5"/>
  <c r="L433" i="5"/>
  <c r="L419" i="5"/>
  <c r="K405" i="5"/>
  <c r="L404" i="5"/>
  <c r="L390" i="5"/>
  <c r="K387" i="5"/>
  <c r="L392" i="5"/>
  <c r="L384" i="5"/>
  <c r="K393" i="5"/>
  <c r="L383" i="5"/>
  <c r="S642" i="5"/>
  <c r="P642" i="5"/>
  <c r="T695" i="5"/>
  <c r="Q695" i="5"/>
  <c r="Q711" i="5"/>
  <c r="T711" i="5"/>
  <c r="K689" i="5"/>
  <c r="S643" i="5"/>
  <c r="P643" i="5"/>
  <c r="P666" i="5"/>
  <c r="S666" i="5"/>
  <c r="P615" i="5"/>
  <c r="S615" i="5"/>
  <c r="P629" i="5"/>
  <c r="K645" i="5"/>
  <c r="K632" i="5"/>
  <c r="K643" i="5"/>
  <c r="K635" i="5"/>
  <c r="S629" i="5"/>
  <c r="K633" i="5"/>
  <c r="K649" i="5"/>
  <c r="Q564" i="5"/>
  <c r="T564" i="5"/>
  <c r="K528" i="5"/>
  <c r="K595" i="5"/>
  <c r="K592" i="5"/>
  <c r="K594" i="5"/>
  <c r="K623" i="5"/>
  <c r="K619" i="5"/>
  <c r="S513" i="5"/>
  <c r="P513" i="5"/>
  <c r="K505" i="5"/>
  <c r="K493" i="5"/>
  <c r="K501" i="5"/>
  <c r="K489" i="5"/>
  <c r="K477" i="5"/>
  <c r="K496" i="5"/>
  <c r="K498" i="5"/>
  <c r="K486" i="5"/>
  <c r="K503" i="5"/>
  <c r="K491" i="5"/>
  <c r="K488" i="5"/>
  <c r="K479" i="5"/>
  <c r="K476" i="5"/>
  <c r="K502" i="5"/>
  <c r="K485" i="5"/>
  <c r="K482" i="5"/>
  <c r="S475" i="5"/>
  <c r="K504" i="5"/>
  <c r="K492" i="5"/>
  <c r="K483" i="5"/>
  <c r="K480" i="5"/>
  <c r="K495" i="5"/>
  <c r="K484" i="5"/>
  <c r="K481" i="5"/>
  <c r="K475" i="5"/>
  <c r="K497" i="5"/>
  <c r="K490" i="5"/>
  <c r="K487" i="5"/>
  <c r="K478" i="5"/>
  <c r="K500" i="5"/>
  <c r="K499" i="5"/>
  <c r="K494" i="5"/>
  <c r="P475" i="5"/>
  <c r="S421" i="5"/>
  <c r="P421" i="5"/>
  <c r="S401" i="5"/>
  <c r="P401" i="5"/>
  <c r="K453" i="5"/>
  <c r="K449" i="5"/>
  <c r="K473" i="5"/>
  <c r="K443" i="5"/>
  <c r="K422" i="5"/>
  <c r="K423" i="5"/>
  <c r="P732" i="5"/>
  <c r="S732" i="5"/>
  <c r="S722" i="5"/>
  <c r="P722" i="5"/>
  <c r="S734" i="5"/>
  <c r="P734" i="5"/>
  <c r="K710" i="5"/>
  <c r="K716" i="5"/>
  <c r="K701" i="5"/>
  <c r="K665" i="5"/>
  <c r="K684" i="5"/>
  <c r="K687" i="5"/>
  <c r="K641" i="5"/>
  <c r="K652" i="5"/>
  <c r="S701" i="5"/>
  <c r="P701" i="5"/>
  <c r="S515" i="5"/>
  <c r="P515" i="5"/>
  <c r="S517" i="5"/>
  <c r="P517" i="5"/>
  <c r="S502" i="5"/>
  <c r="P502" i="5"/>
  <c r="Q554" i="5"/>
  <c r="T554" i="5"/>
  <c r="Q556" i="5"/>
  <c r="T556" i="5"/>
  <c r="K531" i="5"/>
  <c r="K573" i="5"/>
  <c r="K597" i="5"/>
  <c r="K606" i="5"/>
  <c r="K622" i="5"/>
  <c r="K549" i="5"/>
  <c r="Q538" i="5"/>
  <c r="T538" i="5"/>
  <c r="P472" i="5"/>
  <c r="S472" i="5"/>
  <c r="S395" i="5"/>
  <c r="P395" i="5"/>
  <c r="K448" i="5"/>
  <c r="K464" i="5"/>
  <c r="K457" i="5"/>
  <c r="T414" i="5"/>
  <c r="Q414" i="5"/>
  <c r="K437" i="5"/>
  <c r="K435" i="5"/>
  <c r="S739" i="5"/>
  <c r="P739" i="5"/>
  <c r="P706" i="5"/>
  <c r="S706" i="5"/>
  <c r="S680" i="5"/>
  <c r="P680" i="5"/>
  <c r="T692" i="5"/>
  <c r="Q692" i="5"/>
  <c r="T661" i="5"/>
  <c r="Q661" i="5"/>
  <c r="K668" i="5"/>
  <c r="P678" i="5"/>
  <c r="S678" i="5"/>
  <c r="K666" i="5"/>
  <c r="S639" i="5"/>
  <c r="P639" i="5"/>
  <c r="K630" i="5"/>
  <c r="K631" i="5"/>
  <c r="K647" i="5"/>
  <c r="S613" i="5"/>
  <c r="P613" i="5"/>
  <c r="S536" i="5"/>
  <c r="P536" i="5"/>
  <c r="S478" i="5"/>
  <c r="P478" i="5"/>
  <c r="K521" i="5"/>
  <c r="T555" i="5"/>
  <c r="Q555" i="5"/>
  <c r="T540" i="5"/>
  <c r="Q540" i="5"/>
  <c r="Q510" i="5"/>
  <c r="T510" i="5"/>
  <c r="K590" i="5"/>
  <c r="K578" i="5"/>
  <c r="K575" i="5"/>
  <c r="Q512" i="5"/>
  <c r="T512" i="5"/>
  <c r="K614" i="5"/>
  <c r="K605" i="5"/>
  <c r="K524" i="5"/>
  <c r="S433" i="5"/>
  <c r="P433" i="5"/>
  <c r="S408" i="5"/>
  <c r="P408" i="5"/>
  <c r="K543" i="5"/>
  <c r="S482" i="5"/>
  <c r="P482" i="5"/>
  <c r="K471" i="5"/>
  <c r="K467" i="5"/>
  <c r="K469" i="5"/>
  <c r="P386" i="5"/>
  <c r="S386" i="5"/>
  <c r="K428" i="5"/>
  <c r="T419" i="5"/>
  <c r="Q419" i="5"/>
  <c r="S723" i="5"/>
  <c r="P723" i="5"/>
  <c r="P703" i="5"/>
  <c r="S703" i="5"/>
  <c r="S671" i="5"/>
  <c r="P671" i="5"/>
  <c r="Q696" i="5"/>
  <c r="T696" i="5"/>
  <c r="Q691" i="5"/>
  <c r="T691" i="5"/>
  <c r="K671" i="5"/>
  <c r="K735" i="5"/>
  <c r="K734" i="5"/>
  <c r="K733" i="5"/>
  <c r="K721" i="5"/>
  <c r="K743" i="5"/>
  <c r="K740" i="5"/>
  <c r="K730" i="5"/>
  <c r="K739" i="5"/>
  <c r="K722" i="5"/>
  <c r="K746" i="5"/>
  <c r="K742" i="5"/>
  <c r="K737" i="5"/>
  <c r="S718" i="5"/>
  <c r="K727" i="5"/>
  <c r="K732" i="5"/>
  <c r="K729" i="5"/>
  <c r="K745" i="5"/>
  <c r="K747" i="5"/>
  <c r="K718" i="5"/>
  <c r="K726" i="5"/>
  <c r="K724" i="5"/>
  <c r="K748" i="5"/>
  <c r="K719" i="5"/>
  <c r="P718" i="5"/>
  <c r="K738" i="5"/>
  <c r="K728" i="5"/>
  <c r="K744" i="5"/>
  <c r="K736" i="5"/>
  <c r="K723" i="5"/>
  <c r="K741" i="5"/>
  <c r="K731" i="5"/>
  <c r="K720" i="5"/>
  <c r="K725" i="5"/>
  <c r="K654" i="5"/>
  <c r="K638" i="5"/>
  <c r="K704" i="5"/>
  <c r="S606" i="5"/>
  <c r="P606" i="5"/>
  <c r="K563" i="5"/>
  <c r="K559" i="5"/>
  <c r="K516" i="5"/>
  <c r="K572" i="5"/>
  <c r="K581" i="5"/>
  <c r="K584" i="5"/>
  <c r="T542" i="5"/>
  <c r="Q542" i="5"/>
  <c r="T511" i="5"/>
  <c r="Q511" i="5"/>
  <c r="Q598" i="5"/>
  <c r="T598" i="5"/>
  <c r="K620" i="5"/>
  <c r="K627" i="5"/>
  <c r="P460" i="5"/>
  <c r="S460" i="5"/>
  <c r="Q539" i="5"/>
  <c r="T539" i="5"/>
  <c r="K534" i="5"/>
  <c r="S444" i="5"/>
  <c r="P444" i="5"/>
  <c r="K450" i="5"/>
  <c r="K447" i="5"/>
  <c r="K460" i="5"/>
  <c r="K429" i="5"/>
  <c r="K433" i="5"/>
  <c r="T415" i="5"/>
  <c r="Q415" i="5"/>
  <c r="S689" i="5"/>
  <c r="P689" i="5"/>
  <c r="K700" i="5"/>
  <c r="K709" i="5"/>
  <c r="K669" i="5"/>
  <c r="S676" i="5"/>
  <c r="P676" i="5"/>
  <c r="S631" i="5"/>
  <c r="P631" i="5"/>
  <c r="S655" i="5"/>
  <c r="P655" i="5"/>
  <c r="K656" i="5"/>
  <c r="K629" i="5"/>
  <c r="K650" i="5"/>
  <c r="S592" i="5"/>
  <c r="P592" i="5"/>
  <c r="S572" i="5"/>
  <c r="P572" i="5"/>
  <c r="P602" i="5"/>
  <c r="S602" i="5"/>
  <c r="K533" i="5"/>
  <c r="T508" i="5"/>
  <c r="Q508" i="5"/>
  <c r="K557" i="5"/>
  <c r="K562" i="5"/>
  <c r="K520" i="5"/>
  <c r="K582" i="5"/>
  <c r="K587" i="5"/>
  <c r="K613" i="5"/>
  <c r="K616" i="5"/>
  <c r="P562" i="5"/>
  <c r="S562" i="5"/>
  <c r="P464" i="5"/>
  <c r="S464" i="5"/>
  <c r="Q541" i="5"/>
  <c r="T541" i="5"/>
  <c r="K468" i="5"/>
  <c r="K452" i="5"/>
  <c r="K472" i="5"/>
  <c r="K426" i="5"/>
  <c r="K427" i="5"/>
  <c r="AI7" i="2"/>
  <c r="AI8" i="2"/>
  <c r="AI6" i="2"/>
  <c r="AL6" i="2" s="1"/>
  <c r="AI5" i="2"/>
  <c r="AI9" i="2"/>
  <c r="AL9" i="2" s="1"/>
  <c r="BM83" i="1"/>
  <c r="BM100" i="1"/>
  <c r="BM13" i="1"/>
  <c r="BM15" i="1"/>
  <c r="BM41" i="1"/>
  <c r="BM50" i="1"/>
  <c r="BM43" i="1"/>
  <c r="BM107" i="1"/>
  <c r="BM20" i="1"/>
  <c r="BM12" i="1"/>
  <c r="BM45" i="1"/>
  <c r="BM51" i="1"/>
  <c r="BM78" i="1"/>
  <c r="BM6" i="1"/>
  <c r="BM4" i="1"/>
  <c r="BM64" i="1"/>
  <c r="BM86" i="1"/>
  <c r="BM110" i="1"/>
  <c r="BM22" i="1"/>
  <c r="BM36" i="1"/>
  <c r="BM14" i="1"/>
  <c r="BM108" i="1"/>
  <c r="BM106" i="1"/>
  <c r="BM46" i="1"/>
  <c r="BM9" i="1"/>
  <c r="BM35" i="1"/>
  <c r="BM72" i="1"/>
  <c r="BM49" i="1"/>
  <c r="BM84" i="1"/>
  <c r="BM42" i="1"/>
  <c r="BM17" i="1"/>
  <c r="BM5" i="1"/>
  <c r="BM102" i="1"/>
  <c r="BM82" i="1"/>
  <c r="BM53" i="1"/>
  <c r="BM103" i="1"/>
  <c r="BM32" i="1"/>
  <c r="BM65" i="1"/>
  <c r="BM26" i="1"/>
  <c r="BM90" i="1"/>
  <c r="BM70" i="1"/>
  <c r="BM101" i="1"/>
  <c r="BM67" i="1"/>
  <c r="BM74" i="1"/>
  <c r="BM98" i="1"/>
  <c r="BM54" i="1"/>
  <c r="BM55" i="1"/>
  <c r="BM96" i="1"/>
  <c r="BM91" i="1"/>
  <c r="BM30" i="1"/>
  <c r="BM88" i="1"/>
  <c r="BM38" i="1"/>
  <c r="BM8" i="1"/>
  <c r="BM109" i="1"/>
  <c r="BM77" i="1"/>
  <c r="BM97" i="1"/>
  <c r="BM10" i="1"/>
  <c r="BM94" i="1"/>
  <c r="BM104" i="1"/>
  <c r="BM59" i="1"/>
  <c r="BM66" i="1"/>
  <c r="BM7" i="1"/>
  <c r="BM89" i="1"/>
  <c r="BM95" i="1"/>
  <c r="BM61" i="1"/>
  <c r="BM31" i="1"/>
  <c r="BM71" i="1"/>
  <c r="BM92" i="1"/>
  <c r="BM23" i="1"/>
  <c r="BM21" i="1"/>
  <c r="BM33" i="1"/>
  <c r="BM56" i="1"/>
  <c r="BM76" i="1"/>
  <c r="BM47" i="1"/>
  <c r="BM18" i="1"/>
  <c r="BM93" i="1"/>
  <c r="BM105" i="1"/>
  <c r="BM58" i="1"/>
  <c r="BM80" i="1"/>
  <c r="BM11" i="1"/>
  <c r="BM40" i="1"/>
  <c r="BM60" i="1"/>
  <c r="BM44" i="1"/>
  <c r="BM16" i="1"/>
  <c r="BM73" i="1"/>
  <c r="BM68" i="1"/>
  <c r="BM87" i="1"/>
  <c r="BM52" i="1"/>
  <c r="BM79" i="1"/>
  <c r="BM37" i="1"/>
  <c r="BM75" i="1"/>
  <c r="BM34" i="1"/>
  <c r="BM19" i="1"/>
  <c r="BM85" i="1"/>
  <c r="BM99" i="1"/>
  <c r="BM25" i="1"/>
  <c r="BM48" i="1"/>
  <c r="BM62" i="1"/>
  <c r="BM81" i="1"/>
  <c r="BM39" i="1"/>
  <c r="BM24" i="1"/>
  <c r="BM69" i="1"/>
  <c r="BM63" i="1"/>
  <c r="AS7" i="2"/>
  <c r="E6" i="6"/>
  <c r="B10" i="10"/>
  <c r="A10" i="10"/>
  <c r="AH5" i="2"/>
  <c r="A97" i="3" l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T562" i="5"/>
  <c r="Q562" i="5"/>
  <c r="Q433" i="5"/>
  <c r="T433" i="5"/>
  <c r="T638" i="5"/>
  <c r="Q638" i="5"/>
  <c r="T719" i="5"/>
  <c r="Q719" i="5"/>
  <c r="Q737" i="5"/>
  <c r="T737" i="5"/>
  <c r="T671" i="5"/>
  <c r="Q671" i="5"/>
  <c r="T467" i="5"/>
  <c r="Q467" i="5"/>
  <c r="T524" i="5"/>
  <c r="Q524" i="5"/>
  <c r="T464" i="5"/>
  <c r="Q464" i="5"/>
  <c r="T622" i="5"/>
  <c r="Q622" i="5"/>
  <c r="T641" i="5"/>
  <c r="Q641" i="5"/>
  <c r="Q453" i="5"/>
  <c r="T453" i="5"/>
  <c r="T478" i="5"/>
  <c r="Q478" i="5"/>
  <c r="T477" i="5"/>
  <c r="Q477" i="5"/>
  <c r="Q595" i="5"/>
  <c r="T595" i="5"/>
  <c r="Q645" i="5"/>
  <c r="T645" i="5"/>
  <c r="U384" i="5"/>
  <c r="R384" i="5"/>
  <c r="U432" i="5"/>
  <c r="R432" i="5"/>
  <c r="R443" i="5"/>
  <c r="U443" i="5"/>
  <c r="U468" i="5"/>
  <c r="R468" i="5"/>
  <c r="U394" i="5"/>
  <c r="R394" i="5"/>
  <c r="R459" i="5"/>
  <c r="U459" i="5"/>
  <c r="U449" i="5"/>
  <c r="R449" i="5"/>
  <c r="R461" i="5"/>
  <c r="U461" i="5"/>
  <c r="U499" i="5"/>
  <c r="R499" i="5"/>
  <c r="U538" i="5"/>
  <c r="R538" i="5"/>
  <c r="U460" i="5"/>
  <c r="R460" i="5"/>
  <c r="U512" i="5"/>
  <c r="R512" i="5"/>
  <c r="R532" i="5"/>
  <c r="U532" i="5"/>
  <c r="R523" i="5"/>
  <c r="U523" i="5"/>
  <c r="U434" i="5"/>
  <c r="R434" i="5"/>
  <c r="U493" i="5"/>
  <c r="R493" i="5"/>
  <c r="R534" i="5"/>
  <c r="U534" i="5"/>
  <c r="U548" i="5"/>
  <c r="R548" i="5"/>
  <c r="U562" i="5"/>
  <c r="R562" i="5"/>
  <c r="U596" i="5"/>
  <c r="R596" i="5"/>
  <c r="U604" i="5"/>
  <c r="R604" i="5"/>
  <c r="U681" i="5"/>
  <c r="R681" i="5"/>
  <c r="U583" i="5"/>
  <c r="R583" i="5"/>
  <c r="U574" i="5"/>
  <c r="R574" i="5"/>
  <c r="R687" i="5"/>
  <c r="U687" i="5"/>
  <c r="U664" i="5"/>
  <c r="R664" i="5"/>
  <c r="U624" i="5"/>
  <c r="R624" i="5"/>
  <c r="R628" i="5"/>
  <c r="U628" i="5"/>
  <c r="U721" i="5"/>
  <c r="R721" i="5"/>
  <c r="U748" i="5"/>
  <c r="R748" i="5"/>
  <c r="R713" i="5"/>
  <c r="U713" i="5"/>
  <c r="R717" i="5"/>
  <c r="U717" i="5"/>
  <c r="U732" i="5"/>
  <c r="R732" i="5"/>
  <c r="R737" i="5"/>
  <c r="U737" i="5"/>
  <c r="T621" i="5"/>
  <c r="Q621" i="5"/>
  <c r="T580" i="5"/>
  <c r="Q580" i="5"/>
  <c r="T589" i="5"/>
  <c r="Q589" i="5"/>
  <c r="T664" i="5"/>
  <c r="Q664" i="5"/>
  <c r="Q544" i="5"/>
  <c r="T544" i="5"/>
  <c r="Q681" i="5"/>
  <c r="T681" i="5"/>
  <c r="Q662" i="5"/>
  <c r="T662" i="5"/>
  <c r="T626" i="5"/>
  <c r="Q626" i="5"/>
  <c r="T420" i="5"/>
  <c r="Q420" i="5"/>
  <c r="Q557" i="5"/>
  <c r="T557" i="5"/>
  <c r="Q429" i="5"/>
  <c r="T429" i="5"/>
  <c r="T654" i="5"/>
  <c r="Q654" i="5"/>
  <c r="T748" i="5"/>
  <c r="Q748" i="5"/>
  <c r="T742" i="5"/>
  <c r="Q742" i="5"/>
  <c r="T471" i="5"/>
  <c r="Q471" i="5"/>
  <c r="T605" i="5"/>
  <c r="Q605" i="5"/>
  <c r="T448" i="5"/>
  <c r="Q448" i="5"/>
  <c r="Q606" i="5"/>
  <c r="T606" i="5"/>
  <c r="Q687" i="5"/>
  <c r="T687" i="5"/>
  <c r="T487" i="5"/>
  <c r="Q487" i="5"/>
  <c r="T482" i="5"/>
  <c r="Q482" i="5"/>
  <c r="T489" i="5"/>
  <c r="Q489" i="5"/>
  <c r="T528" i="5"/>
  <c r="Q528" i="5"/>
  <c r="U392" i="5"/>
  <c r="R392" i="5"/>
  <c r="U446" i="5"/>
  <c r="R446" i="5"/>
  <c r="U455" i="5"/>
  <c r="R455" i="5"/>
  <c r="Q395" i="5"/>
  <c r="T395" i="5"/>
  <c r="R395" i="5"/>
  <c r="U395" i="5"/>
  <c r="U406" i="5"/>
  <c r="R406" i="5"/>
  <c r="U382" i="5"/>
  <c r="R382" i="5"/>
  <c r="U470" i="5"/>
  <c r="R470" i="5"/>
  <c r="U517" i="5"/>
  <c r="R517" i="5"/>
  <c r="T384" i="5"/>
  <c r="Q384" i="5"/>
  <c r="R469" i="5"/>
  <c r="U469" i="5"/>
  <c r="R520" i="5"/>
  <c r="U520" i="5"/>
  <c r="R551" i="5"/>
  <c r="U551" i="5"/>
  <c r="U539" i="5"/>
  <c r="R539" i="5"/>
  <c r="U451" i="5"/>
  <c r="R451" i="5"/>
  <c r="U505" i="5"/>
  <c r="R505" i="5"/>
  <c r="U537" i="5"/>
  <c r="R537" i="5"/>
  <c r="U582" i="5"/>
  <c r="R582" i="5"/>
  <c r="R592" i="5"/>
  <c r="U592" i="5"/>
  <c r="U615" i="5"/>
  <c r="R615" i="5"/>
  <c r="R610" i="5"/>
  <c r="U610" i="5"/>
  <c r="R594" i="5"/>
  <c r="U594" i="5"/>
  <c r="R595" i="5"/>
  <c r="U595" i="5"/>
  <c r="U586" i="5"/>
  <c r="R586" i="5"/>
  <c r="R639" i="5"/>
  <c r="U639" i="5"/>
  <c r="U692" i="5"/>
  <c r="R692" i="5"/>
  <c r="U629" i="5"/>
  <c r="R629" i="5"/>
  <c r="U633" i="5"/>
  <c r="R633" i="5"/>
  <c r="U695" i="5"/>
  <c r="R695" i="5"/>
  <c r="U720" i="5"/>
  <c r="R720" i="5"/>
  <c r="R689" i="5"/>
  <c r="U689" i="5"/>
  <c r="U727" i="5"/>
  <c r="R727" i="5"/>
  <c r="R670" i="5"/>
  <c r="U670" i="5"/>
  <c r="R738" i="5"/>
  <c r="U738" i="5"/>
  <c r="Q602" i="5"/>
  <c r="T602" i="5"/>
  <c r="Q547" i="5"/>
  <c r="T547" i="5"/>
  <c r="T653" i="5"/>
  <c r="Q653" i="5"/>
  <c r="Q712" i="5"/>
  <c r="T712" i="5"/>
  <c r="Q548" i="5"/>
  <c r="T548" i="5"/>
  <c r="Q708" i="5"/>
  <c r="T708" i="5"/>
  <c r="T455" i="5"/>
  <c r="Q455" i="5"/>
  <c r="T535" i="5"/>
  <c r="Q535" i="5"/>
  <c r="Q663" i="5"/>
  <c r="T663" i="5"/>
  <c r="T603" i="5"/>
  <c r="Q603" i="5"/>
  <c r="T672" i="5"/>
  <c r="Q672" i="5"/>
  <c r="T440" i="5"/>
  <c r="Q440" i="5"/>
  <c r="T536" i="5"/>
  <c r="Q536" i="5"/>
  <c r="T460" i="5"/>
  <c r="Q460" i="5"/>
  <c r="T584" i="5"/>
  <c r="Q584" i="5"/>
  <c r="T725" i="5"/>
  <c r="Q725" i="5"/>
  <c r="T724" i="5"/>
  <c r="Q724" i="5"/>
  <c r="T746" i="5"/>
  <c r="Q746" i="5"/>
  <c r="T614" i="5"/>
  <c r="Q614" i="5"/>
  <c r="T668" i="5"/>
  <c r="Q668" i="5"/>
  <c r="Q597" i="5"/>
  <c r="T597" i="5"/>
  <c r="T684" i="5"/>
  <c r="Q684" i="5"/>
  <c r="T490" i="5"/>
  <c r="Q490" i="5"/>
  <c r="Q485" i="5"/>
  <c r="T485" i="5"/>
  <c r="T501" i="5"/>
  <c r="Q501" i="5"/>
  <c r="T387" i="5"/>
  <c r="Q387" i="5"/>
  <c r="U465" i="5"/>
  <c r="R465" i="5"/>
  <c r="T386" i="5"/>
  <c r="Q386" i="5"/>
  <c r="R397" i="5"/>
  <c r="U397" i="5"/>
  <c r="Q396" i="5"/>
  <c r="T396" i="5"/>
  <c r="R407" i="5"/>
  <c r="U407" i="5"/>
  <c r="R386" i="5"/>
  <c r="U386" i="5"/>
  <c r="R473" i="5"/>
  <c r="U473" i="5"/>
  <c r="T389" i="5"/>
  <c r="Q389" i="5"/>
  <c r="U389" i="5"/>
  <c r="R389" i="5"/>
  <c r="U472" i="5"/>
  <c r="R472" i="5"/>
  <c r="R529" i="5"/>
  <c r="U529" i="5"/>
  <c r="U480" i="5"/>
  <c r="R480" i="5"/>
  <c r="R541" i="5"/>
  <c r="U541" i="5"/>
  <c r="U482" i="5"/>
  <c r="R482" i="5"/>
  <c r="R510" i="5"/>
  <c r="U510" i="5"/>
  <c r="U543" i="5"/>
  <c r="R543" i="5"/>
  <c r="U560" i="5"/>
  <c r="R560" i="5"/>
  <c r="U515" i="5"/>
  <c r="R515" i="5"/>
  <c r="U590" i="5"/>
  <c r="R590" i="5"/>
  <c r="R618" i="5"/>
  <c r="U618" i="5"/>
  <c r="R597" i="5"/>
  <c r="U597" i="5"/>
  <c r="R600" i="5"/>
  <c r="U600" i="5"/>
  <c r="U598" i="5"/>
  <c r="R598" i="5"/>
  <c r="U648" i="5"/>
  <c r="R648" i="5"/>
  <c r="U696" i="5"/>
  <c r="R696" i="5"/>
  <c r="U637" i="5"/>
  <c r="R637" i="5"/>
  <c r="U653" i="5"/>
  <c r="R653" i="5"/>
  <c r="U702" i="5"/>
  <c r="R702" i="5"/>
  <c r="R734" i="5"/>
  <c r="U734" i="5"/>
  <c r="R741" i="5"/>
  <c r="U741" i="5"/>
  <c r="U730" i="5"/>
  <c r="R730" i="5"/>
  <c r="R673" i="5"/>
  <c r="U673" i="5"/>
  <c r="Q436" i="5"/>
  <c r="T436" i="5"/>
  <c r="Q618" i="5"/>
  <c r="T618" i="5"/>
  <c r="T442" i="5"/>
  <c r="Q442" i="5"/>
  <c r="T674" i="5"/>
  <c r="Q674" i="5"/>
  <c r="Q546" i="5"/>
  <c r="T546" i="5"/>
  <c r="T707" i="5"/>
  <c r="Q707" i="5"/>
  <c r="AG22" i="5"/>
  <c r="AB22" i="5"/>
  <c r="AA22" i="5"/>
  <c r="Y23" i="5"/>
  <c r="Z22" i="5"/>
  <c r="T558" i="5"/>
  <c r="Q558" i="5"/>
  <c r="T715" i="5"/>
  <c r="Q715" i="5"/>
  <c r="T522" i="5"/>
  <c r="Q522" i="5"/>
  <c r="Q525" i="5"/>
  <c r="T525" i="5"/>
  <c r="Q611" i="5"/>
  <c r="T611" i="5"/>
  <c r="T670" i="5"/>
  <c r="Q670" i="5"/>
  <c r="T463" i="5"/>
  <c r="Q463" i="5"/>
  <c r="T650" i="5"/>
  <c r="Q650" i="5"/>
  <c r="Q669" i="5"/>
  <c r="T669" i="5"/>
  <c r="T447" i="5"/>
  <c r="Q447" i="5"/>
  <c r="Q627" i="5"/>
  <c r="T627" i="5"/>
  <c r="T581" i="5"/>
  <c r="Q581" i="5"/>
  <c r="T720" i="5"/>
  <c r="Q720" i="5"/>
  <c r="T726" i="5"/>
  <c r="Q726" i="5"/>
  <c r="T722" i="5"/>
  <c r="Q722" i="5"/>
  <c r="Q573" i="5"/>
  <c r="T573" i="5"/>
  <c r="Q665" i="5"/>
  <c r="T665" i="5"/>
  <c r="T497" i="5"/>
  <c r="Q497" i="5"/>
  <c r="Q502" i="5"/>
  <c r="T502" i="5"/>
  <c r="T493" i="5"/>
  <c r="Q493" i="5"/>
  <c r="R390" i="5"/>
  <c r="U390" i="5"/>
  <c r="R402" i="5"/>
  <c r="U402" i="5"/>
  <c r="R399" i="5"/>
  <c r="U399" i="5"/>
  <c r="R411" i="5"/>
  <c r="U411" i="5"/>
  <c r="T409" i="5"/>
  <c r="Q409" i="5"/>
  <c r="T408" i="5"/>
  <c r="Q408" i="5"/>
  <c r="T391" i="5"/>
  <c r="Q391" i="5"/>
  <c r="U476" i="5"/>
  <c r="R476" i="5"/>
  <c r="U396" i="5"/>
  <c r="R396" i="5"/>
  <c r="T394" i="5"/>
  <c r="Q394" i="5"/>
  <c r="R478" i="5"/>
  <c r="U478" i="5"/>
  <c r="R536" i="5"/>
  <c r="U536" i="5"/>
  <c r="U483" i="5"/>
  <c r="R483" i="5"/>
  <c r="R558" i="5"/>
  <c r="U558" i="5"/>
  <c r="U485" i="5"/>
  <c r="R485" i="5"/>
  <c r="U516" i="5"/>
  <c r="R516" i="5"/>
  <c r="U546" i="5"/>
  <c r="R546" i="5"/>
  <c r="U567" i="5"/>
  <c r="R567" i="5"/>
  <c r="R527" i="5"/>
  <c r="U527" i="5"/>
  <c r="U593" i="5"/>
  <c r="R593" i="5"/>
  <c r="U623" i="5"/>
  <c r="R623" i="5"/>
  <c r="U634" i="5"/>
  <c r="R634" i="5"/>
  <c r="U631" i="5"/>
  <c r="R631" i="5"/>
  <c r="U603" i="5"/>
  <c r="R603" i="5"/>
  <c r="U693" i="5"/>
  <c r="R693" i="5"/>
  <c r="U705" i="5"/>
  <c r="R705" i="5"/>
  <c r="U640" i="5"/>
  <c r="R640" i="5"/>
  <c r="R656" i="5"/>
  <c r="U656" i="5"/>
  <c r="R716" i="5"/>
  <c r="U716" i="5"/>
  <c r="U645" i="5"/>
  <c r="R645" i="5"/>
  <c r="U701" i="5"/>
  <c r="R701" i="5"/>
  <c r="R735" i="5"/>
  <c r="U735" i="5"/>
  <c r="R676" i="5"/>
  <c r="U676" i="5"/>
  <c r="Q421" i="5"/>
  <c r="T421" i="5"/>
  <c r="T530" i="5"/>
  <c r="Q530" i="5"/>
  <c r="T624" i="5"/>
  <c r="Q624" i="5"/>
  <c r="T655" i="5"/>
  <c r="Q655" i="5"/>
  <c r="T612" i="5"/>
  <c r="Q612" i="5"/>
  <c r="T518" i="5"/>
  <c r="Q518" i="5"/>
  <c r="T667" i="5"/>
  <c r="Q667" i="5"/>
  <c r="Q474" i="5"/>
  <c r="T474" i="5"/>
  <c r="T629" i="5"/>
  <c r="Q629" i="5"/>
  <c r="Q709" i="5"/>
  <c r="T709" i="5"/>
  <c r="Q450" i="5"/>
  <c r="T450" i="5"/>
  <c r="T620" i="5"/>
  <c r="Q620" i="5"/>
  <c r="T572" i="5"/>
  <c r="Q572" i="5"/>
  <c r="T731" i="5"/>
  <c r="Q731" i="5"/>
  <c r="T739" i="5"/>
  <c r="Q739" i="5"/>
  <c r="Q647" i="5"/>
  <c r="T647" i="5"/>
  <c r="T531" i="5"/>
  <c r="Q531" i="5"/>
  <c r="T701" i="5"/>
  <c r="Q701" i="5"/>
  <c r="T475" i="5"/>
  <c r="Q475" i="5"/>
  <c r="Q476" i="5"/>
  <c r="T476" i="5"/>
  <c r="T505" i="5"/>
  <c r="Q505" i="5"/>
  <c r="U404" i="5"/>
  <c r="R404" i="5"/>
  <c r="R431" i="5"/>
  <c r="U431" i="5"/>
  <c r="R400" i="5"/>
  <c r="U400" i="5"/>
  <c r="R412" i="5"/>
  <c r="U412" i="5"/>
  <c r="U423" i="5"/>
  <c r="R423" i="5"/>
  <c r="U421" i="5"/>
  <c r="R421" i="5"/>
  <c r="R398" i="5"/>
  <c r="U398" i="5"/>
  <c r="U479" i="5"/>
  <c r="R479" i="5"/>
  <c r="T401" i="5"/>
  <c r="Q401" i="5"/>
  <c r="U401" i="5"/>
  <c r="R401" i="5"/>
  <c r="U487" i="5"/>
  <c r="R487" i="5"/>
  <c r="R495" i="5"/>
  <c r="U495" i="5"/>
  <c r="R492" i="5"/>
  <c r="U492" i="5"/>
  <c r="U504" i="5"/>
  <c r="R504" i="5"/>
  <c r="U501" i="5"/>
  <c r="R501" i="5"/>
  <c r="U556" i="5"/>
  <c r="R556" i="5"/>
  <c r="U573" i="5"/>
  <c r="R573" i="5"/>
  <c r="R570" i="5"/>
  <c r="U570" i="5"/>
  <c r="U544" i="5"/>
  <c r="R544" i="5"/>
  <c r="U611" i="5"/>
  <c r="R611" i="5"/>
  <c r="R620" i="5"/>
  <c r="U620" i="5"/>
  <c r="R608" i="5"/>
  <c r="U608" i="5"/>
  <c r="R638" i="5"/>
  <c r="U638" i="5"/>
  <c r="U606" i="5"/>
  <c r="R606" i="5"/>
  <c r="U707" i="5"/>
  <c r="R707" i="5"/>
  <c r="U607" i="5"/>
  <c r="R607" i="5"/>
  <c r="U646" i="5"/>
  <c r="R646" i="5"/>
  <c r="U661" i="5"/>
  <c r="R661" i="5"/>
  <c r="R728" i="5"/>
  <c r="U728" i="5"/>
  <c r="U657" i="5"/>
  <c r="R657" i="5"/>
  <c r="U729" i="5"/>
  <c r="R729" i="5"/>
  <c r="R740" i="5"/>
  <c r="U740" i="5"/>
  <c r="R679" i="5"/>
  <c r="U679" i="5"/>
  <c r="T601" i="5"/>
  <c r="Q601" i="5"/>
  <c r="T648" i="5"/>
  <c r="Q648" i="5"/>
  <c r="T607" i="5"/>
  <c r="Q607" i="5"/>
  <c r="Q679" i="5"/>
  <c r="T679" i="5"/>
  <c r="T593" i="5"/>
  <c r="Q593" i="5"/>
  <c r="T683" i="5"/>
  <c r="Q683" i="5"/>
  <c r="T686" i="5"/>
  <c r="Q686" i="5"/>
  <c r="Q427" i="5"/>
  <c r="T427" i="5"/>
  <c r="T533" i="5"/>
  <c r="Q533" i="5"/>
  <c r="Q656" i="5"/>
  <c r="T656" i="5"/>
  <c r="T700" i="5"/>
  <c r="Q700" i="5"/>
  <c r="Q516" i="5"/>
  <c r="T516" i="5"/>
  <c r="Q741" i="5"/>
  <c r="T741" i="5"/>
  <c r="T718" i="5"/>
  <c r="Q718" i="5"/>
  <c r="T730" i="5"/>
  <c r="Q730" i="5"/>
  <c r="T543" i="5"/>
  <c r="Q543" i="5"/>
  <c r="Q631" i="5"/>
  <c r="T631" i="5"/>
  <c r="T716" i="5"/>
  <c r="Q716" i="5"/>
  <c r="T481" i="5"/>
  <c r="Q481" i="5"/>
  <c r="T479" i="5"/>
  <c r="Q479" i="5"/>
  <c r="T649" i="5"/>
  <c r="Q649" i="5"/>
  <c r="T405" i="5"/>
  <c r="Q405" i="5"/>
  <c r="U445" i="5"/>
  <c r="R445" i="5"/>
  <c r="R414" i="5"/>
  <c r="U414" i="5"/>
  <c r="R426" i="5"/>
  <c r="U426" i="5"/>
  <c r="R424" i="5"/>
  <c r="U424" i="5"/>
  <c r="U435" i="5"/>
  <c r="R435" i="5"/>
  <c r="T403" i="5"/>
  <c r="Q403" i="5"/>
  <c r="U488" i="5"/>
  <c r="R488" i="5"/>
  <c r="U408" i="5"/>
  <c r="R408" i="5"/>
  <c r="T406" i="5"/>
  <c r="Q406" i="5"/>
  <c r="R490" i="5"/>
  <c r="U490" i="5"/>
  <c r="U542" i="5"/>
  <c r="R542" i="5"/>
  <c r="R507" i="5"/>
  <c r="U507" i="5"/>
  <c r="U519" i="5"/>
  <c r="R519" i="5"/>
  <c r="R502" i="5"/>
  <c r="U502" i="5"/>
  <c r="R555" i="5"/>
  <c r="U555" i="5"/>
  <c r="U467" i="5"/>
  <c r="R467" i="5"/>
  <c r="R580" i="5"/>
  <c r="U580" i="5"/>
  <c r="U549" i="5"/>
  <c r="R549" i="5"/>
  <c r="R699" i="5"/>
  <c r="U699" i="5"/>
  <c r="R635" i="5"/>
  <c r="U635" i="5"/>
  <c r="U572" i="5"/>
  <c r="R572" i="5"/>
  <c r="R641" i="5"/>
  <c r="U641" i="5"/>
  <c r="R613" i="5"/>
  <c r="U613" i="5"/>
  <c r="U649" i="5"/>
  <c r="R649" i="5"/>
  <c r="U619" i="5"/>
  <c r="R619" i="5"/>
  <c r="U655" i="5"/>
  <c r="R655" i="5"/>
  <c r="U665" i="5"/>
  <c r="R665" i="5"/>
  <c r="R678" i="5"/>
  <c r="U678" i="5"/>
  <c r="U660" i="5"/>
  <c r="R660" i="5"/>
  <c r="R708" i="5"/>
  <c r="U708" i="5"/>
  <c r="R743" i="5"/>
  <c r="U743" i="5"/>
  <c r="R682" i="5"/>
  <c r="U682" i="5"/>
  <c r="Q658" i="5"/>
  <c r="T658" i="5"/>
  <c r="Q529" i="5"/>
  <c r="T529" i="5"/>
  <c r="Q678" i="5"/>
  <c r="T678" i="5"/>
  <c r="T426" i="5"/>
  <c r="Q426" i="5"/>
  <c r="Q559" i="5"/>
  <c r="T559" i="5"/>
  <c r="Q723" i="5"/>
  <c r="T723" i="5"/>
  <c r="T747" i="5"/>
  <c r="Q747" i="5"/>
  <c r="T740" i="5"/>
  <c r="Q740" i="5"/>
  <c r="T575" i="5"/>
  <c r="Q575" i="5"/>
  <c r="T521" i="5"/>
  <c r="Q521" i="5"/>
  <c r="Q630" i="5"/>
  <c r="T630" i="5"/>
  <c r="T435" i="5"/>
  <c r="Q435" i="5"/>
  <c r="Q710" i="5"/>
  <c r="T710" i="5"/>
  <c r="T484" i="5"/>
  <c r="Q484" i="5"/>
  <c r="T488" i="5"/>
  <c r="Q488" i="5"/>
  <c r="Q633" i="5"/>
  <c r="T633" i="5"/>
  <c r="R419" i="5"/>
  <c r="U419" i="5"/>
  <c r="R416" i="5"/>
  <c r="U416" i="5"/>
  <c r="R428" i="5"/>
  <c r="U428" i="5"/>
  <c r="R440" i="5"/>
  <c r="U440" i="5"/>
  <c r="R385" i="5"/>
  <c r="U385" i="5"/>
  <c r="R436" i="5"/>
  <c r="U436" i="5"/>
  <c r="U410" i="5"/>
  <c r="R410" i="5"/>
  <c r="U491" i="5"/>
  <c r="R491" i="5"/>
  <c r="T413" i="5"/>
  <c r="Q413" i="5"/>
  <c r="U413" i="5"/>
  <c r="R413" i="5"/>
  <c r="R497" i="5"/>
  <c r="U497" i="5"/>
  <c r="R559" i="5"/>
  <c r="U559" i="5"/>
  <c r="U528" i="5"/>
  <c r="R528" i="5"/>
  <c r="U545" i="5"/>
  <c r="R545" i="5"/>
  <c r="U514" i="5"/>
  <c r="R514" i="5"/>
  <c r="U578" i="5"/>
  <c r="R578" i="5"/>
  <c r="U484" i="5"/>
  <c r="R484" i="5"/>
  <c r="U589" i="5"/>
  <c r="R589" i="5"/>
  <c r="U550" i="5"/>
  <c r="R550" i="5"/>
  <c r="U518" i="5"/>
  <c r="R518" i="5"/>
  <c r="U647" i="5"/>
  <c r="R647" i="5"/>
  <c r="R599" i="5"/>
  <c r="U599" i="5"/>
  <c r="U683" i="5"/>
  <c r="R683" i="5"/>
  <c r="U626" i="5"/>
  <c r="R626" i="5"/>
  <c r="R662" i="5"/>
  <c r="U662" i="5"/>
  <c r="U643" i="5"/>
  <c r="R643" i="5"/>
  <c r="R658" i="5"/>
  <c r="U658" i="5"/>
  <c r="R668" i="5"/>
  <c r="U668" i="5"/>
  <c r="R723" i="5"/>
  <c r="U723" i="5"/>
  <c r="U663" i="5"/>
  <c r="R663" i="5"/>
  <c r="R714" i="5"/>
  <c r="U714" i="5"/>
  <c r="U691" i="5"/>
  <c r="R691" i="5"/>
  <c r="R685" i="5"/>
  <c r="U685" i="5"/>
  <c r="T470" i="5"/>
  <c r="Q470" i="5"/>
  <c r="T651" i="5"/>
  <c r="Q651" i="5"/>
  <c r="T430" i="5"/>
  <c r="Q430" i="5"/>
  <c r="T657" i="5"/>
  <c r="Q657" i="5"/>
  <c r="T591" i="5"/>
  <c r="Q591" i="5"/>
  <c r="BG22" i="5"/>
  <c r="BF22" i="5"/>
  <c r="BD23" i="5"/>
  <c r="BL22" i="5"/>
  <c r="BE22" i="5"/>
  <c r="T640" i="5"/>
  <c r="Q640" i="5"/>
  <c r="T472" i="5"/>
  <c r="Q472" i="5"/>
  <c r="T616" i="5"/>
  <c r="Q616" i="5"/>
  <c r="T563" i="5"/>
  <c r="Q563" i="5"/>
  <c r="T736" i="5"/>
  <c r="Q736" i="5"/>
  <c r="T745" i="5"/>
  <c r="Q745" i="5"/>
  <c r="Q743" i="5"/>
  <c r="T743" i="5"/>
  <c r="T428" i="5"/>
  <c r="Q428" i="5"/>
  <c r="T578" i="5"/>
  <c r="Q578" i="5"/>
  <c r="T437" i="5"/>
  <c r="Q437" i="5"/>
  <c r="T423" i="5"/>
  <c r="Q423" i="5"/>
  <c r="Q495" i="5"/>
  <c r="T495" i="5"/>
  <c r="T491" i="5"/>
  <c r="Q491" i="5"/>
  <c r="U433" i="5"/>
  <c r="R433" i="5"/>
  <c r="U417" i="5"/>
  <c r="R417" i="5"/>
  <c r="R429" i="5"/>
  <c r="U429" i="5"/>
  <c r="R441" i="5"/>
  <c r="U441" i="5"/>
  <c r="U388" i="5"/>
  <c r="R388" i="5"/>
  <c r="R415" i="5"/>
  <c r="U415" i="5"/>
  <c r="R526" i="5"/>
  <c r="U526" i="5"/>
  <c r="U425" i="5"/>
  <c r="R425" i="5"/>
  <c r="U418" i="5"/>
  <c r="R418" i="5"/>
  <c r="R513" i="5"/>
  <c r="U513" i="5"/>
  <c r="U450" i="5"/>
  <c r="R450" i="5"/>
  <c r="R506" i="5"/>
  <c r="U506" i="5"/>
  <c r="R393" i="5"/>
  <c r="U393" i="5"/>
  <c r="U533" i="5"/>
  <c r="R533" i="5"/>
  <c r="U581" i="5"/>
  <c r="R581" i="5"/>
  <c r="U496" i="5"/>
  <c r="R496" i="5"/>
  <c r="R614" i="5"/>
  <c r="U614" i="5"/>
  <c r="R569" i="5"/>
  <c r="U569" i="5"/>
  <c r="U530" i="5"/>
  <c r="R530" i="5"/>
  <c r="U609" i="5"/>
  <c r="R609" i="5"/>
  <c r="U602" i="5"/>
  <c r="R602" i="5"/>
  <c r="R630" i="5"/>
  <c r="U630" i="5"/>
  <c r="U636" i="5"/>
  <c r="R636" i="5"/>
  <c r="R651" i="5"/>
  <c r="U651" i="5"/>
  <c r="U669" i="5"/>
  <c r="R669" i="5"/>
  <c r="U680" i="5"/>
  <c r="R680" i="5"/>
  <c r="U671" i="5"/>
  <c r="R671" i="5"/>
  <c r="U642" i="5"/>
  <c r="R642" i="5"/>
  <c r="U666" i="5"/>
  <c r="R666" i="5"/>
  <c r="R719" i="5"/>
  <c r="U719" i="5"/>
  <c r="U694" i="5"/>
  <c r="R694" i="5"/>
  <c r="R688" i="5"/>
  <c r="U688" i="5"/>
  <c r="T454" i="5"/>
  <c r="Q454" i="5"/>
  <c r="T461" i="5"/>
  <c r="Q461" i="5"/>
  <c r="Q642" i="5"/>
  <c r="T642" i="5"/>
  <c r="T438" i="5"/>
  <c r="Q438" i="5"/>
  <c r="Q639" i="5"/>
  <c r="T639" i="5"/>
  <c r="T574" i="5"/>
  <c r="Q574" i="5"/>
  <c r="Q646" i="5"/>
  <c r="T646" i="5"/>
  <c r="T432" i="5"/>
  <c r="Q432" i="5"/>
  <c r="Q636" i="5"/>
  <c r="T636" i="5"/>
  <c r="T452" i="5"/>
  <c r="Q452" i="5"/>
  <c r="Q613" i="5"/>
  <c r="T613" i="5"/>
  <c r="T534" i="5"/>
  <c r="Q534" i="5"/>
  <c r="Q744" i="5"/>
  <c r="T744" i="5"/>
  <c r="T729" i="5"/>
  <c r="Q729" i="5"/>
  <c r="T721" i="5"/>
  <c r="Q721" i="5"/>
  <c r="T590" i="5"/>
  <c r="Q590" i="5"/>
  <c r="T422" i="5"/>
  <c r="Q422" i="5"/>
  <c r="T494" i="5"/>
  <c r="Q494" i="5"/>
  <c r="T480" i="5"/>
  <c r="Q480" i="5"/>
  <c r="T503" i="5"/>
  <c r="Q503" i="5"/>
  <c r="T619" i="5"/>
  <c r="Q619" i="5"/>
  <c r="R444" i="5"/>
  <c r="U444" i="5"/>
  <c r="R448" i="5"/>
  <c r="U448" i="5"/>
  <c r="U452" i="5"/>
  <c r="R452" i="5"/>
  <c r="Q392" i="5"/>
  <c r="T392" i="5"/>
  <c r="T390" i="5"/>
  <c r="Q390" i="5"/>
  <c r="R427" i="5"/>
  <c r="U427" i="5"/>
  <c r="U531" i="5"/>
  <c r="R531" i="5"/>
  <c r="U437" i="5"/>
  <c r="R437" i="5"/>
  <c r="U430" i="5"/>
  <c r="R430" i="5"/>
  <c r="U463" i="5"/>
  <c r="R463" i="5"/>
  <c r="U477" i="5"/>
  <c r="R477" i="5"/>
  <c r="U462" i="5"/>
  <c r="R462" i="5"/>
  <c r="Q398" i="5"/>
  <c r="T398" i="5"/>
  <c r="R535" i="5"/>
  <c r="U535" i="5"/>
  <c r="U503" i="5"/>
  <c r="R503" i="5"/>
  <c r="R563" i="5"/>
  <c r="U563" i="5"/>
  <c r="U577" i="5"/>
  <c r="R577" i="5"/>
  <c r="U575" i="5"/>
  <c r="R575" i="5"/>
  <c r="U547" i="5"/>
  <c r="R547" i="5"/>
  <c r="U617" i="5"/>
  <c r="R617" i="5"/>
  <c r="U605" i="5"/>
  <c r="R605" i="5"/>
  <c r="R674" i="5"/>
  <c r="U674" i="5"/>
  <c r="U650" i="5"/>
  <c r="R650" i="5"/>
  <c r="R731" i="5"/>
  <c r="U731" i="5"/>
  <c r="R690" i="5"/>
  <c r="U690" i="5"/>
  <c r="R722" i="5"/>
  <c r="U722" i="5"/>
  <c r="R709" i="5"/>
  <c r="U709" i="5"/>
  <c r="R654" i="5"/>
  <c r="U654" i="5"/>
  <c r="R675" i="5"/>
  <c r="U675" i="5"/>
  <c r="U698" i="5"/>
  <c r="R698" i="5"/>
  <c r="U697" i="5"/>
  <c r="R697" i="5"/>
  <c r="U742" i="5"/>
  <c r="R742" i="5"/>
  <c r="T451" i="5"/>
  <c r="Q451" i="5"/>
  <c r="T459" i="5"/>
  <c r="Q459" i="5"/>
  <c r="T431" i="5"/>
  <c r="Q431" i="5"/>
  <c r="T617" i="5"/>
  <c r="Q617" i="5"/>
  <c r="T425" i="5"/>
  <c r="Q425" i="5"/>
  <c r="T570" i="5"/>
  <c r="Q570" i="5"/>
  <c r="T444" i="5"/>
  <c r="Q444" i="5"/>
  <c r="T579" i="5"/>
  <c r="Q579" i="5"/>
  <c r="Q644" i="5"/>
  <c r="T644" i="5"/>
  <c r="Q441" i="5"/>
  <c r="T441" i="5"/>
  <c r="T523" i="5"/>
  <c r="Q523" i="5"/>
  <c r="T680" i="5"/>
  <c r="Q680" i="5"/>
  <c r="T596" i="5"/>
  <c r="Q596" i="5"/>
  <c r="T468" i="5"/>
  <c r="Q468" i="5"/>
  <c r="T587" i="5"/>
  <c r="Q587" i="5"/>
  <c r="Q728" i="5"/>
  <c r="T728" i="5"/>
  <c r="Q732" i="5"/>
  <c r="T732" i="5"/>
  <c r="T733" i="5"/>
  <c r="Q733" i="5"/>
  <c r="T443" i="5"/>
  <c r="Q443" i="5"/>
  <c r="Q499" i="5"/>
  <c r="T499" i="5"/>
  <c r="Q483" i="5"/>
  <c r="T483" i="5"/>
  <c r="Q486" i="5"/>
  <c r="T486" i="5"/>
  <c r="Q623" i="5"/>
  <c r="T623" i="5"/>
  <c r="Q635" i="5"/>
  <c r="T635" i="5"/>
  <c r="U387" i="5"/>
  <c r="R387" i="5"/>
  <c r="U453" i="5"/>
  <c r="R453" i="5"/>
  <c r="T397" i="5"/>
  <c r="Q397" i="5"/>
  <c r="Q407" i="5"/>
  <c r="T407" i="5"/>
  <c r="U391" i="5"/>
  <c r="R391" i="5"/>
  <c r="U439" i="5"/>
  <c r="R439" i="5"/>
  <c r="U540" i="5"/>
  <c r="R540" i="5"/>
  <c r="U454" i="5"/>
  <c r="R454" i="5"/>
  <c r="U442" i="5"/>
  <c r="R442" i="5"/>
  <c r="R466" i="5"/>
  <c r="U466" i="5"/>
  <c r="U486" i="5"/>
  <c r="R486" i="5"/>
  <c r="R471" i="5"/>
  <c r="U471" i="5"/>
  <c r="U405" i="5"/>
  <c r="R405" i="5"/>
  <c r="R553" i="5"/>
  <c r="U553" i="5"/>
  <c r="U508" i="5"/>
  <c r="R508" i="5"/>
  <c r="U576" i="5"/>
  <c r="R576" i="5"/>
  <c r="U500" i="5"/>
  <c r="R500" i="5"/>
  <c r="U584" i="5"/>
  <c r="R584" i="5"/>
  <c r="R565" i="5"/>
  <c r="U565" i="5"/>
  <c r="U585" i="5"/>
  <c r="R585" i="5"/>
  <c r="U554" i="5"/>
  <c r="R554" i="5"/>
  <c r="U627" i="5"/>
  <c r="R627" i="5"/>
  <c r="U652" i="5"/>
  <c r="R652" i="5"/>
  <c r="U632" i="5"/>
  <c r="R632" i="5"/>
  <c r="R715" i="5"/>
  <c r="U715" i="5"/>
  <c r="U726" i="5"/>
  <c r="R726" i="5"/>
  <c r="R724" i="5"/>
  <c r="U724" i="5"/>
  <c r="R659" i="5"/>
  <c r="U659" i="5"/>
  <c r="U677" i="5"/>
  <c r="R677" i="5"/>
  <c r="U711" i="5"/>
  <c r="R711" i="5"/>
  <c r="U700" i="5"/>
  <c r="R700" i="5"/>
  <c r="R746" i="5"/>
  <c r="U746" i="5"/>
  <c r="Q585" i="5"/>
  <c r="T585" i="5"/>
  <c r="T515" i="5"/>
  <c r="Q515" i="5"/>
  <c r="T458" i="5"/>
  <c r="Q458" i="5"/>
  <c r="T608" i="5"/>
  <c r="Q608" i="5"/>
  <c r="T434" i="5"/>
  <c r="Q434" i="5"/>
  <c r="Q424" i="5"/>
  <c r="T424" i="5"/>
  <c r="T571" i="5"/>
  <c r="Q571" i="5"/>
  <c r="T526" i="5"/>
  <c r="Q526" i="5"/>
  <c r="Q714" i="5"/>
  <c r="T714" i="5"/>
  <c r="Q702" i="5"/>
  <c r="T702" i="5"/>
  <c r="Q583" i="5"/>
  <c r="T583" i="5"/>
  <c r="T582" i="5"/>
  <c r="Q582" i="5"/>
  <c r="Q738" i="5"/>
  <c r="T738" i="5"/>
  <c r="T727" i="5"/>
  <c r="Q727" i="5"/>
  <c r="T734" i="5"/>
  <c r="Q734" i="5"/>
  <c r="Q666" i="5"/>
  <c r="T666" i="5"/>
  <c r="T473" i="5"/>
  <c r="Q473" i="5"/>
  <c r="T500" i="5"/>
  <c r="Q500" i="5"/>
  <c r="T492" i="5"/>
  <c r="Q492" i="5"/>
  <c r="T498" i="5"/>
  <c r="Q498" i="5"/>
  <c r="T594" i="5"/>
  <c r="Q594" i="5"/>
  <c r="T643" i="5"/>
  <c r="Q643" i="5"/>
  <c r="R383" i="5"/>
  <c r="U383" i="5"/>
  <c r="T402" i="5"/>
  <c r="Q402" i="5"/>
  <c r="T399" i="5"/>
  <c r="Q399" i="5"/>
  <c r="T411" i="5"/>
  <c r="Q411" i="5"/>
  <c r="T385" i="5"/>
  <c r="Q385" i="5"/>
  <c r="U409" i="5"/>
  <c r="R409" i="5"/>
  <c r="Q404" i="5"/>
  <c r="T404" i="5"/>
  <c r="R456" i="5"/>
  <c r="U456" i="5"/>
  <c r="R564" i="5"/>
  <c r="U564" i="5"/>
  <c r="U498" i="5"/>
  <c r="R498" i="5"/>
  <c r="U447" i="5"/>
  <c r="R447" i="5"/>
  <c r="U475" i="5"/>
  <c r="R475" i="5"/>
  <c r="U489" i="5"/>
  <c r="R489" i="5"/>
  <c r="U474" i="5"/>
  <c r="R474" i="5"/>
  <c r="T410" i="5"/>
  <c r="Q410" i="5"/>
  <c r="U464" i="5"/>
  <c r="R464" i="5"/>
  <c r="U522" i="5"/>
  <c r="R522" i="5"/>
  <c r="U587" i="5"/>
  <c r="R587" i="5"/>
  <c r="U552" i="5"/>
  <c r="R552" i="5"/>
  <c r="R622" i="5"/>
  <c r="U622" i="5"/>
  <c r="R568" i="5"/>
  <c r="U568" i="5"/>
  <c r="R588" i="5"/>
  <c r="U588" i="5"/>
  <c r="R566" i="5"/>
  <c r="U566" i="5"/>
  <c r="R725" i="5"/>
  <c r="U725" i="5"/>
  <c r="U704" i="5"/>
  <c r="R704" i="5"/>
  <c r="U667" i="5"/>
  <c r="R667" i="5"/>
  <c r="R733" i="5"/>
  <c r="U733" i="5"/>
  <c r="U739" i="5"/>
  <c r="R739" i="5"/>
  <c r="R744" i="5"/>
  <c r="U744" i="5"/>
  <c r="R712" i="5"/>
  <c r="U712" i="5"/>
  <c r="U684" i="5"/>
  <c r="R684" i="5"/>
  <c r="R745" i="5"/>
  <c r="U745" i="5"/>
  <c r="U703" i="5"/>
  <c r="R703" i="5"/>
  <c r="U747" i="5"/>
  <c r="R747" i="5"/>
  <c r="Q586" i="5"/>
  <c r="T586" i="5"/>
  <c r="Q675" i="5"/>
  <c r="T675" i="5"/>
  <c r="T599" i="5"/>
  <c r="Q599" i="5"/>
  <c r="T465" i="5"/>
  <c r="Q465" i="5"/>
  <c r="T604" i="5"/>
  <c r="Q604" i="5"/>
  <c r="T456" i="5"/>
  <c r="Q456" i="5"/>
  <c r="T520" i="5"/>
  <c r="Q520" i="5"/>
  <c r="T704" i="5"/>
  <c r="Q704" i="5"/>
  <c r="T735" i="5"/>
  <c r="Q735" i="5"/>
  <c r="T469" i="5"/>
  <c r="Q469" i="5"/>
  <c r="T457" i="5"/>
  <c r="Q457" i="5"/>
  <c r="T549" i="5"/>
  <c r="Q549" i="5"/>
  <c r="T652" i="5"/>
  <c r="Q652" i="5"/>
  <c r="Q449" i="5"/>
  <c r="T449" i="5"/>
  <c r="T504" i="5"/>
  <c r="Q504" i="5"/>
  <c r="T496" i="5"/>
  <c r="Q496" i="5"/>
  <c r="Q592" i="5"/>
  <c r="T592" i="5"/>
  <c r="Q632" i="5"/>
  <c r="T632" i="5"/>
  <c r="T689" i="5"/>
  <c r="Q689" i="5"/>
  <c r="T393" i="5"/>
  <c r="Q393" i="5"/>
  <c r="U403" i="5"/>
  <c r="R403" i="5"/>
  <c r="Q400" i="5"/>
  <c r="T400" i="5"/>
  <c r="Q412" i="5"/>
  <c r="T412" i="5"/>
  <c r="Q388" i="5"/>
  <c r="T388" i="5"/>
  <c r="U438" i="5"/>
  <c r="R438" i="5"/>
  <c r="U420" i="5"/>
  <c r="R420" i="5"/>
  <c r="U458" i="5"/>
  <c r="R458" i="5"/>
  <c r="R494" i="5"/>
  <c r="U494" i="5"/>
  <c r="R524" i="5"/>
  <c r="U524" i="5"/>
  <c r="U457" i="5"/>
  <c r="R457" i="5"/>
  <c r="R511" i="5"/>
  <c r="U511" i="5"/>
  <c r="U509" i="5"/>
  <c r="R509" i="5"/>
  <c r="U521" i="5"/>
  <c r="R521" i="5"/>
  <c r="U422" i="5"/>
  <c r="R422" i="5"/>
  <c r="R481" i="5"/>
  <c r="U481" i="5"/>
  <c r="U525" i="5"/>
  <c r="R525" i="5"/>
  <c r="U579" i="5"/>
  <c r="R579" i="5"/>
  <c r="R561" i="5"/>
  <c r="U561" i="5"/>
  <c r="R625" i="5"/>
  <c r="U625" i="5"/>
  <c r="U601" i="5"/>
  <c r="R601" i="5"/>
  <c r="R591" i="5"/>
  <c r="U591" i="5"/>
  <c r="U571" i="5"/>
  <c r="R571" i="5"/>
  <c r="U557" i="5"/>
  <c r="R557" i="5"/>
  <c r="R644" i="5"/>
  <c r="U644" i="5"/>
  <c r="U621" i="5"/>
  <c r="R621" i="5"/>
  <c r="R612" i="5"/>
  <c r="U612" i="5"/>
  <c r="R616" i="5"/>
  <c r="U616" i="5"/>
  <c r="U672" i="5"/>
  <c r="R672" i="5"/>
  <c r="U718" i="5"/>
  <c r="R718" i="5"/>
  <c r="R686" i="5"/>
  <c r="U686" i="5"/>
  <c r="R710" i="5"/>
  <c r="U710" i="5"/>
  <c r="R706" i="5"/>
  <c r="U706" i="5"/>
  <c r="R736" i="5"/>
  <c r="U736" i="5"/>
  <c r="T561" i="5"/>
  <c r="Q561" i="5"/>
  <c r="Q703" i="5"/>
  <c r="T703" i="5"/>
  <c r="T610" i="5"/>
  <c r="Q610" i="5"/>
  <c r="T577" i="5"/>
  <c r="Q577" i="5"/>
  <c r="T685" i="5"/>
  <c r="Q685" i="5"/>
  <c r="Q462" i="5"/>
  <c r="T462" i="5"/>
  <c r="Q682" i="5"/>
  <c r="T682" i="5"/>
  <c r="T439" i="5"/>
  <c r="Q439" i="5"/>
  <c r="T677" i="5"/>
  <c r="Q677" i="5"/>
  <c r="M10" i="10"/>
  <c r="K10" i="10"/>
  <c r="E7" i="6"/>
  <c r="AH8" i="2"/>
  <c r="AL5" i="2"/>
  <c r="BE23" i="5" l="1"/>
  <c r="BL23" i="5"/>
  <c r="BF23" i="5"/>
  <c r="BD24" i="5"/>
  <c r="BG23" i="5"/>
  <c r="Y24" i="5"/>
  <c r="AB23" i="5"/>
  <c r="AA23" i="5"/>
  <c r="Z23" i="5"/>
  <c r="AG23" i="5"/>
  <c r="E8" i="6"/>
  <c r="AL8" i="2"/>
  <c r="Z24" i="5" l="1"/>
  <c r="Y25" i="5"/>
  <c r="AA24" i="5"/>
  <c r="AG24" i="5"/>
  <c r="AB24" i="5"/>
  <c r="BG24" i="5"/>
  <c r="BD25" i="5"/>
  <c r="BL24" i="5"/>
  <c r="BF24" i="5"/>
  <c r="BE24" i="5"/>
  <c r="E9" i="6"/>
  <c r="AB25" i="5" l="1"/>
  <c r="AA25" i="5"/>
  <c r="Y26" i="5"/>
  <c r="AG25" i="5"/>
  <c r="Z25" i="5"/>
  <c r="BL25" i="5"/>
  <c r="BD26" i="5"/>
  <c r="BG25" i="5"/>
  <c r="BF25" i="5"/>
  <c r="BE25" i="5"/>
  <c r="E10" i="6"/>
  <c r="Z26" i="5" l="1"/>
  <c r="AG26" i="5"/>
  <c r="AA26" i="5"/>
  <c r="Y27" i="5"/>
  <c r="AB26" i="5"/>
  <c r="BD27" i="5"/>
  <c r="BL26" i="5"/>
  <c r="BG26" i="5"/>
  <c r="BF26" i="5"/>
  <c r="BE26" i="5"/>
  <c r="E11" i="6"/>
  <c r="AB27" i="5" l="1"/>
  <c r="AG27" i="5"/>
  <c r="Y28" i="5"/>
  <c r="AA27" i="5"/>
  <c r="Z27" i="5"/>
  <c r="BE27" i="5"/>
  <c r="BD28" i="5"/>
  <c r="BL27" i="5"/>
  <c r="BG27" i="5"/>
  <c r="BF27" i="5"/>
  <c r="E12" i="6"/>
  <c r="BG28" i="5" l="1"/>
  <c r="BF28" i="5"/>
  <c r="BD29" i="5"/>
  <c r="BL28" i="5"/>
  <c r="BE28" i="5"/>
  <c r="AG28" i="5"/>
  <c r="AB28" i="5"/>
  <c r="AA28" i="5"/>
  <c r="Y29" i="5"/>
  <c r="Z28" i="5"/>
  <c r="E13" i="6"/>
  <c r="Y30" i="5" l="1"/>
  <c r="AG29" i="5"/>
  <c r="AB29" i="5"/>
  <c r="AA29" i="5"/>
  <c r="Z29" i="5"/>
  <c r="BE29" i="5"/>
  <c r="BL29" i="5"/>
  <c r="BF29" i="5"/>
  <c r="BD30" i="5"/>
  <c r="BG29" i="5"/>
  <c r="E14" i="6"/>
  <c r="Z30" i="5" l="1"/>
  <c r="Y31" i="5"/>
  <c r="AG30" i="5"/>
  <c r="AB30" i="5"/>
  <c r="AA30" i="5"/>
  <c r="BG30" i="5"/>
  <c r="BF30" i="5"/>
  <c r="BE30" i="5"/>
  <c r="BL30" i="5"/>
  <c r="BD31" i="5"/>
  <c r="E15" i="6"/>
  <c r="BL31" i="5" l="1"/>
  <c r="BD32" i="5"/>
  <c r="BG31" i="5"/>
  <c r="BF31" i="5"/>
  <c r="BE31" i="5"/>
  <c r="AB31" i="5"/>
  <c r="AA31" i="5"/>
  <c r="AG31" i="5"/>
  <c r="Z31" i="5"/>
  <c r="Y32" i="5"/>
  <c r="E16" i="6"/>
  <c r="Z32" i="5" l="1"/>
  <c r="AG32" i="5"/>
  <c r="AA32" i="5"/>
  <c r="Y33" i="5"/>
  <c r="AB32" i="5"/>
  <c r="BD33" i="5"/>
  <c r="BL32" i="5"/>
  <c r="BG32" i="5"/>
  <c r="BF32" i="5"/>
  <c r="BE32" i="5"/>
  <c r="E17" i="6"/>
  <c r="AB33" i="5" l="1"/>
  <c r="AG33" i="5"/>
  <c r="Y34" i="5"/>
  <c r="AA33" i="5"/>
  <c r="Z33" i="5"/>
  <c r="BE33" i="5"/>
  <c r="BD34" i="5"/>
  <c r="BG33" i="5"/>
  <c r="BF33" i="5"/>
  <c r="BL33" i="5"/>
  <c r="E18" i="6"/>
  <c r="AG34" i="5" l="1"/>
  <c r="AB34" i="5"/>
  <c r="AA34" i="5"/>
  <c r="Y35" i="5"/>
  <c r="Z34" i="5"/>
  <c r="BG34" i="5"/>
  <c r="BF34" i="5"/>
  <c r="BE34" i="5"/>
  <c r="BD35" i="5"/>
  <c r="BL34" i="5"/>
  <c r="E19" i="6"/>
  <c r="Y36" i="5" l="1"/>
  <c r="AB35" i="5"/>
  <c r="AA35" i="5"/>
  <c r="Z35" i="5"/>
  <c r="AG35" i="5"/>
  <c r="BE35" i="5"/>
  <c r="BL35" i="5"/>
  <c r="BF35" i="5"/>
  <c r="BD36" i="5"/>
  <c r="BG35" i="5"/>
  <c r="E20" i="6"/>
  <c r="BG36" i="5" l="1"/>
  <c r="BL36" i="5"/>
  <c r="BD37" i="5"/>
  <c r="BF36" i="5"/>
  <c r="BE36" i="5"/>
  <c r="Z36" i="5"/>
  <c r="Y37" i="5"/>
  <c r="AB36" i="5"/>
  <c r="AA36" i="5"/>
  <c r="AG36" i="5"/>
  <c r="E21" i="6"/>
  <c r="AB37" i="5" l="1"/>
  <c r="AA37" i="5"/>
  <c r="Y38" i="5"/>
  <c r="AG37" i="5"/>
  <c r="Z37" i="5"/>
  <c r="BL37" i="5"/>
  <c r="BD38" i="5"/>
  <c r="BG37" i="5"/>
  <c r="BF37" i="5"/>
  <c r="BE37" i="5"/>
  <c r="E22" i="6"/>
  <c r="BD39" i="5" l="1"/>
  <c r="BG38" i="5"/>
  <c r="BF38" i="5"/>
  <c r="BE38" i="5"/>
  <c r="BL38" i="5"/>
  <c r="Z38" i="5"/>
  <c r="AG38" i="5"/>
  <c r="AA38" i="5"/>
  <c r="Y39" i="5"/>
  <c r="AB38" i="5"/>
  <c r="E23" i="6"/>
  <c r="AB39" i="5" l="1"/>
  <c r="Y40" i="5"/>
  <c r="AA39" i="5"/>
  <c r="Z39" i="5"/>
  <c r="AG39" i="5"/>
  <c r="BE39" i="5"/>
  <c r="BD40" i="5"/>
  <c r="BL39" i="5"/>
  <c r="BG39" i="5"/>
  <c r="BF39" i="5"/>
  <c r="E24" i="6"/>
  <c r="BG40" i="5" l="1"/>
  <c r="BF40" i="5"/>
  <c r="BD41" i="5"/>
  <c r="BL40" i="5"/>
  <c r="BE40" i="5"/>
  <c r="AG40" i="5"/>
  <c r="Y41" i="5"/>
  <c r="Z40" i="5"/>
  <c r="AB40" i="5"/>
  <c r="AA40" i="5"/>
  <c r="E25" i="6"/>
  <c r="BE41" i="5" l="1"/>
  <c r="BL41" i="5"/>
  <c r="BF41" i="5"/>
  <c r="BD42" i="5"/>
  <c r="BG41" i="5"/>
  <c r="Y42" i="5"/>
  <c r="AG41" i="5"/>
  <c r="AB41" i="5"/>
  <c r="AA41" i="5"/>
  <c r="Z41" i="5"/>
  <c r="E26" i="6"/>
  <c r="BG42" i="5" l="1"/>
  <c r="BL42" i="5"/>
  <c r="BD43" i="5"/>
  <c r="BF42" i="5"/>
  <c r="BE42" i="5"/>
  <c r="Z42" i="5"/>
  <c r="Y43" i="5"/>
  <c r="AG42" i="5"/>
  <c r="AB42" i="5"/>
  <c r="AA42" i="5"/>
  <c r="E27" i="6"/>
  <c r="BL43" i="5" l="1"/>
  <c r="BF43" i="5"/>
  <c r="BE43" i="5"/>
  <c r="BD44" i="5"/>
  <c r="BG43" i="5"/>
  <c r="AB43" i="5"/>
  <c r="AA43" i="5"/>
  <c r="Y44" i="5"/>
  <c r="AG43" i="5"/>
  <c r="Z43" i="5"/>
  <c r="E28" i="6"/>
  <c r="Z44" i="5" l="1"/>
  <c r="AG44" i="5"/>
  <c r="AA44" i="5"/>
  <c r="AB44" i="5"/>
  <c r="Y45" i="5"/>
  <c r="BD45" i="5"/>
  <c r="BL44" i="5"/>
  <c r="BG44" i="5"/>
  <c r="BF44" i="5"/>
  <c r="BE44" i="5"/>
  <c r="E29" i="6"/>
  <c r="AB45" i="5" l="1"/>
  <c r="AG45" i="5"/>
  <c r="Y46" i="5"/>
  <c r="AA45" i="5"/>
  <c r="Z45" i="5"/>
  <c r="BE45" i="5"/>
  <c r="BD46" i="5"/>
  <c r="BL45" i="5"/>
  <c r="BG45" i="5"/>
  <c r="BF45" i="5"/>
  <c r="E30" i="6"/>
  <c r="BG46" i="5" l="1"/>
  <c r="BF46" i="5"/>
  <c r="BD47" i="5"/>
  <c r="BL46" i="5"/>
  <c r="CA46" i="5"/>
  <c r="BE46" i="5"/>
  <c r="BQ38" i="5"/>
  <c r="BT38" i="5" s="1"/>
  <c r="CA44" i="5"/>
  <c r="AG46" i="5"/>
  <c r="AB46" i="5"/>
  <c r="AA46" i="5"/>
  <c r="Y47" i="5"/>
  <c r="Z46" i="5"/>
  <c r="CA45" i="5"/>
  <c r="E31" i="6"/>
  <c r="BE47" i="5" l="1"/>
  <c r="BL47" i="5"/>
  <c r="BF47" i="5"/>
  <c r="BD48" i="5"/>
  <c r="BG47" i="5"/>
  <c r="CA47" i="5"/>
  <c r="BW47" i="5" s="1"/>
  <c r="BQ47" i="5"/>
  <c r="BT47" i="5" s="1"/>
  <c r="BQ41" i="5"/>
  <c r="BT41" i="5" s="1"/>
  <c r="BQ42" i="5"/>
  <c r="BT42" i="5" s="1"/>
  <c r="BW45" i="5"/>
  <c r="BQ39" i="5"/>
  <c r="BT39" i="5" s="1"/>
  <c r="CA43" i="5"/>
  <c r="BW43" i="5"/>
  <c r="BQ43" i="5"/>
  <c r="BT43" i="5" s="1"/>
  <c r="BQ45" i="5"/>
  <c r="BT45" i="5" s="1"/>
  <c r="CA41" i="5"/>
  <c r="BW41" i="5" s="1"/>
  <c r="BQ40" i="5"/>
  <c r="BT40" i="5" s="1"/>
  <c r="BQ46" i="5"/>
  <c r="BT46" i="5" s="1"/>
  <c r="BW46" i="5"/>
  <c r="CA42" i="5"/>
  <c r="BQ44" i="5"/>
  <c r="BT44" i="5" s="1"/>
  <c r="BW44" i="5"/>
  <c r="Y48" i="5"/>
  <c r="AG47" i="5"/>
  <c r="AB47" i="5"/>
  <c r="AA47" i="5"/>
  <c r="Z47" i="5"/>
  <c r="E32" i="6"/>
  <c r="Y49" i="5" l="1"/>
  <c r="Z48" i="5"/>
  <c r="AG48" i="5"/>
  <c r="AB48" i="5"/>
  <c r="AA48" i="5"/>
  <c r="BG48" i="5"/>
  <c r="BE48" i="5"/>
  <c r="BL48" i="5"/>
  <c r="BD49" i="5"/>
  <c r="BF48" i="5"/>
  <c r="E33" i="6"/>
  <c r="BD50" i="5" l="1"/>
  <c r="BL49" i="5"/>
  <c r="BG49" i="5"/>
  <c r="BF49" i="5"/>
  <c r="BE49" i="5"/>
  <c r="AB49" i="5"/>
  <c r="Z49" i="5"/>
  <c r="AG49" i="5"/>
  <c r="AA49" i="5"/>
  <c r="Y50" i="5"/>
  <c r="E34" i="6"/>
  <c r="AA50" i="5" l="1"/>
  <c r="AG50" i="5"/>
  <c r="AB50" i="5"/>
  <c r="Y51" i="5"/>
  <c r="Z50" i="5"/>
  <c r="BL50" i="5"/>
  <c r="BD51" i="5"/>
  <c r="BG50" i="5"/>
  <c r="BF50" i="5"/>
  <c r="BE50" i="5"/>
  <c r="E35" i="6"/>
  <c r="AG51" i="5" l="1"/>
  <c r="Y52" i="5"/>
  <c r="AB51" i="5"/>
  <c r="AA51" i="5"/>
  <c r="Z51" i="5"/>
  <c r="BD52" i="5"/>
  <c r="BF51" i="5"/>
  <c r="BE51" i="5"/>
  <c r="BL51" i="5"/>
  <c r="BG51" i="5"/>
  <c r="E36" i="6"/>
  <c r="BG52" i="5" l="1"/>
  <c r="BE52" i="5"/>
  <c r="BL52" i="5"/>
  <c r="BD53" i="5"/>
  <c r="BF52" i="5"/>
  <c r="Y53" i="5"/>
  <c r="AG52" i="5"/>
  <c r="AB52" i="5"/>
  <c r="AA52" i="5"/>
  <c r="Z52" i="5"/>
  <c r="E37" i="6"/>
  <c r="AB53" i="5" l="1"/>
  <c r="AA53" i="5"/>
  <c r="Z53" i="5"/>
  <c r="Y54" i="5"/>
  <c r="AG53" i="5"/>
  <c r="BF53" i="5"/>
  <c r="BL53" i="5"/>
  <c r="BG53" i="5"/>
  <c r="BD54" i="5"/>
  <c r="BE53" i="5"/>
  <c r="E38" i="6"/>
  <c r="Y55" i="5" l="1"/>
  <c r="AA54" i="5"/>
  <c r="Z54" i="5"/>
  <c r="AG54" i="5"/>
  <c r="AB54" i="5"/>
  <c r="BL54" i="5"/>
  <c r="BG54" i="5"/>
  <c r="BD55" i="5"/>
  <c r="BF54" i="5"/>
  <c r="BE54" i="5"/>
  <c r="E39" i="6"/>
  <c r="AB55" i="5" l="1"/>
  <c r="Z55" i="5"/>
  <c r="Y56" i="5"/>
  <c r="AG55" i="5"/>
  <c r="AA55" i="5"/>
  <c r="BD56" i="5"/>
  <c r="BL55" i="5"/>
  <c r="BG55" i="5"/>
  <c r="BF55" i="5"/>
  <c r="BE55" i="5"/>
  <c r="E40" i="6"/>
  <c r="BE56" i="5" l="1"/>
  <c r="BL56" i="5"/>
  <c r="BD57" i="5"/>
  <c r="BG56" i="5"/>
  <c r="BF56" i="5"/>
  <c r="AA56" i="5"/>
  <c r="AG56" i="5"/>
  <c r="AB56" i="5"/>
  <c r="Y57" i="5"/>
  <c r="Z56" i="5"/>
  <c r="E41" i="6"/>
  <c r="AG57" i="5" l="1"/>
  <c r="AA57" i="5"/>
  <c r="Z57" i="5"/>
  <c r="Y58" i="5"/>
  <c r="AB57" i="5"/>
  <c r="BD58" i="5"/>
  <c r="BF57" i="5"/>
  <c r="BE57" i="5"/>
  <c r="BL57" i="5"/>
  <c r="BG57" i="5"/>
  <c r="E42" i="6"/>
  <c r="BG58" i="5" l="1"/>
  <c r="BE58" i="5"/>
  <c r="BL58" i="5"/>
  <c r="BD59" i="5"/>
  <c r="BF58" i="5"/>
  <c r="Y59" i="5"/>
  <c r="AG58" i="5"/>
  <c r="AB58" i="5"/>
  <c r="AA58" i="5"/>
  <c r="Z58" i="5"/>
  <c r="E43" i="6"/>
  <c r="AG59" i="5" l="1"/>
  <c r="Y60" i="5"/>
  <c r="AB59" i="5"/>
  <c r="AA59" i="5"/>
  <c r="Z59" i="5"/>
  <c r="BF59" i="5"/>
  <c r="BL59" i="5"/>
  <c r="BG59" i="5"/>
  <c r="BD60" i="5"/>
  <c r="BE59" i="5"/>
  <c r="E44" i="6"/>
  <c r="Y61" i="5" l="1"/>
  <c r="AA60" i="5"/>
  <c r="Z60" i="5"/>
  <c r="AG60" i="5"/>
  <c r="AB60" i="5"/>
  <c r="BL60" i="5"/>
  <c r="BD61" i="5"/>
  <c r="BF60" i="5"/>
  <c r="BE60" i="5"/>
  <c r="BG60" i="5"/>
  <c r="E45" i="6"/>
  <c r="AB61" i="5" l="1"/>
  <c r="Z61" i="5"/>
  <c r="AG61" i="5"/>
  <c r="AA61" i="5"/>
  <c r="Y62" i="5"/>
  <c r="BD62" i="5"/>
  <c r="BL61" i="5"/>
  <c r="BG61" i="5"/>
  <c r="BF61" i="5"/>
  <c r="BE61" i="5"/>
  <c r="E46" i="6"/>
  <c r="BL62" i="5" l="1"/>
  <c r="BD63" i="5"/>
  <c r="BG62" i="5"/>
  <c r="BF62" i="5"/>
  <c r="BE62" i="5"/>
  <c r="AA62" i="5"/>
  <c r="AG62" i="5"/>
  <c r="AB62" i="5"/>
  <c r="Y63" i="5"/>
  <c r="Z62" i="5"/>
  <c r="E47" i="6"/>
  <c r="AG63" i="5" l="1"/>
  <c r="Y64" i="5"/>
  <c r="AB63" i="5"/>
  <c r="AA63" i="5"/>
  <c r="Z63" i="5"/>
  <c r="BD64" i="5"/>
  <c r="BF63" i="5"/>
  <c r="BE63" i="5"/>
  <c r="BL63" i="5"/>
  <c r="BG63" i="5"/>
  <c r="E48" i="6"/>
  <c r="BG64" i="5" l="1"/>
  <c r="BE64" i="5"/>
  <c r="BD65" i="5"/>
  <c r="BF64" i="5"/>
  <c r="BL64" i="5"/>
  <c r="Y65" i="5"/>
  <c r="AG64" i="5"/>
  <c r="AB64" i="5"/>
  <c r="AA64" i="5"/>
  <c r="Z64" i="5"/>
  <c r="E49" i="6"/>
  <c r="BF65" i="5" l="1"/>
  <c r="BL65" i="5"/>
  <c r="BG65" i="5"/>
  <c r="BD66" i="5"/>
  <c r="BE65" i="5"/>
  <c r="AG65" i="5"/>
  <c r="Y66" i="5"/>
  <c r="AB65" i="5"/>
  <c r="AA65" i="5"/>
  <c r="Z65" i="5"/>
  <c r="E50" i="6"/>
  <c r="Y67" i="5" l="1"/>
  <c r="AA66" i="5"/>
  <c r="Z66" i="5"/>
  <c r="AB66" i="5"/>
  <c r="AG66" i="5"/>
  <c r="BL66" i="5"/>
  <c r="BG66" i="5"/>
  <c r="BD67" i="5"/>
  <c r="BF66" i="5"/>
  <c r="BE66" i="5"/>
  <c r="E51" i="6"/>
  <c r="BD68" i="5" l="1"/>
  <c r="BL67" i="5"/>
  <c r="BG67" i="5"/>
  <c r="BF67" i="5"/>
  <c r="BE67" i="5"/>
  <c r="AB67" i="5"/>
  <c r="Z67" i="5"/>
  <c r="Y68" i="5"/>
  <c r="AG67" i="5"/>
  <c r="AA67" i="5"/>
  <c r="E52" i="6"/>
  <c r="AA68" i="5" l="1"/>
  <c r="AG68" i="5"/>
  <c r="AB68" i="5"/>
  <c r="Y69" i="5"/>
  <c r="Z68" i="5"/>
  <c r="BL68" i="5"/>
  <c r="BD69" i="5"/>
  <c r="BG68" i="5"/>
  <c r="BF68" i="5"/>
  <c r="BE68" i="5"/>
  <c r="E53" i="6"/>
  <c r="AG69" i="5" l="1"/>
  <c r="Y70" i="5"/>
  <c r="AB69" i="5"/>
  <c r="AA69" i="5"/>
  <c r="Z69" i="5"/>
  <c r="BD70" i="5"/>
  <c r="BF69" i="5"/>
  <c r="BE69" i="5"/>
  <c r="BG69" i="5"/>
  <c r="BL69" i="5"/>
  <c r="E54" i="6"/>
  <c r="Y71" i="5" l="1"/>
  <c r="AB70" i="5"/>
  <c r="AA70" i="5"/>
  <c r="Z70" i="5"/>
  <c r="AG70" i="5"/>
  <c r="BG70" i="5"/>
  <c r="BE70" i="5"/>
  <c r="BL70" i="5"/>
  <c r="BD71" i="5"/>
  <c r="BF70" i="5"/>
  <c r="E55" i="6"/>
  <c r="AA71" i="5" l="1"/>
  <c r="Z71" i="5"/>
  <c r="AG71" i="5"/>
  <c r="Y72" i="5"/>
  <c r="AB71" i="5"/>
  <c r="BF71" i="5"/>
  <c r="BL71" i="5"/>
  <c r="BG71" i="5"/>
  <c r="BD72" i="5"/>
  <c r="BE71" i="5"/>
  <c r="E56" i="6"/>
  <c r="BL72" i="5" l="1"/>
  <c r="BG72" i="5"/>
  <c r="BD73" i="5"/>
  <c r="BF72" i="5"/>
  <c r="BE72" i="5"/>
  <c r="Y73" i="5"/>
  <c r="AA72" i="5"/>
  <c r="Z72" i="5"/>
  <c r="AG72" i="5"/>
  <c r="AB72" i="5"/>
  <c r="E57" i="6"/>
  <c r="BD74" i="5" l="1"/>
  <c r="BG73" i="5"/>
  <c r="BF73" i="5"/>
  <c r="BE73" i="5"/>
  <c r="BL73" i="5"/>
  <c r="AB73" i="5"/>
  <c r="Z73" i="5"/>
  <c r="Y74" i="5"/>
  <c r="AG73" i="5"/>
  <c r="AA73" i="5"/>
  <c r="E58" i="6"/>
  <c r="AA74" i="5" l="1"/>
  <c r="AG74" i="5"/>
  <c r="AB74" i="5"/>
  <c r="Y75" i="5"/>
  <c r="Z74" i="5"/>
  <c r="BE74" i="5"/>
  <c r="BL74" i="5"/>
  <c r="BD75" i="5"/>
  <c r="BG74" i="5"/>
  <c r="BF74" i="5"/>
  <c r="E59" i="6"/>
  <c r="BD76" i="5" l="1"/>
  <c r="BF75" i="5"/>
  <c r="BE75" i="5"/>
  <c r="BL75" i="5"/>
  <c r="BG75" i="5"/>
  <c r="AG75" i="5"/>
  <c r="AA75" i="5"/>
  <c r="Z75" i="5"/>
  <c r="Y76" i="5"/>
  <c r="AB75" i="5"/>
  <c r="E60" i="6"/>
  <c r="Y77" i="5" l="1"/>
  <c r="AG76" i="5"/>
  <c r="AB76" i="5"/>
  <c r="AA76" i="5"/>
  <c r="Z76" i="5"/>
  <c r="BG76" i="5"/>
  <c r="BE76" i="5"/>
  <c r="BL76" i="5"/>
  <c r="BD77" i="5"/>
  <c r="BF76" i="5"/>
  <c r="E61" i="6"/>
  <c r="CA74" i="5" l="1"/>
  <c r="AG77" i="5"/>
  <c r="Y78" i="5"/>
  <c r="AB77" i="5"/>
  <c r="AA77" i="5"/>
  <c r="Z77" i="5"/>
  <c r="BF77" i="5"/>
  <c r="BL77" i="5"/>
  <c r="BG77" i="5"/>
  <c r="BD78" i="5"/>
  <c r="BQ71" i="5" s="1"/>
  <c r="BT71" i="5" s="1"/>
  <c r="CA77" i="5"/>
  <c r="BE77" i="5"/>
  <c r="CA73" i="5"/>
  <c r="CA75" i="5"/>
  <c r="BW75" i="5" s="1"/>
  <c r="BQ75" i="5"/>
  <c r="BT75" i="5" s="1"/>
  <c r="E62" i="6"/>
  <c r="BQ77" i="5" l="1"/>
  <c r="BT77" i="5" s="1"/>
  <c r="BW77" i="5"/>
  <c r="Y79" i="5"/>
  <c r="AA78" i="5"/>
  <c r="Z78" i="5"/>
  <c r="AG78" i="5"/>
  <c r="AB78" i="5"/>
  <c r="BW73" i="5"/>
  <c r="BW78" i="5"/>
  <c r="CA78" i="5"/>
  <c r="BL78" i="5"/>
  <c r="BD79" i="5"/>
  <c r="BF78" i="5"/>
  <c r="BE78" i="5"/>
  <c r="BQ78" i="5"/>
  <c r="BT78" i="5" s="1"/>
  <c r="BG78" i="5"/>
  <c r="CA76" i="5"/>
  <c r="BQ73" i="5"/>
  <c r="BT73" i="5" s="1"/>
  <c r="CA72" i="5"/>
  <c r="BW72" i="5" s="1"/>
  <c r="BQ76" i="5"/>
  <c r="BT76" i="5" s="1"/>
  <c r="BQ72" i="5"/>
  <c r="BT72" i="5" s="1"/>
  <c r="BW76" i="5"/>
  <c r="BQ70" i="5"/>
  <c r="BT70" i="5" s="1"/>
  <c r="BW74" i="5"/>
  <c r="BQ74" i="5"/>
  <c r="BT74" i="5" s="1"/>
  <c r="E63" i="6"/>
  <c r="AB79" i="5" l="1"/>
  <c r="Z79" i="5"/>
  <c r="Y80" i="5"/>
  <c r="AG79" i="5"/>
  <c r="AA79" i="5"/>
  <c r="BD80" i="5"/>
  <c r="BL79" i="5"/>
  <c r="BG79" i="5"/>
  <c r="BF79" i="5"/>
  <c r="BE79" i="5"/>
  <c r="E64" i="6"/>
  <c r="BE80" i="5" l="1"/>
  <c r="BD81" i="5"/>
  <c r="BL80" i="5"/>
  <c r="BG80" i="5"/>
  <c r="BF80" i="5"/>
  <c r="AB80" i="5"/>
  <c r="AG80" i="5"/>
  <c r="Y81" i="5"/>
  <c r="AA80" i="5"/>
  <c r="Z80" i="5"/>
  <c r="E65" i="6"/>
  <c r="BG81" i="5" l="1"/>
  <c r="BF81" i="5"/>
  <c r="BD82" i="5"/>
  <c r="BL81" i="5"/>
  <c r="BE81" i="5"/>
  <c r="AG81" i="5"/>
  <c r="AB81" i="5"/>
  <c r="AA81" i="5"/>
  <c r="Y82" i="5"/>
  <c r="Z81" i="5"/>
  <c r="Y83" i="5" l="1"/>
  <c r="AG82" i="5"/>
  <c r="AB82" i="5"/>
  <c r="AA82" i="5"/>
  <c r="Z82" i="5"/>
  <c r="BE82" i="5"/>
  <c r="BL82" i="5"/>
  <c r="BF82" i="5"/>
  <c r="BD83" i="5"/>
  <c r="BG82" i="5"/>
  <c r="BG83" i="5" l="1"/>
  <c r="BF83" i="5"/>
  <c r="BE83" i="5"/>
  <c r="BD84" i="5"/>
  <c r="BL83" i="5"/>
  <c r="Z83" i="5"/>
  <c r="Y84" i="5"/>
  <c r="AG83" i="5"/>
  <c r="AB83" i="5"/>
  <c r="AA83" i="5"/>
  <c r="BL84" i="5" l="1"/>
  <c r="BD85" i="5"/>
  <c r="BG84" i="5"/>
  <c r="BF84" i="5"/>
  <c r="BE84" i="5"/>
  <c r="AB84" i="5"/>
  <c r="AA84" i="5"/>
  <c r="Z84" i="5"/>
  <c r="Y85" i="5"/>
  <c r="AG84" i="5"/>
  <c r="BD86" i="5" l="1"/>
  <c r="BL85" i="5"/>
  <c r="BG85" i="5"/>
  <c r="BF85" i="5"/>
  <c r="BE85" i="5"/>
  <c r="Z85" i="5"/>
  <c r="AG85" i="5"/>
  <c r="AA85" i="5"/>
  <c r="Y86" i="5"/>
  <c r="AB85" i="5"/>
  <c r="AB86" i="5" l="1"/>
  <c r="AG86" i="5"/>
  <c r="Y87" i="5"/>
  <c r="AA86" i="5"/>
  <c r="Z86" i="5"/>
  <c r="BE86" i="5"/>
  <c r="BD87" i="5"/>
  <c r="BG86" i="5"/>
  <c r="BF86" i="5"/>
  <c r="BL86" i="5"/>
  <c r="AG87" i="5" l="1"/>
  <c r="AB87" i="5"/>
  <c r="AA87" i="5"/>
  <c r="Y88" i="5"/>
  <c r="Z87" i="5"/>
  <c r="BG87" i="5"/>
  <c r="BF87" i="5"/>
  <c r="BD88" i="5"/>
  <c r="BL87" i="5"/>
  <c r="BE87" i="5"/>
  <c r="BE88" i="5" l="1"/>
  <c r="BL88" i="5"/>
  <c r="BF88" i="5"/>
  <c r="BD89" i="5"/>
  <c r="BG88" i="5"/>
  <c r="Y89" i="5"/>
  <c r="AB88" i="5"/>
  <c r="AA88" i="5"/>
  <c r="Z88" i="5"/>
  <c r="AG88" i="5"/>
  <c r="BG89" i="5" l="1"/>
  <c r="BD90" i="5"/>
  <c r="BL89" i="5"/>
  <c r="BF89" i="5"/>
  <c r="BE89" i="5"/>
  <c r="Z89" i="5"/>
  <c r="Y90" i="5"/>
  <c r="AA89" i="5"/>
  <c r="AG89" i="5"/>
  <c r="AB89" i="5"/>
  <c r="BL90" i="5" l="1"/>
  <c r="BD91" i="5"/>
  <c r="BG90" i="5"/>
  <c r="BF90" i="5"/>
  <c r="BE90" i="5"/>
  <c r="AB90" i="5"/>
  <c r="AA90" i="5"/>
  <c r="Y91" i="5"/>
  <c r="AG90" i="5"/>
  <c r="Z90" i="5"/>
  <c r="Z91" i="5" l="1"/>
  <c r="AG91" i="5"/>
  <c r="AA91" i="5"/>
  <c r="Y92" i="5"/>
  <c r="AB91" i="5"/>
  <c r="BD92" i="5"/>
  <c r="BL91" i="5"/>
  <c r="BG91" i="5"/>
  <c r="BF91" i="5"/>
  <c r="BE91" i="5"/>
  <c r="BE92" i="5" l="1"/>
  <c r="BD93" i="5"/>
  <c r="BL92" i="5"/>
  <c r="BG92" i="5"/>
  <c r="BF92" i="5"/>
  <c r="AB92" i="5"/>
  <c r="AG92" i="5"/>
  <c r="Y93" i="5"/>
  <c r="AA92" i="5"/>
  <c r="Z92" i="5"/>
  <c r="BG93" i="5" l="1"/>
  <c r="BF93" i="5"/>
  <c r="BD94" i="5"/>
  <c r="BL93" i="5"/>
  <c r="BE93" i="5"/>
  <c r="AG93" i="5"/>
  <c r="AB93" i="5"/>
  <c r="AA93" i="5"/>
  <c r="Y94" i="5"/>
  <c r="Z93" i="5"/>
  <c r="BE94" i="5" l="1"/>
  <c r="BL94" i="5"/>
  <c r="BF94" i="5"/>
  <c r="BD95" i="5"/>
  <c r="BG94" i="5"/>
  <c r="Y95" i="5"/>
  <c r="AG94" i="5"/>
  <c r="AB94" i="5"/>
  <c r="AA94" i="5"/>
  <c r="Z94" i="5"/>
  <c r="Z95" i="5" l="1"/>
  <c r="Y96" i="5"/>
  <c r="AG95" i="5"/>
  <c r="AB95" i="5"/>
  <c r="AA95" i="5"/>
  <c r="BG95" i="5"/>
  <c r="BF95" i="5"/>
  <c r="BE95" i="5"/>
  <c r="BL95" i="5"/>
  <c r="BD96" i="5"/>
  <c r="BL96" i="5" l="1"/>
  <c r="BD97" i="5"/>
  <c r="BG96" i="5"/>
  <c r="BF96" i="5"/>
  <c r="BE96" i="5"/>
  <c r="AB96" i="5"/>
  <c r="AA96" i="5"/>
  <c r="AG96" i="5"/>
  <c r="Z96" i="5"/>
  <c r="Y97" i="5"/>
  <c r="Z97" i="5" l="1"/>
  <c r="AG97" i="5"/>
  <c r="AA97" i="5"/>
  <c r="Y98" i="5"/>
  <c r="AB97" i="5"/>
  <c r="BD98" i="5"/>
  <c r="BL97" i="5"/>
  <c r="BG97" i="5"/>
  <c r="BF97" i="5"/>
  <c r="BE97" i="5"/>
  <c r="BE98" i="5" l="1"/>
  <c r="BD99" i="5"/>
  <c r="BG98" i="5"/>
  <c r="BF98" i="5"/>
  <c r="BL98" i="5"/>
  <c r="AB98" i="5"/>
  <c r="AG98" i="5"/>
  <c r="Y99" i="5"/>
  <c r="AA98" i="5"/>
  <c r="Z98" i="5"/>
  <c r="AG99" i="5" l="1"/>
  <c r="AB99" i="5"/>
  <c r="AA99" i="5"/>
  <c r="Y100" i="5"/>
  <c r="Z99" i="5"/>
  <c r="BG99" i="5"/>
  <c r="BF99" i="5"/>
  <c r="BE99" i="5"/>
  <c r="BD100" i="5"/>
  <c r="BL99" i="5"/>
  <c r="Y101" i="5" l="1"/>
  <c r="AB100" i="5"/>
  <c r="AA100" i="5"/>
  <c r="Z100" i="5"/>
  <c r="AG100" i="5"/>
  <c r="BE100" i="5"/>
  <c r="BL100" i="5"/>
  <c r="BF100" i="5"/>
  <c r="BD101" i="5"/>
  <c r="BG100" i="5"/>
  <c r="Z101" i="5" l="1"/>
  <c r="Y102" i="5"/>
  <c r="AB101" i="5"/>
  <c r="AA101" i="5"/>
  <c r="AG101" i="5"/>
  <c r="BG101" i="5"/>
  <c r="BL101" i="5"/>
  <c r="BD102" i="5"/>
  <c r="BF101" i="5"/>
  <c r="BE101" i="5"/>
  <c r="BL102" i="5" l="1"/>
  <c r="BD103" i="5"/>
  <c r="BG102" i="5"/>
  <c r="BF102" i="5"/>
  <c r="BE102" i="5"/>
  <c r="AB102" i="5"/>
  <c r="AA102" i="5"/>
  <c r="Y103" i="5"/>
  <c r="AG102" i="5"/>
  <c r="Z102" i="5"/>
  <c r="Z103" i="5" l="1"/>
  <c r="AG103" i="5"/>
  <c r="AA103" i="5"/>
  <c r="Y104" i="5"/>
  <c r="AB103" i="5"/>
  <c r="BD104" i="5"/>
  <c r="BG103" i="5"/>
  <c r="BF103" i="5"/>
  <c r="BE103" i="5"/>
  <c r="BL103" i="5"/>
  <c r="BE104" i="5" l="1"/>
  <c r="BD105" i="5"/>
  <c r="BL104" i="5"/>
  <c r="BG104" i="5"/>
  <c r="BF104" i="5"/>
  <c r="AB104" i="5"/>
  <c r="Y105" i="5"/>
  <c r="AA104" i="5"/>
  <c r="Z104" i="5"/>
  <c r="AG104" i="5"/>
  <c r="AG105" i="5" l="1"/>
  <c r="Y106" i="5"/>
  <c r="Z105" i="5"/>
  <c r="AB105" i="5"/>
  <c r="AA105" i="5"/>
  <c r="BG105" i="5"/>
  <c r="BF105" i="5"/>
  <c r="BD106" i="5"/>
  <c r="BL105" i="5"/>
  <c r="BE105" i="5"/>
  <c r="BE106" i="5" l="1"/>
  <c r="BL106" i="5"/>
  <c r="BF106" i="5"/>
  <c r="BD107" i="5"/>
  <c r="BG106" i="5"/>
  <c r="Y107" i="5"/>
  <c r="AG106" i="5"/>
  <c r="AB106" i="5"/>
  <c r="AA106" i="5"/>
  <c r="Z106" i="5"/>
  <c r="BG107" i="5" l="1"/>
  <c r="BL107" i="5"/>
  <c r="BD108" i="5"/>
  <c r="BF107" i="5"/>
  <c r="BE107" i="5"/>
  <c r="CA105" i="5"/>
  <c r="CA99" i="5"/>
  <c r="Z107" i="5"/>
  <c r="Y108" i="5"/>
  <c r="AG107" i="5"/>
  <c r="AB107" i="5"/>
  <c r="AA107" i="5"/>
  <c r="BQ101" i="5" l="1"/>
  <c r="BT101" i="5" s="1"/>
  <c r="AB108" i="5"/>
  <c r="AA108" i="5"/>
  <c r="Y109" i="5"/>
  <c r="AG108" i="5"/>
  <c r="Z108" i="5"/>
  <c r="BQ107" i="5"/>
  <c r="BT107" i="5" s="1"/>
  <c r="CA103" i="5"/>
  <c r="BW105" i="5"/>
  <c r="BQ105" i="5"/>
  <c r="BT105" i="5" s="1"/>
  <c r="BL108" i="5"/>
  <c r="BW108" i="5"/>
  <c r="BF108" i="5"/>
  <c r="BE108" i="5"/>
  <c r="BQ108" i="5"/>
  <c r="BT108" i="5" s="1"/>
  <c r="CA108" i="5"/>
  <c r="BD109" i="5"/>
  <c r="BG108" i="5"/>
  <c r="CA106" i="5"/>
  <c r="BW103" i="5"/>
  <c r="CA104" i="5"/>
  <c r="BQ104" i="5"/>
  <c r="BT104" i="5" s="1"/>
  <c r="BQ103" i="5"/>
  <c r="BT103" i="5" s="1"/>
  <c r="BQ106" i="5"/>
  <c r="BT106" i="5" s="1"/>
  <c r="BW106" i="5"/>
  <c r="CA101" i="5"/>
  <c r="BQ102" i="5"/>
  <c r="BT102" i="5" s="1"/>
  <c r="CA100" i="5"/>
  <c r="CA102" i="5"/>
  <c r="CA107" i="5"/>
  <c r="BW107" i="5" s="1"/>
  <c r="BL109" i="5" l="1"/>
  <c r="BD110" i="5"/>
  <c r="BG109" i="5"/>
  <c r="BF109" i="5"/>
  <c r="BE109" i="5"/>
  <c r="Z109" i="5"/>
  <c r="AG109" i="5"/>
  <c r="AA109" i="5"/>
  <c r="Y110" i="5"/>
  <c r="AB109" i="5"/>
  <c r="AG110" i="5" l="1"/>
  <c r="Z110" i="5"/>
  <c r="Y111" i="5"/>
  <c r="AB110" i="5"/>
  <c r="AA110" i="5"/>
  <c r="BD111" i="5"/>
  <c r="BF110" i="5"/>
  <c r="BE110" i="5"/>
  <c r="BL110" i="5"/>
  <c r="BG110" i="5"/>
  <c r="BG111" i="5" l="1"/>
  <c r="BE111" i="5"/>
  <c r="BL111" i="5"/>
  <c r="BD112" i="5"/>
  <c r="BF111" i="5"/>
  <c r="Y112" i="5"/>
  <c r="AG111" i="5"/>
  <c r="AB111" i="5"/>
  <c r="AA111" i="5"/>
  <c r="Z111" i="5"/>
  <c r="Y113" i="5" l="1"/>
  <c r="AG112" i="5"/>
  <c r="AB112" i="5"/>
  <c r="AA112" i="5"/>
  <c r="Z112" i="5"/>
  <c r="BF112" i="5"/>
  <c r="BL112" i="5"/>
  <c r="BG112" i="5"/>
  <c r="BD113" i="5"/>
  <c r="BE112" i="5"/>
  <c r="BL113" i="5" l="1"/>
  <c r="BG113" i="5"/>
  <c r="BD114" i="5"/>
  <c r="BF113" i="5"/>
  <c r="BE113" i="5"/>
  <c r="Y114" i="5"/>
  <c r="AA113" i="5"/>
  <c r="Z113" i="5"/>
  <c r="AG113" i="5"/>
  <c r="AB113" i="5"/>
  <c r="BD115" i="5" l="1"/>
  <c r="BL114" i="5"/>
  <c r="BG114" i="5"/>
  <c r="BF114" i="5"/>
  <c r="BE114" i="5"/>
  <c r="AB114" i="5"/>
  <c r="Z114" i="5"/>
  <c r="AA114" i="5"/>
  <c r="Y115" i="5"/>
  <c r="AG114" i="5"/>
  <c r="AA115" i="5" l="1"/>
  <c r="AG115" i="5"/>
  <c r="AB115" i="5"/>
  <c r="Y116" i="5"/>
  <c r="Z115" i="5"/>
  <c r="BL115" i="5"/>
  <c r="BD116" i="5"/>
  <c r="BG115" i="5"/>
  <c r="BF115" i="5"/>
  <c r="BE115" i="5"/>
  <c r="BD117" i="5" l="1"/>
  <c r="BF116" i="5"/>
  <c r="BE116" i="5"/>
  <c r="BG116" i="5"/>
  <c r="BL116" i="5"/>
  <c r="AG116" i="5"/>
  <c r="Y117" i="5"/>
  <c r="AB116" i="5"/>
  <c r="AA116" i="5"/>
  <c r="Z116" i="5"/>
  <c r="Y118" i="5" l="1"/>
  <c r="AB117" i="5"/>
  <c r="AA117" i="5"/>
  <c r="Z117" i="5"/>
  <c r="AG117" i="5"/>
  <c r="BG117" i="5"/>
  <c r="BE117" i="5"/>
  <c r="BL117" i="5"/>
  <c r="BD118" i="5"/>
  <c r="BF117" i="5"/>
  <c r="BF118" i="5" l="1"/>
  <c r="BL118" i="5"/>
  <c r="BG118" i="5"/>
  <c r="BD119" i="5"/>
  <c r="BE118" i="5"/>
  <c r="AB118" i="5"/>
  <c r="AA118" i="5"/>
  <c r="Z118" i="5"/>
  <c r="Y119" i="5"/>
  <c r="AG118" i="5"/>
  <c r="BL119" i="5" l="1"/>
  <c r="BG119" i="5"/>
  <c r="BD120" i="5"/>
  <c r="BF119" i="5"/>
  <c r="BE119" i="5"/>
  <c r="Y120" i="5"/>
  <c r="AA119" i="5"/>
  <c r="Z119" i="5"/>
  <c r="AG119" i="5"/>
  <c r="AB119" i="5"/>
  <c r="BD121" i="5" l="1"/>
  <c r="BG120" i="5"/>
  <c r="BF120" i="5"/>
  <c r="BE120" i="5"/>
  <c r="BL120" i="5"/>
  <c r="AB120" i="5"/>
  <c r="Z120" i="5"/>
  <c r="Y121" i="5"/>
  <c r="AG120" i="5"/>
  <c r="AA120" i="5"/>
  <c r="BE121" i="5" l="1"/>
  <c r="BL121" i="5"/>
  <c r="BD122" i="5"/>
  <c r="BG121" i="5"/>
  <c r="BF121" i="5"/>
  <c r="AA121" i="5"/>
  <c r="AG121" i="5"/>
  <c r="AB121" i="5"/>
  <c r="Y122" i="5"/>
  <c r="Z121" i="5"/>
  <c r="BD123" i="5" l="1"/>
  <c r="BF122" i="5"/>
  <c r="BE122" i="5"/>
  <c r="BL122" i="5"/>
  <c r="BG122" i="5"/>
  <c r="AG122" i="5"/>
  <c r="AA122" i="5"/>
  <c r="Z122" i="5"/>
  <c r="Y123" i="5"/>
  <c r="AB122" i="5"/>
  <c r="BG123" i="5" l="1"/>
  <c r="BE123" i="5"/>
  <c r="BL123" i="5"/>
  <c r="BD124" i="5"/>
  <c r="BF123" i="5"/>
  <c r="Y124" i="5"/>
  <c r="AG123" i="5"/>
  <c r="AB123" i="5"/>
  <c r="AA123" i="5"/>
  <c r="Z123" i="5"/>
  <c r="BF124" i="5" l="1"/>
  <c r="BL124" i="5"/>
  <c r="BG124" i="5"/>
  <c r="BD125" i="5"/>
  <c r="BE124" i="5"/>
  <c r="Y125" i="5"/>
  <c r="AG124" i="5"/>
  <c r="AB124" i="5"/>
  <c r="AA124" i="5"/>
  <c r="Z124" i="5"/>
  <c r="Y126" i="5" l="1"/>
  <c r="AA125" i="5"/>
  <c r="Z125" i="5"/>
  <c r="AG125" i="5"/>
  <c r="AB125" i="5"/>
  <c r="BL125" i="5"/>
  <c r="BE125" i="5"/>
  <c r="BG125" i="5"/>
  <c r="BD126" i="5"/>
  <c r="BF125" i="5"/>
  <c r="BD127" i="5" l="1"/>
  <c r="BL126" i="5"/>
  <c r="BG126" i="5"/>
  <c r="BF126" i="5"/>
  <c r="BE126" i="5"/>
  <c r="AB126" i="5"/>
  <c r="Z126" i="5"/>
  <c r="AG126" i="5"/>
  <c r="AA126" i="5"/>
  <c r="Y127" i="5"/>
  <c r="AA127" i="5" l="1"/>
  <c r="AG127" i="5"/>
  <c r="AB127" i="5"/>
  <c r="Y128" i="5"/>
  <c r="Z127" i="5"/>
  <c r="BL127" i="5"/>
  <c r="BD128" i="5"/>
  <c r="BG127" i="5"/>
  <c r="BF127" i="5"/>
  <c r="BE127" i="5"/>
  <c r="BD129" i="5" l="1"/>
  <c r="BF128" i="5"/>
  <c r="BE128" i="5"/>
  <c r="BL128" i="5"/>
  <c r="BG128" i="5"/>
  <c r="AG128" i="5"/>
  <c r="Y129" i="5"/>
  <c r="AB128" i="5"/>
  <c r="AA128" i="5"/>
  <c r="Z128" i="5"/>
  <c r="Y130" i="5" l="1"/>
  <c r="AG129" i="5"/>
  <c r="AB129" i="5"/>
  <c r="AA129" i="5"/>
  <c r="Z129" i="5"/>
  <c r="BG129" i="5"/>
  <c r="BE129" i="5"/>
  <c r="BF129" i="5"/>
  <c r="BL129" i="5"/>
  <c r="BD130" i="5"/>
  <c r="BF130" i="5" l="1"/>
  <c r="BL130" i="5"/>
  <c r="BG130" i="5"/>
  <c r="BD131" i="5"/>
  <c r="BE130" i="5"/>
  <c r="Y131" i="5"/>
  <c r="AG130" i="5"/>
  <c r="AB130" i="5"/>
  <c r="AA130" i="5"/>
  <c r="Z130" i="5"/>
  <c r="BL131" i="5" l="1"/>
  <c r="BG131" i="5"/>
  <c r="BD132" i="5"/>
  <c r="BF131" i="5"/>
  <c r="BE131" i="5"/>
  <c r="Y132" i="5"/>
  <c r="AA131" i="5"/>
  <c r="Z131" i="5"/>
  <c r="AG131" i="5"/>
  <c r="AB131" i="5"/>
  <c r="BD133" i="5" l="1"/>
  <c r="BL132" i="5"/>
  <c r="BG132" i="5"/>
  <c r="BF132" i="5"/>
  <c r="BE132" i="5"/>
  <c r="AB132" i="5"/>
  <c r="Z132" i="5"/>
  <c r="Y133" i="5"/>
  <c r="AG132" i="5"/>
  <c r="AA132" i="5"/>
  <c r="BG133" i="5" l="1"/>
  <c r="BF133" i="5"/>
  <c r="BE133" i="5"/>
  <c r="BL133" i="5"/>
  <c r="BD134" i="5"/>
  <c r="AA133" i="5"/>
  <c r="AG133" i="5"/>
  <c r="AB133" i="5"/>
  <c r="Y134" i="5"/>
  <c r="Z133" i="5"/>
  <c r="AG134" i="5" l="1"/>
  <c r="Y135" i="5"/>
  <c r="AB134" i="5"/>
  <c r="AA134" i="5"/>
  <c r="Z134" i="5"/>
  <c r="BD135" i="5"/>
  <c r="BF134" i="5"/>
  <c r="BE134" i="5"/>
  <c r="BL134" i="5"/>
  <c r="BG134" i="5"/>
  <c r="BG135" i="5" l="1"/>
  <c r="BE135" i="5"/>
  <c r="BL135" i="5"/>
  <c r="BD136" i="5"/>
  <c r="BF135" i="5"/>
  <c r="Y136" i="5"/>
  <c r="Z135" i="5"/>
  <c r="AG135" i="5"/>
  <c r="AB135" i="5"/>
  <c r="AA135" i="5"/>
  <c r="BF136" i="5" l="1"/>
  <c r="BL136" i="5"/>
  <c r="BG136" i="5"/>
  <c r="BD137" i="5"/>
  <c r="BE136" i="5"/>
  <c r="AG136" i="5"/>
  <c r="Y137" i="5"/>
  <c r="AB136" i="5"/>
  <c r="AA136" i="5"/>
  <c r="Z136" i="5"/>
  <c r="BL137" i="5" l="1"/>
  <c r="BG137" i="5"/>
  <c r="BD138" i="5"/>
  <c r="BF137" i="5"/>
  <c r="BE137" i="5"/>
  <c r="Y138" i="5"/>
  <c r="AA137" i="5"/>
  <c r="Z137" i="5"/>
  <c r="AG137" i="5"/>
  <c r="AB137" i="5"/>
  <c r="BD139" i="5" l="1"/>
  <c r="BF138" i="5"/>
  <c r="BE138" i="5"/>
  <c r="BL138" i="5"/>
  <c r="BG138" i="5"/>
  <c r="CA132" i="5"/>
  <c r="AB138" i="5"/>
  <c r="Z138" i="5"/>
  <c r="Y139" i="5"/>
  <c r="AG138" i="5"/>
  <c r="AA138" i="5"/>
  <c r="BQ139" i="5" l="1"/>
  <c r="BT139" i="5" s="1"/>
  <c r="BL139" i="5"/>
  <c r="BD140" i="5"/>
  <c r="CA139" i="5"/>
  <c r="BG139" i="5"/>
  <c r="BF139" i="5"/>
  <c r="BE139" i="5"/>
  <c r="BW139" i="5"/>
  <c r="BQ137" i="5"/>
  <c r="BT137" i="5" s="1"/>
  <c r="CA131" i="5"/>
  <c r="BW131" i="5" s="1"/>
  <c r="BQ136" i="5"/>
  <c r="BT136" i="5" s="1"/>
  <c r="CA134" i="5"/>
  <c r="BQ134" i="5"/>
  <c r="BT134" i="5" s="1"/>
  <c r="BW135" i="5"/>
  <c r="BQ132" i="5"/>
  <c r="BT132" i="5" s="1"/>
  <c r="BQ133" i="5"/>
  <c r="BT133" i="5" s="1"/>
  <c r="CA137" i="5"/>
  <c r="BW137" i="5" s="1"/>
  <c r="CA133" i="5"/>
  <c r="BW133" i="5" s="1"/>
  <c r="CA135" i="5"/>
  <c r="BQ135" i="5"/>
  <c r="BT135" i="5" s="1"/>
  <c r="BQ131" i="5"/>
  <c r="BT131" i="5" s="1"/>
  <c r="AA139" i="5"/>
  <c r="AG139" i="5"/>
  <c r="AB139" i="5"/>
  <c r="Y140" i="5"/>
  <c r="Z139" i="5"/>
  <c r="CA136" i="5"/>
  <c r="BW136" i="5" s="1"/>
  <c r="BW134" i="5"/>
  <c r="BW132" i="5"/>
  <c r="CA138" i="5"/>
  <c r="BW138" i="5" s="1"/>
  <c r="BQ138" i="5"/>
  <c r="BT138" i="5" s="1"/>
  <c r="AG140" i="5" l="1"/>
  <c r="AB140" i="5"/>
  <c r="AA140" i="5"/>
  <c r="Y141" i="5"/>
  <c r="Z140" i="5"/>
  <c r="BF140" i="5"/>
  <c r="BE140" i="5"/>
  <c r="BL140" i="5"/>
  <c r="BD141" i="5"/>
  <c r="BG140" i="5"/>
  <c r="BE141" i="5" l="1"/>
  <c r="BL141" i="5"/>
  <c r="BF141" i="5"/>
  <c r="BD142" i="5"/>
  <c r="BG141" i="5"/>
  <c r="Y142" i="5"/>
  <c r="AG141" i="5"/>
  <c r="AB141" i="5"/>
  <c r="AA141" i="5"/>
  <c r="Z141" i="5"/>
  <c r="Z142" i="5" l="1"/>
  <c r="Y143" i="5"/>
  <c r="AG142" i="5"/>
  <c r="AB142" i="5"/>
  <c r="AA142" i="5"/>
  <c r="BG142" i="5"/>
  <c r="BD143" i="5"/>
  <c r="BL142" i="5"/>
  <c r="BF142" i="5"/>
  <c r="BE142" i="5"/>
  <c r="BL143" i="5" l="1"/>
  <c r="BD144" i="5"/>
  <c r="BG143" i="5"/>
  <c r="BF143" i="5"/>
  <c r="BE143" i="5"/>
  <c r="AB143" i="5"/>
  <c r="AA143" i="5"/>
  <c r="AG143" i="5"/>
  <c r="Z143" i="5"/>
  <c r="Y144" i="5"/>
  <c r="Z144" i="5" l="1"/>
  <c r="AG144" i="5"/>
  <c r="AA144" i="5"/>
  <c r="Y145" i="5"/>
  <c r="AB144" i="5"/>
  <c r="BD145" i="5"/>
  <c r="BL144" i="5"/>
  <c r="BG144" i="5"/>
  <c r="BF144" i="5"/>
  <c r="BE144" i="5"/>
  <c r="AB145" i="5" l="1"/>
  <c r="AG145" i="5"/>
  <c r="Y146" i="5"/>
  <c r="AA145" i="5"/>
  <c r="Z145" i="5"/>
  <c r="BE145" i="5"/>
  <c r="BD146" i="5"/>
  <c r="BL145" i="5"/>
  <c r="BG145" i="5"/>
  <c r="BF145" i="5"/>
  <c r="BG146" i="5" l="1"/>
  <c r="BF146" i="5"/>
  <c r="BE146" i="5"/>
  <c r="BD147" i="5"/>
  <c r="BL146" i="5"/>
  <c r="AG146" i="5"/>
  <c r="AB146" i="5"/>
  <c r="AA146" i="5"/>
  <c r="Y147" i="5"/>
  <c r="Z146" i="5"/>
  <c r="BE147" i="5" l="1"/>
  <c r="BL147" i="5"/>
  <c r="BF147" i="5"/>
  <c r="BD148" i="5"/>
  <c r="BG147" i="5"/>
  <c r="Y148" i="5"/>
  <c r="AG147" i="5"/>
  <c r="AB147" i="5"/>
  <c r="AA147" i="5"/>
  <c r="Z147" i="5"/>
  <c r="Z148" i="5" l="1"/>
  <c r="Y149" i="5"/>
  <c r="AB148" i="5"/>
  <c r="AA148" i="5"/>
  <c r="AG148" i="5"/>
  <c r="BG148" i="5"/>
  <c r="BD149" i="5"/>
  <c r="BL148" i="5"/>
  <c r="BF148" i="5"/>
  <c r="BE148" i="5"/>
  <c r="BL149" i="5" l="1"/>
  <c r="BD150" i="5"/>
  <c r="BG149" i="5"/>
  <c r="BF149" i="5"/>
  <c r="BE149" i="5"/>
  <c r="AB149" i="5"/>
  <c r="AA149" i="5"/>
  <c r="Y150" i="5"/>
  <c r="AG149" i="5"/>
  <c r="Z149" i="5"/>
  <c r="Z150" i="5" l="1"/>
  <c r="AG150" i="5"/>
  <c r="AA150" i="5"/>
  <c r="Y151" i="5"/>
  <c r="AB150" i="5"/>
  <c r="BD151" i="5"/>
  <c r="BF150" i="5"/>
  <c r="BE150" i="5"/>
  <c r="BL150" i="5"/>
  <c r="BG150" i="5"/>
  <c r="AB151" i="5" l="1"/>
  <c r="Y152" i="5"/>
  <c r="AA151" i="5"/>
  <c r="Z151" i="5"/>
  <c r="AG151" i="5"/>
  <c r="BE151" i="5"/>
  <c r="BD152" i="5"/>
  <c r="BL151" i="5"/>
  <c r="BG151" i="5"/>
  <c r="BF151" i="5"/>
  <c r="BG152" i="5" l="1"/>
  <c r="BF152" i="5"/>
  <c r="BD153" i="5"/>
  <c r="BL152" i="5"/>
  <c r="BE152" i="5"/>
  <c r="AG152" i="5"/>
  <c r="AB152" i="5"/>
  <c r="AA152" i="5"/>
  <c r="Y153" i="5"/>
  <c r="Z152" i="5"/>
  <c r="BE153" i="5" l="1"/>
  <c r="BL153" i="5"/>
  <c r="BF153" i="5"/>
  <c r="BD154" i="5"/>
  <c r="BG153" i="5"/>
  <c r="Y154" i="5"/>
  <c r="AG153" i="5"/>
  <c r="AB153" i="5"/>
  <c r="AA153" i="5"/>
  <c r="Z153" i="5"/>
  <c r="Z154" i="5" l="1"/>
  <c r="Y155" i="5"/>
  <c r="AG154" i="5"/>
  <c r="AB154" i="5"/>
  <c r="AA154" i="5"/>
  <c r="BG154" i="5"/>
  <c r="BD155" i="5"/>
  <c r="BL154" i="5"/>
  <c r="BF154" i="5"/>
  <c r="BE154" i="5"/>
  <c r="AB155" i="5" l="1"/>
  <c r="AA155" i="5"/>
  <c r="Y156" i="5"/>
  <c r="AG155" i="5"/>
  <c r="Z155" i="5"/>
  <c r="BL155" i="5"/>
  <c r="BD156" i="5"/>
  <c r="BG155" i="5"/>
  <c r="BF155" i="5"/>
  <c r="BE155" i="5"/>
  <c r="Z156" i="5" l="1"/>
  <c r="AG156" i="5"/>
  <c r="AA156" i="5"/>
  <c r="Y157" i="5"/>
  <c r="AB156" i="5"/>
  <c r="BD157" i="5"/>
  <c r="BL156" i="5"/>
  <c r="BG156" i="5"/>
  <c r="BF156" i="5"/>
  <c r="BE156" i="5"/>
  <c r="BE157" i="5" l="1"/>
  <c r="BD158" i="5"/>
  <c r="BL157" i="5"/>
  <c r="BG157" i="5"/>
  <c r="BF157" i="5"/>
  <c r="AB157" i="5"/>
  <c r="AG157" i="5"/>
  <c r="Y158" i="5"/>
  <c r="AA157" i="5"/>
  <c r="Z157" i="5"/>
  <c r="AG158" i="5" l="1"/>
  <c r="AB158" i="5"/>
  <c r="AA158" i="5"/>
  <c r="Y159" i="5"/>
  <c r="Z158" i="5"/>
  <c r="BG158" i="5"/>
  <c r="BF158" i="5"/>
  <c r="BD159" i="5"/>
  <c r="BL158" i="5"/>
  <c r="BE158" i="5"/>
  <c r="BE159" i="5" l="1"/>
  <c r="BL159" i="5"/>
  <c r="BF159" i="5"/>
  <c r="BD160" i="5"/>
  <c r="BG159" i="5"/>
  <c r="Y160" i="5"/>
  <c r="AG159" i="5"/>
  <c r="AB159" i="5"/>
  <c r="AA159" i="5"/>
  <c r="Z159" i="5"/>
  <c r="BG160" i="5" l="1"/>
  <c r="BL160" i="5"/>
  <c r="BD161" i="5"/>
  <c r="BF160" i="5"/>
  <c r="BE160" i="5"/>
  <c r="Z160" i="5"/>
  <c r="Y161" i="5"/>
  <c r="AG160" i="5"/>
  <c r="AB160" i="5"/>
  <c r="AA160" i="5"/>
  <c r="BL161" i="5" l="1"/>
  <c r="BD162" i="5"/>
  <c r="BG161" i="5"/>
  <c r="BF161" i="5"/>
  <c r="BE161" i="5"/>
  <c r="AB161" i="5"/>
  <c r="AA161" i="5"/>
  <c r="Y162" i="5"/>
  <c r="AG161" i="5"/>
  <c r="Z161" i="5"/>
  <c r="BD163" i="5" l="1"/>
  <c r="BL162" i="5"/>
  <c r="BG162" i="5"/>
  <c r="BF162" i="5"/>
  <c r="BE162" i="5"/>
  <c r="Z162" i="5"/>
  <c r="AG162" i="5"/>
  <c r="AA162" i="5"/>
  <c r="Y163" i="5"/>
  <c r="AB162" i="5"/>
  <c r="AB163" i="5" l="1"/>
  <c r="AG163" i="5"/>
  <c r="Y164" i="5"/>
  <c r="AA163" i="5"/>
  <c r="Z163" i="5"/>
  <c r="BE163" i="5"/>
  <c r="BD164" i="5"/>
  <c r="BF163" i="5"/>
  <c r="BL163" i="5"/>
  <c r="BG163" i="5"/>
  <c r="BG164" i="5" l="1"/>
  <c r="BF164" i="5"/>
  <c r="BD165" i="5"/>
  <c r="BL164" i="5"/>
  <c r="BE164" i="5"/>
  <c r="AG164" i="5"/>
  <c r="AB164" i="5"/>
  <c r="AA164" i="5"/>
  <c r="Y165" i="5"/>
  <c r="Z164" i="5"/>
  <c r="Y166" i="5" l="1"/>
  <c r="AA165" i="5"/>
  <c r="Z165" i="5"/>
  <c r="AG165" i="5"/>
  <c r="AB165" i="5"/>
  <c r="BE165" i="5"/>
  <c r="BL165" i="5"/>
  <c r="BF165" i="5"/>
  <c r="BD166" i="5"/>
  <c r="BG165" i="5"/>
  <c r="BG166" i="5" l="1"/>
  <c r="BL166" i="5"/>
  <c r="BD167" i="5"/>
  <c r="BF166" i="5"/>
  <c r="BE166" i="5"/>
  <c r="Z166" i="5"/>
  <c r="Y167" i="5"/>
  <c r="AG166" i="5"/>
  <c r="AB166" i="5"/>
  <c r="AA166" i="5"/>
  <c r="AB167" i="5" l="1"/>
  <c r="AA167" i="5"/>
  <c r="Y168" i="5"/>
  <c r="AG167" i="5"/>
  <c r="Z167" i="5"/>
  <c r="BL167" i="5"/>
  <c r="BD168" i="5"/>
  <c r="BG167" i="5"/>
  <c r="BF167" i="5"/>
  <c r="BE167" i="5"/>
  <c r="BD169" i="5" l="1"/>
  <c r="BE168" i="5"/>
  <c r="BL168" i="5"/>
  <c r="BG168" i="5"/>
  <c r="BF168" i="5"/>
  <c r="Z168" i="5"/>
  <c r="AG168" i="5"/>
  <c r="AA168" i="5"/>
  <c r="Y169" i="5"/>
  <c r="AB168" i="5"/>
  <c r="BQ164" i="5" l="1"/>
  <c r="BT164" i="5" s="1"/>
  <c r="BQ162" i="5"/>
  <c r="BT162" i="5" s="1"/>
  <c r="AB169" i="5"/>
  <c r="Z169" i="5"/>
  <c r="AG169" i="5"/>
  <c r="Y170" i="5"/>
  <c r="AA169" i="5"/>
  <c r="BE169" i="5"/>
  <c r="BD170" i="5"/>
  <c r="BQ169" i="5" s="1"/>
  <c r="BT169" i="5" s="1"/>
  <c r="BL169" i="5"/>
  <c r="CA169" i="5"/>
  <c r="BG169" i="5"/>
  <c r="BF169" i="5"/>
  <c r="BW169" i="5"/>
  <c r="CA167" i="5"/>
  <c r="BQ167" i="5"/>
  <c r="BT167" i="5" s="1"/>
  <c r="BQ161" i="5"/>
  <c r="BT161" i="5" s="1"/>
  <c r="CA165" i="5"/>
  <c r="CA163" i="5"/>
  <c r="BW165" i="5"/>
  <c r="CA166" i="5"/>
  <c r="BQ165" i="5" l="1"/>
  <c r="BT165" i="5" s="1"/>
  <c r="BQ166" i="5"/>
  <c r="BT166" i="5" s="1"/>
  <c r="BG170" i="5"/>
  <c r="BF170" i="5"/>
  <c r="BD171" i="5"/>
  <c r="BL170" i="5"/>
  <c r="CA170" i="5"/>
  <c r="BE170" i="5"/>
  <c r="BQ170" i="5"/>
  <c r="BT170" i="5" s="1"/>
  <c r="BW170" i="5"/>
  <c r="CA168" i="5"/>
  <c r="BW168" i="5" s="1"/>
  <c r="BQ168" i="5"/>
  <c r="BT168" i="5" s="1"/>
  <c r="BW164" i="5"/>
  <c r="BW166" i="5"/>
  <c r="BW167" i="5"/>
  <c r="CA164" i="5"/>
  <c r="BQ163" i="5"/>
  <c r="BT163" i="5" s="1"/>
  <c r="CA162" i="5"/>
  <c r="BW162" i="5" s="1"/>
  <c r="AG170" i="5"/>
  <c r="AB170" i="5"/>
  <c r="AA170" i="5"/>
  <c r="Y171" i="5"/>
  <c r="Z170" i="5"/>
  <c r="BE171" i="5" l="1"/>
  <c r="BL171" i="5"/>
  <c r="BF171" i="5"/>
  <c r="BG171" i="5"/>
  <c r="BD172" i="5"/>
  <c r="AG171" i="5"/>
  <c r="AB171" i="5"/>
  <c r="Y172" i="5"/>
  <c r="AA171" i="5"/>
  <c r="Z171" i="5"/>
  <c r="Y173" i="5" l="1"/>
  <c r="AA172" i="5"/>
  <c r="Z172" i="5"/>
  <c r="AG172" i="5"/>
  <c r="AB172" i="5"/>
  <c r="BL172" i="5"/>
  <c r="BG172" i="5"/>
  <c r="BD173" i="5"/>
  <c r="BF172" i="5"/>
  <c r="BE172" i="5"/>
  <c r="BD174" i="5" l="1"/>
  <c r="BF173" i="5"/>
  <c r="BE173" i="5"/>
  <c r="BL173" i="5"/>
  <c r="BG173" i="5"/>
  <c r="AB173" i="5"/>
  <c r="Z173" i="5"/>
  <c r="Y174" i="5"/>
  <c r="AG173" i="5"/>
  <c r="AA173" i="5"/>
  <c r="AA174" i="5" l="1"/>
  <c r="AG174" i="5"/>
  <c r="AB174" i="5"/>
  <c r="Y175" i="5"/>
  <c r="Z174" i="5"/>
  <c r="BL174" i="5"/>
  <c r="BD175" i="5"/>
  <c r="BG174" i="5"/>
  <c r="BF174" i="5"/>
  <c r="BE174" i="5"/>
  <c r="BD176" i="5" l="1"/>
  <c r="BF175" i="5"/>
  <c r="BE175" i="5"/>
  <c r="BL175" i="5"/>
  <c r="BG175" i="5"/>
  <c r="AG175" i="5"/>
  <c r="Y176" i="5"/>
  <c r="AB175" i="5"/>
  <c r="AA175" i="5"/>
  <c r="Z175" i="5"/>
  <c r="Y177" i="5" l="1"/>
  <c r="AG176" i="5"/>
  <c r="AB176" i="5"/>
  <c r="AA176" i="5"/>
  <c r="Z176" i="5"/>
  <c r="BG176" i="5"/>
  <c r="BE176" i="5"/>
  <c r="BL176" i="5"/>
  <c r="BD177" i="5"/>
  <c r="BF176" i="5"/>
  <c r="BF177" i="5" l="1"/>
  <c r="BL177" i="5"/>
  <c r="BG177" i="5"/>
  <c r="BE177" i="5"/>
  <c r="BD178" i="5"/>
  <c r="Y178" i="5"/>
  <c r="AG177" i="5"/>
  <c r="AB177" i="5"/>
  <c r="AA177" i="5"/>
  <c r="Z177" i="5"/>
  <c r="Y179" i="5" l="1"/>
  <c r="AA178" i="5"/>
  <c r="Z178" i="5"/>
  <c r="AB178" i="5"/>
  <c r="AG178" i="5"/>
  <c r="BL178" i="5"/>
  <c r="BG178" i="5"/>
  <c r="BD179" i="5"/>
  <c r="BF178" i="5"/>
  <c r="BE178" i="5"/>
  <c r="BD180" i="5" l="1"/>
  <c r="BL179" i="5"/>
  <c r="BG179" i="5"/>
  <c r="BF179" i="5"/>
  <c r="BE179" i="5"/>
  <c r="AB179" i="5"/>
  <c r="Z179" i="5"/>
  <c r="Y180" i="5"/>
  <c r="AG179" i="5"/>
  <c r="AA179" i="5"/>
  <c r="AA180" i="5" l="1"/>
  <c r="AG180" i="5"/>
  <c r="AB180" i="5"/>
  <c r="Y181" i="5"/>
  <c r="Z180" i="5"/>
  <c r="BD181" i="5"/>
  <c r="BG180" i="5"/>
  <c r="BF180" i="5"/>
  <c r="BE180" i="5"/>
  <c r="BL180" i="5"/>
  <c r="BD182" i="5" l="1"/>
  <c r="BF181" i="5"/>
  <c r="BE181" i="5"/>
  <c r="BL181" i="5"/>
  <c r="BG181" i="5"/>
  <c r="AG181" i="5"/>
  <c r="Y182" i="5"/>
  <c r="AB181" i="5"/>
  <c r="AA181" i="5"/>
  <c r="Z181" i="5"/>
  <c r="Y183" i="5" l="1"/>
  <c r="AA182" i="5"/>
  <c r="Z182" i="5"/>
  <c r="AG182" i="5"/>
  <c r="AB182" i="5"/>
  <c r="BG182" i="5"/>
  <c r="BE182" i="5"/>
  <c r="BL182" i="5"/>
  <c r="BD183" i="5"/>
  <c r="BF182" i="5"/>
  <c r="BF183" i="5" l="1"/>
  <c r="BL183" i="5"/>
  <c r="BG183" i="5"/>
  <c r="BD184" i="5"/>
  <c r="BE183" i="5"/>
  <c r="Z183" i="5"/>
  <c r="Y184" i="5"/>
  <c r="AG183" i="5"/>
  <c r="AB183" i="5"/>
  <c r="AA183" i="5"/>
  <c r="BL184" i="5" l="1"/>
  <c r="BG184" i="5"/>
  <c r="BF184" i="5"/>
  <c r="BE184" i="5"/>
  <c r="BD185" i="5"/>
  <c r="Y185" i="5"/>
  <c r="AA184" i="5"/>
  <c r="Z184" i="5"/>
  <c r="AG184" i="5"/>
  <c r="AB184" i="5"/>
  <c r="AB185" i="5" l="1"/>
  <c r="Z185" i="5"/>
  <c r="Y186" i="5"/>
  <c r="AG185" i="5"/>
  <c r="AA185" i="5"/>
  <c r="BF185" i="5"/>
  <c r="BD186" i="5"/>
  <c r="BL185" i="5"/>
  <c r="BG185" i="5"/>
  <c r="BE185" i="5"/>
  <c r="BG186" i="5" l="1"/>
  <c r="BD187" i="5"/>
  <c r="BF186" i="5"/>
  <c r="BE186" i="5"/>
  <c r="BL186" i="5"/>
  <c r="AA186" i="5"/>
  <c r="Y187" i="5"/>
  <c r="AG186" i="5"/>
  <c r="AB186" i="5"/>
  <c r="Z186" i="5"/>
  <c r="AG187" i="5" l="1"/>
  <c r="Y188" i="5"/>
  <c r="AB187" i="5"/>
  <c r="AA187" i="5"/>
  <c r="Z187" i="5"/>
  <c r="BD188" i="5"/>
  <c r="BF187" i="5"/>
  <c r="BE187" i="5"/>
  <c r="BG187" i="5"/>
  <c r="BL187" i="5"/>
  <c r="BG188" i="5" l="1"/>
  <c r="BF188" i="5"/>
  <c r="BE188" i="5"/>
  <c r="BD189" i="5"/>
  <c r="BL188" i="5"/>
  <c r="AA188" i="5"/>
  <c r="Y189" i="5"/>
  <c r="AB188" i="5"/>
  <c r="Z188" i="5"/>
  <c r="AG188" i="5"/>
  <c r="BF189" i="5" l="1"/>
  <c r="BD190" i="5"/>
  <c r="BL189" i="5"/>
  <c r="BG189" i="5"/>
  <c r="BE189" i="5"/>
  <c r="AA189" i="5"/>
  <c r="Y190" i="5"/>
  <c r="AG189" i="5"/>
  <c r="AB189" i="5"/>
  <c r="Z189" i="5"/>
  <c r="Y191" i="5" l="1"/>
  <c r="AA190" i="5"/>
  <c r="Z190" i="5"/>
  <c r="AG190" i="5"/>
  <c r="AB190" i="5"/>
  <c r="BD191" i="5"/>
  <c r="BL190" i="5"/>
  <c r="BG190" i="5"/>
  <c r="BF190" i="5"/>
  <c r="BE190" i="5"/>
  <c r="AB191" i="5" l="1"/>
  <c r="AA191" i="5"/>
  <c r="Z191" i="5"/>
  <c r="AG191" i="5"/>
  <c r="Y192" i="5"/>
  <c r="BF191" i="5"/>
  <c r="BD192" i="5"/>
  <c r="BL191" i="5"/>
  <c r="BG191" i="5"/>
  <c r="BE191" i="5"/>
  <c r="BF192" i="5" l="1"/>
  <c r="BD193" i="5"/>
  <c r="BL192" i="5"/>
  <c r="BG192" i="5"/>
  <c r="BE192" i="5"/>
  <c r="AA192" i="5"/>
  <c r="Y193" i="5"/>
  <c r="AG192" i="5"/>
  <c r="AB192" i="5"/>
  <c r="Z192" i="5"/>
  <c r="Y194" i="5" l="1"/>
  <c r="AG193" i="5"/>
  <c r="AB193" i="5"/>
  <c r="AA193" i="5"/>
  <c r="Z193" i="5"/>
  <c r="BD194" i="5"/>
  <c r="BF193" i="5"/>
  <c r="BE193" i="5"/>
  <c r="BL193" i="5"/>
  <c r="BG193" i="5"/>
  <c r="BG194" i="5" l="1"/>
  <c r="BF194" i="5"/>
  <c r="BE194" i="5"/>
  <c r="BD195" i="5"/>
  <c r="BL194" i="5"/>
  <c r="AA194" i="5"/>
  <c r="Y195" i="5"/>
  <c r="AG194" i="5"/>
  <c r="AB194" i="5"/>
  <c r="Z194" i="5"/>
  <c r="BF195" i="5" l="1"/>
  <c r="BD196" i="5"/>
  <c r="BL195" i="5"/>
  <c r="BG195" i="5"/>
  <c r="BE195" i="5"/>
  <c r="AA195" i="5"/>
  <c r="Y196" i="5"/>
  <c r="AG195" i="5"/>
  <c r="AB195" i="5"/>
  <c r="Z195" i="5"/>
  <c r="Y197" i="5" l="1"/>
  <c r="AA196" i="5"/>
  <c r="Z196" i="5"/>
  <c r="AG196" i="5"/>
  <c r="AB196" i="5"/>
  <c r="BD197" i="5"/>
  <c r="BL196" i="5"/>
  <c r="BG196" i="5"/>
  <c r="BF196" i="5"/>
  <c r="BE196" i="5"/>
  <c r="BG197" i="5" l="1"/>
  <c r="BF197" i="5"/>
  <c r="BD198" i="5"/>
  <c r="BL197" i="5"/>
  <c r="BE197" i="5"/>
  <c r="AB197" i="5"/>
  <c r="AA197" i="5"/>
  <c r="Z197" i="5"/>
  <c r="Y198" i="5"/>
  <c r="AG197" i="5"/>
  <c r="BL198" i="5" l="1"/>
  <c r="BF198" i="5"/>
  <c r="BD199" i="5"/>
  <c r="BG198" i="5"/>
  <c r="BE198" i="5"/>
  <c r="AA198" i="5"/>
  <c r="Y199" i="5"/>
  <c r="AG198" i="5"/>
  <c r="AB198" i="5"/>
  <c r="Z198" i="5"/>
  <c r="CA198" i="5" l="1"/>
  <c r="BD200" i="5"/>
  <c r="BQ199" i="5"/>
  <c r="BT199" i="5" s="1"/>
  <c r="BL199" i="5"/>
  <c r="BF199" i="5"/>
  <c r="BE199" i="5"/>
  <c r="BG199" i="5"/>
  <c r="BQ193" i="5"/>
  <c r="BT193" i="5" s="1"/>
  <c r="CA191" i="5"/>
  <c r="Z199" i="5"/>
  <c r="Y200" i="5"/>
  <c r="AG199" i="5"/>
  <c r="AB199" i="5"/>
  <c r="AA199" i="5"/>
  <c r="CA200" i="5" l="1"/>
  <c r="BW200" i="5" s="1"/>
  <c r="BG200" i="5"/>
  <c r="BF200" i="5"/>
  <c r="BE200" i="5"/>
  <c r="BD201" i="5"/>
  <c r="BQ200" i="5"/>
  <c r="BT200" i="5" s="1"/>
  <c r="BL200" i="5"/>
  <c r="BQ198" i="5"/>
  <c r="BT198" i="5" s="1"/>
  <c r="BQ196" i="5"/>
  <c r="BT196" i="5" s="1"/>
  <c r="CA197" i="5"/>
  <c r="BW197" i="5" s="1"/>
  <c r="AB200" i="5"/>
  <c r="AA200" i="5"/>
  <c r="Z200" i="5"/>
  <c r="Y201" i="5"/>
  <c r="AG200" i="5"/>
  <c r="BQ195" i="5"/>
  <c r="BT195" i="5" s="1"/>
  <c r="BW198" i="5"/>
  <c r="CA196" i="5"/>
  <c r="BW196" i="5" s="1"/>
  <c r="BQ197" i="5"/>
  <c r="BT197" i="5" s="1"/>
  <c r="CA199" i="5"/>
  <c r="BW199" i="5" s="1"/>
  <c r="BQ194" i="5"/>
  <c r="BT194" i="5" s="1"/>
  <c r="AG201" i="5" l="1"/>
  <c r="AB201" i="5"/>
  <c r="AA201" i="5"/>
  <c r="Y202" i="5"/>
  <c r="Z201" i="5"/>
  <c r="BF201" i="5"/>
  <c r="BD202" i="5"/>
  <c r="BL201" i="5"/>
  <c r="BG201" i="5"/>
  <c r="BE201" i="5"/>
  <c r="BL202" i="5" l="1"/>
  <c r="BG202" i="5"/>
  <c r="BF202" i="5"/>
  <c r="BE202" i="5"/>
  <c r="BD203" i="5"/>
  <c r="AG202" i="5"/>
  <c r="AB202" i="5"/>
  <c r="AA202" i="5"/>
  <c r="Z202" i="5"/>
  <c r="Y203" i="5"/>
  <c r="BL203" i="5" l="1"/>
  <c r="BG203" i="5"/>
  <c r="BF203" i="5"/>
  <c r="BE203" i="5"/>
  <c r="BD204" i="5"/>
  <c r="Z203" i="5"/>
  <c r="Y204" i="5"/>
  <c r="AG203" i="5"/>
  <c r="AB203" i="5"/>
  <c r="AA203" i="5"/>
  <c r="BL204" i="5" l="1"/>
  <c r="BG204" i="5"/>
  <c r="BF204" i="5"/>
  <c r="BE204" i="5"/>
  <c r="BD205" i="5"/>
  <c r="AB204" i="5"/>
  <c r="Z204" i="5"/>
  <c r="Y205" i="5"/>
  <c r="AG204" i="5"/>
  <c r="AA204" i="5"/>
  <c r="AG205" i="5" l="1"/>
  <c r="AB205" i="5"/>
  <c r="AA205" i="5"/>
  <c r="Z205" i="5"/>
  <c r="Y206" i="5"/>
  <c r="BL205" i="5"/>
  <c r="BG205" i="5"/>
  <c r="BF205" i="5"/>
  <c r="BE205" i="5"/>
  <c r="BD206" i="5"/>
  <c r="BE206" i="5" l="1"/>
  <c r="BD207" i="5"/>
  <c r="BL206" i="5"/>
  <c r="BG206" i="5"/>
  <c r="BF206" i="5"/>
  <c r="AG206" i="5"/>
  <c r="AB206" i="5"/>
  <c r="AA206" i="5"/>
  <c r="Z206" i="5"/>
  <c r="Y207" i="5"/>
  <c r="AG207" i="5" l="1"/>
  <c r="AB207" i="5"/>
  <c r="AA207" i="5"/>
  <c r="Z207" i="5"/>
  <c r="Y208" i="5"/>
  <c r="BG207" i="5"/>
  <c r="BF207" i="5"/>
  <c r="BE207" i="5"/>
  <c r="BD208" i="5"/>
  <c r="BL207" i="5"/>
  <c r="BL208" i="5" l="1"/>
  <c r="BG208" i="5"/>
  <c r="BF208" i="5"/>
  <c r="BE208" i="5"/>
  <c r="BD209" i="5"/>
  <c r="Y209" i="5"/>
  <c r="AG208" i="5"/>
  <c r="AB208" i="5"/>
  <c r="AA208" i="5"/>
  <c r="Z208" i="5"/>
  <c r="BL209" i="5" l="1"/>
  <c r="BG209" i="5"/>
  <c r="BF209" i="5"/>
  <c r="BE209" i="5"/>
  <c r="BD210" i="5"/>
  <c r="Z209" i="5"/>
  <c r="Y210" i="5"/>
  <c r="AG209" i="5"/>
  <c r="AB209" i="5"/>
  <c r="AA209" i="5"/>
  <c r="BL210" i="5" l="1"/>
  <c r="BG210" i="5"/>
  <c r="BF210" i="5"/>
  <c r="BE210" i="5"/>
  <c r="BD211" i="5"/>
  <c r="AB210" i="5"/>
  <c r="AA210" i="5"/>
  <c r="Z210" i="5"/>
  <c r="Y211" i="5"/>
  <c r="AG210" i="5"/>
  <c r="BD212" i="5" l="1"/>
  <c r="BL211" i="5"/>
  <c r="BG211" i="5"/>
  <c r="BF211" i="5"/>
  <c r="BE211" i="5"/>
  <c r="AG211" i="5"/>
  <c r="AB211" i="5"/>
  <c r="AA211" i="5"/>
  <c r="Z211" i="5"/>
  <c r="Y212" i="5"/>
  <c r="AG212" i="5" l="1"/>
  <c r="AB212" i="5"/>
  <c r="AA212" i="5"/>
  <c r="Z212" i="5"/>
  <c r="Y213" i="5"/>
  <c r="BE212" i="5"/>
  <c r="BD213" i="5"/>
  <c r="BL212" i="5"/>
  <c r="BG212" i="5"/>
  <c r="BF212" i="5"/>
  <c r="BG213" i="5" l="1"/>
  <c r="BF213" i="5"/>
  <c r="BE213" i="5"/>
  <c r="BD214" i="5"/>
  <c r="BL213" i="5"/>
  <c r="AG213" i="5"/>
  <c r="AB213" i="5"/>
  <c r="AA213" i="5"/>
  <c r="Z213" i="5"/>
  <c r="Y214" i="5"/>
  <c r="Y215" i="5" l="1"/>
  <c r="AG214" i="5"/>
  <c r="AB214" i="5"/>
  <c r="AA214" i="5"/>
  <c r="Z214" i="5"/>
  <c r="BL214" i="5"/>
  <c r="BG214" i="5"/>
  <c r="BF214" i="5"/>
  <c r="BE214" i="5"/>
  <c r="BD215" i="5"/>
  <c r="BL215" i="5" l="1"/>
  <c r="BG215" i="5"/>
  <c r="BF215" i="5"/>
  <c r="BE215" i="5"/>
  <c r="BD216" i="5"/>
  <c r="Z215" i="5"/>
  <c r="Y216" i="5"/>
  <c r="AG215" i="5"/>
  <c r="AB215" i="5"/>
  <c r="AA215" i="5"/>
  <c r="BL216" i="5" l="1"/>
  <c r="BG216" i="5"/>
  <c r="BF216" i="5"/>
  <c r="BE216" i="5"/>
  <c r="BD217" i="5"/>
  <c r="AB216" i="5"/>
  <c r="AA216" i="5"/>
  <c r="Z216" i="5"/>
  <c r="Y217" i="5"/>
  <c r="AG216" i="5"/>
  <c r="AG217" i="5" l="1"/>
  <c r="AB217" i="5"/>
  <c r="AA217" i="5"/>
  <c r="Z217" i="5"/>
  <c r="Y218" i="5"/>
  <c r="BD218" i="5"/>
  <c r="BL217" i="5"/>
  <c r="BG217" i="5"/>
  <c r="BF217" i="5"/>
  <c r="BE217" i="5"/>
  <c r="BL218" i="5" l="1"/>
  <c r="BG218" i="5"/>
  <c r="BF218" i="5"/>
  <c r="BE218" i="5"/>
  <c r="BD219" i="5"/>
  <c r="AB218" i="5"/>
  <c r="Y219" i="5"/>
  <c r="AG218" i="5"/>
  <c r="AA218" i="5"/>
  <c r="Z218" i="5"/>
  <c r="AG219" i="5" l="1"/>
  <c r="AB219" i="5"/>
  <c r="AA219" i="5"/>
  <c r="Z219" i="5"/>
  <c r="Y220" i="5"/>
  <c r="BF219" i="5"/>
  <c r="BD220" i="5"/>
  <c r="BL219" i="5"/>
  <c r="BG219" i="5"/>
  <c r="BE219" i="5"/>
  <c r="BE220" i="5" l="1"/>
  <c r="BL220" i="5"/>
  <c r="BG220" i="5"/>
  <c r="BF220" i="5"/>
  <c r="BD221" i="5"/>
  <c r="Y221" i="5"/>
  <c r="AG220" i="5"/>
  <c r="AB220" i="5"/>
  <c r="AA220" i="5"/>
  <c r="Z220" i="5"/>
  <c r="AB221" i="5" l="1"/>
  <c r="AA221" i="5"/>
  <c r="Z221" i="5"/>
  <c r="Y222" i="5"/>
  <c r="AG221" i="5"/>
  <c r="BG221" i="5"/>
  <c r="BD222" i="5"/>
  <c r="BL221" i="5"/>
  <c r="BF221" i="5"/>
  <c r="BE221" i="5"/>
  <c r="BL222" i="5" l="1"/>
  <c r="BG222" i="5"/>
  <c r="BF222" i="5"/>
  <c r="BE222" i="5"/>
  <c r="BD223" i="5"/>
  <c r="AA222" i="5"/>
  <c r="Y223" i="5"/>
  <c r="AG222" i="5"/>
  <c r="AB222" i="5"/>
  <c r="Z222" i="5"/>
  <c r="BD224" i="5" l="1"/>
  <c r="BL223" i="5"/>
  <c r="BG223" i="5"/>
  <c r="BF223" i="5"/>
  <c r="BE223" i="5"/>
  <c r="Z223" i="5"/>
  <c r="AB223" i="5"/>
  <c r="AA223" i="5"/>
  <c r="Y224" i="5"/>
  <c r="AG223" i="5"/>
  <c r="AB224" i="5" l="1"/>
  <c r="Y225" i="5"/>
  <c r="AG224" i="5"/>
  <c r="AA224" i="5"/>
  <c r="Z224" i="5"/>
  <c r="BG224" i="5"/>
  <c r="BF224" i="5"/>
  <c r="BE224" i="5"/>
  <c r="BD225" i="5"/>
  <c r="BL224" i="5"/>
  <c r="AG225" i="5" l="1"/>
  <c r="AB225" i="5"/>
  <c r="AA225" i="5"/>
  <c r="Z225" i="5"/>
  <c r="Y226" i="5"/>
  <c r="BD226" i="5"/>
  <c r="BF225" i="5"/>
  <c r="BL225" i="5"/>
  <c r="BG225" i="5"/>
  <c r="BE225" i="5"/>
  <c r="BE226" i="5" l="1"/>
  <c r="BD227" i="5"/>
  <c r="BL226" i="5"/>
  <c r="BG226" i="5"/>
  <c r="BF226" i="5"/>
  <c r="Y227" i="5"/>
  <c r="AG226" i="5"/>
  <c r="AB226" i="5"/>
  <c r="AA226" i="5"/>
  <c r="Z226" i="5"/>
  <c r="Y228" i="5" l="1"/>
  <c r="AG227" i="5"/>
  <c r="AB227" i="5"/>
  <c r="AA227" i="5"/>
  <c r="Z227" i="5"/>
  <c r="BF227" i="5"/>
  <c r="BG227" i="5"/>
  <c r="BE227" i="5"/>
  <c r="BD228" i="5"/>
  <c r="BL227" i="5"/>
  <c r="Y229" i="5" l="1"/>
  <c r="AA228" i="5"/>
  <c r="Z228" i="5"/>
  <c r="AG228" i="5"/>
  <c r="AB228" i="5"/>
  <c r="BL228" i="5"/>
  <c r="BD229" i="5"/>
  <c r="BG228" i="5"/>
  <c r="BF228" i="5"/>
  <c r="BE228" i="5"/>
  <c r="Z229" i="5" l="1"/>
  <c r="Y230" i="5"/>
  <c r="AG229" i="5"/>
  <c r="AB229" i="5"/>
  <c r="AA229" i="5"/>
  <c r="BD230" i="5"/>
  <c r="BG229" i="5"/>
  <c r="BF229" i="5"/>
  <c r="BE229" i="5"/>
  <c r="BL229" i="5"/>
  <c r="AA230" i="5" l="1"/>
  <c r="AB230" i="5"/>
  <c r="Z230" i="5"/>
  <c r="Y231" i="5"/>
  <c r="AG230" i="5"/>
  <c r="BQ230" i="5"/>
  <c r="BT230" i="5" s="1"/>
  <c r="BD231" i="5"/>
  <c r="CA230" i="5"/>
  <c r="BW230" i="5" s="1"/>
  <c r="BL230" i="5"/>
  <c r="BG230" i="5"/>
  <c r="BF230" i="5"/>
  <c r="BE230" i="5"/>
  <c r="CA228" i="5"/>
  <c r="BQ224" i="5"/>
  <c r="BT224" i="5" s="1"/>
  <c r="BQ228" i="5"/>
  <c r="BT228" i="5" s="1"/>
  <c r="CA226" i="5"/>
  <c r="CA224" i="5"/>
  <c r="CA223" i="5"/>
  <c r="BW228" i="5"/>
  <c r="CA222" i="5"/>
  <c r="BQ226" i="5"/>
  <c r="BT226" i="5" s="1"/>
  <c r="BW226" i="5"/>
  <c r="AG231" i="5" l="1"/>
  <c r="Y232" i="5"/>
  <c r="AB231" i="5"/>
  <c r="AA231" i="5"/>
  <c r="Z231" i="5"/>
  <c r="BD232" i="5"/>
  <c r="BQ231" i="5"/>
  <c r="BT231" i="5" s="1"/>
  <c r="BF231" i="5"/>
  <c r="BL231" i="5"/>
  <c r="CA231" i="5"/>
  <c r="BW231" i="5" s="1"/>
  <c r="BG231" i="5"/>
  <c r="BE231" i="5"/>
  <c r="BQ229" i="5"/>
  <c r="BT229" i="5" s="1"/>
  <c r="CA229" i="5"/>
  <c r="BW229" i="5"/>
  <c r="BQ225" i="5"/>
  <c r="BT225" i="5" s="1"/>
  <c r="BW227" i="5"/>
  <c r="BQ227" i="5"/>
  <c r="BT227" i="5" s="1"/>
  <c r="BW224" i="5"/>
  <c r="CA227" i="5"/>
  <c r="CA225" i="5"/>
  <c r="BW225" i="5" s="1"/>
  <c r="BE232" i="5" l="1"/>
  <c r="BF232" i="5"/>
  <c r="BD233" i="5"/>
  <c r="BL232" i="5"/>
  <c r="BG232" i="5"/>
  <c r="AG232" i="5"/>
  <c r="Y233" i="5"/>
  <c r="AB232" i="5"/>
  <c r="AA232" i="5"/>
  <c r="Z232" i="5"/>
  <c r="Z233" i="5" l="1"/>
  <c r="Y234" i="5"/>
  <c r="AB233" i="5"/>
  <c r="AA233" i="5"/>
  <c r="AG233" i="5"/>
  <c r="BG233" i="5"/>
  <c r="BL233" i="5"/>
  <c r="BD234" i="5"/>
  <c r="BF233" i="5"/>
  <c r="BE233" i="5"/>
  <c r="BL234" i="5" l="1"/>
  <c r="BD235" i="5"/>
  <c r="BG234" i="5"/>
  <c r="BF234" i="5"/>
  <c r="BE234" i="5"/>
  <c r="AB234" i="5"/>
  <c r="AA234" i="5"/>
  <c r="Y235" i="5"/>
  <c r="AG234" i="5"/>
  <c r="Z234" i="5"/>
  <c r="Z235" i="5" l="1"/>
  <c r="AG235" i="5"/>
  <c r="AA235" i="5"/>
  <c r="Y236" i="5"/>
  <c r="AB235" i="5"/>
  <c r="BD236" i="5"/>
  <c r="BF235" i="5"/>
  <c r="BE235" i="5"/>
  <c r="BL235" i="5"/>
  <c r="BG235" i="5"/>
  <c r="AB236" i="5" l="1"/>
  <c r="Y237" i="5"/>
  <c r="AA236" i="5"/>
  <c r="Z236" i="5"/>
  <c r="AG236" i="5"/>
  <c r="BE236" i="5"/>
  <c r="BD237" i="5"/>
  <c r="BL236" i="5"/>
  <c r="BG236" i="5"/>
  <c r="BF236" i="5"/>
  <c r="BG237" i="5" l="1"/>
  <c r="BF237" i="5"/>
  <c r="BD238" i="5"/>
  <c r="BL237" i="5"/>
  <c r="BE237" i="5"/>
  <c r="AG237" i="5"/>
  <c r="AB237" i="5"/>
  <c r="AA237" i="5"/>
  <c r="Y238" i="5"/>
  <c r="Z237" i="5"/>
  <c r="Y239" i="5" l="1"/>
  <c r="AG238" i="5"/>
  <c r="AB238" i="5"/>
  <c r="AA238" i="5"/>
  <c r="Z238" i="5"/>
  <c r="BE238" i="5"/>
  <c r="BL238" i="5"/>
  <c r="BF238" i="5"/>
  <c r="BD239" i="5"/>
  <c r="BG238" i="5"/>
  <c r="BG239" i="5" l="1"/>
  <c r="BL239" i="5"/>
  <c r="BD240" i="5"/>
  <c r="BF239" i="5"/>
  <c r="BE239" i="5"/>
  <c r="Z239" i="5"/>
  <c r="Y240" i="5"/>
  <c r="AG239" i="5"/>
  <c r="AB239" i="5"/>
  <c r="AA239" i="5"/>
  <c r="AB240" i="5" l="1"/>
  <c r="AA240" i="5"/>
  <c r="Y241" i="5"/>
  <c r="AG240" i="5"/>
  <c r="Z240" i="5"/>
  <c r="BL240" i="5"/>
  <c r="BE240" i="5"/>
  <c r="BD241" i="5"/>
  <c r="BG240" i="5"/>
  <c r="BF240" i="5"/>
  <c r="Z241" i="5" l="1"/>
  <c r="AG241" i="5"/>
  <c r="AA241" i="5"/>
  <c r="Y242" i="5"/>
  <c r="AB241" i="5"/>
  <c r="BD242" i="5"/>
  <c r="BL241" i="5"/>
  <c r="BG241" i="5"/>
  <c r="BF241" i="5"/>
  <c r="BE241" i="5"/>
  <c r="AB242" i="5" l="1"/>
  <c r="AG242" i="5"/>
  <c r="Y243" i="5"/>
  <c r="AA242" i="5"/>
  <c r="Z242" i="5"/>
  <c r="BE242" i="5"/>
  <c r="BD243" i="5"/>
  <c r="BL242" i="5"/>
  <c r="BG242" i="5"/>
  <c r="BF242" i="5"/>
  <c r="BG243" i="5" l="1"/>
  <c r="BF243" i="5"/>
  <c r="BD244" i="5"/>
  <c r="BL243" i="5"/>
  <c r="BE243" i="5"/>
  <c r="AG243" i="5"/>
  <c r="AB243" i="5"/>
  <c r="AA243" i="5"/>
  <c r="Y244" i="5"/>
  <c r="Z243" i="5"/>
  <c r="BE244" i="5" l="1"/>
  <c r="BL244" i="5"/>
  <c r="BF244" i="5"/>
  <c r="BD245" i="5"/>
  <c r="BG244" i="5"/>
  <c r="Y245" i="5"/>
  <c r="AG244" i="5"/>
  <c r="AB244" i="5"/>
  <c r="AA244" i="5"/>
  <c r="Z244" i="5"/>
  <c r="BG245" i="5" l="1"/>
  <c r="BL245" i="5"/>
  <c r="BD246" i="5"/>
  <c r="BF245" i="5"/>
  <c r="BE245" i="5"/>
  <c r="Z245" i="5"/>
  <c r="Y246" i="5"/>
  <c r="AG245" i="5"/>
  <c r="AB245" i="5"/>
  <c r="AA245" i="5"/>
  <c r="AB246" i="5" l="1"/>
  <c r="AA246" i="5"/>
  <c r="Y247" i="5"/>
  <c r="AG246" i="5"/>
  <c r="Z246" i="5"/>
  <c r="BL246" i="5"/>
  <c r="BD247" i="5"/>
  <c r="BG246" i="5"/>
  <c r="BF246" i="5"/>
  <c r="BE246" i="5"/>
  <c r="Z247" i="5" l="1"/>
  <c r="AG247" i="5"/>
  <c r="AA247" i="5"/>
  <c r="Y248" i="5"/>
  <c r="AB247" i="5"/>
  <c r="BD248" i="5"/>
  <c r="BG247" i="5"/>
  <c r="BF247" i="5"/>
  <c r="BE247" i="5"/>
  <c r="BL247" i="5"/>
  <c r="AB248" i="5" l="1"/>
  <c r="AG248" i="5"/>
  <c r="Y249" i="5"/>
  <c r="AA248" i="5"/>
  <c r="Z248" i="5"/>
  <c r="BE248" i="5"/>
  <c r="BD249" i="5"/>
  <c r="BL248" i="5"/>
  <c r="BG248" i="5"/>
  <c r="BF248" i="5"/>
  <c r="BG249" i="5" l="1"/>
  <c r="BF249" i="5"/>
  <c r="BD250" i="5"/>
  <c r="BL249" i="5"/>
  <c r="BE249" i="5"/>
  <c r="AG249" i="5"/>
  <c r="AA249" i="5"/>
  <c r="Y250" i="5"/>
  <c r="Z249" i="5"/>
  <c r="AB249" i="5"/>
  <c r="Y251" i="5" l="1"/>
  <c r="Z250" i="5"/>
  <c r="AG250" i="5"/>
  <c r="AB250" i="5"/>
  <c r="AA250" i="5"/>
  <c r="BE250" i="5"/>
  <c r="BL250" i="5"/>
  <c r="BF250" i="5"/>
  <c r="BD251" i="5"/>
  <c r="BG250" i="5"/>
  <c r="BG251" i="5" l="1"/>
  <c r="BL251" i="5"/>
  <c r="BD252" i="5"/>
  <c r="BF251" i="5"/>
  <c r="BE251" i="5"/>
  <c r="Z251" i="5"/>
  <c r="Y252" i="5"/>
  <c r="AG251" i="5"/>
  <c r="AB251" i="5"/>
  <c r="AA251" i="5"/>
  <c r="AB252" i="5" l="1"/>
  <c r="AA252" i="5"/>
  <c r="Y253" i="5"/>
  <c r="AG252" i="5"/>
  <c r="Z252" i="5"/>
  <c r="BL252" i="5"/>
  <c r="BG252" i="5"/>
  <c r="BF252" i="5"/>
  <c r="BE252" i="5"/>
  <c r="BD253" i="5"/>
  <c r="BD254" i="5" l="1"/>
  <c r="BL253" i="5"/>
  <c r="BG253" i="5"/>
  <c r="BF253" i="5"/>
  <c r="BE253" i="5"/>
  <c r="Z253" i="5"/>
  <c r="AG253" i="5"/>
  <c r="AA253" i="5"/>
  <c r="AB253" i="5"/>
  <c r="Y254" i="5"/>
  <c r="BE254" i="5" l="1"/>
  <c r="BD255" i="5"/>
  <c r="BL254" i="5"/>
  <c r="BG254" i="5"/>
  <c r="BF254" i="5"/>
  <c r="AB254" i="5"/>
  <c r="AG254" i="5"/>
  <c r="Y255" i="5"/>
  <c r="AA254" i="5"/>
  <c r="Z254" i="5"/>
  <c r="AG255" i="5" l="1"/>
  <c r="AB255" i="5"/>
  <c r="AA255" i="5"/>
  <c r="Y256" i="5"/>
  <c r="Z255" i="5"/>
  <c r="BG255" i="5"/>
  <c r="BF255" i="5"/>
  <c r="BD256" i="5"/>
  <c r="BL255" i="5"/>
  <c r="BE255" i="5"/>
  <c r="BE256" i="5" l="1"/>
  <c r="BL256" i="5"/>
  <c r="BF256" i="5"/>
  <c r="BD257" i="5"/>
  <c r="BG256" i="5"/>
  <c r="Y257" i="5"/>
  <c r="AG256" i="5"/>
  <c r="AB256" i="5"/>
  <c r="AA256" i="5"/>
  <c r="Z256" i="5"/>
  <c r="Z257" i="5" l="1"/>
  <c r="Y258" i="5"/>
  <c r="AG257" i="5"/>
  <c r="AB257" i="5"/>
  <c r="AA257" i="5"/>
  <c r="BG257" i="5"/>
  <c r="BE257" i="5"/>
  <c r="BL257" i="5"/>
  <c r="BD258" i="5"/>
  <c r="BF257" i="5"/>
  <c r="AB258" i="5" l="1"/>
  <c r="AA258" i="5"/>
  <c r="Z258" i="5"/>
  <c r="Y259" i="5"/>
  <c r="AG258" i="5"/>
  <c r="BL258" i="5"/>
  <c r="BD259" i="5"/>
  <c r="BG258" i="5"/>
  <c r="BF258" i="5"/>
  <c r="BE258" i="5"/>
  <c r="Z259" i="5" l="1"/>
  <c r="AG259" i="5"/>
  <c r="AA259" i="5"/>
  <c r="Y260" i="5"/>
  <c r="AB259" i="5"/>
  <c r="BD260" i="5"/>
  <c r="BL259" i="5"/>
  <c r="BG259" i="5"/>
  <c r="BF259" i="5"/>
  <c r="BE259" i="5"/>
  <c r="BQ253" i="5" l="1"/>
  <c r="BT253" i="5" s="1"/>
  <c r="BE260" i="5"/>
  <c r="BD261" i="5"/>
  <c r="BQ260" i="5"/>
  <c r="BT260" i="5" s="1"/>
  <c r="CA260" i="5"/>
  <c r="BG260" i="5"/>
  <c r="BF260" i="5"/>
  <c r="BW260" i="5"/>
  <c r="BL260" i="5"/>
  <c r="BQ256" i="5"/>
  <c r="BT256" i="5" s="1"/>
  <c r="BQ258" i="5"/>
  <c r="BT258" i="5" s="1"/>
  <c r="CA256" i="5"/>
  <c r="CA258" i="5"/>
  <c r="BW258" i="5" s="1"/>
  <c r="BQ252" i="5"/>
  <c r="BT252" i="5" s="1"/>
  <c r="CA259" i="5"/>
  <c r="CA255" i="5"/>
  <c r="BW255" i="5" s="1"/>
  <c r="AB260" i="5"/>
  <c r="AG260" i="5"/>
  <c r="Y261" i="5"/>
  <c r="AA260" i="5"/>
  <c r="Z260" i="5"/>
  <c r="CA257" i="5"/>
  <c r="BW259" i="5"/>
  <c r="BQ255" i="5"/>
  <c r="BT255" i="5" s="1"/>
  <c r="BQ257" i="5"/>
  <c r="BT257" i="5" s="1"/>
  <c r="BW257" i="5"/>
  <c r="BG261" i="5" l="1"/>
  <c r="BF261" i="5"/>
  <c r="BQ261" i="5"/>
  <c r="BT261" i="5" s="1"/>
  <c r="BD262" i="5"/>
  <c r="BL261" i="5"/>
  <c r="CA261" i="5"/>
  <c r="BW261" i="5" s="1"/>
  <c r="BE261" i="5"/>
  <c r="BQ254" i="5"/>
  <c r="BT254" i="5" s="1"/>
  <c r="BW256" i="5"/>
  <c r="AG261" i="5"/>
  <c r="AB261" i="5"/>
  <c r="AA261" i="5"/>
  <c r="Y262" i="5"/>
  <c r="Z261" i="5"/>
  <c r="BQ259" i="5"/>
  <c r="BT259" i="5" s="1"/>
  <c r="AB262" i="5" l="1"/>
  <c r="Y263" i="5"/>
  <c r="AA262" i="5"/>
  <c r="Z262" i="5"/>
  <c r="AG262" i="5"/>
  <c r="BE262" i="5"/>
  <c r="BL262" i="5"/>
  <c r="BF262" i="5"/>
  <c r="BG262" i="5"/>
  <c r="BD263" i="5"/>
  <c r="Y264" i="5" l="1"/>
  <c r="AA263" i="5"/>
  <c r="Z263" i="5"/>
  <c r="AB263" i="5"/>
  <c r="AG263" i="5"/>
  <c r="BL263" i="5"/>
  <c r="BG263" i="5"/>
  <c r="BD264" i="5"/>
  <c r="BF263" i="5"/>
  <c r="BE263" i="5"/>
  <c r="AB264" i="5" l="1"/>
  <c r="Z264" i="5"/>
  <c r="Y265" i="5"/>
  <c r="AG264" i="5"/>
  <c r="AA264" i="5"/>
  <c r="BD265" i="5"/>
  <c r="BL264" i="5"/>
  <c r="BG264" i="5"/>
  <c r="BF264" i="5"/>
  <c r="BE264" i="5"/>
  <c r="BG265" i="5" l="1"/>
  <c r="BF265" i="5"/>
  <c r="BE265" i="5"/>
  <c r="BL265" i="5"/>
  <c r="BD266" i="5"/>
  <c r="AA265" i="5"/>
  <c r="AG265" i="5"/>
  <c r="AB265" i="5"/>
  <c r="Y266" i="5"/>
  <c r="Z265" i="5"/>
  <c r="BD267" i="5" l="1"/>
  <c r="BF266" i="5"/>
  <c r="BE266" i="5"/>
  <c r="BL266" i="5"/>
  <c r="BG266" i="5"/>
  <c r="AG266" i="5"/>
  <c r="Y267" i="5"/>
  <c r="AB266" i="5"/>
  <c r="AA266" i="5"/>
  <c r="Z266" i="5"/>
  <c r="Y268" i="5" l="1"/>
  <c r="Z267" i="5"/>
  <c r="AG267" i="5"/>
  <c r="AB267" i="5"/>
  <c r="AA267" i="5"/>
  <c r="BG267" i="5"/>
  <c r="BE267" i="5"/>
  <c r="BL267" i="5"/>
  <c r="BD268" i="5"/>
  <c r="BF267" i="5"/>
  <c r="AG268" i="5" l="1"/>
  <c r="Y269" i="5"/>
  <c r="AB268" i="5"/>
  <c r="AA268" i="5"/>
  <c r="Z268" i="5"/>
  <c r="BF268" i="5"/>
  <c r="BL268" i="5"/>
  <c r="BG268" i="5"/>
  <c r="BD269" i="5"/>
  <c r="BE268" i="5"/>
  <c r="BL269" i="5" l="1"/>
  <c r="BG269" i="5"/>
  <c r="BD270" i="5"/>
  <c r="BF269" i="5"/>
  <c r="BE269" i="5"/>
  <c r="Y270" i="5"/>
  <c r="AA269" i="5"/>
  <c r="Z269" i="5"/>
  <c r="AG269" i="5"/>
  <c r="AB269" i="5"/>
  <c r="BD271" i="5" l="1"/>
  <c r="BF270" i="5"/>
  <c r="BE270" i="5"/>
  <c r="BL270" i="5"/>
  <c r="BG270" i="5"/>
  <c r="AB270" i="5"/>
  <c r="Z270" i="5"/>
  <c r="Y271" i="5"/>
  <c r="AG270" i="5"/>
  <c r="AA270" i="5"/>
  <c r="BL271" i="5" l="1"/>
  <c r="BD272" i="5"/>
  <c r="BG271" i="5"/>
  <c r="BF271" i="5"/>
  <c r="BE271" i="5"/>
  <c r="AA271" i="5"/>
  <c r="AG271" i="5"/>
  <c r="AB271" i="5"/>
  <c r="Y272" i="5"/>
  <c r="Z271" i="5"/>
  <c r="AG272" i="5" l="1"/>
  <c r="Y273" i="5"/>
  <c r="AB272" i="5"/>
  <c r="AA272" i="5"/>
  <c r="Z272" i="5"/>
  <c r="BD273" i="5"/>
  <c r="BF272" i="5"/>
  <c r="BE272" i="5"/>
  <c r="BL272" i="5"/>
  <c r="BG272" i="5"/>
  <c r="BG273" i="5" l="1"/>
  <c r="BE273" i="5"/>
  <c r="BL273" i="5"/>
  <c r="BD274" i="5"/>
  <c r="BF273" i="5"/>
  <c r="Y274" i="5"/>
  <c r="AG273" i="5"/>
  <c r="AB273" i="5"/>
  <c r="AA273" i="5"/>
  <c r="Z273" i="5"/>
  <c r="AG274" i="5" l="1"/>
  <c r="Y275" i="5"/>
  <c r="AB274" i="5"/>
  <c r="AA274" i="5"/>
  <c r="Z274" i="5"/>
  <c r="BF274" i="5"/>
  <c r="BL274" i="5"/>
  <c r="BG274" i="5"/>
  <c r="BE274" i="5"/>
  <c r="BD275" i="5"/>
  <c r="BL275" i="5" l="1"/>
  <c r="BG275" i="5"/>
  <c r="BD276" i="5"/>
  <c r="BF275" i="5"/>
  <c r="BE275" i="5"/>
  <c r="Y276" i="5"/>
  <c r="AA275" i="5"/>
  <c r="Z275" i="5"/>
  <c r="AG275" i="5"/>
  <c r="AB275" i="5"/>
  <c r="AB276" i="5" l="1"/>
  <c r="Z276" i="5"/>
  <c r="AA276" i="5"/>
  <c r="Y277" i="5"/>
  <c r="AG276" i="5"/>
  <c r="BD277" i="5"/>
  <c r="BL276" i="5"/>
  <c r="BG276" i="5"/>
  <c r="BF276" i="5"/>
  <c r="BE276" i="5"/>
  <c r="BL277" i="5" l="1"/>
  <c r="BD278" i="5"/>
  <c r="BG277" i="5"/>
  <c r="BF277" i="5"/>
  <c r="BE277" i="5"/>
  <c r="AA277" i="5"/>
  <c r="AG277" i="5"/>
  <c r="AB277" i="5"/>
  <c r="Y278" i="5"/>
  <c r="Z277" i="5"/>
  <c r="BD279" i="5" l="1"/>
  <c r="BF278" i="5"/>
  <c r="BE278" i="5"/>
  <c r="BG278" i="5"/>
  <c r="BL278" i="5"/>
  <c r="AG278" i="5"/>
  <c r="Y279" i="5"/>
  <c r="AB278" i="5"/>
  <c r="AA278" i="5"/>
  <c r="Z278" i="5"/>
  <c r="Y280" i="5" l="1"/>
  <c r="AB279" i="5"/>
  <c r="AA279" i="5"/>
  <c r="Z279" i="5"/>
  <c r="AG279" i="5"/>
  <c r="BG279" i="5"/>
  <c r="BE279" i="5"/>
  <c r="BL279" i="5"/>
  <c r="BD280" i="5"/>
  <c r="BF279" i="5"/>
  <c r="BF280" i="5" l="1"/>
  <c r="BL280" i="5"/>
  <c r="BG280" i="5"/>
  <c r="BD281" i="5"/>
  <c r="BE280" i="5"/>
  <c r="AA280" i="5"/>
  <c r="Z280" i="5"/>
  <c r="AG280" i="5"/>
  <c r="Y281" i="5"/>
  <c r="AB280" i="5"/>
  <c r="BL281" i="5" l="1"/>
  <c r="BG281" i="5"/>
  <c r="BD282" i="5"/>
  <c r="BF281" i="5"/>
  <c r="BE281" i="5"/>
  <c r="Y282" i="5"/>
  <c r="AA281" i="5"/>
  <c r="Z281" i="5"/>
  <c r="AG281" i="5"/>
  <c r="AB281" i="5"/>
  <c r="BD283" i="5" l="1"/>
  <c r="BG282" i="5"/>
  <c r="BF282" i="5"/>
  <c r="BE282" i="5"/>
  <c r="BL282" i="5"/>
  <c r="AB282" i="5"/>
  <c r="Z282" i="5"/>
  <c r="Y283" i="5"/>
  <c r="AG282" i="5"/>
  <c r="AA282" i="5"/>
  <c r="AA283" i="5" l="1"/>
  <c r="AG283" i="5"/>
  <c r="AB283" i="5"/>
  <c r="Y284" i="5"/>
  <c r="Z283" i="5"/>
  <c r="BL283" i="5"/>
  <c r="BD284" i="5"/>
  <c r="BG283" i="5"/>
  <c r="BF283" i="5"/>
  <c r="BE283" i="5"/>
  <c r="BD285" i="5" l="1"/>
  <c r="BF284" i="5"/>
  <c r="BE284" i="5"/>
  <c r="BL284" i="5"/>
  <c r="BG284" i="5"/>
  <c r="AG284" i="5"/>
  <c r="Z284" i="5"/>
  <c r="Y285" i="5"/>
  <c r="AB284" i="5"/>
  <c r="AA284" i="5"/>
  <c r="Y286" i="5" l="1"/>
  <c r="AG285" i="5"/>
  <c r="AB285" i="5"/>
  <c r="AA285" i="5"/>
  <c r="Z285" i="5"/>
  <c r="BG285" i="5"/>
  <c r="BE285" i="5"/>
  <c r="BL285" i="5"/>
  <c r="BD286" i="5"/>
  <c r="BF285" i="5"/>
  <c r="BF286" i="5" l="1"/>
  <c r="BL286" i="5"/>
  <c r="BG286" i="5"/>
  <c r="BD287" i="5"/>
  <c r="BE286" i="5"/>
  <c r="AG286" i="5"/>
  <c r="Y287" i="5"/>
  <c r="AB286" i="5"/>
  <c r="AA286" i="5"/>
  <c r="Z286" i="5"/>
  <c r="Y288" i="5" l="1"/>
  <c r="AA287" i="5"/>
  <c r="Z287" i="5"/>
  <c r="AG287" i="5"/>
  <c r="AB287" i="5"/>
  <c r="BL287" i="5"/>
  <c r="BE287" i="5"/>
  <c r="BG287" i="5"/>
  <c r="BD288" i="5"/>
  <c r="BF287" i="5"/>
  <c r="BD289" i="5" l="1"/>
  <c r="BL288" i="5"/>
  <c r="BG288" i="5"/>
  <c r="BF288" i="5"/>
  <c r="BE288" i="5"/>
  <c r="AB288" i="5"/>
  <c r="Z288" i="5"/>
  <c r="AG288" i="5"/>
  <c r="AA288" i="5"/>
  <c r="Y289" i="5"/>
  <c r="AA289" i="5" l="1"/>
  <c r="AG289" i="5"/>
  <c r="AB289" i="5"/>
  <c r="Y290" i="5"/>
  <c r="Z289" i="5"/>
  <c r="BL289" i="5"/>
  <c r="BD290" i="5"/>
  <c r="BG289" i="5"/>
  <c r="BF289" i="5"/>
  <c r="BE289" i="5"/>
  <c r="BD291" i="5" l="1"/>
  <c r="BF290" i="5"/>
  <c r="BE290" i="5"/>
  <c r="BL290" i="5"/>
  <c r="BG290" i="5"/>
  <c r="AG290" i="5"/>
  <c r="Y291" i="5"/>
  <c r="AB290" i="5"/>
  <c r="AA290" i="5"/>
  <c r="Z290" i="5"/>
  <c r="Y292" i="5" l="1"/>
  <c r="AG291" i="5"/>
  <c r="AB291" i="5"/>
  <c r="AA291" i="5"/>
  <c r="Z291" i="5"/>
  <c r="BG291" i="5"/>
  <c r="BE291" i="5"/>
  <c r="BQ291" i="5"/>
  <c r="BT291" i="5" s="1"/>
  <c r="BL291" i="5"/>
  <c r="BD292" i="5"/>
  <c r="CA291" i="5"/>
  <c r="BF291" i="5"/>
  <c r="BW291" i="5"/>
  <c r="CA289" i="5"/>
  <c r="BW289" i="5" s="1"/>
  <c r="BQ285" i="5"/>
  <c r="BT285" i="5" s="1"/>
  <c r="BW287" i="5"/>
  <c r="BQ283" i="5"/>
  <c r="BT283" i="5" s="1"/>
  <c r="BQ289" i="5"/>
  <c r="BT289" i="5" s="1"/>
  <c r="CA283" i="5"/>
  <c r="BQ287" i="5"/>
  <c r="BT287" i="5" s="1"/>
  <c r="CA285" i="5"/>
  <c r="BW285" i="5" s="1"/>
  <c r="CA287" i="5"/>
  <c r="BG292" i="5" l="1"/>
  <c r="CA292" i="5"/>
  <c r="BQ292" i="5"/>
  <c r="BT292" i="5" s="1"/>
  <c r="BL292" i="5"/>
  <c r="BF292" i="5"/>
  <c r="BD293" i="5"/>
  <c r="BE292" i="5"/>
  <c r="BW292" i="5"/>
  <c r="CA286" i="5"/>
  <c r="CA284" i="5"/>
  <c r="BQ290" i="5"/>
  <c r="BT290" i="5" s="1"/>
  <c r="BQ284" i="5"/>
  <c r="BT284" i="5" s="1"/>
  <c r="BQ288" i="5"/>
  <c r="BT288" i="5" s="1"/>
  <c r="BQ286" i="5"/>
  <c r="BT286" i="5" s="1"/>
  <c r="CA288" i="5"/>
  <c r="BW288" i="5" s="1"/>
  <c r="CA290" i="5"/>
  <c r="BW290" i="5" s="1"/>
  <c r="BW286" i="5"/>
  <c r="Y293" i="5"/>
  <c r="Z292" i="5"/>
  <c r="AG292" i="5"/>
  <c r="AB292" i="5"/>
  <c r="AA292" i="5"/>
  <c r="AB293" i="5" l="1"/>
  <c r="Z293" i="5"/>
  <c r="AA293" i="5"/>
  <c r="Y294" i="5"/>
  <c r="AG293" i="5"/>
  <c r="BG293" i="5"/>
  <c r="BD294" i="5"/>
  <c r="BL293" i="5"/>
  <c r="BF293" i="5"/>
  <c r="BE293" i="5"/>
  <c r="AK293" i="5" l="1"/>
  <c r="AH293" i="5"/>
  <c r="Z294" i="5"/>
  <c r="AG294" i="5"/>
  <c r="AA294" i="5"/>
  <c r="AB294" i="5"/>
  <c r="Y295" i="5"/>
  <c r="BL294" i="5"/>
  <c r="BD295" i="5"/>
  <c r="BG294" i="5"/>
  <c r="BF294" i="5"/>
  <c r="BE294" i="5"/>
  <c r="BL295" i="5" l="1"/>
  <c r="BF295" i="5"/>
  <c r="BE295" i="5"/>
  <c r="BD296" i="5"/>
  <c r="BG295" i="5"/>
  <c r="Z295" i="5"/>
  <c r="AG295" i="5"/>
  <c r="AA295" i="5"/>
  <c r="AB295" i="5"/>
  <c r="Y296" i="5"/>
  <c r="AK294" i="5"/>
  <c r="AH294" i="5"/>
  <c r="AN293" i="5"/>
  <c r="BM293" i="5"/>
  <c r="AQ293" i="5"/>
  <c r="BP293" i="5"/>
  <c r="AH295" i="5" l="1"/>
  <c r="AK295" i="5"/>
  <c r="BL296" i="5"/>
  <c r="BG296" i="5"/>
  <c r="BF296" i="5"/>
  <c r="BE296" i="5"/>
  <c r="BD297" i="5"/>
  <c r="Z296" i="5"/>
  <c r="AG296" i="5"/>
  <c r="AA296" i="5"/>
  <c r="AB296" i="5"/>
  <c r="Y297" i="5"/>
  <c r="BV293" i="5"/>
  <c r="BS293" i="5"/>
  <c r="AQ294" i="5"/>
  <c r="AN294" i="5"/>
  <c r="BM294" i="5"/>
  <c r="BP294" i="5"/>
  <c r="BL297" i="5" l="1"/>
  <c r="BG297" i="5"/>
  <c r="BF297" i="5"/>
  <c r="BE297" i="5"/>
  <c r="BD298" i="5"/>
  <c r="BV294" i="5"/>
  <c r="BS294" i="5"/>
  <c r="AK296" i="5"/>
  <c r="AH296" i="5"/>
  <c r="BP295" i="5"/>
  <c r="Z297" i="5"/>
  <c r="AG297" i="5"/>
  <c r="AA297" i="5"/>
  <c r="AB297" i="5"/>
  <c r="Y298" i="5"/>
  <c r="AQ295" i="5"/>
  <c r="AN295" i="5"/>
  <c r="BM295" i="5"/>
  <c r="AK297" i="5" l="1"/>
  <c r="BP297" i="5" s="1"/>
  <c r="AH297" i="5"/>
  <c r="BL298" i="5"/>
  <c r="BG298" i="5"/>
  <c r="BF298" i="5"/>
  <c r="BE298" i="5"/>
  <c r="BD299" i="5"/>
  <c r="AQ296" i="5"/>
  <c r="AN296" i="5"/>
  <c r="BM296" i="5"/>
  <c r="Z298" i="5"/>
  <c r="AG298" i="5"/>
  <c r="AA298" i="5"/>
  <c r="Y299" i="5"/>
  <c r="AB298" i="5"/>
  <c r="BP296" i="5"/>
  <c r="BV295" i="5"/>
  <c r="BS295" i="5"/>
  <c r="AK298" i="5" l="1"/>
  <c r="AH298" i="5"/>
  <c r="BM297" i="5"/>
  <c r="AQ297" i="5"/>
  <c r="AN297" i="5"/>
  <c r="BV296" i="5"/>
  <c r="BS296" i="5"/>
  <c r="BL299" i="5"/>
  <c r="BD300" i="5"/>
  <c r="BG299" i="5"/>
  <c r="BF299" i="5"/>
  <c r="BE299" i="5"/>
  <c r="Z299" i="5"/>
  <c r="AG299" i="5"/>
  <c r="AA299" i="5"/>
  <c r="Y300" i="5"/>
  <c r="AB299" i="5"/>
  <c r="AK299" i="5" l="1"/>
  <c r="AH299" i="5"/>
  <c r="BV297" i="5"/>
  <c r="BS297" i="5"/>
  <c r="BL300" i="5"/>
  <c r="BD301" i="5"/>
  <c r="BG300" i="5"/>
  <c r="BF300" i="5"/>
  <c r="BE300" i="5"/>
  <c r="AQ298" i="5"/>
  <c r="AN298" i="5"/>
  <c r="BM298" i="5"/>
  <c r="BP298" i="5"/>
  <c r="Z300" i="5"/>
  <c r="AG300" i="5"/>
  <c r="AA300" i="5"/>
  <c r="AB300" i="5"/>
  <c r="Y301" i="5"/>
  <c r="Z301" i="5" l="1"/>
  <c r="AG301" i="5"/>
  <c r="AA301" i="5"/>
  <c r="AB301" i="5"/>
  <c r="Y302" i="5"/>
  <c r="AK300" i="5"/>
  <c r="AH300" i="5"/>
  <c r="BV298" i="5"/>
  <c r="BS298" i="5"/>
  <c r="AQ299" i="5"/>
  <c r="AN299" i="5"/>
  <c r="BM299" i="5"/>
  <c r="BL301" i="5"/>
  <c r="BF301" i="5"/>
  <c r="BE301" i="5"/>
  <c r="BD302" i="5"/>
  <c r="BG301" i="5"/>
  <c r="BP299" i="5"/>
  <c r="Z302" i="5" l="1"/>
  <c r="AG302" i="5"/>
  <c r="AA302" i="5"/>
  <c r="AB302" i="5"/>
  <c r="Y303" i="5"/>
  <c r="AQ300" i="5"/>
  <c r="AN300" i="5"/>
  <c r="BM300" i="5"/>
  <c r="BS299" i="5"/>
  <c r="BV299" i="5"/>
  <c r="BP300" i="5"/>
  <c r="BL302" i="5"/>
  <c r="BG302" i="5"/>
  <c r="BF302" i="5"/>
  <c r="BE302" i="5"/>
  <c r="BD303" i="5"/>
  <c r="AH301" i="5"/>
  <c r="AK301" i="5"/>
  <c r="Z303" i="5" l="1"/>
  <c r="AG303" i="5"/>
  <c r="AA303" i="5"/>
  <c r="AB303" i="5"/>
  <c r="Y304" i="5"/>
  <c r="BL303" i="5"/>
  <c r="BG303" i="5"/>
  <c r="BF303" i="5"/>
  <c r="BE303" i="5"/>
  <c r="BD304" i="5"/>
  <c r="AK302" i="5"/>
  <c r="BP302" i="5" s="1"/>
  <c r="AH302" i="5"/>
  <c r="BP301" i="5"/>
  <c r="AQ301" i="5"/>
  <c r="AN301" i="5"/>
  <c r="BM301" i="5"/>
  <c r="BV300" i="5"/>
  <c r="BS300" i="5"/>
  <c r="Z304" i="5" l="1"/>
  <c r="AG304" i="5"/>
  <c r="AA304" i="5"/>
  <c r="Y305" i="5"/>
  <c r="AB304" i="5"/>
  <c r="AQ302" i="5"/>
  <c r="AN302" i="5"/>
  <c r="BM302" i="5"/>
  <c r="BL304" i="5"/>
  <c r="BG304" i="5"/>
  <c r="BF304" i="5"/>
  <c r="BE304" i="5"/>
  <c r="BD305" i="5"/>
  <c r="AK303" i="5"/>
  <c r="BP303" i="5" s="1"/>
  <c r="AH303" i="5"/>
  <c r="BV301" i="5"/>
  <c r="BS301" i="5"/>
  <c r="Z305" i="5" l="1"/>
  <c r="AG305" i="5"/>
  <c r="AA305" i="5"/>
  <c r="Y306" i="5"/>
  <c r="AB305" i="5"/>
  <c r="BM303" i="5"/>
  <c r="AQ303" i="5"/>
  <c r="AN303" i="5"/>
  <c r="AK304" i="5"/>
  <c r="BP304" i="5" s="1"/>
  <c r="AH304" i="5"/>
  <c r="BV302" i="5"/>
  <c r="BS302" i="5"/>
  <c r="BL305" i="5"/>
  <c r="BD306" i="5"/>
  <c r="BG305" i="5"/>
  <c r="BF305" i="5"/>
  <c r="BE305" i="5"/>
  <c r="Z306" i="5" l="1"/>
  <c r="AG306" i="5"/>
  <c r="AA306" i="5"/>
  <c r="AB306" i="5"/>
  <c r="Y307" i="5"/>
  <c r="AQ304" i="5"/>
  <c r="AN304" i="5"/>
  <c r="BM304" i="5"/>
  <c r="AK305" i="5"/>
  <c r="BP305" i="5" s="1"/>
  <c r="AH305" i="5"/>
  <c r="BL306" i="5"/>
  <c r="BD307" i="5"/>
  <c r="BG306" i="5"/>
  <c r="BF306" i="5"/>
  <c r="BE306" i="5"/>
  <c r="BV303" i="5"/>
  <c r="BS303" i="5"/>
  <c r="Z307" i="5" l="1"/>
  <c r="AG307" i="5"/>
  <c r="AA307" i="5"/>
  <c r="AB307" i="5"/>
  <c r="Y308" i="5"/>
  <c r="BL307" i="5"/>
  <c r="BF307" i="5"/>
  <c r="BE307" i="5"/>
  <c r="BD308" i="5"/>
  <c r="BG307" i="5"/>
  <c r="AK306" i="5"/>
  <c r="AH306" i="5"/>
  <c r="BV304" i="5"/>
  <c r="BS304" i="5"/>
  <c r="AQ305" i="5"/>
  <c r="AN305" i="5"/>
  <c r="BM305" i="5"/>
  <c r="BS305" i="5" l="1"/>
  <c r="BV305" i="5"/>
  <c r="Z308" i="5"/>
  <c r="AG308" i="5"/>
  <c r="AA308" i="5"/>
  <c r="AB308" i="5"/>
  <c r="Y309" i="5"/>
  <c r="AQ306" i="5"/>
  <c r="AN306" i="5"/>
  <c r="BM306" i="5"/>
  <c r="BP306" i="5"/>
  <c r="AH307" i="5"/>
  <c r="AK307" i="5"/>
  <c r="BP307" i="5" s="1"/>
  <c r="BL308" i="5"/>
  <c r="BG308" i="5"/>
  <c r="BF308" i="5"/>
  <c r="BE308" i="5"/>
  <c r="BD309" i="5"/>
  <c r="BV306" i="5" l="1"/>
  <c r="BS306" i="5"/>
  <c r="AK308" i="5"/>
  <c r="BP308" i="5" s="1"/>
  <c r="AH308" i="5"/>
  <c r="BL309" i="5"/>
  <c r="BG309" i="5"/>
  <c r="BF309" i="5"/>
  <c r="BE309" i="5"/>
  <c r="BD310" i="5"/>
  <c r="Z309" i="5"/>
  <c r="AG309" i="5"/>
  <c r="AA309" i="5"/>
  <c r="AB309" i="5"/>
  <c r="Y310" i="5"/>
  <c r="AQ307" i="5"/>
  <c r="AN307" i="5"/>
  <c r="BM307" i="5"/>
  <c r="BV307" i="5" l="1"/>
  <c r="BS307" i="5"/>
  <c r="Z310" i="5"/>
  <c r="AG310" i="5"/>
  <c r="AA310" i="5"/>
  <c r="Y311" i="5"/>
  <c r="AB310" i="5"/>
  <c r="AK309" i="5"/>
  <c r="AH309" i="5"/>
  <c r="AQ308" i="5"/>
  <c r="AN308" i="5"/>
  <c r="BM308" i="5"/>
  <c r="BL310" i="5"/>
  <c r="BG310" i="5"/>
  <c r="BF310" i="5"/>
  <c r="BE310" i="5"/>
  <c r="BD311" i="5"/>
  <c r="BV308" i="5" l="1"/>
  <c r="BS308" i="5"/>
  <c r="BM309" i="5"/>
  <c r="AQ309" i="5"/>
  <c r="AN309" i="5"/>
  <c r="BL311" i="5"/>
  <c r="BD312" i="5"/>
  <c r="BG311" i="5"/>
  <c r="BF311" i="5"/>
  <c r="BE311" i="5"/>
  <c r="BP309" i="5"/>
  <c r="Z311" i="5"/>
  <c r="AG311" i="5"/>
  <c r="AA311" i="5"/>
  <c r="Y312" i="5"/>
  <c r="AB311" i="5"/>
  <c r="AK310" i="5"/>
  <c r="AH310" i="5"/>
  <c r="BL312" i="5" l="1"/>
  <c r="BD313" i="5"/>
  <c r="BG312" i="5"/>
  <c r="BF312" i="5"/>
  <c r="BE312" i="5"/>
  <c r="AK311" i="5"/>
  <c r="BP311" i="5" s="1"/>
  <c r="AH311" i="5"/>
  <c r="BP310" i="5"/>
  <c r="AQ310" i="5"/>
  <c r="AN310" i="5"/>
  <c r="BM310" i="5"/>
  <c r="BV309" i="5"/>
  <c r="BS309" i="5"/>
  <c r="Z312" i="5"/>
  <c r="AG312" i="5"/>
  <c r="AA312" i="5"/>
  <c r="AB312" i="5"/>
  <c r="Y313" i="5"/>
  <c r="BV310" i="5" l="1"/>
  <c r="BS310" i="5"/>
  <c r="BL313" i="5"/>
  <c r="BF313" i="5"/>
  <c r="BE313" i="5"/>
  <c r="BD314" i="5"/>
  <c r="BG313" i="5"/>
  <c r="AK312" i="5"/>
  <c r="AH312" i="5"/>
  <c r="AQ311" i="5"/>
  <c r="AN311" i="5"/>
  <c r="BM311" i="5"/>
  <c r="Z313" i="5"/>
  <c r="AG313" i="5"/>
  <c r="AA313" i="5"/>
  <c r="AB313" i="5"/>
  <c r="Y314" i="5"/>
  <c r="BL314" i="5" l="1"/>
  <c r="BG314" i="5"/>
  <c r="BF314" i="5"/>
  <c r="BE314" i="5"/>
  <c r="BD315" i="5"/>
  <c r="AQ312" i="5"/>
  <c r="AN312" i="5"/>
  <c r="BM312" i="5"/>
  <c r="BP312" i="5"/>
  <c r="AH313" i="5"/>
  <c r="AK313" i="5"/>
  <c r="BS311" i="5"/>
  <c r="BV311" i="5"/>
  <c r="Z314" i="5"/>
  <c r="AG314" i="5"/>
  <c r="AA314" i="5"/>
  <c r="AB314" i="5"/>
  <c r="Y315" i="5"/>
  <c r="BV312" i="5" l="1"/>
  <c r="BS312" i="5"/>
  <c r="Z315" i="5"/>
  <c r="AG315" i="5"/>
  <c r="AA315" i="5"/>
  <c r="AB315" i="5"/>
  <c r="Y316" i="5"/>
  <c r="BL315" i="5"/>
  <c r="BG315" i="5"/>
  <c r="BF315" i="5"/>
  <c r="BE315" i="5"/>
  <c r="BD316" i="5"/>
  <c r="BP313" i="5"/>
  <c r="AQ313" i="5"/>
  <c r="AN313" i="5"/>
  <c r="BM313" i="5"/>
  <c r="AK314" i="5"/>
  <c r="AH314" i="5"/>
  <c r="AQ314" i="5" l="1"/>
  <c r="AN314" i="5"/>
  <c r="BM314" i="5"/>
  <c r="BP314" i="5"/>
  <c r="BV313" i="5"/>
  <c r="BS313" i="5"/>
  <c r="AK315" i="5"/>
  <c r="BP315" i="5" s="1"/>
  <c r="AH315" i="5"/>
  <c r="BL316" i="5"/>
  <c r="BG316" i="5"/>
  <c r="BF316" i="5"/>
  <c r="BE316" i="5"/>
  <c r="BD317" i="5"/>
  <c r="Z316" i="5"/>
  <c r="AG316" i="5"/>
  <c r="AA316" i="5"/>
  <c r="Y317" i="5"/>
  <c r="AB316" i="5"/>
  <c r="Z317" i="5" l="1"/>
  <c r="AG317" i="5"/>
  <c r="AA317" i="5"/>
  <c r="Y318" i="5"/>
  <c r="AB317" i="5"/>
  <c r="BL317" i="5"/>
  <c r="BD318" i="5"/>
  <c r="BG317" i="5"/>
  <c r="BF317" i="5"/>
  <c r="BE317" i="5"/>
  <c r="AK316" i="5"/>
  <c r="AH316" i="5"/>
  <c r="BV314" i="5"/>
  <c r="BS314" i="5"/>
  <c r="BM315" i="5"/>
  <c r="AQ315" i="5"/>
  <c r="AN315" i="5"/>
  <c r="BL318" i="5" l="1"/>
  <c r="BD319" i="5"/>
  <c r="BG318" i="5"/>
  <c r="BF318" i="5"/>
  <c r="BE318" i="5"/>
  <c r="Z318" i="5"/>
  <c r="AG318" i="5"/>
  <c r="AA318" i="5"/>
  <c r="AB318" i="5"/>
  <c r="Y319" i="5"/>
  <c r="BV315" i="5"/>
  <c r="BS315" i="5"/>
  <c r="AK317" i="5"/>
  <c r="BP317" i="5" s="1"/>
  <c r="AH317" i="5"/>
  <c r="AQ316" i="5"/>
  <c r="AN316" i="5"/>
  <c r="BM316" i="5"/>
  <c r="BP316" i="5"/>
  <c r="Z319" i="5" l="1"/>
  <c r="AG319" i="5"/>
  <c r="AA319" i="5"/>
  <c r="AB319" i="5"/>
  <c r="Y320" i="5"/>
  <c r="BV316" i="5"/>
  <c r="BS316" i="5"/>
  <c r="BL319" i="5"/>
  <c r="BF319" i="5"/>
  <c r="BE319" i="5"/>
  <c r="BD320" i="5"/>
  <c r="BG319" i="5"/>
  <c r="AQ317" i="5"/>
  <c r="AN317" i="5"/>
  <c r="BM317" i="5"/>
  <c r="AK318" i="5"/>
  <c r="BP318" i="5" s="1"/>
  <c r="AH318" i="5"/>
  <c r="AQ318" i="5" l="1"/>
  <c r="AN318" i="5"/>
  <c r="BM318" i="5"/>
  <c r="Z320" i="5"/>
  <c r="AG320" i="5"/>
  <c r="AA320" i="5"/>
  <c r="AB320" i="5"/>
  <c r="Y321" i="5"/>
  <c r="BS317" i="5"/>
  <c r="BV317" i="5"/>
  <c r="BL320" i="5"/>
  <c r="BG320" i="5"/>
  <c r="BF320" i="5"/>
  <c r="BE320" i="5"/>
  <c r="BD321" i="5"/>
  <c r="AH319" i="5"/>
  <c r="AK319" i="5"/>
  <c r="BP319" i="5" s="1"/>
  <c r="AQ319" i="5" l="1"/>
  <c r="AN319" i="5"/>
  <c r="BM319" i="5"/>
  <c r="AK320" i="5"/>
  <c r="BP320" i="5" s="1"/>
  <c r="AH320" i="5"/>
  <c r="BV318" i="5"/>
  <c r="BS318" i="5"/>
  <c r="Z321" i="5"/>
  <c r="AG321" i="5"/>
  <c r="AA321" i="5"/>
  <c r="AB321" i="5"/>
  <c r="Y322" i="5"/>
  <c r="BL321" i="5"/>
  <c r="BG321" i="5"/>
  <c r="BF321" i="5"/>
  <c r="BE321" i="5"/>
  <c r="BD322" i="5"/>
  <c r="Z322" i="5" l="1"/>
  <c r="AG322" i="5"/>
  <c r="AA322" i="5"/>
  <c r="Y323" i="5"/>
  <c r="AB322" i="5"/>
  <c r="AV322" i="5"/>
  <c r="AV320" i="5"/>
  <c r="AI319" i="5"/>
  <c r="AV316" i="5"/>
  <c r="AL318" i="5"/>
  <c r="AI316" i="5"/>
  <c r="AV314" i="5"/>
  <c r="AL316" i="5"/>
  <c r="AQ320" i="5"/>
  <c r="AN320" i="5"/>
  <c r="BM320" i="5"/>
  <c r="AK321" i="5"/>
  <c r="AH321" i="5"/>
  <c r="BV319" i="5"/>
  <c r="BS319" i="5"/>
  <c r="CA322" i="5"/>
  <c r="BL322" i="5"/>
  <c r="BG322" i="5"/>
  <c r="BF322" i="5"/>
  <c r="BE322" i="5"/>
  <c r="BD323" i="5"/>
  <c r="CA320" i="5"/>
  <c r="CA318" i="5"/>
  <c r="BM321" i="5" l="1"/>
  <c r="AQ321" i="5"/>
  <c r="AN321" i="5"/>
  <c r="AI321" i="5"/>
  <c r="BV320" i="5"/>
  <c r="BS320" i="5"/>
  <c r="AO316" i="5"/>
  <c r="BN316" i="5"/>
  <c r="AR316" i="5"/>
  <c r="Z323" i="5"/>
  <c r="AG323" i="5"/>
  <c r="AA323" i="5"/>
  <c r="AV323" i="5"/>
  <c r="Y324" i="5"/>
  <c r="AB323" i="5"/>
  <c r="AI320" i="5"/>
  <c r="AV318" i="5"/>
  <c r="AI318" i="5"/>
  <c r="AL319" i="5"/>
  <c r="AL320" i="5"/>
  <c r="AV321" i="5"/>
  <c r="AV319" i="5"/>
  <c r="AO319" i="5" s="1"/>
  <c r="AV317" i="5"/>
  <c r="CA323" i="5"/>
  <c r="BL323" i="5"/>
  <c r="BD324" i="5"/>
  <c r="BG323" i="5"/>
  <c r="BF323" i="5"/>
  <c r="BE323" i="5"/>
  <c r="BQ317" i="5"/>
  <c r="CA317" i="5"/>
  <c r="BP321" i="5"/>
  <c r="AL321" i="5"/>
  <c r="AK322" i="5"/>
  <c r="BP322" i="5" s="1"/>
  <c r="AH322" i="5"/>
  <c r="BQ320" i="5"/>
  <c r="BN319" i="5"/>
  <c r="AR319" i="5"/>
  <c r="CA319" i="5"/>
  <c r="CA321" i="5"/>
  <c r="AK323" i="5" l="1"/>
  <c r="BP323" i="5" s="1"/>
  <c r="AH323" i="5"/>
  <c r="BL324" i="5"/>
  <c r="BD325" i="5"/>
  <c r="BG324" i="5"/>
  <c r="BF324" i="5"/>
  <c r="BE324" i="5"/>
  <c r="AO318" i="5"/>
  <c r="BN318" i="5"/>
  <c r="AR318" i="5"/>
  <c r="AO320" i="5"/>
  <c r="BN320" i="5"/>
  <c r="AR320" i="5"/>
  <c r="BQ321" i="5"/>
  <c r="BQ322" i="5"/>
  <c r="AO321" i="5"/>
  <c r="BN321" i="5"/>
  <c r="AR321" i="5"/>
  <c r="AL323" i="5"/>
  <c r="Z324" i="5"/>
  <c r="AG324" i="5"/>
  <c r="AA324" i="5"/>
  <c r="AB324" i="5"/>
  <c r="Y325" i="5"/>
  <c r="BW319" i="5"/>
  <c r="BV321" i="5"/>
  <c r="BS321" i="5"/>
  <c r="AQ322" i="5"/>
  <c r="AN322" i="5"/>
  <c r="BM322" i="5"/>
  <c r="AI322" i="5"/>
  <c r="BQ323" i="5"/>
  <c r="AL322" i="5"/>
  <c r="BW320" i="5" l="1"/>
  <c r="BT320" i="5"/>
  <c r="AK324" i="5"/>
  <c r="AH324" i="5"/>
  <c r="BW321" i="5"/>
  <c r="BT321" i="5"/>
  <c r="BW318" i="5"/>
  <c r="BF325" i="5"/>
  <c r="BE325" i="5"/>
  <c r="BD326" i="5"/>
  <c r="BL325" i="5"/>
  <c r="BG325" i="5"/>
  <c r="AO322" i="5"/>
  <c r="BN322" i="5"/>
  <c r="AR322" i="5"/>
  <c r="BV322" i="5"/>
  <c r="BS322" i="5"/>
  <c r="AB325" i="5"/>
  <c r="AG325" i="5"/>
  <c r="AA325" i="5"/>
  <c r="Z325" i="5"/>
  <c r="Y326" i="5"/>
  <c r="AQ323" i="5"/>
  <c r="AN323" i="5"/>
  <c r="BM323" i="5"/>
  <c r="AI323" i="5"/>
  <c r="AG326" i="5" l="1"/>
  <c r="AB326" i="5"/>
  <c r="AA326" i="5"/>
  <c r="Z326" i="5"/>
  <c r="Y327" i="5"/>
  <c r="BD327" i="5"/>
  <c r="BG326" i="5"/>
  <c r="BF326" i="5"/>
  <c r="BE326" i="5"/>
  <c r="BL326" i="5"/>
  <c r="AQ324" i="5"/>
  <c r="AN324" i="5"/>
  <c r="BM324" i="5"/>
  <c r="AO323" i="5"/>
  <c r="BN323" i="5"/>
  <c r="AR323" i="5"/>
  <c r="BP324" i="5"/>
  <c r="BW322" i="5"/>
  <c r="BT322" i="5"/>
  <c r="BS323" i="5"/>
  <c r="BV323" i="5"/>
  <c r="AH325" i="5"/>
  <c r="AK325" i="5"/>
  <c r="BP325" i="5" l="1"/>
  <c r="BM325" i="5"/>
  <c r="AQ325" i="5"/>
  <c r="AN325" i="5"/>
  <c r="BW323" i="5"/>
  <c r="BT323" i="5"/>
  <c r="AG327" i="5"/>
  <c r="AB327" i="5"/>
  <c r="AA327" i="5"/>
  <c r="Z327" i="5"/>
  <c r="Y328" i="5"/>
  <c r="BV324" i="5"/>
  <c r="BS324" i="5"/>
  <c r="AK326" i="5"/>
  <c r="BP326" i="5" s="1"/>
  <c r="AH326" i="5"/>
  <c r="BD328" i="5"/>
  <c r="BL327" i="5"/>
  <c r="BG327" i="5"/>
  <c r="BF327" i="5"/>
  <c r="BE327" i="5"/>
  <c r="AK327" i="5" l="1"/>
  <c r="BP327" i="5" s="1"/>
  <c r="AH327" i="5"/>
  <c r="AG328" i="5"/>
  <c r="AB328" i="5"/>
  <c r="AA328" i="5"/>
  <c r="Z328" i="5"/>
  <c r="Y329" i="5"/>
  <c r="BE328" i="5"/>
  <c r="BL328" i="5"/>
  <c r="BG328" i="5"/>
  <c r="BF328" i="5"/>
  <c r="BD329" i="5"/>
  <c r="BV325" i="5"/>
  <c r="BS325" i="5"/>
  <c r="AQ326" i="5"/>
  <c r="AN326" i="5"/>
  <c r="BM326" i="5"/>
  <c r="BV326" i="5" l="1"/>
  <c r="BS326" i="5"/>
  <c r="AH328" i="5"/>
  <c r="AK328" i="5"/>
  <c r="BF329" i="5"/>
  <c r="BE329" i="5"/>
  <c r="BD330" i="5"/>
  <c r="BL329" i="5"/>
  <c r="BG329" i="5"/>
  <c r="AQ327" i="5"/>
  <c r="BM327" i="5"/>
  <c r="AN327" i="5"/>
  <c r="Y330" i="5"/>
  <c r="AG329" i="5"/>
  <c r="AB329" i="5"/>
  <c r="AA329" i="5"/>
  <c r="Z329" i="5"/>
  <c r="BS327" i="5" l="1"/>
  <c r="BV327" i="5"/>
  <c r="AK329" i="5"/>
  <c r="AH329" i="5"/>
  <c r="BD331" i="5"/>
  <c r="BG330" i="5"/>
  <c r="BF330" i="5"/>
  <c r="BL330" i="5"/>
  <c r="BE330" i="5"/>
  <c r="Y331" i="5"/>
  <c r="AG330" i="5"/>
  <c r="AB330" i="5"/>
  <c r="AA330" i="5"/>
  <c r="Z330" i="5"/>
  <c r="BP328" i="5"/>
  <c r="AQ328" i="5"/>
  <c r="BM328" i="5"/>
  <c r="AN328" i="5"/>
  <c r="BS328" i="5" l="1"/>
  <c r="BV328" i="5"/>
  <c r="BM329" i="5"/>
  <c r="AQ329" i="5"/>
  <c r="AN329" i="5"/>
  <c r="Z331" i="5"/>
  <c r="Y332" i="5"/>
  <c r="AG331" i="5"/>
  <c r="AB331" i="5"/>
  <c r="AA331" i="5"/>
  <c r="BP329" i="5"/>
  <c r="AK330" i="5"/>
  <c r="AH330" i="5"/>
  <c r="BG331" i="5"/>
  <c r="BE331" i="5"/>
  <c r="BL331" i="5"/>
  <c r="BF331" i="5"/>
  <c r="BD332" i="5"/>
  <c r="BP330" i="5" l="1"/>
  <c r="BE332" i="5"/>
  <c r="BL332" i="5"/>
  <c r="BF332" i="5"/>
  <c r="BD333" i="5"/>
  <c r="BG332" i="5"/>
  <c r="BV329" i="5"/>
  <c r="BS329" i="5"/>
  <c r="AK331" i="5"/>
  <c r="BP331" i="5" s="1"/>
  <c r="AH331" i="5"/>
  <c r="AA332" i="5"/>
  <c r="Z332" i="5"/>
  <c r="Y333" i="5"/>
  <c r="AG332" i="5"/>
  <c r="AB332" i="5"/>
  <c r="AN330" i="5"/>
  <c r="BM330" i="5"/>
  <c r="AQ330" i="5"/>
  <c r="AK332" i="5" l="1"/>
  <c r="AH332" i="5"/>
  <c r="Y334" i="5"/>
  <c r="AB333" i="5"/>
  <c r="AA333" i="5"/>
  <c r="AG333" i="5"/>
  <c r="Z333" i="5"/>
  <c r="BV330" i="5"/>
  <c r="BS330" i="5"/>
  <c r="BF333" i="5"/>
  <c r="BL333" i="5"/>
  <c r="BG333" i="5"/>
  <c r="BD334" i="5"/>
  <c r="BE333" i="5"/>
  <c r="AN331" i="5"/>
  <c r="AQ331" i="5"/>
  <c r="BM331" i="5"/>
  <c r="AB334" i="5" l="1"/>
  <c r="Z334" i="5"/>
  <c r="AG334" i="5"/>
  <c r="AA334" i="5"/>
  <c r="Y335" i="5"/>
  <c r="AQ332" i="5"/>
  <c r="AN332" i="5"/>
  <c r="BM332" i="5"/>
  <c r="BS331" i="5"/>
  <c r="BV331" i="5"/>
  <c r="BG334" i="5"/>
  <c r="BL334" i="5"/>
  <c r="BF334" i="5"/>
  <c r="BE334" i="5"/>
  <c r="BD335" i="5"/>
  <c r="BP332" i="5"/>
  <c r="AK333" i="5"/>
  <c r="AH333" i="5"/>
  <c r="BM333" i="5" l="1"/>
  <c r="AQ333" i="5"/>
  <c r="AN333" i="5"/>
  <c r="BL335" i="5"/>
  <c r="BG335" i="5"/>
  <c r="BF335" i="5"/>
  <c r="BE335" i="5"/>
  <c r="BD336" i="5"/>
  <c r="Z335" i="5"/>
  <c r="AG335" i="5"/>
  <c r="AA335" i="5"/>
  <c r="AB335" i="5"/>
  <c r="Y336" i="5"/>
  <c r="BP333" i="5"/>
  <c r="AK334" i="5"/>
  <c r="BP334" i="5" s="1"/>
  <c r="AH334" i="5"/>
  <c r="BS332" i="5"/>
  <c r="BV332" i="5"/>
  <c r="AK335" i="5" l="1"/>
  <c r="BP335" i="5" s="1"/>
  <c r="AH335" i="5"/>
  <c r="AA336" i="5"/>
  <c r="AG336" i="5"/>
  <c r="AB336" i="5"/>
  <c r="Y337" i="5"/>
  <c r="Z336" i="5"/>
  <c r="BV333" i="5"/>
  <c r="BS333" i="5"/>
  <c r="AN334" i="5"/>
  <c r="BM334" i="5"/>
  <c r="AQ334" i="5"/>
  <c r="BL336" i="5"/>
  <c r="BG336" i="5"/>
  <c r="BF336" i="5"/>
  <c r="BE336" i="5"/>
  <c r="BD337" i="5"/>
  <c r="AB337" i="5" l="1"/>
  <c r="Z337" i="5"/>
  <c r="Y338" i="5"/>
  <c r="AG337" i="5"/>
  <c r="AA337" i="5"/>
  <c r="BV334" i="5"/>
  <c r="BS334" i="5"/>
  <c r="AH336" i="5"/>
  <c r="AK336" i="5"/>
  <c r="AN335" i="5"/>
  <c r="BM335" i="5"/>
  <c r="AQ335" i="5"/>
  <c r="BD338" i="5"/>
  <c r="BL337" i="5"/>
  <c r="BG337" i="5"/>
  <c r="BF337" i="5"/>
  <c r="BE337" i="5"/>
  <c r="AH337" i="5" l="1"/>
  <c r="AK337" i="5"/>
  <c r="BP337" i="5" s="1"/>
  <c r="BV335" i="5"/>
  <c r="BS335" i="5"/>
  <c r="AG338" i="5"/>
  <c r="AA338" i="5"/>
  <c r="Z338" i="5"/>
  <c r="Y339" i="5"/>
  <c r="AB338" i="5"/>
  <c r="BP336" i="5"/>
  <c r="BM336" i="5"/>
  <c r="AQ336" i="5"/>
  <c r="AN336" i="5"/>
  <c r="BD339" i="5"/>
  <c r="BL338" i="5"/>
  <c r="BG338" i="5"/>
  <c r="BF338" i="5"/>
  <c r="BE338" i="5"/>
  <c r="BS336" i="5" l="1"/>
  <c r="BV336" i="5"/>
  <c r="BM337" i="5"/>
  <c r="AQ337" i="5"/>
  <c r="AN337" i="5"/>
  <c r="AG339" i="5"/>
  <c r="AB339" i="5"/>
  <c r="AA339" i="5"/>
  <c r="Z339" i="5"/>
  <c r="Y340" i="5"/>
  <c r="BD340" i="5"/>
  <c r="BE339" i="5"/>
  <c r="BL339" i="5"/>
  <c r="BG339" i="5"/>
  <c r="BF339" i="5"/>
  <c r="AK338" i="5"/>
  <c r="AH338" i="5"/>
  <c r="AB340" i="5" l="1"/>
  <c r="AA340" i="5"/>
  <c r="Z340" i="5"/>
  <c r="Y341" i="5"/>
  <c r="AG340" i="5"/>
  <c r="AQ338" i="5"/>
  <c r="AN338" i="5"/>
  <c r="BM338" i="5"/>
  <c r="BP338" i="5"/>
  <c r="AK339" i="5"/>
  <c r="BP339" i="5" s="1"/>
  <c r="AH339" i="5"/>
  <c r="BS337" i="5"/>
  <c r="BV337" i="5"/>
  <c r="BE340" i="5"/>
  <c r="BD341" i="5"/>
  <c r="BL340" i="5"/>
  <c r="BG340" i="5"/>
  <c r="BF340" i="5"/>
  <c r="AH340" i="5" l="1"/>
  <c r="AK340" i="5"/>
  <c r="BP340" i="5" s="1"/>
  <c r="AQ339" i="5"/>
  <c r="BM339" i="5"/>
  <c r="AN339" i="5"/>
  <c r="Y342" i="5"/>
  <c r="AB341" i="5"/>
  <c r="AA341" i="5"/>
  <c r="Z341" i="5"/>
  <c r="AG341" i="5"/>
  <c r="BF341" i="5"/>
  <c r="BE341" i="5"/>
  <c r="BD342" i="5"/>
  <c r="BL341" i="5"/>
  <c r="BG341" i="5"/>
  <c r="BV338" i="5"/>
  <c r="BS338" i="5"/>
  <c r="BD343" i="5" l="1"/>
  <c r="BG342" i="5"/>
  <c r="BF342" i="5"/>
  <c r="BE342" i="5"/>
  <c r="BL342" i="5"/>
  <c r="Y343" i="5"/>
  <c r="AG342" i="5"/>
  <c r="AB342" i="5"/>
  <c r="AA342" i="5"/>
  <c r="Z342" i="5"/>
  <c r="BS339" i="5"/>
  <c r="BV339" i="5"/>
  <c r="AK341" i="5"/>
  <c r="AH341" i="5"/>
  <c r="AQ340" i="5"/>
  <c r="BM340" i="5"/>
  <c r="AN340" i="5"/>
  <c r="BS340" i="5" l="1"/>
  <c r="BV340" i="5"/>
  <c r="AQ341" i="5"/>
  <c r="AN341" i="5"/>
  <c r="BM341" i="5"/>
  <c r="BP341" i="5"/>
  <c r="AK342" i="5"/>
  <c r="BP342" i="5" s="1"/>
  <c r="AH342" i="5"/>
  <c r="Z343" i="5"/>
  <c r="AG343" i="5"/>
  <c r="AB343" i="5"/>
  <c r="AA343" i="5"/>
  <c r="Y344" i="5"/>
  <c r="BG343" i="5"/>
  <c r="BE343" i="5"/>
  <c r="BL343" i="5"/>
  <c r="BF343" i="5"/>
  <c r="BD344" i="5"/>
  <c r="AN342" i="5" l="1"/>
  <c r="AQ342" i="5"/>
  <c r="BM342" i="5"/>
  <c r="BE344" i="5"/>
  <c r="BL344" i="5"/>
  <c r="BF344" i="5"/>
  <c r="BG344" i="5"/>
  <c r="BD345" i="5"/>
  <c r="AA344" i="5"/>
  <c r="Z344" i="5"/>
  <c r="Y345" i="5"/>
  <c r="AG344" i="5"/>
  <c r="AB344" i="5"/>
  <c r="BV341" i="5"/>
  <c r="BS341" i="5"/>
  <c r="AK343" i="5"/>
  <c r="AH343" i="5"/>
  <c r="Y346" i="5" l="1"/>
  <c r="AB345" i="5"/>
  <c r="AA345" i="5"/>
  <c r="AG345" i="5"/>
  <c r="Z345" i="5"/>
  <c r="AN343" i="5"/>
  <c r="BM343" i="5"/>
  <c r="AQ343" i="5"/>
  <c r="BF345" i="5"/>
  <c r="BL345" i="5"/>
  <c r="BG345" i="5"/>
  <c r="BD346" i="5"/>
  <c r="BE345" i="5"/>
  <c r="BP343" i="5"/>
  <c r="AK344" i="5"/>
  <c r="BP344" i="5" s="1"/>
  <c r="AH344" i="5"/>
  <c r="BV342" i="5"/>
  <c r="BS342" i="5"/>
  <c r="BS343" i="5" l="1"/>
  <c r="BV343" i="5"/>
  <c r="AK345" i="5"/>
  <c r="BP345" i="5" s="1"/>
  <c r="AH345" i="5"/>
  <c r="BG346" i="5"/>
  <c r="BD347" i="5"/>
  <c r="BL346" i="5"/>
  <c r="BF346" i="5"/>
  <c r="BE346" i="5"/>
  <c r="AN344" i="5"/>
  <c r="BM344" i="5"/>
  <c r="AQ344" i="5"/>
  <c r="AB346" i="5"/>
  <c r="Z346" i="5"/>
  <c r="AG346" i="5"/>
  <c r="AA346" i="5"/>
  <c r="Y347" i="5"/>
  <c r="AK346" i="5" l="1"/>
  <c r="AH346" i="5"/>
  <c r="Z347" i="5"/>
  <c r="AG347" i="5"/>
  <c r="AA347" i="5"/>
  <c r="AB347" i="5"/>
  <c r="Y348" i="5"/>
  <c r="BL347" i="5"/>
  <c r="BG347" i="5"/>
  <c r="BF347" i="5"/>
  <c r="BE347" i="5"/>
  <c r="BD348" i="5"/>
  <c r="BM345" i="5"/>
  <c r="AQ345" i="5"/>
  <c r="AN345" i="5"/>
  <c r="BV344" i="5"/>
  <c r="BS344" i="5"/>
  <c r="AN346" i="5" l="1"/>
  <c r="BM346" i="5"/>
  <c r="AQ346" i="5"/>
  <c r="BL348" i="5"/>
  <c r="BG348" i="5"/>
  <c r="BF348" i="5"/>
  <c r="BE348" i="5"/>
  <c r="BD349" i="5"/>
  <c r="BP346" i="5"/>
  <c r="BV345" i="5"/>
  <c r="BS345" i="5"/>
  <c r="AA348" i="5"/>
  <c r="AG348" i="5"/>
  <c r="AB348" i="5"/>
  <c r="Z348" i="5"/>
  <c r="Y349" i="5"/>
  <c r="AH347" i="5"/>
  <c r="AK347" i="5"/>
  <c r="AQ347" i="5" l="1"/>
  <c r="AN347" i="5"/>
  <c r="BM347" i="5"/>
  <c r="BV346" i="5"/>
  <c r="BS346" i="5"/>
  <c r="AH348" i="5"/>
  <c r="AK348" i="5"/>
  <c r="BL349" i="5"/>
  <c r="BG349" i="5"/>
  <c r="BF349" i="5"/>
  <c r="BE349" i="5"/>
  <c r="BD350" i="5"/>
  <c r="AB349" i="5"/>
  <c r="AG349" i="5"/>
  <c r="AA349" i="5"/>
  <c r="Z349" i="5"/>
  <c r="Y350" i="5"/>
  <c r="BP347" i="5"/>
  <c r="BP348" i="5" l="1"/>
  <c r="BM348" i="5"/>
  <c r="AQ348" i="5"/>
  <c r="AN348" i="5"/>
  <c r="AG350" i="5"/>
  <c r="AB350" i="5"/>
  <c r="AA350" i="5"/>
  <c r="Z350" i="5"/>
  <c r="Y351" i="5"/>
  <c r="BD351" i="5"/>
  <c r="BL350" i="5"/>
  <c r="BG350" i="5"/>
  <c r="BF350" i="5"/>
  <c r="BE350" i="5"/>
  <c r="AH349" i="5"/>
  <c r="AK349" i="5"/>
  <c r="BV347" i="5"/>
  <c r="BS347" i="5"/>
  <c r="BP349" i="5" l="1"/>
  <c r="AK350" i="5"/>
  <c r="BP350" i="5" s="1"/>
  <c r="AH350" i="5"/>
  <c r="BM349" i="5"/>
  <c r="AQ349" i="5"/>
  <c r="AN349" i="5"/>
  <c r="AI349" i="5"/>
  <c r="BD352" i="5"/>
  <c r="BL351" i="5"/>
  <c r="CA351" i="5"/>
  <c r="BG351" i="5"/>
  <c r="BF351" i="5"/>
  <c r="BE351" i="5"/>
  <c r="CA349" i="5"/>
  <c r="CA347" i="5"/>
  <c r="BQ346" i="5"/>
  <c r="BQ347" i="5"/>
  <c r="BQ345" i="5"/>
  <c r="AI350" i="5"/>
  <c r="AG351" i="5"/>
  <c r="AB351" i="5"/>
  <c r="AV351" i="5"/>
  <c r="AA351" i="5"/>
  <c r="Z351" i="5"/>
  <c r="Y352" i="5"/>
  <c r="AL349" i="5" s="1"/>
  <c r="AL345" i="5"/>
  <c r="AL347" i="5"/>
  <c r="AV347" i="5"/>
  <c r="AL343" i="5"/>
  <c r="BV348" i="5"/>
  <c r="BS348" i="5"/>
  <c r="BN349" i="5" l="1"/>
  <c r="AK351" i="5"/>
  <c r="AH351" i="5"/>
  <c r="BV349" i="5"/>
  <c r="BS349" i="5"/>
  <c r="BN350" i="5"/>
  <c r="AN350" i="5"/>
  <c r="BM350" i="5"/>
  <c r="AQ350" i="5"/>
  <c r="AG352" i="5"/>
  <c r="AB352" i="5"/>
  <c r="AV352" i="5"/>
  <c r="AA352" i="5"/>
  <c r="Z352" i="5"/>
  <c r="Y353" i="5"/>
  <c r="AL348" i="5"/>
  <c r="AV348" i="5"/>
  <c r="AV349" i="5"/>
  <c r="AR349" i="5" s="1"/>
  <c r="AL346" i="5"/>
  <c r="AI348" i="5"/>
  <c r="AI344" i="5"/>
  <c r="AV350" i="5"/>
  <c r="AR350" i="5" s="1"/>
  <c r="AV346" i="5"/>
  <c r="AI346" i="5"/>
  <c r="AI347" i="5"/>
  <c r="BQ350" i="5"/>
  <c r="BQ349" i="5"/>
  <c r="AL350" i="5"/>
  <c r="AO350" i="5" s="1"/>
  <c r="BD353" i="5"/>
  <c r="BL352" i="5"/>
  <c r="CA352" i="5"/>
  <c r="BG352" i="5"/>
  <c r="BF352" i="5"/>
  <c r="BE352" i="5"/>
  <c r="BQ343" i="5"/>
  <c r="CA350" i="5"/>
  <c r="BQ344" i="5"/>
  <c r="CA345" i="5"/>
  <c r="CA348" i="5"/>
  <c r="CA344" i="5"/>
  <c r="BQ348" i="5"/>
  <c r="AK352" i="5" l="1"/>
  <c r="AH352" i="5"/>
  <c r="AO349" i="5"/>
  <c r="AO347" i="5"/>
  <c r="BN347" i="5"/>
  <c r="AR347" i="5"/>
  <c r="BN346" i="5"/>
  <c r="AR346" i="5"/>
  <c r="AO346" i="5"/>
  <c r="BS350" i="5"/>
  <c r="BV350" i="5"/>
  <c r="BW349" i="5"/>
  <c r="BT349" i="5"/>
  <c r="AG353" i="5"/>
  <c r="Y354" i="5"/>
  <c r="AB353" i="5"/>
  <c r="AA353" i="5"/>
  <c r="Z353" i="5"/>
  <c r="BD354" i="5"/>
  <c r="BL353" i="5"/>
  <c r="BG353" i="5"/>
  <c r="BF353" i="5"/>
  <c r="BE353" i="5"/>
  <c r="BN344" i="5"/>
  <c r="BW350" i="5"/>
  <c r="BT350" i="5"/>
  <c r="BN348" i="5"/>
  <c r="AR348" i="5"/>
  <c r="AO348" i="5"/>
  <c r="AQ351" i="5"/>
  <c r="BM351" i="5"/>
  <c r="AN351" i="5"/>
  <c r="AI351" i="5"/>
  <c r="BP351" i="5"/>
  <c r="AL351" i="5"/>
  <c r="BT346" i="5" l="1"/>
  <c r="BQ351" i="5"/>
  <c r="BQ352" i="5"/>
  <c r="BW347" i="5"/>
  <c r="BT347" i="5"/>
  <c r="AG354" i="5"/>
  <c r="AB354" i="5"/>
  <c r="AA354" i="5"/>
  <c r="Y355" i="5"/>
  <c r="Z354" i="5"/>
  <c r="AK353" i="5"/>
  <c r="AH353" i="5"/>
  <c r="BN351" i="5"/>
  <c r="AO351" i="5"/>
  <c r="AR351" i="5"/>
  <c r="BT344" i="5"/>
  <c r="BW344" i="5"/>
  <c r="AQ352" i="5"/>
  <c r="BM352" i="5"/>
  <c r="AN352" i="5"/>
  <c r="AI352" i="5"/>
  <c r="BP352" i="5"/>
  <c r="AL352" i="5"/>
  <c r="BE354" i="5"/>
  <c r="BD355" i="5"/>
  <c r="BL354" i="5"/>
  <c r="BG354" i="5"/>
  <c r="BF354" i="5"/>
  <c r="BW348" i="5"/>
  <c r="BT348" i="5"/>
  <c r="BS351" i="5"/>
  <c r="BV351" i="5"/>
  <c r="BT351" i="5" l="1"/>
  <c r="BW351" i="5"/>
  <c r="AQ353" i="5"/>
  <c r="BM353" i="5"/>
  <c r="AN353" i="5"/>
  <c r="BP353" i="5"/>
  <c r="BN352" i="5"/>
  <c r="AO352" i="5"/>
  <c r="AR352" i="5"/>
  <c r="BS352" i="5"/>
  <c r="BV352" i="5"/>
  <c r="AG355" i="5"/>
  <c r="AB355" i="5"/>
  <c r="AA355" i="5"/>
  <c r="Y356" i="5"/>
  <c r="Z355" i="5"/>
  <c r="AH354" i="5"/>
  <c r="AK354" i="5"/>
  <c r="BE355" i="5"/>
  <c r="BD356" i="5"/>
  <c r="BL355" i="5"/>
  <c r="BG355" i="5"/>
  <c r="BF355" i="5"/>
  <c r="BE356" i="5" l="1"/>
  <c r="BD357" i="5"/>
  <c r="BL356" i="5"/>
  <c r="BG356" i="5"/>
  <c r="BF356" i="5"/>
  <c r="AG356" i="5"/>
  <c r="AB356" i="5"/>
  <c r="AA356" i="5"/>
  <c r="Y357" i="5"/>
  <c r="Z356" i="5"/>
  <c r="BT352" i="5"/>
  <c r="BW352" i="5"/>
  <c r="BP354" i="5"/>
  <c r="AQ354" i="5"/>
  <c r="BM354" i="5"/>
  <c r="AN354" i="5"/>
  <c r="AH355" i="5"/>
  <c r="AK355" i="5"/>
  <c r="BP355" i="5" s="1"/>
  <c r="BS353" i="5"/>
  <c r="BV353" i="5"/>
  <c r="AH356" i="5" l="1"/>
  <c r="AK356" i="5"/>
  <c r="BP356" i="5" s="1"/>
  <c r="AQ355" i="5"/>
  <c r="BM355" i="5"/>
  <c r="AN355" i="5"/>
  <c r="BS354" i="5"/>
  <c r="BV354" i="5"/>
  <c r="BE357" i="5"/>
  <c r="BD358" i="5"/>
  <c r="BL357" i="5"/>
  <c r="BG357" i="5"/>
  <c r="BF357" i="5"/>
  <c r="AG357" i="5"/>
  <c r="AB357" i="5"/>
  <c r="AA357" i="5"/>
  <c r="Y358" i="5"/>
  <c r="Z357" i="5"/>
  <c r="AA358" i="5" l="1"/>
  <c r="AG358" i="5"/>
  <c r="AB358" i="5"/>
  <c r="Z358" i="5"/>
  <c r="Y359" i="5"/>
  <c r="AH357" i="5"/>
  <c r="AK357" i="5"/>
  <c r="BS355" i="5"/>
  <c r="BV355" i="5"/>
  <c r="BM356" i="5"/>
  <c r="AN356" i="5"/>
  <c r="AQ356" i="5"/>
  <c r="BL358" i="5"/>
  <c r="BE358" i="5"/>
  <c r="BD359" i="5"/>
  <c r="BG358" i="5"/>
  <c r="BF358" i="5"/>
  <c r="BS356" i="5" l="1"/>
  <c r="BV356" i="5"/>
  <c r="AA359" i="5"/>
  <c r="Y360" i="5"/>
  <c r="AG359" i="5"/>
  <c r="AB359" i="5"/>
  <c r="Z359" i="5"/>
  <c r="BL359" i="5"/>
  <c r="BE359" i="5"/>
  <c r="BD360" i="5"/>
  <c r="BG359" i="5"/>
  <c r="BF359" i="5"/>
  <c r="BP357" i="5"/>
  <c r="BM357" i="5"/>
  <c r="AN357" i="5"/>
  <c r="AQ357" i="5"/>
  <c r="AH358" i="5"/>
  <c r="AK358" i="5"/>
  <c r="BP358" i="5" s="1"/>
  <c r="BS357" i="5" l="1"/>
  <c r="BV357" i="5"/>
  <c r="BL360" i="5"/>
  <c r="BE360" i="5"/>
  <c r="BD361" i="5"/>
  <c r="BF360" i="5"/>
  <c r="BG360" i="5"/>
  <c r="AH359" i="5"/>
  <c r="AK359" i="5"/>
  <c r="BP359" i="5" s="1"/>
  <c r="AA360" i="5"/>
  <c r="AB360" i="5"/>
  <c r="Z360" i="5"/>
  <c r="Y361" i="5"/>
  <c r="AG360" i="5"/>
  <c r="AN358" i="5"/>
  <c r="BM358" i="5"/>
  <c r="AQ358" i="5"/>
  <c r="BS358" i="5" l="1"/>
  <c r="BV358" i="5"/>
  <c r="AQ359" i="5"/>
  <c r="AN359" i="5"/>
  <c r="BM359" i="5"/>
  <c r="BL361" i="5"/>
  <c r="BE361" i="5"/>
  <c r="BD362" i="5"/>
  <c r="BG361" i="5"/>
  <c r="BF361" i="5"/>
  <c r="AH360" i="5"/>
  <c r="AK360" i="5"/>
  <c r="AA361" i="5"/>
  <c r="AG361" i="5"/>
  <c r="AB361" i="5"/>
  <c r="Z361" i="5"/>
  <c r="Y362" i="5"/>
  <c r="AH361" i="5" l="1"/>
  <c r="AK361" i="5"/>
  <c r="AA362" i="5"/>
  <c r="AG362" i="5"/>
  <c r="AB362" i="5"/>
  <c r="Z362" i="5"/>
  <c r="Y363" i="5"/>
  <c r="BP360" i="5"/>
  <c r="AQ360" i="5"/>
  <c r="AN360" i="5"/>
  <c r="BM360" i="5"/>
  <c r="BL362" i="5"/>
  <c r="BE362" i="5"/>
  <c r="BD363" i="5"/>
  <c r="BG362" i="5"/>
  <c r="BF362" i="5"/>
  <c r="BS359" i="5"/>
  <c r="BV359" i="5"/>
  <c r="BS360" i="5" l="1"/>
  <c r="BV360" i="5"/>
  <c r="AH362" i="5"/>
  <c r="AK362" i="5"/>
  <c r="BP361" i="5"/>
  <c r="BM361" i="5"/>
  <c r="AQ361" i="5"/>
  <c r="AN361" i="5"/>
  <c r="AA363" i="5"/>
  <c r="Y364" i="5"/>
  <c r="AG363" i="5"/>
  <c r="AB363" i="5"/>
  <c r="Z363" i="5"/>
  <c r="BL363" i="5"/>
  <c r="BE363" i="5"/>
  <c r="BD364" i="5"/>
  <c r="BG363" i="5"/>
  <c r="BF363" i="5"/>
  <c r="AH363" i="5" l="1"/>
  <c r="AK363" i="5"/>
  <c r="BL364" i="5"/>
  <c r="BE364" i="5"/>
  <c r="BD365" i="5"/>
  <c r="BF364" i="5"/>
  <c r="BG364" i="5"/>
  <c r="AA364" i="5"/>
  <c r="AB364" i="5"/>
  <c r="Z364" i="5"/>
  <c r="Y365" i="5"/>
  <c r="AG364" i="5"/>
  <c r="BP362" i="5"/>
  <c r="AN362" i="5"/>
  <c r="BM362" i="5"/>
  <c r="AQ362" i="5"/>
  <c r="BS361" i="5"/>
  <c r="BV361" i="5"/>
  <c r="AH364" i="5" l="1"/>
  <c r="AK364" i="5"/>
  <c r="BP364" i="5" s="1"/>
  <c r="BL365" i="5"/>
  <c r="BE365" i="5"/>
  <c r="BD366" i="5"/>
  <c r="BG365" i="5"/>
  <c r="BF365" i="5"/>
  <c r="AA365" i="5"/>
  <c r="AG365" i="5"/>
  <c r="AB365" i="5"/>
  <c r="Z365" i="5"/>
  <c r="Y366" i="5"/>
  <c r="BP363" i="5"/>
  <c r="AQ363" i="5"/>
  <c r="AN363" i="5"/>
  <c r="BM363" i="5"/>
  <c r="BS362" i="5"/>
  <c r="BV362" i="5"/>
  <c r="AA366" i="5" l="1"/>
  <c r="AG366" i="5"/>
  <c r="AB366" i="5"/>
  <c r="Z366" i="5"/>
  <c r="Y367" i="5"/>
  <c r="BS363" i="5"/>
  <c r="BV363" i="5"/>
  <c r="AH365" i="5"/>
  <c r="AK365" i="5"/>
  <c r="AQ364" i="5"/>
  <c r="AN364" i="5"/>
  <c r="BM364" i="5"/>
  <c r="BL366" i="5"/>
  <c r="BE366" i="5"/>
  <c r="BD367" i="5"/>
  <c r="BG366" i="5"/>
  <c r="BF366" i="5"/>
  <c r="BL367" i="5" l="1"/>
  <c r="BE367" i="5"/>
  <c r="BD368" i="5"/>
  <c r="BG367" i="5"/>
  <c r="BF367" i="5"/>
  <c r="BP365" i="5"/>
  <c r="BM365" i="5"/>
  <c r="AQ365" i="5"/>
  <c r="AN365" i="5"/>
  <c r="AH366" i="5"/>
  <c r="AK366" i="5"/>
  <c r="BP366" i="5" s="1"/>
  <c r="BS364" i="5"/>
  <c r="BV364" i="5"/>
  <c r="AA367" i="5"/>
  <c r="Y368" i="5"/>
  <c r="AG367" i="5"/>
  <c r="AB367" i="5"/>
  <c r="Z367" i="5"/>
  <c r="AH367" i="5" l="1"/>
  <c r="AK367" i="5"/>
  <c r="BS365" i="5"/>
  <c r="BV365" i="5"/>
  <c r="AA368" i="5"/>
  <c r="AB368" i="5"/>
  <c r="Z368" i="5"/>
  <c r="Y369" i="5"/>
  <c r="AG368" i="5"/>
  <c r="BL368" i="5"/>
  <c r="BE368" i="5"/>
  <c r="BD369" i="5"/>
  <c r="BF368" i="5"/>
  <c r="BG368" i="5"/>
  <c r="AN366" i="5"/>
  <c r="BM366" i="5"/>
  <c r="AQ366" i="5"/>
  <c r="BL369" i="5" l="1"/>
  <c r="BE369" i="5"/>
  <c r="BD370" i="5"/>
  <c r="BG369" i="5"/>
  <c r="BF369" i="5"/>
  <c r="BP367" i="5"/>
  <c r="AQ367" i="5"/>
  <c r="AN367" i="5"/>
  <c r="BM367" i="5"/>
  <c r="AH368" i="5"/>
  <c r="AK368" i="5"/>
  <c r="BS366" i="5"/>
  <c r="BV366" i="5"/>
  <c r="AA369" i="5"/>
  <c r="AG369" i="5"/>
  <c r="AB369" i="5"/>
  <c r="Z369" i="5"/>
  <c r="Y370" i="5"/>
  <c r="AH369" i="5" l="1"/>
  <c r="AK369" i="5"/>
  <c r="BP369" i="5" s="1"/>
  <c r="BS367" i="5"/>
  <c r="BV367" i="5"/>
  <c r="AQ368" i="5"/>
  <c r="AN368" i="5"/>
  <c r="BM368" i="5"/>
  <c r="BL370" i="5"/>
  <c r="BE370" i="5"/>
  <c r="BD371" i="5"/>
  <c r="BG370" i="5"/>
  <c r="BF370" i="5"/>
  <c r="AA370" i="5"/>
  <c r="Y371" i="5"/>
  <c r="AG370" i="5"/>
  <c r="AB370" i="5"/>
  <c r="Z370" i="5"/>
  <c r="BP368" i="5"/>
  <c r="BL371" i="5" l="1"/>
  <c r="BE371" i="5"/>
  <c r="BD372" i="5"/>
  <c r="BG371" i="5"/>
  <c r="BF371" i="5"/>
  <c r="BS368" i="5"/>
  <c r="BV368" i="5"/>
  <c r="AH370" i="5"/>
  <c r="AK370" i="5"/>
  <c r="AA371" i="5"/>
  <c r="AB371" i="5"/>
  <c r="Z371" i="5"/>
  <c r="Y372" i="5"/>
  <c r="AG371" i="5"/>
  <c r="BM369" i="5"/>
  <c r="AQ369" i="5"/>
  <c r="AN369" i="5"/>
  <c r="BF372" i="5" l="1"/>
  <c r="BE372" i="5"/>
  <c r="BL372" i="5"/>
  <c r="BD373" i="5"/>
  <c r="BG372" i="5"/>
  <c r="AQ370" i="5"/>
  <c r="AN370" i="5"/>
  <c r="BM370" i="5"/>
  <c r="AH371" i="5"/>
  <c r="AK371" i="5"/>
  <c r="BP371" i="5" s="1"/>
  <c r="AA372" i="5"/>
  <c r="Y373" i="5"/>
  <c r="AG372" i="5"/>
  <c r="AB372" i="5"/>
  <c r="Z372" i="5"/>
  <c r="BS369" i="5"/>
  <c r="BV369" i="5"/>
  <c r="BP370" i="5"/>
  <c r="BL373" i="5" l="1"/>
  <c r="BG373" i="5"/>
  <c r="BD374" i="5"/>
  <c r="BF373" i="5"/>
  <c r="BE373" i="5"/>
  <c r="BS370" i="5"/>
  <c r="BV370" i="5"/>
  <c r="AH372" i="5"/>
  <c r="AK372" i="5"/>
  <c r="AG373" i="5"/>
  <c r="Y374" i="5"/>
  <c r="Z373" i="5"/>
  <c r="AB373" i="5"/>
  <c r="AA373" i="5"/>
  <c r="BM371" i="5"/>
  <c r="AQ371" i="5"/>
  <c r="AN371" i="5"/>
  <c r="BP372" i="5" l="1"/>
  <c r="BM372" i="5"/>
  <c r="AQ372" i="5"/>
  <c r="AN372" i="5"/>
  <c r="AH373" i="5"/>
  <c r="AK373" i="5"/>
  <c r="BL374" i="5"/>
  <c r="BG374" i="5"/>
  <c r="BF374" i="5"/>
  <c r="BE374" i="5"/>
  <c r="BD375" i="5"/>
  <c r="AG374" i="5"/>
  <c r="AA374" i="5"/>
  <c r="Y375" i="5"/>
  <c r="AB374" i="5"/>
  <c r="Z374" i="5"/>
  <c r="BS371" i="5"/>
  <c r="BV371" i="5"/>
  <c r="BP373" i="5" l="1"/>
  <c r="AQ373" i="5"/>
  <c r="BM373" i="5"/>
  <c r="AN373" i="5"/>
  <c r="BV372" i="5"/>
  <c r="BS372" i="5"/>
  <c r="BL375" i="5"/>
  <c r="BG375" i="5"/>
  <c r="BE375" i="5"/>
  <c r="BF375" i="5"/>
  <c r="BD376" i="5"/>
  <c r="AH374" i="5"/>
  <c r="AK374" i="5"/>
  <c r="AG375" i="5"/>
  <c r="AA375" i="5"/>
  <c r="Y376" i="5"/>
  <c r="AB375" i="5"/>
  <c r="Z375" i="5"/>
  <c r="BL376" i="5" l="1"/>
  <c r="BG376" i="5"/>
  <c r="BD377" i="5"/>
  <c r="BF376" i="5"/>
  <c r="BE376" i="5"/>
  <c r="AG376" i="5"/>
  <c r="AA376" i="5"/>
  <c r="Y377" i="5"/>
  <c r="AB376" i="5"/>
  <c r="Z376" i="5"/>
  <c r="AH375" i="5"/>
  <c r="AK375" i="5"/>
  <c r="BP374" i="5"/>
  <c r="AQ374" i="5"/>
  <c r="BM374" i="5"/>
  <c r="AN374" i="5"/>
  <c r="BV373" i="5"/>
  <c r="BS373" i="5"/>
  <c r="BV374" i="5" l="1"/>
  <c r="BS374" i="5"/>
  <c r="AG377" i="5"/>
  <c r="AA377" i="5"/>
  <c r="Y378" i="5"/>
  <c r="AB377" i="5"/>
  <c r="Z377" i="5"/>
  <c r="BL377" i="5"/>
  <c r="BG377" i="5"/>
  <c r="BF377" i="5"/>
  <c r="BE377" i="5"/>
  <c r="BD378" i="5"/>
  <c r="AH376" i="5"/>
  <c r="AK376" i="5"/>
  <c r="BP376" i="5" s="1"/>
  <c r="BP375" i="5"/>
  <c r="AQ375" i="5"/>
  <c r="AN375" i="5"/>
  <c r="BM375" i="5"/>
  <c r="AQ376" i="5" l="1"/>
  <c r="BM376" i="5"/>
  <c r="AN376" i="5"/>
  <c r="AG378" i="5"/>
  <c r="AA378" i="5"/>
  <c r="Y379" i="5"/>
  <c r="AB378" i="5"/>
  <c r="Z378" i="5"/>
  <c r="BL378" i="5"/>
  <c r="BD379" i="5"/>
  <c r="BG378" i="5"/>
  <c r="BE378" i="5"/>
  <c r="BF378" i="5"/>
  <c r="AH377" i="5"/>
  <c r="AK377" i="5"/>
  <c r="BP377" i="5" s="1"/>
  <c r="BV375" i="5"/>
  <c r="BS375" i="5"/>
  <c r="BV376" i="5" l="1"/>
  <c r="BS376" i="5"/>
  <c r="AG379" i="5"/>
  <c r="AA379" i="5"/>
  <c r="Y380" i="5"/>
  <c r="AB379" i="5"/>
  <c r="Z379" i="5"/>
  <c r="AQ377" i="5"/>
  <c r="BM377" i="5"/>
  <c r="AN377" i="5"/>
  <c r="BL379" i="5"/>
  <c r="BG379" i="5"/>
  <c r="BD380" i="5"/>
  <c r="BF379" i="5"/>
  <c r="BE379" i="5"/>
  <c r="AH378" i="5"/>
  <c r="AK378" i="5"/>
  <c r="BP378" i="5" s="1"/>
  <c r="BV377" i="5" l="1"/>
  <c r="BS377" i="5"/>
  <c r="AQ378" i="5"/>
  <c r="BM378" i="5"/>
  <c r="AN378" i="5"/>
  <c r="AG380" i="5"/>
  <c r="AA380" i="5"/>
  <c r="Y381" i="5"/>
  <c r="Z380" i="5"/>
  <c r="AB380" i="5"/>
  <c r="BL380" i="5"/>
  <c r="BG380" i="5"/>
  <c r="BF380" i="5"/>
  <c r="BE380" i="5"/>
  <c r="BD381" i="5"/>
  <c r="AH379" i="5"/>
  <c r="AK379" i="5"/>
  <c r="AG381" i="5" l="1"/>
  <c r="AA381" i="5"/>
  <c r="Y382" i="5"/>
  <c r="AB381" i="5"/>
  <c r="Z381" i="5"/>
  <c r="AH380" i="5"/>
  <c r="AK380" i="5"/>
  <c r="BP380" i="5" s="1"/>
  <c r="BV378" i="5"/>
  <c r="BS378" i="5"/>
  <c r="BL381" i="5"/>
  <c r="BD382" i="5"/>
  <c r="BG381" i="5"/>
  <c r="BE381" i="5"/>
  <c r="BF381" i="5"/>
  <c r="BP379" i="5"/>
  <c r="AQ379" i="5"/>
  <c r="BM379" i="5"/>
  <c r="AN379" i="5"/>
  <c r="AG382" i="5" l="1"/>
  <c r="AA382" i="5"/>
  <c r="Y383" i="5"/>
  <c r="AV382" i="5"/>
  <c r="Z382" i="5"/>
  <c r="AB382" i="5"/>
  <c r="AI378" i="5"/>
  <c r="AV375" i="5"/>
  <c r="AV376" i="5"/>
  <c r="AI376" i="5"/>
  <c r="AV380" i="5"/>
  <c r="AI374" i="5"/>
  <c r="AL377" i="5"/>
  <c r="AL374" i="5"/>
  <c r="AV378" i="5"/>
  <c r="BV379" i="5"/>
  <c r="BS379" i="5"/>
  <c r="AQ380" i="5"/>
  <c r="BM380" i="5"/>
  <c r="AN380" i="5"/>
  <c r="BL382" i="5"/>
  <c r="BE382" i="5"/>
  <c r="BD383" i="5"/>
  <c r="CA382" i="5" s="1"/>
  <c r="BG382" i="5"/>
  <c r="BF382" i="5"/>
  <c r="BQ377" i="5"/>
  <c r="CA380" i="5"/>
  <c r="AH381" i="5"/>
  <c r="AK381" i="5"/>
  <c r="BP381" i="5" s="1"/>
  <c r="AI380" i="5"/>
  <c r="AI381" i="5"/>
  <c r="AL380" i="5"/>
  <c r="BN374" i="5" l="1"/>
  <c r="AL381" i="5"/>
  <c r="BN376" i="5"/>
  <c r="AR376" i="5"/>
  <c r="Z383" i="5"/>
  <c r="AV383" i="5"/>
  <c r="AG383" i="5"/>
  <c r="AB383" i="5"/>
  <c r="AA383" i="5"/>
  <c r="Y384" i="5"/>
  <c r="AL375" i="5"/>
  <c r="AV377" i="5"/>
  <c r="AI379" i="5"/>
  <c r="AI375" i="5"/>
  <c r="AV379" i="5"/>
  <c r="AL378" i="5"/>
  <c r="AV381" i="5"/>
  <c r="AR381" i="5" s="1"/>
  <c r="AL379" i="5"/>
  <c r="BN381" i="5"/>
  <c r="AQ381" i="5"/>
  <c r="AN381" i="5"/>
  <c r="BM381" i="5"/>
  <c r="BV380" i="5"/>
  <c r="BS380" i="5"/>
  <c r="AK382" i="5"/>
  <c r="AH382" i="5"/>
  <c r="BQ381" i="5"/>
  <c r="AR380" i="5"/>
  <c r="BN380" i="5"/>
  <c r="AO380" i="5"/>
  <c r="CA383" i="5"/>
  <c r="BD384" i="5"/>
  <c r="BF383" i="5"/>
  <c r="BE383" i="5"/>
  <c r="BL383" i="5"/>
  <c r="BG383" i="5"/>
  <c r="CA377" i="5"/>
  <c r="CA381" i="5"/>
  <c r="BQ376" i="5"/>
  <c r="CA379" i="5"/>
  <c r="BQ380" i="5"/>
  <c r="AR378" i="5"/>
  <c r="BN378" i="5"/>
  <c r="AO378" i="5"/>
  <c r="BQ379" i="5"/>
  <c r="BT380" i="5" l="1"/>
  <c r="BW380" i="5"/>
  <c r="BV381" i="5"/>
  <c r="BS381" i="5"/>
  <c r="AO381" i="5"/>
  <c r="BP382" i="5"/>
  <c r="AL382" i="5"/>
  <c r="BT381" i="5"/>
  <c r="BW381" i="5"/>
  <c r="BD385" i="5"/>
  <c r="BG384" i="5"/>
  <c r="BF384" i="5"/>
  <c r="BE384" i="5"/>
  <c r="BL384" i="5"/>
  <c r="BT376" i="5"/>
  <c r="AL383" i="5"/>
  <c r="Z384" i="5"/>
  <c r="Y385" i="5"/>
  <c r="AB384" i="5"/>
  <c r="AA384" i="5"/>
  <c r="AG384" i="5"/>
  <c r="AQ382" i="5"/>
  <c r="BM382" i="5"/>
  <c r="AN382" i="5"/>
  <c r="AR375" i="5"/>
  <c r="AO375" i="5"/>
  <c r="BN375" i="5"/>
  <c r="AK383" i="5"/>
  <c r="BP383" i="5" s="1"/>
  <c r="AH383" i="5"/>
  <c r="AI382" i="5"/>
  <c r="BN379" i="5"/>
  <c r="AO379" i="5"/>
  <c r="AR379" i="5"/>
  <c r="BD386" i="5" l="1"/>
  <c r="BG385" i="5"/>
  <c r="BF385" i="5"/>
  <c r="BE385" i="5"/>
  <c r="BL385" i="5"/>
  <c r="AK384" i="5"/>
  <c r="AH384" i="5"/>
  <c r="BQ382" i="5"/>
  <c r="BQ383" i="5"/>
  <c r="AR382" i="5"/>
  <c r="BN382" i="5"/>
  <c r="AO382" i="5"/>
  <c r="AG385" i="5"/>
  <c r="AB385" i="5"/>
  <c r="AA385" i="5"/>
  <c r="Y386" i="5"/>
  <c r="Z385" i="5"/>
  <c r="AQ383" i="5"/>
  <c r="BM383" i="5"/>
  <c r="AN383" i="5"/>
  <c r="BT379" i="5"/>
  <c r="BW379" i="5"/>
  <c r="BV382" i="5"/>
  <c r="BS382" i="5"/>
  <c r="AI383" i="5"/>
  <c r="BN383" i="5" l="1"/>
  <c r="AR383" i="5"/>
  <c r="AO383" i="5"/>
  <c r="BW382" i="5"/>
  <c r="BT382" i="5"/>
  <c r="AN384" i="5"/>
  <c r="AJ384" i="5"/>
  <c r="AI384" i="5"/>
  <c r="AQ384" i="5"/>
  <c r="BM384" i="5"/>
  <c r="AM384" i="5"/>
  <c r="AL384" i="5"/>
  <c r="BP384" i="5"/>
  <c r="BF386" i="5"/>
  <c r="BL386" i="5"/>
  <c r="BG386" i="5"/>
  <c r="BE386" i="5"/>
  <c r="BD387" i="5"/>
  <c r="Y387" i="5"/>
  <c r="AA386" i="5"/>
  <c r="AG386" i="5"/>
  <c r="AB386" i="5"/>
  <c r="Z386" i="5"/>
  <c r="BV383" i="5"/>
  <c r="BS383" i="5"/>
  <c r="AK385" i="5"/>
  <c r="BP385" i="5" s="1"/>
  <c r="AH385" i="5"/>
  <c r="AK386" i="5" l="1"/>
  <c r="AH386" i="5"/>
  <c r="AP384" i="5"/>
  <c r="BO384" i="5"/>
  <c r="BV384" i="5"/>
  <c r="BS384" i="5"/>
  <c r="AJ385" i="5"/>
  <c r="AQ385" i="5"/>
  <c r="AN385" i="5"/>
  <c r="BM385" i="5"/>
  <c r="AA387" i="5"/>
  <c r="AG387" i="5"/>
  <c r="AB387" i="5"/>
  <c r="Y388" i="5"/>
  <c r="Z387" i="5"/>
  <c r="BR385" i="5"/>
  <c r="BR384" i="5"/>
  <c r="BQ384" i="5"/>
  <c r="BQ385" i="5"/>
  <c r="AM385" i="5"/>
  <c r="AJ386" i="5"/>
  <c r="AO384" i="5"/>
  <c r="BN384" i="5"/>
  <c r="BW383" i="5"/>
  <c r="BT383" i="5"/>
  <c r="AI385" i="5"/>
  <c r="BF387" i="5"/>
  <c r="BL387" i="5"/>
  <c r="BE387" i="5"/>
  <c r="BD388" i="5"/>
  <c r="BG387" i="5"/>
  <c r="AL386" i="5"/>
  <c r="AL385" i="5"/>
  <c r="AI386" i="5"/>
  <c r="BS385" i="5" l="1"/>
  <c r="BV385" i="5"/>
  <c r="BT384" i="5"/>
  <c r="BD389" i="5"/>
  <c r="BL388" i="5"/>
  <c r="BF388" i="5"/>
  <c r="BE388" i="5"/>
  <c r="BG388" i="5"/>
  <c r="BU384" i="5"/>
  <c r="AG388" i="5"/>
  <c r="AB388" i="5"/>
  <c r="Y389" i="5"/>
  <c r="AA388" i="5"/>
  <c r="Z388" i="5"/>
  <c r="AN386" i="5"/>
  <c r="AQ386" i="5"/>
  <c r="BM386" i="5"/>
  <c r="AO385" i="5"/>
  <c r="BN385" i="5"/>
  <c r="BP386" i="5"/>
  <c r="AM386" i="5"/>
  <c r="AP386" i="5"/>
  <c r="BO386" i="5"/>
  <c r="AK387" i="5"/>
  <c r="AH387" i="5"/>
  <c r="AO386" i="5"/>
  <c r="BN386" i="5"/>
  <c r="AP385" i="5"/>
  <c r="BO385" i="5"/>
  <c r="AQ387" i="5" l="1"/>
  <c r="AN387" i="5"/>
  <c r="BM387" i="5"/>
  <c r="AJ387" i="5"/>
  <c r="AA389" i="5"/>
  <c r="Z389" i="5"/>
  <c r="AB389" i="5"/>
  <c r="Y390" i="5"/>
  <c r="AG389" i="5"/>
  <c r="BU385" i="5"/>
  <c r="AI387" i="5"/>
  <c r="BP387" i="5"/>
  <c r="AL387" i="5"/>
  <c r="AM387" i="5"/>
  <c r="AM388" i="5"/>
  <c r="BR387" i="5"/>
  <c r="BR386" i="5"/>
  <c r="BU386" i="5" s="1"/>
  <c r="BQ387" i="5"/>
  <c r="BQ386" i="5"/>
  <c r="BV386" i="5"/>
  <c r="BS386" i="5"/>
  <c r="AH388" i="5"/>
  <c r="AK388" i="5"/>
  <c r="BG389" i="5"/>
  <c r="BE389" i="5"/>
  <c r="BD390" i="5"/>
  <c r="BL389" i="5"/>
  <c r="BF389" i="5"/>
  <c r="BT385" i="5"/>
  <c r="BT386" i="5"/>
  <c r="Y391" i="5" l="1"/>
  <c r="AG390" i="5"/>
  <c r="AA390" i="5"/>
  <c r="Z390" i="5"/>
  <c r="AB390" i="5"/>
  <c r="AO387" i="5"/>
  <c r="BN387" i="5"/>
  <c r="BP388" i="5"/>
  <c r="AL388" i="5"/>
  <c r="AQ388" i="5"/>
  <c r="AN388" i="5"/>
  <c r="BM388" i="5"/>
  <c r="AJ388" i="5"/>
  <c r="AP387" i="5"/>
  <c r="BO387" i="5"/>
  <c r="BV387" i="5"/>
  <c r="BS387" i="5"/>
  <c r="AI388" i="5"/>
  <c r="BD391" i="5"/>
  <c r="BF390" i="5"/>
  <c r="BL390" i="5"/>
  <c r="BG390" i="5"/>
  <c r="BE390" i="5"/>
  <c r="AK389" i="5"/>
  <c r="AH389" i="5"/>
  <c r="AL389" i="5" l="1"/>
  <c r="BF391" i="5"/>
  <c r="BL391" i="5"/>
  <c r="BD392" i="5"/>
  <c r="BG391" i="5"/>
  <c r="BE391" i="5"/>
  <c r="BU387" i="5"/>
  <c r="AK390" i="5"/>
  <c r="BP390" i="5" s="1"/>
  <c r="AH390" i="5"/>
  <c r="AN389" i="5"/>
  <c r="AQ389" i="5"/>
  <c r="BM389" i="5"/>
  <c r="AM389" i="5"/>
  <c r="AB391" i="5"/>
  <c r="Z391" i="5"/>
  <c r="AG391" i="5"/>
  <c r="AA391" i="5"/>
  <c r="Y392" i="5"/>
  <c r="AO388" i="5"/>
  <c r="BN388" i="5"/>
  <c r="AJ389" i="5"/>
  <c r="AP388" i="5"/>
  <c r="BO388" i="5"/>
  <c r="BR388" i="5"/>
  <c r="BQ388" i="5"/>
  <c r="BQ390" i="5"/>
  <c r="BP389" i="5"/>
  <c r="AM390" i="5"/>
  <c r="AL390" i="5"/>
  <c r="BS388" i="5"/>
  <c r="BV388" i="5"/>
  <c r="AI389" i="5"/>
  <c r="BT387" i="5"/>
  <c r="AQ390" i="5" l="1"/>
  <c r="AN390" i="5"/>
  <c r="BM390" i="5"/>
  <c r="AJ390" i="5"/>
  <c r="AO389" i="5"/>
  <c r="BN389" i="5"/>
  <c r="AI390" i="5"/>
  <c r="BT388" i="5"/>
  <c r="Y393" i="5"/>
  <c r="AB392" i="5"/>
  <c r="Z392" i="5"/>
  <c r="AG392" i="5"/>
  <c r="AA392" i="5"/>
  <c r="BR389" i="5"/>
  <c r="AP389" i="5"/>
  <c r="BO389" i="5"/>
  <c r="BE392" i="5"/>
  <c r="BD393" i="5"/>
  <c r="BF392" i="5"/>
  <c r="BL392" i="5"/>
  <c r="BG392" i="5"/>
  <c r="AK391" i="5"/>
  <c r="AH391" i="5"/>
  <c r="BV389" i="5"/>
  <c r="BS389" i="5"/>
  <c r="BR390" i="5"/>
  <c r="BU388" i="5"/>
  <c r="BQ389" i="5"/>
  <c r="AP390" i="5" l="1"/>
  <c r="BO390" i="5"/>
  <c r="BP391" i="5"/>
  <c r="AM391" i="5"/>
  <c r="AL391" i="5"/>
  <c r="BU389" i="5"/>
  <c r="AH392" i="5"/>
  <c r="AK392" i="5"/>
  <c r="BP392" i="5" s="1"/>
  <c r="AQ391" i="5"/>
  <c r="AN391" i="5"/>
  <c r="BM391" i="5"/>
  <c r="AJ391" i="5"/>
  <c r="AI391" i="5"/>
  <c r="BD394" i="5"/>
  <c r="BF393" i="5"/>
  <c r="BL393" i="5"/>
  <c r="BG393" i="5"/>
  <c r="BE393" i="5"/>
  <c r="AA393" i="5"/>
  <c r="AG393" i="5"/>
  <c r="Y394" i="5"/>
  <c r="AB393" i="5"/>
  <c r="Z393" i="5"/>
  <c r="AO390" i="5"/>
  <c r="BN390" i="5"/>
  <c r="BV390" i="5"/>
  <c r="BS390" i="5"/>
  <c r="BT389" i="5"/>
  <c r="AL392" i="5" l="1"/>
  <c r="AM392" i="5"/>
  <c r="BV391" i="5"/>
  <c r="BS391" i="5"/>
  <c r="BR391" i="5"/>
  <c r="BR392" i="5"/>
  <c r="BQ391" i="5"/>
  <c r="BQ392" i="5"/>
  <c r="AN392" i="5"/>
  <c r="AQ392" i="5"/>
  <c r="BM392" i="5"/>
  <c r="AI392" i="5"/>
  <c r="AJ392" i="5"/>
  <c r="BU390" i="5"/>
  <c r="Z394" i="5"/>
  <c r="AG394" i="5"/>
  <c r="AB394" i="5"/>
  <c r="AA394" i="5"/>
  <c r="Y395" i="5"/>
  <c r="BG394" i="5"/>
  <c r="BF394" i="5"/>
  <c r="BD395" i="5"/>
  <c r="BE394" i="5"/>
  <c r="BL394" i="5"/>
  <c r="AK393" i="5"/>
  <c r="AH393" i="5"/>
  <c r="AO391" i="5"/>
  <c r="BN391" i="5"/>
  <c r="BT390" i="5"/>
  <c r="AP391" i="5"/>
  <c r="BO391" i="5"/>
  <c r="AK394" i="5" l="1"/>
  <c r="AH394" i="5"/>
  <c r="BT391" i="5"/>
  <c r="AP392" i="5"/>
  <c r="BO392" i="5"/>
  <c r="AQ393" i="5"/>
  <c r="AN393" i="5"/>
  <c r="BM393" i="5"/>
  <c r="AJ393" i="5"/>
  <c r="AI393" i="5"/>
  <c r="BL395" i="5"/>
  <c r="BG395" i="5"/>
  <c r="BF395" i="5"/>
  <c r="BD396" i="5"/>
  <c r="BE395" i="5"/>
  <c r="AO392" i="5"/>
  <c r="BN392" i="5"/>
  <c r="BP393" i="5"/>
  <c r="AM393" i="5"/>
  <c r="AL393" i="5"/>
  <c r="BS392" i="5"/>
  <c r="BV392" i="5"/>
  <c r="Y396" i="5"/>
  <c r="AG395" i="5"/>
  <c r="AB395" i="5"/>
  <c r="Z395" i="5"/>
  <c r="AA395" i="5"/>
  <c r="BU391" i="5"/>
  <c r="AH395" i="5" l="1"/>
  <c r="AK395" i="5"/>
  <c r="BV393" i="5"/>
  <c r="BS393" i="5"/>
  <c r="AB396" i="5"/>
  <c r="AA396" i="5"/>
  <c r="AG396" i="5"/>
  <c r="Z396" i="5"/>
  <c r="Y397" i="5"/>
  <c r="BU392" i="5"/>
  <c r="BE396" i="5"/>
  <c r="BD397" i="5"/>
  <c r="BF396" i="5"/>
  <c r="BL396" i="5"/>
  <c r="BG396" i="5"/>
  <c r="AP393" i="5"/>
  <c r="BO393" i="5"/>
  <c r="BR393" i="5"/>
  <c r="BQ393" i="5"/>
  <c r="BT392" i="5"/>
  <c r="AN394" i="5"/>
  <c r="AQ394" i="5"/>
  <c r="BM394" i="5"/>
  <c r="AJ394" i="5"/>
  <c r="AI394" i="5"/>
  <c r="BP394" i="5"/>
  <c r="BQ394" i="5" s="1"/>
  <c r="AM394" i="5"/>
  <c r="AL394" i="5"/>
  <c r="AO393" i="5"/>
  <c r="BN393" i="5"/>
  <c r="AP394" i="5" l="1"/>
  <c r="BO394" i="5"/>
  <c r="BR394" i="5"/>
  <c r="BL397" i="5"/>
  <c r="BG397" i="5"/>
  <c r="BF397" i="5"/>
  <c r="BD398" i="5"/>
  <c r="BE397" i="5"/>
  <c r="BS394" i="5"/>
  <c r="BV394" i="5"/>
  <c r="AH396" i="5"/>
  <c r="AK396" i="5"/>
  <c r="BT393" i="5"/>
  <c r="BP395" i="5"/>
  <c r="AL395" i="5"/>
  <c r="AM395" i="5"/>
  <c r="AQ395" i="5"/>
  <c r="AN395" i="5"/>
  <c r="BM395" i="5"/>
  <c r="AI395" i="5"/>
  <c r="AJ395" i="5"/>
  <c r="AO394" i="5"/>
  <c r="BN394" i="5"/>
  <c r="BU393" i="5"/>
  <c r="AG397" i="5"/>
  <c r="Y398" i="5"/>
  <c r="AA397" i="5"/>
  <c r="Z397" i="5"/>
  <c r="AB397" i="5"/>
  <c r="BT394" i="5" l="1"/>
  <c r="BP396" i="5"/>
  <c r="AL396" i="5"/>
  <c r="AM396" i="5"/>
  <c r="BG398" i="5"/>
  <c r="BL398" i="5"/>
  <c r="BF398" i="5"/>
  <c r="BE398" i="5"/>
  <c r="BD399" i="5"/>
  <c r="AQ396" i="5"/>
  <c r="AN396" i="5"/>
  <c r="BM396" i="5"/>
  <c r="AI396" i="5"/>
  <c r="AJ396" i="5"/>
  <c r="AP395" i="5"/>
  <c r="BO395" i="5"/>
  <c r="AO395" i="5"/>
  <c r="BN395" i="5"/>
  <c r="BV395" i="5"/>
  <c r="BS395" i="5"/>
  <c r="Z398" i="5"/>
  <c r="Y399" i="5"/>
  <c r="AA398" i="5"/>
  <c r="AG398" i="5"/>
  <c r="AB398" i="5"/>
  <c r="BU394" i="5"/>
  <c r="AK397" i="5"/>
  <c r="AH397" i="5"/>
  <c r="BQ395" i="5"/>
  <c r="BR395" i="5"/>
  <c r="BP397" i="5" l="1"/>
  <c r="AL397" i="5"/>
  <c r="AM397" i="5"/>
  <c r="BT395" i="5"/>
  <c r="BU395" i="5"/>
  <c r="AN397" i="5"/>
  <c r="AQ397" i="5"/>
  <c r="BM397" i="5"/>
  <c r="AI397" i="5"/>
  <c r="AJ397" i="5"/>
  <c r="BQ396" i="5"/>
  <c r="BR396" i="5"/>
  <c r="AK398" i="5"/>
  <c r="AH398" i="5"/>
  <c r="AP396" i="5"/>
  <c r="BO396" i="5"/>
  <c r="AO396" i="5"/>
  <c r="BN396" i="5"/>
  <c r="BF399" i="5"/>
  <c r="BE399" i="5"/>
  <c r="BL399" i="5"/>
  <c r="BD400" i="5"/>
  <c r="BG399" i="5"/>
  <c r="AG399" i="5"/>
  <c r="AB399" i="5"/>
  <c r="Y400" i="5"/>
  <c r="AA399" i="5"/>
  <c r="Z399" i="5"/>
  <c r="BS396" i="5"/>
  <c r="BV396" i="5"/>
  <c r="AO397" i="5" l="1"/>
  <c r="BN397" i="5"/>
  <c r="BD401" i="5"/>
  <c r="BL400" i="5"/>
  <c r="BG400" i="5"/>
  <c r="BF400" i="5"/>
  <c r="BE400" i="5"/>
  <c r="AN398" i="5"/>
  <c r="AQ398" i="5"/>
  <c r="BM398" i="5"/>
  <c r="AI398" i="5"/>
  <c r="AJ398" i="5"/>
  <c r="BP398" i="5"/>
  <c r="AL398" i="5"/>
  <c r="AM398" i="5"/>
  <c r="AK399" i="5"/>
  <c r="AH399" i="5"/>
  <c r="BU396" i="5"/>
  <c r="AB400" i="5"/>
  <c r="AG400" i="5"/>
  <c r="Y401" i="5"/>
  <c r="AA400" i="5"/>
  <c r="Z400" i="5"/>
  <c r="AP397" i="5"/>
  <c r="BO397" i="5"/>
  <c r="BQ397" i="5"/>
  <c r="BR397" i="5"/>
  <c r="BT396" i="5"/>
  <c r="BS397" i="5"/>
  <c r="BV397" i="5"/>
  <c r="AP398" i="5" l="1"/>
  <c r="BO398" i="5"/>
  <c r="AO398" i="5"/>
  <c r="BN398" i="5"/>
  <c r="BR398" i="5"/>
  <c r="BQ398" i="5"/>
  <c r="BU397" i="5"/>
  <c r="AA401" i="5"/>
  <c r="Z401" i="5"/>
  <c r="AB401" i="5"/>
  <c r="Y402" i="5"/>
  <c r="AG401" i="5"/>
  <c r="BV398" i="5"/>
  <c r="BS398" i="5"/>
  <c r="AH400" i="5"/>
  <c r="AK400" i="5"/>
  <c r="BP399" i="5"/>
  <c r="AM399" i="5"/>
  <c r="AL399" i="5"/>
  <c r="BG401" i="5"/>
  <c r="BE401" i="5"/>
  <c r="BD402" i="5"/>
  <c r="BL401" i="5"/>
  <c r="BF401" i="5"/>
  <c r="AQ399" i="5"/>
  <c r="BM399" i="5"/>
  <c r="AN399" i="5"/>
  <c r="AI399" i="5"/>
  <c r="AJ399" i="5"/>
  <c r="BT397" i="5"/>
  <c r="AQ400" i="5" l="1"/>
  <c r="AN400" i="5"/>
  <c r="BM400" i="5"/>
  <c r="AJ400" i="5"/>
  <c r="AI400" i="5"/>
  <c r="AO399" i="5"/>
  <c r="BN399" i="5"/>
  <c r="BL402" i="5"/>
  <c r="BG402" i="5"/>
  <c r="BD403" i="5"/>
  <c r="BF402" i="5"/>
  <c r="BE402" i="5"/>
  <c r="BT398" i="5"/>
  <c r="BS399" i="5"/>
  <c r="BV399" i="5"/>
  <c r="AK401" i="5"/>
  <c r="AH401" i="5"/>
  <c r="BU398" i="5"/>
  <c r="AP399" i="5"/>
  <c r="BO399" i="5"/>
  <c r="BR399" i="5"/>
  <c r="BQ399" i="5"/>
  <c r="Y403" i="5"/>
  <c r="AG402" i="5"/>
  <c r="AA402" i="5"/>
  <c r="Z402" i="5"/>
  <c r="AB402" i="5"/>
  <c r="BP400" i="5"/>
  <c r="AL400" i="5"/>
  <c r="AM400" i="5"/>
  <c r="BT399" i="5" l="1"/>
  <c r="AO400" i="5"/>
  <c r="BN400" i="5"/>
  <c r="AP400" i="5"/>
  <c r="BO400" i="5"/>
  <c r="BR400" i="5"/>
  <c r="BQ400" i="5"/>
  <c r="AK402" i="5"/>
  <c r="AH402" i="5"/>
  <c r="AN401" i="5"/>
  <c r="AQ401" i="5"/>
  <c r="BM401" i="5"/>
  <c r="AJ401" i="5"/>
  <c r="AI401" i="5"/>
  <c r="BV400" i="5"/>
  <c r="BS400" i="5"/>
  <c r="BP401" i="5"/>
  <c r="AM401" i="5"/>
  <c r="AL401" i="5"/>
  <c r="BU399" i="5"/>
  <c r="BF403" i="5"/>
  <c r="BL403" i="5"/>
  <c r="BD404" i="5"/>
  <c r="BG403" i="5"/>
  <c r="BE403" i="5"/>
  <c r="AB403" i="5"/>
  <c r="Z403" i="5"/>
  <c r="AA403" i="5"/>
  <c r="Y404" i="5"/>
  <c r="AG403" i="5"/>
  <c r="BP402" i="5" l="1"/>
  <c r="AM402" i="5"/>
  <c r="AL402" i="5"/>
  <c r="BR401" i="5"/>
  <c r="BQ401" i="5"/>
  <c r="BU400" i="5"/>
  <c r="AK403" i="5"/>
  <c r="AH403" i="5"/>
  <c r="AO401" i="5"/>
  <c r="BN401" i="5"/>
  <c r="BT400" i="5"/>
  <c r="Y405" i="5"/>
  <c r="AB404" i="5"/>
  <c r="AA404" i="5"/>
  <c r="Z404" i="5"/>
  <c r="AG404" i="5"/>
  <c r="AP401" i="5"/>
  <c r="BO401" i="5"/>
  <c r="BE404" i="5"/>
  <c r="BD405" i="5"/>
  <c r="BF404" i="5"/>
  <c r="BL404" i="5"/>
  <c r="BG404" i="5"/>
  <c r="BV401" i="5"/>
  <c r="BS401" i="5"/>
  <c r="AQ402" i="5"/>
  <c r="AN402" i="5"/>
  <c r="BM402" i="5"/>
  <c r="AJ402" i="5"/>
  <c r="AI402" i="5"/>
  <c r="BT401" i="5" l="1"/>
  <c r="BD406" i="5"/>
  <c r="BL405" i="5"/>
  <c r="BG405" i="5"/>
  <c r="BF405" i="5"/>
  <c r="BE405" i="5"/>
  <c r="AH404" i="5"/>
  <c r="AK404" i="5"/>
  <c r="AQ403" i="5"/>
  <c r="AN403" i="5"/>
  <c r="BM403" i="5"/>
  <c r="AJ403" i="5"/>
  <c r="AI403" i="5"/>
  <c r="BP403" i="5"/>
  <c r="AM403" i="5"/>
  <c r="AL403" i="5"/>
  <c r="BU401" i="5"/>
  <c r="AA405" i="5"/>
  <c r="AG405" i="5"/>
  <c r="Y406" i="5"/>
  <c r="AB405" i="5"/>
  <c r="Z405" i="5"/>
  <c r="AP402" i="5"/>
  <c r="BO402" i="5"/>
  <c r="AO402" i="5"/>
  <c r="BN402" i="5"/>
  <c r="BV402" i="5"/>
  <c r="BS402" i="5"/>
  <c r="BQ402" i="5"/>
  <c r="BR402" i="5"/>
  <c r="BQ403" i="5" l="1"/>
  <c r="BR403" i="5"/>
  <c r="AO403" i="5"/>
  <c r="BN403" i="5"/>
  <c r="BU402" i="5"/>
  <c r="AP403" i="5"/>
  <c r="BO403" i="5"/>
  <c r="Z406" i="5"/>
  <c r="AG406" i="5"/>
  <c r="AB406" i="5"/>
  <c r="Y407" i="5"/>
  <c r="AA406" i="5"/>
  <c r="BV403" i="5"/>
  <c r="BS403" i="5"/>
  <c r="AK405" i="5"/>
  <c r="AH405" i="5"/>
  <c r="BP404" i="5"/>
  <c r="AL404" i="5"/>
  <c r="AM404" i="5"/>
  <c r="AQ404" i="5"/>
  <c r="AN404" i="5"/>
  <c r="BM404" i="5"/>
  <c r="AJ404" i="5"/>
  <c r="AI404" i="5"/>
  <c r="BG406" i="5"/>
  <c r="BF406" i="5"/>
  <c r="BD407" i="5"/>
  <c r="BE406" i="5"/>
  <c r="BL406" i="5"/>
  <c r="BT402" i="5"/>
  <c r="BU403" i="5" l="1"/>
  <c r="AO404" i="5"/>
  <c r="BN404" i="5"/>
  <c r="AP404" i="5"/>
  <c r="BO404" i="5"/>
  <c r="BT403" i="5"/>
  <c r="Y408" i="5"/>
  <c r="AG407" i="5"/>
  <c r="AB407" i="5"/>
  <c r="AA407" i="5"/>
  <c r="Z407" i="5"/>
  <c r="BS404" i="5"/>
  <c r="BV404" i="5"/>
  <c r="BL407" i="5"/>
  <c r="BF407" i="5"/>
  <c r="BD408" i="5"/>
  <c r="BE407" i="5"/>
  <c r="BG407" i="5"/>
  <c r="BR404" i="5"/>
  <c r="BQ404" i="5"/>
  <c r="AQ405" i="5"/>
  <c r="AN405" i="5"/>
  <c r="BM405" i="5"/>
  <c r="AJ405" i="5"/>
  <c r="AI405" i="5"/>
  <c r="BP405" i="5"/>
  <c r="AL405" i="5"/>
  <c r="AM405" i="5"/>
  <c r="AK406" i="5"/>
  <c r="AH406" i="5"/>
  <c r="AO405" i="5" l="1"/>
  <c r="BN405" i="5"/>
  <c r="BV405" i="5"/>
  <c r="BS405" i="5"/>
  <c r="BU404" i="5"/>
  <c r="AP405" i="5"/>
  <c r="BO405" i="5"/>
  <c r="BE408" i="5"/>
  <c r="BD409" i="5"/>
  <c r="BF408" i="5"/>
  <c r="BG408" i="5"/>
  <c r="BL408" i="5"/>
  <c r="BT404" i="5"/>
  <c r="AN406" i="5"/>
  <c r="AQ406" i="5"/>
  <c r="BM406" i="5"/>
  <c r="AJ406" i="5"/>
  <c r="AI406" i="5"/>
  <c r="BP406" i="5"/>
  <c r="AL406" i="5"/>
  <c r="AM406" i="5"/>
  <c r="BQ405" i="5"/>
  <c r="BR405" i="5"/>
  <c r="AH407" i="5"/>
  <c r="AK407" i="5"/>
  <c r="AB408" i="5"/>
  <c r="AA408" i="5"/>
  <c r="AG408" i="5"/>
  <c r="Z408" i="5"/>
  <c r="Y409" i="5"/>
  <c r="BR406" i="5" l="1"/>
  <c r="BQ406" i="5"/>
  <c r="AH408" i="5"/>
  <c r="AK408" i="5"/>
  <c r="AO406" i="5"/>
  <c r="BN406" i="5"/>
  <c r="AP406" i="5"/>
  <c r="BO406" i="5"/>
  <c r="BV406" i="5"/>
  <c r="BS406" i="5"/>
  <c r="BT405" i="5"/>
  <c r="AQ407" i="5"/>
  <c r="AN407" i="5"/>
  <c r="BM407" i="5"/>
  <c r="AI407" i="5"/>
  <c r="AJ407" i="5"/>
  <c r="BG409" i="5"/>
  <c r="BF409" i="5"/>
  <c r="BD410" i="5"/>
  <c r="BE409" i="5"/>
  <c r="BL409" i="5"/>
  <c r="BP407" i="5"/>
  <c r="AM407" i="5"/>
  <c r="AL407" i="5"/>
  <c r="BU405" i="5"/>
  <c r="AG409" i="5"/>
  <c r="AB409" i="5"/>
  <c r="Y410" i="5"/>
  <c r="AA409" i="5"/>
  <c r="Z409" i="5"/>
  <c r="BU406" i="5" l="1"/>
  <c r="AP407" i="5"/>
  <c r="BO407" i="5"/>
  <c r="BT406" i="5"/>
  <c r="AO407" i="5"/>
  <c r="BN407" i="5"/>
  <c r="BV407" i="5"/>
  <c r="BS407" i="5"/>
  <c r="BP408" i="5"/>
  <c r="AL408" i="5"/>
  <c r="AM408" i="5"/>
  <c r="AQ408" i="5"/>
  <c r="AN408" i="5"/>
  <c r="BM408" i="5"/>
  <c r="AJ408" i="5"/>
  <c r="AI408" i="5"/>
  <c r="BR407" i="5"/>
  <c r="BQ407" i="5"/>
  <c r="AK409" i="5"/>
  <c r="AH409" i="5"/>
  <c r="BG410" i="5"/>
  <c r="BL410" i="5"/>
  <c r="BF410" i="5"/>
  <c r="BE410" i="5"/>
  <c r="BD411" i="5"/>
  <c r="Z410" i="5"/>
  <c r="Y411" i="5"/>
  <c r="AA410" i="5"/>
  <c r="AG410" i="5"/>
  <c r="AB410" i="5"/>
  <c r="BT407" i="5" l="1"/>
  <c r="AO408" i="5"/>
  <c r="BN408" i="5"/>
  <c r="BF411" i="5"/>
  <c r="BE411" i="5"/>
  <c r="BL411" i="5"/>
  <c r="BD412" i="5"/>
  <c r="BG411" i="5"/>
  <c r="AP408" i="5"/>
  <c r="BO408" i="5"/>
  <c r="AK410" i="5"/>
  <c r="AH410" i="5"/>
  <c r="AG411" i="5"/>
  <c r="AB411" i="5"/>
  <c r="Y412" i="5"/>
  <c r="AA411" i="5"/>
  <c r="Z411" i="5"/>
  <c r="BS408" i="5"/>
  <c r="BV408" i="5"/>
  <c r="BU407" i="5"/>
  <c r="BR408" i="5"/>
  <c r="BQ408" i="5"/>
  <c r="AQ409" i="5"/>
  <c r="AN409" i="5"/>
  <c r="BM409" i="5"/>
  <c r="AI409" i="5"/>
  <c r="AJ409" i="5"/>
  <c r="BP409" i="5"/>
  <c r="AL409" i="5"/>
  <c r="AM409" i="5"/>
  <c r="AN410" i="5" l="1"/>
  <c r="AQ410" i="5"/>
  <c r="BM410" i="5"/>
  <c r="AI410" i="5"/>
  <c r="AJ410" i="5"/>
  <c r="BD413" i="5"/>
  <c r="CA412" i="5"/>
  <c r="BL412" i="5"/>
  <c r="BG412" i="5"/>
  <c r="BF412" i="5"/>
  <c r="BE412" i="5"/>
  <c r="CA405" i="5"/>
  <c r="BW405" i="5" s="1"/>
  <c r="CA408" i="5"/>
  <c r="BW408" i="5" s="1"/>
  <c r="CA406" i="5"/>
  <c r="BW406" i="5" s="1"/>
  <c r="CA410" i="5"/>
  <c r="AK411" i="5"/>
  <c r="AH411" i="5"/>
  <c r="BP410" i="5"/>
  <c r="AM410" i="5"/>
  <c r="AL410" i="5"/>
  <c r="BU408" i="5"/>
  <c r="BR409" i="5"/>
  <c r="BQ409" i="5"/>
  <c r="AP409" i="5"/>
  <c r="BO409" i="5"/>
  <c r="AO409" i="5"/>
  <c r="BN409" i="5"/>
  <c r="BT408" i="5"/>
  <c r="BV409" i="5"/>
  <c r="BS409" i="5"/>
  <c r="AB412" i="5"/>
  <c r="AG412" i="5"/>
  <c r="AA412" i="5"/>
  <c r="AV412" i="5"/>
  <c r="Z412" i="5"/>
  <c r="Y413" i="5"/>
  <c r="AV408" i="5"/>
  <c r="AR408" i="5" s="1"/>
  <c r="AV406" i="5"/>
  <c r="AR406" i="5" s="1"/>
  <c r="AV404" i="5"/>
  <c r="AR404" i="5" s="1"/>
  <c r="AV410" i="5"/>
  <c r="BT409" i="5" l="1"/>
  <c r="BQ410" i="5"/>
  <c r="BR410" i="5"/>
  <c r="AA413" i="5"/>
  <c r="Z413" i="5"/>
  <c r="AG413" i="5"/>
  <c r="AV413" i="5"/>
  <c r="AB413" i="5"/>
  <c r="Y414" i="5"/>
  <c r="AV411" i="5"/>
  <c r="AV409" i="5"/>
  <c r="AR409" i="5" s="1"/>
  <c r="AN411" i="5"/>
  <c r="AQ411" i="5"/>
  <c r="BM411" i="5"/>
  <c r="AI411" i="5"/>
  <c r="AJ411" i="5"/>
  <c r="BP411" i="5"/>
  <c r="AL411" i="5"/>
  <c r="AM411" i="5"/>
  <c r="BU409" i="5"/>
  <c r="BG413" i="5"/>
  <c r="BE413" i="5"/>
  <c r="BL413" i="5"/>
  <c r="CA413" i="5"/>
  <c r="BF413" i="5"/>
  <c r="BD414" i="5"/>
  <c r="CA409" i="5"/>
  <c r="BW409" i="5" s="1"/>
  <c r="CA407" i="5"/>
  <c r="BW407" i="5" s="1"/>
  <c r="CA411" i="5"/>
  <c r="AP410" i="5"/>
  <c r="BO410" i="5"/>
  <c r="AH412" i="5"/>
  <c r="AK412" i="5"/>
  <c r="AR410" i="5"/>
  <c r="AO410" i="5"/>
  <c r="BN410" i="5"/>
  <c r="BV410" i="5"/>
  <c r="BS410" i="5"/>
  <c r="BQ411" i="5" l="1"/>
  <c r="BR411" i="5"/>
  <c r="BS411" i="5"/>
  <c r="BV411" i="5"/>
  <c r="AK413" i="5"/>
  <c r="AH413" i="5"/>
  <c r="AG414" i="5"/>
  <c r="AB414" i="5"/>
  <c r="AA414" i="5"/>
  <c r="Y415" i="5"/>
  <c r="Z414" i="5"/>
  <c r="BL414" i="5"/>
  <c r="BG414" i="5"/>
  <c r="BF414" i="5"/>
  <c r="BD415" i="5"/>
  <c r="BE414" i="5"/>
  <c r="AP411" i="5"/>
  <c r="BO411" i="5"/>
  <c r="AQ412" i="5"/>
  <c r="AN412" i="5"/>
  <c r="BM412" i="5"/>
  <c r="AI412" i="5"/>
  <c r="AJ412" i="5"/>
  <c r="BU410" i="5"/>
  <c r="BW410" i="5"/>
  <c r="BT410" i="5"/>
  <c r="BP412" i="5"/>
  <c r="AL412" i="5"/>
  <c r="AM412" i="5"/>
  <c r="AO411" i="5"/>
  <c r="AR411" i="5"/>
  <c r="BN411" i="5"/>
  <c r="Z415" i="5" l="1"/>
  <c r="Y416" i="5"/>
  <c r="AA415" i="5"/>
  <c r="AG415" i="5"/>
  <c r="AB415" i="5"/>
  <c r="BG415" i="5"/>
  <c r="BL415" i="5"/>
  <c r="BF415" i="5"/>
  <c r="BE415" i="5"/>
  <c r="BD416" i="5"/>
  <c r="AK414" i="5"/>
  <c r="AH414" i="5"/>
  <c r="AR412" i="5"/>
  <c r="AO412" i="5"/>
  <c r="BN412" i="5"/>
  <c r="AP412" i="5"/>
  <c r="BO412" i="5"/>
  <c r="BT411" i="5"/>
  <c r="BW411" i="5"/>
  <c r="BV412" i="5"/>
  <c r="BS412" i="5"/>
  <c r="AN413" i="5"/>
  <c r="AQ413" i="5"/>
  <c r="BM413" i="5"/>
  <c r="AI413" i="5"/>
  <c r="AJ413" i="5"/>
  <c r="BP413" i="5"/>
  <c r="AM413" i="5"/>
  <c r="AL413" i="5"/>
  <c r="BU411" i="5"/>
  <c r="BQ412" i="5"/>
  <c r="BR412" i="5"/>
  <c r="BV413" i="5" l="1"/>
  <c r="BS413" i="5"/>
  <c r="AI414" i="5"/>
  <c r="AN414" i="5"/>
  <c r="AQ414" i="5"/>
  <c r="BM414" i="5"/>
  <c r="AJ414" i="5"/>
  <c r="AK415" i="5"/>
  <c r="AH415" i="5"/>
  <c r="BU412" i="5"/>
  <c r="BF416" i="5"/>
  <c r="BE416" i="5"/>
  <c r="BL416" i="5"/>
  <c r="BD417" i="5"/>
  <c r="BG416" i="5"/>
  <c r="Y417" i="5"/>
  <c r="AA416" i="5"/>
  <c r="Z416" i="5"/>
  <c r="AG416" i="5"/>
  <c r="AB416" i="5"/>
  <c r="BR413" i="5"/>
  <c r="BQ413" i="5"/>
  <c r="BP414" i="5"/>
  <c r="AL415" i="5"/>
  <c r="AL414" i="5"/>
  <c r="AM414" i="5"/>
  <c r="AP413" i="5"/>
  <c r="BO413" i="5"/>
  <c r="BW412" i="5"/>
  <c r="BT412" i="5"/>
  <c r="AO413" i="5"/>
  <c r="AR413" i="5"/>
  <c r="BN413" i="5"/>
  <c r="BD418" i="5" l="1"/>
  <c r="BL417" i="5"/>
  <c r="BG417" i="5"/>
  <c r="BF417" i="5"/>
  <c r="BE417" i="5"/>
  <c r="AO414" i="5"/>
  <c r="BN414" i="5"/>
  <c r="BQ414" i="5"/>
  <c r="BR414" i="5"/>
  <c r="AK416" i="5"/>
  <c r="AH416" i="5"/>
  <c r="AB417" i="5"/>
  <c r="AG417" i="5"/>
  <c r="Y418" i="5"/>
  <c r="AA417" i="5"/>
  <c r="Z417" i="5"/>
  <c r="BS414" i="5"/>
  <c r="BV414" i="5"/>
  <c r="BW413" i="5"/>
  <c r="BT413" i="5"/>
  <c r="BU413" i="5"/>
  <c r="AN415" i="5"/>
  <c r="AQ415" i="5"/>
  <c r="BM415" i="5"/>
  <c r="AJ415" i="5"/>
  <c r="BP415" i="5"/>
  <c r="BR415" i="5" s="1"/>
  <c r="AM415" i="5"/>
  <c r="AI415" i="5"/>
  <c r="AP414" i="5"/>
  <c r="BO414" i="5"/>
  <c r="BU414" i="5" l="1"/>
  <c r="BQ415" i="5"/>
  <c r="AA418" i="5"/>
  <c r="Z418" i="5"/>
  <c r="AB418" i="5"/>
  <c r="Y419" i="5"/>
  <c r="AG418" i="5"/>
  <c r="BP416" i="5"/>
  <c r="AM416" i="5"/>
  <c r="AL417" i="5"/>
  <c r="AL416" i="5"/>
  <c r="AO415" i="5"/>
  <c r="BN415" i="5"/>
  <c r="AP415" i="5"/>
  <c r="BO415" i="5"/>
  <c r="BV415" i="5"/>
  <c r="BS415" i="5"/>
  <c r="AH417" i="5"/>
  <c r="AK417" i="5"/>
  <c r="BT414" i="5"/>
  <c r="AQ416" i="5"/>
  <c r="AN416" i="5"/>
  <c r="BM416" i="5"/>
  <c r="AJ416" i="5"/>
  <c r="AI416" i="5"/>
  <c r="AI417" i="5"/>
  <c r="BG418" i="5"/>
  <c r="BE418" i="5"/>
  <c r="BD419" i="5"/>
  <c r="BL418" i="5"/>
  <c r="BF418" i="5"/>
  <c r="BQ416" i="5" l="1"/>
  <c r="BT415" i="5"/>
  <c r="BP417" i="5"/>
  <c r="AM417" i="5"/>
  <c r="AK418" i="5"/>
  <c r="AH418" i="5"/>
  <c r="BD420" i="5"/>
  <c r="BF419" i="5"/>
  <c r="BE419" i="5"/>
  <c r="BL419" i="5"/>
  <c r="BG419" i="5"/>
  <c r="AO416" i="5"/>
  <c r="BN416" i="5"/>
  <c r="AQ417" i="5"/>
  <c r="AN417" i="5"/>
  <c r="BM417" i="5"/>
  <c r="AJ417" i="5"/>
  <c r="Y420" i="5"/>
  <c r="AG419" i="5"/>
  <c r="AB419" i="5"/>
  <c r="AA419" i="5"/>
  <c r="Z419" i="5"/>
  <c r="BS416" i="5"/>
  <c r="BV416" i="5"/>
  <c r="BU415" i="5"/>
  <c r="BR416" i="5"/>
  <c r="BQ417" i="5"/>
  <c r="AO417" i="5"/>
  <c r="BN417" i="5"/>
  <c r="AP416" i="5"/>
  <c r="BO416" i="5"/>
  <c r="AL418" i="5"/>
  <c r="AN418" i="5" l="1"/>
  <c r="AQ418" i="5"/>
  <c r="BM418" i="5"/>
  <c r="AJ418" i="5"/>
  <c r="AI418" i="5"/>
  <c r="BP418" i="5"/>
  <c r="AM418" i="5"/>
  <c r="BS417" i="5"/>
  <c r="BV417" i="5"/>
  <c r="BU416" i="5"/>
  <c r="AK419" i="5"/>
  <c r="AH419" i="5"/>
  <c r="AP417" i="5"/>
  <c r="BO417" i="5"/>
  <c r="BR417" i="5"/>
  <c r="AB420" i="5"/>
  <c r="Z420" i="5"/>
  <c r="AG420" i="5"/>
  <c r="AA420" i="5"/>
  <c r="Y421" i="5"/>
  <c r="BT417" i="5"/>
  <c r="AL419" i="5"/>
  <c r="BT416" i="5"/>
  <c r="BF420" i="5"/>
  <c r="BL420" i="5"/>
  <c r="BD421" i="5"/>
  <c r="BG420" i="5"/>
  <c r="BE420" i="5"/>
  <c r="BR418" i="5" l="1"/>
  <c r="BQ418" i="5"/>
  <c r="BU417" i="5"/>
  <c r="AO418" i="5"/>
  <c r="BN418" i="5"/>
  <c r="AP418" i="5"/>
  <c r="BO418" i="5"/>
  <c r="AG421" i="5"/>
  <c r="Y422" i="5"/>
  <c r="AB421" i="5"/>
  <c r="AA421" i="5"/>
  <c r="Z421" i="5"/>
  <c r="BV418" i="5"/>
  <c r="BS418" i="5"/>
  <c r="BE421" i="5"/>
  <c r="BG421" i="5"/>
  <c r="BD422" i="5"/>
  <c r="BF421" i="5"/>
  <c r="BL421" i="5"/>
  <c r="AI419" i="5"/>
  <c r="AQ419" i="5"/>
  <c r="AN419" i="5"/>
  <c r="BM419" i="5"/>
  <c r="AJ419" i="5"/>
  <c r="AK420" i="5"/>
  <c r="AH420" i="5"/>
  <c r="BP419" i="5"/>
  <c r="AM419" i="5"/>
  <c r="BP420" i="5" l="1"/>
  <c r="BR420" i="5" s="1"/>
  <c r="AM420" i="5"/>
  <c r="BQ419" i="5"/>
  <c r="AO419" i="5"/>
  <c r="BN419" i="5"/>
  <c r="BD423" i="5"/>
  <c r="BF422" i="5"/>
  <c r="BE422" i="5"/>
  <c r="BL422" i="5"/>
  <c r="BG422" i="5"/>
  <c r="AL420" i="5"/>
  <c r="BV419" i="5"/>
  <c r="BS419" i="5"/>
  <c r="BT418" i="5"/>
  <c r="BU418" i="5"/>
  <c r="AA422" i="5"/>
  <c r="AG422" i="5"/>
  <c r="Y423" i="5"/>
  <c r="AB422" i="5"/>
  <c r="Z422" i="5"/>
  <c r="AP419" i="5"/>
  <c r="BO419" i="5"/>
  <c r="AH421" i="5"/>
  <c r="AI421" i="5" s="1"/>
  <c r="AK421" i="5"/>
  <c r="BR419" i="5"/>
  <c r="BQ420" i="5"/>
  <c r="AQ420" i="5"/>
  <c r="AN420" i="5"/>
  <c r="BM420" i="5"/>
  <c r="AJ420" i="5"/>
  <c r="AI420" i="5"/>
  <c r="BN421" i="5" l="1"/>
  <c r="BT419" i="5"/>
  <c r="BG423" i="5"/>
  <c r="BF423" i="5"/>
  <c r="BL423" i="5"/>
  <c r="BD424" i="5"/>
  <c r="BE423" i="5"/>
  <c r="AQ421" i="5"/>
  <c r="AN421" i="5"/>
  <c r="BM421" i="5"/>
  <c r="AJ421" i="5"/>
  <c r="Z423" i="5"/>
  <c r="AG423" i="5"/>
  <c r="AB423" i="5"/>
  <c r="Y424" i="5"/>
  <c r="AA423" i="5"/>
  <c r="AO420" i="5"/>
  <c r="BN420" i="5"/>
  <c r="AP420" i="5"/>
  <c r="BO420" i="5"/>
  <c r="AH422" i="5"/>
  <c r="AK422" i="5"/>
  <c r="BP421" i="5"/>
  <c r="AM421" i="5"/>
  <c r="AL421" i="5"/>
  <c r="AO421" i="5" s="1"/>
  <c r="BV420" i="5"/>
  <c r="BS420" i="5"/>
  <c r="BU419" i="5"/>
  <c r="AK423" i="5" l="1"/>
  <c r="AH423" i="5"/>
  <c r="BT420" i="5"/>
  <c r="BR421" i="5"/>
  <c r="BQ421" i="5"/>
  <c r="BS421" i="5"/>
  <c r="BV421" i="5"/>
  <c r="AP421" i="5"/>
  <c r="BO421" i="5"/>
  <c r="BP422" i="5"/>
  <c r="AM422" i="5"/>
  <c r="AL422" i="5"/>
  <c r="AQ422" i="5"/>
  <c r="AN422" i="5"/>
  <c r="BM422" i="5"/>
  <c r="AJ422" i="5"/>
  <c r="AI422" i="5"/>
  <c r="BT421" i="5"/>
  <c r="BU420" i="5"/>
  <c r="Y425" i="5"/>
  <c r="AG424" i="5"/>
  <c r="AB424" i="5"/>
  <c r="AA424" i="5"/>
  <c r="Z424" i="5"/>
  <c r="BL424" i="5"/>
  <c r="BG424" i="5"/>
  <c r="BF424" i="5"/>
  <c r="BD425" i="5"/>
  <c r="BE424" i="5"/>
  <c r="AB425" i="5" l="1"/>
  <c r="AA425" i="5"/>
  <c r="AG425" i="5"/>
  <c r="Z425" i="5"/>
  <c r="Y426" i="5"/>
  <c r="AP422" i="5"/>
  <c r="BO422" i="5"/>
  <c r="BV422" i="5"/>
  <c r="BS422" i="5"/>
  <c r="BR422" i="5"/>
  <c r="BQ422" i="5"/>
  <c r="BE425" i="5"/>
  <c r="BD426" i="5"/>
  <c r="BF425" i="5"/>
  <c r="BL425" i="5"/>
  <c r="BG425" i="5"/>
  <c r="BU421" i="5"/>
  <c r="AN423" i="5"/>
  <c r="AQ423" i="5"/>
  <c r="BM423" i="5"/>
  <c r="AJ423" i="5"/>
  <c r="AI423" i="5"/>
  <c r="AH424" i="5"/>
  <c r="AK424" i="5"/>
  <c r="AO422" i="5"/>
  <c r="BN422" i="5"/>
  <c r="BP423" i="5"/>
  <c r="AM423" i="5"/>
  <c r="AL423" i="5"/>
  <c r="BL426" i="5" l="1"/>
  <c r="BG426" i="5"/>
  <c r="BF426" i="5"/>
  <c r="BD427" i="5"/>
  <c r="BE426" i="5"/>
  <c r="BP424" i="5"/>
  <c r="AM424" i="5"/>
  <c r="AL424" i="5"/>
  <c r="AG426" i="5"/>
  <c r="AB426" i="5"/>
  <c r="Y427" i="5"/>
  <c r="AA426" i="5"/>
  <c r="Z426" i="5"/>
  <c r="AQ424" i="5"/>
  <c r="AN424" i="5"/>
  <c r="BM424" i="5"/>
  <c r="AJ424" i="5"/>
  <c r="AI424" i="5"/>
  <c r="BT422" i="5"/>
  <c r="BU422" i="5"/>
  <c r="AH425" i="5"/>
  <c r="AK425" i="5"/>
  <c r="BV423" i="5"/>
  <c r="BS423" i="5"/>
  <c r="AO423" i="5"/>
  <c r="BN423" i="5"/>
  <c r="AP423" i="5"/>
  <c r="BO423" i="5"/>
  <c r="BR423" i="5"/>
  <c r="BQ423" i="5"/>
  <c r="BU423" i="5" l="1"/>
  <c r="BR424" i="5"/>
  <c r="BQ424" i="5"/>
  <c r="AO424" i="5"/>
  <c r="BN424" i="5"/>
  <c r="BV424" i="5"/>
  <c r="BS424" i="5"/>
  <c r="BT423" i="5"/>
  <c r="BG427" i="5"/>
  <c r="BL427" i="5"/>
  <c r="BF427" i="5"/>
  <c r="BE427" i="5"/>
  <c r="BD428" i="5"/>
  <c r="AP424" i="5"/>
  <c r="BO424" i="5"/>
  <c r="Z427" i="5"/>
  <c r="Y428" i="5"/>
  <c r="AA427" i="5"/>
  <c r="AG427" i="5"/>
  <c r="AB427" i="5"/>
  <c r="BP425" i="5"/>
  <c r="AM425" i="5"/>
  <c r="AL425" i="5"/>
  <c r="AK426" i="5"/>
  <c r="AH426" i="5"/>
  <c r="AQ425" i="5"/>
  <c r="AN425" i="5"/>
  <c r="BM425" i="5"/>
  <c r="AJ425" i="5"/>
  <c r="AI425" i="5"/>
  <c r="BT424" i="5" l="1"/>
  <c r="BP426" i="5"/>
  <c r="AM426" i="5"/>
  <c r="AL426" i="5"/>
  <c r="AK427" i="5"/>
  <c r="AH427" i="5"/>
  <c r="BF428" i="5"/>
  <c r="BE428" i="5"/>
  <c r="BL428" i="5"/>
  <c r="BD429" i="5"/>
  <c r="BG428" i="5"/>
  <c r="BS425" i="5"/>
  <c r="BV425" i="5"/>
  <c r="AN426" i="5"/>
  <c r="AQ426" i="5"/>
  <c r="BM426" i="5"/>
  <c r="AJ426" i="5"/>
  <c r="AI426" i="5"/>
  <c r="AP425" i="5"/>
  <c r="BO425" i="5"/>
  <c r="AG428" i="5"/>
  <c r="AB428" i="5"/>
  <c r="Y429" i="5"/>
  <c r="AA428" i="5"/>
  <c r="Z428" i="5"/>
  <c r="BR425" i="5"/>
  <c r="BQ425" i="5"/>
  <c r="BU424" i="5"/>
  <c r="AO425" i="5"/>
  <c r="BN425" i="5"/>
  <c r="BU425" i="5" l="1"/>
  <c r="AB429" i="5"/>
  <c r="AG429" i="5"/>
  <c r="Y430" i="5"/>
  <c r="AA429" i="5"/>
  <c r="Z429" i="5"/>
  <c r="AK428" i="5"/>
  <c r="AH428" i="5"/>
  <c r="AN427" i="5"/>
  <c r="AQ427" i="5"/>
  <c r="BM427" i="5"/>
  <c r="AJ427" i="5"/>
  <c r="AI427" i="5"/>
  <c r="BP427" i="5"/>
  <c r="AM427" i="5"/>
  <c r="AL427" i="5"/>
  <c r="BR426" i="5"/>
  <c r="BQ426" i="5"/>
  <c r="AP426" i="5"/>
  <c r="BO426" i="5"/>
  <c r="AO426" i="5"/>
  <c r="BN426" i="5"/>
  <c r="BT425" i="5"/>
  <c r="BV426" i="5"/>
  <c r="BS426" i="5"/>
  <c r="BD430" i="5"/>
  <c r="BL429" i="5"/>
  <c r="BG429" i="5"/>
  <c r="BF429" i="5"/>
  <c r="BE429" i="5"/>
  <c r="AO427" i="5" l="1"/>
  <c r="BN427" i="5"/>
  <c r="BT426" i="5"/>
  <c r="AP427" i="5"/>
  <c r="BO427" i="5"/>
  <c r="BV427" i="5"/>
  <c r="BS427" i="5"/>
  <c r="BU426" i="5"/>
  <c r="AQ428" i="5"/>
  <c r="BM428" i="5"/>
  <c r="AN428" i="5"/>
  <c r="AJ428" i="5"/>
  <c r="AI428" i="5"/>
  <c r="BR427" i="5"/>
  <c r="BQ427" i="5"/>
  <c r="BP428" i="5"/>
  <c r="AM428" i="5"/>
  <c r="AL428" i="5"/>
  <c r="AA430" i="5"/>
  <c r="Z430" i="5"/>
  <c r="AB430" i="5"/>
  <c r="Y431" i="5"/>
  <c r="AG430" i="5"/>
  <c r="AH429" i="5"/>
  <c r="AK429" i="5"/>
  <c r="BG430" i="5"/>
  <c r="BE430" i="5"/>
  <c r="BD431" i="5"/>
  <c r="BL430" i="5"/>
  <c r="BF430" i="5"/>
  <c r="BR428" i="5" l="1"/>
  <c r="BQ428" i="5"/>
  <c r="BU427" i="5"/>
  <c r="AO428" i="5"/>
  <c r="BN428" i="5"/>
  <c r="AP428" i="5"/>
  <c r="BO428" i="5"/>
  <c r="AK430" i="5"/>
  <c r="AH430" i="5"/>
  <c r="BT427" i="5"/>
  <c r="BL431" i="5"/>
  <c r="BG431" i="5"/>
  <c r="BD432" i="5"/>
  <c r="BF431" i="5"/>
  <c r="BE431" i="5"/>
  <c r="BP429" i="5"/>
  <c r="AM429" i="5"/>
  <c r="AL429" i="5"/>
  <c r="Y432" i="5"/>
  <c r="AG431" i="5"/>
  <c r="AA431" i="5"/>
  <c r="Z431" i="5"/>
  <c r="AB431" i="5"/>
  <c r="BS428" i="5"/>
  <c r="BV428" i="5"/>
  <c r="AQ429" i="5"/>
  <c r="AN429" i="5"/>
  <c r="BM429" i="5"/>
  <c r="AJ429" i="5"/>
  <c r="AI429" i="5"/>
  <c r="BU428" i="5" l="1"/>
  <c r="AK431" i="5"/>
  <c r="AH431" i="5"/>
  <c r="AB432" i="5"/>
  <c r="Z432" i="5"/>
  <c r="AA432" i="5"/>
  <c r="Y433" i="5"/>
  <c r="AG432" i="5"/>
  <c r="BF432" i="5"/>
  <c r="BL432" i="5"/>
  <c r="BD433" i="5"/>
  <c r="BG432" i="5"/>
  <c r="BE432" i="5"/>
  <c r="BT428" i="5"/>
  <c r="BV429" i="5"/>
  <c r="BS429" i="5"/>
  <c r="AN430" i="5"/>
  <c r="AQ430" i="5"/>
  <c r="BM430" i="5"/>
  <c r="AJ430" i="5"/>
  <c r="AI430" i="5"/>
  <c r="BR429" i="5"/>
  <c r="BQ429" i="5"/>
  <c r="AO429" i="5"/>
  <c r="BN429" i="5"/>
  <c r="AP429" i="5"/>
  <c r="BO429" i="5"/>
  <c r="BP430" i="5"/>
  <c r="AM430" i="5"/>
  <c r="AL430" i="5"/>
  <c r="AK432" i="5" l="1"/>
  <c r="AH432" i="5"/>
  <c r="AO430" i="5"/>
  <c r="BN430" i="5"/>
  <c r="AP430" i="5"/>
  <c r="BO430" i="5"/>
  <c r="BV430" i="5"/>
  <c r="BS430" i="5"/>
  <c r="BR430" i="5"/>
  <c r="BQ430" i="5"/>
  <c r="Y434" i="5"/>
  <c r="AB433" i="5"/>
  <c r="AA433" i="5"/>
  <c r="Z433" i="5"/>
  <c r="AG433" i="5"/>
  <c r="BT429" i="5"/>
  <c r="BE433" i="5"/>
  <c r="BD434" i="5"/>
  <c r="BF433" i="5"/>
  <c r="BL433" i="5"/>
  <c r="BG433" i="5"/>
  <c r="AQ431" i="5"/>
  <c r="AN431" i="5"/>
  <c r="BM431" i="5"/>
  <c r="AJ431" i="5"/>
  <c r="AI431" i="5"/>
  <c r="BP431" i="5"/>
  <c r="AM431" i="5"/>
  <c r="AL431" i="5"/>
  <c r="BU429" i="5"/>
  <c r="BU430" i="5" l="1"/>
  <c r="AO431" i="5"/>
  <c r="BN431" i="5"/>
  <c r="AH433" i="5"/>
  <c r="AK433" i="5"/>
  <c r="BV431" i="5"/>
  <c r="BS431" i="5"/>
  <c r="BD435" i="5"/>
  <c r="BL434" i="5"/>
  <c r="BG434" i="5"/>
  <c r="BF434" i="5"/>
  <c r="BE434" i="5"/>
  <c r="BT430" i="5"/>
  <c r="BR431" i="5"/>
  <c r="BQ431" i="5"/>
  <c r="AP431" i="5"/>
  <c r="BO431" i="5"/>
  <c r="AA434" i="5"/>
  <c r="AG434" i="5"/>
  <c r="Y435" i="5"/>
  <c r="AB434" i="5"/>
  <c r="Z434" i="5"/>
  <c r="AQ432" i="5"/>
  <c r="AN432" i="5"/>
  <c r="BM432" i="5"/>
  <c r="AJ432" i="5"/>
  <c r="AI432" i="5"/>
  <c r="BP432" i="5"/>
  <c r="AM432" i="5"/>
  <c r="AL432" i="5"/>
  <c r="BV432" i="5" l="1"/>
  <c r="BS432" i="5"/>
  <c r="Z435" i="5"/>
  <c r="AG435" i="5"/>
  <c r="AB435" i="5"/>
  <c r="Y436" i="5"/>
  <c r="AA435" i="5"/>
  <c r="BP433" i="5"/>
  <c r="AM433" i="5"/>
  <c r="AL433" i="5"/>
  <c r="AQ433" i="5"/>
  <c r="AN433" i="5"/>
  <c r="BM433" i="5"/>
  <c r="AJ433" i="5"/>
  <c r="AI433" i="5"/>
  <c r="BT431" i="5"/>
  <c r="AK434" i="5"/>
  <c r="AH434" i="5"/>
  <c r="BU431" i="5"/>
  <c r="BR432" i="5"/>
  <c r="BQ432" i="5"/>
  <c r="AO432" i="5"/>
  <c r="BN432" i="5"/>
  <c r="AP432" i="5"/>
  <c r="BO432" i="5"/>
  <c r="BG435" i="5"/>
  <c r="BF435" i="5"/>
  <c r="BD436" i="5"/>
  <c r="BE435" i="5"/>
  <c r="BL435" i="5"/>
  <c r="BL436" i="5" l="1"/>
  <c r="BF436" i="5"/>
  <c r="BD437" i="5"/>
  <c r="BE436" i="5"/>
  <c r="BG436" i="5"/>
  <c r="BS433" i="5"/>
  <c r="BV433" i="5"/>
  <c r="Y437" i="5"/>
  <c r="AG436" i="5"/>
  <c r="AB436" i="5"/>
  <c r="AA436" i="5"/>
  <c r="Z436" i="5"/>
  <c r="BU432" i="5"/>
  <c r="AQ434" i="5"/>
  <c r="AN434" i="5"/>
  <c r="BM434" i="5"/>
  <c r="AJ434" i="5"/>
  <c r="AI434" i="5"/>
  <c r="BR433" i="5"/>
  <c r="BQ433" i="5"/>
  <c r="AK435" i="5"/>
  <c r="AH435" i="5"/>
  <c r="BP434" i="5"/>
  <c r="AM434" i="5"/>
  <c r="AL434" i="5"/>
  <c r="BT432" i="5"/>
  <c r="AO433" i="5"/>
  <c r="BN433" i="5"/>
  <c r="AP433" i="5"/>
  <c r="BO433" i="5"/>
  <c r="BT433" i="5" l="1"/>
  <c r="AP434" i="5"/>
  <c r="BO434" i="5"/>
  <c r="BP435" i="5"/>
  <c r="AM435" i="5"/>
  <c r="AL435" i="5"/>
  <c r="AO434" i="5"/>
  <c r="BN434" i="5"/>
  <c r="BV434" i="5"/>
  <c r="BS434" i="5"/>
  <c r="BE437" i="5"/>
  <c r="BD438" i="5"/>
  <c r="BF437" i="5"/>
  <c r="BG437" i="5"/>
  <c r="BL437" i="5"/>
  <c r="AH436" i="5"/>
  <c r="AK436" i="5"/>
  <c r="AB437" i="5"/>
  <c r="AA437" i="5"/>
  <c r="AG437" i="5"/>
  <c r="Z437" i="5"/>
  <c r="Y438" i="5"/>
  <c r="BU433" i="5"/>
  <c r="AN435" i="5"/>
  <c r="AQ435" i="5"/>
  <c r="BM435" i="5"/>
  <c r="AJ435" i="5"/>
  <c r="AI435" i="5"/>
  <c r="BR434" i="5"/>
  <c r="BQ434" i="5"/>
  <c r="BV435" i="5" l="1"/>
  <c r="BS435" i="5"/>
  <c r="AG438" i="5"/>
  <c r="AB438" i="5"/>
  <c r="Y439" i="5"/>
  <c r="AA438" i="5"/>
  <c r="Z438" i="5"/>
  <c r="AO435" i="5"/>
  <c r="BN435" i="5"/>
  <c r="AP435" i="5"/>
  <c r="BO435" i="5"/>
  <c r="AH437" i="5"/>
  <c r="AK437" i="5"/>
  <c r="BR435" i="5"/>
  <c r="BQ435" i="5"/>
  <c r="BU434" i="5"/>
  <c r="BP436" i="5"/>
  <c r="AM436" i="5"/>
  <c r="AL436" i="5"/>
  <c r="BG438" i="5"/>
  <c r="BF438" i="5"/>
  <c r="BD439" i="5"/>
  <c r="BE438" i="5"/>
  <c r="BL438" i="5"/>
  <c r="AQ436" i="5"/>
  <c r="AN436" i="5"/>
  <c r="BM436" i="5"/>
  <c r="AJ436" i="5"/>
  <c r="AI436" i="5"/>
  <c r="BT434" i="5"/>
  <c r="BV436" i="5" l="1"/>
  <c r="BS436" i="5"/>
  <c r="BP437" i="5"/>
  <c r="AM437" i="5"/>
  <c r="AL437" i="5"/>
  <c r="BU435" i="5"/>
  <c r="AQ437" i="5"/>
  <c r="AN437" i="5"/>
  <c r="BM437" i="5"/>
  <c r="AJ437" i="5"/>
  <c r="AI437" i="5"/>
  <c r="Z439" i="5"/>
  <c r="Y440" i="5"/>
  <c r="AA439" i="5"/>
  <c r="AG439" i="5"/>
  <c r="AB439" i="5"/>
  <c r="BR436" i="5"/>
  <c r="BQ436" i="5"/>
  <c r="BT435" i="5"/>
  <c r="AK438" i="5"/>
  <c r="AH438" i="5"/>
  <c r="AO436" i="5"/>
  <c r="BN436" i="5"/>
  <c r="AP436" i="5"/>
  <c r="BO436" i="5"/>
  <c r="BG439" i="5"/>
  <c r="BL439" i="5"/>
  <c r="BF439" i="5"/>
  <c r="BE439" i="5"/>
  <c r="BD440" i="5"/>
  <c r="BT436" i="5" l="1"/>
  <c r="BF440" i="5"/>
  <c r="BE440" i="5"/>
  <c r="BL440" i="5"/>
  <c r="BD441" i="5"/>
  <c r="BG440" i="5"/>
  <c r="AK439" i="5"/>
  <c r="AH439" i="5"/>
  <c r="AO437" i="5"/>
  <c r="BN437" i="5"/>
  <c r="BU436" i="5"/>
  <c r="AQ438" i="5"/>
  <c r="AN438" i="5"/>
  <c r="BM438" i="5"/>
  <c r="AJ438" i="5"/>
  <c r="AI438" i="5"/>
  <c r="BR437" i="5"/>
  <c r="BQ437" i="5"/>
  <c r="BP438" i="5"/>
  <c r="AM438" i="5"/>
  <c r="AL438" i="5"/>
  <c r="AG440" i="5"/>
  <c r="AB440" i="5"/>
  <c r="Y441" i="5"/>
  <c r="AA440" i="5"/>
  <c r="Z440" i="5"/>
  <c r="AP437" i="5"/>
  <c r="BO437" i="5"/>
  <c r="BS437" i="5"/>
  <c r="BV437" i="5"/>
  <c r="AO438" i="5" l="1"/>
  <c r="BN438" i="5"/>
  <c r="BU437" i="5"/>
  <c r="AP438" i="5"/>
  <c r="BO438" i="5"/>
  <c r="AB441" i="5"/>
  <c r="AG441" i="5"/>
  <c r="AA441" i="5"/>
  <c r="Z441" i="5"/>
  <c r="Y442" i="5"/>
  <c r="BV438" i="5"/>
  <c r="BS438" i="5"/>
  <c r="AK440" i="5"/>
  <c r="AH440" i="5"/>
  <c r="BD442" i="5"/>
  <c r="BL441" i="5"/>
  <c r="BG441" i="5"/>
  <c r="BF441" i="5"/>
  <c r="BE441" i="5"/>
  <c r="BT437" i="5"/>
  <c r="BR438" i="5"/>
  <c r="BQ438" i="5"/>
  <c r="AN439" i="5"/>
  <c r="AQ439" i="5"/>
  <c r="BM439" i="5"/>
  <c r="AJ439" i="5"/>
  <c r="AI439" i="5"/>
  <c r="BP439" i="5"/>
  <c r="AM439" i="5"/>
  <c r="AL439" i="5"/>
  <c r="BP440" i="5" l="1"/>
  <c r="AM440" i="5"/>
  <c r="AL440" i="5"/>
  <c r="BR439" i="5"/>
  <c r="BQ439" i="5"/>
  <c r="AO439" i="5"/>
  <c r="BN439" i="5"/>
  <c r="AP439" i="5"/>
  <c r="BO439" i="5"/>
  <c r="BV439" i="5"/>
  <c r="BS439" i="5"/>
  <c r="AH441" i="5"/>
  <c r="AK441" i="5"/>
  <c r="BU438" i="5"/>
  <c r="AA442" i="5"/>
  <c r="Z442" i="5"/>
  <c r="Y443" i="5"/>
  <c r="AG442" i="5"/>
  <c r="AB442" i="5"/>
  <c r="BT438" i="5"/>
  <c r="BG442" i="5"/>
  <c r="BE442" i="5"/>
  <c r="BL442" i="5"/>
  <c r="BF442" i="5"/>
  <c r="BD443" i="5"/>
  <c r="AN440" i="5"/>
  <c r="AQ440" i="5"/>
  <c r="BM440" i="5"/>
  <c r="AJ440" i="5"/>
  <c r="AI440" i="5"/>
  <c r="CA438" i="5" l="1"/>
  <c r="BW438" i="5" s="1"/>
  <c r="AP440" i="5"/>
  <c r="BO440" i="5"/>
  <c r="BS440" i="5"/>
  <c r="BV440" i="5"/>
  <c r="AK442" i="5"/>
  <c r="AH442" i="5"/>
  <c r="Y444" i="5"/>
  <c r="AV443" i="5"/>
  <c r="AG443" i="5"/>
  <c r="AB443" i="5"/>
  <c r="AA443" i="5"/>
  <c r="Z443" i="5"/>
  <c r="AV441" i="5"/>
  <c r="AV439" i="5"/>
  <c r="AR439" i="5" s="1"/>
  <c r="AV435" i="5"/>
  <c r="AR435" i="5" s="1"/>
  <c r="BT439" i="5"/>
  <c r="BP441" i="5"/>
  <c r="AM441" i="5"/>
  <c r="AL441" i="5"/>
  <c r="AQ441" i="5"/>
  <c r="AN441" i="5"/>
  <c r="BM441" i="5"/>
  <c r="AJ441" i="5"/>
  <c r="AI441" i="5"/>
  <c r="AO440" i="5"/>
  <c r="BN440" i="5"/>
  <c r="BR440" i="5"/>
  <c r="BQ440" i="5"/>
  <c r="CA443" i="5"/>
  <c r="BL443" i="5"/>
  <c r="BG443" i="5"/>
  <c r="BD444" i="5"/>
  <c r="BF443" i="5"/>
  <c r="BE443" i="5"/>
  <c r="CA441" i="5"/>
  <c r="CA439" i="5"/>
  <c r="BW439" i="5" s="1"/>
  <c r="CA435" i="5"/>
  <c r="BW435" i="5" s="1"/>
  <c r="CA437" i="5"/>
  <c r="BW437" i="5" s="1"/>
  <c r="BU439" i="5"/>
  <c r="BR441" i="5" l="1"/>
  <c r="BQ441" i="5"/>
  <c r="BT440" i="5"/>
  <c r="AB444" i="5"/>
  <c r="Z444" i="5"/>
  <c r="Y445" i="5"/>
  <c r="AG444" i="5"/>
  <c r="AV444" i="5"/>
  <c r="AA444" i="5"/>
  <c r="AV442" i="5"/>
  <c r="AV440" i="5"/>
  <c r="AR440" i="5" s="1"/>
  <c r="AV437" i="5"/>
  <c r="AR437" i="5" s="1"/>
  <c r="AV438" i="5"/>
  <c r="AR438" i="5" s="1"/>
  <c r="AV436" i="5"/>
  <c r="AR436" i="5" s="1"/>
  <c r="AN442" i="5"/>
  <c r="AQ442" i="5"/>
  <c r="BM442" i="5"/>
  <c r="AJ442" i="5"/>
  <c r="AI442" i="5"/>
  <c r="BP442" i="5"/>
  <c r="AM442" i="5"/>
  <c r="AL442" i="5"/>
  <c r="AR441" i="5"/>
  <c r="AO441" i="5"/>
  <c r="BN441" i="5"/>
  <c r="BU440" i="5"/>
  <c r="AP441" i="5"/>
  <c r="BO441" i="5"/>
  <c r="BF444" i="5"/>
  <c r="BL444" i="5"/>
  <c r="BD445" i="5"/>
  <c r="BG444" i="5"/>
  <c r="BE444" i="5"/>
  <c r="CA444" i="5"/>
  <c r="CA442" i="5"/>
  <c r="CA436" i="5"/>
  <c r="BW436" i="5" s="1"/>
  <c r="CA440" i="5"/>
  <c r="BW440" i="5" s="1"/>
  <c r="BV441" i="5"/>
  <c r="BS441" i="5"/>
  <c r="AK443" i="5"/>
  <c r="AH443" i="5"/>
  <c r="AO442" i="5" l="1"/>
  <c r="AR442" i="5"/>
  <c r="BN442" i="5"/>
  <c r="BR442" i="5"/>
  <c r="BQ442" i="5"/>
  <c r="BU441" i="5"/>
  <c r="AP442" i="5"/>
  <c r="BO442" i="5"/>
  <c r="BV442" i="5"/>
  <c r="BS442" i="5"/>
  <c r="AK444" i="5"/>
  <c r="AH444" i="5"/>
  <c r="AB445" i="5"/>
  <c r="AA445" i="5"/>
  <c r="Y446" i="5"/>
  <c r="Z445" i="5"/>
  <c r="AG445" i="5"/>
  <c r="BW441" i="5"/>
  <c r="BT441" i="5"/>
  <c r="AQ443" i="5"/>
  <c r="AN443" i="5"/>
  <c r="BM443" i="5"/>
  <c r="AJ443" i="5"/>
  <c r="AI443" i="5"/>
  <c r="BP443" i="5"/>
  <c r="AM443" i="5"/>
  <c r="AL443" i="5"/>
  <c r="BE445" i="5"/>
  <c r="BL445" i="5"/>
  <c r="BG445" i="5"/>
  <c r="BF445" i="5"/>
  <c r="BD446" i="5"/>
  <c r="BU442" i="5" l="1"/>
  <c r="BR443" i="5"/>
  <c r="BQ443" i="5"/>
  <c r="AP443" i="5"/>
  <c r="BO443" i="5"/>
  <c r="AB446" i="5"/>
  <c r="AG446" i="5"/>
  <c r="AA446" i="5"/>
  <c r="Z446" i="5"/>
  <c r="Y447" i="5"/>
  <c r="AH445" i="5"/>
  <c r="AK445" i="5"/>
  <c r="BD447" i="5"/>
  <c r="BL446" i="5"/>
  <c r="BG446" i="5"/>
  <c r="BF446" i="5"/>
  <c r="BE446" i="5"/>
  <c r="BS443" i="5"/>
  <c r="BV443" i="5"/>
  <c r="AR443" i="5"/>
  <c r="AO443" i="5"/>
  <c r="BN443" i="5"/>
  <c r="BW442" i="5"/>
  <c r="BT442" i="5"/>
  <c r="AQ444" i="5"/>
  <c r="AN444" i="5"/>
  <c r="BM444" i="5"/>
  <c r="AJ444" i="5"/>
  <c r="AI444" i="5"/>
  <c r="BP444" i="5"/>
  <c r="AM444" i="5"/>
  <c r="AL444" i="5"/>
  <c r="AR444" i="5" l="1"/>
  <c r="AO444" i="5"/>
  <c r="BN444" i="5"/>
  <c r="AP444" i="5"/>
  <c r="BO444" i="5"/>
  <c r="BV444" i="5"/>
  <c r="BS444" i="5"/>
  <c r="BT443" i="5"/>
  <c r="BW443" i="5"/>
  <c r="AH446" i="5"/>
  <c r="AK446" i="5"/>
  <c r="BG447" i="5"/>
  <c r="BE447" i="5"/>
  <c r="BL447" i="5"/>
  <c r="BF447" i="5"/>
  <c r="BD448" i="5"/>
  <c r="BU443" i="5"/>
  <c r="BR444" i="5"/>
  <c r="BQ444" i="5"/>
  <c r="AL445" i="5"/>
  <c r="BP445" i="5"/>
  <c r="AM445" i="5"/>
  <c r="AI445" i="5"/>
  <c r="AQ445" i="5"/>
  <c r="AN445" i="5"/>
  <c r="AI446" i="5"/>
  <c r="BM445" i="5"/>
  <c r="AJ445" i="5"/>
  <c r="Y448" i="5"/>
  <c r="AA447" i="5"/>
  <c r="Z447" i="5"/>
  <c r="AG447" i="5"/>
  <c r="AB447" i="5"/>
  <c r="BP446" i="5" l="1"/>
  <c r="BR446" i="5" s="1"/>
  <c r="AM446" i="5"/>
  <c r="BN446" i="5"/>
  <c r="BF448" i="5"/>
  <c r="BD449" i="5"/>
  <c r="BL448" i="5"/>
  <c r="BG448" i="5"/>
  <c r="BE448" i="5"/>
  <c r="BQ445" i="5"/>
  <c r="BQ446" i="5"/>
  <c r="BR445" i="5"/>
  <c r="Y449" i="5"/>
  <c r="AG448" i="5"/>
  <c r="AB448" i="5"/>
  <c r="AA448" i="5"/>
  <c r="Z448" i="5"/>
  <c r="AP445" i="5"/>
  <c r="BO445" i="5"/>
  <c r="BU444" i="5"/>
  <c r="AL446" i="5"/>
  <c r="AO446" i="5" s="1"/>
  <c r="AO445" i="5"/>
  <c r="BN445" i="5"/>
  <c r="BT444" i="5"/>
  <c r="BW444" i="5"/>
  <c r="BS445" i="5"/>
  <c r="BV445" i="5"/>
  <c r="AK447" i="5"/>
  <c r="AH447" i="5"/>
  <c r="AQ446" i="5"/>
  <c r="AN446" i="5"/>
  <c r="BM446" i="5"/>
  <c r="AJ446" i="5"/>
  <c r="BT446" i="5" l="1"/>
  <c r="AK448" i="5"/>
  <c r="AH448" i="5"/>
  <c r="BT445" i="5"/>
  <c r="AP446" i="5"/>
  <c r="BO446" i="5"/>
  <c r="BU445" i="5"/>
  <c r="AB449" i="5"/>
  <c r="Z449" i="5"/>
  <c r="Y450" i="5"/>
  <c r="AG449" i="5"/>
  <c r="AA449" i="5"/>
  <c r="BV446" i="5"/>
  <c r="BS446" i="5"/>
  <c r="AL447" i="5"/>
  <c r="BF449" i="5"/>
  <c r="BL449" i="5"/>
  <c r="BD450" i="5"/>
  <c r="BG449" i="5"/>
  <c r="BE449" i="5"/>
  <c r="AN447" i="5"/>
  <c r="AQ447" i="5"/>
  <c r="BM447" i="5"/>
  <c r="AJ447" i="5"/>
  <c r="AI448" i="5"/>
  <c r="AI447" i="5"/>
  <c r="BP447" i="5"/>
  <c r="AM447" i="5"/>
  <c r="AL448" i="5"/>
  <c r="BR447" i="5" l="1"/>
  <c r="BQ447" i="5"/>
  <c r="AO448" i="5"/>
  <c r="BN448" i="5"/>
  <c r="AA450" i="5"/>
  <c r="Y451" i="5"/>
  <c r="AG450" i="5"/>
  <c r="AB450" i="5"/>
  <c r="Z450" i="5"/>
  <c r="AO447" i="5"/>
  <c r="BN447" i="5"/>
  <c r="BE450" i="5"/>
  <c r="BD451" i="5"/>
  <c r="BL450" i="5"/>
  <c r="BG450" i="5"/>
  <c r="BF450" i="5"/>
  <c r="AP447" i="5"/>
  <c r="BO447" i="5"/>
  <c r="AQ448" i="5"/>
  <c r="AN448" i="5"/>
  <c r="BM448" i="5"/>
  <c r="AJ448" i="5"/>
  <c r="BP448" i="5"/>
  <c r="BR448" i="5" s="1"/>
  <c r="AM448" i="5"/>
  <c r="BV447" i="5"/>
  <c r="BS447" i="5"/>
  <c r="BU446" i="5"/>
  <c r="AH449" i="5"/>
  <c r="AK449" i="5"/>
  <c r="BT447" i="5" l="1"/>
  <c r="AA451" i="5"/>
  <c r="AG451" i="5"/>
  <c r="Y452" i="5"/>
  <c r="AB451" i="5"/>
  <c r="Z451" i="5"/>
  <c r="AP448" i="5"/>
  <c r="BO448" i="5"/>
  <c r="BQ448" i="5"/>
  <c r="BT448" i="5" s="1"/>
  <c r="BD452" i="5"/>
  <c r="BF451" i="5"/>
  <c r="BE451" i="5"/>
  <c r="BL451" i="5"/>
  <c r="BG451" i="5"/>
  <c r="BV448" i="5"/>
  <c r="BS448" i="5"/>
  <c r="BP449" i="5"/>
  <c r="BR449" i="5" s="1"/>
  <c r="AM449" i="5"/>
  <c r="AL449" i="5"/>
  <c r="BU447" i="5"/>
  <c r="AQ449" i="5"/>
  <c r="AN449" i="5"/>
  <c r="BM449" i="5"/>
  <c r="AJ449" i="5"/>
  <c r="AI450" i="5"/>
  <c r="AI449" i="5"/>
  <c r="AH450" i="5"/>
  <c r="AK450" i="5"/>
  <c r="AO450" i="5" l="1"/>
  <c r="BN450" i="5"/>
  <c r="BP450" i="5"/>
  <c r="AM450" i="5"/>
  <c r="BU448" i="5"/>
  <c r="AL450" i="5"/>
  <c r="BQ449" i="5"/>
  <c r="Z452" i="5"/>
  <c r="Y453" i="5"/>
  <c r="AG452" i="5"/>
  <c r="AB452" i="5"/>
  <c r="AA452" i="5"/>
  <c r="AI451" i="5"/>
  <c r="BL452" i="5"/>
  <c r="BG452" i="5"/>
  <c r="BF452" i="5"/>
  <c r="BE452" i="5"/>
  <c r="BD453" i="5"/>
  <c r="AK451" i="5"/>
  <c r="AL451" i="5" s="1"/>
  <c r="AH451" i="5"/>
  <c r="AP449" i="5"/>
  <c r="BO449" i="5"/>
  <c r="AQ450" i="5"/>
  <c r="AN450" i="5"/>
  <c r="BM450" i="5"/>
  <c r="AJ450" i="5"/>
  <c r="BV449" i="5"/>
  <c r="BS449" i="5"/>
  <c r="AO449" i="5"/>
  <c r="BN449" i="5"/>
  <c r="BR450" i="5" l="1"/>
  <c r="BQ450" i="5"/>
  <c r="BT450" i="5" s="1"/>
  <c r="BL453" i="5"/>
  <c r="BE453" i="5"/>
  <c r="BD454" i="5"/>
  <c r="BG453" i="5"/>
  <c r="BF453" i="5"/>
  <c r="BU449" i="5"/>
  <c r="AK452" i="5"/>
  <c r="AH452" i="5"/>
  <c r="AI452" i="5" s="1"/>
  <c r="AP450" i="5"/>
  <c r="BO450" i="5"/>
  <c r="BV450" i="5"/>
  <c r="BS450" i="5"/>
  <c r="AQ451" i="5"/>
  <c r="AN451" i="5"/>
  <c r="BM451" i="5"/>
  <c r="AJ451" i="5"/>
  <c r="Y454" i="5"/>
  <c r="Z453" i="5"/>
  <c r="AG453" i="5"/>
  <c r="AB453" i="5"/>
  <c r="AA453" i="5"/>
  <c r="BP451" i="5"/>
  <c r="AM451" i="5"/>
  <c r="AO451" i="5"/>
  <c r="BN451" i="5"/>
  <c r="BT449" i="5"/>
  <c r="BN452" i="5" l="1"/>
  <c r="AP451" i="5"/>
  <c r="BO451" i="5"/>
  <c r="BP452" i="5"/>
  <c r="BR452" i="5" s="1"/>
  <c r="AM452" i="5"/>
  <c r="AL452" i="5"/>
  <c r="AO452" i="5" s="1"/>
  <c r="BV451" i="5"/>
  <c r="BS451" i="5"/>
  <c r="BT451" i="5"/>
  <c r="BQ451" i="5"/>
  <c r="AH453" i="5"/>
  <c r="AK453" i="5"/>
  <c r="BE454" i="5"/>
  <c r="BD455" i="5"/>
  <c r="BF454" i="5"/>
  <c r="BL454" i="5"/>
  <c r="BG454" i="5"/>
  <c r="BU450" i="5"/>
  <c r="AG454" i="5"/>
  <c r="AB454" i="5"/>
  <c r="AA454" i="5"/>
  <c r="Y455" i="5"/>
  <c r="Z454" i="5"/>
  <c r="BR451" i="5"/>
  <c r="BQ452" i="5"/>
  <c r="AQ452" i="5"/>
  <c r="AN452" i="5"/>
  <c r="BM452" i="5"/>
  <c r="AJ452" i="5"/>
  <c r="BP453" i="5" l="1"/>
  <c r="AM453" i="5"/>
  <c r="AL453" i="5"/>
  <c r="AQ453" i="5"/>
  <c r="AN453" i="5"/>
  <c r="BM453" i="5"/>
  <c r="AJ453" i="5"/>
  <c r="AI453" i="5"/>
  <c r="AG455" i="5"/>
  <c r="Z455" i="5"/>
  <c r="AA455" i="5"/>
  <c r="Y456" i="5"/>
  <c r="AB455" i="5"/>
  <c r="BU451" i="5"/>
  <c r="AP452" i="5"/>
  <c r="BO452" i="5"/>
  <c r="BS452" i="5"/>
  <c r="BV452" i="5"/>
  <c r="BT452" i="5"/>
  <c r="BG455" i="5"/>
  <c r="BD456" i="5"/>
  <c r="BL455" i="5"/>
  <c r="BF455" i="5"/>
  <c r="BE455" i="5"/>
  <c r="AH454" i="5"/>
  <c r="AK454" i="5"/>
  <c r="BP454" i="5" l="1"/>
  <c r="AM454" i="5"/>
  <c r="AL454" i="5"/>
  <c r="BG456" i="5"/>
  <c r="BL456" i="5"/>
  <c r="BF456" i="5"/>
  <c r="BD457" i="5"/>
  <c r="BE456" i="5"/>
  <c r="AQ454" i="5"/>
  <c r="AN454" i="5"/>
  <c r="BM454" i="5"/>
  <c r="AJ454" i="5"/>
  <c r="AI454" i="5"/>
  <c r="AK455" i="5"/>
  <c r="AH455" i="5"/>
  <c r="AO453" i="5"/>
  <c r="BN453" i="5"/>
  <c r="AP453" i="5"/>
  <c r="BO453" i="5"/>
  <c r="BS453" i="5"/>
  <c r="BV453" i="5"/>
  <c r="Z456" i="5"/>
  <c r="AA456" i="5"/>
  <c r="Y457" i="5"/>
  <c r="AG456" i="5"/>
  <c r="AB456" i="5"/>
  <c r="BU452" i="5"/>
  <c r="BR453" i="5"/>
  <c r="BQ453" i="5"/>
  <c r="AN455" i="5" l="1"/>
  <c r="AQ455" i="5"/>
  <c r="BM455" i="5"/>
  <c r="AJ455" i="5"/>
  <c r="AI455" i="5"/>
  <c r="BP455" i="5"/>
  <c r="AM455" i="5"/>
  <c r="AL455" i="5"/>
  <c r="AO454" i="5"/>
  <c r="BN454" i="5"/>
  <c r="AP454" i="5"/>
  <c r="BO454" i="5"/>
  <c r="BS454" i="5"/>
  <c r="BV454" i="5"/>
  <c r="BL457" i="5"/>
  <c r="BG457" i="5"/>
  <c r="BD458" i="5"/>
  <c r="BF457" i="5"/>
  <c r="BE457" i="5"/>
  <c r="AH456" i="5"/>
  <c r="AK456" i="5"/>
  <c r="Z457" i="5"/>
  <c r="AB457" i="5"/>
  <c r="AA457" i="5"/>
  <c r="Y458" i="5"/>
  <c r="AG457" i="5"/>
  <c r="BU453" i="5"/>
  <c r="BT453" i="5"/>
  <c r="BR454" i="5"/>
  <c r="BQ454" i="5"/>
  <c r="BE458" i="5" l="1"/>
  <c r="BD459" i="5"/>
  <c r="BG458" i="5"/>
  <c r="BF458" i="5"/>
  <c r="BL458" i="5"/>
  <c r="BP456" i="5"/>
  <c r="AM456" i="5"/>
  <c r="AL456" i="5"/>
  <c r="AN456" i="5"/>
  <c r="AQ456" i="5"/>
  <c r="BM456" i="5"/>
  <c r="AJ456" i="5"/>
  <c r="AI456" i="5"/>
  <c r="BR455" i="5"/>
  <c r="BQ455" i="5"/>
  <c r="AO455" i="5"/>
  <c r="BN455" i="5"/>
  <c r="AP455" i="5"/>
  <c r="BO455" i="5"/>
  <c r="BU454" i="5"/>
  <c r="BV455" i="5"/>
  <c r="BS455" i="5"/>
  <c r="AB458" i="5"/>
  <c r="Y459" i="5"/>
  <c r="AG458" i="5"/>
  <c r="AA458" i="5"/>
  <c r="Z458" i="5"/>
  <c r="AH457" i="5"/>
  <c r="AK457" i="5"/>
  <c r="BT454" i="5"/>
  <c r="BP457" i="5" l="1"/>
  <c r="AM457" i="5"/>
  <c r="AL457" i="5"/>
  <c r="AO456" i="5"/>
  <c r="BN456" i="5"/>
  <c r="BU455" i="5"/>
  <c r="AH458" i="5"/>
  <c r="AK458" i="5"/>
  <c r="BT455" i="5"/>
  <c r="BR456" i="5"/>
  <c r="BQ456" i="5"/>
  <c r="AP456" i="5"/>
  <c r="BO456" i="5"/>
  <c r="BD460" i="5"/>
  <c r="BG459" i="5"/>
  <c r="BF459" i="5"/>
  <c r="BL459" i="5"/>
  <c r="BE459" i="5"/>
  <c r="AQ457" i="5"/>
  <c r="AN457" i="5"/>
  <c r="BM457" i="5"/>
  <c r="AJ457" i="5"/>
  <c r="AI457" i="5"/>
  <c r="BV456" i="5"/>
  <c r="BS456" i="5"/>
  <c r="AG459" i="5"/>
  <c r="AB459" i="5"/>
  <c r="Y460" i="5"/>
  <c r="AA459" i="5"/>
  <c r="Z459" i="5"/>
  <c r="AO457" i="5" l="1"/>
  <c r="BN457" i="5"/>
  <c r="BP458" i="5"/>
  <c r="AM458" i="5"/>
  <c r="AL458" i="5"/>
  <c r="AP457" i="5"/>
  <c r="BO457" i="5"/>
  <c r="AQ458" i="5"/>
  <c r="AN458" i="5"/>
  <c r="BM458" i="5"/>
  <c r="AJ458" i="5"/>
  <c r="AI458" i="5"/>
  <c r="BS457" i="5"/>
  <c r="BV457" i="5"/>
  <c r="BG460" i="5"/>
  <c r="BL460" i="5"/>
  <c r="BD461" i="5"/>
  <c r="BF460" i="5"/>
  <c r="BE460" i="5"/>
  <c r="BT456" i="5"/>
  <c r="BU456" i="5"/>
  <c r="Z460" i="5"/>
  <c r="Y461" i="5"/>
  <c r="AB460" i="5"/>
  <c r="AG460" i="5"/>
  <c r="AA460" i="5"/>
  <c r="AH459" i="5"/>
  <c r="AK459" i="5"/>
  <c r="BR457" i="5"/>
  <c r="BQ457" i="5"/>
  <c r="AK460" i="5" l="1"/>
  <c r="AH460" i="5"/>
  <c r="BP459" i="5"/>
  <c r="AM459" i="5"/>
  <c r="AL459" i="5"/>
  <c r="Y462" i="5"/>
  <c r="AA461" i="5"/>
  <c r="AG461" i="5"/>
  <c r="AB461" i="5"/>
  <c r="Z461" i="5"/>
  <c r="AQ459" i="5"/>
  <c r="AN459" i="5"/>
  <c r="BM459" i="5"/>
  <c r="AJ459" i="5"/>
  <c r="AI459" i="5"/>
  <c r="BU457" i="5"/>
  <c r="BL461" i="5"/>
  <c r="BG461" i="5"/>
  <c r="BE461" i="5"/>
  <c r="BD462" i="5"/>
  <c r="BF461" i="5"/>
  <c r="BR458" i="5"/>
  <c r="BQ458" i="5"/>
  <c r="BT457" i="5"/>
  <c r="AO458" i="5"/>
  <c r="BN458" i="5"/>
  <c r="AP458" i="5"/>
  <c r="BO458" i="5"/>
  <c r="BS458" i="5"/>
  <c r="BV458" i="5"/>
  <c r="BU458" i="5" l="1"/>
  <c r="BT458" i="5"/>
  <c r="BS459" i="5"/>
  <c r="BV459" i="5"/>
  <c r="AH461" i="5"/>
  <c r="AK461" i="5"/>
  <c r="BD463" i="5"/>
  <c r="BF462" i="5"/>
  <c r="BG462" i="5"/>
  <c r="BE462" i="5"/>
  <c r="BL462" i="5"/>
  <c r="AB462" i="5"/>
  <c r="AG462" i="5"/>
  <c r="Y463" i="5"/>
  <c r="Z462" i="5"/>
  <c r="AA462" i="5"/>
  <c r="BR459" i="5"/>
  <c r="BQ459" i="5"/>
  <c r="AN460" i="5"/>
  <c r="AQ460" i="5"/>
  <c r="BM460" i="5"/>
  <c r="AJ460" i="5"/>
  <c r="AI460" i="5"/>
  <c r="AO459" i="5"/>
  <c r="BN459" i="5"/>
  <c r="BP460" i="5"/>
  <c r="AM460" i="5"/>
  <c r="AL460" i="5"/>
  <c r="AP459" i="5"/>
  <c r="BO459" i="5"/>
  <c r="BF463" i="5" l="1"/>
  <c r="BD464" i="5"/>
  <c r="BL463" i="5"/>
  <c r="BG463" i="5"/>
  <c r="BE463" i="5"/>
  <c r="BP461" i="5"/>
  <c r="AM461" i="5"/>
  <c r="AL461" i="5"/>
  <c r="BR460" i="5"/>
  <c r="BQ460" i="5"/>
  <c r="BT459" i="5"/>
  <c r="AQ461" i="5"/>
  <c r="AN461" i="5"/>
  <c r="BM461" i="5"/>
  <c r="AJ461" i="5"/>
  <c r="AI461" i="5"/>
  <c r="BV460" i="5"/>
  <c r="BS460" i="5"/>
  <c r="BU459" i="5"/>
  <c r="AG463" i="5"/>
  <c r="AB463" i="5"/>
  <c r="AA463" i="5"/>
  <c r="Z463" i="5"/>
  <c r="Y464" i="5"/>
  <c r="AO460" i="5"/>
  <c r="BN460" i="5"/>
  <c r="AP460" i="5"/>
  <c r="BO460" i="5"/>
  <c r="AK462" i="5"/>
  <c r="AH462" i="5"/>
  <c r="AK463" i="5" l="1"/>
  <c r="AH463" i="5"/>
  <c r="AQ462" i="5"/>
  <c r="AN462" i="5"/>
  <c r="BM462" i="5"/>
  <c r="AJ462" i="5"/>
  <c r="AI462" i="5"/>
  <c r="BP462" i="5"/>
  <c r="AM462" i="5"/>
  <c r="AL462" i="5"/>
  <c r="BU460" i="5"/>
  <c r="BR461" i="5"/>
  <c r="BQ461" i="5"/>
  <c r="BD465" i="5"/>
  <c r="BL464" i="5"/>
  <c r="BF464" i="5"/>
  <c r="BG464" i="5"/>
  <c r="BE464" i="5"/>
  <c r="AO461" i="5"/>
  <c r="BN461" i="5"/>
  <c r="BT460" i="5"/>
  <c r="Y465" i="5"/>
  <c r="AA464" i="5"/>
  <c r="Z464" i="5"/>
  <c r="AG464" i="5"/>
  <c r="AB464" i="5"/>
  <c r="AP461" i="5"/>
  <c r="BO461" i="5"/>
  <c r="BS461" i="5"/>
  <c r="BV461" i="5"/>
  <c r="BU461" i="5" l="1"/>
  <c r="BR462" i="5"/>
  <c r="BQ462" i="5"/>
  <c r="AA465" i="5"/>
  <c r="Y466" i="5"/>
  <c r="AG465" i="5"/>
  <c r="AB465" i="5"/>
  <c r="Z465" i="5"/>
  <c r="BT461" i="5"/>
  <c r="AO462" i="5"/>
  <c r="BN462" i="5"/>
  <c r="AP462" i="5"/>
  <c r="BO462" i="5"/>
  <c r="BV462" i="5"/>
  <c r="BS462" i="5"/>
  <c r="AK464" i="5"/>
  <c r="AH464" i="5"/>
  <c r="BF465" i="5"/>
  <c r="BL465" i="5"/>
  <c r="BG465" i="5"/>
  <c r="BE465" i="5"/>
  <c r="BD466" i="5"/>
  <c r="AN463" i="5"/>
  <c r="AQ463" i="5"/>
  <c r="BM463" i="5"/>
  <c r="AJ463" i="5"/>
  <c r="AI463" i="5"/>
  <c r="BP463" i="5"/>
  <c r="AM463" i="5"/>
  <c r="AL463" i="5"/>
  <c r="BP464" i="5" l="1"/>
  <c r="AM464" i="5"/>
  <c r="AL464" i="5"/>
  <c r="AH465" i="5"/>
  <c r="AK465" i="5"/>
  <c r="Y467" i="5"/>
  <c r="AG466" i="5"/>
  <c r="AB466" i="5"/>
  <c r="AA466" i="5"/>
  <c r="Z466" i="5"/>
  <c r="BR463" i="5"/>
  <c r="BQ463" i="5"/>
  <c r="BL466" i="5"/>
  <c r="BG466" i="5"/>
  <c r="BE466" i="5"/>
  <c r="BD467" i="5"/>
  <c r="BF466" i="5"/>
  <c r="BU462" i="5"/>
  <c r="AP463" i="5"/>
  <c r="BO463" i="5"/>
  <c r="BV463" i="5"/>
  <c r="BS463" i="5"/>
  <c r="AQ464" i="5"/>
  <c r="AN464" i="5"/>
  <c r="BM464" i="5"/>
  <c r="AJ464" i="5"/>
  <c r="AI464" i="5"/>
  <c r="AO463" i="5"/>
  <c r="BN463" i="5"/>
  <c r="BT462" i="5"/>
  <c r="BE467" i="5" l="1"/>
  <c r="BG467" i="5"/>
  <c r="BD468" i="5"/>
  <c r="BL467" i="5"/>
  <c r="BF467" i="5"/>
  <c r="BU463" i="5"/>
  <c r="BT463" i="5"/>
  <c r="AH466" i="5"/>
  <c r="AK466" i="5"/>
  <c r="AA467" i="5"/>
  <c r="AB467" i="5"/>
  <c r="Y468" i="5"/>
  <c r="AG467" i="5"/>
  <c r="Z467" i="5"/>
  <c r="AO464" i="5"/>
  <c r="BN464" i="5"/>
  <c r="AP464" i="5"/>
  <c r="BO464" i="5"/>
  <c r="BV464" i="5"/>
  <c r="BS464" i="5"/>
  <c r="BP465" i="5"/>
  <c r="AM465" i="5"/>
  <c r="AL465" i="5"/>
  <c r="AQ465" i="5"/>
  <c r="AN465" i="5"/>
  <c r="BM465" i="5"/>
  <c r="AJ465" i="5"/>
  <c r="AI465" i="5"/>
  <c r="BR464" i="5"/>
  <c r="BQ464" i="5"/>
  <c r="AQ466" i="5" l="1"/>
  <c r="AN466" i="5"/>
  <c r="BM466" i="5"/>
  <c r="AJ466" i="5"/>
  <c r="AI466" i="5"/>
  <c r="AG468" i="5"/>
  <c r="AA468" i="5"/>
  <c r="Y469" i="5"/>
  <c r="AB468" i="5"/>
  <c r="Z468" i="5"/>
  <c r="BV465" i="5"/>
  <c r="BS465" i="5"/>
  <c r="AK467" i="5"/>
  <c r="AH467" i="5"/>
  <c r="BR465" i="5"/>
  <c r="BQ465" i="5"/>
  <c r="BE468" i="5"/>
  <c r="BL468" i="5"/>
  <c r="BG468" i="5"/>
  <c r="BF468" i="5"/>
  <c r="BD469" i="5"/>
  <c r="BP466" i="5"/>
  <c r="AM466" i="5"/>
  <c r="AL466" i="5"/>
  <c r="BU464" i="5"/>
  <c r="AO465" i="5"/>
  <c r="BN465" i="5"/>
  <c r="AP465" i="5"/>
  <c r="BO465" i="5"/>
  <c r="BT464" i="5"/>
  <c r="AK468" i="5" l="1"/>
  <c r="AH468" i="5"/>
  <c r="BL469" i="5"/>
  <c r="BG469" i="5"/>
  <c r="BF469" i="5"/>
  <c r="BD470" i="5"/>
  <c r="BE469" i="5"/>
  <c r="AO466" i="5"/>
  <c r="BN466" i="5"/>
  <c r="BT465" i="5"/>
  <c r="BP467" i="5"/>
  <c r="AM467" i="5"/>
  <c r="AL467" i="5"/>
  <c r="Z469" i="5"/>
  <c r="AB469" i="5"/>
  <c r="AA469" i="5"/>
  <c r="Y470" i="5"/>
  <c r="AG469" i="5"/>
  <c r="BR466" i="5"/>
  <c r="BQ466" i="5"/>
  <c r="BU465" i="5"/>
  <c r="AP466" i="5"/>
  <c r="BO466" i="5"/>
  <c r="BV466" i="5"/>
  <c r="BS466" i="5"/>
  <c r="AQ467" i="5"/>
  <c r="AN467" i="5"/>
  <c r="BM467" i="5"/>
  <c r="AJ467" i="5"/>
  <c r="AI467" i="5"/>
  <c r="BR467" i="5" l="1"/>
  <c r="BQ467" i="5"/>
  <c r="AO467" i="5"/>
  <c r="BN467" i="5"/>
  <c r="AK469" i="5"/>
  <c r="AH469" i="5"/>
  <c r="BT466" i="5"/>
  <c r="AP467" i="5"/>
  <c r="BO467" i="5"/>
  <c r="AB470" i="5"/>
  <c r="Z470" i="5"/>
  <c r="Y471" i="5"/>
  <c r="AG470" i="5"/>
  <c r="AA470" i="5"/>
  <c r="BE470" i="5"/>
  <c r="BF470" i="5"/>
  <c r="BD471" i="5"/>
  <c r="BG470" i="5"/>
  <c r="BL470" i="5"/>
  <c r="BU466" i="5"/>
  <c r="BV467" i="5"/>
  <c r="BS467" i="5"/>
  <c r="AQ468" i="5"/>
  <c r="AN468" i="5"/>
  <c r="BM468" i="5"/>
  <c r="AJ468" i="5"/>
  <c r="AI468" i="5"/>
  <c r="BP468" i="5"/>
  <c r="AM468" i="5"/>
  <c r="AL468" i="5"/>
  <c r="BU467" i="5" l="1"/>
  <c r="BD472" i="5"/>
  <c r="BG471" i="5"/>
  <c r="BF471" i="5"/>
  <c r="BE471" i="5"/>
  <c r="BL471" i="5"/>
  <c r="AQ469" i="5"/>
  <c r="AN469" i="5"/>
  <c r="BM469" i="5"/>
  <c r="AJ469" i="5"/>
  <c r="AI469" i="5"/>
  <c r="AH470" i="5"/>
  <c r="AK470" i="5"/>
  <c r="BP469" i="5"/>
  <c r="AM469" i="5"/>
  <c r="AL469" i="5"/>
  <c r="BT467" i="5"/>
  <c r="AG471" i="5"/>
  <c r="AB471" i="5"/>
  <c r="Y472" i="5"/>
  <c r="AA471" i="5"/>
  <c r="Z471" i="5"/>
  <c r="BR468" i="5"/>
  <c r="BQ468" i="5"/>
  <c r="AO468" i="5"/>
  <c r="BN468" i="5"/>
  <c r="AP468" i="5"/>
  <c r="BO468" i="5"/>
  <c r="BS468" i="5"/>
  <c r="BV468" i="5"/>
  <c r="Z472" i="5" l="1"/>
  <c r="Y473" i="5"/>
  <c r="AB472" i="5"/>
  <c r="AA472" i="5"/>
  <c r="AG472" i="5"/>
  <c r="AP469" i="5"/>
  <c r="BO469" i="5"/>
  <c r="BS469" i="5"/>
  <c r="BV469" i="5"/>
  <c r="AO469" i="5"/>
  <c r="BN469" i="5"/>
  <c r="BU468" i="5"/>
  <c r="AQ470" i="5"/>
  <c r="AN470" i="5"/>
  <c r="BM470" i="5"/>
  <c r="AJ470" i="5"/>
  <c r="AI470" i="5"/>
  <c r="AH471" i="5"/>
  <c r="AK471" i="5"/>
  <c r="BT468" i="5"/>
  <c r="BG472" i="5"/>
  <c r="BL472" i="5"/>
  <c r="BD473" i="5"/>
  <c r="BF472" i="5"/>
  <c r="BE472" i="5"/>
  <c r="BR469" i="5"/>
  <c r="BQ469" i="5"/>
  <c r="BP470" i="5"/>
  <c r="AM470" i="5"/>
  <c r="AL470" i="5"/>
  <c r="AP470" i="5" l="1"/>
  <c r="BO470" i="5"/>
  <c r="BU469" i="5"/>
  <c r="AO470" i="5"/>
  <c r="BN470" i="5"/>
  <c r="BS470" i="5"/>
  <c r="BV470" i="5"/>
  <c r="CA473" i="5"/>
  <c r="BL473" i="5"/>
  <c r="BG473" i="5"/>
  <c r="BE473" i="5"/>
  <c r="BD474" i="5"/>
  <c r="BF473" i="5"/>
  <c r="CA467" i="5"/>
  <c r="BW467" i="5" s="1"/>
  <c r="CA465" i="5"/>
  <c r="BW465" i="5" s="1"/>
  <c r="CA466" i="5"/>
  <c r="BW466" i="5" s="1"/>
  <c r="CA471" i="5"/>
  <c r="CA468" i="5"/>
  <c r="BW468" i="5" s="1"/>
  <c r="CA469" i="5"/>
  <c r="BW469" i="5" s="1"/>
  <c r="AK472" i="5"/>
  <c r="AH472" i="5"/>
  <c r="BR470" i="5"/>
  <c r="BQ470" i="5"/>
  <c r="BT469" i="5"/>
  <c r="BP471" i="5"/>
  <c r="AM471" i="5"/>
  <c r="AL471" i="5"/>
  <c r="AV473" i="5"/>
  <c r="Y474" i="5"/>
  <c r="AA473" i="5"/>
  <c r="AG473" i="5"/>
  <c r="AB473" i="5"/>
  <c r="Z473" i="5"/>
  <c r="AV466" i="5"/>
  <c r="AR466" i="5" s="1"/>
  <c r="AV467" i="5"/>
  <c r="AR467" i="5" s="1"/>
  <c r="AQ471" i="5"/>
  <c r="AN471" i="5"/>
  <c r="BM471" i="5"/>
  <c r="AJ471" i="5"/>
  <c r="AI471" i="5"/>
  <c r="BT470" i="5" l="1"/>
  <c r="AO471" i="5"/>
  <c r="BN471" i="5"/>
  <c r="AP471" i="5"/>
  <c r="BO471" i="5"/>
  <c r="BS471" i="5"/>
  <c r="BV471" i="5"/>
  <c r="AB474" i="5"/>
  <c r="AV474" i="5"/>
  <c r="AG474" i="5"/>
  <c r="Y475" i="5"/>
  <c r="AA474" i="5"/>
  <c r="Z474" i="5"/>
  <c r="AV469" i="5"/>
  <c r="AR469" i="5" s="1"/>
  <c r="AV472" i="5"/>
  <c r="AV470" i="5"/>
  <c r="AR470" i="5" s="1"/>
  <c r="AV468" i="5"/>
  <c r="AR468" i="5" s="1"/>
  <c r="BR471" i="5"/>
  <c r="BQ471" i="5"/>
  <c r="AN472" i="5"/>
  <c r="AQ472" i="5"/>
  <c r="BM472" i="5"/>
  <c r="AJ472" i="5"/>
  <c r="AI472" i="5"/>
  <c r="AV471" i="5"/>
  <c r="AR471" i="5" s="1"/>
  <c r="AH473" i="5"/>
  <c r="AK473" i="5"/>
  <c r="BP472" i="5"/>
  <c r="AM472" i="5"/>
  <c r="AL472" i="5"/>
  <c r="BD475" i="5"/>
  <c r="BF474" i="5"/>
  <c r="BG474" i="5"/>
  <c r="BE474" i="5"/>
  <c r="BL474" i="5"/>
  <c r="CA474" i="5"/>
  <c r="CA472" i="5"/>
  <c r="CA470" i="5"/>
  <c r="BW470" i="5" s="1"/>
  <c r="BU470" i="5"/>
  <c r="BU471" i="5" l="1"/>
  <c r="BR472" i="5"/>
  <c r="BQ472" i="5"/>
  <c r="AO472" i="5"/>
  <c r="AR472" i="5"/>
  <c r="BN472" i="5"/>
  <c r="AP472" i="5"/>
  <c r="BO472" i="5"/>
  <c r="BW471" i="5"/>
  <c r="BT471" i="5"/>
  <c r="BS472" i="5"/>
  <c r="BV472" i="5"/>
  <c r="BP473" i="5"/>
  <c r="AM473" i="5"/>
  <c r="AL473" i="5"/>
  <c r="AQ473" i="5"/>
  <c r="AN473" i="5"/>
  <c r="BM473" i="5"/>
  <c r="AJ473" i="5"/>
  <c r="AI473" i="5"/>
  <c r="Y476" i="5"/>
  <c r="AG475" i="5"/>
  <c r="AB475" i="5"/>
  <c r="AA475" i="5"/>
  <c r="Z475" i="5"/>
  <c r="BG475" i="5"/>
  <c r="BF475" i="5"/>
  <c r="BD476" i="5"/>
  <c r="BL475" i="5"/>
  <c r="BE475" i="5"/>
  <c r="AK474" i="5"/>
  <c r="AH474" i="5"/>
  <c r="BD477" i="5" l="1"/>
  <c r="BG476" i="5"/>
  <c r="BE476" i="5"/>
  <c r="BL476" i="5"/>
  <c r="BF476" i="5"/>
  <c r="AG476" i="5"/>
  <c r="AB476" i="5"/>
  <c r="AA476" i="5"/>
  <c r="Z476" i="5"/>
  <c r="Y477" i="5"/>
  <c r="AR473" i="5"/>
  <c r="AO473" i="5"/>
  <c r="BN473" i="5"/>
  <c r="BU472" i="5"/>
  <c r="AP473" i="5"/>
  <c r="BO473" i="5"/>
  <c r="BP474" i="5"/>
  <c r="AM474" i="5"/>
  <c r="AL474" i="5"/>
  <c r="AQ474" i="5"/>
  <c r="AN474" i="5"/>
  <c r="BM474" i="5"/>
  <c r="AJ474" i="5"/>
  <c r="AI474" i="5"/>
  <c r="BS473" i="5"/>
  <c r="BV473" i="5"/>
  <c r="BT472" i="5"/>
  <c r="BW472" i="5"/>
  <c r="BR473" i="5"/>
  <c r="BQ473" i="5"/>
  <c r="AK475" i="5"/>
  <c r="AH475" i="5"/>
  <c r="AO474" i="5" l="1"/>
  <c r="AR474" i="5"/>
  <c r="BN474" i="5"/>
  <c r="AP474" i="5"/>
  <c r="BO474" i="5"/>
  <c r="BW473" i="5"/>
  <c r="BT473" i="5"/>
  <c r="AH476" i="5"/>
  <c r="AK476" i="5"/>
  <c r="BV474" i="5"/>
  <c r="BS474" i="5"/>
  <c r="AN475" i="5"/>
  <c r="AQ475" i="5"/>
  <c r="AI475" i="5"/>
  <c r="BM475" i="5"/>
  <c r="AJ475" i="5"/>
  <c r="AL475" i="5"/>
  <c r="BP475" i="5"/>
  <c r="AM475" i="5"/>
  <c r="BU473" i="5"/>
  <c r="Z477" i="5"/>
  <c r="AA477" i="5"/>
  <c r="Y478" i="5"/>
  <c r="AB477" i="5"/>
  <c r="AG477" i="5"/>
  <c r="BR474" i="5"/>
  <c r="BQ474" i="5"/>
  <c r="BG477" i="5"/>
  <c r="BF477" i="5"/>
  <c r="BE477" i="5"/>
  <c r="BD478" i="5"/>
  <c r="BL477" i="5"/>
  <c r="BV475" i="5" l="1"/>
  <c r="BS475" i="5"/>
  <c r="BP476" i="5"/>
  <c r="BR476" i="5" s="1"/>
  <c r="AM476" i="5"/>
  <c r="BQ476" i="5"/>
  <c r="BQ475" i="5"/>
  <c r="BR475" i="5"/>
  <c r="AO475" i="5"/>
  <c r="BN475" i="5"/>
  <c r="AQ476" i="5"/>
  <c r="AN476" i="5"/>
  <c r="BM476" i="5"/>
  <c r="AJ476" i="5"/>
  <c r="AL477" i="5"/>
  <c r="BU474" i="5"/>
  <c r="AK477" i="5"/>
  <c r="AH477" i="5"/>
  <c r="AL476" i="5"/>
  <c r="AI477" i="5"/>
  <c r="BW474" i="5"/>
  <c r="BT474" i="5"/>
  <c r="BG478" i="5"/>
  <c r="BE478" i="5"/>
  <c r="BD479" i="5"/>
  <c r="BL478" i="5"/>
  <c r="BF478" i="5"/>
  <c r="Y479" i="5"/>
  <c r="AB478" i="5"/>
  <c r="AA478" i="5"/>
  <c r="Z478" i="5"/>
  <c r="AG478" i="5"/>
  <c r="AI476" i="5"/>
  <c r="AP475" i="5"/>
  <c r="BO475" i="5"/>
  <c r="BU475" i="5" l="1"/>
  <c r="AO476" i="5"/>
  <c r="BN476" i="5"/>
  <c r="AB479" i="5"/>
  <c r="AA479" i="5"/>
  <c r="Z479" i="5"/>
  <c r="Y480" i="5"/>
  <c r="AG479" i="5"/>
  <c r="AO477" i="5"/>
  <c r="BN477" i="5"/>
  <c r="AP476" i="5"/>
  <c r="BO476" i="5"/>
  <c r="BS476" i="5"/>
  <c r="BV476" i="5"/>
  <c r="AH478" i="5"/>
  <c r="AK478" i="5"/>
  <c r="AN477" i="5"/>
  <c r="AQ477" i="5"/>
  <c r="BM477" i="5"/>
  <c r="AJ477" i="5"/>
  <c r="BT475" i="5"/>
  <c r="BP477" i="5"/>
  <c r="AM477" i="5"/>
  <c r="BD480" i="5"/>
  <c r="BF479" i="5"/>
  <c r="BG479" i="5"/>
  <c r="BL479" i="5"/>
  <c r="BE479" i="5"/>
  <c r="AG480" i="5" l="1"/>
  <c r="AB480" i="5"/>
  <c r="Z480" i="5"/>
  <c r="Y481" i="5"/>
  <c r="AA480" i="5"/>
  <c r="AL478" i="5"/>
  <c r="BE480" i="5"/>
  <c r="BD481" i="5"/>
  <c r="BL480" i="5"/>
  <c r="BG480" i="5"/>
  <c r="BF480" i="5"/>
  <c r="BR477" i="5"/>
  <c r="BQ477" i="5"/>
  <c r="BT477" i="5" s="1"/>
  <c r="AP477" i="5"/>
  <c r="BO477" i="5"/>
  <c r="AI478" i="5"/>
  <c r="BV477" i="5"/>
  <c r="BS477" i="5"/>
  <c r="AI479" i="5"/>
  <c r="BT476" i="5"/>
  <c r="BP478" i="5"/>
  <c r="BQ478" i="5" s="1"/>
  <c r="AM478" i="5"/>
  <c r="AL479" i="5"/>
  <c r="AN478" i="5"/>
  <c r="AQ478" i="5"/>
  <c r="BM478" i="5"/>
  <c r="AJ478" i="5"/>
  <c r="AK479" i="5"/>
  <c r="AH479" i="5"/>
  <c r="BU476" i="5"/>
  <c r="AP478" i="5" l="1"/>
  <c r="BO478" i="5"/>
  <c r="BV478" i="5"/>
  <c r="BS478" i="5"/>
  <c r="BU477" i="5"/>
  <c r="Y482" i="5"/>
  <c r="AA481" i="5"/>
  <c r="AB481" i="5"/>
  <c r="Z481" i="5"/>
  <c r="AG481" i="5"/>
  <c r="BR478" i="5"/>
  <c r="AQ479" i="5"/>
  <c r="AN479" i="5"/>
  <c r="BM479" i="5"/>
  <c r="AJ479" i="5"/>
  <c r="BG481" i="5"/>
  <c r="BF481" i="5"/>
  <c r="BD482" i="5"/>
  <c r="BL481" i="5"/>
  <c r="BE481" i="5"/>
  <c r="BP479" i="5"/>
  <c r="AM479" i="5"/>
  <c r="AK480" i="5"/>
  <c r="AL480" i="5" s="1"/>
  <c r="AH480" i="5"/>
  <c r="BQ479" i="5"/>
  <c r="AO479" i="5"/>
  <c r="BN479" i="5"/>
  <c r="AO478" i="5"/>
  <c r="BN478" i="5"/>
  <c r="AK481" i="5" l="1"/>
  <c r="AH481" i="5"/>
  <c r="AN480" i="5"/>
  <c r="AQ480" i="5"/>
  <c r="BM480" i="5"/>
  <c r="AJ480" i="5"/>
  <c r="AI480" i="5"/>
  <c r="BT479" i="5"/>
  <c r="BP480" i="5"/>
  <c r="AM480" i="5"/>
  <c r="AB482" i="5"/>
  <c r="AA482" i="5"/>
  <c r="Y483" i="5"/>
  <c r="AG482" i="5"/>
  <c r="Z482" i="5"/>
  <c r="BU478" i="5"/>
  <c r="BS479" i="5"/>
  <c r="BV479" i="5"/>
  <c r="AP479" i="5"/>
  <c r="BO479" i="5"/>
  <c r="BF482" i="5"/>
  <c r="BD483" i="5"/>
  <c r="BL482" i="5"/>
  <c r="BG482" i="5"/>
  <c r="BE482" i="5"/>
  <c r="BR479" i="5"/>
  <c r="BQ480" i="5"/>
  <c r="BT478" i="5"/>
  <c r="BL483" i="5" l="1"/>
  <c r="BD484" i="5"/>
  <c r="BG483" i="5"/>
  <c r="BF483" i="5"/>
  <c r="BE483" i="5"/>
  <c r="AG483" i="5"/>
  <c r="AB483" i="5"/>
  <c r="AA483" i="5"/>
  <c r="Y484" i="5"/>
  <c r="Z483" i="5"/>
  <c r="AP480" i="5"/>
  <c r="BO480" i="5"/>
  <c r="BS480" i="5"/>
  <c r="BV480" i="5"/>
  <c r="BU479" i="5"/>
  <c r="AO480" i="5"/>
  <c r="BN480" i="5"/>
  <c r="AQ481" i="5"/>
  <c r="AN481" i="5"/>
  <c r="BM481" i="5"/>
  <c r="AJ481" i="5"/>
  <c r="BP481" i="5"/>
  <c r="AM481" i="5"/>
  <c r="AL481" i="5"/>
  <c r="AI481" i="5"/>
  <c r="BR480" i="5"/>
  <c r="AK482" i="5"/>
  <c r="AH482" i="5"/>
  <c r="BT480" i="5" l="1"/>
  <c r="BP482" i="5"/>
  <c r="AM482" i="5"/>
  <c r="AL483" i="5"/>
  <c r="AL482" i="5"/>
  <c r="BU480" i="5"/>
  <c r="AP481" i="5"/>
  <c r="BO481" i="5"/>
  <c r="AA484" i="5"/>
  <c r="Y485" i="5"/>
  <c r="AB484" i="5"/>
  <c r="Z484" i="5"/>
  <c r="AG484" i="5"/>
  <c r="BV481" i="5"/>
  <c r="BS481" i="5"/>
  <c r="AH483" i="5"/>
  <c r="AK483" i="5"/>
  <c r="AO481" i="5"/>
  <c r="BN481" i="5"/>
  <c r="BE484" i="5"/>
  <c r="BL484" i="5"/>
  <c r="BG484" i="5"/>
  <c r="BD485" i="5"/>
  <c r="BF484" i="5"/>
  <c r="AQ482" i="5"/>
  <c r="AN482" i="5"/>
  <c r="BM482" i="5"/>
  <c r="AJ482" i="5"/>
  <c r="AI482" i="5"/>
  <c r="BR481" i="5"/>
  <c r="BQ482" i="5"/>
  <c r="BQ481" i="5"/>
  <c r="AP482" i="5" l="1"/>
  <c r="BO482" i="5"/>
  <c r="BV482" i="5"/>
  <c r="BS482" i="5"/>
  <c r="BT481" i="5"/>
  <c r="AK484" i="5"/>
  <c r="AH484" i="5"/>
  <c r="BR482" i="5"/>
  <c r="BP483" i="5"/>
  <c r="AM483" i="5"/>
  <c r="AQ483" i="5"/>
  <c r="AN483" i="5"/>
  <c r="BM483" i="5"/>
  <c r="AJ483" i="5"/>
  <c r="AI483" i="5"/>
  <c r="AG485" i="5"/>
  <c r="AB485" i="5"/>
  <c r="AA485" i="5"/>
  <c r="Y486" i="5"/>
  <c r="Z485" i="5"/>
  <c r="AO482" i="5"/>
  <c r="BN482" i="5"/>
  <c r="BU481" i="5"/>
  <c r="BD486" i="5"/>
  <c r="BL485" i="5"/>
  <c r="BG485" i="5"/>
  <c r="BF485" i="5"/>
  <c r="BE485" i="5"/>
  <c r="AN484" i="5" l="1"/>
  <c r="AQ484" i="5"/>
  <c r="BM484" i="5"/>
  <c r="AJ484" i="5"/>
  <c r="AI484" i="5"/>
  <c r="AK485" i="5"/>
  <c r="AH485" i="5"/>
  <c r="BP484" i="5"/>
  <c r="AM484" i="5"/>
  <c r="AL484" i="5"/>
  <c r="AO483" i="5"/>
  <c r="BN483" i="5"/>
  <c r="AP483" i="5"/>
  <c r="BO483" i="5"/>
  <c r="BS483" i="5"/>
  <c r="BV483" i="5"/>
  <c r="BL486" i="5"/>
  <c r="BG486" i="5"/>
  <c r="BE486" i="5"/>
  <c r="BD487" i="5"/>
  <c r="BF486" i="5"/>
  <c r="BU482" i="5"/>
  <c r="BT482" i="5"/>
  <c r="BR483" i="5"/>
  <c r="BQ483" i="5"/>
  <c r="Z486" i="5"/>
  <c r="Y487" i="5"/>
  <c r="AB486" i="5"/>
  <c r="AG486" i="5"/>
  <c r="AA486" i="5"/>
  <c r="Y488" i="5" l="1"/>
  <c r="AB487" i="5"/>
  <c r="AA487" i="5"/>
  <c r="Z487" i="5"/>
  <c r="AG487" i="5"/>
  <c r="BR484" i="5"/>
  <c r="BQ484" i="5"/>
  <c r="AQ485" i="5"/>
  <c r="AN485" i="5"/>
  <c r="BM485" i="5"/>
  <c r="AJ485" i="5"/>
  <c r="AI485" i="5"/>
  <c r="BP485" i="5"/>
  <c r="AM485" i="5"/>
  <c r="AL485" i="5"/>
  <c r="AO484" i="5"/>
  <c r="BN484" i="5"/>
  <c r="AP484" i="5"/>
  <c r="BO484" i="5"/>
  <c r="BU483" i="5"/>
  <c r="BT483" i="5"/>
  <c r="BV484" i="5"/>
  <c r="BS484" i="5"/>
  <c r="AH486" i="5"/>
  <c r="AK486" i="5"/>
  <c r="BE487" i="5"/>
  <c r="BL487" i="5"/>
  <c r="BF487" i="5"/>
  <c r="BD488" i="5"/>
  <c r="BG487" i="5"/>
  <c r="BP486" i="5" l="1"/>
  <c r="AM486" i="5"/>
  <c r="AL486" i="5"/>
  <c r="AQ486" i="5"/>
  <c r="AN486" i="5"/>
  <c r="BM486" i="5"/>
  <c r="AJ486" i="5"/>
  <c r="AI486" i="5"/>
  <c r="AH487" i="5"/>
  <c r="AK487" i="5"/>
  <c r="AO485" i="5"/>
  <c r="BN485" i="5"/>
  <c r="BD489" i="5"/>
  <c r="BG488" i="5"/>
  <c r="BF488" i="5"/>
  <c r="BE488" i="5"/>
  <c r="BL488" i="5"/>
  <c r="AP485" i="5"/>
  <c r="BO485" i="5"/>
  <c r="BR485" i="5"/>
  <c r="BQ485" i="5"/>
  <c r="BU484" i="5"/>
  <c r="BV485" i="5"/>
  <c r="BS485" i="5"/>
  <c r="AG488" i="5"/>
  <c r="AB488" i="5"/>
  <c r="AA488" i="5"/>
  <c r="Z488" i="5"/>
  <c r="Y489" i="5"/>
  <c r="BT484" i="5"/>
  <c r="AH488" i="5" l="1"/>
  <c r="AK488" i="5"/>
  <c r="BP487" i="5"/>
  <c r="AM487" i="5"/>
  <c r="AL487" i="5"/>
  <c r="AN487" i="5"/>
  <c r="AQ487" i="5"/>
  <c r="BM487" i="5"/>
  <c r="AJ487" i="5"/>
  <c r="AI487" i="5"/>
  <c r="AO486" i="5"/>
  <c r="BN486" i="5"/>
  <c r="AP486" i="5"/>
  <c r="BO486" i="5"/>
  <c r="BV486" i="5"/>
  <c r="BS486" i="5"/>
  <c r="BU485" i="5"/>
  <c r="Z489" i="5"/>
  <c r="AB489" i="5"/>
  <c r="AA489" i="5"/>
  <c r="Y490" i="5"/>
  <c r="AG489" i="5"/>
  <c r="BG489" i="5"/>
  <c r="BF489" i="5"/>
  <c r="BE489" i="5"/>
  <c r="BD490" i="5"/>
  <c r="BL489" i="5"/>
  <c r="BT485" i="5"/>
  <c r="BR486" i="5"/>
  <c r="BQ486" i="5"/>
  <c r="BG490" i="5" l="1"/>
  <c r="BF490" i="5"/>
  <c r="BE490" i="5"/>
  <c r="BD491" i="5"/>
  <c r="BL490" i="5"/>
  <c r="AO487" i="5"/>
  <c r="BN487" i="5"/>
  <c r="AP487" i="5"/>
  <c r="BO487" i="5"/>
  <c r="BS487" i="5"/>
  <c r="BV487" i="5"/>
  <c r="BU486" i="5"/>
  <c r="AK489" i="5"/>
  <c r="AH489" i="5"/>
  <c r="BR487" i="5"/>
  <c r="BQ487" i="5"/>
  <c r="BP488" i="5"/>
  <c r="AM488" i="5"/>
  <c r="AL488" i="5"/>
  <c r="Y491" i="5"/>
  <c r="AG490" i="5"/>
  <c r="AB490" i="5"/>
  <c r="AA490" i="5"/>
  <c r="Z490" i="5"/>
  <c r="BT486" i="5"/>
  <c r="AQ488" i="5"/>
  <c r="AN488" i="5"/>
  <c r="BM488" i="5"/>
  <c r="AJ488" i="5"/>
  <c r="AI488" i="5"/>
  <c r="AN489" i="5" l="1"/>
  <c r="AQ489" i="5"/>
  <c r="BM489" i="5"/>
  <c r="AJ489" i="5"/>
  <c r="AI489" i="5"/>
  <c r="BV488" i="5"/>
  <c r="BS488" i="5"/>
  <c r="BP489" i="5"/>
  <c r="AM489" i="5"/>
  <c r="AL489" i="5"/>
  <c r="AK490" i="5"/>
  <c r="AH490" i="5"/>
  <c r="AB491" i="5"/>
  <c r="AA491" i="5"/>
  <c r="Z491" i="5"/>
  <c r="Y492" i="5"/>
  <c r="AG491" i="5"/>
  <c r="BU487" i="5"/>
  <c r="BD492" i="5"/>
  <c r="BF491" i="5"/>
  <c r="BL491" i="5"/>
  <c r="BG491" i="5"/>
  <c r="BE491" i="5"/>
  <c r="BR488" i="5"/>
  <c r="BQ488" i="5"/>
  <c r="BT487" i="5"/>
  <c r="AO488" i="5"/>
  <c r="BN488" i="5"/>
  <c r="AP488" i="5"/>
  <c r="BO488" i="5"/>
  <c r="BP490" i="5" l="1"/>
  <c r="AM490" i="5"/>
  <c r="AL490" i="5"/>
  <c r="BR489" i="5"/>
  <c r="BQ489" i="5"/>
  <c r="AK491" i="5"/>
  <c r="AH491" i="5"/>
  <c r="BD493" i="5"/>
  <c r="BG492" i="5"/>
  <c r="BF492" i="5"/>
  <c r="BE492" i="5"/>
  <c r="BL492" i="5"/>
  <c r="BU488" i="5"/>
  <c r="AG492" i="5"/>
  <c r="Y493" i="5"/>
  <c r="AB492" i="5"/>
  <c r="AA492" i="5"/>
  <c r="Z492" i="5"/>
  <c r="AO489" i="5"/>
  <c r="BN489" i="5"/>
  <c r="AP489" i="5"/>
  <c r="BO489" i="5"/>
  <c r="BV489" i="5"/>
  <c r="BS489" i="5"/>
  <c r="BT488" i="5"/>
  <c r="AN490" i="5"/>
  <c r="AQ490" i="5"/>
  <c r="BM490" i="5"/>
  <c r="AJ490" i="5"/>
  <c r="AI490" i="5"/>
  <c r="AK492" i="5" l="1"/>
  <c r="AH492" i="5"/>
  <c r="BV490" i="5"/>
  <c r="BS490" i="5"/>
  <c r="AO490" i="5"/>
  <c r="BN490" i="5"/>
  <c r="BT489" i="5"/>
  <c r="AP490" i="5"/>
  <c r="BO490" i="5"/>
  <c r="BG493" i="5"/>
  <c r="BL493" i="5"/>
  <c r="BD494" i="5"/>
  <c r="BF493" i="5"/>
  <c r="BE493" i="5"/>
  <c r="AQ491" i="5"/>
  <c r="AN491" i="5"/>
  <c r="BM491" i="5"/>
  <c r="AJ491" i="5"/>
  <c r="AI491" i="5"/>
  <c r="BP491" i="5"/>
  <c r="AM491" i="5"/>
  <c r="AL491" i="5"/>
  <c r="BU489" i="5"/>
  <c r="Z493" i="5"/>
  <c r="Y494" i="5"/>
  <c r="AA493" i="5"/>
  <c r="AG493" i="5"/>
  <c r="AB493" i="5"/>
  <c r="BR490" i="5"/>
  <c r="BQ490" i="5"/>
  <c r="BR491" i="5" l="1"/>
  <c r="BQ491" i="5"/>
  <c r="AO491" i="5"/>
  <c r="BN491" i="5"/>
  <c r="BT490" i="5"/>
  <c r="AP491" i="5"/>
  <c r="BO491" i="5"/>
  <c r="AH493" i="5"/>
  <c r="AK493" i="5"/>
  <c r="BV491" i="5"/>
  <c r="BS491" i="5"/>
  <c r="BF494" i="5"/>
  <c r="BL494" i="5"/>
  <c r="BD495" i="5"/>
  <c r="BG494" i="5"/>
  <c r="BE494" i="5"/>
  <c r="AB494" i="5"/>
  <c r="AA494" i="5"/>
  <c r="Z494" i="5"/>
  <c r="AG494" i="5"/>
  <c r="Y495" i="5"/>
  <c r="AQ492" i="5"/>
  <c r="AN492" i="5"/>
  <c r="BM492" i="5"/>
  <c r="AJ492" i="5"/>
  <c r="AI492" i="5"/>
  <c r="BP492" i="5"/>
  <c r="AM492" i="5"/>
  <c r="AL492" i="5"/>
  <c r="BU490" i="5"/>
  <c r="AN493" i="5" l="1"/>
  <c r="AQ493" i="5"/>
  <c r="BM493" i="5"/>
  <c r="AJ493" i="5"/>
  <c r="AI493" i="5"/>
  <c r="BU491" i="5"/>
  <c r="BP493" i="5"/>
  <c r="AM493" i="5"/>
  <c r="AL493" i="5"/>
  <c r="AB495" i="5"/>
  <c r="AG495" i="5"/>
  <c r="Y496" i="5"/>
  <c r="AA495" i="5"/>
  <c r="Z495" i="5"/>
  <c r="AK494" i="5"/>
  <c r="AH494" i="5"/>
  <c r="BR492" i="5"/>
  <c r="BQ492" i="5"/>
  <c r="AO492" i="5"/>
  <c r="BN492" i="5"/>
  <c r="BD496" i="5"/>
  <c r="BL495" i="5"/>
  <c r="BG495" i="5"/>
  <c r="BF495" i="5"/>
  <c r="BE495" i="5"/>
  <c r="AP492" i="5"/>
  <c r="BO492" i="5"/>
  <c r="BV492" i="5"/>
  <c r="BS492" i="5"/>
  <c r="BT491" i="5"/>
  <c r="BT492" i="5" l="1"/>
  <c r="AH495" i="5"/>
  <c r="AK495" i="5"/>
  <c r="BR493" i="5"/>
  <c r="BQ493" i="5"/>
  <c r="BP494" i="5"/>
  <c r="AM494" i="5"/>
  <c r="AL494" i="5"/>
  <c r="AQ494" i="5"/>
  <c r="AN494" i="5"/>
  <c r="BM494" i="5"/>
  <c r="AJ494" i="5"/>
  <c r="AI494" i="5"/>
  <c r="BU492" i="5"/>
  <c r="AO493" i="5"/>
  <c r="BN493" i="5"/>
  <c r="AP493" i="5"/>
  <c r="BO493" i="5"/>
  <c r="BV493" i="5"/>
  <c r="BS493" i="5"/>
  <c r="BG496" i="5"/>
  <c r="BE496" i="5"/>
  <c r="BL496" i="5"/>
  <c r="BF496" i="5"/>
  <c r="BD497" i="5"/>
  <c r="AA496" i="5"/>
  <c r="Z496" i="5"/>
  <c r="AB496" i="5"/>
  <c r="Y497" i="5"/>
  <c r="AG496" i="5"/>
  <c r="BU493" i="5" l="1"/>
  <c r="AK496" i="5"/>
  <c r="AH496" i="5"/>
  <c r="Y498" i="5"/>
  <c r="AG497" i="5"/>
  <c r="Z497" i="5"/>
  <c r="AB497" i="5"/>
  <c r="AA497" i="5"/>
  <c r="BL497" i="5"/>
  <c r="BG497" i="5"/>
  <c r="BD498" i="5"/>
  <c r="BF497" i="5"/>
  <c r="BE497" i="5"/>
  <c r="BT493" i="5"/>
  <c r="BR494" i="5"/>
  <c r="BQ494" i="5"/>
  <c r="BS494" i="5"/>
  <c r="BV494" i="5"/>
  <c r="BP495" i="5"/>
  <c r="AM495" i="5"/>
  <c r="AL495" i="5"/>
  <c r="AQ495" i="5"/>
  <c r="AN495" i="5"/>
  <c r="BM495" i="5"/>
  <c r="AJ495" i="5"/>
  <c r="AI495" i="5"/>
  <c r="AO494" i="5"/>
  <c r="BN494" i="5"/>
  <c r="AP494" i="5"/>
  <c r="BO494" i="5"/>
  <c r="AP495" i="5" l="1"/>
  <c r="BO495" i="5"/>
  <c r="BV495" i="5"/>
  <c r="BS495" i="5"/>
  <c r="AK497" i="5"/>
  <c r="AH497" i="5"/>
  <c r="AB498" i="5"/>
  <c r="Z498" i="5"/>
  <c r="Y499" i="5"/>
  <c r="AG498" i="5"/>
  <c r="AA498" i="5"/>
  <c r="AN496" i="5"/>
  <c r="AQ496" i="5"/>
  <c r="BM496" i="5"/>
  <c r="AJ496" i="5"/>
  <c r="AI496" i="5"/>
  <c r="BP496" i="5"/>
  <c r="AM496" i="5"/>
  <c r="AL496" i="5"/>
  <c r="BU494" i="5"/>
  <c r="BR495" i="5"/>
  <c r="BQ495" i="5"/>
  <c r="BT494" i="5"/>
  <c r="BF498" i="5"/>
  <c r="BL498" i="5"/>
  <c r="BD499" i="5"/>
  <c r="BG498" i="5"/>
  <c r="BE498" i="5"/>
  <c r="AO495" i="5"/>
  <c r="BN495" i="5"/>
  <c r="BV496" i="5" l="1"/>
  <c r="BS496" i="5"/>
  <c r="Y500" i="5"/>
  <c r="AB499" i="5"/>
  <c r="AA499" i="5"/>
  <c r="Z499" i="5"/>
  <c r="AG499" i="5"/>
  <c r="BE499" i="5"/>
  <c r="BL499" i="5"/>
  <c r="BG499" i="5"/>
  <c r="BD500" i="5"/>
  <c r="BF499" i="5"/>
  <c r="AO496" i="5"/>
  <c r="BN496" i="5"/>
  <c r="AQ497" i="5"/>
  <c r="AN497" i="5"/>
  <c r="BM497" i="5"/>
  <c r="AJ497" i="5"/>
  <c r="AI497" i="5"/>
  <c r="BP497" i="5"/>
  <c r="AM497" i="5"/>
  <c r="AL497" i="5"/>
  <c r="BU495" i="5"/>
  <c r="BT495" i="5"/>
  <c r="BR496" i="5"/>
  <c r="BQ496" i="5"/>
  <c r="AP496" i="5"/>
  <c r="BO496" i="5"/>
  <c r="AK498" i="5"/>
  <c r="AH498" i="5"/>
  <c r="BD501" i="5" l="1"/>
  <c r="BL500" i="5"/>
  <c r="BG500" i="5"/>
  <c r="BF500" i="5"/>
  <c r="BE500" i="5"/>
  <c r="AH499" i="5"/>
  <c r="AK499" i="5"/>
  <c r="BP498" i="5"/>
  <c r="AM498" i="5"/>
  <c r="AL498" i="5"/>
  <c r="BT496" i="5"/>
  <c r="AQ498" i="5"/>
  <c r="AN498" i="5"/>
  <c r="BM498" i="5"/>
  <c r="AJ498" i="5"/>
  <c r="AI498" i="5"/>
  <c r="AA500" i="5"/>
  <c r="AG500" i="5"/>
  <c r="Y501" i="5"/>
  <c r="AB500" i="5"/>
  <c r="Z500" i="5"/>
  <c r="AP497" i="5"/>
  <c r="BO497" i="5"/>
  <c r="BU496" i="5"/>
  <c r="BR497" i="5"/>
  <c r="BQ497" i="5"/>
  <c r="AO497" i="5"/>
  <c r="BN497" i="5"/>
  <c r="BS497" i="5"/>
  <c r="BV497" i="5"/>
  <c r="BS498" i="5" l="1"/>
  <c r="BV498" i="5"/>
  <c r="BU497" i="5"/>
  <c r="Z501" i="5"/>
  <c r="AG501" i="5"/>
  <c r="AB501" i="5"/>
  <c r="Y502" i="5"/>
  <c r="AA501" i="5"/>
  <c r="BR498" i="5"/>
  <c r="BQ498" i="5"/>
  <c r="BT497" i="5"/>
  <c r="AK500" i="5"/>
  <c r="AH500" i="5"/>
  <c r="BG501" i="5"/>
  <c r="BF501" i="5"/>
  <c r="BD502" i="5"/>
  <c r="BE501" i="5"/>
  <c r="BL501" i="5"/>
  <c r="AP498" i="5"/>
  <c r="BO498" i="5"/>
  <c r="BP499" i="5"/>
  <c r="AM499" i="5"/>
  <c r="AL499" i="5"/>
  <c r="AO498" i="5"/>
  <c r="BN498" i="5"/>
  <c r="AQ499" i="5"/>
  <c r="AN499" i="5"/>
  <c r="BM499" i="5"/>
  <c r="AJ499" i="5"/>
  <c r="AI499" i="5"/>
  <c r="BP500" i="5" l="1"/>
  <c r="AM500" i="5"/>
  <c r="AL500" i="5"/>
  <c r="Y503" i="5"/>
  <c r="AG502" i="5"/>
  <c r="AB502" i="5"/>
  <c r="AA502" i="5"/>
  <c r="Z502" i="5"/>
  <c r="AK501" i="5"/>
  <c r="AH501" i="5"/>
  <c r="BT498" i="5"/>
  <c r="BS499" i="5"/>
  <c r="BV499" i="5"/>
  <c r="BR499" i="5"/>
  <c r="BQ499" i="5"/>
  <c r="BU498" i="5"/>
  <c r="BL502" i="5"/>
  <c r="BD503" i="5"/>
  <c r="BE502" i="5"/>
  <c r="BG502" i="5"/>
  <c r="BF502" i="5"/>
  <c r="AO499" i="5"/>
  <c r="BN499" i="5"/>
  <c r="AP499" i="5"/>
  <c r="BO499" i="5"/>
  <c r="AQ500" i="5"/>
  <c r="AN500" i="5"/>
  <c r="BM500" i="5"/>
  <c r="AJ500" i="5"/>
  <c r="AI500" i="5"/>
  <c r="BU499" i="5" l="1"/>
  <c r="BV500" i="5"/>
  <c r="BS500" i="5"/>
  <c r="AN501" i="5"/>
  <c r="AQ501" i="5"/>
  <c r="BM501" i="5"/>
  <c r="AJ501" i="5"/>
  <c r="AI501" i="5"/>
  <c r="AP500" i="5"/>
  <c r="BO500" i="5"/>
  <c r="BT499" i="5"/>
  <c r="BE503" i="5"/>
  <c r="BD504" i="5"/>
  <c r="BF503" i="5"/>
  <c r="BL503" i="5"/>
  <c r="BG503" i="5"/>
  <c r="BP501" i="5"/>
  <c r="AM501" i="5"/>
  <c r="AL501" i="5"/>
  <c r="AH502" i="5"/>
  <c r="AK502" i="5"/>
  <c r="AB503" i="5"/>
  <c r="AA503" i="5"/>
  <c r="AG503" i="5"/>
  <c r="Z503" i="5"/>
  <c r="Y504" i="5"/>
  <c r="AO500" i="5"/>
  <c r="BN500" i="5"/>
  <c r="BR500" i="5"/>
  <c r="BQ500" i="5"/>
  <c r="BT500" i="5" l="1"/>
  <c r="AK503" i="5"/>
  <c r="AH503" i="5"/>
  <c r="AO501" i="5"/>
  <c r="BN501" i="5"/>
  <c r="AP501" i="5"/>
  <c r="BO501" i="5"/>
  <c r="AQ502" i="5"/>
  <c r="AN502" i="5"/>
  <c r="BM502" i="5"/>
  <c r="AJ502" i="5"/>
  <c r="AI502" i="5"/>
  <c r="BV501" i="5"/>
  <c r="BS501" i="5"/>
  <c r="BP502" i="5"/>
  <c r="AM502" i="5"/>
  <c r="AL502" i="5"/>
  <c r="BR501" i="5"/>
  <c r="BQ501" i="5"/>
  <c r="CA504" i="5"/>
  <c r="BG504" i="5"/>
  <c r="BF504" i="5"/>
  <c r="BD505" i="5"/>
  <c r="BE504" i="5"/>
  <c r="BL504" i="5"/>
  <c r="CA500" i="5"/>
  <c r="BW500" i="5" s="1"/>
  <c r="CA499" i="5"/>
  <c r="BW499" i="5" s="1"/>
  <c r="CA502" i="5"/>
  <c r="AG504" i="5"/>
  <c r="AV504" i="5"/>
  <c r="AB504" i="5"/>
  <c r="Y505" i="5"/>
  <c r="AA504" i="5"/>
  <c r="Z504" i="5"/>
  <c r="AV496" i="5"/>
  <c r="AR496" i="5" s="1"/>
  <c r="AV502" i="5"/>
  <c r="AV500" i="5"/>
  <c r="AR500" i="5" s="1"/>
  <c r="BU500" i="5"/>
  <c r="BU501" i="5" l="1"/>
  <c r="BT501" i="5"/>
  <c r="BR502" i="5"/>
  <c r="BQ502" i="5"/>
  <c r="Z505" i="5"/>
  <c r="Y506" i="5"/>
  <c r="AA505" i="5"/>
  <c r="AG505" i="5"/>
  <c r="AB505" i="5"/>
  <c r="AV505" i="5"/>
  <c r="AV501" i="5"/>
  <c r="AR501" i="5" s="1"/>
  <c r="AV497" i="5"/>
  <c r="AR497" i="5" s="1"/>
  <c r="AV499" i="5"/>
  <c r="AR499" i="5" s="1"/>
  <c r="AV503" i="5"/>
  <c r="AQ503" i="5"/>
  <c r="AN503" i="5"/>
  <c r="BM503" i="5"/>
  <c r="AJ503" i="5"/>
  <c r="AI503" i="5"/>
  <c r="BG505" i="5"/>
  <c r="BL505" i="5"/>
  <c r="BF505" i="5"/>
  <c r="CA505" i="5"/>
  <c r="BE505" i="5"/>
  <c r="BD506" i="5"/>
  <c r="CA498" i="5"/>
  <c r="BW498" i="5" s="1"/>
  <c r="CA503" i="5"/>
  <c r="CA501" i="5"/>
  <c r="BW501" i="5" s="1"/>
  <c r="AR502" i="5"/>
  <c r="AO502" i="5"/>
  <c r="BN502" i="5"/>
  <c r="BP503" i="5"/>
  <c r="AM503" i="5"/>
  <c r="AL503" i="5"/>
  <c r="AK504" i="5"/>
  <c r="AH504" i="5"/>
  <c r="AP502" i="5"/>
  <c r="BO502" i="5"/>
  <c r="AV498" i="5"/>
  <c r="AR498" i="5" s="1"/>
  <c r="BV502" i="5"/>
  <c r="BS502" i="5"/>
  <c r="AP503" i="5" l="1"/>
  <c r="BO503" i="5"/>
  <c r="BS503" i="5"/>
  <c r="BV503" i="5"/>
  <c r="AH505" i="5"/>
  <c r="AK505" i="5"/>
  <c r="BP504" i="5"/>
  <c r="AM504" i="5"/>
  <c r="AL504" i="5"/>
  <c r="BU502" i="5"/>
  <c r="AQ504" i="5"/>
  <c r="AN504" i="5"/>
  <c r="BM504" i="5"/>
  <c r="AJ504" i="5"/>
  <c r="AI504" i="5"/>
  <c r="AG506" i="5"/>
  <c r="AB506" i="5"/>
  <c r="AA506" i="5"/>
  <c r="Y507" i="5"/>
  <c r="Z506" i="5"/>
  <c r="BF506" i="5"/>
  <c r="BE506" i="5"/>
  <c r="BL506" i="5"/>
  <c r="BG506" i="5"/>
  <c r="BD507" i="5"/>
  <c r="BR503" i="5"/>
  <c r="BQ503" i="5"/>
  <c r="BW502" i="5"/>
  <c r="BT502" i="5"/>
  <c r="AO503" i="5"/>
  <c r="AR503" i="5"/>
  <c r="BN503" i="5"/>
  <c r="Y508" i="5" l="1"/>
  <c r="AG507" i="5"/>
  <c r="AB507" i="5"/>
  <c r="AA507" i="5"/>
  <c r="Z507" i="5"/>
  <c r="BL507" i="5"/>
  <c r="BG507" i="5"/>
  <c r="BF507" i="5"/>
  <c r="BD508" i="5"/>
  <c r="BE507" i="5"/>
  <c r="BR504" i="5"/>
  <c r="BQ504" i="5"/>
  <c r="BP505" i="5"/>
  <c r="AM505" i="5"/>
  <c r="AL505" i="5"/>
  <c r="AN505" i="5"/>
  <c r="AQ505" i="5"/>
  <c r="BM505" i="5"/>
  <c r="AJ505" i="5"/>
  <c r="AI505" i="5"/>
  <c r="AR504" i="5"/>
  <c r="AO504" i="5"/>
  <c r="BN504" i="5"/>
  <c r="BW503" i="5"/>
  <c r="BT503" i="5"/>
  <c r="AK506" i="5"/>
  <c r="AH506" i="5"/>
  <c r="AP504" i="5"/>
  <c r="BO504" i="5"/>
  <c r="BV504" i="5"/>
  <c r="BS504" i="5"/>
  <c r="BU503" i="5"/>
  <c r="AI506" i="5" l="1"/>
  <c r="AN506" i="5"/>
  <c r="AQ506" i="5"/>
  <c r="BM506" i="5"/>
  <c r="AJ506" i="5"/>
  <c r="BP506" i="5"/>
  <c r="AL506" i="5"/>
  <c r="AM506" i="5"/>
  <c r="BR505" i="5"/>
  <c r="BQ505" i="5"/>
  <c r="BW504" i="5"/>
  <c r="BT504" i="5"/>
  <c r="AP505" i="5"/>
  <c r="BO505" i="5"/>
  <c r="BE508" i="5"/>
  <c r="BD509" i="5"/>
  <c r="BF508" i="5"/>
  <c r="BL508" i="5"/>
  <c r="BG508" i="5"/>
  <c r="AR505" i="5"/>
  <c r="AO505" i="5"/>
  <c r="BN505" i="5"/>
  <c r="BU504" i="5"/>
  <c r="BV505" i="5"/>
  <c r="BS505" i="5"/>
  <c r="AH507" i="5"/>
  <c r="AI507" i="5" s="1"/>
  <c r="AK507" i="5"/>
  <c r="AB508" i="5"/>
  <c r="AA508" i="5"/>
  <c r="AG508" i="5"/>
  <c r="Z508" i="5"/>
  <c r="Y509" i="5"/>
  <c r="BN507" i="5" l="1"/>
  <c r="AP506" i="5"/>
  <c r="BO506" i="5"/>
  <c r="BS506" i="5"/>
  <c r="BV506" i="5"/>
  <c r="AL507" i="5"/>
  <c r="AO507" i="5" s="1"/>
  <c r="AQ507" i="5"/>
  <c r="AN507" i="5"/>
  <c r="BM507" i="5"/>
  <c r="AJ507" i="5"/>
  <c r="BQ506" i="5"/>
  <c r="BQ507" i="5"/>
  <c r="BR506" i="5"/>
  <c r="AO506" i="5"/>
  <c r="BN506" i="5"/>
  <c r="BP507" i="5"/>
  <c r="BR507" i="5" s="1"/>
  <c r="AM507" i="5"/>
  <c r="AG509" i="5"/>
  <c r="AB509" i="5"/>
  <c r="Y510" i="5"/>
  <c r="AA509" i="5"/>
  <c r="Z509" i="5"/>
  <c r="BW505" i="5"/>
  <c r="BT505" i="5"/>
  <c r="BL509" i="5"/>
  <c r="BG509" i="5"/>
  <c r="BF509" i="5"/>
  <c r="BD510" i="5"/>
  <c r="BE509" i="5"/>
  <c r="BU505" i="5"/>
  <c r="AK508" i="5"/>
  <c r="AH508" i="5"/>
  <c r="BV507" i="5" l="1"/>
  <c r="BS507" i="5"/>
  <c r="BG510" i="5"/>
  <c r="BL510" i="5"/>
  <c r="BF510" i="5"/>
  <c r="BE510" i="5"/>
  <c r="BD511" i="5"/>
  <c r="BU506" i="5"/>
  <c r="Z510" i="5"/>
  <c r="Y511" i="5"/>
  <c r="AA510" i="5"/>
  <c r="AG510" i="5"/>
  <c r="AB510" i="5"/>
  <c r="AI508" i="5"/>
  <c r="AQ508" i="5"/>
  <c r="AN508" i="5"/>
  <c r="BM508" i="5"/>
  <c r="AJ508" i="5"/>
  <c r="AL508" i="5"/>
  <c r="BP508" i="5"/>
  <c r="AM508" i="5"/>
  <c r="AK509" i="5"/>
  <c r="AH509" i="5"/>
  <c r="BT507" i="5"/>
  <c r="BT506" i="5"/>
  <c r="AP507" i="5"/>
  <c r="BO507" i="5"/>
  <c r="Z511" i="5" l="1"/>
  <c r="AG511" i="5"/>
  <c r="AB511" i="5"/>
  <c r="Y512" i="5"/>
  <c r="AA511" i="5"/>
  <c r="AO508" i="5"/>
  <c r="BN508" i="5"/>
  <c r="BR508" i="5"/>
  <c r="BQ508" i="5"/>
  <c r="BQ509" i="5"/>
  <c r="AP508" i="5"/>
  <c r="BO508" i="5"/>
  <c r="BF511" i="5"/>
  <c r="BE511" i="5"/>
  <c r="BL511" i="5"/>
  <c r="BD512" i="5"/>
  <c r="BG511" i="5"/>
  <c r="BM509" i="5"/>
  <c r="AN509" i="5"/>
  <c r="AQ509" i="5"/>
  <c r="AJ509" i="5"/>
  <c r="AI509" i="5"/>
  <c r="BS508" i="5"/>
  <c r="BV508" i="5"/>
  <c r="BU507" i="5"/>
  <c r="BP509" i="5"/>
  <c r="AM509" i="5"/>
  <c r="AL509" i="5"/>
  <c r="AK510" i="5"/>
  <c r="AH510" i="5"/>
  <c r="BP510" i="5" l="1"/>
  <c r="AM510" i="5"/>
  <c r="BV509" i="5"/>
  <c r="BS509" i="5"/>
  <c r="Y513" i="5"/>
  <c r="AB512" i="5"/>
  <c r="AG512" i="5"/>
  <c r="AA512" i="5"/>
  <c r="Z512" i="5"/>
  <c r="AL511" i="5"/>
  <c r="AO509" i="5"/>
  <c r="BN509" i="5"/>
  <c r="AI510" i="5"/>
  <c r="AL510" i="5"/>
  <c r="BL512" i="5"/>
  <c r="BG512" i="5"/>
  <c r="BF512" i="5"/>
  <c r="BE512" i="5"/>
  <c r="BD513" i="5"/>
  <c r="AK511" i="5"/>
  <c r="AH511" i="5"/>
  <c r="BU508" i="5"/>
  <c r="BT508" i="5"/>
  <c r="BR509" i="5"/>
  <c r="AP509" i="5"/>
  <c r="BO509" i="5"/>
  <c r="BQ510" i="5"/>
  <c r="AN510" i="5"/>
  <c r="AQ510" i="5"/>
  <c r="BM510" i="5"/>
  <c r="AJ510" i="5"/>
  <c r="AI511" i="5"/>
  <c r="BU509" i="5" l="1"/>
  <c r="AP510" i="5"/>
  <c r="BO510" i="5"/>
  <c r="BT509" i="5"/>
  <c r="AO510" i="5"/>
  <c r="BN510" i="5"/>
  <c r="BR510" i="5"/>
  <c r="BD514" i="5"/>
  <c r="BF513" i="5"/>
  <c r="BL513" i="5"/>
  <c r="BG513" i="5"/>
  <c r="BE513" i="5"/>
  <c r="AH512" i="5"/>
  <c r="AK512" i="5"/>
  <c r="BV510" i="5"/>
  <c r="BS510" i="5"/>
  <c r="AO511" i="5"/>
  <c r="BN511" i="5"/>
  <c r="AQ511" i="5"/>
  <c r="AN511" i="5"/>
  <c r="BM511" i="5"/>
  <c r="AJ511" i="5"/>
  <c r="AB513" i="5"/>
  <c r="Z513" i="5"/>
  <c r="AG513" i="5"/>
  <c r="AA513" i="5"/>
  <c r="Y514" i="5"/>
  <c r="BP511" i="5"/>
  <c r="AM511" i="5"/>
  <c r="AL512" i="5"/>
  <c r="BP512" i="5" l="1"/>
  <c r="AM512" i="5"/>
  <c r="AQ512" i="5"/>
  <c r="AN512" i="5"/>
  <c r="BM512" i="5"/>
  <c r="AJ512" i="5"/>
  <c r="AI512" i="5"/>
  <c r="Y515" i="5"/>
  <c r="AG514" i="5"/>
  <c r="AB514" i="5"/>
  <c r="AA514" i="5"/>
  <c r="Z514" i="5"/>
  <c r="AP511" i="5"/>
  <c r="BO511" i="5"/>
  <c r="BU510" i="5"/>
  <c r="BS511" i="5"/>
  <c r="BV511" i="5"/>
  <c r="BG514" i="5"/>
  <c r="BE514" i="5"/>
  <c r="BD515" i="5"/>
  <c r="BL514" i="5"/>
  <c r="BF514" i="5"/>
  <c r="AK513" i="5"/>
  <c r="AH513" i="5"/>
  <c r="BT510" i="5"/>
  <c r="BR511" i="5"/>
  <c r="BQ512" i="5"/>
  <c r="BQ511" i="5"/>
  <c r="BT511" i="5" s="1"/>
  <c r="BU511" i="5" l="1"/>
  <c r="AQ513" i="5"/>
  <c r="AN513" i="5"/>
  <c r="BM513" i="5"/>
  <c r="AJ513" i="5"/>
  <c r="BP513" i="5"/>
  <c r="AM513" i="5"/>
  <c r="AL513" i="5"/>
  <c r="BG515" i="5"/>
  <c r="BD516" i="5"/>
  <c r="BE515" i="5"/>
  <c r="BL515" i="5"/>
  <c r="BF515" i="5"/>
  <c r="AK514" i="5"/>
  <c r="AH514" i="5"/>
  <c r="Y516" i="5"/>
  <c r="AA515" i="5"/>
  <c r="Z515" i="5"/>
  <c r="AB515" i="5"/>
  <c r="AG515" i="5"/>
  <c r="AO512" i="5"/>
  <c r="BN512" i="5"/>
  <c r="AP512" i="5"/>
  <c r="BO512" i="5"/>
  <c r="AI513" i="5"/>
  <c r="BS512" i="5"/>
  <c r="BV512" i="5"/>
  <c r="BR512" i="5"/>
  <c r="AO513" i="5" l="1"/>
  <c r="BN513" i="5"/>
  <c r="AP513" i="5"/>
  <c r="BO513" i="5"/>
  <c r="BT512" i="5"/>
  <c r="BV513" i="5"/>
  <c r="BS513" i="5"/>
  <c r="BU512" i="5"/>
  <c r="AB516" i="5"/>
  <c r="AG516" i="5"/>
  <c r="Y517" i="5"/>
  <c r="AA516" i="5"/>
  <c r="Z516" i="5"/>
  <c r="AN514" i="5"/>
  <c r="AQ514" i="5"/>
  <c r="BM514" i="5"/>
  <c r="AJ514" i="5"/>
  <c r="AI514" i="5"/>
  <c r="AK515" i="5"/>
  <c r="AH515" i="5"/>
  <c r="BP514" i="5"/>
  <c r="AM514" i="5"/>
  <c r="AL514" i="5"/>
  <c r="BF516" i="5"/>
  <c r="BD517" i="5"/>
  <c r="BL516" i="5"/>
  <c r="BG516" i="5"/>
  <c r="BE516" i="5"/>
  <c r="BR513" i="5"/>
  <c r="BQ513" i="5"/>
  <c r="AQ515" i="5" l="1"/>
  <c r="AN515" i="5"/>
  <c r="BM515" i="5"/>
  <c r="AJ515" i="5"/>
  <c r="AI515" i="5"/>
  <c r="AP514" i="5"/>
  <c r="BO514" i="5"/>
  <c r="BV514" i="5"/>
  <c r="BS514" i="5"/>
  <c r="BP515" i="5"/>
  <c r="AM515" i="5"/>
  <c r="AL515" i="5"/>
  <c r="Y518" i="5"/>
  <c r="AB517" i="5"/>
  <c r="AA517" i="5"/>
  <c r="Z517" i="5"/>
  <c r="AG517" i="5"/>
  <c r="AH516" i="5"/>
  <c r="AK516" i="5"/>
  <c r="BU513" i="5"/>
  <c r="BL517" i="5"/>
  <c r="BG517" i="5"/>
  <c r="BF517" i="5"/>
  <c r="BE517" i="5"/>
  <c r="BD518" i="5"/>
  <c r="BT513" i="5"/>
  <c r="BR514" i="5"/>
  <c r="BQ514" i="5"/>
  <c r="AO514" i="5"/>
  <c r="BN514" i="5"/>
  <c r="AH517" i="5" l="1"/>
  <c r="AK517" i="5"/>
  <c r="BU514" i="5"/>
  <c r="AO515" i="5"/>
  <c r="BN515" i="5"/>
  <c r="AP515" i="5"/>
  <c r="BO515" i="5"/>
  <c r="BT514" i="5"/>
  <c r="BP516" i="5"/>
  <c r="AM516" i="5"/>
  <c r="AL516" i="5"/>
  <c r="AA518" i="5"/>
  <c r="AB518" i="5"/>
  <c r="Z518" i="5"/>
  <c r="Y519" i="5"/>
  <c r="AG518" i="5"/>
  <c r="BV515" i="5"/>
  <c r="BS515" i="5"/>
  <c r="AN516" i="5"/>
  <c r="AQ516" i="5"/>
  <c r="BM516" i="5"/>
  <c r="AJ516" i="5"/>
  <c r="AI516" i="5"/>
  <c r="BE518" i="5"/>
  <c r="BD519" i="5"/>
  <c r="BL518" i="5"/>
  <c r="BG518" i="5"/>
  <c r="BF518" i="5"/>
  <c r="BR515" i="5"/>
  <c r="BQ515" i="5"/>
  <c r="BT515" i="5" l="1"/>
  <c r="AP516" i="5"/>
  <c r="BO516" i="5"/>
  <c r="BD520" i="5"/>
  <c r="BL519" i="5"/>
  <c r="BG519" i="5"/>
  <c r="BF519" i="5"/>
  <c r="BE519" i="5"/>
  <c r="AO516" i="5"/>
  <c r="BN516" i="5"/>
  <c r="BR516" i="5"/>
  <c r="BQ516" i="5"/>
  <c r="BP517" i="5"/>
  <c r="AM517" i="5"/>
  <c r="AL517" i="5"/>
  <c r="AK518" i="5"/>
  <c r="AH518" i="5"/>
  <c r="BU515" i="5"/>
  <c r="AQ517" i="5"/>
  <c r="AN517" i="5"/>
  <c r="BM517" i="5"/>
  <c r="AJ517" i="5"/>
  <c r="AI517" i="5"/>
  <c r="AG519" i="5"/>
  <c r="AA519" i="5"/>
  <c r="AB519" i="5"/>
  <c r="Y520" i="5"/>
  <c r="Z519" i="5"/>
  <c r="BS516" i="5"/>
  <c r="BV516" i="5"/>
  <c r="AO517" i="5" l="1"/>
  <c r="BN517" i="5"/>
  <c r="BR517" i="5"/>
  <c r="BQ517" i="5"/>
  <c r="AP517" i="5"/>
  <c r="BO517" i="5"/>
  <c r="Z520" i="5"/>
  <c r="Y521" i="5"/>
  <c r="AG520" i="5"/>
  <c r="AB520" i="5"/>
  <c r="AA520" i="5"/>
  <c r="BS517" i="5"/>
  <c r="BV517" i="5"/>
  <c r="BT516" i="5"/>
  <c r="BL520" i="5"/>
  <c r="BG520" i="5"/>
  <c r="BF520" i="5"/>
  <c r="BD521" i="5"/>
  <c r="BE520" i="5"/>
  <c r="BU516" i="5"/>
  <c r="BP518" i="5"/>
  <c r="AM518" i="5"/>
  <c r="AL518" i="5"/>
  <c r="AH519" i="5"/>
  <c r="AK519" i="5"/>
  <c r="AQ518" i="5"/>
  <c r="AN518" i="5"/>
  <c r="BM518" i="5"/>
  <c r="AJ518" i="5"/>
  <c r="AI518" i="5"/>
  <c r="BP519" i="5" l="1"/>
  <c r="AM519" i="5"/>
  <c r="AL519" i="5"/>
  <c r="AQ519" i="5"/>
  <c r="AN519" i="5"/>
  <c r="BM519" i="5"/>
  <c r="AJ519" i="5"/>
  <c r="AI519" i="5"/>
  <c r="BE521" i="5"/>
  <c r="BD522" i="5"/>
  <c r="BL521" i="5"/>
  <c r="BG521" i="5"/>
  <c r="BF521" i="5"/>
  <c r="BU517" i="5"/>
  <c r="BR518" i="5"/>
  <c r="BQ518" i="5"/>
  <c r="AO518" i="5"/>
  <c r="BN518" i="5"/>
  <c r="BT517" i="5"/>
  <c r="AP518" i="5"/>
  <c r="BO518" i="5"/>
  <c r="AH520" i="5"/>
  <c r="AK520" i="5"/>
  <c r="Y522" i="5"/>
  <c r="AA521" i="5"/>
  <c r="Z521" i="5"/>
  <c r="AG521" i="5"/>
  <c r="AB521" i="5"/>
  <c r="BV518" i="5"/>
  <c r="BS518" i="5"/>
  <c r="BP520" i="5" l="1"/>
  <c r="AM520" i="5"/>
  <c r="AL520" i="5"/>
  <c r="AQ520" i="5"/>
  <c r="AN520" i="5"/>
  <c r="BM520" i="5"/>
  <c r="AJ520" i="5"/>
  <c r="AI520" i="5"/>
  <c r="BD523" i="5"/>
  <c r="BL522" i="5"/>
  <c r="BG522" i="5"/>
  <c r="BF522" i="5"/>
  <c r="BE522" i="5"/>
  <c r="BU518" i="5"/>
  <c r="AO519" i="5"/>
  <c r="BN519" i="5"/>
  <c r="AP519" i="5"/>
  <c r="BO519" i="5"/>
  <c r="BS519" i="5"/>
  <c r="BV519" i="5"/>
  <c r="BT518" i="5"/>
  <c r="AG522" i="5"/>
  <c r="AB522" i="5"/>
  <c r="Z522" i="5"/>
  <c r="AA522" i="5"/>
  <c r="Y523" i="5"/>
  <c r="AK521" i="5"/>
  <c r="AH521" i="5"/>
  <c r="BR519" i="5"/>
  <c r="BQ519" i="5"/>
  <c r="Z523" i="5" l="1"/>
  <c r="Y524" i="5"/>
  <c r="AG523" i="5"/>
  <c r="AB523" i="5"/>
  <c r="AA523" i="5"/>
  <c r="AQ521" i="5"/>
  <c r="AN521" i="5"/>
  <c r="BM521" i="5"/>
  <c r="AJ521" i="5"/>
  <c r="AI521" i="5"/>
  <c r="BP521" i="5"/>
  <c r="AM521" i="5"/>
  <c r="AL521" i="5"/>
  <c r="BT519" i="5"/>
  <c r="BG523" i="5"/>
  <c r="BE523" i="5"/>
  <c r="BD524" i="5"/>
  <c r="BL523" i="5"/>
  <c r="BF523" i="5"/>
  <c r="AO520" i="5"/>
  <c r="BN520" i="5"/>
  <c r="AP520" i="5"/>
  <c r="BO520" i="5"/>
  <c r="AK522" i="5"/>
  <c r="AH522" i="5"/>
  <c r="BS520" i="5"/>
  <c r="BV520" i="5"/>
  <c r="BU519" i="5"/>
  <c r="BR520" i="5"/>
  <c r="BQ520" i="5"/>
  <c r="BG524" i="5" l="1"/>
  <c r="BL524" i="5"/>
  <c r="BF524" i="5"/>
  <c r="BE524" i="5"/>
  <c r="BD525" i="5"/>
  <c r="AQ522" i="5"/>
  <c r="AN522" i="5"/>
  <c r="BM522" i="5"/>
  <c r="AJ522" i="5"/>
  <c r="AI522" i="5"/>
  <c r="BR521" i="5"/>
  <c r="BQ521" i="5"/>
  <c r="AK523" i="5"/>
  <c r="AH523" i="5"/>
  <c r="AO521" i="5"/>
  <c r="BN521" i="5"/>
  <c r="Y525" i="5"/>
  <c r="Z524" i="5"/>
  <c r="AB524" i="5"/>
  <c r="AA524" i="5"/>
  <c r="AG524" i="5"/>
  <c r="BP522" i="5"/>
  <c r="AM522" i="5"/>
  <c r="AL522" i="5"/>
  <c r="BU520" i="5"/>
  <c r="BT520" i="5"/>
  <c r="AP521" i="5"/>
  <c r="BO521" i="5"/>
  <c r="BS521" i="5"/>
  <c r="BV521" i="5"/>
  <c r="BT521" i="5" l="1"/>
  <c r="BP523" i="5"/>
  <c r="AM523" i="5"/>
  <c r="AL523" i="5"/>
  <c r="BD526" i="5"/>
  <c r="BF525" i="5"/>
  <c r="BL525" i="5"/>
  <c r="BG525" i="5"/>
  <c r="BE525" i="5"/>
  <c r="AN523" i="5"/>
  <c r="AQ523" i="5"/>
  <c r="BM523" i="5"/>
  <c r="AJ523" i="5"/>
  <c r="AI523" i="5"/>
  <c r="AK524" i="5"/>
  <c r="AH524" i="5"/>
  <c r="BR522" i="5"/>
  <c r="BQ522" i="5"/>
  <c r="AO522" i="5"/>
  <c r="BN522" i="5"/>
  <c r="AP522" i="5"/>
  <c r="BO522" i="5"/>
  <c r="BV522" i="5"/>
  <c r="BS522" i="5"/>
  <c r="BU521" i="5"/>
  <c r="AB525" i="5"/>
  <c r="Z525" i="5"/>
  <c r="Y526" i="5"/>
  <c r="AG525" i="5"/>
  <c r="AA525" i="5"/>
  <c r="BU522" i="5" l="1"/>
  <c r="BV523" i="5"/>
  <c r="BS523" i="5"/>
  <c r="BT522" i="5"/>
  <c r="AP523" i="5"/>
  <c r="BO523" i="5"/>
  <c r="AG526" i="5"/>
  <c r="Y527" i="5"/>
  <c r="AB526" i="5"/>
  <c r="AA526" i="5"/>
  <c r="Z526" i="5"/>
  <c r="BG526" i="5"/>
  <c r="BF526" i="5"/>
  <c r="BL526" i="5"/>
  <c r="BE526" i="5"/>
  <c r="BD527" i="5"/>
  <c r="AK525" i="5"/>
  <c r="AH525" i="5"/>
  <c r="AQ524" i="5"/>
  <c r="AN524" i="5"/>
  <c r="BM524" i="5"/>
  <c r="AJ524" i="5"/>
  <c r="AI524" i="5"/>
  <c r="BP524" i="5"/>
  <c r="AM524" i="5"/>
  <c r="AL524" i="5"/>
  <c r="BR523" i="5"/>
  <c r="BQ523" i="5"/>
  <c r="AO523" i="5"/>
  <c r="BN523" i="5"/>
  <c r="AK526" i="5" l="1"/>
  <c r="AH526" i="5"/>
  <c r="BR524" i="5"/>
  <c r="BQ524" i="5"/>
  <c r="BF527" i="5"/>
  <c r="BL527" i="5"/>
  <c r="BG527" i="5"/>
  <c r="BD528" i="5"/>
  <c r="BE527" i="5"/>
  <c r="BU523" i="5"/>
  <c r="AP524" i="5"/>
  <c r="BO524" i="5"/>
  <c r="BT523" i="5"/>
  <c r="BV524" i="5"/>
  <c r="BS524" i="5"/>
  <c r="AQ525" i="5"/>
  <c r="AN525" i="5"/>
  <c r="BM525" i="5"/>
  <c r="AJ525" i="5"/>
  <c r="AI525" i="5"/>
  <c r="AO524" i="5"/>
  <c r="BN524" i="5"/>
  <c r="BP525" i="5"/>
  <c r="AM525" i="5"/>
  <c r="AL525" i="5"/>
  <c r="Y528" i="5"/>
  <c r="AA527" i="5"/>
  <c r="Z527" i="5"/>
  <c r="AG527" i="5"/>
  <c r="AB527" i="5"/>
  <c r="AK527" i="5" l="1"/>
  <c r="AH527" i="5"/>
  <c r="AO525" i="5"/>
  <c r="BN525" i="5"/>
  <c r="BR525" i="5"/>
  <c r="BQ525" i="5"/>
  <c r="AP525" i="5"/>
  <c r="BO525" i="5"/>
  <c r="BV525" i="5"/>
  <c r="BS525" i="5"/>
  <c r="AA528" i="5"/>
  <c r="AG528" i="5"/>
  <c r="AB528" i="5"/>
  <c r="Y529" i="5"/>
  <c r="Z528" i="5"/>
  <c r="AQ526" i="5"/>
  <c r="AN526" i="5"/>
  <c r="BM526" i="5"/>
  <c r="AJ526" i="5"/>
  <c r="AI526" i="5"/>
  <c r="BP526" i="5"/>
  <c r="AM526" i="5"/>
  <c r="AL526" i="5"/>
  <c r="BT524" i="5"/>
  <c r="BU524" i="5"/>
  <c r="BF528" i="5"/>
  <c r="BL528" i="5"/>
  <c r="BG528" i="5"/>
  <c r="BE528" i="5"/>
  <c r="BD529" i="5"/>
  <c r="BU525" i="5" l="1"/>
  <c r="AO526" i="5"/>
  <c r="BN526" i="5"/>
  <c r="AP526" i="5"/>
  <c r="BO526" i="5"/>
  <c r="AG529" i="5"/>
  <c r="Y530" i="5"/>
  <c r="AB529" i="5"/>
  <c r="AA529" i="5"/>
  <c r="Z529" i="5"/>
  <c r="BL529" i="5"/>
  <c r="BF529" i="5"/>
  <c r="BE529" i="5"/>
  <c r="BD530" i="5"/>
  <c r="BG529" i="5"/>
  <c r="BS526" i="5"/>
  <c r="BV526" i="5"/>
  <c r="BT525" i="5"/>
  <c r="BR526" i="5"/>
  <c r="BQ526" i="5"/>
  <c r="AK528" i="5"/>
  <c r="AH528" i="5"/>
  <c r="AN527" i="5"/>
  <c r="AQ527" i="5"/>
  <c r="BM527" i="5"/>
  <c r="AJ527" i="5"/>
  <c r="AI527" i="5"/>
  <c r="BP527" i="5"/>
  <c r="AM527" i="5"/>
  <c r="AL527" i="5"/>
  <c r="BP528" i="5" l="1"/>
  <c r="AM528" i="5"/>
  <c r="AL528" i="5"/>
  <c r="AH529" i="5"/>
  <c r="AK529" i="5"/>
  <c r="AQ528" i="5"/>
  <c r="AN528" i="5"/>
  <c r="BM528" i="5"/>
  <c r="AJ528" i="5"/>
  <c r="AI528" i="5"/>
  <c r="BU526" i="5"/>
  <c r="BR527" i="5"/>
  <c r="BQ527" i="5"/>
  <c r="BT526" i="5"/>
  <c r="AO527" i="5"/>
  <c r="BN527" i="5"/>
  <c r="BE530" i="5"/>
  <c r="BG530" i="5"/>
  <c r="BD531" i="5"/>
  <c r="BL530" i="5"/>
  <c r="BF530" i="5"/>
  <c r="AP527" i="5"/>
  <c r="BO527" i="5"/>
  <c r="BV527" i="5"/>
  <c r="BS527" i="5"/>
  <c r="AA530" i="5"/>
  <c r="Z530" i="5"/>
  <c r="Y531" i="5"/>
  <c r="AG530" i="5"/>
  <c r="AB530" i="5"/>
  <c r="BU527" i="5" l="1"/>
  <c r="BD532" i="5"/>
  <c r="BG531" i="5"/>
  <c r="BF531" i="5"/>
  <c r="BE531" i="5"/>
  <c r="BL531" i="5"/>
  <c r="AO528" i="5"/>
  <c r="BN528" i="5"/>
  <c r="AP528" i="5"/>
  <c r="BO528" i="5"/>
  <c r="BS528" i="5"/>
  <c r="BV528" i="5"/>
  <c r="BT527" i="5"/>
  <c r="AK530" i="5"/>
  <c r="AH530" i="5"/>
  <c r="AG531" i="5"/>
  <c r="AA531" i="5"/>
  <c r="AB531" i="5"/>
  <c r="Z531" i="5"/>
  <c r="Y532" i="5"/>
  <c r="BP529" i="5"/>
  <c r="AM529" i="5"/>
  <c r="AL529" i="5"/>
  <c r="AQ529" i="5"/>
  <c r="AN529" i="5"/>
  <c r="BM529" i="5"/>
  <c r="AJ529" i="5"/>
  <c r="AI529" i="5"/>
  <c r="BR528" i="5"/>
  <c r="BQ528" i="5"/>
  <c r="Z532" i="5" l="1"/>
  <c r="Y533" i="5"/>
  <c r="AG532" i="5"/>
  <c r="AB532" i="5"/>
  <c r="AA532" i="5"/>
  <c r="BU528" i="5"/>
  <c r="AQ530" i="5"/>
  <c r="AN530" i="5"/>
  <c r="BM530" i="5"/>
  <c r="AJ530" i="5"/>
  <c r="AI530" i="5"/>
  <c r="BP530" i="5"/>
  <c r="AM530" i="5"/>
  <c r="AL530" i="5"/>
  <c r="BV529" i="5"/>
  <c r="BS529" i="5"/>
  <c r="BR529" i="5"/>
  <c r="BQ529" i="5"/>
  <c r="BT528" i="5"/>
  <c r="AO529" i="5"/>
  <c r="BN529" i="5"/>
  <c r="AH531" i="5"/>
  <c r="AK531" i="5"/>
  <c r="BL532" i="5"/>
  <c r="BG532" i="5"/>
  <c r="BF532" i="5"/>
  <c r="BD533" i="5"/>
  <c r="BE532" i="5"/>
  <c r="AP529" i="5"/>
  <c r="BO529" i="5"/>
  <c r="BP531" i="5" l="1"/>
  <c r="AM531" i="5"/>
  <c r="AL531" i="5"/>
  <c r="BT529" i="5"/>
  <c r="AO530" i="5"/>
  <c r="BN530" i="5"/>
  <c r="AP530" i="5"/>
  <c r="BO530" i="5"/>
  <c r="BR530" i="5"/>
  <c r="BQ530" i="5"/>
  <c r="BV530" i="5"/>
  <c r="BS530" i="5"/>
  <c r="AQ531" i="5"/>
  <c r="AN531" i="5"/>
  <c r="BM531" i="5"/>
  <c r="AJ531" i="5"/>
  <c r="AI531" i="5"/>
  <c r="AH532" i="5"/>
  <c r="AK532" i="5"/>
  <c r="Y534" i="5"/>
  <c r="AA533" i="5"/>
  <c r="Z533" i="5"/>
  <c r="AG533" i="5"/>
  <c r="AB533" i="5"/>
  <c r="BU529" i="5"/>
  <c r="BE533" i="5"/>
  <c r="BL533" i="5"/>
  <c r="BG533" i="5"/>
  <c r="BF533" i="5"/>
  <c r="BD534" i="5"/>
  <c r="BP532" i="5" l="1"/>
  <c r="AM532" i="5"/>
  <c r="AL532" i="5"/>
  <c r="BD535" i="5"/>
  <c r="BL534" i="5"/>
  <c r="BG534" i="5"/>
  <c r="BF534" i="5"/>
  <c r="BE534" i="5"/>
  <c r="AQ532" i="5"/>
  <c r="AN532" i="5"/>
  <c r="BM532" i="5"/>
  <c r="AJ532" i="5"/>
  <c r="AI532" i="5"/>
  <c r="AO531" i="5"/>
  <c r="BN531" i="5"/>
  <c r="BT530" i="5"/>
  <c r="AP531" i="5"/>
  <c r="BO531" i="5"/>
  <c r="BS531" i="5"/>
  <c r="BV531" i="5"/>
  <c r="AG534" i="5"/>
  <c r="AB534" i="5"/>
  <c r="Z534" i="5"/>
  <c r="Y535" i="5"/>
  <c r="AA534" i="5"/>
  <c r="AH533" i="5"/>
  <c r="AK533" i="5"/>
  <c r="BR531" i="5"/>
  <c r="BQ531" i="5"/>
  <c r="BU530" i="5"/>
  <c r="AQ533" i="5" l="1"/>
  <c r="AN533" i="5"/>
  <c r="BM533" i="5"/>
  <c r="AJ533" i="5"/>
  <c r="AI533" i="5"/>
  <c r="AK534" i="5"/>
  <c r="AH534" i="5"/>
  <c r="BS532" i="5"/>
  <c r="BV532" i="5"/>
  <c r="AP532" i="5"/>
  <c r="BO532" i="5"/>
  <c r="BU531" i="5"/>
  <c r="BG535" i="5"/>
  <c r="BE535" i="5"/>
  <c r="BD536" i="5"/>
  <c r="BL535" i="5"/>
  <c r="BF535" i="5"/>
  <c r="CA535" i="5"/>
  <c r="CA533" i="5"/>
  <c r="CA531" i="5"/>
  <c r="BW531" i="5" s="1"/>
  <c r="Z535" i="5"/>
  <c r="Y536" i="5"/>
  <c r="AG535" i="5"/>
  <c r="AB535" i="5"/>
  <c r="AV535" i="5"/>
  <c r="AA535" i="5"/>
  <c r="AV531" i="5"/>
  <c r="AR531" i="5" s="1"/>
  <c r="BT531" i="5"/>
  <c r="BR532" i="5"/>
  <c r="BQ532" i="5"/>
  <c r="AV529" i="5"/>
  <c r="AR529" i="5" s="1"/>
  <c r="BP533" i="5"/>
  <c r="AM533" i="5"/>
  <c r="AL533" i="5"/>
  <c r="AO532" i="5"/>
  <c r="BN532" i="5"/>
  <c r="BT532" i="5" l="1"/>
  <c r="BR533" i="5"/>
  <c r="BQ533" i="5"/>
  <c r="AQ534" i="5"/>
  <c r="AN534" i="5"/>
  <c r="BM534" i="5"/>
  <c r="AJ534" i="5"/>
  <c r="AI534" i="5"/>
  <c r="AK535" i="5"/>
  <c r="AH535" i="5"/>
  <c r="BP534" i="5"/>
  <c r="AM534" i="5"/>
  <c r="AL534" i="5"/>
  <c r="AV536" i="5"/>
  <c r="Y537" i="5"/>
  <c r="Z536" i="5"/>
  <c r="AA536" i="5"/>
  <c r="AG536" i="5"/>
  <c r="AB536" i="5"/>
  <c r="AV533" i="5"/>
  <c r="AR533" i="5" s="1"/>
  <c r="AV530" i="5"/>
  <c r="AR530" i="5" s="1"/>
  <c r="AV532" i="5"/>
  <c r="AR532" i="5" s="1"/>
  <c r="AV528" i="5"/>
  <c r="AR528" i="5" s="1"/>
  <c r="AV534" i="5"/>
  <c r="BG536" i="5"/>
  <c r="CA536" i="5"/>
  <c r="BL536" i="5"/>
  <c r="BD537" i="5"/>
  <c r="BF536" i="5"/>
  <c r="BE536" i="5"/>
  <c r="CA530" i="5"/>
  <c r="BW530" i="5" s="1"/>
  <c r="CA528" i="5"/>
  <c r="BW528" i="5" s="1"/>
  <c r="CA532" i="5"/>
  <c r="BW532" i="5" s="1"/>
  <c r="CA534" i="5"/>
  <c r="AO533" i="5"/>
  <c r="BN533" i="5"/>
  <c r="AP533" i="5"/>
  <c r="BO533" i="5"/>
  <c r="BS533" i="5"/>
  <c r="BV533" i="5"/>
  <c r="BU532" i="5"/>
  <c r="BP535" i="5" l="1"/>
  <c r="AM535" i="5"/>
  <c r="AL535" i="5"/>
  <c r="BR534" i="5"/>
  <c r="BQ534" i="5"/>
  <c r="AN535" i="5"/>
  <c r="AQ535" i="5"/>
  <c r="BM535" i="5"/>
  <c r="AJ535" i="5"/>
  <c r="AI535" i="5"/>
  <c r="BW533" i="5"/>
  <c r="BT533" i="5"/>
  <c r="BF537" i="5"/>
  <c r="BD538" i="5"/>
  <c r="BL537" i="5"/>
  <c r="BG537" i="5"/>
  <c r="BE537" i="5"/>
  <c r="AO534" i="5"/>
  <c r="AR534" i="5"/>
  <c r="BN534" i="5"/>
  <c r="AK536" i="5"/>
  <c r="AH536" i="5"/>
  <c r="AP534" i="5"/>
  <c r="BO534" i="5"/>
  <c r="BV534" i="5"/>
  <c r="BS534" i="5"/>
  <c r="AB537" i="5"/>
  <c r="Z537" i="5"/>
  <c r="Y538" i="5"/>
  <c r="AG537" i="5"/>
  <c r="AA537" i="5"/>
  <c r="BU533" i="5"/>
  <c r="AK537" i="5" l="1"/>
  <c r="AH537" i="5"/>
  <c r="BW534" i="5"/>
  <c r="BT534" i="5"/>
  <c r="AG538" i="5"/>
  <c r="AB538" i="5"/>
  <c r="AA538" i="5"/>
  <c r="Z538" i="5"/>
  <c r="Y539" i="5"/>
  <c r="AR535" i="5"/>
  <c r="AO535" i="5"/>
  <c r="BN535" i="5"/>
  <c r="AP535" i="5"/>
  <c r="BO535" i="5"/>
  <c r="BV535" i="5"/>
  <c r="BS535" i="5"/>
  <c r="BU534" i="5"/>
  <c r="BE538" i="5"/>
  <c r="BG538" i="5"/>
  <c r="BF538" i="5"/>
  <c r="BD539" i="5"/>
  <c r="BL538" i="5"/>
  <c r="AQ536" i="5"/>
  <c r="AN536" i="5"/>
  <c r="BM536" i="5"/>
  <c r="AJ536" i="5"/>
  <c r="AI536" i="5"/>
  <c r="BP536" i="5"/>
  <c r="AM536" i="5"/>
  <c r="AL536" i="5"/>
  <c r="BR535" i="5"/>
  <c r="BQ535" i="5"/>
  <c r="AG539" i="5" l="1"/>
  <c r="AB539" i="5"/>
  <c r="Y540" i="5"/>
  <c r="AA539" i="5"/>
  <c r="Z539" i="5"/>
  <c r="BU535" i="5"/>
  <c r="AK538" i="5"/>
  <c r="AH538" i="5"/>
  <c r="BT535" i="5"/>
  <c r="BW535" i="5"/>
  <c r="BV536" i="5"/>
  <c r="BS536" i="5"/>
  <c r="BR536" i="5"/>
  <c r="BQ536" i="5"/>
  <c r="AR536" i="5"/>
  <c r="AO536" i="5"/>
  <c r="BN536" i="5"/>
  <c r="BD540" i="5"/>
  <c r="BE539" i="5"/>
  <c r="BL539" i="5"/>
  <c r="BF539" i="5"/>
  <c r="BG539" i="5"/>
  <c r="AP536" i="5"/>
  <c r="BO536" i="5"/>
  <c r="AI538" i="5"/>
  <c r="AQ537" i="5"/>
  <c r="AN537" i="5"/>
  <c r="AI537" i="5"/>
  <c r="BM537" i="5"/>
  <c r="AJ537" i="5"/>
  <c r="AL538" i="5"/>
  <c r="BP537" i="5"/>
  <c r="AL537" i="5"/>
  <c r="AM537" i="5"/>
  <c r="AP537" i="5" l="1"/>
  <c r="BO537" i="5"/>
  <c r="BW536" i="5"/>
  <c r="BT536" i="5"/>
  <c r="BU536" i="5"/>
  <c r="BS537" i="5"/>
  <c r="BV537" i="5"/>
  <c r="BQ537" i="5"/>
  <c r="BR537" i="5"/>
  <c r="Z540" i="5"/>
  <c r="AA540" i="5"/>
  <c r="AG540" i="5"/>
  <c r="AB540" i="5"/>
  <c r="Y541" i="5"/>
  <c r="AQ538" i="5"/>
  <c r="AN538" i="5"/>
  <c r="BM538" i="5"/>
  <c r="AJ538" i="5"/>
  <c r="AO538" i="5"/>
  <c r="BN538" i="5"/>
  <c r="AO537" i="5"/>
  <c r="BN537" i="5"/>
  <c r="AI539" i="5"/>
  <c r="BG540" i="5"/>
  <c r="BF540" i="5"/>
  <c r="BE540" i="5"/>
  <c r="BD541" i="5"/>
  <c r="BL540" i="5"/>
  <c r="BP538" i="5"/>
  <c r="BR538" i="5" s="1"/>
  <c r="AM538" i="5"/>
  <c r="AK539" i="5"/>
  <c r="AH539" i="5"/>
  <c r="Y542" i="5" l="1"/>
  <c r="AG541" i="5"/>
  <c r="AB541" i="5"/>
  <c r="AA541" i="5"/>
  <c r="Z541" i="5"/>
  <c r="BQ538" i="5"/>
  <c r="BD542" i="5"/>
  <c r="BF541" i="5"/>
  <c r="BE541" i="5"/>
  <c r="BL541" i="5"/>
  <c r="BG541" i="5"/>
  <c r="BT538" i="5"/>
  <c r="AK540" i="5"/>
  <c r="AH540" i="5"/>
  <c r="BQ539" i="5"/>
  <c r="AP538" i="5"/>
  <c r="BO538" i="5"/>
  <c r="BS538" i="5"/>
  <c r="BV538" i="5"/>
  <c r="AN539" i="5"/>
  <c r="AQ539" i="5"/>
  <c r="BM539" i="5"/>
  <c r="AJ539" i="5"/>
  <c r="BP539" i="5"/>
  <c r="AM539" i="5"/>
  <c r="AL540" i="5"/>
  <c r="AL539" i="5"/>
  <c r="AO539" i="5"/>
  <c r="BN539" i="5"/>
  <c r="BT537" i="5"/>
  <c r="BU537" i="5"/>
  <c r="AN540" i="5" l="1"/>
  <c r="AQ540" i="5"/>
  <c r="BM540" i="5"/>
  <c r="AJ540" i="5"/>
  <c r="BP540" i="5"/>
  <c r="AM540" i="5"/>
  <c r="AI540" i="5"/>
  <c r="BR539" i="5"/>
  <c r="BU538" i="5"/>
  <c r="BD543" i="5"/>
  <c r="BF542" i="5"/>
  <c r="BL542" i="5"/>
  <c r="BE542" i="5"/>
  <c r="BG542" i="5"/>
  <c r="AP539" i="5"/>
  <c r="BO539" i="5"/>
  <c r="AK541" i="5"/>
  <c r="AH541" i="5"/>
  <c r="BT539" i="5"/>
  <c r="BV539" i="5"/>
  <c r="BS539" i="5"/>
  <c r="AB542" i="5"/>
  <c r="Y543" i="5"/>
  <c r="Z542" i="5"/>
  <c r="AG542" i="5"/>
  <c r="AA542" i="5"/>
  <c r="BU539" i="5" l="1"/>
  <c r="AH542" i="5"/>
  <c r="AK542" i="5"/>
  <c r="BR540" i="5"/>
  <c r="BQ540" i="5"/>
  <c r="Z543" i="5"/>
  <c r="AA543" i="5"/>
  <c r="Y544" i="5"/>
  <c r="AG543" i="5"/>
  <c r="AB543" i="5"/>
  <c r="BL543" i="5"/>
  <c r="BD544" i="5"/>
  <c r="BE543" i="5"/>
  <c r="BG543" i="5"/>
  <c r="BF543" i="5"/>
  <c r="AI541" i="5"/>
  <c r="AP540" i="5"/>
  <c r="BO540" i="5"/>
  <c r="BS540" i="5"/>
  <c r="BV540" i="5"/>
  <c r="AN541" i="5"/>
  <c r="AQ541" i="5"/>
  <c r="BM541" i="5"/>
  <c r="AJ541" i="5"/>
  <c r="AO540" i="5"/>
  <c r="BN540" i="5"/>
  <c r="BP541" i="5"/>
  <c r="AM541" i="5"/>
  <c r="AL542" i="5"/>
  <c r="AL541" i="5"/>
  <c r="BP542" i="5" l="1"/>
  <c r="AM542" i="5"/>
  <c r="AN542" i="5"/>
  <c r="AQ542" i="5"/>
  <c r="BM542" i="5"/>
  <c r="AJ542" i="5"/>
  <c r="BR541" i="5"/>
  <c r="BQ542" i="5"/>
  <c r="AI542" i="5"/>
  <c r="BU540" i="5"/>
  <c r="BL544" i="5"/>
  <c r="BE544" i="5"/>
  <c r="BG544" i="5"/>
  <c r="BD545" i="5"/>
  <c r="BF544" i="5"/>
  <c r="BV541" i="5"/>
  <c r="BS541" i="5"/>
  <c r="BT540" i="5"/>
  <c r="AP541" i="5"/>
  <c r="BO541" i="5"/>
  <c r="AO541" i="5"/>
  <c r="BN541" i="5"/>
  <c r="AK543" i="5"/>
  <c r="AH543" i="5"/>
  <c r="Y545" i="5"/>
  <c r="AA544" i="5"/>
  <c r="AB544" i="5"/>
  <c r="AG544" i="5"/>
  <c r="Z544" i="5"/>
  <c r="BQ541" i="5"/>
  <c r="AL543" i="5"/>
  <c r="AQ543" i="5" l="1"/>
  <c r="AN543" i="5"/>
  <c r="BM543" i="5"/>
  <c r="AJ543" i="5"/>
  <c r="AI543" i="5"/>
  <c r="BP543" i="5"/>
  <c r="AM543" i="5"/>
  <c r="AL544" i="5"/>
  <c r="BT541" i="5"/>
  <c r="AP542" i="5"/>
  <c r="BO542" i="5"/>
  <c r="BS542" i="5"/>
  <c r="BV542" i="5"/>
  <c r="BU541" i="5"/>
  <c r="BR542" i="5"/>
  <c r="AK544" i="5"/>
  <c r="AH544" i="5"/>
  <c r="Y546" i="5"/>
  <c r="Z545" i="5"/>
  <c r="AG545" i="5"/>
  <c r="AB545" i="5"/>
  <c r="AA545" i="5"/>
  <c r="AO542" i="5"/>
  <c r="BN542" i="5"/>
  <c r="BF545" i="5"/>
  <c r="BG545" i="5"/>
  <c r="BE545" i="5"/>
  <c r="BL545" i="5"/>
  <c r="BD546" i="5"/>
  <c r="BL546" i="5" l="1"/>
  <c r="BE546" i="5"/>
  <c r="BD547" i="5"/>
  <c r="BG546" i="5"/>
  <c r="BF546" i="5"/>
  <c r="BU542" i="5"/>
  <c r="Y547" i="5"/>
  <c r="AB546" i="5"/>
  <c r="Z546" i="5"/>
  <c r="AG546" i="5"/>
  <c r="AA546" i="5"/>
  <c r="AN544" i="5"/>
  <c r="AQ544" i="5"/>
  <c r="BM544" i="5"/>
  <c r="AJ544" i="5"/>
  <c r="AP543" i="5"/>
  <c r="BO543" i="5"/>
  <c r="BP544" i="5"/>
  <c r="BQ544" i="5" s="1"/>
  <c r="AM544" i="5"/>
  <c r="BV543" i="5"/>
  <c r="BS543" i="5"/>
  <c r="BR543" i="5"/>
  <c r="BQ543" i="5"/>
  <c r="AO543" i="5"/>
  <c r="BN543" i="5"/>
  <c r="BT542" i="5"/>
  <c r="AI544" i="5"/>
  <c r="AK545" i="5"/>
  <c r="AH545" i="5"/>
  <c r="BP545" i="5" l="1"/>
  <c r="AM545" i="5"/>
  <c r="AL545" i="5"/>
  <c r="BT543" i="5"/>
  <c r="BE547" i="5"/>
  <c r="BF547" i="5"/>
  <c r="BD548" i="5"/>
  <c r="BG547" i="5"/>
  <c r="BL547" i="5"/>
  <c r="AA547" i="5"/>
  <c r="Y548" i="5"/>
  <c r="AG547" i="5"/>
  <c r="AB547" i="5"/>
  <c r="Z547" i="5"/>
  <c r="BR544" i="5"/>
  <c r="BU543" i="5"/>
  <c r="AQ545" i="5"/>
  <c r="AN545" i="5"/>
  <c r="BM545" i="5"/>
  <c r="AJ545" i="5"/>
  <c r="AI545" i="5"/>
  <c r="AP544" i="5"/>
  <c r="BO544" i="5"/>
  <c r="AO544" i="5"/>
  <c r="BN544" i="5"/>
  <c r="BV544" i="5"/>
  <c r="BS544" i="5"/>
  <c r="AH546" i="5"/>
  <c r="AK546" i="5"/>
  <c r="AQ546" i="5" l="1"/>
  <c r="AN546" i="5"/>
  <c r="BM546" i="5"/>
  <c r="AJ546" i="5"/>
  <c r="AI546" i="5"/>
  <c r="BP546" i="5"/>
  <c r="AM546" i="5"/>
  <c r="AL546" i="5"/>
  <c r="BT544" i="5"/>
  <c r="AK547" i="5"/>
  <c r="AH547" i="5"/>
  <c r="BF548" i="5"/>
  <c r="BE548" i="5"/>
  <c r="BL548" i="5"/>
  <c r="BG548" i="5"/>
  <c r="BD549" i="5"/>
  <c r="AG548" i="5"/>
  <c r="Y549" i="5"/>
  <c r="Z548" i="5"/>
  <c r="AB548" i="5"/>
  <c r="AA548" i="5"/>
  <c r="BU544" i="5"/>
  <c r="BR545" i="5"/>
  <c r="BQ545" i="5"/>
  <c r="AO545" i="5"/>
  <c r="BN545" i="5"/>
  <c r="AP545" i="5"/>
  <c r="BO545" i="5"/>
  <c r="BV545" i="5"/>
  <c r="BS545" i="5"/>
  <c r="BD550" i="5" l="1"/>
  <c r="BG549" i="5"/>
  <c r="BL549" i="5"/>
  <c r="BF549" i="5"/>
  <c r="BE549" i="5"/>
  <c r="BR546" i="5"/>
  <c r="BQ546" i="5"/>
  <c r="AQ547" i="5"/>
  <c r="AN547" i="5"/>
  <c r="BM547" i="5"/>
  <c r="AJ547" i="5"/>
  <c r="AI547" i="5"/>
  <c r="AB549" i="5"/>
  <c r="AG549" i="5"/>
  <c r="AA549" i="5"/>
  <c r="Y550" i="5"/>
  <c r="Z549" i="5"/>
  <c r="AO546" i="5"/>
  <c r="BN546" i="5"/>
  <c r="BT545" i="5"/>
  <c r="AK548" i="5"/>
  <c r="AH548" i="5"/>
  <c r="AP546" i="5"/>
  <c r="BO546" i="5"/>
  <c r="BU545" i="5"/>
  <c r="BV546" i="5"/>
  <c r="BS546" i="5"/>
  <c r="BP547" i="5"/>
  <c r="AM547" i="5"/>
  <c r="AL547" i="5"/>
  <c r="AO547" i="5" l="1"/>
  <c r="BN547" i="5"/>
  <c r="AP547" i="5"/>
  <c r="BO547" i="5"/>
  <c r="BV547" i="5"/>
  <c r="BS547" i="5"/>
  <c r="AG550" i="5"/>
  <c r="AB550" i="5"/>
  <c r="AA550" i="5"/>
  <c r="Z550" i="5"/>
  <c r="Y551" i="5"/>
  <c r="BR547" i="5"/>
  <c r="BQ547" i="5"/>
  <c r="BT546" i="5"/>
  <c r="AH549" i="5"/>
  <c r="AK549" i="5"/>
  <c r="BU546" i="5"/>
  <c r="AN548" i="5"/>
  <c r="AQ548" i="5"/>
  <c r="BM548" i="5"/>
  <c r="AJ548" i="5"/>
  <c r="AI548" i="5"/>
  <c r="BP548" i="5"/>
  <c r="AM548" i="5"/>
  <c r="AL548" i="5"/>
  <c r="BG550" i="5"/>
  <c r="BL550" i="5"/>
  <c r="BD551" i="5"/>
  <c r="BF550" i="5"/>
  <c r="BE550" i="5"/>
  <c r="BF551" i="5" l="1"/>
  <c r="BD552" i="5"/>
  <c r="BG551" i="5"/>
  <c r="BL551" i="5"/>
  <c r="BE551" i="5"/>
  <c r="AK550" i="5"/>
  <c r="AH550" i="5"/>
  <c r="BU547" i="5"/>
  <c r="BV548" i="5"/>
  <c r="BS548" i="5"/>
  <c r="BP549" i="5"/>
  <c r="AM549" i="5"/>
  <c r="AL549" i="5"/>
  <c r="AQ549" i="5"/>
  <c r="AN549" i="5"/>
  <c r="BM549" i="5"/>
  <c r="AJ549" i="5"/>
  <c r="AI549" i="5"/>
  <c r="Y552" i="5"/>
  <c r="AG551" i="5"/>
  <c r="AB551" i="5"/>
  <c r="AA551" i="5"/>
  <c r="Z551" i="5"/>
  <c r="BT547" i="5"/>
  <c r="BR548" i="5"/>
  <c r="BQ548" i="5"/>
  <c r="AO548" i="5"/>
  <c r="BN548" i="5"/>
  <c r="AP548" i="5"/>
  <c r="BO548" i="5"/>
  <c r="AK551" i="5" l="1"/>
  <c r="AH551" i="5"/>
  <c r="BR549" i="5"/>
  <c r="BQ549" i="5"/>
  <c r="AB552" i="5"/>
  <c r="AG552" i="5"/>
  <c r="AA552" i="5"/>
  <c r="Z552" i="5"/>
  <c r="Y553" i="5"/>
  <c r="AO549" i="5"/>
  <c r="BN549" i="5"/>
  <c r="BT548" i="5"/>
  <c r="AP549" i="5"/>
  <c r="BO549" i="5"/>
  <c r="AN550" i="5"/>
  <c r="AQ550" i="5"/>
  <c r="BM550" i="5"/>
  <c r="AJ550" i="5"/>
  <c r="AI550" i="5"/>
  <c r="BU548" i="5"/>
  <c r="BS549" i="5"/>
  <c r="BV549" i="5"/>
  <c r="BP550" i="5"/>
  <c r="AM550" i="5"/>
  <c r="AL550" i="5"/>
  <c r="BD553" i="5"/>
  <c r="BF552" i="5"/>
  <c r="BL552" i="5"/>
  <c r="BE552" i="5"/>
  <c r="BG552" i="5"/>
  <c r="BT549" i="5" l="1"/>
  <c r="AA553" i="5"/>
  <c r="AB553" i="5"/>
  <c r="Y554" i="5"/>
  <c r="AG553" i="5"/>
  <c r="Z553" i="5"/>
  <c r="AO550" i="5"/>
  <c r="BN550" i="5"/>
  <c r="AP550" i="5"/>
  <c r="BO550" i="5"/>
  <c r="AK552" i="5"/>
  <c r="AH552" i="5"/>
  <c r="BF553" i="5"/>
  <c r="BE553" i="5"/>
  <c r="BL553" i="5"/>
  <c r="BD554" i="5"/>
  <c r="BG553" i="5"/>
  <c r="BU549" i="5"/>
  <c r="BR550" i="5"/>
  <c r="BQ550" i="5"/>
  <c r="AN551" i="5"/>
  <c r="AQ551" i="5"/>
  <c r="BM551" i="5"/>
  <c r="AJ551" i="5"/>
  <c r="AI551" i="5"/>
  <c r="BP551" i="5"/>
  <c r="AM551" i="5"/>
  <c r="AL551" i="5"/>
  <c r="BS550" i="5"/>
  <c r="BV550" i="5"/>
  <c r="BE554" i="5" l="1"/>
  <c r="BG554" i="5"/>
  <c r="BF554" i="5"/>
  <c r="BD555" i="5"/>
  <c r="BL554" i="5"/>
  <c r="BR551" i="5"/>
  <c r="BQ551" i="5"/>
  <c r="AO551" i="5"/>
  <c r="BN551" i="5"/>
  <c r="AK553" i="5"/>
  <c r="AH553" i="5"/>
  <c r="BV551" i="5"/>
  <c r="BS551" i="5"/>
  <c r="Y555" i="5"/>
  <c r="AA554" i="5"/>
  <c r="AG554" i="5"/>
  <c r="AB554" i="5"/>
  <c r="Z554" i="5"/>
  <c r="AN552" i="5"/>
  <c r="AQ552" i="5"/>
  <c r="BM552" i="5"/>
  <c r="AJ552" i="5"/>
  <c r="AI552" i="5"/>
  <c r="BP552" i="5"/>
  <c r="AM552" i="5"/>
  <c r="AL552" i="5"/>
  <c r="BU550" i="5"/>
  <c r="BT550" i="5"/>
  <c r="AP551" i="5"/>
  <c r="BO551" i="5"/>
  <c r="BU551" i="5" l="1"/>
  <c r="AP552" i="5"/>
  <c r="BO552" i="5"/>
  <c r="AK554" i="5"/>
  <c r="AH554" i="5"/>
  <c r="AO552" i="5"/>
  <c r="BN552" i="5"/>
  <c r="BV552" i="5"/>
  <c r="BS552" i="5"/>
  <c r="Z555" i="5"/>
  <c r="AB555" i="5"/>
  <c r="AG555" i="5"/>
  <c r="Y556" i="5"/>
  <c r="AA555" i="5"/>
  <c r="BF555" i="5"/>
  <c r="BG555" i="5"/>
  <c r="BD556" i="5"/>
  <c r="BE555" i="5"/>
  <c r="BL555" i="5"/>
  <c r="AQ553" i="5"/>
  <c r="AN553" i="5"/>
  <c r="BM553" i="5"/>
  <c r="AJ553" i="5"/>
  <c r="AI553" i="5"/>
  <c r="BP553" i="5"/>
  <c r="AM553" i="5"/>
  <c r="AL553" i="5"/>
  <c r="BR552" i="5"/>
  <c r="BQ552" i="5"/>
  <c r="BT551" i="5"/>
  <c r="BT552" i="5" l="1"/>
  <c r="BR553" i="5"/>
  <c r="BQ553" i="5"/>
  <c r="AQ554" i="5"/>
  <c r="AN554" i="5"/>
  <c r="BM554" i="5"/>
  <c r="AJ554" i="5"/>
  <c r="AI554" i="5"/>
  <c r="AO553" i="5"/>
  <c r="BN553" i="5"/>
  <c r="BL556" i="5"/>
  <c r="BD557" i="5"/>
  <c r="BF556" i="5"/>
  <c r="BE556" i="5"/>
  <c r="BG556" i="5"/>
  <c r="Z556" i="5"/>
  <c r="Y557" i="5"/>
  <c r="AB556" i="5"/>
  <c r="AA556" i="5"/>
  <c r="AG556" i="5"/>
  <c r="BP554" i="5"/>
  <c r="AM554" i="5"/>
  <c r="AL554" i="5"/>
  <c r="AP553" i="5"/>
  <c r="BO553" i="5"/>
  <c r="AH555" i="5"/>
  <c r="AK555" i="5"/>
  <c r="BU552" i="5"/>
  <c r="BV553" i="5"/>
  <c r="BS553" i="5"/>
  <c r="AO554" i="5" l="1"/>
  <c r="BN554" i="5"/>
  <c r="AP554" i="5"/>
  <c r="BO554" i="5"/>
  <c r="AQ555" i="5"/>
  <c r="AN555" i="5"/>
  <c r="BM555" i="5"/>
  <c r="AJ555" i="5"/>
  <c r="AI555" i="5"/>
  <c r="AH556" i="5"/>
  <c r="AK556" i="5"/>
  <c r="BU553" i="5"/>
  <c r="BV554" i="5"/>
  <c r="BS554" i="5"/>
  <c r="BP555" i="5"/>
  <c r="AM555" i="5"/>
  <c r="AL555" i="5"/>
  <c r="AA557" i="5"/>
  <c r="Y558" i="5"/>
  <c r="AG557" i="5"/>
  <c r="AB557" i="5"/>
  <c r="Z557" i="5"/>
  <c r="BE557" i="5"/>
  <c r="BF557" i="5"/>
  <c r="BD558" i="5"/>
  <c r="BL557" i="5"/>
  <c r="BG557" i="5"/>
  <c r="BR554" i="5"/>
  <c r="BQ554" i="5"/>
  <c r="BT553" i="5"/>
  <c r="BL558" i="5" l="1"/>
  <c r="BG558" i="5"/>
  <c r="BF558" i="5"/>
  <c r="BE558" i="5"/>
  <c r="BD559" i="5"/>
  <c r="AG558" i="5"/>
  <c r="Y559" i="5"/>
  <c r="AB558" i="5"/>
  <c r="AA558" i="5"/>
  <c r="Z558" i="5"/>
  <c r="AP555" i="5"/>
  <c r="BO555" i="5"/>
  <c r="BV555" i="5"/>
  <c r="BS555" i="5"/>
  <c r="BR555" i="5"/>
  <c r="BQ555" i="5"/>
  <c r="BU554" i="5"/>
  <c r="BT554" i="5"/>
  <c r="BP556" i="5"/>
  <c r="AM556" i="5"/>
  <c r="AL556" i="5"/>
  <c r="AK557" i="5"/>
  <c r="AH557" i="5"/>
  <c r="AQ556" i="5"/>
  <c r="AN556" i="5"/>
  <c r="BM556" i="5"/>
  <c r="AJ556" i="5"/>
  <c r="AI556" i="5"/>
  <c r="AO555" i="5"/>
  <c r="BN555" i="5"/>
  <c r="BR556" i="5" l="1"/>
  <c r="BQ556" i="5"/>
  <c r="BS556" i="5"/>
  <c r="BV556" i="5"/>
  <c r="BL559" i="5"/>
  <c r="BG559" i="5"/>
  <c r="BD560" i="5"/>
  <c r="BF559" i="5"/>
  <c r="BE559" i="5"/>
  <c r="BT555" i="5"/>
  <c r="AO556" i="5"/>
  <c r="BN556" i="5"/>
  <c r="AP556" i="5"/>
  <c r="BO556" i="5"/>
  <c r="BP557" i="5"/>
  <c r="AM557" i="5"/>
  <c r="AL557" i="5"/>
  <c r="BU555" i="5"/>
  <c r="Z559" i="5"/>
  <c r="Y560" i="5"/>
  <c r="AB559" i="5"/>
  <c r="AA559" i="5"/>
  <c r="AG559" i="5"/>
  <c r="AQ557" i="5"/>
  <c r="AN557" i="5"/>
  <c r="BM557" i="5"/>
  <c r="AJ557" i="5"/>
  <c r="AI557" i="5"/>
  <c r="AK558" i="5"/>
  <c r="AH558" i="5"/>
  <c r="BU556" i="5" l="1"/>
  <c r="AK559" i="5"/>
  <c r="AH559" i="5"/>
  <c r="AO557" i="5"/>
  <c r="BN557" i="5"/>
  <c r="BT556" i="5"/>
  <c r="AQ558" i="5"/>
  <c r="AN558" i="5"/>
  <c r="BM558" i="5"/>
  <c r="AJ558" i="5"/>
  <c r="AI558" i="5"/>
  <c r="BV557" i="5"/>
  <c r="BS557" i="5"/>
  <c r="AG560" i="5"/>
  <c r="Y561" i="5"/>
  <c r="AB560" i="5"/>
  <c r="AA560" i="5"/>
  <c r="Z560" i="5"/>
  <c r="BP558" i="5"/>
  <c r="AM558" i="5"/>
  <c r="AL558" i="5"/>
  <c r="AP557" i="5"/>
  <c r="BO557" i="5"/>
  <c r="BE560" i="5"/>
  <c r="BF560" i="5"/>
  <c r="BD561" i="5"/>
  <c r="BG560" i="5"/>
  <c r="BL560" i="5"/>
  <c r="BR557" i="5"/>
  <c r="BQ557" i="5"/>
  <c r="BU557" i="5" l="1"/>
  <c r="BV558" i="5"/>
  <c r="BS558" i="5"/>
  <c r="BR558" i="5"/>
  <c r="BQ558" i="5"/>
  <c r="AG561" i="5"/>
  <c r="AB561" i="5"/>
  <c r="Y562" i="5"/>
  <c r="AA561" i="5"/>
  <c r="Z561" i="5"/>
  <c r="BT557" i="5"/>
  <c r="AK560" i="5"/>
  <c r="AH560" i="5"/>
  <c r="BD562" i="5"/>
  <c r="BE561" i="5"/>
  <c r="BF561" i="5"/>
  <c r="BL561" i="5"/>
  <c r="BG561" i="5"/>
  <c r="AQ559" i="5"/>
  <c r="AN559" i="5"/>
  <c r="BM559" i="5"/>
  <c r="AJ559" i="5"/>
  <c r="AI559" i="5"/>
  <c r="BP559" i="5"/>
  <c r="AM559" i="5"/>
  <c r="AL559" i="5"/>
  <c r="AO558" i="5"/>
  <c r="BN558" i="5"/>
  <c r="AP558" i="5"/>
  <c r="BO558" i="5"/>
  <c r="BR559" i="5" l="1"/>
  <c r="BQ559" i="5"/>
  <c r="AO559" i="5"/>
  <c r="BN559" i="5"/>
  <c r="AH561" i="5"/>
  <c r="AK561" i="5"/>
  <c r="AP559" i="5"/>
  <c r="BO559" i="5"/>
  <c r="BS559" i="5"/>
  <c r="BV559" i="5"/>
  <c r="BU558" i="5"/>
  <c r="BG562" i="5"/>
  <c r="BD563" i="5"/>
  <c r="BF562" i="5"/>
  <c r="BE562" i="5"/>
  <c r="BL562" i="5"/>
  <c r="BP560" i="5"/>
  <c r="AM560" i="5"/>
  <c r="AL560" i="5"/>
  <c r="BT558" i="5"/>
  <c r="AQ560" i="5"/>
  <c r="AN560" i="5"/>
  <c r="BM560" i="5"/>
  <c r="AJ560" i="5"/>
  <c r="AI560" i="5"/>
  <c r="Z562" i="5"/>
  <c r="AA562" i="5"/>
  <c r="Y563" i="5"/>
  <c r="AG562" i="5"/>
  <c r="AB562" i="5"/>
  <c r="AO560" i="5" l="1"/>
  <c r="BN560" i="5"/>
  <c r="BU559" i="5"/>
  <c r="BS560" i="5"/>
  <c r="BV560" i="5"/>
  <c r="AP560" i="5"/>
  <c r="BO560" i="5"/>
  <c r="BP561" i="5"/>
  <c r="AM561" i="5"/>
  <c r="AL561" i="5"/>
  <c r="AN561" i="5"/>
  <c r="AQ561" i="5"/>
  <c r="BM561" i="5"/>
  <c r="AJ561" i="5"/>
  <c r="AI561" i="5"/>
  <c r="AK562" i="5"/>
  <c r="AH562" i="5"/>
  <c r="BT559" i="5"/>
  <c r="BE563" i="5"/>
  <c r="BD564" i="5"/>
  <c r="BL563" i="5"/>
  <c r="BG563" i="5"/>
  <c r="BF563" i="5"/>
  <c r="Y564" i="5"/>
  <c r="AG563" i="5"/>
  <c r="AB563" i="5"/>
  <c r="AA563" i="5"/>
  <c r="Z563" i="5"/>
  <c r="BR560" i="5"/>
  <c r="BQ560" i="5"/>
  <c r="BU560" i="5" l="1"/>
  <c r="AN562" i="5"/>
  <c r="AQ562" i="5"/>
  <c r="BM562" i="5"/>
  <c r="AJ562" i="5"/>
  <c r="AI562" i="5"/>
  <c r="BP562" i="5"/>
  <c r="AM562" i="5"/>
  <c r="AL562" i="5"/>
  <c r="AO561" i="5"/>
  <c r="BN561" i="5"/>
  <c r="AP561" i="5"/>
  <c r="BO561" i="5"/>
  <c r="BV561" i="5"/>
  <c r="BS561" i="5"/>
  <c r="AK563" i="5"/>
  <c r="AH563" i="5"/>
  <c r="BT560" i="5"/>
  <c r="AB564" i="5"/>
  <c r="AA564" i="5"/>
  <c r="Z564" i="5"/>
  <c r="Y565" i="5"/>
  <c r="AG564" i="5"/>
  <c r="BD565" i="5"/>
  <c r="BF564" i="5"/>
  <c r="BL564" i="5"/>
  <c r="BG564" i="5"/>
  <c r="BE564" i="5"/>
  <c r="BR561" i="5"/>
  <c r="BQ561" i="5"/>
  <c r="AQ563" i="5" l="1"/>
  <c r="AN563" i="5"/>
  <c r="BM563" i="5"/>
  <c r="AJ563" i="5"/>
  <c r="AI563" i="5"/>
  <c r="BR562" i="5"/>
  <c r="BQ562" i="5"/>
  <c r="CA561" i="5"/>
  <c r="BW561" i="5" s="1"/>
  <c r="BP563" i="5"/>
  <c r="AM563" i="5"/>
  <c r="AL563" i="5"/>
  <c r="AO562" i="5"/>
  <c r="BN562" i="5"/>
  <c r="AP562" i="5"/>
  <c r="BO562" i="5"/>
  <c r="AK564" i="5"/>
  <c r="AH564" i="5"/>
  <c r="BV562" i="5"/>
  <c r="BS562" i="5"/>
  <c r="BU561" i="5"/>
  <c r="Z565" i="5"/>
  <c r="Y566" i="5"/>
  <c r="AV565" i="5"/>
  <c r="AB565" i="5"/>
  <c r="AA565" i="5"/>
  <c r="AG565" i="5"/>
  <c r="AV563" i="5"/>
  <c r="AV559" i="5"/>
  <c r="AR559" i="5" s="1"/>
  <c r="AV561" i="5"/>
  <c r="AR561" i="5" s="1"/>
  <c r="AV557" i="5"/>
  <c r="AR557" i="5" s="1"/>
  <c r="BT561" i="5"/>
  <c r="BD566" i="5"/>
  <c r="CA565" i="5"/>
  <c r="BL565" i="5"/>
  <c r="BG565" i="5"/>
  <c r="BF565" i="5"/>
  <c r="BE565" i="5"/>
  <c r="CA563" i="5"/>
  <c r="BR563" i="5" l="1"/>
  <c r="BQ563" i="5"/>
  <c r="AN564" i="5"/>
  <c r="AQ564" i="5"/>
  <c r="BM564" i="5"/>
  <c r="AJ564" i="5"/>
  <c r="AI564" i="5"/>
  <c r="BL566" i="5"/>
  <c r="CA566" i="5"/>
  <c r="BG566" i="5"/>
  <c r="BF566" i="5"/>
  <c r="BD567" i="5"/>
  <c r="BE566" i="5"/>
  <c r="CA560" i="5"/>
  <c r="BW560" i="5" s="1"/>
  <c r="CA564" i="5"/>
  <c r="BP564" i="5"/>
  <c r="AM564" i="5"/>
  <c r="AL564" i="5"/>
  <c r="AK565" i="5"/>
  <c r="AH565" i="5"/>
  <c r="BU562" i="5"/>
  <c r="AR563" i="5"/>
  <c r="AO563" i="5"/>
  <c r="BN563" i="5"/>
  <c r="AP563" i="5"/>
  <c r="BO563" i="5"/>
  <c r="BV563" i="5"/>
  <c r="BS563" i="5"/>
  <c r="BW562" i="5"/>
  <c r="BT562" i="5"/>
  <c r="Y567" i="5"/>
  <c r="AA566" i="5"/>
  <c r="Z566" i="5"/>
  <c r="AV566" i="5"/>
  <c r="AG566" i="5"/>
  <c r="AB566" i="5"/>
  <c r="AV564" i="5"/>
  <c r="AV558" i="5"/>
  <c r="AR558" i="5" s="1"/>
  <c r="AV562" i="5"/>
  <c r="AR562" i="5" s="1"/>
  <c r="AV560" i="5"/>
  <c r="AR560" i="5" s="1"/>
  <c r="CA562" i="5"/>
  <c r="BP565" i="5" l="1"/>
  <c r="AM565" i="5"/>
  <c r="AL565" i="5"/>
  <c r="AN565" i="5"/>
  <c r="AQ565" i="5"/>
  <c r="BM565" i="5"/>
  <c r="AJ565" i="5"/>
  <c r="AI565" i="5"/>
  <c r="BU563" i="5"/>
  <c r="BR564" i="5"/>
  <c r="BQ564" i="5"/>
  <c r="AO564" i="5"/>
  <c r="AR564" i="5"/>
  <c r="BN564" i="5"/>
  <c r="AP564" i="5"/>
  <c r="BO564" i="5"/>
  <c r="AK566" i="5"/>
  <c r="AH566" i="5"/>
  <c r="BS564" i="5"/>
  <c r="BV564" i="5"/>
  <c r="BW563" i="5"/>
  <c r="BT563" i="5"/>
  <c r="BF567" i="5"/>
  <c r="BL567" i="5"/>
  <c r="BG567" i="5"/>
  <c r="BE567" i="5"/>
  <c r="BD568" i="5"/>
  <c r="Y568" i="5"/>
  <c r="AG567" i="5"/>
  <c r="AA567" i="5"/>
  <c r="Z567" i="5"/>
  <c r="AB567" i="5"/>
  <c r="AK567" i="5" l="1"/>
  <c r="AH567" i="5"/>
  <c r="Y569" i="5"/>
  <c r="AB568" i="5"/>
  <c r="AG568" i="5"/>
  <c r="Z568" i="5"/>
  <c r="AA568" i="5"/>
  <c r="AQ566" i="5"/>
  <c r="AN566" i="5"/>
  <c r="BM566" i="5"/>
  <c r="AJ566" i="5"/>
  <c r="AI566" i="5"/>
  <c r="AO565" i="5"/>
  <c r="AR565" i="5"/>
  <c r="BN565" i="5"/>
  <c r="BP566" i="5"/>
  <c r="AM566" i="5"/>
  <c r="AL566" i="5"/>
  <c r="AP565" i="5"/>
  <c r="BO565" i="5"/>
  <c r="BU564" i="5"/>
  <c r="BS565" i="5"/>
  <c r="BV565" i="5"/>
  <c r="BW564" i="5"/>
  <c r="BT564" i="5"/>
  <c r="BL568" i="5"/>
  <c r="BG568" i="5"/>
  <c r="BD569" i="5"/>
  <c r="BF568" i="5"/>
  <c r="BE568" i="5"/>
  <c r="BR565" i="5"/>
  <c r="BQ565" i="5"/>
  <c r="AK568" i="5" l="1"/>
  <c r="AH568" i="5"/>
  <c r="BR566" i="5"/>
  <c r="BQ566" i="5"/>
  <c r="BT565" i="5"/>
  <c r="BW565" i="5"/>
  <c r="AP566" i="5"/>
  <c r="BO566" i="5"/>
  <c r="AB569" i="5"/>
  <c r="Y570" i="5"/>
  <c r="AG569" i="5"/>
  <c r="AA569" i="5"/>
  <c r="Z569" i="5"/>
  <c r="AR566" i="5"/>
  <c r="AO566" i="5"/>
  <c r="BN566" i="5"/>
  <c r="BU565" i="5"/>
  <c r="AI568" i="5"/>
  <c r="AI567" i="5"/>
  <c r="AQ567" i="5"/>
  <c r="AN567" i="5"/>
  <c r="BM567" i="5"/>
  <c r="AJ567" i="5"/>
  <c r="BV566" i="5"/>
  <c r="BS566" i="5"/>
  <c r="BD570" i="5"/>
  <c r="BF569" i="5"/>
  <c r="BG569" i="5"/>
  <c r="BE569" i="5"/>
  <c r="BL569" i="5"/>
  <c r="AL568" i="5"/>
  <c r="AL567" i="5"/>
  <c r="BP567" i="5"/>
  <c r="AM567" i="5"/>
  <c r="BS567" i="5" l="1"/>
  <c r="BV567" i="5"/>
  <c r="BT566" i="5"/>
  <c r="BW566" i="5"/>
  <c r="AG570" i="5"/>
  <c r="AA570" i="5"/>
  <c r="Y571" i="5"/>
  <c r="Z570" i="5"/>
  <c r="AB570" i="5"/>
  <c r="AO567" i="5"/>
  <c r="BN567" i="5"/>
  <c r="AP567" i="5"/>
  <c r="BO567" i="5"/>
  <c r="BU566" i="5"/>
  <c r="BQ567" i="5"/>
  <c r="BQ568" i="5"/>
  <c r="BR567" i="5"/>
  <c r="AO568" i="5"/>
  <c r="BN568" i="5"/>
  <c r="BF570" i="5"/>
  <c r="BL570" i="5"/>
  <c r="BG570" i="5"/>
  <c r="BE570" i="5"/>
  <c r="BD571" i="5"/>
  <c r="AQ568" i="5"/>
  <c r="AN568" i="5"/>
  <c r="BM568" i="5"/>
  <c r="AJ568" i="5"/>
  <c r="AH569" i="5"/>
  <c r="AK569" i="5"/>
  <c r="BP568" i="5"/>
  <c r="BR568" i="5" s="1"/>
  <c r="AM568" i="5"/>
  <c r="AQ569" i="5" l="1"/>
  <c r="AN569" i="5"/>
  <c r="BM569" i="5"/>
  <c r="AJ569" i="5"/>
  <c r="AI569" i="5"/>
  <c r="BV568" i="5"/>
  <c r="BS568" i="5"/>
  <c r="AP568" i="5"/>
  <c r="BO568" i="5"/>
  <c r="BT568" i="5"/>
  <c r="Y572" i="5"/>
  <c r="AA571" i="5"/>
  <c r="AB571" i="5"/>
  <c r="AG571" i="5"/>
  <c r="Z571" i="5"/>
  <c r="BU567" i="5"/>
  <c r="BT567" i="5"/>
  <c r="AK570" i="5"/>
  <c r="AH570" i="5"/>
  <c r="BL571" i="5"/>
  <c r="BG571" i="5"/>
  <c r="BF571" i="5"/>
  <c r="BE571" i="5"/>
  <c r="BD572" i="5"/>
  <c r="BP569" i="5"/>
  <c r="AM569" i="5"/>
  <c r="AL569" i="5"/>
  <c r="BR569" i="5" l="1"/>
  <c r="BQ569" i="5"/>
  <c r="BQ570" i="5"/>
  <c r="AQ570" i="5"/>
  <c r="AN570" i="5"/>
  <c r="BM570" i="5"/>
  <c r="AJ570" i="5"/>
  <c r="AK571" i="5"/>
  <c r="AH571" i="5"/>
  <c r="AI570" i="5"/>
  <c r="BP570" i="5"/>
  <c r="BR570" i="5" s="1"/>
  <c r="AM570" i="5"/>
  <c r="AL571" i="5"/>
  <c r="BF572" i="5"/>
  <c r="BD573" i="5"/>
  <c r="BE572" i="5"/>
  <c r="BL572" i="5"/>
  <c r="BG572" i="5"/>
  <c r="Y573" i="5"/>
  <c r="AG572" i="5"/>
  <c r="AB572" i="5"/>
  <c r="AA572" i="5"/>
  <c r="Z572" i="5"/>
  <c r="AP569" i="5"/>
  <c r="BO569" i="5"/>
  <c r="BS569" i="5"/>
  <c r="BV569" i="5"/>
  <c r="AO569" i="5"/>
  <c r="BN569" i="5"/>
  <c r="AL570" i="5"/>
  <c r="BU568" i="5"/>
  <c r="AP570" i="5" l="1"/>
  <c r="BO570" i="5"/>
  <c r="BU569" i="5"/>
  <c r="BV570" i="5"/>
  <c r="BS570" i="5"/>
  <c r="AK572" i="5"/>
  <c r="AH572" i="5"/>
  <c r="BL573" i="5"/>
  <c r="BE573" i="5"/>
  <c r="BD574" i="5"/>
  <c r="BG573" i="5"/>
  <c r="BF573" i="5"/>
  <c r="BT569" i="5"/>
  <c r="Y574" i="5"/>
  <c r="AB573" i="5"/>
  <c r="AA573" i="5"/>
  <c r="Z573" i="5"/>
  <c r="AG573" i="5"/>
  <c r="AN571" i="5"/>
  <c r="AQ571" i="5"/>
  <c r="BM571" i="5"/>
  <c r="AJ571" i="5"/>
  <c r="BQ571" i="5"/>
  <c r="BP571" i="5"/>
  <c r="AM571" i="5"/>
  <c r="AI571" i="5"/>
  <c r="AO570" i="5"/>
  <c r="BN570" i="5"/>
  <c r="AI572" i="5"/>
  <c r="BT570" i="5" l="1"/>
  <c r="AO571" i="5"/>
  <c r="BN571" i="5"/>
  <c r="AH573" i="5"/>
  <c r="AK573" i="5"/>
  <c r="AQ572" i="5"/>
  <c r="AN572" i="5"/>
  <c r="BM572" i="5"/>
  <c r="AJ572" i="5"/>
  <c r="AI573" i="5"/>
  <c r="BP572" i="5"/>
  <c r="AM572" i="5"/>
  <c r="AL572" i="5"/>
  <c r="AP571" i="5"/>
  <c r="BO571" i="5"/>
  <c r="BV571" i="5"/>
  <c r="BS571" i="5"/>
  <c r="AA574" i="5"/>
  <c r="AG574" i="5"/>
  <c r="AB574" i="5"/>
  <c r="Z574" i="5"/>
  <c r="Y575" i="5"/>
  <c r="BU570" i="5"/>
  <c r="BE574" i="5"/>
  <c r="BL574" i="5"/>
  <c r="BG574" i="5"/>
  <c r="BF574" i="5"/>
  <c r="BD575" i="5"/>
  <c r="BR571" i="5"/>
  <c r="AO572" i="5"/>
  <c r="BN572" i="5"/>
  <c r="AP572" i="5" l="1"/>
  <c r="BO572" i="5"/>
  <c r="BD576" i="5"/>
  <c r="BE575" i="5"/>
  <c r="BL575" i="5"/>
  <c r="BG575" i="5"/>
  <c r="BF575" i="5"/>
  <c r="BR572" i="5"/>
  <c r="BQ573" i="5"/>
  <c r="BQ572" i="5"/>
  <c r="BT572" i="5" s="1"/>
  <c r="AG575" i="5"/>
  <c r="AB575" i="5"/>
  <c r="Y576" i="5"/>
  <c r="AA575" i="5"/>
  <c r="Z575" i="5"/>
  <c r="BP573" i="5"/>
  <c r="AM573" i="5"/>
  <c r="BN573" i="5"/>
  <c r="AQ573" i="5"/>
  <c r="AN573" i="5"/>
  <c r="BM573" i="5"/>
  <c r="AJ573" i="5"/>
  <c r="BT571" i="5"/>
  <c r="AL573" i="5"/>
  <c r="AO573" i="5" s="1"/>
  <c r="AK574" i="5"/>
  <c r="AH574" i="5"/>
  <c r="AI574" i="5" s="1"/>
  <c r="BU571" i="5"/>
  <c r="BV572" i="5"/>
  <c r="BS572" i="5"/>
  <c r="BN574" i="5" l="1"/>
  <c r="Z576" i="5"/>
  <c r="Y577" i="5"/>
  <c r="AG576" i="5"/>
  <c r="AB576" i="5"/>
  <c r="AA576" i="5"/>
  <c r="AN574" i="5"/>
  <c r="AQ574" i="5"/>
  <c r="BM574" i="5"/>
  <c r="AJ574" i="5"/>
  <c r="BR573" i="5"/>
  <c r="BP574" i="5"/>
  <c r="AM574" i="5"/>
  <c r="AP573" i="5"/>
  <c r="BO573" i="5"/>
  <c r="AL574" i="5"/>
  <c r="AO574" i="5" s="1"/>
  <c r="AK575" i="5"/>
  <c r="AH575" i="5"/>
  <c r="BV573" i="5"/>
  <c r="BS573" i="5"/>
  <c r="BL576" i="5"/>
  <c r="BG576" i="5"/>
  <c r="BE576" i="5"/>
  <c r="BD577" i="5"/>
  <c r="BF576" i="5"/>
  <c r="BU572" i="5"/>
  <c r="BT573" i="5"/>
  <c r="BU573" i="5" l="1"/>
  <c r="BE577" i="5"/>
  <c r="BG577" i="5"/>
  <c r="BL577" i="5"/>
  <c r="BD578" i="5"/>
  <c r="BF577" i="5"/>
  <c r="AP574" i="5"/>
  <c r="BO574" i="5"/>
  <c r="BV574" i="5"/>
  <c r="BS574" i="5"/>
  <c r="BR574" i="5"/>
  <c r="BQ574" i="5"/>
  <c r="BT574" i="5" s="1"/>
  <c r="AK576" i="5"/>
  <c r="AH576" i="5"/>
  <c r="AN575" i="5"/>
  <c r="AQ575" i="5"/>
  <c r="BM575" i="5"/>
  <c r="AJ575" i="5"/>
  <c r="AI575" i="5"/>
  <c r="AB577" i="5"/>
  <c r="Y578" i="5"/>
  <c r="AG577" i="5"/>
  <c r="AA577" i="5"/>
  <c r="Z577" i="5"/>
  <c r="BP575" i="5"/>
  <c r="AM575" i="5"/>
  <c r="AL575" i="5"/>
  <c r="BU574" i="5" l="1"/>
  <c r="BS575" i="5"/>
  <c r="BV575" i="5"/>
  <c r="AK577" i="5"/>
  <c r="AH577" i="5"/>
  <c r="AQ576" i="5"/>
  <c r="AN576" i="5"/>
  <c r="BM576" i="5"/>
  <c r="AJ576" i="5"/>
  <c r="AI576" i="5"/>
  <c r="BD579" i="5"/>
  <c r="BL578" i="5"/>
  <c r="BG578" i="5"/>
  <c r="BF578" i="5"/>
  <c r="BE578" i="5"/>
  <c r="AP575" i="5"/>
  <c r="BO575" i="5"/>
  <c r="AG578" i="5"/>
  <c r="AB578" i="5"/>
  <c r="Z578" i="5"/>
  <c r="AA578" i="5"/>
  <c r="Y579" i="5"/>
  <c r="BP576" i="5"/>
  <c r="AM576" i="5"/>
  <c r="AL576" i="5"/>
  <c r="BR575" i="5"/>
  <c r="BQ575" i="5"/>
  <c r="AO575" i="5"/>
  <c r="BN575" i="5"/>
  <c r="BU575" i="5" l="1"/>
  <c r="AO576" i="5"/>
  <c r="BN576" i="5"/>
  <c r="AP576" i="5"/>
  <c r="BO576" i="5"/>
  <c r="BV576" i="5"/>
  <c r="BS576" i="5"/>
  <c r="AN577" i="5"/>
  <c r="AQ577" i="5"/>
  <c r="BM577" i="5"/>
  <c r="AJ577" i="5"/>
  <c r="AI577" i="5"/>
  <c r="Z579" i="5"/>
  <c r="AG579" i="5"/>
  <c r="Y580" i="5"/>
  <c r="AB579" i="5"/>
  <c r="AA579" i="5"/>
  <c r="BP577" i="5"/>
  <c r="AM577" i="5"/>
  <c r="AL577" i="5"/>
  <c r="BR576" i="5"/>
  <c r="BQ576" i="5"/>
  <c r="BT575" i="5"/>
  <c r="AH578" i="5"/>
  <c r="AK578" i="5"/>
  <c r="BG579" i="5"/>
  <c r="BE579" i="5"/>
  <c r="BL579" i="5"/>
  <c r="BF579" i="5"/>
  <c r="BD580" i="5"/>
  <c r="BF580" i="5" l="1"/>
  <c r="BD581" i="5"/>
  <c r="BL580" i="5"/>
  <c r="BG580" i="5"/>
  <c r="BE580" i="5"/>
  <c r="BU576" i="5"/>
  <c r="Y581" i="5"/>
  <c r="AA580" i="5"/>
  <c r="AG580" i="5"/>
  <c r="AB580" i="5"/>
  <c r="Z580" i="5"/>
  <c r="BR577" i="5"/>
  <c r="BQ577" i="5"/>
  <c r="AK579" i="5"/>
  <c r="AH579" i="5"/>
  <c r="BT576" i="5"/>
  <c r="BP578" i="5"/>
  <c r="AM578" i="5"/>
  <c r="AL578" i="5"/>
  <c r="AO577" i="5"/>
  <c r="BN577" i="5"/>
  <c r="AQ578" i="5"/>
  <c r="AN578" i="5"/>
  <c r="BM578" i="5"/>
  <c r="AJ578" i="5"/>
  <c r="AI578" i="5"/>
  <c r="AP577" i="5"/>
  <c r="BO577" i="5"/>
  <c r="BS577" i="5"/>
  <c r="BV577" i="5"/>
  <c r="BT577" i="5" l="1"/>
  <c r="BU577" i="5"/>
  <c r="BR578" i="5"/>
  <c r="BQ578" i="5"/>
  <c r="AO578" i="5"/>
  <c r="BN578" i="5"/>
  <c r="AP578" i="5"/>
  <c r="BO578" i="5"/>
  <c r="AN579" i="5"/>
  <c r="AQ579" i="5"/>
  <c r="BM579" i="5"/>
  <c r="AJ579" i="5"/>
  <c r="AI579" i="5"/>
  <c r="BS578" i="5"/>
  <c r="BV578" i="5"/>
  <c r="BP579" i="5"/>
  <c r="AM579" i="5"/>
  <c r="AL579" i="5"/>
  <c r="AK580" i="5"/>
  <c r="AH580" i="5"/>
  <c r="BD582" i="5"/>
  <c r="BF581" i="5"/>
  <c r="BL581" i="5"/>
  <c r="BG581" i="5"/>
  <c r="BE581" i="5"/>
  <c r="AB581" i="5"/>
  <c r="Z581" i="5"/>
  <c r="AG581" i="5"/>
  <c r="AA581" i="5"/>
  <c r="Y582" i="5"/>
  <c r="Y583" i="5" l="1"/>
  <c r="AG582" i="5"/>
  <c r="AB582" i="5"/>
  <c r="AA582" i="5"/>
  <c r="Z582" i="5"/>
  <c r="AQ580" i="5"/>
  <c r="AN580" i="5"/>
  <c r="BM580" i="5"/>
  <c r="AJ580" i="5"/>
  <c r="AI580" i="5"/>
  <c r="BU578" i="5"/>
  <c r="BP580" i="5"/>
  <c r="AM580" i="5"/>
  <c r="AL580" i="5"/>
  <c r="AK581" i="5"/>
  <c r="AH581" i="5"/>
  <c r="BT578" i="5"/>
  <c r="BR579" i="5"/>
  <c r="BQ579" i="5"/>
  <c r="AO579" i="5"/>
  <c r="BN579" i="5"/>
  <c r="AP579" i="5"/>
  <c r="BO579" i="5"/>
  <c r="BV579" i="5"/>
  <c r="BS579" i="5"/>
  <c r="BD583" i="5"/>
  <c r="BG582" i="5"/>
  <c r="BE582" i="5"/>
  <c r="BL582" i="5"/>
  <c r="BF582" i="5"/>
  <c r="AO580" i="5" l="1"/>
  <c r="BN580" i="5"/>
  <c r="BR580" i="5"/>
  <c r="BQ580" i="5"/>
  <c r="AP580" i="5"/>
  <c r="BO580" i="5"/>
  <c r="BG583" i="5"/>
  <c r="BE583" i="5"/>
  <c r="BD584" i="5"/>
  <c r="BL583" i="5"/>
  <c r="BF583" i="5"/>
  <c r="BV580" i="5"/>
  <c r="BS580" i="5"/>
  <c r="AK582" i="5"/>
  <c r="AH582" i="5"/>
  <c r="BP581" i="5"/>
  <c r="AM581" i="5"/>
  <c r="AL581" i="5"/>
  <c r="BT579" i="5"/>
  <c r="Y584" i="5"/>
  <c r="AA583" i="5"/>
  <c r="Z583" i="5"/>
  <c r="AG583" i="5"/>
  <c r="AB583" i="5"/>
  <c r="BU579" i="5"/>
  <c r="AQ581" i="5"/>
  <c r="AN581" i="5"/>
  <c r="BM581" i="5"/>
  <c r="AJ581" i="5"/>
  <c r="AI581" i="5"/>
  <c r="BU580" i="5" l="1"/>
  <c r="BF584" i="5"/>
  <c r="BL584" i="5"/>
  <c r="BD585" i="5"/>
  <c r="BE584" i="5"/>
  <c r="BG584" i="5"/>
  <c r="BT580" i="5"/>
  <c r="AB584" i="5"/>
  <c r="Z584" i="5"/>
  <c r="AG584" i="5"/>
  <c r="Y585" i="5"/>
  <c r="AA584" i="5"/>
  <c r="BR581" i="5"/>
  <c r="BQ581" i="5"/>
  <c r="AO581" i="5"/>
  <c r="BN581" i="5"/>
  <c r="AN582" i="5"/>
  <c r="AQ582" i="5"/>
  <c r="BM582" i="5"/>
  <c r="AJ582" i="5"/>
  <c r="AI582" i="5"/>
  <c r="AP581" i="5"/>
  <c r="BO581" i="5"/>
  <c r="AH583" i="5"/>
  <c r="AK583" i="5"/>
  <c r="BP582" i="5"/>
  <c r="AM582" i="5"/>
  <c r="AL582" i="5"/>
  <c r="BV581" i="5"/>
  <c r="BS581" i="5"/>
  <c r="AP582" i="5" l="1"/>
  <c r="BO582" i="5"/>
  <c r="BL585" i="5"/>
  <c r="BD586" i="5"/>
  <c r="BG585" i="5"/>
  <c r="BF585" i="5"/>
  <c r="BE585" i="5"/>
  <c r="BV582" i="5"/>
  <c r="BS582" i="5"/>
  <c r="BU581" i="5"/>
  <c r="AO582" i="5"/>
  <c r="BN582" i="5"/>
  <c r="BT581" i="5"/>
  <c r="AB585" i="5"/>
  <c r="AA585" i="5"/>
  <c r="AG585" i="5"/>
  <c r="Z585" i="5"/>
  <c r="Y586" i="5"/>
  <c r="BR582" i="5"/>
  <c r="BQ582" i="5"/>
  <c r="BP583" i="5"/>
  <c r="AM583" i="5"/>
  <c r="AL583" i="5"/>
  <c r="AQ583" i="5"/>
  <c r="AN583" i="5"/>
  <c r="BM583" i="5"/>
  <c r="AJ583" i="5"/>
  <c r="AI583" i="5"/>
  <c r="AH584" i="5"/>
  <c r="AK584" i="5"/>
  <c r="BP584" i="5" l="1"/>
  <c r="AM584" i="5"/>
  <c r="AL584" i="5"/>
  <c r="AP583" i="5"/>
  <c r="BO583" i="5"/>
  <c r="AA586" i="5"/>
  <c r="Y587" i="5"/>
  <c r="AB586" i="5"/>
  <c r="Z586" i="5"/>
  <c r="AG586" i="5"/>
  <c r="AO583" i="5"/>
  <c r="BN583" i="5"/>
  <c r="BV583" i="5"/>
  <c r="BS583" i="5"/>
  <c r="BE586" i="5"/>
  <c r="BF586" i="5"/>
  <c r="BD587" i="5"/>
  <c r="BL586" i="5"/>
  <c r="BG586" i="5"/>
  <c r="BT582" i="5"/>
  <c r="AN584" i="5"/>
  <c r="AQ584" i="5"/>
  <c r="BM584" i="5"/>
  <c r="AJ584" i="5"/>
  <c r="AI584" i="5"/>
  <c r="AH585" i="5"/>
  <c r="AK585" i="5"/>
  <c r="BU582" i="5"/>
  <c r="BR583" i="5"/>
  <c r="BQ583" i="5"/>
  <c r="BS584" i="5" l="1"/>
  <c r="BV584" i="5"/>
  <c r="AP584" i="5"/>
  <c r="BO584" i="5"/>
  <c r="AG587" i="5"/>
  <c r="AA587" i="5"/>
  <c r="AB587" i="5"/>
  <c r="Z587" i="5"/>
  <c r="Y588" i="5"/>
  <c r="BL587" i="5"/>
  <c r="BD588" i="5"/>
  <c r="BG587" i="5"/>
  <c r="BF587" i="5"/>
  <c r="BE587" i="5"/>
  <c r="BU583" i="5"/>
  <c r="BP585" i="5"/>
  <c r="AM585" i="5"/>
  <c r="AL585" i="5"/>
  <c r="AQ585" i="5"/>
  <c r="AN585" i="5"/>
  <c r="BM585" i="5"/>
  <c r="AJ585" i="5"/>
  <c r="AI585" i="5"/>
  <c r="AO584" i="5"/>
  <c r="BN584" i="5"/>
  <c r="BT583" i="5"/>
  <c r="AH586" i="5"/>
  <c r="AK586" i="5"/>
  <c r="BR584" i="5"/>
  <c r="BQ584" i="5"/>
  <c r="Z588" i="5" l="1"/>
  <c r="AB588" i="5"/>
  <c r="AA588" i="5"/>
  <c r="AG588" i="5"/>
  <c r="Y589" i="5"/>
  <c r="AO585" i="5"/>
  <c r="BN585" i="5"/>
  <c r="BS585" i="5"/>
  <c r="BV585" i="5"/>
  <c r="AP585" i="5"/>
  <c r="BO585" i="5"/>
  <c r="BP586" i="5"/>
  <c r="AM586" i="5"/>
  <c r="AL586" i="5"/>
  <c r="AQ586" i="5"/>
  <c r="AN586" i="5"/>
  <c r="BM586" i="5"/>
  <c r="AJ586" i="5"/>
  <c r="AI586" i="5"/>
  <c r="BR585" i="5"/>
  <c r="BQ585" i="5"/>
  <c r="BL588" i="5"/>
  <c r="BG588" i="5"/>
  <c r="BD589" i="5"/>
  <c r="BF588" i="5"/>
  <c r="BE588" i="5"/>
  <c r="AH587" i="5"/>
  <c r="AK587" i="5"/>
  <c r="BT584" i="5"/>
  <c r="BU584" i="5"/>
  <c r="BE589" i="5" l="1"/>
  <c r="BF589" i="5"/>
  <c r="BL589" i="5"/>
  <c r="BG589" i="5"/>
  <c r="BD590" i="5"/>
  <c r="BR586" i="5"/>
  <c r="BQ586" i="5"/>
  <c r="AP586" i="5"/>
  <c r="BO586" i="5"/>
  <c r="BT585" i="5"/>
  <c r="Y590" i="5"/>
  <c r="AG589" i="5"/>
  <c r="AA589" i="5"/>
  <c r="Z589" i="5"/>
  <c r="AB589" i="5"/>
  <c r="BV586" i="5"/>
  <c r="BS586" i="5"/>
  <c r="AH588" i="5"/>
  <c r="AK588" i="5"/>
  <c r="AO586" i="5"/>
  <c r="BN586" i="5"/>
  <c r="BP587" i="5"/>
  <c r="AM587" i="5"/>
  <c r="AL587" i="5"/>
  <c r="AQ587" i="5"/>
  <c r="AN587" i="5"/>
  <c r="BM587" i="5"/>
  <c r="AJ587" i="5"/>
  <c r="AI587" i="5"/>
  <c r="BU585" i="5"/>
  <c r="AH589" i="5" l="1"/>
  <c r="AK589" i="5"/>
  <c r="BP588" i="5"/>
  <c r="AM588" i="5"/>
  <c r="AL588" i="5"/>
  <c r="AQ588" i="5"/>
  <c r="AN588" i="5"/>
  <c r="BM588" i="5"/>
  <c r="AJ588" i="5"/>
  <c r="AI588" i="5"/>
  <c r="AG590" i="5"/>
  <c r="AB590" i="5"/>
  <c r="Z590" i="5"/>
  <c r="Y591" i="5"/>
  <c r="AA590" i="5"/>
  <c r="AO587" i="5"/>
  <c r="BN587" i="5"/>
  <c r="AP587" i="5"/>
  <c r="BO587" i="5"/>
  <c r="BS587" i="5"/>
  <c r="BV587" i="5"/>
  <c r="BD591" i="5"/>
  <c r="BL590" i="5"/>
  <c r="BG590" i="5"/>
  <c r="BF590" i="5"/>
  <c r="BE590" i="5"/>
  <c r="BU586" i="5"/>
  <c r="BR587" i="5"/>
  <c r="BQ587" i="5"/>
  <c r="BT586" i="5"/>
  <c r="AK590" i="5" l="1"/>
  <c r="AH590" i="5"/>
  <c r="BG591" i="5"/>
  <c r="BD592" i="5"/>
  <c r="BE591" i="5"/>
  <c r="BL591" i="5"/>
  <c r="BF591" i="5"/>
  <c r="AO588" i="5"/>
  <c r="BN588" i="5"/>
  <c r="AP588" i="5"/>
  <c r="BO588" i="5"/>
  <c r="BS588" i="5"/>
  <c r="BV588" i="5"/>
  <c r="BT587" i="5"/>
  <c r="Z591" i="5"/>
  <c r="AG591" i="5"/>
  <c r="AB591" i="5"/>
  <c r="Y592" i="5"/>
  <c r="AA591" i="5"/>
  <c r="BR588" i="5"/>
  <c r="BQ588" i="5"/>
  <c r="BU587" i="5"/>
  <c r="BP589" i="5"/>
  <c r="AM589" i="5"/>
  <c r="AL589" i="5"/>
  <c r="AQ589" i="5"/>
  <c r="AN589" i="5"/>
  <c r="BM589" i="5"/>
  <c r="AJ589" i="5"/>
  <c r="AI589" i="5"/>
  <c r="BU588" i="5" l="1"/>
  <c r="Y593" i="5"/>
  <c r="AG592" i="5"/>
  <c r="Z592" i="5"/>
  <c r="AB592" i="5"/>
  <c r="AA592" i="5"/>
  <c r="BR589" i="5"/>
  <c r="BQ589" i="5"/>
  <c r="BT588" i="5"/>
  <c r="AP589" i="5"/>
  <c r="BO589" i="5"/>
  <c r="AK591" i="5"/>
  <c r="AH591" i="5"/>
  <c r="BG592" i="5"/>
  <c r="BF592" i="5"/>
  <c r="BE592" i="5"/>
  <c r="BL592" i="5"/>
  <c r="BD593" i="5"/>
  <c r="BS589" i="5"/>
  <c r="BV589" i="5"/>
  <c r="AN590" i="5"/>
  <c r="AQ590" i="5"/>
  <c r="BM590" i="5"/>
  <c r="AJ590" i="5"/>
  <c r="AI590" i="5"/>
  <c r="AO589" i="5"/>
  <c r="BN589" i="5"/>
  <c r="BP590" i="5"/>
  <c r="AM590" i="5"/>
  <c r="AL590" i="5"/>
  <c r="BP591" i="5" l="1"/>
  <c r="AM591" i="5"/>
  <c r="AL591" i="5"/>
  <c r="AO590" i="5"/>
  <c r="BN590" i="5"/>
  <c r="BU589" i="5"/>
  <c r="BR590" i="5"/>
  <c r="BQ590" i="5"/>
  <c r="BV590" i="5"/>
  <c r="BS590" i="5"/>
  <c r="BD594" i="5"/>
  <c r="BF593" i="5"/>
  <c r="BL593" i="5"/>
  <c r="BG593" i="5"/>
  <c r="BE593" i="5"/>
  <c r="BT589" i="5"/>
  <c r="AN591" i="5"/>
  <c r="AQ591" i="5"/>
  <c r="BM591" i="5"/>
  <c r="AJ591" i="5"/>
  <c r="AI591" i="5"/>
  <c r="AP590" i="5"/>
  <c r="BO590" i="5"/>
  <c r="AK592" i="5"/>
  <c r="AH592" i="5"/>
  <c r="AB593" i="5"/>
  <c r="AA593" i="5"/>
  <c r="Z593" i="5"/>
  <c r="AG593" i="5"/>
  <c r="Y594" i="5"/>
  <c r="AG594" i="5" l="1"/>
  <c r="AB594" i="5"/>
  <c r="AA594" i="5"/>
  <c r="Y595" i="5"/>
  <c r="Z594" i="5"/>
  <c r="AO591" i="5"/>
  <c r="BN591" i="5"/>
  <c r="AK593" i="5"/>
  <c r="AH593" i="5"/>
  <c r="AP591" i="5"/>
  <c r="BO591" i="5"/>
  <c r="AQ592" i="5"/>
  <c r="AN592" i="5"/>
  <c r="BM592" i="5"/>
  <c r="AJ592" i="5"/>
  <c r="AI592" i="5"/>
  <c r="BP592" i="5"/>
  <c r="AM592" i="5"/>
  <c r="AL592" i="5"/>
  <c r="BS591" i="5"/>
  <c r="BV591" i="5"/>
  <c r="BT590" i="5"/>
  <c r="BU590" i="5"/>
  <c r="BD595" i="5"/>
  <c r="BG594" i="5"/>
  <c r="BF594" i="5"/>
  <c r="BE594" i="5"/>
  <c r="BL594" i="5"/>
  <c r="BR591" i="5"/>
  <c r="BQ591" i="5"/>
  <c r="BU591" i="5" l="1"/>
  <c r="AN593" i="5"/>
  <c r="AQ593" i="5"/>
  <c r="BM593" i="5"/>
  <c r="AJ593" i="5"/>
  <c r="AI593" i="5"/>
  <c r="BT591" i="5"/>
  <c r="Y596" i="5"/>
  <c r="AA595" i="5"/>
  <c r="AG595" i="5"/>
  <c r="AB595" i="5"/>
  <c r="Z595" i="5"/>
  <c r="BV592" i="5"/>
  <c r="BS592" i="5"/>
  <c r="BR592" i="5"/>
  <c r="BQ592" i="5"/>
  <c r="BP593" i="5"/>
  <c r="AM593" i="5"/>
  <c r="AL593" i="5"/>
  <c r="AO592" i="5"/>
  <c r="BN592" i="5"/>
  <c r="BF595" i="5"/>
  <c r="BE595" i="5"/>
  <c r="BL595" i="5"/>
  <c r="BG595" i="5"/>
  <c r="BD596" i="5"/>
  <c r="AP592" i="5"/>
  <c r="BO592" i="5"/>
  <c r="AK594" i="5"/>
  <c r="AH594" i="5"/>
  <c r="AA596" i="5" l="1"/>
  <c r="Z596" i="5"/>
  <c r="AV596" i="5"/>
  <c r="AG596" i="5"/>
  <c r="AB596" i="5"/>
  <c r="Y597" i="5"/>
  <c r="AV594" i="5"/>
  <c r="AV590" i="5"/>
  <c r="AR590" i="5" s="1"/>
  <c r="AV592" i="5"/>
  <c r="AR592" i="5" s="1"/>
  <c r="AV588" i="5"/>
  <c r="AR588" i="5" s="1"/>
  <c r="BT592" i="5"/>
  <c r="AO593" i="5"/>
  <c r="BN593" i="5"/>
  <c r="AP593" i="5"/>
  <c r="BO593" i="5"/>
  <c r="BV593" i="5"/>
  <c r="BS593" i="5"/>
  <c r="AQ594" i="5"/>
  <c r="AN594" i="5"/>
  <c r="BM594" i="5"/>
  <c r="AJ594" i="5"/>
  <c r="AI594" i="5"/>
  <c r="BF596" i="5"/>
  <c r="BL596" i="5"/>
  <c r="BD597" i="5"/>
  <c r="CA594" i="5" s="1"/>
  <c r="BG596" i="5"/>
  <c r="BE596" i="5"/>
  <c r="BR593" i="5"/>
  <c r="BQ593" i="5"/>
  <c r="BP594" i="5"/>
  <c r="AM594" i="5"/>
  <c r="AL594" i="5"/>
  <c r="AK595" i="5"/>
  <c r="AH595" i="5"/>
  <c r="BU592" i="5"/>
  <c r="AV595" i="5"/>
  <c r="BR594" i="5" l="1"/>
  <c r="BQ594" i="5"/>
  <c r="CA596" i="5"/>
  <c r="BT593" i="5"/>
  <c r="AV597" i="5"/>
  <c r="AG597" i="5"/>
  <c r="AB597" i="5"/>
  <c r="AA597" i="5"/>
  <c r="Z597" i="5"/>
  <c r="Y598" i="5"/>
  <c r="AV591" i="5"/>
  <c r="AR591" i="5" s="1"/>
  <c r="AV593" i="5"/>
  <c r="AR593" i="5" s="1"/>
  <c r="AV589" i="5"/>
  <c r="AR589" i="5" s="1"/>
  <c r="BU593" i="5"/>
  <c r="CA592" i="5"/>
  <c r="BW592" i="5" s="1"/>
  <c r="AR594" i="5"/>
  <c r="AO594" i="5"/>
  <c r="BN594" i="5"/>
  <c r="AK596" i="5"/>
  <c r="AH596" i="5"/>
  <c r="BP595" i="5"/>
  <c r="AM595" i="5"/>
  <c r="AL595" i="5"/>
  <c r="BL597" i="5"/>
  <c r="BD598" i="5"/>
  <c r="BF597" i="5"/>
  <c r="BE597" i="5"/>
  <c r="BG597" i="5"/>
  <c r="CA597" i="5"/>
  <c r="CA593" i="5"/>
  <c r="BW593" i="5" s="1"/>
  <c r="CA589" i="5"/>
  <c r="BW589" i="5" s="1"/>
  <c r="CA595" i="5"/>
  <c r="CA591" i="5"/>
  <c r="BW591" i="5" s="1"/>
  <c r="AP594" i="5"/>
  <c r="BO594" i="5"/>
  <c r="AN595" i="5"/>
  <c r="AQ595" i="5"/>
  <c r="BM595" i="5"/>
  <c r="AJ595" i="5"/>
  <c r="AI595" i="5"/>
  <c r="CA590" i="5"/>
  <c r="BW590" i="5" s="1"/>
  <c r="BS594" i="5"/>
  <c r="BV594" i="5"/>
  <c r="BW594" i="5" l="1"/>
  <c r="BT594" i="5"/>
  <c r="AR595" i="5"/>
  <c r="AO595" i="5"/>
  <c r="BN595" i="5"/>
  <c r="AA598" i="5"/>
  <c r="Y599" i="5"/>
  <c r="AG598" i="5"/>
  <c r="Z598" i="5"/>
  <c r="AB598" i="5"/>
  <c r="BU594" i="5"/>
  <c r="BR595" i="5"/>
  <c r="BQ595" i="5"/>
  <c r="AP595" i="5"/>
  <c r="BO595" i="5"/>
  <c r="BV595" i="5"/>
  <c r="BS595" i="5"/>
  <c r="BP596" i="5"/>
  <c r="AM596" i="5"/>
  <c r="AL596" i="5"/>
  <c r="BD599" i="5"/>
  <c r="BE598" i="5"/>
  <c r="BG598" i="5"/>
  <c r="BF598" i="5"/>
  <c r="BL598" i="5"/>
  <c r="AH597" i="5"/>
  <c r="AK597" i="5"/>
  <c r="AQ596" i="5"/>
  <c r="AN596" i="5"/>
  <c r="BM596" i="5"/>
  <c r="AJ596" i="5"/>
  <c r="AI596" i="5"/>
  <c r="BP597" i="5" l="1"/>
  <c r="AM597" i="5"/>
  <c r="AL597" i="5"/>
  <c r="AQ597" i="5"/>
  <c r="AN597" i="5"/>
  <c r="BM597" i="5"/>
  <c r="AJ597" i="5"/>
  <c r="AI597" i="5"/>
  <c r="BR596" i="5"/>
  <c r="BQ596" i="5"/>
  <c r="AK598" i="5"/>
  <c r="AH598" i="5"/>
  <c r="AB599" i="5"/>
  <c r="AA599" i="5"/>
  <c r="Z599" i="5"/>
  <c r="AG599" i="5"/>
  <c r="Y600" i="5"/>
  <c r="BU595" i="5"/>
  <c r="AP596" i="5"/>
  <c r="BO596" i="5"/>
  <c r="BW595" i="5"/>
  <c r="BT595" i="5"/>
  <c r="AO596" i="5"/>
  <c r="AR596" i="5"/>
  <c r="BN596" i="5"/>
  <c r="BS596" i="5"/>
  <c r="BV596" i="5"/>
  <c r="BD600" i="5"/>
  <c r="BL599" i="5"/>
  <c r="BE599" i="5"/>
  <c r="BG599" i="5"/>
  <c r="BF599" i="5"/>
  <c r="AI598" i="5" l="1"/>
  <c r="AQ598" i="5"/>
  <c r="AN598" i="5"/>
  <c r="BM598" i="5"/>
  <c r="AJ598" i="5"/>
  <c r="AL598" i="5"/>
  <c r="BP598" i="5"/>
  <c r="AM598" i="5"/>
  <c r="AR597" i="5"/>
  <c r="AO597" i="5"/>
  <c r="BN597" i="5"/>
  <c r="Y601" i="5"/>
  <c r="AA600" i="5"/>
  <c r="AG600" i="5"/>
  <c r="AB600" i="5"/>
  <c r="Z600" i="5"/>
  <c r="AP597" i="5"/>
  <c r="BO597" i="5"/>
  <c r="AK599" i="5"/>
  <c r="AH599" i="5"/>
  <c r="BV597" i="5"/>
  <c r="BS597" i="5"/>
  <c r="BU596" i="5"/>
  <c r="BT596" i="5"/>
  <c r="BW596" i="5"/>
  <c r="BD601" i="5"/>
  <c r="BG600" i="5"/>
  <c r="BF600" i="5"/>
  <c r="BE600" i="5"/>
  <c r="BL600" i="5"/>
  <c r="BR597" i="5"/>
  <c r="BQ597" i="5"/>
  <c r="AQ599" i="5" l="1"/>
  <c r="AN599" i="5"/>
  <c r="BM599" i="5"/>
  <c r="AJ599" i="5"/>
  <c r="BP599" i="5"/>
  <c r="BR599" i="5" s="1"/>
  <c r="AM599" i="5"/>
  <c r="BU597" i="5"/>
  <c r="Y602" i="5"/>
  <c r="AB601" i="5"/>
  <c r="AA601" i="5"/>
  <c r="Z601" i="5"/>
  <c r="AG601" i="5"/>
  <c r="AP598" i="5"/>
  <c r="BO598" i="5"/>
  <c r="BT597" i="5"/>
  <c r="BW597" i="5"/>
  <c r="BV598" i="5"/>
  <c r="BS598" i="5"/>
  <c r="AL599" i="5"/>
  <c r="AI599" i="5"/>
  <c r="AH600" i="5"/>
  <c r="AK600" i="5"/>
  <c r="BQ598" i="5"/>
  <c r="BR598" i="5"/>
  <c r="AO598" i="5"/>
  <c r="BN598" i="5"/>
  <c r="BF601" i="5"/>
  <c r="BL601" i="5"/>
  <c r="BG601" i="5"/>
  <c r="BE601" i="5"/>
  <c r="BD602" i="5"/>
  <c r="AQ600" i="5" l="1"/>
  <c r="AN600" i="5"/>
  <c r="BM600" i="5"/>
  <c r="AJ600" i="5"/>
  <c r="BL602" i="5"/>
  <c r="BD603" i="5"/>
  <c r="BG602" i="5"/>
  <c r="BF602" i="5"/>
  <c r="BE602" i="5"/>
  <c r="AO599" i="5"/>
  <c r="BN599" i="5"/>
  <c r="BT598" i="5"/>
  <c r="AB602" i="5"/>
  <c r="AA602" i="5"/>
  <c r="Z602" i="5"/>
  <c r="AG602" i="5"/>
  <c r="Y603" i="5"/>
  <c r="AP599" i="5"/>
  <c r="BO599" i="5"/>
  <c r="BS599" i="5"/>
  <c r="BV599" i="5"/>
  <c r="AI600" i="5"/>
  <c r="BP600" i="5"/>
  <c r="AM600" i="5"/>
  <c r="AL601" i="5"/>
  <c r="AK601" i="5"/>
  <c r="AH601" i="5"/>
  <c r="BQ599" i="5"/>
  <c r="BU598" i="5"/>
  <c r="AL600" i="5"/>
  <c r="AO600" i="5" l="1"/>
  <c r="BN600" i="5"/>
  <c r="AP600" i="5"/>
  <c r="BO600" i="5"/>
  <c r="BV600" i="5"/>
  <c r="BS600" i="5"/>
  <c r="AA603" i="5"/>
  <c r="AG603" i="5"/>
  <c r="AB603" i="5"/>
  <c r="Y604" i="5"/>
  <c r="Z603" i="5"/>
  <c r="AI601" i="5"/>
  <c r="AH602" i="5"/>
  <c r="AK602" i="5"/>
  <c r="BT599" i="5"/>
  <c r="BE603" i="5"/>
  <c r="BD604" i="5"/>
  <c r="BL603" i="5"/>
  <c r="BG603" i="5"/>
  <c r="BF603" i="5"/>
  <c r="BR600" i="5"/>
  <c r="BQ600" i="5"/>
  <c r="BQ601" i="5"/>
  <c r="AN601" i="5"/>
  <c r="AQ601" i="5"/>
  <c r="BM601" i="5"/>
  <c r="AJ601" i="5"/>
  <c r="BP601" i="5"/>
  <c r="AM601" i="5"/>
  <c r="BU599" i="5"/>
  <c r="AI602" i="5"/>
  <c r="BG604" i="5" l="1"/>
  <c r="BF604" i="5"/>
  <c r="BE604" i="5"/>
  <c r="BD605" i="5"/>
  <c r="BL604" i="5"/>
  <c r="AO602" i="5"/>
  <c r="BN602" i="5"/>
  <c r="AL602" i="5"/>
  <c r="AQ602" i="5"/>
  <c r="AN602" i="5"/>
  <c r="BM602" i="5"/>
  <c r="AJ602" i="5"/>
  <c r="BU600" i="5"/>
  <c r="BP602" i="5"/>
  <c r="AM602" i="5"/>
  <c r="AG604" i="5"/>
  <c r="Y605" i="5"/>
  <c r="AB604" i="5"/>
  <c r="AA604" i="5"/>
  <c r="Z604" i="5"/>
  <c r="BR601" i="5"/>
  <c r="AP601" i="5"/>
  <c r="BO601" i="5"/>
  <c r="AO601" i="5"/>
  <c r="BN601" i="5"/>
  <c r="AH603" i="5"/>
  <c r="AK603" i="5"/>
  <c r="BT600" i="5"/>
  <c r="BV601" i="5"/>
  <c r="BS601" i="5"/>
  <c r="BR602" i="5" l="1"/>
  <c r="BQ602" i="5"/>
  <c r="BD606" i="5"/>
  <c r="BL605" i="5"/>
  <c r="BG605" i="5"/>
  <c r="BF605" i="5"/>
  <c r="BE605" i="5"/>
  <c r="AN603" i="5"/>
  <c r="BM603" i="5"/>
  <c r="AQ603" i="5"/>
  <c r="AJ603" i="5"/>
  <c r="AI603" i="5"/>
  <c r="BT602" i="5"/>
  <c r="BP603" i="5"/>
  <c r="AM603" i="5"/>
  <c r="AL603" i="5"/>
  <c r="AP602" i="5"/>
  <c r="BO602" i="5"/>
  <c r="BS602" i="5"/>
  <c r="BV602" i="5"/>
  <c r="BU601" i="5"/>
  <c r="BT601" i="5"/>
  <c r="BQ603" i="5"/>
  <c r="Z605" i="5"/>
  <c r="AB605" i="5"/>
  <c r="AA605" i="5"/>
  <c r="Y606" i="5"/>
  <c r="AG605" i="5"/>
  <c r="AK604" i="5"/>
  <c r="AH604" i="5"/>
  <c r="BR603" i="5" l="1"/>
  <c r="BU602" i="5"/>
  <c r="BL606" i="5"/>
  <c r="BG606" i="5"/>
  <c r="BD607" i="5"/>
  <c r="BF606" i="5"/>
  <c r="BE606" i="5"/>
  <c r="AN604" i="5"/>
  <c r="AQ604" i="5"/>
  <c r="BM604" i="5"/>
  <c r="AJ604" i="5"/>
  <c r="BP604" i="5"/>
  <c r="AM604" i="5"/>
  <c r="AL604" i="5"/>
  <c r="AP603" i="5"/>
  <c r="BO603" i="5"/>
  <c r="AK605" i="5"/>
  <c r="AH605" i="5"/>
  <c r="AO603" i="5"/>
  <c r="BN603" i="5"/>
  <c r="AA606" i="5"/>
  <c r="Y607" i="5"/>
  <c r="AB606" i="5"/>
  <c r="Z606" i="5"/>
  <c r="AG606" i="5"/>
  <c r="AI604" i="5"/>
  <c r="BV603" i="5"/>
  <c r="BS603" i="5"/>
  <c r="AA607" i="5" l="1"/>
  <c r="Z607" i="5"/>
  <c r="AG607" i="5"/>
  <c r="Y608" i="5"/>
  <c r="AB607" i="5"/>
  <c r="BR604" i="5"/>
  <c r="AO604" i="5"/>
  <c r="BN604" i="5"/>
  <c r="AQ605" i="5"/>
  <c r="AN605" i="5"/>
  <c r="BM605" i="5"/>
  <c r="AJ605" i="5"/>
  <c r="AI605" i="5"/>
  <c r="BE607" i="5"/>
  <c r="BD608" i="5"/>
  <c r="BG607" i="5"/>
  <c r="BF607" i="5"/>
  <c r="BL607" i="5"/>
  <c r="BP605" i="5"/>
  <c r="AM605" i="5"/>
  <c r="AL605" i="5"/>
  <c r="AP604" i="5"/>
  <c r="BO604" i="5"/>
  <c r="BT603" i="5"/>
  <c r="AK606" i="5"/>
  <c r="AH606" i="5"/>
  <c r="BU603" i="5"/>
  <c r="BV604" i="5"/>
  <c r="BS604" i="5"/>
  <c r="BQ604" i="5"/>
  <c r="BR605" i="5" l="1"/>
  <c r="BQ605" i="5"/>
  <c r="AG608" i="5"/>
  <c r="AB608" i="5"/>
  <c r="AA608" i="5"/>
  <c r="Y609" i="5"/>
  <c r="Z608" i="5"/>
  <c r="BU604" i="5"/>
  <c r="AO605" i="5"/>
  <c r="BN605" i="5"/>
  <c r="AP605" i="5"/>
  <c r="BO605" i="5"/>
  <c r="AK607" i="5"/>
  <c r="AH607" i="5"/>
  <c r="BD609" i="5"/>
  <c r="BL608" i="5"/>
  <c r="BG608" i="5"/>
  <c r="BF608" i="5"/>
  <c r="BE608" i="5"/>
  <c r="BS605" i="5"/>
  <c r="BV605" i="5"/>
  <c r="AQ606" i="5"/>
  <c r="AN606" i="5"/>
  <c r="BM606" i="5"/>
  <c r="AJ606" i="5"/>
  <c r="AI606" i="5"/>
  <c r="BP606" i="5"/>
  <c r="AM606" i="5"/>
  <c r="AL606" i="5"/>
  <c r="BT604" i="5"/>
  <c r="AQ607" i="5" l="1"/>
  <c r="AN607" i="5"/>
  <c r="BM607" i="5"/>
  <c r="AJ607" i="5"/>
  <c r="AI607" i="5"/>
  <c r="BG609" i="5"/>
  <c r="BL609" i="5"/>
  <c r="BF609" i="5"/>
  <c r="BE609" i="5"/>
  <c r="BD610" i="5"/>
  <c r="BU605" i="5"/>
  <c r="Z609" i="5"/>
  <c r="Y610" i="5"/>
  <c r="AA609" i="5"/>
  <c r="AG609" i="5"/>
  <c r="AB609" i="5"/>
  <c r="AP606" i="5"/>
  <c r="BO606" i="5"/>
  <c r="BT605" i="5"/>
  <c r="BP607" i="5"/>
  <c r="AM607" i="5"/>
  <c r="AL607" i="5"/>
  <c r="BR606" i="5"/>
  <c r="BQ606" i="5"/>
  <c r="AO606" i="5"/>
  <c r="BN606" i="5"/>
  <c r="BV606" i="5"/>
  <c r="BS606" i="5"/>
  <c r="AK608" i="5"/>
  <c r="AH608" i="5"/>
  <c r="BT606" i="5" l="1"/>
  <c r="AA610" i="5"/>
  <c r="Z610" i="5"/>
  <c r="Y611" i="5"/>
  <c r="AG610" i="5"/>
  <c r="AB610" i="5"/>
  <c r="BR607" i="5"/>
  <c r="BQ607" i="5"/>
  <c r="AN608" i="5"/>
  <c r="AQ608" i="5"/>
  <c r="BM608" i="5"/>
  <c r="AJ608" i="5"/>
  <c r="AI608" i="5"/>
  <c r="BP608" i="5"/>
  <c r="AM608" i="5"/>
  <c r="AL608" i="5"/>
  <c r="AO607" i="5"/>
  <c r="BN607" i="5"/>
  <c r="AP607" i="5"/>
  <c r="BO607" i="5"/>
  <c r="BS607" i="5"/>
  <c r="BV607" i="5"/>
  <c r="BU606" i="5"/>
  <c r="AH609" i="5"/>
  <c r="AK609" i="5"/>
  <c r="BF610" i="5"/>
  <c r="BE610" i="5"/>
  <c r="BG610" i="5"/>
  <c r="BD611" i="5"/>
  <c r="BL610" i="5"/>
  <c r="BP609" i="5" l="1"/>
  <c r="AM609" i="5"/>
  <c r="AL609" i="5"/>
  <c r="BR608" i="5"/>
  <c r="BQ608" i="5"/>
  <c r="AP608" i="5"/>
  <c r="BO608" i="5"/>
  <c r="AK610" i="5"/>
  <c r="AH610" i="5"/>
  <c r="AO608" i="5"/>
  <c r="BN608" i="5"/>
  <c r="BD612" i="5"/>
  <c r="BE611" i="5"/>
  <c r="BL611" i="5"/>
  <c r="BG611" i="5"/>
  <c r="BF611" i="5"/>
  <c r="BU607" i="5"/>
  <c r="BS608" i="5"/>
  <c r="BV608" i="5"/>
  <c r="AB611" i="5"/>
  <c r="AG611" i="5"/>
  <c r="AA611" i="5"/>
  <c r="Z611" i="5"/>
  <c r="Y612" i="5"/>
  <c r="BT607" i="5"/>
  <c r="AN609" i="5"/>
  <c r="AQ609" i="5"/>
  <c r="BM609" i="5"/>
  <c r="AJ609" i="5"/>
  <c r="AI609" i="5"/>
  <c r="AQ610" i="5" l="1"/>
  <c r="AN610" i="5"/>
  <c r="BM610" i="5"/>
  <c r="AJ610" i="5"/>
  <c r="AI610" i="5"/>
  <c r="BP610" i="5"/>
  <c r="AM610" i="5"/>
  <c r="AL610" i="5"/>
  <c r="BU608" i="5"/>
  <c r="AA612" i="5"/>
  <c r="Z612" i="5"/>
  <c r="AG612" i="5"/>
  <c r="AB612" i="5"/>
  <c r="Y613" i="5"/>
  <c r="AH611" i="5"/>
  <c r="AK611" i="5"/>
  <c r="AO609" i="5"/>
  <c r="BN609" i="5"/>
  <c r="AP609" i="5"/>
  <c r="BO609" i="5"/>
  <c r="BV609" i="5"/>
  <c r="BS609" i="5"/>
  <c r="BG612" i="5"/>
  <c r="BD613" i="5"/>
  <c r="BL612" i="5"/>
  <c r="BF612" i="5"/>
  <c r="BE612" i="5"/>
  <c r="BT608" i="5"/>
  <c r="BR609" i="5"/>
  <c r="BQ609" i="5"/>
  <c r="BR610" i="5" l="1"/>
  <c r="BQ610" i="5"/>
  <c r="BT609" i="5"/>
  <c r="Y614" i="5"/>
  <c r="Z613" i="5"/>
  <c r="AB613" i="5"/>
  <c r="AA613" i="5"/>
  <c r="AG613" i="5"/>
  <c r="AO610" i="5"/>
  <c r="BN610" i="5"/>
  <c r="AP610" i="5"/>
  <c r="BO610" i="5"/>
  <c r="BU609" i="5"/>
  <c r="BS610" i="5"/>
  <c r="BV610" i="5"/>
  <c r="BP611" i="5"/>
  <c r="AM611" i="5"/>
  <c r="AL611" i="5"/>
  <c r="AK612" i="5"/>
  <c r="AH612" i="5"/>
  <c r="BL613" i="5"/>
  <c r="BF613" i="5"/>
  <c r="BD614" i="5"/>
  <c r="BE613" i="5"/>
  <c r="BG613" i="5"/>
  <c r="AQ611" i="5"/>
  <c r="AN611" i="5"/>
  <c r="BM611" i="5"/>
  <c r="AJ611" i="5"/>
  <c r="AI611" i="5"/>
  <c r="BR611" i="5" l="1"/>
  <c r="BQ611" i="5"/>
  <c r="AO611" i="5"/>
  <c r="BN611" i="5"/>
  <c r="AP611" i="5"/>
  <c r="BO611" i="5"/>
  <c r="BF614" i="5"/>
  <c r="BL614" i="5"/>
  <c r="BD615" i="5"/>
  <c r="BG614" i="5"/>
  <c r="BE614" i="5"/>
  <c r="AK613" i="5"/>
  <c r="AH613" i="5"/>
  <c r="BU610" i="5"/>
  <c r="BV611" i="5"/>
  <c r="BS611" i="5"/>
  <c r="AN612" i="5"/>
  <c r="AQ612" i="5"/>
  <c r="BM612" i="5"/>
  <c r="AJ612" i="5"/>
  <c r="AI612" i="5"/>
  <c r="BT610" i="5"/>
  <c r="BP612" i="5"/>
  <c r="AM612" i="5"/>
  <c r="AL612" i="5"/>
  <c r="AB614" i="5"/>
  <c r="Y615" i="5"/>
  <c r="AG614" i="5"/>
  <c r="AA614" i="5"/>
  <c r="Z614" i="5"/>
  <c r="BE615" i="5" l="1"/>
  <c r="BF615" i="5"/>
  <c r="BD616" i="5"/>
  <c r="BL615" i="5"/>
  <c r="BG615" i="5"/>
  <c r="AO612" i="5"/>
  <c r="BN612" i="5"/>
  <c r="BU611" i="5"/>
  <c r="AP612" i="5"/>
  <c r="BO612" i="5"/>
  <c r="BV612" i="5"/>
  <c r="BS612" i="5"/>
  <c r="BT611" i="5"/>
  <c r="BP613" i="5"/>
  <c r="AM613" i="5"/>
  <c r="AL613" i="5"/>
  <c r="AK614" i="5"/>
  <c r="AH614" i="5"/>
  <c r="Y616" i="5"/>
  <c r="AG615" i="5"/>
  <c r="AB615" i="5"/>
  <c r="AA615" i="5"/>
  <c r="Z615" i="5"/>
  <c r="BR612" i="5"/>
  <c r="BQ612" i="5"/>
  <c r="AQ613" i="5"/>
  <c r="AN613" i="5"/>
  <c r="BM613" i="5"/>
  <c r="AJ613" i="5"/>
  <c r="AI613" i="5"/>
  <c r="AQ614" i="5" l="1"/>
  <c r="AN614" i="5"/>
  <c r="BM614" i="5"/>
  <c r="AJ614" i="5"/>
  <c r="AI614" i="5"/>
  <c r="BU612" i="5"/>
  <c r="BR613" i="5"/>
  <c r="BQ613" i="5"/>
  <c r="BT612" i="5"/>
  <c r="BG616" i="5"/>
  <c r="BF616" i="5"/>
  <c r="BE616" i="5"/>
  <c r="BD617" i="5"/>
  <c r="BL616" i="5"/>
  <c r="AA616" i="5"/>
  <c r="AG616" i="5"/>
  <c r="Y617" i="5"/>
  <c r="AB616" i="5"/>
  <c r="Z616" i="5"/>
  <c r="BP614" i="5"/>
  <c r="AM614" i="5"/>
  <c r="AL614" i="5"/>
  <c r="BS613" i="5"/>
  <c r="BV613" i="5"/>
  <c r="AH615" i="5"/>
  <c r="AK615" i="5"/>
  <c r="AO613" i="5"/>
  <c r="BN613" i="5"/>
  <c r="AP613" i="5"/>
  <c r="BO613" i="5"/>
  <c r="BT613" i="5" l="1"/>
  <c r="BP615" i="5"/>
  <c r="AM615" i="5"/>
  <c r="AL615" i="5"/>
  <c r="AQ615" i="5"/>
  <c r="AN615" i="5"/>
  <c r="BM615" i="5"/>
  <c r="AJ615" i="5"/>
  <c r="AI615" i="5"/>
  <c r="BG617" i="5"/>
  <c r="BF617" i="5"/>
  <c r="BL617" i="5"/>
  <c r="BE617" i="5"/>
  <c r="BD618" i="5"/>
  <c r="AO614" i="5"/>
  <c r="BN614" i="5"/>
  <c r="AP614" i="5"/>
  <c r="BO614" i="5"/>
  <c r="BS614" i="5"/>
  <c r="BV614" i="5"/>
  <c r="Z617" i="5"/>
  <c r="AB617" i="5"/>
  <c r="Y618" i="5"/>
  <c r="AG617" i="5"/>
  <c r="AA617" i="5"/>
  <c r="BU613" i="5"/>
  <c r="BR614" i="5"/>
  <c r="BQ614" i="5"/>
  <c r="AH616" i="5"/>
  <c r="AK616" i="5"/>
  <c r="AO615" i="5" l="1"/>
  <c r="BN615" i="5"/>
  <c r="AP615" i="5"/>
  <c r="BO615" i="5"/>
  <c r="BS615" i="5"/>
  <c r="BV615" i="5"/>
  <c r="BL618" i="5"/>
  <c r="BD619" i="5"/>
  <c r="BG618" i="5"/>
  <c r="BF618" i="5"/>
  <c r="BE618" i="5"/>
  <c r="BP616" i="5"/>
  <c r="AM616" i="5"/>
  <c r="AL616" i="5"/>
  <c r="BT614" i="5"/>
  <c r="BU614" i="5"/>
  <c r="AQ616" i="5"/>
  <c r="AN616" i="5"/>
  <c r="BM616" i="5"/>
  <c r="AJ616" i="5"/>
  <c r="AI616" i="5"/>
  <c r="BR615" i="5"/>
  <c r="BQ615" i="5"/>
  <c r="AK617" i="5"/>
  <c r="AH617" i="5"/>
  <c r="Y619" i="5"/>
  <c r="AG618" i="5"/>
  <c r="AB618" i="5"/>
  <c r="AA618" i="5"/>
  <c r="Z618" i="5"/>
  <c r="AN617" i="5" l="1"/>
  <c r="AQ617" i="5"/>
  <c r="BM617" i="5"/>
  <c r="AJ617" i="5"/>
  <c r="AI617" i="5"/>
  <c r="BE619" i="5"/>
  <c r="BD620" i="5"/>
  <c r="BF619" i="5"/>
  <c r="BL619" i="5"/>
  <c r="BG619" i="5"/>
  <c r="BR616" i="5"/>
  <c r="BQ616" i="5"/>
  <c r="BP617" i="5"/>
  <c r="AM617" i="5"/>
  <c r="AL617" i="5"/>
  <c r="BU615" i="5"/>
  <c r="AP616" i="5"/>
  <c r="BO616" i="5"/>
  <c r="AH618" i="5"/>
  <c r="AK618" i="5"/>
  <c r="BT615" i="5"/>
  <c r="BV616" i="5"/>
  <c r="BS616" i="5"/>
  <c r="AO616" i="5"/>
  <c r="BN616" i="5"/>
  <c r="AB619" i="5"/>
  <c r="AA619" i="5"/>
  <c r="Y620" i="5"/>
  <c r="AG619" i="5"/>
  <c r="Z619" i="5"/>
  <c r="BR617" i="5" l="1"/>
  <c r="BQ617" i="5"/>
  <c r="BP618" i="5"/>
  <c r="AM618" i="5"/>
  <c r="AL618" i="5"/>
  <c r="BE620" i="5"/>
  <c r="BL620" i="5"/>
  <c r="BD621" i="5"/>
  <c r="BG620" i="5"/>
  <c r="BF620" i="5"/>
  <c r="AH619" i="5"/>
  <c r="AK619" i="5"/>
  <c r="AQ618" i="5"/>
  <c r="AN618" i="5"/>
  <c r="BM618" i="5"/>
  <c r="AJ618" i="5"/>
  <c r="AI618" i="5"/>
  <c r="AO617" i="5"/>
  <c r="BN617" i="5"/>
  <c r="AP617" i="5"/>
  <c r="BO617" i="5"/>
  <c r="AG620" i="5"/>
  <c r="Z620" i="5"/>
  <c r="AA620" i="5"/>
  <c r="Y621" i="5"/>
  <c r="AB620" i="5"/>
  <c r="BU616" i="5"/>
  <c r="BS617" i="5"/>
  <c r="BV617" i="5"/>
  <c r="BT616" i="5"/>
  <c r="AO618" i="5" l="1"/>
  <c r="BN618" i="5"/>
  <c r="BV618" i="5"/>
  <c r="BS618" i="5"/>
  <c r="BT617" i="5"/>
  <c r="BG621" i="5"/>
  <c r="BL621" i="5"/>
  <c r="BD622" i="5"/>
  <c r="BF621" i="5"/>
  <c r="BE621" i="5"/>
  <c r="AQ619" i="5"/>
  <c r="AN619" i="5"/>
  <c r="BM619" i="5"/>
  <c r="AJ619" i="5"/>
  <c r="AI619" i="5"/>
  <c r="Z621" i="5"/>
  <c r="Y622" i="5"/>
  <c r="AA621" i="5"/>
  <c r="AG621" i="5"/>
  <c r="AB621" i="5"/>
  <c r="AK620" i="5"/>
  <c r="AH620" i="5"/>
  <c r="BP619" i="5"/>
  <c r="AM619" i="5"/>
  <c r="AL619" i="5"/>
  <c r="BU617" i="5"/>
  <c r="BR618" i="5"/>
  <c r="BQ618" i="5"/>
  <c r="AP618" i="5"/>
  <c r="BO618" i="5"/>
  <c r="BS619" i="5" l="1"/>
  <c r="BV619" i="5"/>
  <c r="BF622" i="5"/>
  <c r="BE622" i="5"/>
  <c r="BD623" i="5"/>
  <c r="BL622" i="5"/>
  <c r="BG622" i="5"/>
  <c r="BR619" i="5"/>
  <c r="BQ619" i="5"/>
  <c r="AK621" i="5"/>
  <c r="AH621" i="5"/>
  <c r="BU618" i="5"/>
  <c r="BP620" i="5"/>
  <c r="AM620" i="5"/>
  <c r="AL620" i="5"/>
  <c r="AB622" i="5"/>
  <c r="Z622" i="5"/>
  <c r="Y623" i="5"/>
  <c r="AG622" i="5"/>
  <c r="AA622" i="5"/>
  <c r="BT618" i="5"/>
  <c r="AQ620" i="5"/>
  <c r="AN620" i="5"/>
  <c r="BM620" i="5"/>
  <c r="AJ620" i="5"/>
  <c r="AI620" i="5"/>
  <c r="AO619" i="5"/>
  <c r="BN619" i="5"/>
  <c r="AP619" i="5"/>
  <c r="BO619" i="5"/>
  <c r="BT619" i="5" l="1"/>
  <c r="BR620" i="5"/>
  <c r="BQ620" i="5"/>
  <c r="AN621" i="5"/>
  <c r="AQ621" i="5"/>
  <c r="BM621" i="5"/>
  <c r="AJ621" i="5"/>
  <c r="AI621" i="5"/>
  <c r="AO620" i="5"/>
  <c r="BN620" i="5"/>
  <c r="AK622" i="5"/>
  <c r="AH622" i="5"/>
  <c r="BP621" i="5"/>
  <c r="AM621" i="5"/>
  <c r="AL621" i="5"/>
  <c r="AP620" i="5"/>
  <c r="BO620" i="5"/>
  <c r="AB623" i="5"/>
  <c r="AG623" i="5"/>
  <c r="Z623" i="5"/>
  <c r="Y624" i="5"/>
  <c r="AA623" i="5"/>
  <c r="BV620" i="5"/>
  <c r="BS620" i="5"/>
  <c r="BD624" i="5"/>
  <c r="BL623" i="5"/>
  <c r="BG623" i="5"/>
  <c r="BF623" i="5"/>
  <c r="BE623" i="5"/>
  <c r="BU619" i="5"/>
  <c r="AA624" i="5" l="1"/>
  <c r="Z624" i="5"/>
  <c r="Y625" i="5"/>
  <c r="AB624" i="5"/>
  <c r="AG624" i="5"/>
  <c r="BT620" i="5"/>
  <c r="AH623" i="5"/>
  <c r="AK623" i="5"/>
  <c r="AO621" i="5"/>
  <c r="BN621" i="5"/>
  <c r="BU620" i="5"/>
  <c r="AP621" i="5"/>
  <c r="BO621" i="5"/>
  <c r="BV621" i="5"/>
  <c r="BS621" i="5"/>
  <c r="BG624" i="5"/>
  <c r="BE624" i="5"/>
  <c r="BD625" i="5"/>
  <c r="BL624" i="5"/>
  <c r="BF624" i="5"/>
  <c r="BR621" i="5"/>
  <c r="BQ621" i="5"/>
  <c r="AQ622" i="5"/>
  <c r="BM622" i="5"/>
  <c r="AN622" i="5"/>
  <c r="AJ622" i="5"/>
  <c r="AI622" i="5"/>
  <c r="BP622" i="5"/>
  <c r="AM622" i="5"/>
  <c r="AL622" i="5"/>
  <c r="BT621" i="5" l="1"/>
  <c r="AK624" i="5"/>
  <c r="AH624" i="5"/>
  <c r="BR622" i="5"/>
  <c r="BQ622" i="5"/>
  <c r="AO622" i="5"/>
  <c r="BN622" i="5"/>
  <c r="BU621" i="5"/>
  <c r="AP622" i="5"/>
  <c r="BO622" i="5"/>
  <c r="BS622" i="5"/>
  <c r="BV622" i="5"/>
  <c r="BD626" i="5"/>
  <c r="BF625" i="5"/>
  <c r="BE625" i="5"/>
  <c r="BL625" i="5"/>
  <c r="BG625" i="5"/>
  <c r="BP623" i="5"/>
  <c r="AM623" i="5"/>
  <c r="AL623" i="5"/>
  <c r="AQ623" i="5"/>
  <c r="AN623" i="5"/>
  <c r="BM623" i="5"/>
  <c r="AJ623" i="5"/>
  <c r="AI623" i="5"/>
  <c r="Y626" i="5"/>
  <c r="AG625" i="5"/>
  <c r="AB625" i="5"/>
  <c r="AA625" i="5"/>
  <c r="Z625" i="5"/>
  <c r="AP623" i="5" l="1"/>
  <c r="BO623" i="5"/>
  <c r="BS623" i="5"/>
  <c r="BV623" i="5"/>
  <c r="BT622" i="5"/>
  <c r="BF626" i="5"/>
  <c r="BL626" i="5"/>
  <c r="BD627" i="5"/>
  <c r="BG626" i="5"/>
  <c r="CA626" i="5"/>
  <c r="BE626" i="5"/>
  <c r="CA622" i="5"/>
  <c r="BW622" i="5" s="1"/>
  <c r="CA618" i="5"/>
  <c r="BW618" i="5" s="1"/>
  <c r="CA620" i="5"/>
  <c r="BW620" i="5" s="1"/>
  <c r="CA624" i="5"/>
  <c r="AO623" i="5"/>
  <c r="BN623" i="5"/>
  <c r="BR623" i="5"/>
  <c r="BQ623" i="5"/>
  <c r="AK625" i="5"/>
  <c r="AH625" i="5"/>
  <c r="AN624" i="5"/>
  <c r="AQ624" i="5"/>
  <c r="BM624" i="5"/>
  <c r="AJ624" i="5"/>
  <c r="AI624" i="5"/>
  <c r="BP624" i="5"/>
  <c r="AM624" i="5"/>
  <c r="AL624" i="5"/>
  <c r="BU622" i="5"/>
  <c r="AB626" i="5"/>
  <c r="Z626" i="5"/>
  <c r="AG626" i="5"/>
  <c r="AV626" i="5"/>
  <c r="AA626" i="5"/>
  <c r="Y627" i="5"/>
  <c r="AV622" i="5"/>
  <c r="AR622" i="5" s="1"/>
  <c r="AV618" i="5"/>
  <c r="AR618" i="5" s="1"/>
  <c r="BR624" i="5" l="1"/>
  <c r="BQ624" i="5"/>
  <c r="AV627" i="5"/>
  <c r="Y628" i="5"/>
  <c r="AB627" i="5"/>
  <c r="AG627" i="5"/>
  <c r="AA627" i="5"/>
  <c r="Z627" i="5"/>
  <c r="AV621" i="5"/>
  <c r="AR621" i="5" s="1"/>
  <c r="AV620" i="5"/>
  <c r="AR620" i="5" s="1"/>
  <c r="AV625" i="5"/>
  <c r="AV623" i="5"/>
  <c r="AR623" i="5" s="1"/>
  <c r="AO624" i="5"/>
  <c r="BN624" i="5"/>
  <c r="AP624" i="5"/>
  <c r="BO624" i="5"/>
  <c r="BE627" i="5"/>
  <c r="BL627" i="5"/>
  <c r="CA627" i="5"/>
  <c r="BG627" i="5"/>
  <c r="BD628" i="5"/>
  <c r="BF627" i="5"/>
  <c r="CA623" i="5"/>
  <c r="CA619" i="5"/>
  <c r="BW619" i="5" s="1"/>
  <c r="CA621" i="5"/>
  <c r="BW621" i="5" s="1"/>
  <c r="CA625" i="5"/>
  <c r="AK626" i="5"/>
  <c r="AH626" i="5"/>
  <c r="BV624" i="5"/>
  <c r="BS624" i="5"/>
  <c r="AQ625" i="5"/>
  <c r="AN625" i="5"/>
  <c r="BM625" i="5"/>
  <c r="AJ625" i="5"/>
  <c r="AI625" i="5"/>
  <c r="BU623" i="5"/>
  <c r="BP625" i="5"/>
  <c r="AM625" i="5"/>
  <c r="AL625" i="5"/>
  <c r="BW623" i="5"/>
  <c r="BT623" i="5"/>
  <c r="AV624" i="5"/>
  <c r="AR624" i="5" s="1"/>
  <c r="BU624" i="5" l="1"/>
  <c r="BP626" i="5"/>
  <c r="AM626" i="5"/>
  <c r="AL626" i="5"/>
  <c r="BR625" i="5"/>
  <c r="BQ625" i="5"/>
  <c r="AR625" i="5"/>
  <c r="AO625" i="5"/>
  <c r="BN625" i="5"/>
  <c r="BW624" i="5"/>
  <c r="BT624" i="5"/>
  <c r="AH627" i="5"/>
  <c r="AK627" i="5"/>
  <c r="AP625" i="5"/>
  <c r="BO625" i="5"/>
  <c r="BV625" i="5"/>
  <c r="BS625" i="5"/>
  <c r="AA628" i="5"/>
  <c r="AG628" i="5"/>
  <c r="AB628" i="5"/>
  <c r="Z628" i="5"/>
  <c r="Y629" i="5"/>
  <c r="BD629" i="5"/>
  <c r="BF628" i="5"/>
  <c r="BE628" i="5"/>
  <c r="BL628" i="5"/>
  <c r="BG628" i="5"/>
  <c r="AQ626" i="5"/>
  <c r="AN626" i="5"/>
  <c r="BM626" i="5"/>
  <c r="AJ626" i="5"/>
  <c r="AI626" i="5"/>
  <c r="BT625" i="5" l="1"/>
  <c r="BW625" i="5"/>
  <c r="AR626" i="5"/>
  <c r="AO626" i="5"/>
  <c r="BN626" i="5"/>
  <c r="AK628" i="5"/>
  <c r="AH628" i="5"/>
  <c r="AP626" i="5"/>
  <c r="BO626" i="5"/>
  <c r="BV626" i="5"/>
  <c r="BS626" i="5"/>
  <c r="BG629" i="5"/>
  <c r="BE629" i="5"/>
  <c r="BL629" i="5"/>
  <c r="BF629" i="5"/>
  <c r="BD630" i="5"/>
  <c r="BU625" i="5"/>
  <c r="BR626" i="5"/>
  <c r="BQ626" i="5"/>
  <c r="AA629" i="5"/>
  <c r="Z629" i="5"/>
  <c r="AG629" i="5"/>
  <c r="Y630" i="5"/>
  <c r="AB629" i="5"/>
  <c r="BP627" i="5"/>
  <c r="AM627" i="5"/>
  <c r="AL627" i="5"/>
  <c r="AN627" i="5"/>
  <c r="AQ627" i="5"/>
  <c r="BM627" i="5"/>
  <c r="AJ627" i="5"/>
  <c r="AI627" i="5"/>
  <c r="BR627" i="5" l="1"/>
  <c r="BQ627" i="5"/>
  <c r="BU626" i="5"/>
  <c r="AI628" i="5"/>
  <c r="AQ628" i="5"/>
  <c r="AN628" i="5"/>
  <c r="BM628" i="5"/>
  <c r="AJ628" i="5"/>
  <c r="BE630" i="5"/>
  <c r="BG630" i="5"/>
  <c r="BD631" i="5"/>
  <c r="BF630" i="5"/>
  <c r="BL630" i="5"/>
  <c r="AK629" i="5"/>
  <c r="AH629" i="5"/>
  <c r="BT626" i="5"/>
  <c r="BW626" i="5"/>
  <c r="Y631" i="5"/>
  <c r="AG630" i="5"/>
  <c r="AB630" i="5"/>
  <c r="AA630" i="5"/>
  <c r="Z630" i="5"/>
  <c r="AL629" i="5"/>
  <c r="AL628" i="5"/>
  <c r="BP628" i="5"/>
  <c r="AM628" i="5"/>
  <c r="AP627" i="5"/>
  <c r="BO627" i="5"/>
  <c r="BS627" i="5"/>
  <c r="BV627" i="5"/>
  <c r="AR627" i="5"/>
  <c r="AO627" i="5"/>
  <c r="BN627" i="5"/>
  <c r="AI629" i="5" l="1"/>
  <c r="AO628" i="5"/>
  <c r="BN628" i="5"/>
  <c r="AK630" i="5"/>
  <c r="AH630" i="5"/>
  <c r="BQ628" i="5"/>
  <c r="BR628" i="5"/>
  <c r="BW627" i="5"/>
  <c r="BT627" i="5"/>
  <c r="BF631" i="5"/>
  <c r="BL631" i="5"/>
  <c r="BD632" i="5"/>
  <c r="BG631" i="5"/>
  <c r="BE631" i="5"/>
  <c r="BU627" i="5"/>
  <c r="AB631" i="5"/>
  <c r="Z631" i="5"/>
  <c r="Y632" i="5"/>
  <c r="AG631" i="5"/>
  <c r="AA631" i="5"/>
  <c r="AN629" i="5"/>
  <c r="AQ629" i="5"/>
  <c r="BM629" i="5"/>
  <c r="AJ629" i="5"/>
  <c r="BP629" i="5"/>
  <c r="BR629" i="5" s="1"/>
  <c r="AM629" i="5"/>
  <c r="AP628" i="5"/>
  <c r="BO628" i="5"/>
  <c r="AI630" i="5"/>
  <c r="BV628" i="5"/>
  <c r="BS628" i="5"/>
  <c r="BN630" i="5" l="1"/>
  <c r="AN630" i="5"/>
  <c r="AQ630" i="5"/>
  <c r="BM630" i="5"/>
  <c r="AJ630" i="5"/>
  <c r="BU628" i="5"/>
  <c r="BP630" i="5"/>
  <c r="AM630" i="5"/>
  <c r="AL630" i="5"/>
  <c r="AO630" i="5" s="1"/>
  <c r="AP629" i="5"/>
  <c r="BO629" i="5"/>
  <c r="BV629" i="5"/>
  <c r="BS629" i="5"/>
  <c r="BT628" i="5"/>
  <c r="AH631" i="5"/>
  <c r="AK631" i="5"/>
  <c r="BQ629" i="5"/>
  <c r="AG632" i="5"/>
  <c r="AA632" i="5"/>
  <c r="Z632" i="5"/>
  <c r="Y633" i="5"/>
  <c r="AB632" i="5"/>
  <c r="AI631" i="5"/>
  <c r="BE632" i="5"/>
  <c r="BG632" i="5"/>
  <c r="BL632" i="5"/>
  <c r="BF632" i="5"/>
  <c r="BD633" i="5"/>
  <c r="AO629" i="5"/>
  <c r="BN629" i="5"/>
  <c r="AP630" i="5" l="1"/>
  <c r="BO630" i="5"/>
  <c r="AA633" i="5"/>
  <c r="AG633" i="5"/>
  <c r="Y634" i="5"/>
  <c r="AB633" i="5"/>
  <c r="Z633" i="5"/>
  <c r="BS630" i="5"/>
  <c r="BV630" i="5"/>
  <c r="AO631" i="5"/>
  <c r="BN631" i="5"/>
  <c r="BD634" i="5"/>
  <c r="BE633" i="5"/>
  <c r="BG633" i="5"/>
  <c r="BF633" i="5"/>
  <c r="BL633" i="5"/>
  <c r="BT629" i="5"/>
  <c r="BP631" i="5"/>
  <c r="AM631" i="5"/>
  <c r="AQ631" i="5"/>
  <c r="AN631" i="5"/>
  <c r="BM631" i="5"/>
  <c r="AJ631" i="5"/>
  <c r="AH632" i="5"/>
  <c r="AK632" i="5"/>
  <c r="BR630" i="5"/>
  <c r="BQ630" i="5"/>
  <c r="BT630" i="5" s="1"/>
  <c r="AL631" i="5"/>
  <c r="BU629" i="5"/>
  <c r="BP632" i="5" l="1"/>
  <c r="AM632" i="5"/>
  <c r="BT631" i="5"/>
  <c r="AQ632" i="5"/>
  <c r="AN632" i="5"/>
  <c r="BM632" i="5"/>
  <c r="AJ632" i="5"/>
  <c r="AI633" i="5"/>
  <c r="AI632" i="5"/>
  <c r="BQ631" i="5"/>
  <c r="Z634" i="5"/>
  <c r="Y635" i="5"/>
  <c r="AG634" i="5"/>
  <c r="AB634" i="5"/>
  <c r="AA634" i="5"/>
  <c r="AH633" i="5"/>
  <c r="AK633" i="5"/>
  <c r="AP631" i="5"/>
  <c r="BO631" i="5"/>
  <c r="BV631" i="5"/>
  <c r="BS631" i="5"/>
  <c r="AL632" i="5"/>
  <c r="BU630" i="5"/>
  <c r="BR631" i="5"/>
  <c r="BQ632" i="5"/>
  <c r="BG634" i="5"/>
  <c r="BF634" i="5"/>
  <c r="BL634" i="5"/>
  <c r="BE634" i="5"/>
  <c r="BD635" i="5"/>
  <c r="BU631" i="5" l="1"/>
  <c r="AP632" i="5"/>
  <c r="BO632" i="5"/>
  <c r="BP633" i="5"/>
  <c r="AM633" i="5"/>
  <c r="AL634" i="5"/>
  <c r="AO632" i="5"/>
  <c r="BN632" i="5"/>
  <c r="BS632" i="5"/>
  <c r="BV632" i="5"/>
  <c r="AL633" i="5"/>
  <c r="AN633" i="5"/>
  <c r="AQ633" i="5"/>
  <c r="BM633" i="5"/>
  <c r="AJ633" i="5"/>
  <c r="BR632" i="5"/>
  <c r="BL635" i="5"/>
  <c r="BG635" i="5"/>
  <c r="BF635" i="5"/>
  <c r="BE635" i="5"/>
  <c r="BD636" i="5"/>
  <c r="AK634" i="5"/>
  <c r="AH634" i="5"/>
  <c r="Z635" i="5"/>
  <c r="AG635" i="5"/>
  <c r="Y636" i="5"/>
  <c r="AA635" i="5"/>
  <c r="AB635" i="5"/>
  <c r="AO633" i="5"/>
  <c r="BN633" i="5"/>
  <c r="BR633" i="5" l="1"/>
  <c r="BQ633" i="5"/>
  <c r="BT633" i="5" s="1"/>
  <c r="Z636" i="5"/>
  <c r="Y637" i="5"/>
  <c r="AG636" i="5"/>
  <c r="AA636" i="5"/>
  <c r="AB636" i="5"/>
  <c r="BU632" i="5"/>
  <c r="BT632" i="5"/>
  <c r="BE636" i="5"/>
  <c r="BG636" i="5"/>
  <c r="BL636" i="5"/>
  <c r="BF636" i="5"/>
  <c r="BD637" i="5"/>
  <c r="AP633" i="5"/>
  <c r="BO633" i="5"/>
  <c r="BV633" i="5"/>
  <c r="BS633" i="5"/>
  <c r="AK635" i="5"/>
  <c r="AH635" i="5"/>
  <c r="AN634" i="5"/>
  <c r="AQ634" i="5"/>
  <c r="BM634" i="5"/>
  <c r="AJ634" i="5"/>
  <c r="AI634" i="5"/>
  <c r="BP634" i="5"/>
  <c r="AM634" i="5"/>
  <c r="BS634" i="5" l="1"/>
  <c r="BV634" i="5"/>
  <c r="BR634" i="5"/>
  <c r="AQ635" i="5"/>
  <c r="AN635" i="5"/>
  <c r="BM635" i="5"/>
  <c r="AJ635" i="5"/>
  <c r="AI635" i="5"/>
  <c r="BQ635" i="5"/>
  <c r="BQ634" i="5"/>
  <c r="BP635" i="5"/>
  <c r="BR635" i="5" s="1"/>
  <c r="AM635" i="5"/>
  <c r="AL635" i="5"/>
  <c r="AK636" i="5"/>
  <c r="AL636" i="5" s="1"/>
  <c r="AH636" i="5"/>
  <c r="AO634" i="5"/>
  <c r="BN634" i="5"/>
  <c r="BU633" i="5"/>
  <c r="BD638" i="5"/>
  <c r="BL637" i="5"/>
  <c r="BG637" i="5"/>
  <c r="BE637" i="5"/>
  <c r="BF637" i="5"/>
  <c r="AG637" i="5"/>
  <c r="AB637" i="5"/>
  <c r="AA637" i="5"/>
  <c r="Z637" i="5"/>
  <c r="Y638" i="5"/>
  <c r="AP634" i="5"/>
  <c r="BO634" i="5"/>
  <c r="BG638" i="5" l="1"/>
  <c r="BF638" i="5"/>
  <c r="BD639" i="5"/>
  <c r="BL638" i="5"/>
  <c r="BE638" i="5"/>
  <c r="AK637" i="5"/>
  <c r="AH637" i="5"/>
  <c r="BT634" i="5"/>
  <c r="AO635" i="5"/>
  <c r="BN635" i="5"/>
  <c r="BU634" i="5"/>
  <c r="AP635" i="5"/>
  <c r="BO635" i="5"/>
  <c r="BV635" i="5"/>
  <c r="BS635" i="5"/>
  <c r="Z638" i="5"/>
  <c r="AG638" i="5"/>
  <c r="Y639" i="5"/>
  <c r="AB638" i="5"/>
  <c r="AA638" i="5"/>
  <c r="AQ636" i="5"/>
  <c r="AN636" i="5"/>
  <c r="BM636" i="5"/>
  <c r="AJ636" i="5"/>
  <c r="AI636" i="5"/>
  <c r="BP636" i="5"/>
  <c r="AM636" i="5"/>
  <c r="BS636" i="5" l="1"/>
  <c r="BV636" i="5"/>
  <c r="Y640" i="5"/>
  <c r="Z639" i="5"/>
  <c r="AG639" i="5"/>
  <c r="AB639" i="5"/>
  <c r="AA639" i="5"/>
  <c r="BT635" i="5"/>
  <c r="AP636" i="5"/>
  <c r="BO636" i="5"/>
  <c r="AN637" i="5"/>
  <c r="AQ637" i="5"/>
  <c r="BM637" i="5"/>
  <c r="AJ637" i="5"/>
  <c r="AI637" i="5"/>
  <c r="BU635" i="5"/>
  <c r="BP637" i="5"/>
  <c r="AM637" i="5"/>
  <c r="AL637" i="5"/>
  <c r="BF639" i="5"/>
  <c r="BL639" i="5"/>
  <c r="BG639" i="5"/>
  <c r="BD640" i="5"/>
  <c r="BE639" i="5"/>
  <c r="BR636" i="5"/>
  <c r="BQ636" i="5"/>
  <c r="AK638" i="5"/>
  <c r="AH638" i="5"/>
  <c r="AO636" i="5"/>
  <c r="BN636" i="5"/>
  <c r="BT636" i="5" l="1"/>
  <c r="AN638" i="5"/>
  <c r="AQ638" i="5"/>
  <c r="BM638" i="5"/>
  <c r="AJ638" i="5"/>
  <c r="AI638" i="5"/>
  <c r="BD641" i="5"/>
  <c r="BF640" i="5"/>
  <c r="BL640" i="5"/>
  <c r="BG640" i="5"/>
  <c r="BE640" i="5"/>
  <c r="BV637" i="5"/>
  <c r="BS637" i="5"/>
  <c r="BP638" i="5"/>
  <c r="AM638" i="5"/>
  <c r="AL638" i="5"/>
  <c r="BU636" i="5"/>
  <c r="AK639" i="5"/>
  <c r="AH639" i="5"/>
  <c r="BR637" i="5"/>
  <c r="BQ637" i="5"/>
  <c r="AB640" i="5"/>
  <c r="AA640" i="5"/>
  <c r="AG640" i="5"/>
  <c r="Z640" i="5"/>
  <c r="Y641" i="5"/>
  <c r="AO637" i="5"/>
  <c r="BN637" i="5"/>
  <c r="AP637" i="5"/>
  <c r="BO637" i="5"/>
  <c r="BR638" i="5" l="1"/>
  <c r="BQ638" i="5"/>
  <c r="BF641" i="5"/>
  <c r="BE641" i="5"/>
  <c r="BD642" i="5"/>
  <c r="BL641" i="5"/>
  <c r="BG641" i="5"/>
  <c r="AO638" i="5"/>
  <c r="BN638" i="5"/>
  <c r="AP638" i="5"/>
  <c r="BO638" i="5"/>
  <c r="BU637" i="5"/>
  <c r="BP639" i="5"/>
  <c r="AM639" i="5"/>
  <c r="AL639" i="5"/>
  <c r="BS638" i="5"/>
  <c r="BV638" i="5"/>
  <c r="AN639" i="5"/>
  <c r="AQ639" i="5"/>
  <c r="BM639" i="5"/>
  <c r="AJ639" i="5"/>
  <c r="AI639" i="5"/>
  <c r="AG641" i="5"/>
  <c r="Y642" i="5"/>
  <c r="AA641" i="5"/>
  <c r="Z641" i="5"/>
  <c r="AB641" i="5"/>
  <c r="BT637" i="5"/>
  <c r="AH640" i="5"/>
  <c r="AK640" i="5"/>
  <c r="AK641" i="5" l="1"/>
  <c r="AH641" i="5"/>
  <c r="Y643" i="5"/>
  <c r="AA642" i="5"/>
  <c r="AG642" i="5"/>
  <c r="AB642" i="5"/>
  <c r="Z642" i="5"/>
  <c r="AO639" i="5"/>
  <c r="BN639" i="5"/>
  <c r="BU638" i="5"/>
  <c r="AN640" i="5"/>
  <c r="AQ640" i="5"/>
  <c r="BM640" i="5"/>
  <c r="AJ640" i="5"/>
  <c r="AI640" i="5"/>
  <c r="AP639" i="5"/>
  <c r="BO639" i="5"/>
  <c r="BE642" i="5"/>
  <c r="BL642" i="5"/>
  <c r="BF642" i="5"/>
  <c r="BD643" i="5"/>
  <c r="BG642" i="5"/>
  <c r="BR639" i="5"/>
  <c r="BQ639" i="5"/>
  <c r="BV639" i="5"/>
  <c r="BS639" i="5"/>
  <c r="BT638" i="5"/>
  <c r="BP640" i="5"/>
  <c r="AM640" i="5"/>
  <c r="AL640" i="5"/>
  <c r="BV640" i="5" l="1"/>
  <c r="BS640" i="5"/>
  <c r="BF643" i="5"/>
  <c r="BD644" i="5"/>
  <c r="BE643" i="5"/>
  <c r="BL643" i="5"/>
  <c r="BG643" i="5"/>
  <c r="BT639" i="5"/>
  <c r="BR640" i="5"/>
  <c r="BQ640" i="5"/>
  <c r="AK642" i="5"/>
  <c r="AH642" i="5"/>
  <c r="BU639" i="5"/>
  <c r="Z643" i="5"/>
  <c r="AA643" i="5"/>
  <c r="Y644" i="5"/>
  <c r="AB643" i="5"/>
  <c r="AG643" i="5"/>
  <c r="AO640" i="5"/>
  <c r="BN640" i="5"/>
  <c r="AQ641" i="5"/>
  <c r="AN641" i="5"/>
  <c r="BM641" i="5"/>
  <c r="AJ641" i="5"/>
  <c r="AI641" i="5"/>
  <c r="AP640" i="5"/>
  <c r="BO640" i="5"/>
  <c r="BP641" i="5"/>
  <c r="AM641" i="5"/>
  <c r="AL641" i="5"/>
  <c r="AN642" i="5" l="1"/>
  <c r="AQ642" i="5"/>
  <c r="BM642" i="5"/>
  <c r="AJ642" i="5"/>
  <c r="AI642" i="5"/>
  <c r="BP642" i="5"/>
  <c r="AM642" i="5"/>
  <c r="AL642" i="5"/>
  <c r="BT640" i="5"/>
  <c r="BL644" i="5"/>
  <c r="BE644" i="5"/>
  <c r="BG644" i="5"/>
  <c r="BF644" i="5"/>
  <c r="BD645" i="5"/>
  <c r="AP641" i="5"/>
  <c r="BO641" i="5"/>
  <c r="BV641" i="5"/>
  <c r="BS641" i="5"/>
  <c r="AO641" i="5"/>
  <c r="BN641" i="5"/>
  <c r="Y645" i="5"/>
  <c r="AG644" i="5"/>
  <c r="AB644" i="5"/>
  <c r="AA644" i="5"/>
  <c r="Z644" i="5"/>
  <c r="BR641" i="5"/>
  <c r="BQ641" i="5"/>
  <c r="BU640" i="5"/>
  <c r="AK643" i="5"/>
  <c r="AH643" i="5"/>
  <c r="BT641" i="5" l="1"/>
  <c r="BR642" i="5"/>
  <c r="BQ642" i="5"/>
  <c r="AQ643" i="5"/>
  <c r="AN643" i="5"/>
  <c r="BM643" i="5"/>
  <c r="AJ643" i="5"/>
  <c r="AI643" i="5"/>
  <c r="BE645" i="5"/>
  <c r="BF645" i="5"/>
  <c r="BL645" i="5"/>
  <c r="BG645" i="5"/>
  <c r="BD646" i="5"/>
  <c r="AO642" i="5"/>
  <c r="BN642" i="5"/>
  <c r="BP643" i="5"/>
  <c r="AM643" i="5"/>
  <c r="AL643" i="5"/>
  <c r="AP642" i="5"/>
  <c r="BO642" i="5"/>
  <c r="AH644" i="5"/>
  <c r="AK644" i="5"/>
  <c r="BV642" i="5"/>
  <c r="BS642" i="5"/>
  <c r="AA645" i="5"/>
  <c r="Y646" i="5"/>
  <c r="AB645" i="5"/>
  <c r="Z645" i="5"/>
  <c r="AG645" i="5"/>
  <c r="BU641" i="5"/>
  <c r="AO643" i="5" l="1"/>
  <c r="BN643" i="5"/>
  <c r="AP643" i="5"/>
  <c r="BO643" i="5"/>
  <c r="BS643" i="5"/>
  <c r="BV643" i="5"/>
  <c r="AQ644" i="5"/>
  <c r="AN644" i="5"/>
  <c r="BM644" i="5"/>
  <c r="AJ644" i="5"/>
  <c r="AI644" i="5"/>
  <c r="AK645" i="5"/>
  <c r="AH645" i="5"/>
  <c r="BL646" i="5"/>
  <c r="BD647" i="5"/>
  <c r="BF646" i="5"/>
  <c r="BG646" i="5"/>
  <c r="BE646" i="5"/>
  <c r="BP644" i="5"/>
  <c r="AM644" i="5"/>
  <c r="AL644" i="5"/>
  <c r="BU642" i="5"/>
  <c r="BR643" i="5"/>
  <c r="BQ643" i="5"/>
  <c r="AG646" i="5"/>
  <c r="AB646" i="5"/>
  <c r="Z646" i="5"/>
  <c r="Y647" i="5"/>
  <c r="AA646" i="5"/>
  <c r="BT642" i="5"/>
  <c r="AP644" i="5" l="1"/>
  <c r="BO644" i="5"/>
  <c r="BV644" i="5"/>
  <c r="BS644" i="5"/>
  <c r="BR644" i="5"/>
  <c r="BQ644" i="5"/>
  <c r="BL647" i="5"/>
  <c r="BG647" i="5"/>
  <c r="BE647" i="5"/>
  <c r="BD648" i="5"/>
  <c r="BF647" i="5"/>
  <c r="Z647" i="5"/>
  <c r="Y648" i="5"/>
  <c r="AG647" i="5"/>
  <c r="AA647" i="5"/>
  <c r="AB647" i="5"/>
  <c r="BU643" i="5"/>
  <c r="AK646" i="5"/>
  <c r="AH646" i="5"/>
  <c r="AN645" i="5"/>
  <c r="AQ645" i="5"/>
  <c r="BM645" i="5"/>
  <c r="AJ645" i="5"/>
  <c r="AI645" i="5"/>
  <c r="BT643" i="5"/>
  <c r="BP645" i="5"/>
  <c r="AM645" i="5"/>
  <c r="AL645" i="5"/>
  <c r="AO644" i="5"/>
  <c r="BN644" i="5"/>
  <c r="BR645" i="5" l="1"/>
  <c r="BQ645" i="5"/>
  <c r="AO645" i="5"/>
  <c r="BN645" i="5"/>
  <c r="AN646" i="5"/>
  <c r="AQ646" i="5"/>
  <c r="BM646" i="5"/>
  <c r="AJ646" i="5"/>
  <c r="AI646" i="5"/>
  <c r="AH647" i="5"/>
  <c r="AK647" i="5"/>
  <c r="AA648" i="5"/>
  <c r="Y649" i="5"/>
  <c r="AG648" i="5"/>
  <c r="AB648" i="5"/>
  <c r="Z648" i="5"/>
  <c r="BU644" i="5"/>
  <c r="BV645" i="5"/>
  <c r="BS645" i="5"/>
  <c r="AP645" i="5"/>
  <c r="BO645" i="5"/>
  <c r="BT644" i="5"/>
  <c r="BE648" i="5"/>
  <c r="BF648" i="5"/>
  <c r="BL648" i="5"/>
  <c r="BG648" i="5"/>
  <c r="BD649" i="5"/>
  <c r="BP646" i="5"/>
  <c r="AM646" i="5"/>
  <c r="AL646" i="5"/>
  <c r="BP647" i="5" l="1"/>
  <c r="AM647" i="5"/>
  <c r="AL647" i="5"/>
  <c r="BU645" i="5"/>
  <c r="AO646" i="5"/>
  <c r="BN646" i="5"/>
  <c r="AP646" i="5"/>
  <c r="BO646" i="5"/>
  <c r="BS646" i="5"/>
  <c r="BV646" i="5"/>
  <c r="AQ647" i="5"/>
  <c r="AN647" i="5"/>
  <c r="BM647" i="5"/>
  <c r="AJ647" i="5"/>
  <c r="AI647" i="5"/>
  <c r="BD650" i="5"/>
  <c r="BL649" i="5"/>
  <c r="BF649" i="5"/>
  <c r="BE649" i="5"/>
  <c r="BG649" i="5"/>
  <c r="AK648" i="5"/>
  <c r="AH648" i="5"/>
  <c r="BT645" i="5"/>
  <c r="AG649" i="5"/>
  <c r="AB649" i="5"/>
  <c r="AA649" i="5"/>
  <c r="Z649" i="5"/>
  <c r="Y650" i="5"/>
  <c r="BR646" i="5"/>
  <c r="BQ646" i="5"/>
  <c r="BU646" i="5" l="1"/>
  <c r="AN648" i="5"/>
  <c r="AQ648" i="5"/>
  <c r="BM648" i="5"/>
  <c r="AJ648" i="5"/>
  <c r="AI648" i="5"/>
  <c r="BP648" i="5"/>
  <c r="AM648" i="5"/>
  <c r="AL648" i="5"/>
  <c r="BG650" i="5"/>
  <c r="BF650" i="5"/>
  <c r="BE650" i="5"/>
  <c r="BD651" i="5"/>
  <c r="BL650" i="5"/>
  <c r="BT646" i="5"/>
  <c r="AO647" i="5"/>
  <c r="BN647" i="5"/>
  <c r="AP647" i="5"/>
  <c r="BO647" i="5"/>
  <c r="BV647" i="5"/>
  <c r="BS647" i="5"/>
  <c r="Z650" i="5"/>
  <c r="AG650" i="5"/>
  <c r="AA650" i="5"/>
  <c r="Y651" i="5"/>
  <c r="AB650" i="5"/>
  <c r="AK649" i="5"/>
  <c r="AH649" i="5"/>
  <c r="BR647" i="5"/>
  <c r="BQ647" i="5"/>
  <c r="AK650" i="5" l="1"/>
  <c r="AH650" i="5"/>
  <c r="BR648" i="5"/>
  <c r="BQ648" i="5"/>
  <c r="AO648" i="5"/>
  <c r="BN648" i="5"/>
  <c r="AP648" i="5"/>
  <c r="BO648" i="5"/>
  <c r="BS648" i="5"/>
  <c r="BV648" i="5"/>
  <c r="BT647" i="5"/>
  <c r="BE651" i="5"/>
  <c r="BF651" i="5"/>
  <c r="BD652" i="5"/>
  <c r="BG651" i="5"/>
  <c r="BL651" i="5"/>
  <c r="BU647" i="5"/>
  <c r="AQ649" i="5"/>
  <c r="AN649" i="5"/>
  <c r="BM649" i="5"/>
  <c r="AJ649" i="5"/>
  <c r="AI649" i="5"/>
  <c r="Y652" i="5"/>
  <c r="AB651" i="5"/>
  <c r="AA651" i="5"/>
  <c r="Z651" i="5"/>
  <c r="AG651" i="5"/>
  <c r="BP649" i="5"/>
  <c r="AM649" i="5"/>
  <c r="AL649" i="5"/>
  <c r="BU648" i="5" l="1"/>
  <c r="AO649" i="5"/>
  <c r="BN649" i="5"/>
  <c r="AP649" i="5"/>
  <c r="BO649" i="5"/>
  <c r="BV649" i="5"/>
  <c r="BS649" i="5"/>
  <c r="BT648" i="5"/>
  <c r="AK651" i="5"/>
  <c r="AH651" i="5"/>
  <c r="BD653" i="5"/>
  <c r="BF652" i="5"/>
  <c r="BL652" i="5"/>
  <c r="BG652" i="5"/>
  <c r="BE652" i="5"/>
  <c r="BR649" i="5"/>
  <c r="BQ649" i="5"/>
  <c r="AN650" i="5"/>
  <c r="AQ650" i="5"/>
  <c r="BM650" i="5"/>
  <c r="AJ650" i="5"/>
  <c r="AI650" i="5"/>
  <c r="BP650" i="5"/>
  <c r="AM650" i="5"/>
  <c r="AL650" i="5"/>
  <c r="AB652" i="5"/>
  <c r="AA652" i="5"/>
  <c r="Z652" i="5"/>
  <c r="Y653" i="5"/>
  <c r="AG652" i="5"/>
  <c r="BR650" i="5" l="1"/>
  <c r="BQ650" i="5"/>
  <c r="AK652" i="5"/>
  <c r="AH652" i="5"/>
  <c r="BV650" i="5"/>
  <c r="BS650" i="5"/>
  <c r="AP650" i="5"/>
  <c r="BO650" i="5"/>
  <c r="AG653" i="5"/>
  <c r="AB653" i="5"/>
  <c r="Y654" i="5"/>
  <c r="AA653" i="5"/>
  <c r="Z653" i="5"/>
  <c r="BU649" i="5"/>
  <c r="BT649" i="5"/>
  <c r="BD654" i="5"/>
  <c r="BE653" i="5"/>
  <c r="BG653" i="5"/>
  <c r="BF653" i="5"/>
  <c r="BL653" i="5"/>
  <c r="AN651" i="5"/>
  <c r="AQ651" i="5"/>
  <c r="BM651" i="5"/>
  <c r="AJ651" i="5"/>
  <c r="AI651" i="5"/>
  <c r="BP651" i="5"/>
  <c r="AM651" i="5"/>
  <c r="AL651" i="5"/>
  <c r="AO650" i="5"/>
  <c r="BN650" i="5"/>
  <c r="BU650" i="5" l="1"/>
  <c r="AP651" i="5"/>
  <c r="BO651" i="5"/>
  <c r="BV651" i="5"/>
  <c r="BS651" i="5"/>
  <c r="AQ652" i="5"/>
  <c r="AN652" i="5"/>
  <c r="BM652" i="5"/>
  <c r="AJ652" i="5"/>
  <c r="AI652" i="5"/>
  <c r="AO651" i="5"/>
  <c r="BN651" i="5"/>
  <c r="BT650" i="5"/>
  <c r="BG654" i="5"/>
  <c r="BF654" i="5"/>
  <c r="BE654" i="5"/>
  <c r="BL654" i="5"/>
  <c r="BD655" i="5"/>
  <c r="BP652" i="5"/>
  <c r="AM652" i="5"/>
  <c r="AL652" i="5"/>
  <c r="Y655" i="5"/>
  <c r="AA654" i="5"/>
  <c r="AG654" i="5"/>
  <c r="Z654" i="5"/>
  <c r="AB654" i="5"/>
  <c r="BR651" i="5"/>
  <c r="BQ651" i="5"/>
  <c r="AK653" i="5"/>
  <c r="AH653" i="5"/>
  <c r="AP652" i="5" l="1"/>
  <c r="BO652" i="5"/>
  <c r="AB655" i="5"/>
  <c r="AA655" i="5"/>
  <c r="Z655" i="5"/>
  <c r="Y656" i="5"/>
  <c r="AG655" i="5"/>
  <c r="BF655" i="5"/>
  <c r="BL655" i="5"/>
  <c r="BD656" i="5"/>
  <c r="BG655" i="5"/>
  <c r="BE655" i="5"/>
  <c r="BS652" i="5"/>
  <c r="BV652" i="5"/>
  <c r="AK654" i="5"/>
  <c r="AH654" i="5"/>
  <c r="AO652" i="5"/>
  <c r="BN652" i="5"/>
  <c r="BR652" i="5"/>
  <c r="BQ652" i="5"/>
  <c r="BU651" i="5"/>
  <c r="BT651" i="5"/>
  <c r="BP653" i="5"/>
  <c r="AM653" i="5"/>
  <c r="AL653" i="5"/>
  <c r="AN653" i="5"/>
  <c r="AQ653" i="5"/>
  <c r="BM653" i="5"/>
  <c r="AJ653" i="5"/>
  <c r="AI653" i="5"/>
  <c r="AO653" i="5" l="1"/>
  <c r="BN653" i="5"/>
  <c r="AP653" i="5"/>
  <c r="BO653" i="5"/>
  <c r="AK655" i="5"/>
  <c r="AH655" i="5"/>
  <c r="BS653" i="5"/>
  <c r="BV653" i="5"/>
  <c r="BT652" i="5"/>
  <c r="AB656" i="5"/>
  <c r="AG656" i="5"/>
  <c r="AA656" i="5"/>
  <c r="Z656" i="5"/>
  <c r="Y657" i="5"/>
  <c r="BP654" i="5"/>
  <c r="AM654" i="5"/>
  <c r="AL654" i="5"/>
  <c r="BL656" i="5"/>
  <c r="BD657" i="5"/>
  <c r="BG656" i="5"/>
  <c r="BF656" i="5"/>
  <c r="BE656" i="5"/>
  <c r="AN654" i="5"/>
  <c r="AQ654" i="5"/>
  <c r="BM654" i="5"/>
  <c r="AJ654" i="5"/>
  <c r="AI654" i="5"/>
  <c r="BR653" i="5"/>
  <c r="BQ653" i="5"/>
  <c r="BU652" i="5"/>
  <c r="AQ655" i="5" l="1"/>
  <c r="AN655" i="5"/>
  <c r="BM655" i="5"/>
  <c r="AJ655" i="5"/>
  <c r="AI655" i="5"/>
  <c r="AA657" i="5"/>
  <c r="Y658" i="5"/>
  <c r="AB657" i="5"/>
  <c r="Z657" i="5"/>
  <c r="AG657" i="5"/>
  <c r="AV657" i="5"/>
  <c r="AV653" i="5"/>
  <c r="AR653" i="5" s="1"/>
  <c r="AV655" i="5"/>
  <c r="AV651" i="5"/>
  <c r="AR651" i="5" s="1"/>
  <c r="BP655" i="5"/>
  <c r="AM655" i="5"/>
  <c r="AL655" i="5"/>
  <c r="AP654" i="5"/>
  <c r="BO654" i="5"/>
  <c r="BV654" i="5"/>
  <c r="BS654" i="5"/>
  <c r="BE657" i="5"/>
  <c r="CA657" i="5"/>
  <c r="BL657" i="5"/>
  <c r="BG657" i="5"/>
  <c r="BF657" i="5"/>
  <c r="BD658" i="5"/>
  <c r="CA653" i="5"/>
  <c r="BW653" i="5" s="1"/>
  <c r="CA655" i="5"/>
  <c r="CA651" i="5"/>
  <c r="BW651" i="5" s="1"/>
  <c r="CA649" i="5"/>
  <c r="BW649" i="5" s="1"/>
  <c r="BU653" i="5"/>
  <c r="AH656" i="5"/>
  <c r="AK656" i="5"/>
  <c r="BT653" i="5"/>
  <c r="AO654" i="5"/>
  <c r="BN654" i="5"/>
  <c r="BR654" i="5"/>
  <c r="BQ654" i="5"/>
  <c r="BT654" i="5" l="1"/>
  <c r="AK657" i="5"/>
  <c r="AH657" i="5"/>
  <c r="CA658" i="5"/>
  <c r="BL658" i="5"/>
  <c r="BD659" i="5"/>
  <c r="BG658" i="5"/>
  <c r="BF658" i="5"/>
  <c r="BE658" i="5"/>
  <c r="CA652" i="5"/>
  <c r="BW652" i="5" s="1"/>
  <c r="CA654" i="5"/>
  <c r="BW654" i="5" s="1"/>
  <c r="CA650" i="5"/>
  <c r="BW650" i="5" s="1"/>
  <c r="CA656" i="5"/>
  <c r="BP656" i="5"/>
  <c r="AM656" i="5"/>
  <c r="AL656" i="5"/>
  <c r="BR655" i="5"/>
  <c r="BQ655" i="5"/>
  <c r="AG658" i="5"/>
  <c r="AB658" i="5"/>
  <c r="AA658" i="5"/>
  <c r="Z658" i="5"/>
  <c r="AV658" i="5"/>
  <c r="Y659" i="5"/>
  <c r="AV656" i="5"/>
  <c r="AV654" i="5"/>
  <c r="AR654" i="5" s="1"/>
  <c r="AV650" i="5"/>
  <c r="AR650" i="5" s="1"/>
  <c r="AV652" i="5"/>
  <c r="AR652" i="5" s="1"/>
  <c r="AQ656" i="5"/>
  <c r="AN656" i="5"/>
  <c r="BM656" i="5"/>
  <c r="AJ656" i="5"/>
  <c r="AI656" i="5"/>
  <c r="AO655" i="5"/>
  <c r="AR655" i="5"/>
  <c r="BN655" i="5"/>
  <c r="AP655" i="5"/>
  <c r="BO655" i="5"/>
  <c r="BV655" i="5"/>
  <c r="BS655" i="5"/>
  <c r="BU654" i="5"/>
  <c r="BT655" i="5" l="1"/>
  <c r="BW655" i="5"/>
  <c r="BU655" i="5"/>
  <c r="AH658" i="5"/>
  <c r="AK658" i="5"/>
  <c r="BF659" i="5"/>
  <c r="BE659" i="5"/>
  <c r="BG659" i="5"/>
  <c r="BD660" i="5"/>
  <c r="BL659" i="5"/>
  <c r="BR656" i="5"/>
  <c r="BQ656" i="5"/>
  <c r="AA659" i="5"/>
  <c r="AG659" i="5"/>
  <c r="Y660" i="5"/>
  <c r="AB659" i="5"/>
  <c r="Z659" i="5"/>
  <c r="AN657" i="5"/>
  <c r="AQ657" i="5"/>
  <c r="BM657" i="5"/>
  <c r="AJ657" i="5"/>
  <c r="AI657" i="5"/>
  <c r="AR656" i="5"/>
  <c r="AO656" i="5"/>
  <c r="BN656" i="5"/>
  <c r="AP656" i="5"/>
  <c r="BO656" i="5"/>
  <c r="BP657" i="5"/>
  <c r="AM657" i="5"/>
  <c r="AL657" i="5"/>
  <c r="BS656" i="5"/>
  <c r="BV656" i="5"/>
  <c r="BT656" i="5" l="1"/>
  <c r="BW656" i="5"/>
  <c r="AO657" i="5"/>
  <c r="AR657" i="5"/>
  <c r="BN657" i="5"/>
  <c r="AA660" i="5"/>
  <c r="AB660" i="5"/>
  <c r="Z660" i="5"/>
  <c r="Y661" i="5"/>
  <c r="AG660" i="5"/>
  <c r="AP657" i="5"/>
  <c r="BO657" i="5"/>
  <c r="AK659" i="5"/>
  <c r="AH659" i="5"/>
  <c r="BD661" i="5"/>
  <c r="BE660" i="5"/>
  <c r="BL660" i="5"/>
  <c r="BG660" i="5"/>
  <c r="BF660" i="5"/>
  <c r="BR657" i="5"/>
  <c r="BQ657" i="5"/>
  <c r="BU656" i="5"/>
  <c r="BV657" i="5"/>
  <c r="BS657" i="5"/>
  <c r="BP658" i="5"/>
  <c r="AM658" i="5"/>
  <c r="AL658" i="5"/>
  <c r="AQ658" i="5"/>
  <c r="AN658" i="5"/>
  <c r="BM658" i="5"/>
  <c r="AJ658" i="5"/>
  <c r="AI658" i="5"/>
  <c r="AK660" i="5" l="1"/>
  <c r="AH660" i="5"/>
  <c r="BV658" i="5"/>
  <c r="BS658" i="5"/>
  <c r="Y662" i="5"/>
  <c r="AG661" i="5"/>
  <c r="AB661" i="5"/>
  <c r="AA661" i="5"/>
  <c r="Z661" i="5"/>
  <c r="BE661" i="5"/>
  <c r="BL661" i="5"/>
  <c r="BG661" i="5"/>
  <c r="BF661" i="5"/>
  <c r="BD662" i="5"/>
  <c r="AI659" i="5"/>
  <c r="AN659" i="5"/>
  <c r="AI660" i="5"/>
  <c r="AQ659" i="5"/>
  <c r="BM659" i="5"/>
  <c r="AJ659" i="5"/>
  <c r="BR658" i="5"/>
  <c r="BQ658" i="5"/>
  <c r="AO658" i="5"/>
  <c r="AR658" i="5"/>
  <c r="BN658" i="5"/>
  <c r="AL660" i="5"/>
  <c r="BP659" i="5"/>
  <c r="AL659" i="5"/>
  <c r="AM659" i="5"/>
  <c r="AP658" i="5"/>
  <c r="BO658" i="5"/>
  <c r="BU657" i="5"/>
  <c r="BW657" i="5"/>
  <c r="BT657" i="5"/>
  <c r="AP659" i="5" l="1"/>
  <c r="BO659" i="5"/>
  <c r="BQ659" i="5"/>
  <c r="BR659" i="5"/>
  <c r="BF662" i="5"/>
  <c r="BL662" i="5"/>
  <c r="BD663" i="5"/>
  <c r="BG662" i="5"/>
  <c r="BE662" i="5"/>
  <c r="BU658" i="5"/>
  <c r="BW658" i="5"/>
  <c r="BT658" i="5"/>
  <c r="AO660" i="5"/>
  <c r="BN660" i="5"/>
  <c r="AO659" i="5"/>
  <c r="BN659" i="5"/>
  <c r="AK661" i="5"/>
  <c r="AH661" i="5"/>
  <c r="BV659" i="5"/>
  <c r="BS659" i="5"/>
  <c r="AG662" i="5"/>
  <c r="AB662" i="5"/>
  <c r="Y663" i="5"/>
  <c r="AA662" i="5"/>
  <c r="Z662" i="5"/>
  <c r="AQ660" i="5"/>
  <c r="AN660" i="5"/>
  <c r="BM660" i="5"/>
  <c r="AJ660" i="5"/>
  <c r="BP660" i="5"/>
  <c r="BR660" i="5" s="1"/>
  <c r="AM660" i="5"/>
  <c r="AQ661" i="5" l="1"/>
  <c r="AN661" i="5"/>
  <c r="BM661" i="5"/>
  <c r="AJ661" i="5"/>
  <c r="AI661" i="5"/>
  <c r="AI662" i="5"/>
  <c r="AK662" i="5"/>
  <c r="AH662" i="5"/>
  <c r="BQ660" i="5"/>
  <c r="BT659" i="5"/>
  <c r="BT660" i="5"/>
  <c r="BD664" i="5"/>
  <c r="BE663" i="5"/>
  <c r="BF663" i="5"/>
  <c r="BL663" i="5"/>
  <c r="BG663" i="5"/>
  <c r="BV660" i="5"/>
  <c r="BS660" i="5"/>
  <c r="BU659" i="5"/>
  <c r="BP661" i="5"/>
  <c r="AM661" i="5"/>
  <c r="AL661" i="5"/>
  <c r="AL662" i="5"/>
  <c r="AA663" i="5"/>
  <c r="AB663" i="5"/>
  <c r="Y664" i="5"/>
  <c r="AG663" i="5"/>
  <c r="Z663" i="5"/>
  <c r="AP660" i="5"/>
  <c r="BO660" i="5"/>
  <c r="BE664" i="5" l="1"/>
  <c r="BG664" i="5"/>
  <c r="BF664" i="5"/>
  <c r="BL664" i="5"/>
  <c r="BD665" i="5"/>
  <c r="AK663" i="5"/>
  <c r="AH663" i="5"/>
  <c r="BR661" i="5"/>
  <c r="AO662" i="5"/>
  <c r="BN662" i="5"/>
  <c r="AP661" i="5"/>
  <c r="BO661" i="5"/>
  <c r="BS661" i="5"/>
  <c r="BV661" i="5"/>
  <c r="AQ662" i="5"/>
  <c r="AN662" i="5"/>
  <c r="BM662" i="5"/>
  <c r="AJ662" i="5"/>
  <c r="AG664" i="5"/>
  <c r="Z664" i="5"/>
  <c r="Y665" i="5"/>
  <c r="AB664" i="5"/>
  <c r="AA664" i="5"/>
  <c r="BU660" i="5"/>
  <c r="BP662" i="5"/>
  <c r="AM662" i="5"/>
  <c r="BQ661" i="5"/>
  <c r="AO661" i="5"/>
  <c r="BN661" i="5"/>
  <c r="BT661" i="5" l="1"/>
  <c r="BR662" i="5"/>
  <c r="BQ662" i="5"/>
  <c r="AK664" i="5"/>
  <c r="AH664" i="5"/>
  <c r="BL665" i="5"/>
  <c r="BE665" i="5"/>
  <c r="BG665" i="5"/>
  <c r="BF665" i="5"/>
  <c r="BD666" i="5"/>
  <c r="AG665" i="5"/>
  <c r="AB665" i="5"/>
  <c r="AA665" i="5"/>
  <c r="Z665" i="5"/>
  <c r="Y666" i="5"/>
  <c r="BU661" i="5"/>
  <c r="AN663" i="5"/>
  <c r="AQ663" i="5"/>
  <c r="BM663" i="5"/>
  <c r="AJ663" i="5"/>
  <c r="AI663" i="5"/>
  <c r="AP662" i="5"/>
  <c r="BO662" i="5"/>
  <c r="BP663" i="5"/>
  <c r="BR663" i="5" s="1"/>
  <c r="AM663" i="5"/>
  <c r="AL664" i="5"/>
  <c r="AL663" i="5"/>
  <c r="BV662" i="5"/>
  <c r="BS662" i="5"/>
  <c r="BT662" i="5"/>
  <c r="AN664" i="5" l="1"/>
  <c r="AQ664" i="5"/>
  <c r="BM664" i="5"/>
  <c r="AJ664" i="5"/>
  <c r="AI664" i="5"/>
  <c r="BP664" i="5"/>
  <c r="AM664" i="5"/>
  <c r="AP663" i="5"/>
  <c r="BO663" i="5"/>
  <c r="BV663" i="5"/>
  <c r="BS663" i="5"/>
  <c r="BU662" i="5"/>
  <c r="AA666" i="5"/>
  <c r="AG666" i="5"/>
  <c r="AB666" i="5"/>
  <c r="Z666" i="5"/>
  <c r="Y667" i="5"/>
  <c r="BD667" i="5"/>
  <c r="BE666" i="5"/>
  <c r="BF666" i="5"/>
  <c r="BG666" i="5"/>
  <c r="BL666" i="5"/>
  <c r="AO663" i="5"/>
  <c r="BN663" i="5"/>
  <c r="BQ663" i="5"/>
  <c r="AH665" i="5"/>
  <c r="AK665" i="5"/>
  <c r="BP665" i="5" l="1"/>
  <c r="AM665" i="5"/>
  <c r="AL665" i="5"/>
  <c r="AL666" i="5"/>
  <c r="AH666" i="5"/>
  <c r="AK666" i="5"/>
  <c r="AO664" i="5"/>
  <c r="BN664" i="5"/>
  <c r="BD668" i="5"/>
  <c r="BG667" i="5"/>
  <c r="BL667" i="5"/>
  <c r="BF667" i="5"/>
  <c r="BE667" i="5"/>
  <c r="BU663" i="5"/>
  <c r="AN665" i="5"/>
  <c r="AQ665" i="5"/>
  <c r="BM665" i="5"/>
  <c r="AJ665" i="5"/>
  <c r="AP664" i="5"/>
  <c r="BO664" i="5"/>
  <c r="BT663" i="5"/>
  <c r="AA667" i="5"/>
  <c r="AB667" i="5"/>
  <c r="Y668" i="5"/>
  <c r="Z667" i="5"/>
  <c r="AG667" i="5"/>
  <c r="BV664" i="5"/>
  <c r="BS664" i="5"/>
  <c r="BR664" i="5"/>
  <c r="BQ664" i="5"/>
  <c r="AI665" i="5"/>
  <c r="AN666" i="5" l="1"/>
  <c r="AQ666" i="5"/>
  <c r="BM666" i="5"/>
  <c r="AJ666" i="5"/>
  <c r="AO665" i="5"/>
  <c r="BN665" i="5"/>
  <c r="AK667" i="5"/>
  <c r="AH667" i="5"/>
  <c r="AB668" i="5"/>
  <c r="Y669" i="5"/>
  <c r="AA668" i="5"/>
  <c r="Z668" i="5"/>
  <c r="AG668" i="5"/>
  <c r="AI666" i="5"/>
  <c r="BF668" i="5"/>
  <c r="BL668" i="5"/>
  <c r="BD669" i="5"/>
  <c r="BG668" i="5"/>
  <c r="BE668" i="5"/>
  <c r="AP665" i="5"/>
  <c r="BO665" i="5"/>
  <c r="BT664" i="5"/>
  <c r="BV665" i="5"/>
  <c r="BS665" i="5"/>
  <c r="BR665" i="5"/>
  <c r="BQ665" i="5"/>
  <c r="BP666" i="5"/>
  <c r="AM666" i="5"/>
  <c r="BU664" i="5"/>
  <c r="BT665" i="5" l="1"/>
  <c r="BP667" i="5"/>
  <c r="AM667" i="5"/>
  <c r="AL667" i="5"/>
  <c r="BR666" i="5"/>
  <c r="BQ666" i="5"/>
  <c r="AK668" i="5"/>
  <c r="AH668" i="5"/>
  <c r="BU665" i="5"/>
  <c r="BD670" i="5"/>
  <c r="BF669" i="5"/>
  <c r="BL669" i="5"/>
  <c r="BG669" i="5"/>
  <c r="BE669" i="5"/>
  <c r="AG669" i="5"/>
  <c r="AA669" i="5"/>
  <c r="Y670" i="5"/>
  <c r="AB669" i="5"/>
  <c r="Z669" i="5"/>
  <c r="AP666" i="5"/>
  <c r="BO666" i="5"/>
  <c r="BV666" i="5"/>
  <c r="BS666" i="5"/>
  <c r="AO666" i="5"/>
  <c r="BN666" i="5"/>
  <c r="AN667" i="5"/>
  <c r="AQ667" i="5"/>
  <c r="BM667" i="5"/>
  <c r="AJ667" i="5"/>
  <c r="AI667" i="5"/>
  <c r="AP667" i="5" l="1"/>
  <c r="BO667" i="5"/>
  <c r="BP668" i="5"/>
  <c r="AM668" i="5"/>
  <c r="AL668" i="5"/>
  <c r="BS667" i="5"/>
  <c r="BV667" i="5"/>
  <c r="AA670" i="5"/>
  <c r="AG670" i="5"/>
  <c r="Y671" i="5"/>
  <c r="AB670" i="5"/>
  <c r="Z670" i="5"/>
  <c r="BT666" i="5"/>
  <c r="AK669" i="5"/>
  <c r="AH669" i="5"/>
  <c r="BD671" i="5"/>
  <c r="BF670" i="5"/>
  <c r="BL670" i="5"/>
  <c r="BG670" i="5"/>
  <c r="BE670" i="5"/>
  <c r="BR667" i="5"/>
  <c r="BQ667" i="5"/>
  <c r="AQ668" i="5"/>
  <c r="AN668" i="5"/>
  <c r="BM668" i="5"/>
  <c r="AJ668" i="5"/>
  <c r="AI668" i="5"/>
  <c r="AO667" i="5"/>
  <c r="BN667" i="5"/>
  <c r="BU666" i="5"/>
  <c r="BP669" i="5" l="1"/>
  <c r="AM669" i="5"/>
  <c r="AL669" i="5"/>
  <c r="AK670" i="5"/>
  <c r="AH670" i="5"/>
  <c r="BF671" i="5"/>
  <c r="BG671" i="5"/>
  <c r="BL671" i="5"/>
  <c r="BD672" i="5"/>
  <c r="BE671" i="5"/>
  <c r="AN669" i="5"/>
  <c r="AQ669" i="5"/>
  <c r="BM669" i="5"/>
  <c r="AJ669" i="5"/>
  <c r="AI669" i="5"/>
  <c r="AO668" i="5"/>
  <c r="BN668" i="5"/>
  <c r="BT667" i="5"/>
  <c r="BR668" i="5"/>
  <c r="BQ668" i="5"/>
  <c r="BV668" i="5"/>
  <c r="BS668" i="5"/>
  <c r="BU667" i="5"/>
  <c r="AP668" i="5"/>
  <c r="BO668" i="5"/>
  <c r="AB671" i="5"/>
  <c r="Y672" i="5"/>
  <c r="AG671" i="5"/>
  <c r="AA671" i="5"/>
  <c r="Z671" i="5"/>
  <c r="AP669" i="5" l="1"/>
  <c r="BO669" i="5"/>
  <c r="BS669" i="5"/>
  <c r="BV669" i="5"/>
  <c r="BF672" i="5"/>
  <c r="BE672" i="5"/>
  <c r="BD673" i="5"/>
  <c r="BL672" i="5"/>
  <c r="BG672" i="5"/>
  <c r="AK671" i="5"/>
  <c r="AH671" i="5"/>
  <c r="AG672" i="5"/>
  <c r="Y673" i="5"/>
  <c r="AA672" i="5"/>
  <c r="AB672" i="5"/>
  <c r="Z672" i="5"/>
  <c r="AN670" i="5"/>
  <c r="AQ670" i="5"/>
  <c r="BM670" i="5"/>
  <c r="AJ670" i="5"/>
  <c r="AI670" i="5"/>
  <c r="BP670" i="5"/>
  <c r="AM670" i="5"/>
  <c r="AL670" i="5"/>
  <c r="BT668" i="5"/>
  <c r="BU668" i="5"/>
  <c r="BR669" i="5"/>
  <c r="BQ669" i="5"/>
  <c r="AO669" i="5"/>
  <c r="BN669" i="5"/>
  <c r="BR670" i="5" l="1"/>
  <c r="BQ670" i="5"/>
  <c r="BT669" i="5"/>
  <c r="AO670" i="5"/>
  <c r="BN670" i="5"/>
  <c r="AP670" i="5"/>
  <c r="BO670" i="5"/>
  <c r="BD674" i="5"/>
  <c r="BG673" i="5"/>
  <c r="BE673" i="5"/>
  <c r="BF673" i="5"/>
  <c r="BL673" i="5"/>
  <c r="BV670" i="5"/>
  <c r="BS670" i="5"/>
  <c r="AA673" i="5"/>
  <c r="Z673" i="5"/>
  <c r="Y674" i="5"/>
  <c r="AG673" i="5"/>
  <c r="AB673" i="5"/>
  <c r="AK672" i="5"/>
  <c r="AH672" i="5"/>
  <c r="AN671" i="5"/>
  <c r="AQ671" i="5"/>
  <c r="BM671" i="5"/>
  <c r="AJ671" i="5"/>
  <c r="AI671" i="5"/>
  <c r="BP671" i="5"/>
  <c r="AM671" i="5"/>
  <c r="AL671" i="5"/>
  <c r="BU669" i="5"/>
  <c r="BL674" i="5" l="1"/>
  <c r="BG674" i="5"/>
  <c r="BD675" i="5"/>
  <c r="BE674" i="5"/>
  <c r="BF674" i="5"/>
  <c r="AP671" i="5"/>
  <c r="BO671" i="5"/>
  <c r="BU670" i="5"/>
  <c r="BV671" i="5"/>
  <c r="BS671" i="5"/>
  <c r="AN672" i="5"/>
  <c r="AQ672" i="5"/>
  <c r="BM672" i="5"/>
  <c r="AJ672" i="5"/>
  <c r="AI672" i="5"/>
  <c r="BP672" i="5"/>
  <c r="AM672" i="5"/>
  <c r="AL672" i="5"/>
  <c r="AH673" i="5"/>
  <c r="AK673" i="5"/>
  <c r="BT670" i="5"/>
  <c r="Y675" i="5"/>
  <c r="AG674" i="5"/>
  <c r="Z674" i="5"/>
  <c r="AB674" i="5"/>
  <c r="AA674" i="5"/>
  <c r="BR671" i="5"/>
  <c r="BQ671" i="5"/>
  <c r="AO671" i="5"/>
  <c r="BN671" i="5"/>
  <c r="AK674" i="5" l="1"/>
  <c r="AH674" i="5"/>
  <c r="AP672" i="5"/>
  <c r="BO672" i="5"/>
  <c r="BV672" i="5"/>
  <c r="BS672" i="5"/>
  <c r="AO672" i="5"/>
  <c r="BN672" i="5"/>
  <c r="BP673" i="5"/>
  <c r="AM673" i="5"/>
  <c r="AL673" i="5"/>
  <c r="BL675" i="5"/>
  <c r="BF675" i="5"/>
  <c r="BD676" i="5"/>
  <c r="BG675" i="5"/>
  <c r="BE675" i="5"/>
  <c r="AN673" i="5"/>
  <c r="AQ673" i="5"/>
  <c r="BM673" i="5"/>
  <c r="AJ673" i="5"/>
  <c r="AI673" i="5"/>
  <c r="AG675" i="5"/>
  <c r="AB675" i="5"/>
  <c r="AA675" i="5"/>
  <c r="Z675" i="5"/>
  <c r="Y676" i="5"/>
  <c r="BU671" i="5"/>
  <c r="BT671" i="5"/>
  <c r="BR672" i="5"/>
  <c r="BQ672" i="5"/>
  <c r="BT672" i="5" l="1"/>
  <c r="AH675" i="5"/>
  <c r="AK675" i="5"/>
  <c r="AO673" i="5"/>
  <c r="BN673" i="5"/>
  <c r="BD677" i="5"/>
  <c r="BG676" i="5"/>
  <c r="BF676" i="5"/>
  <c r="BL676" i="5"/>
  <c r="BE676" i="5"/>
  <c r="AP673" i="5"/>
  <c r="BO673" i="5"/>
  <c r="BV673" i="5"/>
  <c r="BS673" i="5"/>
  <c r="BU672" i="5"/>
  <c r="AA676" i="5"/>
  <c r="Z676" i="5"/>
  <c r="AG676" i="5"/>
  <c r="AB676" i="5"/>
  <c r="Y677" i="5"/>
  <c r="AN674" i="5"/>
  <c r="AQ674" i="5"/>
  <c r="BM674" i="5"/>
  <c r="AJ674" i="5"/>
  <c r="AI674" i="5"/>
  <c r="BP674" i="5"/>
  <c r="AM674" i="5"/>
  <c r="AL674" i="5"/>
  <c r="BR673" i="5"/>
  <c r="BQ673" i="5"/>
  <c r="Z677" i="5" l="1"/>
  <c r="AG677" i="5"/>
  <c r="AB677" i="5"/>
  <c r="AA677" i="5"/>
  <c r="Y678" i="5"/>
  <c r="BU673" i="5"/>
  <c r="BG677" i="5"/>
  <c r="BL677" i="5"/>
  <c r="BD678" i="5"/>
  <c r="BE677" i="5"/>
  <c r="BF677" i="5"/>
  <c r="AK676" i="5"/>
  <c r="AH676" i="5"/>
  <c r="AO674" i="5"/>
  <c r="BN674" i="5"/>
  <c r="BT673" i="5"/>
  <c r="AP674" i="5"/>
  <c r="BO674" i="5"/>
  <c r="BP675" i="5"/>
  <c r="AM675" i="5"/>
  <c r="AL675" i="5"/>
  <c r="AQ675" i="5"/>
  <c r="AN675" i="5"/>
  <c r="BM675" i="5"/>
  <c r="AJ675" i="5"/>
  <c r="AI675" i="5"/>
  <c r="BR674" i="5"/>
  <c r="BQ674" i="5"/>
  <c r="BV674" i="5"/>
  <c r="BS674" i="5"/>
  <c r="AP675" i="5" l="1"/>
  <c r="BO675" i="5"/>
  <c r="BT674" i="5"/>
  <c r="BV675" i="5"/>
  <c r="BS675" i="5"/>
  <c r="BE678" i="5"/>
  <c r="BF678" i="5"/>
  <c r="BL678" i="5"/>
  <c r="BG678" i="5"/>
  <c r="BD679" i="5"/>
  <c r="BP676" i="5"/>
  <c r="AM676" i="5"/>
  <c r="AL676" i="5"/>
  <c r="AG678" i="5"/>
  <c r="Y679" i="5"/>
  <c r="Z678" i="5"/>
  <c r="AB678" i="5"/>
  <c r="AA678" i="5"/>
  <c r="AN676" i="5"/>
  <c r="AQ676" i="5"/>
  <c r="BM676" i="5"/>
  <c r="AJ676" i="5"/>
  <c r="AI676" i="5"/>
  <c r="BR675" i="5"/>
  <c r="BQ675" i="5"/>
  <c r="BU674" i="5"/>
  <c r="AK677" i="5"/>
  <c r="AH677" i="5"/>
  <c r="AO675" i="5"/>
  <c r="BN675" i="5"/>
  <c r="BT675" i="5" l="1"/>
  <c r="AO676" i="5"/>
  <c r="BN676" i="5"/>
  <c r="AP676" i="5"/>
  <c r="BO676" i="5"/>
  <c r="BV676" i="5"/>
  <c r="BS676" i="5"/>
  <c r="AN677" i="5"/>
  <c r="AQ677" i="5"/>
  <c r="BM677" i="5"/>
  <c r="AJ677" i="5"/>
  <c r="AI677" i="5"/>
  <c r="BU675" i="5"/>
  <c r="AH678" i="5"/>
  <c r="AK678" i="5"/>
  <c r="BD680" i="5"/>
  <c r="BG679" i="5"/>
  <c r="BF679" i="5"/>
  <c r="BL679" i="5"/>
  <c r="BE679" i="5"/>
  <c r="AA679" i="5"/>
  <c r="Z679" i="5"/>
  <c r="AG679" i="5"/>
  <c r="AB679" i="5"/>
  <c r="Y680" i="5"/>
  <c r="BP677" i="5"/>
  <c r="AM677" i="5"/>
  <c r="AL677" i="5"/>
  <c r="BR676" i="5"/>
  <c r="BQ676" i="5"/>
  <c r="BR677" i="5" l="1"/>
  <c r="BQ677" i="5"/>
  <c r="AK679" i="5"/>
  <c r="AH679" i="5"/>
  <c r="BF680" i="5"/>
  <c r="BL680" i="5"/>
  <c r="BD681" i="5"/>
  <c r="BG680" i="5"/>
  <c r="BE680" i="5"/>
  <c r="BU676" i="5"/>
  <c r="BP678" i="5"/>
  <c r="AM678" i="5"/>
  <c r="AL678" i="5"/>
  <c r="AN678" i="5"/>
  <c r="AQ678" i="5"/>
  <c r="BM678" i="5"/>
  <c r="AJ678" i="5"/>
  <c r="AI678" i="5"/>
  <c r="BT676" i="5"/>
  <c r="AO677" i="5"/>
  <c r="BN677" i="5"/>
  <c r="AP677" i="5"/>
  <c r="BO677" i="5"/>
  <c r="BS677" i="5"/>
  <c r="BV677" i="5"/>
  <c r="AB680" i="5"/>
  <c r="AG680" i="5"/>
  <c r="AA680" i="5"/>
  <c r="Y681" i="5"/>
  <c r="Z680" i="5"/>
  <c r="BT677" i="5" l="1"/>
  <c r="BR678" i="5"/>
  <c r="BQ678" i="5"/>
  <c r="BF681" i="5"/>
  <c r="BG681" i="5"/>
  <c r="BD682" i="5"/>
  <c r="BL681" i="5"/>
  <c r="BE681" i="5"/>
  <c r="AG681" i="5"/>
  <c r="AA681" i="5"/>
  <c r="Y682" i="5"/>
  <c r="AB681" i="5"/>
  <c r="Z681" i="5"/>
  <c r="AK680" i="5"/>
  <c r="AH680" i="5"/>
  <c r="AP678" i="5"/>
  <c r="BO678" i="5"/>
  <c r="AN679" i="5"/>
  <c r="AQ679" i="5"/>
  <c r="BM679" i="5"/>
  <c r="AJ679" i="5"/>
  <c r="AI679" i="5"/>
  <c r="BS678" i="5"/>
  <c r="BV678" i="5"/>
  <c r="BP679" i="5"/>
  <c r="AM679" i="5"/>
  <c r="AL679" i="5"/>
  <c r="BU677" i="5"/>
  <c r="AO678" i="5"/>
  <c r="BN678" i="5"/>
  <c r="BU678" i="5" l="1"/>
  <c r="AN680" i="5"/>
  <c r="AQ680" i="5"/>
  <c r="BM680" i="5"/>
  <c r="AJ680" i="5"/>
  <c r="AI680" i="5"/>
  <c r="BD683" i="5"/>
  <c r="BG682" i="5"/>
  <c r="BF682" i="5"/>
  <c r="BL682" i="5"/>
  <c r="BE682" i="5"/>
  <c r="BR679" i="5"/>
  <c r="BQ679" i="5"/>
  <c r="AA682" i="5"/>
  <c r="Z682" i="5"/>
  <c r="Y683" i="5"/>
  <c r="AG682" i="5"/>
  <c r="AB682" i="5"/>
  <c r="AO679" i="5"/>
  <c r="BN679" i="5"/>
  <c r="AK681" i="5"/>
  <c r="AH681" i="5"/>
  <c r="BP680" i="5"/>
  <c r="AM680" i="5"/>
  <c r="AL680" i="5"/>
  <c r="BT678" i="5"/>
  <c r="AP679" i="5"/>
  <c r="BO679" i="5"/>
  <c r="BV679" i="5"/>
  <c r="BS679" i="5"/>
  <c r="BL683" i="5" l="1"/>
  <c r="BG683" i="5"/>
  <c r="BD684" i="5"/>
  <c r="BF683" i="5"/>
  <c r="BE683" i="5"/>
  <c r="AO680" i="5"/>
  <c r="BN680" i="5"/>
  <c r="AP680" i="5"/>
  <c r="BO680" i="5"/>
  <c r="BR680" i="5"/>
  <c r="BQ680" i="5"/>
  <c r="BP681" i="5"/>
  <c r="AM681" i="5"/>
  <c r="AL681" i="5"/>
  <c r="BT679" i="5"/>
  <c r="AK682" i="5"/>
  <c r="AH682" i="5"/>
  <c r="BV680" i="5"/>
  <c r="BS680" i="5"/>
  <c r="AN681" i="5"/>
  <c r="AQ681" i="5"/>
  <c r="BM681" i="5"/>
  <c r="AJ681" i="5"/>
  <c r="AI681" i="5"/>
  <c r="BU679" i="5"/>
  <c r="Y684" i="5"/>
  <c r="AA683" i="5"/>
  <c r="AG683" i="5"/>
  <c r="AB683" i="5"/>
  <c r="Z683" i="5"/>
  <c r="AO681" i="5" l="1"/>
  <c r="BN681" i="5"/>
  <c r="AP681" i="5"/>
  <c r="BO681" i="5"/>
  <c r="BR681" i="5"/>
  <c r="BQ681" i="5"/>
  <c r="BU680" i="5"/>
  <c r="AK683" i="5"/>
  <c r="AH683" i="5"/>
  <c r="AN682" i="5"/>
  <c r="AQ682" i="5"/>
  <c r="BM682" i="5"/>
  <c r="AJ682" i="5"/>
  <c r="AI682" i="5"/>
  <c r="BT680" i="5"/>
  <c r="BL684" i="5"/>
  <c r="BG684" i="5"/>
  <c r="BD685" i="5"/>
  <c r="BF684" i="5"/>
  <c r="BE684" i="5"/>
  <c r="BV681" i="5"/>
  <c r="BS681" i="5"/>
  <c r="AG684" i="5"/>
  <c r="AB684" i="5"/>
  <c r="Y685" i="5"/>
  <c r="AA684" i="5"/>
  <c r="Z684" i="5"/>
  <c r="BP682" i="5"/>
  <c r="AM682" i="5"/>
  <c r="AL682" i="5"/>
  <c r="BP683" i="5" l="1"/>
  <c r="AM683" i="5"/>
  <c r="AL683" i="5"/>
  <c r="BU681" i="5"/>
  <c r="AO682" i="5"/>
  <c r="BN682" i="5"/>
  <c r="AP682" i="5"/>
  <c r="BO682" i="5"/>
  <c r="BV682" i="5"/>
  <c r="BS682" i="5"/>
  <c r="BT681" i="5"/>
  <c r="AA685" i="5"/>
  <c r="Z685" i="5"/>
  <c r="Y686" i="5"/>
  <c r="AB685" i="5"/>
  <c r="AG685" i="5"/>
  <c r="BR682" i="5"/>
  <c r="BQ682" i="5"/>
  <c r="AK684" i="5"/>
  <c r="AH684" i="5"/>
  <c r="BD686" i="5"/>
  <c r="BG685" i="5"/>
  <c r="BF685" i="5"/>
  <c r="BL685" i="5"/>
  <c r="BE685" i="5"/>
  <c r="AQ683" i="5"/>
  <c r="AN683" i="5"/>
  <c r="BM683" i="5"/>
  <c r="AJ683" i="5"/>
  <c r="AI683" i="5"/>
  <c r="AO683" i="5" l="1"/>
  <c r="BN683" i="5"/>
  <c r="BP684" i="5"/>
  <c r="AM684" i="5"/>
  <c r="AL684" i="5"/>
  <c r="BT682" i="5"/>
  <c r="Z686" i="5"/>
  <c r="Y687" i="5"/>
  <c r="AA686" i="5"/>
  <c r="AG686" i="5"/>
  <c r="AB686" i="5"/>
  <c r="AP683" i="5"/>
  <c r="BO683" i="5"/>
  <c r="BS683" i="5"/>
  <c r="BV683" i="5"/>
  <c r="BU682" i="5"/>
  <c r="BE686" i="5"/>
  <c r="BG686" i="5"/>
  <c r="BF686" i="5"/>
  <c r="BD687" i="5"/>
  <c r="BL686" i="5"/>
  <c r="AK685" i="5"/>
  <c r="AH685" i="5"/>
  <c r="BR683" i="5"/>
  <c r="BQ683" i="5"/>
  <c r="AN684" i="5"/>
  <c r="AQ684" i="5"/>
  <c r="BM684" i="5"/>
  <c r="AJ684" i="5"/>
  <c r="AI684" i="5"/>
  <c r="AG687" i="5" l="1"/>
  <c r="Y688" i="5"/>
  <c r="AB687" i="5"/>
  <c r="AA687" i="5"/>
  <c r="Z687" i="5"/>
  <c r="BU683" i="5"/>
  <c r="AP684" i="5"/>
  <c r="BO684" i="5"/>
  <c r="BV684" i="5"/>
  <c r="BS684" i="5"/>
  <c r="BP685" i="5"/>
  <c r="AM685" i="5"/>
  <c r="AL685" i="5"/>
  <c r="BE687" i="5"/>
  <c r="BL687" i="5"/>
  <c r="BD688" i="5"/>
  <c r="BF687" i="5"/>
  <c r="BG687" i="5"/>
  <c r="BR684" i="5"/>
  <c r="BQ684" i="5"/>
  <c r="BT683" i="5"/>
  <c r="AK686" i="5"/>
  <c r="AH686" i="5"/>
  <c r="AN685" i="5"/>
  <c r="AQ685" i="5"/>
  <c r="BM685" i="5"/>
  <c r="AJ685" i="5"/>
  <c r="AI685" i="5"/>
  <c r="AO684" i="5"/>
  <c r="BN684" i="5"/>
  <c r="AO685" i="5" l="1"/>
  <c r="BN685" i="5"/>
  <c r="AP685" i="5"/>
  <c r="BO685" i="5"/>
  <c r="BR685" i="5"/>
  <c r="BQ685" i="5"/>
  <c r="AN686" i="5"/>
  <c r="AQ686" i="5"/>
  <c r="BM686" i="5"/>
  <c r="AJ686" i="5"/>
  <c r="AI686" i="5"/>
  <c r="BU684" i="5"/>
  <c r="BP686" i="5"/>
  <c r="AM686" i="5"/>
  <c r="AL686" i="5"/>
  <c r="BV685" i="5"/>
  <c r="BS685" i="5"/>
  <c r="BT684" i="5"/>
  <c r="BD689" i="5"/>
  <c r="BG688" i="5"/>
  <c r="BF688" i="5"/>
  <c r="CA688" i="5"/>
  <c r="BE688" i="5"/>
  <c r="BL688" i="5"/>
  <c r="AA688" i="5"/>
  <c r="Z688" i="5"/>
  <c r="AB688" i="5"/>
  <c r="AG688" i="5"/>
  <c r="Y689" i="5"/>
  <c r="AV688" i="5"/>
  <c r="AV686" i="5"/>
  <c r="AV682" i="5"/>
  <c r="AR682" i="5" s="1"/>
  <c r="AV684" i="5"/>
  <c r="AR684" i="5" s="1"/>
  <c r="AV685" i="5"/>
  <c r="AR685" i="5" s="1"/>
  <c r="AH687" i="5"/>
  <c r="AK687" i="5"/>
  <c r="BF689" i="5" l="1"/>
  <c r="CA689" i="5"/>
  <c r="BG689" i="5"/>
  <c r="BL689" i="5"/>
  <c r="BD690" i="5"/>
  <c r="BE689" i="5"/>
  <c r="CA687" i="5"/>
  <c r="CA686" i="5"/>
  <c r="CA685" i="5"/>
  <c r="CA684" i="5"/>
  <c r="BW684" i="5" s="1"/>
  <c r="CA681" i="5"/>
  <c r="BW681" i="5" s="1"/>
  <c r="BV686" i="5"/>
  <c r="BS686" i="5"/>
  <c r="AP686" i="5"/>
  <c r="BO686" i="5"/>
  <c r="BU685" i="5"/>
  <c r="BR686" i="5"/>
  <c r="BQ686" i="5"/>
  <c r="Y690" i="5"/>
  <c r="AG689" i="5"/>
  <c r="AA689" i="5"/>
  <c r="AB689" i="5"/>
  <c r="AV689" i="5"/>
  <c r="Z689" i="5"/>
  <c r="AV683" i="5"/>
  <c r="AR683" i="5" s="1"/>
  <c r="AV687" i="5"/>
  <c r="AV681" i="5"/>
  <c r="AR681" i="5" s="1"/>
  <c r="BW685" i="5"/>
  <c r="BT685" i="5"/>
  <c r="BP687" i="5"/>
  <c r="AM687" i="5"/>
  <c r="AL687" i="5"/>
  <c r="AK688" i="5"/>
  <c r="AH688" i="5"/>
  <c r="AQ687" i="5"/>
  <c r="AN687" i="5"/>
  <c r="BM687" i="5"/>
  <c r="AJ687" i="5"/>
  <c r="AI687" i="5"/>
  <c r="AR686" i="5"/>
  <c r="AO686" i="5"/>
  <c r="BN686" i="5"/>
  <c r="BP688" i="5" l="1"/>
  <c r="AM688" i="5"/>
  <c r="AL688" i="5"/>
  <c r="BS687" i="5"/>
  <c r="BV687" i="5"/>
  <c r="AN688" i="5"/>
  <c r="AQ688" i="5"/>
  <c r="BM688" i="5"/>
  <c r="AJ688" i="5"/>
  <c r="AI688" i="5"/>
  <c r="BE690" i="5"/>
  <c r="BL690" i="5"/>
  <c r="BF690" i="5"/>
  <c r="BD691" i="5"/>
  <c r="BG690" i="5"/>
  <c r="AR687" i="5"/>
  <c r="AO687" i="5"/>
  <c r="BN687" i="5"/>
  <c r="AP687" i="5"/>
  <c r="BO687" i="5"/>
  <c r="BU686" i="5"/>
  <c r="BT686" i="5"/>
  <c r="BW686" i="5"/>
  <c r="BR687" i="5"/>
  <c r="BQ687" i="5"/>
  <c r="AK689" i="5"/>
  <c r="AH689" i="5"/>
  <c r="AG690" i="5"/>
  <c r="Y691" i="5"/>
  <c r="AB690" i="5"/>
  <c r="AA690" i="5"/>
  <c r="Z690" i="5"/>
  <c r="AN689" i="5" l="1"/>
  <c r="AQ689" i="5"/>
  <c r="BM689" i="5"/>
  <c r="AJ689" i="5"/>
  <c r="AI689" i="5"/>
  <c r="AO688" i="5"/>
  <c r="AR688" i="5"/>
  <c r="BN688" i="5"/>
  <c r="BP689" i="5"/>
  <c r="AM689" i="5"/>
  <c r="AL689" i="5"/>
  <c r="AP688" i="5"/>
  <c r="BO688" i="5"/>
  <c r="BV688" i="5"/>
  <c r="BS688" i="5"/>
  <c r="BU687" i="5"/>
  <c r="BD692" i="5"/>
  <c r="BL691" i="5"/>
  <c r="BG691" i="5"/>
  <c r="BF691" i="5"/>
  <c r="BE691" i="5"/>
  <c r="AB691" i="5"/>
  <c r="AA691" i="5"/>
  <c r="Y692" i="5"/>
  <c r="Z691" i="5"/>
  <c r="AG691" i="5"/>
  <c r="AK690" i="5"/>
  <c r="AH690" i="5"/>
  <c r="BW687" i="5"/>
  <c r="BT687" i="5"/>
  <c r="BR688" i="5"/>
  <c r="BQ688" i="5"/>
  <c r="AQ690" i="5" l="1"/>
  <c r="AN690" i="5"/>
  <c r="AI690" i="5"/>
  <c r="BM690" i="5"/>
  <c r="AJ690" i="5"/>
  <c r="AL691" i="5"/>
  <c r="AL690" i="5"/>
  <c r="BP690" i="5"/>
  <c r="AM690" i="5"/>
  <c r="BR689" i="5"/>
  <c r="BQ689" i="5"/>
  <c r="BT688" i="5"/>
  <c r="BW688" i="5"/>
  <c r="Y693" i="5"/>
  <c r="AA692" i="5"/>
  <c r="AG692" i="5"/>
  <c r="AB692" i="5"/>
  <c r="Z692" i="5"/>
  <c r="BE692" i="5"/>
  <c r="BL692" i="5"/>
  <c r="BF692" i="5"/>
  <c r="BD693" i="5"/>
  <c r="BG692" i="5"/>
  <c r="AK691" i="5"/>
  <c r="AH691" i="5"/>
  <c r="AO689" i="5"/>
  <c r="AR689" i="5"/>
  <c r="BN689" i="5"/>
  <c r="AP689" i="5"/>
  <c r="BO689" i="5"/>
  <c r="BV689" i="5"/>
  <c r="BS689" i="5"/>
  <c r="BU688" i="5"/>
  <c r="AK692" i="5" l="1"/>
  <c r="AH692" i="5"/>
  <c r="AI691" i="5"/>
  <c r="BU689" i="5"/>
  <c r="BQ690" i="5"/>
  <c r="BR690" i="5"/>
  <c r="BW689" i="5"/>
  <c r="BT689" i="5"/>
  <c r="BD694" i="5"/>
  <c r="BE693" i="5"/>
  <c r="BG693" i="5"/>
  <c r="BL693" i="5"/>
  <c r="BF693" i="5"/>
  <c r="AG693" i="5"/>
  <c r="AA693" i="5"/>
  <c r="AB693" i="5"/>
  <c r="Z693" i="5"/>
  <c r="Y694" i="5"/>
  <c r="AP690" i="5"/>
  <c r="BO690" i="5"/>
  <c r="AO690" i="5"/>
  <c r="BN690" i="5"/>
  <c r="BV690" i="5"/>
  <c r="BS690" i="5"/>
  <c r="AQ691" i="5"/>
  <c r="AN691" i="5"/>
  <c r="BM691" i="5"/>
  <c r="AJ691" i="5"/>
  <c r="BP691" i="5"/>
  <c r="BR691" i="5" s="1"/>
  <c r="AM691" i="5"/>
  <c r="AL692" i="5"/>
  <c r="AI692" i="5"/>
  <c r="BT690" i="5" l="1"/>
  <c r="AB694" i="5"/>
  <c r="AA694" i="5"/>
  <c r="AG694" i="5"/>
  <c r="Y695" i="5"/>
  <c r="Z694" i="5"/>
  <c r="AO692" i="5"/>
  <c r="BN692" i="5"/>
  <c r="AP691" i="5"/>
  <c r="BO691" i="5"/>
  <c r="BD695" i="5"/>
  <c r="BG694" i="5"/>
  <c r="BL694" i="5"/>
  <c r="BF694" i="5"/>
  <c r="BE694" i="5"/>
  <c r="BV691" i="5"/>
  <c r="BS691" i="5"/>
  <c r="BU690" i="5"/>
  <c r="AH693" i="5"/>
  <c r="AK693" i="5"/>
  <c r="AO691" i="5"/>
  <c r="BN691" i="5"/>
  <c r="AQ692" i="5"/>
  <c r="AN692" i="5"/>
  <c r="BM692" i="5"/>
  <c r="AJ692" i="5"/>
  <c r="BP692" i="5"/>
  <c r="BR692" i="5" s="1"/>
  <c r="AM692" i="5"/>
  <c r="BQ691" i="5"/>
  <c r="BQ692" i="5"/>
  <c r="AL693" i="5" l="1"/>
  <c r="BT691" i="5"/>
  <c r="AK694" i="5"/>
  <c r="AH694" i="5"/>
  <c r="BP693" i="5"/>
  <c r="AM693" i="5"/>
  <c r="AP692" i="5"/>
  <c r="BO692" i="5"/>
  <c r="BE695" i="5"/>
  <c r="BL695" i="5"/>
  <c r="BD696" i="5"/>
  <c r="BG695" i="5"/>
  <c r="BF695" i="5"/>
  <c r="BU691" i="5"/>
  <c r="BS692" i="5"/>
  <c r="BV692" i="5"/>
  <c r="BT692" i="5"/>
  <c r="Z695" i="5"/>
  <c r="AA695" i="5"/>
  <c r="AG695" i="5"/>
  <c r="AB695" i="5"/>
  <c r="Y696" i="5"/>
  <c r="AQ693" i="5"/>
  <c r="AN693" i="5"/>
  <c r="BM693" i="5"/>
  <c r="AJ693" i="5"/>
  <c r="AI693" i="5"/>
  <c r="AI694" i="5"/>
  <c r="AQ694" i="5" l="1"/>
  <c r="AN694" i="5"/>
  <c r="BM694" i="5"/>
  <c r="AJ694" i="5"/>
  <c r="BP694" i="5"/>
  <c r="AM694" i="5"/>
  <c r="AL694" i="5"/>
  <c r="AO694" i="5" s="1"/>
  <c r="BU692" i="5"/>
  <c r="BN694" i="5"/>
  <c r="AO693" i="5"/>
  <c r="BN693" i="5"/>
  <c r="AG696" i="5"/>
  <c r="AA696" i="5"/>
  <c r="Z696" i="5"/>
  <c r="Y697" i="5"/>
  <c r="AB696" i="5"/>
  <c r="BD697" i="5"/>
  <c r="BF696" i="5"/>
  <c r="BL696" i="5"/>
  <c r="BG696" i="5"/>
  <c r="BE696" i="5"/>
  <c r="AP693" i="5"/>
  <c r="BO693" i="5"/>
  <c r="BS693" i="5"/>
  <c r="BV693" i="5"/>
  <c r="AK695" i="5"/>
  <c r="AH695" i="5"/>
  <c r="BR693" i="5"/>
  <c r="BQ693" i="5"/>
  <c r="AQ695" i="5" l="1"/>
  <c r="AN695" i="5"/>
  <c r="BM695" i="5"/>
  <c r="AJ695" i="5"/>
  <c r="BR694" i="5"/>
  <c r="BQ694" i="5"/>
  <c r="BT694" i="5" s="1"/>
  <c r="BP695" i="5"/>
  <c r="AM695" i="5"/>
  <c r="AB697" i="5"/>
  <c r="AA697" i="5"/>
  <c r="Y698" i="5"/>
  <c r="Z697" i="5"/>
  <c r="AG697" i="5"/>
  <c r="AI695" i="5"/>
  <c r="BD698" i="5"/>
  <c r="BG697" i="5"/>
  <c r="BL697" i="5"/>
  <c r="BE697" i="5"/>
  <c r="BF697" i="5"/>
  <c r="AP694" i="5"/>
  <c r="BO694" i="5"/>
  <c r="BV694" i="5"/>
  <c r="BS694" i="5"/>
  <c r="AL695" i="5"/>
  <c r="AH696" i="5"/>
  <c r="AK696" i="5"/>
  <c r="BT693" i="5"/>
  <c r="BU693" i="5"/>
  <c r="AO695" i="5" l="1"/>
  <c r="BN695" i="5"/>
  <c r="AP695" i="5"/>
  <c r="BO695" i="5"/>
  <c r="BS695" i="5"/>
  <c r="BV695" i="5"/>
  <c r="AI696" i="5"/>
  <c r="BP696" i="5"/>
  <c r="AM696" i="5"/>
  <c r="AL696" i="5"/>
  <c r="AQ696" i="5"/>
  <c r="AN696" i="5"/>
  <c r="BM696" i="5"/>
  <c r="AJ696" i="5"/>
  <c r="AK697" i="5"/>
  <c r="AH697" i="5"/>
  <c r="BU694" i="5"/>
  <c r="BE698" i="5"/>
  <c r="BL698" i="5"/>
  <c r="BF698" i="5"/>
  <c r="BD699" i="5"/>
  <c r="BG698" i="5"/>
  <c r="BR695" i="5"/>
  <c r="BQ696" i="5"/>
  <c r="BQ695" i="5"/>
  <c r="Z698" i="5"/>
  <c r="Y699" i="5"/>
  <c r="AG698" i="5"/>
  <c r="AA698" i="5"/>
  <c r="AB698" i="5"/>
  <c r="BS696" i="5" l="1"/>
  <c r="BV696" i="5"/>
  <c r="BU695" i="5"/>
  <c r="BR696" i="5"/>
  <c r="BQ697" i="5"/>
  <c r="AQ697" i="5"/>
  <c r="AN697" i="5"/>
  <c r="BM697" i="5"/>
  <c r="AJ697" i="5"/>
  <c r="AI697" i="5"/>
  <c r="BT695" i="5"/>
  <c r="AK698" i="5"/>
  <c r="AH698" i="5"/>
  <c r="BP697" i="5"/>
  <c r="AM697" i="5"/>
  <c r="AL697" i="5"/>
  <c r="AO696" i="5"/>
  <c r="BN696" i="5"/>
  <c r="AG699" i="5"/>
  <c r="Y700" i="5"/>
  <c r="AB699" i="5"/>
  <c r="AA699" i="5"/>
  <c r="Z699" i="5"/>
  <c r="BE699" i="5"/>
  <c r="BL699" i="5"/>
  <c r="BD700" i="5"/>
  <c r="BG699" i="5"/>
  <c r="BF699" i="5"/>
  <c r="AP696" i="5"/>
  <c r="BO696" i="5"/>
  <c r="BD701" i="5" l="1"/>
  <c r="BG700" i="5"/>
  <c r="BL700" i="5"/>
  <c r="BE700" i="5"/>
  <c r="BF700" i="5"/>
  <c r="AQ698" i="5"/>
  <c r="AN698" i="5"/>
  <c r="BM698" i="5"/>
  <c r="AJ698" i="5"/>
  <c r="AI698" i="5"/>
  <c r="BP698" i="5"/>
  <c r="AM698" i="5"/>
  <c r="AL698" i="5"/>
  <c r="BU696" i="5"/>
  <c r="AB700" i="5"/>
  <c r="AA700" i="5"/>
  <c r="AG700" i="5"/>
  <c r="Z700" i="5"/>
  <c r="Y701" i="5"/>
  <c r="AO697" i="5"/>
  <c r="BN697" i="5"/>
  <c r="AH699" i="5"/>
  <c r="AK699" i="5"/>
  <c r="AP697" i="5"/>
  <c r="BO697" i="5"/>
  <c r="BT696" i="5"/>
  <c r="BV697" i="5"/>
  <c r="BS697" i="5"/>
  <c r="BR697" i="5"/>
  <c r="BR698" i="5" l="1"/>
  <c r="BQ698" i="5"/>
  <c r="BP699" i="5"/>
  <c r="AM699" i="5"/>
  <c r="AL699" i="5"/>
  <c r="AQ699" i="5"/>
  <c r="AN699" i="5"/>
  <c r="BM699" i="5"/>
  <c r="AJ699" i="5"/>
  <c r="AI699" i="5"/>
  <c r="BT697" i="5"/>
  <c r="AO698" i="5"/>
  <c r="BN698" i="5"/>
  <c r="AB701" i="5"/>
  <c r="AA701" i="5"/>
  <c r="Z701" i="5"/>
  <c r="AG701" i="5"/>
  <c r="Y702" i="5"/>
  <c r="AP698" i="5"/>
  <c r="BO698" i="5"/>
  <c r="BS698" i="5"/>
  <c r="BV698" i="5"/>
  <c r="AK700" i="5"/>
  <c r="AH700" i="5"/>
  <c r="BU697" i="5"/>
  <c r="BE701" i="5"/>
  <c r="BD702" i="5"/>
  <c r="BF701" i="5"/>
  <c r="BL701" i="5"/>
  <c r="BG701" i="5"/>
  <c r="AG702" i="5" l="1"/>
  <c r="Y703" i="5"/>
  <c r="Z702" i="5"/>
  <c r="AA702" i="5"/>
  <c r="AB702" i="5"/>
  <c r="AO699" i="5"/>
  <c r="BN699" i="5"/>
  <c r="AQ700" i="5"/>
  <c r="AN700" i="5"/>
  <c r="BM700" i="5"/>
  <c r="AJ700" i="5"/>
  <c r="AI700" i="5"/>
  <c r="AK701" i="5"/>
  <c r="AH701" i="5"/>
  <c r="AP699" i="5"/>
  <c r="BO699" i="5"/>
  <c r="BP700" i="5"/>
  <c r="AM700" i="5"/>
  <c r="AL700" i="5"/>
  <c r="BV699" i="5"/>
  <c r="BS699" i="5"/>
  <c r="BU698" i="5"/>
  <c r="BT698" i="5"/>
  <c r="BR699" i="5"/>
  <c r="BQ699" i="5"/>
  <c r="BE702" i="5"/>
  <c r="BG702" i="5"/>
  <c r="BF702" i="5"/>
  <c r="BL702" i="5"/>
  <c r="BD703" i="5"/>
  <c r="AQ701" i="5" l="1"/>
  <c r="AN701" i="5"/>
  <c r="BM701" i="5"/>
  <c r="AJ701" i="5"/>
  <c r="AI701" i="5"/>
  <c r="BP701" i="5"/>
  <c r="AM701" i="5"/>
  <c r="AL701" i="5"/>
  <c r="AP700" i="5"/>
  <c r="BO700" i="5"/>
  <c r="BV700" i="5"/>
  <c r="BS700" i="5"/>
  <c r="AO700" i="5"/>
  <c r="BN700" i="5"/>
  <c r="BD704" i="5"/>
  <c r="BL703" i="5"/>
  <c r="BG703" i="5"/>
  <c r="BF703" i="5"/>
  <c r="BE703" i="5"/>
  <c r="BR700" i="5"/>
  <c r="BQ700" i="5"/>
  <c r="BT699" i="5"/>
  <c r="BU699" i="5"/>
  <c r="AB703" i="5"/>
  <c r="AA703" i="5"/>
  <c r="Y704" i="5"/>
  <c r="AG703" i="5"/>
  <c r="Z703" i="5"/>
  <c r="AH702" i="5"/>
  <c r="AK702" i="5"/>
  <c r="BU700" i="5" l="1"/>
  <c r="AK703" i="5"/>
  <c r="AH703" i="5"/>
  <c r="BR701" i="5"/>
  <c r="BQ701" i="5"/>
  <c r="BP702" i="5"/>
  <c r="AM702" i="5"/>
  <c r="AL702" i="5"/>
  <c r="AG704" i="5"/>
  <c r="AB704" i="5"/>
  <c r="Z704" i="5"/>
  <c r="AA704" i="5"/>
  <c r="Y705" i="5"/>
  <c r="BE704" i="5"/>
  <c r="BG704" i="5"/>
  <c r="BL704" i="5"/>
  <c r="BD705" i="5"/>
  <c r="BF704" i="5"/>
  <c r="AO701" i="5"/>
  <c r="BN701" i="5"/>
  <c r="AN702" i="5"/>
  <c r="BM702" i="5"/>
  <c r="AQ702" i="5"/>
  <c r="AJ702" i="5"/>
  <c r="AI702" i="5"/>
  <c r="BT700" i="5"/>
  <c r="AP701" i="5"/>
  <c r="BO701" i="5"/>
  <c r="BS701" i="5"/>
  <c r="BV701" i="5"/>
  <c r="BR702" i="5" l="1"/>
  <c r="BQ702" i="5"/>
  <c r="BU701" i="5"/>
  <c r="BG705" i="5"/>
  <c r="BD706" i="5"/>
  <c r="BL705" i="5"/>
  <c r="BF705" i="5"/>
  <c r="BE705" i="5"/>
  <c r="AP702" i="5"/>
  <c r="BO702" i="5"/>
  <c r="AG705" i="5"/>
  <c r="AA705" i="5"/>
  <c r="Z705" i="5"/>
  <c r="Y706" i="5"/>
  <c r="AB705" i="5"/>
  <c r="AN703" i="5"/>
  <c r="AQ703" i="5"/>
  <c r="BM703" i="5"/>
  <c r="AJ703" i="5"/>
  <c r="AI703" i="5"/>
  <c r="BP703" i="5"/>
  <c r="AM703" i="5"/>
  <c r="AL703" i="5"/>
  <c r="AK704" i="5"/>
  <c r="AH704" i="5"/>
  <c r="AO702" i="5"/>
  <c r="BN702" i="5"/>
  <c r="BT701" i="5"/>
  <c r="BS702" i="5"/>
  <c r="BV702" i="5"/>
  <c r="BU702" i="5" l="1"/>
  <c r="AN704" i="5"/>
  <c r="AQ704" i="5"/>
  <c r="BM704" i="5"/>
  <c r="AJ704" i="5"/>
  <c r="AI704" i="5"/>
  <c r="BD707" i="5"/>
  <c r="BE706" i="5"/>
  <c r="BL706" i="5"/>
  <c r="BF706" i="5"/>
  <c r="BG706" i="5"/>
  <c r="AP703" i="5"/>
  <c r="BO703" i="5"/>
  <c r="AB706" i="5"/>
  <c r="AA706" i="5"/>
  <c r="Y707" i="5"/>
  <c r="Z706" i="5"/>
  <c r="AG706" i="5"/>
  <c r="AO703" i="5"/>
  <c r="BN703" i="5"/>
  <c r="BV703" i="5"/>
  <c r="BS703" i="5"/>
  <c r="BP704" i="5"/>
  <c r="AM704" i="5"/>
  <c r="AL704" i="5"/>
  <c r="BR703" i="5"/>
  <c r="BQ703" i="5"/>
  <c r="BT702" i="5"/>
  <c r="AH705" i="5"/>
  <c r="AK705" i="5"/>
  <c r="AQ705" i="5" l="1"/>
  <c r="AN705" i="5"/>
  <c r="BM705" i="5"/>
  <c r="AJ705" i="5"/>
  <c r="AI705" i="5"/>
  <c r="Z707" i="5"/>
  <c r="AA707" i="5"/>
  <c r="AG707" i="5"/>
  <c r="Y708" i="5"/>
  <c r="AB707" i="5"/>
  <c r="BU703" i="5"/>
  <c r="BE707" i="5"/>
  <c r="BG707" i="5"/>
  <c r="BL707" i="5"/>
  <c r="BF707" i="5"/>
  <c r="BD708" i="5"/>
  <c r="AO704" i="5"/>
  <c r="BN704" i="5"/>
  <c r="AP704" i="5"/>
  <c r="BO704" i="5"/>
  <c r="BS704" i="5"/>
  <c r="BV704" i="5"/>
  <c r="AH706" i="5"/>
  <c r="AK706" i="5"/>
  <c r="BR704" i="5"/>
  <c r="BQ704" i="5"/>
  <c r="BT703" i="5"/>
  <c r="BP705" i="5"/>
  <c r="AM705" i="5"/>
  <c r="AL705" i="5"/>
  <c r="Y709" i="5" l="1"/>
  <c r="AG708" i="5"/>
  <c r="Z708" i="5"/>
  <c r="AA708" i="5"/>
  <c r="AB708" i="5"/>
  <c r="AQ706" i="5"/>
  <c r="AN706" i="5"/>
  <c r="BM706" i="5"/>
  <c r="AJ706" i="5"/>
  <c r="AI706" i="5"/>
  <c r="AK707" i="5"/>
  <c r="AH707" i="5"/>
  <c r="BU704" i="5"/>
  <c r="AO705" i="5"/>
  <c r="BN705" i="5"/>
  <c r="BP706" i="5"/>
  <c r="AM706" i="5"/>
  <c r="AL706" i="5"/>
  <c r="BR705" i="5"/>
  <c r="BQ705" i="5"/>
  <c r="BT704" i="5"/>
  <c r="BL708" i="5"/>
  <c r="BD709" i="5"/>
  <c r="BE708" i="5"/>
  <c r="BG708" i="5"/>
  <c r="BF708" i="5"/>
  <c r="AP705" i="5"/>
  <c r="BO705" i="5"/>
  <c r="BV705" i="5"/>
  <c r="BS705" i="5"/>
  <c r="BR706" i="5" l="1"/>
  <c r="BQ706" i="5"/>
  <c r="AQ707" i="5"/>
  <c r="AN707" i="5"/>
  <c r="BM707" i="5"/>
  <c r="AJ707" i="5"/>
  <c r="AI707" i="5"/>
  <c r="BU705" i="5"/>
  <c r="BP707" i="5"/>
  <c r="AM707" i="5"/>
  <c r="AL707" i="5"/>
  <c r="AO706" i="5"/>
  <c r="BN706" i="5"/>
  <c r="AH708" i="5"/>
  <c r="AK708" i="5"/>
  <c r="BT705" i="5"/>
  <c r="BV706" i="5"/>
  <c r="BS706" i="5"/>
  <c r="Z709" i="5"/>
  <c r="AB709" i="5"/>
  <c r="AG709" i="5"/>
  <c r="Y710" i="5"/>
  <c r="AA709" i="5"/>
  <c r="BF709" i="5"/>
  <c r="BD710" i="5"/>
  <c r="BL709" i="5"/>
  <c r="BG709" i="5"/>
  <c r="BE709" i="5"/>
  <c r="AP706" i="5"/>
  <c r="BO706" i="5"/>
  <c r="BU706" i="5" l="1"/>
  <c r="AO707" i="5"/>
  <c r="BN707" i="5"/>
  <c r="AP707" i="5"/>
  <c r="BO707" i="5"/>
  <c r="BP708" i="5"/>
  <c r="AM708" i="5"/>
  <c r="AL708" i="5"/>
  <c r="BS707" i="5"/>
  <c r="BV707" i="5"/>
  <c r="BE710" i="5"/>
  <c r="BD711" i="5"/>
  <c r="BF710" i="5"/>
  <c r="BL710" i="5"/>
  <c r="BG710" i="5"/>
  <c r="AQ708" i="5"/>
  <c r="AN708" i="5"/>
  <c r="BM708" i="5"/>
  <c r="AJ708" i="5"/>
  <c r="AI708" i="5"/>
  <c r="Y711" i="5"/>
  <c r="AG710" i="5"/>
  <c r="AB710" i="5"/>
  <c r="AA710" i="5"/>
  <c r="Z710" i="5"/>
  <c r="BT706" i="5"/>
  <c r="AH709" i="5"/>
  <c r="AK709" i="5"/>
  <c r="BR707" i="5"/>
  <c r="BQ707" i="5"/>
  <c r="BR708" i="5" l="1"/>
  <c r="BQ708" i="5"/>
  <c r="AH710" i="5"/>
  <c r="AK710" i="5"/>
  <c r="BU707" i="5"/>
  <c r="Y712" i="5"/>
  <c r="AB711" i="5"/>
  <c r="Z711" i="5"/>
  <c r="AG711" i="5"/>
  <c r="AA711" i="5"/>
  <c r="BP709" i="5"/>
  <c r="AM709" i="5"/>
  <c r="AL709" i="5"/>
  <c r="BT707" i="5"/>
  <c r="AQ709" i="5"/>
  <c r="AN709" i="5"/>
  <c r="BM709" i="5"/>
  <c r="AJ709" i="5"/>
  <c r="AI709" i="5"/>
  <c r="AO708" i="5"/>
  <c r="BN708" i="5"/>
  <c r="AP708" i="5"/>
  <c r="BO708" i="5"/>
  <c r="BL711" i="5"/>
  <c r="BD712" i="5"/>
  <c r="BE711" i="5"/>
  <c r="BG711" i="5"/>
  <c r="BF711" i="5"/>
  <c r="BS708" i="5"/>
  <c r="BV708" i="5"/>
  <c r="AP709" i="5" l="1"/>
  <c r="BO709" i="5"/>
  <c r="AO709" i="5"/>
  <c r="BN709" i="5"/>
  <c r="BS709" i="5"/>
  <c r="BV709" i="5"/>
  <c r="AA712" i="5"/>
  <c r="Z712" i="5"/>
  <c r="Y713" i="5"/>
  <c r="AG712" i="5"/>
  <c r="AB712" i="5"/>
  <c r="BF712" i="5"/>
  <c r="BD713" i="5"/>
  <c r="BL712" i="5"/>
  <c r="BG712" i="5"/>
  <c r="BE712" i="5"/>
  <c r="BP710" i="5"/>
  <c r="AM710" i="5"/>
  <c r="AL710" i="5"/>
  <c r="AQ710" i="5"/>
  <c r="AN710" i="5"/>
  <c r="BM710" i="5"/>
  <c r="AJ710" i="5"/>
  <c r="AI710" i="5"/>
  <c r="BU708" i="5"/>
  <c r="BT708" i="5"/>
  <c r="BR709" i="5"/>
  <c r="BQ709" i="5"/>
  <c r="AH711" i="5"/>
  <c r="AK711" i="5"/>
  <c r="AG713" i="5" l="1"/>
  <c r="Y714" i="5"/>
  <c r="AB713" i="5"/>
  <c r="Z713" i="5"/>
  <c r="AA713" i="5"/>
  <c r="BS710" i="5"/>
  <c r="BV710" i="5"/>
  <c r="BP711" i="5"/>
  <c r="AM711" i="5"/>
  <c r="AL711" i="5"/>
  <c r="AQ711" i="5"/>
  <c r="AN711" i="5"/>
  <c r="BM711" i="5"/>
  <c r="AJ711" i="5"/>
  <c r="AI711" i="5"/>
  <c r="BD714" i="5"/>
  <c r="BE713" i="5"/>
  <c r="BF713" i="5"/>
  <c r="BL713" i="5"/>
  <c r="BG713" i="5"/>
  <c r="BR710" i="5"/>
  <c r="BQ710" i="5"/>
  <c r="BT709" i="5"/>
  <c r="BU709" i="5"/>
  <c r="AO710" i="5"/>
  <c r="BN710" i="5"/>
  <c r="AP710" i="5"/>
  <c r="BO710" i="5"/>
  <c r="AK712" i="5"/>
  <c r="AH712" i="5"/>
  <c r="BT710" i="5" l="1"/>
  <c r="BR711" i="5"/>
  <c r="BQ711" i="5"/>
  <c r="AN712" i="5"/>
  <c r="AQ712" i="5"/>
  <c r="BM712" i="5"/>
  <c r="AJ712" i="5"/>
  <c r="AI712" i="5"/>
  <c r="BP712" i="5"/>
  <c r="AM712" i="5"/>
  <c r="AL712" i="5"/>
  <c r="BU710" i="5"/>
  <c r="BL714" i="5"/>
  <c r="BD715" i="5"/>
  <c r="BE714" i="5"/>
  <c r="BG714" i="5"/>
  <c r="BF714" i="5"/>
  <c r="AO711" i="5"/>
  <c r="BN711" i="5"/>
  <c r="Y715" i="5"/>
  <c r="Z714" i="5"/>
  <c r="AG714" i="5"/>
  <c r="AA714" i="5"/>
  <c r="AB714" i="5"/>
  <c r="AK713" i="5"/>
  <c r="AH713" i="5"/>
  <c r="AP711" i="5"/>
  <c r="BO711" i="5"/>
  <c r="BV711" i="5"/>
  <c r="BS711" i="5"/>
  <c r="BR712" i="5" l="1"/>
  <c r="BQ712" i="5"/>
  <c r="BU711" i="5"/>
  <c r="AK714" i="5"/>
  <c r="AH714" i="5"/>
  <c r="AO712" i="5"/>
  <c r="BN712" i="5"/>
  <c r="AP712" i="5"/>
  <c r="BO712" i="5"/>
  <c r="BS712" i="5"/>
  <c r="BV712" i="5"/>
  <c r="AN713" i="5"/>
  <c r="AQ713" i="5"/>
  <c r="BM713" i="5"/>
  <c r="AJ713" i="5"/>
  <c r="AI713" i="5"/>
  <c r="Y716" i="5"/>
  <c r="AB715" i="5"/>
  <c r="AA715" i="5"/>
  <c r="AG715" i="5"/>
  <c r="Z715" i="5"/>
  <c r="BP713" i="5"/>
  <c r="AM713" i="5"/>
  <c r="AL713" i="5"/>
  <c r="BT711" i="5"/>
  <c r="BF715" i="5"/>
  <c r="BE715" i="5"/>
  <c r="BD716" i="5"/>
  <c r="BL715" i="5"/>
  <c r="BG715" i="5"/>
  <c r="BR713" i="5" l="1"/>
  <c r="BQ713" i="5"/>
  <c r="BT712" i="5"/>
  <c r="AV716" i="5"/>
  <c r="AA716" i="5"/>
  <c r="Z716" i="5"/>
  <c r="AG716" i="5"/>
  <c r="Y717" i="5"/>
  <c r="AB716" i="5"/>
  <c r="AV710" i="5"/>
  <c r="AR710" i="5" s="1"/>
  <c r="AV708" i="5"/>
  <c r="AR708" i="5" s="1"/>
  <c r="AV714" i="5"/>
  <c r="BF716" i="5"/>
  <c r="BD717" i="5"/>
  <c r="BE716" i="5"/>
  <c r="CA716" i="5"/>
  <c r="BL716" i="5"/>
  <c r="BG716" i="5"/>
  <c r="CA712" i="5"/>
  <c r="BW712" i="5" s="1"/>
  <c r="CA710" i="5"/>
  <c r="BW710" i="5" s="1"/>
  <c r="CA714" i="5"/>
  <c r="AO713" i="5"/>
  <c r="BN713" i="5"/>
  <c r="AP713" i="5"/>
  <c r="BO713" i="5"/>
  <c r="AQ714" i="5"/>
  <c r="AN714" i="5"/>
  <c r="BM714" i="5"/>
  <c r="AJ714" i="5"/>
  <c r="AI714" i="5"/>
  <c r="BS713" i="5"/>
  <c r="BV713" i="5"/>
  <c r="BP714" i="5"/>
  <c r="AM714" i="5"/>
  <c r="AL714" i="5"/>
  <c r="AK715" i="5"/>
  <c r="AH715" i="5"/>
  <c r="BU712" i="5"/>
  <c r="AQ715" i="5" l="1"/>
  <c r="AN715" i="5"/>
  <c r="BM715" i="5"/>
  <c r="AJ715" i="5"/>
  <c r="AI715" i="5"/>
  <c r="BU713" i="5"/>
  <c r="BP715" i="5"/>
  <c r="AM715" i="5"/>
  <c r="AL715" i="5"/>
  <c r="Y718" i="5"/>
  <c r="AV717" i="5"/>
  <c r="AG717" i="5"/>
  <c r="AA717" i="5"/>
  <c r="Z717" i="5"/>
  <c r="AB717" i="5"/>
  <c r="AV715" i="5"/>
  <c r="AV713" i="5"/>
  <c r="AR713" i="5" s="1"/>
  <c r="AV711" i="5"/>
  <c r="AR711" i="5" s="1"/>
  <c r="AV709" i="5"/>
  <c r="AR709" i="5" s="1"/>
  <c r="BT713" i="5"/>
  <c r="AK716" i="5"/>
  <c r="AH716" i="5"/>
  <c r="BR714" i="5"/>
  <c r="BQ714" i="5"/>
  <c r="BL717" i="5"/>
  <c r="BE717" i="5"/>
  <c r="BD718" i="5"/>
  <c r="CA717" i="5"/>
  <c r="BG717" i="5"/>
  <c r="BF717" i="5"/>
  <c r="CA709" i="5"/>
  <c r="BW709" i="5" s="1"/>
  <c r="CA711" i="5"/>
  <c r="BW711" i="5" s="1"/>
  <c r="CA713" i="5"/>
  <c r="BW713" i="5" s="1"/>
  <c r="CA715" i="5"/>
  <c r="AR714" i="5"/>
  <c r="AO714" i="5"/>
  <c r="BN714" i="5"/>
  <c r="AP714" i="5"/>
  <c r="BO714" i="5"/>
  <c r="BS714" i="5"/>
  <c r="BV714" i="5"/>
  <c r="AV712" i="5"/>
  <c r="AR712" i="5" s="1"/>
  <c r="Y719" i="5" l="1"/>
  <c r="AB718" i="5"/>
  <c r="AG718" i="5"/>
  <c r="AA718" i="5"/>
  <c r="Z718" i="5"/>
  <c r="BR715" i="5"/>
  <c r="BQ715" i="5"/>
  <c r="BT714" i="5"/>
  <c r="BW714" i="5"/>
  <c r="AQ716" i="5"/>
  <c r="AN716" i="5"/>
  <c r="BM716" i="5"/>
  <c r="AJ716" i="5"/>
  <c r="AI716" i="5"/>
  <c r="AO715" i="5"/>
  <c r="AR715" i="5"/>
  <c r="BN715" i="5"/>
  <c r="BF718" i="5"/>
  <c r="BG718" i="5"/>
  <c r="BE718" i="5"/>
  <c r="BD719" i="5"/>
  <c r="BL718" i="5"/>
  <c r="BU714" i="5"/>
  <c r="BP716" i="5"/>
  <c r="AM716" i="5"/>
  <c r="AL716" i="5"/>
  <c r="AP715" i="5"/>
  <c r="BO715" i="5"/>
  <c r="BS715" i="5"/>
  <c r="BV715" i="5"/>
  <c r="AK717" i="5"/>
  <c r="AH717" i="5"/>
  <c r="BR716" i="5" l="1"/>
  <c r="BQ716" i="5"/>
  <c r="AO716" i="5"/>
  <c r="AR716" i="5"/>
  <c r="BN716" i="5"/>
  <c r="AK718" i="5"/>
  <c r="AH718" i="5"/>
  <c r="AQ717" i="5"/>
  <c r="AN717" i="5"/>
  <c r="BM717" i="5"/>
  <c r="AJ717" i="5"/>
  <c r="AI717" i="5"/>
  <c r="AP716" i="5"/>
  <c r="BO716" i="5"/>
  <c r="BV716" i="5"/>
  <c r="BS716" i="5"/>
  <c r="BU715" i="5"/>
  <c r="BT715" i="5"/>
  <c r="BW715" i="5"/>
  <c r="BP717" i="5"/>
  <c r="AM717" i="5"/>
  <c r="AL717" i="5"/>
  <c r="BE719" i="5"/>
  <c r="BL719" i="5"/>
  <c r="BG719" i="5"/>
  <c r="BF719" i="5"/>
  <c r="BD720" i="5"/>
  <c r="Y720" i="5"/>
  <c r="Z719" i="5"/>
  <c r="AA719" i="5"/>
  <c r="AG719" i="5"/>
  <c r="AB719" i="5"/>
  <c r="BR717" i="5" l="1"/>
  <c r="BQ717" i="5"/>
  <c r="BS717" i="5"/>
  <c r="BV717" i="5"/>
  <c r="BG720" i="5"/>
  <c r="BL720" i="5"/>
  <c r="BD721" i="5"/>
  <c r="BE720" i="5"/>
  <c r="BF720" i="5"/>
  <c r="AI719" i="5"/>
  <c r="AI718" i="5"/>
  <c r="AQ718" i="5"/>
  <c r="AN718" i="5"/>
  <c r="BM718" i="5"/>
  <c r="AJ718" i="5"/>
  <c r="AL718" i="5"/>
  <c r="BP718" i="5"/>
  <c r="AL719" i="5"/>
  <c r="AM718" i="5"/>
  <c r="BT716" i="5"/>
  <c r="BW716" i="5"/>
  <c r="AR717" i="5"/>
  <c r="AO717" i="5"/>
  <c r="BN717" i="5"/>
  <c r="AK719" i="5"/>
  <c r="AH719" i="5"/>
  <c r="AP717" i="5"/>
  <c r="BO717" i="5"/>
  <c r="BU716" i="5"/>
  <c r="Y721" i="5"/>
  <c r="AA720" i="5"/>
  <c r="Z720" i="5"/>
  <c r="AG720" i="5"/>
  <c r="AB720" i="5"/>
  <c r="AK720" i="5" l="1"/>
  <c r="AH720" i="5"/>
  <c r="BQ718" i="5"/>
  <c r="BR718" i="5"/>
  <c r="Z721" i="5"/>
  <c r="Y722" i="5"/>
  <c r="AB721" i="5"/>
  <c r="AG721" i="5"/>
  <c r="AA721" i="5"/>
  <c r="BU717" i="5"/>
  <c r="BG721" i="5"/>
  <c r="BE721" i="5"/>
  <c r="BF721" i="5"/>
  <c r="BL721" i="5"/>
  <c r="BD722" i="5"/>
  <c r="AO719" i="5"/>
  <c r="BN719" i="5"/>
  <c r="BV718" i="5"/>
  <c r="BS718" i="5"/>
  <c r="AN719" i="5"/>
  <c r="AQ719" i="5"/>
  <c r="BM719" i="5"/>
  <c r="AJ719" i="5"/>
  <c r="AP718" i="5"/>
  <c r="BO718" i="5"/>
  <c r="BP719" i="5"/>
  <c r="BR719" i="5" s="1"/>
  <c r="AM719" i="5"/>
  <c r="BT717" i="5"/>
  <c r="BW717" i="5"/>
  <c r="AL720" i="5"/>
  <c r="AO718" i="5"/>
  <c r="BN718" i="5"/>
  <c r="BF722" i="5" l="1"/>
  <c r="BD723" i="5"/>
  <c r="BE722" i="5"/>
  <c r="BG722" i="5"/>
  <c r="BL722" i="5"/>
  <c r="BQ719" i="5"/>
  <c r="BU718" i="5"/>
  <c r="BT719" i="5"/>
  <c r="AP719" i="5"/>
  <c r="BO719" i="5"/>
  <c r="BT718" i="5"/>
  <c r="BV719" i="5"/>
  <c r="BS719" i="5"/>
  <c r="AH721" i="5"/>
  <c r="AK721" i="5"/>
  <c r="AN720" i="5"/>
  <c r="AQ720" i="5"/>
  <c r="BM720" i="5"/>
  <c r="AJ720" i="5"/>
  <c r="AI721" i="5"/>
  <c r="AI720" i="5"/>
  <c r="BP720" i="5"/>
  <c r="AM720" i="5"/>
  <c r="AB722" i="5"/>
  <c r="AA722" i="5"/>
  <c r="AG722" i="5"/>
  <c r="Y723" i="5"/>
  <c r="Z722" i="5"/>
  <c r="AO720" i="5" l="1"/>
  <c r="BN720" i="5"/>
  <c r="AO721" i="5"/>
  <c r="BN721" i="5"/>
  <c r="BV720" i="5"/>
  <c r="BS720" i="5"/>
  <c r="BP721" i="5"/>
  <c r="AM721" i="5"/>
  <c r="AL722" i="5"/>
  <c r="AN721" i="5"/>
  <c r="AQ721" i="5"/>
  <c r="BM721" i="5"/>
  <c r="AJ721" i="5"/>
  <c r="AK722" i="5"/>
  <c r="AH722" i="5"/>
  <c r="BR720" i="5"/>
  <c r="BL723" i="5"/>
  <c r="BE723" i="5"/>
  <c r="BG723" i="5"/>
  <c r="BF723" i="5"/>
  <c r="BD724" i="5"/>
  <c r="BQ720" i="5"/>
  <c r="Y724" i="5"/>
  <c r="AG723" i="5"/>
  <c r="AB723" i="5"/>
  <c r="AA723" i="5"/>
  <c r="Z723" i="5"/>
  <c r="AL721" i="5"/>
  <c r="AI722" i="5"/>
  <c r="AP720" i="5"/>
  <c r="BO720" i="5"/>
  <c r="BU719" i="5"/>
  <c r="AP721" i="5" l="1"/>
  <c r="BO721" i="5"/>
  <c r="BS721" i="5"/>
  <c r="BV721" i="5"/>
  <c r="BR721" i="5"/>
  <c r="BF724" i="5"/>
  <c r="BG724" i="5"/>
  <c r="BD725" i="5"/>
  <c r="BL724" i="5"/>
  <c r="BE724" i="5"/>
  <c r="BT720" i="5"/>
  <c r="AQ722" i="5"/>
  <c r="AN722" i="5"/>
  <c r="BM722" i="5"/>
  <c r="AJ722" i="5"/>
  <c r="AK723" i="5"/>
  <c r="AH723" i="5"/>
  <c r="AA724" i="5"/>
  <c r="Z724" i="5"/>
  <c r="Y725" i="5"/>
  <c r="AB724" i="5"/>
  <c r="AG724" i="5"/>
  <c r="BU720" i="5"/>
  <c r="BT721" i="5"/>
  <c r="AO722" i="5"/>
  <c r="BN722" i="5"/>
  <c r="BP722" i="5"/>
  <c r="AM722" i="5"/>
  <c r="BQ721" i="5"/>
  <c r="AQ723" i="5" l="1"/>
  <c r="AN723" i="5"/>
  <c r="BM723" i="5"/>
  <c r="AJ723" i="5"/>
  <c r="BS722" i="5"/>
  <c r="BV722" i="5"/>
  <c r="BP723" i="5"/>
  <c r="BQ723" i="5" s="1"/>
  <c r="AM723" i="5"/>
  <c r="AL723" i="5"/>
  <c r="AI723" i="5"/>
  <c r="BU721" i="5"/>
  <c r="AP722" i="5"/>
  <c r="BO722" i="5"/>
  <c r="BR722" i="5"/>
  <c r="BQ722" i="5"/>
  <c r="BT722" i="5" s="1"/>
  <c r="AK724" i="5"/>
  <c r="AH724" i="5"/>
  <c r="BG725" i="5"/>
  <c r="BD726" i="5"/>
  <c r="BL725" i="5"/>
  <c r="BF725" i="5"/>
  <c r="BE725" i="5"/>
  <c r="AG725" i="5"/>
  <c r="Y726" i="5"/>
  <c r="Z725" i="5"/>
  <c r="AA725" i="5"/>
  <c r="AB725" i="5"/>
  <c r="AP723" i="5" l="1"/>
  <c r="BO723" i="5"/>
  <c r="AQ724" i="5"/>
  <c r="AN724" i="5"/>
  <c r="BM724" i="5"/>
  <c r="AJ724" i="5"/>
  <c r="AI724" i="5"/>
  <c r="BS723" i="5"/>
  <c r="BV723" i="5"/>
  <c r="BP724" i="5"/>
  <c r="AM724" i="5"/>
  <c r="BU722" i="5"/>
  <c r="AO723" i="5"/>
  <c r="BN723" i="5"/>
  <c r="AL724" i="5"/>
  <c r="Y727" i="5"/>
  <c r="AB726" i="5"/>
  <c r="AA726" i="5"/>
  <c r="AG726" i="5"/>
  <c r="Z726" i="5"/>
  <c r="AH725" i="5"/>
  <c r="AK725" i="5"/>
  <c r="BL726" i="5"/>
  <c r="BF726" i="5"/>
  <c r="BG726" i="5"/>
  <c r="BD727" i="5"/>
  <c r="BE726" i="5"/>
  <c r="BR723" i="5"/>
  <c r="BR724" i="5" l="1"/>
  <c r="BQ724" i="5"/>
  <c r="BU723" i="5"/>
  <c r="Y728" i="5"/>
  <c r="AA727" i="5"/>
  <c r="AG727" i="5"/>
  <c r="AB727" i="5"/>
  <c r="Z727" i="5"/>
  <c r="AO724" i="5"/>
  <c r="BN724" i="5"/>
  <c r="AN725" i="5"/>
  <c r="AQ725" i="5"/>
  <c r="BM725" i="5"/>
  <c r="AJ725" i="5"/>
  <c r="AI725" i="5"/>
  <c r="BT723" i="5"/>
  <c r="AP724" i="5"/>
  <c r="BO724" i="5"/>
  <c r="BF727" i="5"/>
  <c r="BD728" i="5"/>
  <c r="BL727" i="5"/>
  <c r="BG727" i="5"/>
  <c r="BE727" i="5"/>
  <c r="BV724" i="5"/>
  <c r="BS724" i="5"/>
  <c r="BP725" i="5"/>
  <c r="AM725" i="5"/>
  <c r="AL725" i="5"/>
  <c r="AK726" i="5"/>
  <c r="AH726" i="5"/>
  <c r="BP726" i="5" l="1"/>
  <c r="AM726" i="5"/>
  <c r="BV725" i="5"/>
  <c r="BS725" i="5"/>
  <c r="AL726" i="5"/>
  <c r="AQ726" i="5"/>
  <c r="AN726" i="5"/>
  <c r="BM726" i="5"/>
  <c r="AJ726" i="5"/>
  <c r="AI726" i="5"/>
  <c r="AK727" i="5"/>
  <c r="AH727" i="5"/>
  <c r="AG728" i="5"/>
  <c r="Y729" i="5"/>
  <c r="Z728" i="5"/>
  <c r="AB728" i="5"/>
  <c r="AA728" i="5"/>
  <c r="BG728" i="5"/>
  <c r="BF728" i="5"/>
  <c r="BE728" i="5"/>
  <c r="BD729" i="5"/>
  <c r="BL728" i="5"/>
  <c r="BR725" i="5"/>
  <c r="BQ725" i="5"/>
  <c r="BU724" i="5"/>
  <c r="AO725" i="5"/>
  <c r="BN725" i="5"/>
  <c r="AP725" i="5"/>
  <c r="BO725" i="5"/>
  <c r="BT724" i="5"/>
  <c r="BU725" i="5" l="1"/>
  <c r="AO726" i="5"/>
  <c r="BN726" i="5"/>
  <c r="AP726" i="5"/>
  <c r="BO726" i="5"/>
  <c r="BV726" i="5"/>
  <c r="BS726" i="5"/>
  <c r="BL729" i="5"/>
  <c r="BG729" i="5"/>
  <c r="BF729" i="5"/>
  <c r="BD730" i="5"/>
  <c r="BE729" i="5"/>
  <c r="Y730" i="5"/>
  <c r="Z729" i="5"/>
  <c r="AG729" i="5"/>
  <c r="AB729" i="5"/>
  <c r="AA729" i="5"/>
  <c r="AK728" i="5"/>
  <c r="AH728" i="5"/>
  <c r="BR726" i="5"/>
  <c r="BQ726" i="5"/>
  <c r="AN727" i="5"/>
  <c r="AQ727" i="5"/>
  <c r="BM727" i="5"/>
  <c r="AJ727" i="5"/>
  <c r="AI727" i="5"/>
  <c r="BT725" i="5"/>
  <c r="BP727" i="5"/>
  <c r="AM727" i="5"/>
  <c r="AL727" i="5"/>
  <c r="AN728" i="5" l="1"/>
  <c r="AQ728" i="5"/>
  <c r="BM728" i="5"/>
  <c r="AJ728" i="5"/>
  <c r="AI728" i="5"/>
  <c r="BP728" i="5"/>
  <c r="AM728" i="5"/>
  <c r="AL728" i="5"/>
  <c r="AK729" i="5"/>
  <c r="AH729" i="5"/>
  <c r="AO727" i="5"/>
  <c r="BN727" i="5"/>
  <c r="AP727" i="5"/>
  <c r="BO727" i="5"/>
  <c r="BR727" i="5"/>
  <c r="BQ727" i="5"/>
  <c r="Z730" i="5"/>
  <c r="AB730" i="5"/>
  <c r="AG730" i="5"/>
  <c r="Y731" i="5"/>
  <c r="AA730" i="5"/>
  <c r="BU726" i="5"/>
  <c r="BT726" i="5"/>
  <c r="BF730" i="5"/>
  <c r="BL730" i="5"/>
  <c r="BE730" i="5"/>
  <c r="BG730" i="5"/>
  <c r="BD731" i="5"/>
  <c r="BS727" i="5"/>
  <c r="BV727" i="5"/>
  <c r="Y732" i="5" l="1"/>
  <c r="Z731" i="5"/>
  <c r="AA731" i="5"/>
  <c r="AG731" i="5"/>
  <c r="AB731" i="5"/>
  <c r="AH730" i="5"/>
  <c r="AK730" i="5"/>
  <c r="AQ729" i="5"/>
  <c r="AN729" i="5"/>
  <c r="BM729" i="5"/>
  <c r="AJ729" i="5"/>
  <c r="AI729" i="5"/>
  <c r="BP729" i="5"/>
  <c r="AM729" i="5"/>
  <c r="AL729" i="5"/>
  <c r="BR728" i="5"/>
  <c r="BQ728" i="5"/>
  <c r="AO728" i="5"/>
  <c r="BN728" i="5"/>
  <c r="BU727" i="5"/>
  <c r="AP728" i="5"/>
  <c r="BO728" i="5"/>
  <c r="BE731" i="5"/>
  <c r="BL731" i="5"/>
  <c r="BF731" i="5"/>
  <c r="BD732" i="5"/>
  <c r="BG731" i="5"/>
  <c r="BS728" i="5"/>
  <c r="BV728" i="5"/>
  <c r="BT727" i="5"/>
  <c r="BV729" i="5" l="1"/>
  <c r="BS729" i="5"/>
  <c r="BL732" i="5"/>
  <c r="BD733" i="5"/>
  <c r="BG732" i="5"/>
  <c r="BE732" i="5"/>
  <c r="BF732" i="5"/>
  <c r="BP730" i="5"/>
  <c r="AM730" i="5"/>
  <c r="AL730" i="5"/>
  <c r="AO729" i="5"/>
  <c r="BN729" i="5"/>
  <c r="AP729" i="5"/>
  <c r="BO729" i="5"/>
  <c r="BT728" i="5"/>
  <c r="AQ730" i="5"/>
  <c r="AN730" i="5"/>
  <c r="BM730" i="5"/>
  <c r="AJ730" i="5"/>
  <c r="AI730" i="5"/>
  <c r="AK731" i="5"/>
  <c r="AH731" i="5"/>
  <c r="Y733" i="5"/>
  <c r="AB732" i="5"/>
  <c r="Z732" i="5"/>
  <c r="AG732" i="5"/>
  <c r="AA732" i="5"/>
  <c r="BU728" i="5"/>
  <c r="BR729" i="5"/>
  <c r="BQ729" i="5"/>
  <c r="BP731" i="5" l="1"/>
  <c r="AM731" i="5"/>
  <c r="AL731" i="5"/>
  <c r="AO730" i="5"/>
  <c r="BN730" i="5"/>
  <c r="AA733" i="5"/>
  <c r="Y734" i="5"/>
  <c r="Z733" i="5"/>
  <c r="AG733" i="5"/>
  <c r="AB733" i="5"/>
  <c r="AP730" i="5"/>
  <c r="BO730" i="5"/>
  <c r="BS730" i="5"/>
  <c r="BV730" i="5"/>
  <c r="BU729" i="5"/>
  <c r="BR730" i="5"/>
  <c r="BQ730" i="5"/>
  <c r="BF733" i="5"/>
  <c r="BL733" i="5"/>
  <c r="BG733" i="5"/>
  <c r="BD734" i="5"/>
  <c r="BE733" i="5"/>
  <c r="AK732" i="5"/>
  <c r="AH732" i="5"/>
  <c r="AN731" i="5"/>
  <c r="AQ731" i="5"/>
  <c r="BM731" i="5"/>
  <c r="AJ731" i="5"/>
  <c r="AI731" i="5"/>
  <c r="BT729" i="5"/>
  <c r="BP732" i="5" l="1"/>
  <c r="AM732" i="5"/>
  <c r="AL732" i="5"/>
  <c r="AQ732" i="5"/>
  <c r="AN732" i="5"/>
  <c r="BM732" i="5"/>
  <c r="AJ732" i="5"/>
  <c r="AI732" i="5"/>
  <c r="AA734" i="5"/>
  <c r="AB734" i="5"/>
  <c r="Z734" i="5"/>
  <c r="Y735" i="5"/>
  <c r="AG734" i="5"/>
  <c r="BT730" i="5"/>
  <c r="BV731" i="5"/>
  <c r="BS731" i="5"/>
  <c r="BR731" i="5"/>
  <c r="BQ731" i="5"/>
  <c r="AO731" i="5"/>
  <c r="BN731" i="5"/>
  <c r="AP731" i="5"/>
  <c r="BO731" i="5"/>
  <c r="AH733" i="5"/>
  <c r="AK733" i="5"/>
  <c r="BL734" i="5"/>
  <c r="BD735" i="5"/>
  <c r="BE734" i="5"/>
  <c r="BG734" i="5"/>
  <c r="BF734" i="5"/>
  <c r="BU730" i="5"/>
  <c r="BP733" i="5" l="1"/>
  <c r="AM733" i="5"/>
  <c r="AL733" i="5"/>
  <c r="AO732" i="5"/>
  <c r="BN732" i="5"/>
  <c r="AQ733" i="5"/>
  <c r="AN733" i="5"/>
  <c r="BM733" i="5"/>
  <c r="AJ733" i="5"/>
  <c r="AI733" i="5"/>
  <c r="AP732" i="5"/>
  <c r="BO732" i="5"/>
  <c r="BS732" i="5"/>
  <c r="BV732" i="5"/>
  <c r="BU731" i="5"/>
  <c r="BT731" i="5"/>
  <c r="AK734" i="5"/>
  <c r="AH734" i="5"/>
  <c r="BL735" i="5"/>
  <c r="BD736" i="5"/>
  <c r="BG735" i="5"/>
  <c r="BE735" i="5"/>
  <c r="BF735" i="5"/>
  <c r="Y736" i="5"/>
  <c r="Z735" i="5"/>
  <c r="AA735" i="5"/>
  <c r="AG735" i="5"/>
  <c r="AB735" i="5"/>
  <c r="BR732" i="5"/>
  <c r="BQ732" i="5"/>
  <c r="BP734" i="5" l="1"/>
  <c r="AM734" i="5"/>
  <c r="AL734" i="5"/>
  <c r="BS733" i="5"/>
  <c r="BV733" i="5"/>
  <c r="AH735" i="5"/>
  <c r="AK735" i="5"/>
  <c r="BT732" i="5"/>
  <c r="BU732" i="5"/>
  <c r="AB736" i="5"/>
  <c r="Y737" i="5"/>
  <c r="AA736" i="5"/>
  <c r="Z736" i="5"/>
  <c r="AG736" i="5"/>
  <c r="BR733" i="5"/>
  <c r="BQ733" i="5"/>
  <c r="BF736" i="5"/>
  <c r="BE736" i="5"/>
  <c r="BG736" i="5"/>
  <c r="BL736" i="5"/>
  <c r="BD737" i="5"/>
  <c r="AO733" i="5"/>
  <c r="BN733" i="5"/>
  <c r="AQ734" i="5"/>
  <c r="AN734" i="5"/>
  <c r="BM734" i="5"/>
  <c r="AJ734" i="5"/>
  <c r="AI734" i="5"/>
  <c r="AP733" i="5"/>
  <c r="BO733" i="5"/>
  <c r="BP735" i="5" l="1"/>
  <c r="AM735" i="5"/>
  <c r="AL735" i="5"/>
  <c r="AO734" i="5"/>
  <c r="BN734" i="5"/>
  <c r="AQ735" i="5"/>
  <c r="AN735" i="5"/>
  <c r="BM735" i="5"/>
  <c r="AJ735" i="5"/>
  <c r="AI735" i="5"/>
  <c r="AP734" i="5"/>
  <c r="BO734" i="5"/>
  <c r="BL737" i="5"/>
  <c r="BD738" i="5"/>
  <c r="BE737" i="5"/>
  <c r="BG737" i="5"/>
  <c r="BF737" i="5"/>
  <c r="BV734" i="5"/>
  <c r="BS734" i="5"/>
  <c r="AK736" i="5"/>
  <c r="AH736" i="5"/>
  <c r="BT733" i="5"/>
  <c r="BU733" i="5"/>
  <c r="AB737" i="5"/>
  <c r="Z737" i="5"/>
  <c r="Y738" i="5"/>
  <c r="AA737" i="5"/>
  <c r="AG737" i="5"/>
  <c r="BR734" i="5"/>
  <c r="BQ734" i="5"/>
  <c r="AO735" i="5" l="1"/>
  <c r="BN735" i="5"/>
  <c r="AP735" i="5"/>
  <c r="BO735" i="5"/>
  <c r="BS735" i="5"/>
  <c r="BV735" i="5"/>
  <c r="AQ736" i="5"/>
  <c r="AN736" i="5"/>
  <c r="BM736" i="5"/>
  <c r="AJ736" i="5"/>
  <c r="AI736" i="5"/>
  <c r="BP736" i="5"/>
  <c r="AM736" i="5"/>
  <c r="AL736" i="5"/>
  <c r="AK737" i="5"/>
  <c r="AH737" i="5"/>
  <c r="BL738" i="5"/>
  <c r="BF738" i="5"/>
  <c r="BE738" i="5"/>
  <c r="BD739" i="5"/>
  <c r="BG738" i="5"/>
  <c r="BT734" i="5"/>
  <c r="Y739" i="5"/>
  <c r="AA738" i="5"/>
  <c r="AG738" i="5"/>
  <c r="AB738" i="5"/>
  <c r="Z738" i="5"/>
  <c r="BU734" i="5"/>
  <c r="BR735" i="5"/>
  <c r="BQ735" i="5"/>
  <c r="BV736" i="5" l="1"/>
  <c r="BS736" i="5"/>
  <c r="BF739" i="5"/>
  <c r="BD740" i="5"/>
  <c r="BL739" i="5"/>
  <c r="BG739" i="5"/>
  <c r="BE739" i="5"/>
  <c r="AP736" i="5"/>
  <c r="BO736" i="5"/>
  <c r="AK738" i="5"/>
  <c r="AH738" i="5"/>
  <c r="AA739" i="5"/>
  <c r="Z739" i="5"/>
  <c r="AB739" i="5"/>
  <c r="Y740" i="5"/>
  <c r="AG739" i="5"/>
  <c r="AQ737" i="5"/>
  <c r="AN737" i="5"/>
  <c r="BM737" i="5"/>
  <c r="AJ737" i="5"/>
  <c r="AI737" i="5"/>
  <c r="BU735" i="5"/>
  <c r="BP737" i="5"/>
  <c r="AM737" i="5"/>
  <c r="AL737" i="5"/>
  <c r="BT735" i="5"/>
  <c r="BR736" i="5"/>
  <c r="BQ736" i="5"/>
  <c r="AO736" i="5"/>
  <c r="BN736" i="5"/>
  <c r="AQ738" i="5" l="1"/>
  <c r="AN738" i="5"/>
  <c r="BM738" i="5"/>
  <c r="AJ738" i="5"/>
  <c r="AI738" i="5"/>
  <c r="BP738" i="5"/>
  <c r="AM738" i="5"/>
  <c r="AL738" i="5"/>
  <c r="BU736" i="5"/>
  <c r="BT736" i="5"/>
  <c r="BD741" i="5"/>
  <c r="BF740" i="5"/>
  <c r="BE740" i="5"/>
  <c r="BL740" i="5"/>
  <c r="BG740" i="5"/>
  <c r="BR737" i="5"/>
  <c r="BQ737" i="5"/>
  <c r="AO737" i="5"/>
  <c r="BN737" i="5"/>
  <c r="AH739" i="5"/>
  <c r="AK739" i="5"/>
  <c r="AP737" i="5"/>
  <c r="BO737" i="5"/>
  <c r="BV737" i="5"/>
  <c r="BS737" i="5"/>
  <c r="AA740" i="5"/>
  <c r="AG740" i="5"/>
  <c r="AB740" i="5"/>
  <c r="Y741" i="5"/>
  <c r="Z740" i="5"/>
  <c r="BP739" i="5" l="1"/>
  <c r="AM739" i="5"/>
  <c r="AL739" i="5"/>
  <c r="BR738" i="5"/>
  <c r="BQ738" i="5"/>
  <c r="BU737" i="5"/>
  <c r="Y742" i="5"/>
  <c r="AB741" i="5"/>
  <c r="Z741" i="5"/>
  <c r="AG741" i="5"/>
  <c r="AA741" i="5"/>
  <c r="AQ739" i="5"/>
  <c r="AN739" i="5"/>
  <c r="BM739" i="5"/>
  <c r="AJ739" i="5"/>
  <c r="AI739" i="5"/>
  <c r="AO738" i="5"/>
  <c r="BN738" i="5"/>
  <c r="BT737" i="5"/>
  <c r="AP738" i="5"/>
  <c r="BO738" i="5"/>
  <c r="AH740" i="5"/>
  <c r="AK740" i="5"/>
  <c r="BV738" i="5"/>
  <c r="BS738" i="5"/>
  <c r="BL741" i="5"/>
  <c r="BG741" i="5"/>
  <c r="BF741" i="5"/>
  <c r="BD742" i="5"/>
  <c r="BE741" i="5"/>
  <c r="AQ740" i="5" l="1"/>
  <c r="AN740" i="5"/>
  <c r="BM740" i="5"/>
  <c r="AJ740" i="5"/>
  <c r="AI740" i="5"/>
  <c r="BU738" i="5"/>
  <c r="AB742" i="5"/>
  <c r="AA742" i="5"/>
  <c r="Z742" i="5"/>
  <c r="Y743" i="5"/>
  <c r="AG742" i="5"/>
  <c r="BV739" i="5"/>
  <c r="BS739" i="5"/>
  <c r="BF742" i="5"/>
  <c r="BD743" i="5"/>
  <c r="BL742" i="5"/>
  <c r="BG742" i="5"/>
  <c r="BE742" i="5"/>
  <c r="AP739" i="5"/>
  <c r="BO739" i="5"/>
  <c r="BP740" i="5"/>
  <c r="AM740" i="5"/>
  <c r="AL740" i="5"/>
  <c r="BT738" i="5"/>
  <c r="AO739" i="5"/>
  <c r="BN739" i="5"/>
  <c r="AH741" i="5"/>
  <c r="AK741" i="5"/>
  <c r="BR739" i="5"/>
  <c r="BQ739" i="5"/>
  <c r="BT739" i="5" l="1"/>
  <c r="AO740" i="5"/>
  <c r="BN740" i="5"/>
  <c r="AP740" i="5"/>
  <c r="BO740" i="5"/>
  <c r="BS740" i="5"/>
  <c r="BV740" i="5"/>
  <c r="AK742" i="5"/>
  <c r="AH742" i="5"/>
  <c r="BR740" i="5"/>
  <c r="BQ740" i="5"/>
  <c r="BU739" i="5"/>
  <c r="BP741" i="5"/>
  <c r="AM741" i="5"/>
  <c r="AL741" i="5"/>
  <c r="AQ741" i="5"/>
  <c r="AN741" i="5"/>
  <c r="BM741" i="5"/>
  <c r="AJ741" i="5"/>
  <c r="AI741" i="5"/>
  <c r="BG743" i="5"/>
  <c r="BL743" i="5"/>
  <c r="BD744" i="5"/>
  <c r="BF743" i="5"/>
  <c r="BE743" i="5"/>
  <c r="AA743" i="5"/>
  <c r="AG743" i="5"/>
  <c r="AB743" i="5"/>
  <c r="Z743" i="5"/>
  <c r="Y744" i="5"/>
  <c r="BS741" i="5" l="1"/>
  <c r="BV741" i="5"/>
  <c r="AO741" i="5"/>
  <c r="BN741" i="5"/>
  <c r="AN742" i="5"/>
  <c r="AQ742" i="5"/>
  <c r="BM742" i="5"/>
  <c r="AJ742" i="5"/>
  <c r="AI742" i="5"/>
  <c r="AP741" i="5"/>
  <c r="BO741" i="5"/>
  <c r="BP742" i="5"/>
  <c r="AM742" i="5"/>
  <c r="AL742" i="5"/>
  <c r="BU740" i="5"/>
  <c r="Y745" i="5"/>
  <c r="AG744" i="5"/>
  <c r="Z744" i="5"/>
  <c r="AB744" i="5"/>
  <c r="AA744" i="5"/>
  <c r="BR741" i="5"/>
  <c r="BQ741" i="5"/>
  <c r="BT740" i="5"/>
  <c r="BL744" i="5"/>
  <c r="BF744" i="5"/>
  <c r="BE744" i="5"/>
  <c r="BD745" i="5"/>
  <c r="BG744" i="5"/>
  <c r="AH743" i="5"/>
  <c r="AK743" i="5"/>
  <c r="AO742" i="5" l="1"/>
  <c r="BN742" i="5"/>
  <c r="AK744" i="5"/>
  <c r="AH744" i="5"/>
  <c r="AP742" i="5"/>
  <c r="BO742" i="5"/>
  <c r="BV742" i="5"/>
  <c r="BS742" i="5"/>
  <c r="AG745" i="5"/>
  <c r="Z745" i="5"/>
  <c r="Y746" i="5"/>
  <c r="AB745" i="5"/>
  <c r="AA745" i="5"/>
  <c r="BT741" i="5"/>
  <c r="BF745" i="5"/>
  <c r="BE745" i="5"/>
  <c r="BL745" i="5"/>
  <c r="BG745" i="5"/>
  <c r="BD746" i="5"/>
  <c r="BR742" i="5"/>
  <c r="BQ742" i="5"/>
  <c r="BP743" i="5"/>
  <c r="AM743" i="5"/>
  <c r="AL743" i="5"/>
  <c r="AQ743" i="5"/>
  <c r="AN743" i="5"/>
  <c r="BM743" i="5"/>
  <c r="AJ743" i="5"/>
  <c r="AI743" i="5"/>
  <c r="BU741" i="5"/>
  <c r="AK745" i="5" l="1"/>
  <c r="AH745" i="5"/>
  <c r="BD747" i="5"/>
  <c r="BL746" i="5"/>
  <c r="BE746" i="5"/>
  <c r="BF746" i="5"/>
  <c r="BG746" i="5"/>
  <c r="BU742" i="5"/>
  <c r="AQ744" i="5"/>
  <c r="AN744" i="5"/>
  <c r="BM744" i="5"/>
  <c r="AJ744" i="5"/>
  <c r="AI744" i="5"/>
  <c r="BR743" i="5"/>
  <c r="BQ743" i="5"/>
  <c r="BP744" i="5"/>
  <c r="AM744" i="5"/>
  <c r="AL744" i="5"/>
  <c r="BT742" i="5"/>
  <c r="BS743" i="5"/>
  <c r="BV743" i="5"/>
  <c r="AO743" i="5"/>
  <c r="BN743" i="5"/>
  <c r="AP743" i="5"/>
  <c r="BO743" i="5"/>
  <c r="AG746" i="5"/>
  <c r="AB746" i="5"/>
  <c r="AA746" i="5"/>
  <c r="Z746" i="5"/>
  <c r="Y747" i="5"/>
  <c r="CB746" i="5" l="1"/>
  <c r="BV744" i="5"/>
  <c r="BS744" i="5"/>
  <c r="Y748" i="5"/>
  <c r="AG747" i="5"/>
  <c r="AA747" i="5"/>
  <c r="AV747" i="5"/>
  <c r="AB747" i="5"/>
  <c r="Z747" i="5"/>
  <c r="AW747" i="5"/>
  <c r="AV745" i="5"/>
  <c r="AW742" i="5"/>
  <c r="AS742" i="5" s="1"/>
  <c r="AW739" i="5"/>
  <c r="AS739" i="5" s="1"/>
  <c r="AW741" i="5"/>
  <c r="AS741" i="5" s="1"/>
  <c r="AV739" i="5"/>
  <c r="AR739" i="5" s="1"/>
  <c r="AV741" i="5"/>
  <c r="AR741" i="5" s="1"/>
  <c r="AV743" i="5"/>
  <c r="AR743" i="5" s="1"/>
  <c r="AO744" i="5"/>
  <c r="BN744" i="5"/>
  <c r="BT743" i="5"/>
  <c r="AP744" i="5"/>
  <c r="BO744" i="5"/>
  <c r="AK746" i="5"/>
  <c r="AH746" i="5"/>
  <c r="BL747" i="5"/>
  <c r="BE747" i="5"/>
  <c r="BD748" i="5"/>
  <c r="CA747" i="5"/>
  <c r="BG747" i="5"/>
  <c r="BF747" i="5"/>
  <c r="CB747" i="5" s="1"/>
  <c r="CA741" i="5"/>
  <c r="BW741" i="5" s="1"/>
  <c r="CA745" i="5"/>
  <c r="CB745" i="5"/>
  <c r="CB742" i="5"/>
  <c r="BX742" i="5" s="1"/>
  <c r="CA743" i="5"/>
  <c r="BW743" i="5" s="1"/>
  <c r="BM745" i="5"/>
  <c r="AQ745" i="5"/>
  <c r="AN745" i="5"/>
  <c r="AJ745" i="5"/>
  <c r="AI745" i="5"/>
  <c r="BU743" i="5"/>
  <c r="BR744" i="5"/>
  <c r="BQ744" i="5"/>
  <c r="BP745" i="5"/>
  <c r="AM745" i="5"/>
  <c r="AL745" i="5"/>
  <c r="BU744" i="5" l="1"/>
  <c r="AO745" i="5"/>
  <c r="AR745" i="5"/>
  <c r="BN745" i="5"/>
  <c r="BT744" i="5"/>
  <c r="BR745" i="5"/>
  <c r="BQ745" i="5"/>
  <c r="AP745" i="5"/>
  <c r="BO745" i="5"/>
  <c r="BF748" i="5"/>
  <c r="BE748" i="5"/>
  <c r="BL748" i="5"/>
  <c r="BG748" i="5"/>
  <c r="CB748" i="5"/>
  <c r="CA748" i="5"/>
  <c r="BR20" i="5"/>
  <c r="BU20" i="5" s="1"/>
  <c r="BQ20" i="5"/>
  <c r="BT20" i="5" s="1"/>
  <c r="CA21" i="5"/>
  <c r="BX21" i="5" s="1"/>
  <c r="BX18" i="5"/>
  <c r="BR19" i="5"/>
  <c r="BU19" i="5" s="1"/>
  <c r="BQ18" i="5"/>
  <c r="BT18" i="5" s="1"/>
  <c r="BX24" i="5"/>
  <c r="BQ19" i="5"/>
  <c r="BT19" i="5" s="1"/>
  <c r="BR22" i="5"/>
  <c r="BU22" i="5" s="1"/>
  <c r="CB19" i="5"/>
  <c r="BR18" i="5"/>
  <c r="BU18" i="5" s="1"/>
  <c r="CA20" i="5"/>
  <c r="BX20" i="5" s="1"/>
  <c r="CA23" i="5"/>
  <c r="BW23" i="5" s="1"/>
  <c r="CA18" i="5"/>
  <c r="BW18" i="5"/>
  <c r="CB20" i="5"/>
  <c r="BR23" i="5"/>
  <c r="BU23" i="5" s="1"/>
  <c r="BW21" i="5"/>
  <c r="BW20" i="5"/>
  <c r="BR24" i="5"/>
  <c r="BU24" i="5" s="1"/>
  <c r="CB18" i="5"/>
  <c r="CB23" i="5"/>
  <c r="CB22" i="5"/>
  <c r="CA22" i="5"/>
  <c r="BW22" i="5" s="1"/>
  <c r="CB21" i="5"/>
  <c r="BQ21" i="5"/>
  <c r="BT21" i="5" s="1"/>
  <c r="BR21" i="5"/>
  <c r="BU21" i="5" s="1"/>
  <c r="CA19" i="5"/>
  <c r="BX19" i="5" s="1"/>
  <c r="BX22" i="5"/>
  <c r="BQ24" i="5"/>
  <c r="BT24" i="5" s="1"/>
  <c r="CB27" i="5"/>
  <c r="BQ22" i="5"/>
  <c r="BT22" i="5" s="1"/>
  <c r="CB24" i="5"/>
  <c r="CB26" i="5"/>
  <c r="BR25" i="5"/>
  <c r="BU25" i="5" s="1"/>
  <c r="CA24" i="5"/>
  <c r="BW24" i="5" s="1"/>
  <c r="CA25" i="5"/>
  <c r="BX25" i="5" s="1"/>
  <c r="BQ23" i="5"/>
  <c r="BT23" i="5" s="1"/>
  <c r="BX28" i="5"/>
  <c r="BR27" i="5"/>
  <c r="BU27" i="5" s="1"/>
  <c r="BQ26" i="5"/>
  <c r="BT26" i="5" s="1"/>
  <c r="CA28" i="5"/>
  <c r="BW28" i="5" s="1"/>
  <c r="BR28" i="5"/>
  <c r="BU28" i="5" s="1"/>
  <c r="BQ25" i="5"/>
  <c r="BT25" i="5" s="1"/>
  <c r="BW25" i="5"/>
  <c r="BQ29" i="5"/>
  <c r="BT29" i="5" s="1"/>
  <c r="CB25" i="5"/>
  <c r="BR29" i="5"/>
  <c r="BU29" i="5" s="1"/>
  <c r="BQ28" i="5"/>
  <c r="BT28" i="5" s="1"/>
  <c r="BR26" i="5"/>
  <c r="BU26" i="5" s="1"/>
  <c r="BR30" i="5"/>
  <c r="BU30" i="5" s="1"/>
  <c r="CA27" i="5"/>
  <c r="BW27" i="5" s="1"/>
  <c r="CA26" i="5"/>
  <c r="BX26" i="5" s="1"/>
  <c r="CB28" i="5"/>
  <c r="BQ27" i="5"/>
  <c r="BT27" i="5" s="1"/>
  <c r="CA29" i="5"/>
  <c r="BX29" i="5" s="1"/>
  <c r="CA30" i="5"/>
  <c r="BX30" i="5" s="1"/>
  <c r="CB32" i="5"/>
  <c r="BQ32" i="5"/>
  <c r="BT32" i="5" s="1"/>
  <c r="CB31" i="5"/>
  <c r="CB33" i="5"/>
  <c r="BQ30" i="5"/>
  <c r="BT30" i="5" s="1"/>
  <c r="CB29" i="5"/>
  <c r="BR33" i="5"/>
  <c r="BU33" i="5" s="1"/>
  <c r="CB30" i="5"/>
  <c r="BR31" i="5"/>
  <c r="BU31" i="5" s="1"/>
  <c r="BQ31" i="5"/>
  <c r="BT31" i="5" s="1"/>
  <c r="BQ34" i="5"/>
  <c r="BT34" i="5" s="1"/>
  <c r="BR35" i="5"/>
  <c r="BU35" i="5" s="1"/>
  <c r="BX32" i="5"/>
  <c r="CA32" i="5"/>
  <c r="CA31" i="5"/>
  <c r="BW31" i="5" s="1"/>
  <c r="CA33" i="5"/>
  <c r="BX39" i="5"/>
  <c r="BW32" i="5"/>
  <c r="BX33" i="5"/>
  <c r="BX34" i="5"/>
  <c r="BR32" i="5"/>
  <c r="BU32" i="5" s="1"/>
  <c r="BR34" i="5"/>
  <c r="BU34" i="5" s="1"/>
  <c r="CB36" i="5"/>
  <c r="BQ33" i="5"/>
  <c r="BT33" i="5" s="1"/>
  <c r="CB37" i="5"/>
  <c r="BW33" i="5"/>
  <c r="CA34" i="5"/>
  <c r="BW34" i="5"/>
  <c r="CB34" i="5"/>
  <c r="BW42" i="5"/>
  <c r="CA35" i="5"/>
  <c r="BW35" i="5" s="1"/>
  <c r="BQ35" i="5"/>
  <c r="BT35" i="5" s="1"/>
  <c r="BX41" i="5"/>
  <c r="CB35" i="5"/>
  <c r="BR36" i="5"/>
  <c r="BU36" i="5" s="1"/>
  <c r="BX36" i="5"/>
  <c r="CA36" i="5"/>
  <c r="BW36" i="5" s="1"/>
  <c r="BQ36" i="5"/>
  <c r="BT36" i="5" s="1"/>
  <c r="CB39" i="5"/>
  <c r="CA38" i="5"/>
  <c r="BW38" i="5" s="1"/>
  <c r="BR39" i="5"/>
  <c r="BU39" i="5" s="1"/>
  <c r="CA40" i="5"/>
  <c r="BW40" i="5" s="1"/>
  <c r="CB38" i="5"/>
  <c r="BR41" i="5"/>
  <c r="BU41" i="5" s="1"/>
  <c r="BR37" i="5"/>
  <c r="BU37" i="5" s="1"/>
  <c r="CA37" i="5"/>
  <c r="BW37" i="5" s="1"/>
  <c r="BR38" i="5"/>
  <c r="BU38" i="5" s="1"/>
  <c r="BQ37" i="5"/>
  <c r="BT37" i="5" s="1"/>
  <c r="BR42" i="5"/>
  <c r="BU42" i="5" s="1"/>
  <c r="CA39" i="5"/>
  <c r="BW39" i="5" s="1"/>
  <c r="BX38" i="5"/>
  <c r="BX44" i="5"/>
  <c r="CB40" i="5"/>
  <c r="BR40" i="5"/>
  <c r="BU40" i="5" s="1"/>
  <c r="BX43" i="5"/>
  <c r="CB41" i="5"/>
  <c r="CB43" i="5"/>
  <c r="CB42" i="5"/>
  <c r="CB45" i="5"/>
  <c r="BX42" i="5"/>
  <c r="BR46" i="5"/>
  <c r="BU46" i="5" s="1"/>
  <c r="CB44" i="5"/>
  <c r="BX46" i="5"/>
  <c r="BX47" i="5"/>
  <c r="BR47" i="5"/>
  <c r="BU47" i="5" s="1"/>
  <c r="BR43" i="5"/>
  <c r="BU43" i="5" s="1"/>
  <c r="BR44" i="5"/>
  <c r="BU44" i="5" s="1"/>
  <c r="BX45" i="5"/>
  <c r="CB46" i="5"/>
  <c r="BR45" i="5"/>
  <c r="BU45" i="5" s="1"/>
  <c r="BW48" i="5"/>
  <c r="CA48" i="5"/>
  <c r="BX48" i="5" s="1"/>
  <c r="CB47" i="5"/>
  <c r="BQ48" i="5"/>
  <c r="BT48" i="5" s="1"/>
  <c r="CB48" i="5"/>
  <c r="BQ50" i="5"/>
  <c r="BT50" i="5" s="1"/>
  <c r="BX53" i="5"/>
  <c r="BR50" i="5"/>
  <c r="BU50" i="5" s="1"/>
  <c r="BR48" i="5"/>
  <c r="BU48" i="5" s="1"/>
  <c r="BW50" i="5"/>
  <c r="BX51" i="5"/>
  <c r="BR49" i="5"/>
  <c r="BU49" i="5" s="1"/>
  <c r="BQ53" i="5"/>
  <c r="BT53" i="5" s="1"/>
  <c r="BQ49" i="5"/>
  <c r="BT49" i="5" s="1"/>
  <c r="CB50" i="5"/>
  <c r="CA50" i="5"/>
  <c r="BX50" i="5" s="1"/>
  <c r="CA49" i="5"/>
  <c r="BX49" i="5" s="1"/>
  <c r="CB49" i="5"/>
  <c r="BW51" i="5"/>
  <c r="BR51" i="5"/>
  <c r="BU51" i="5" s="1"/>
  <c r="BW54" i="5"/>
  <c r="BQ52" i="5"/>
  <c r="BT52" i="5" s="1"/>
  <c r="BR55" i="5"/>
  <c r="BU55" i="5" s="1"/>
  <c r="CB52" i="5"/>
  <c r="CB51" i="5"/>
  <c r="CA51" i="5"/>
  <c r="CA52" i="5"/>
  <c r="BW52" i="5" s="1"/>
  <c r="BW53" i="5"/>
  <c r="BR52" i="5"/>
  <c r="BU52" i="5" s="1"/>
  <c r="CB54" i="5"/>
  <c r="BQ51" i="5"/>
  <c r="BT51" i="5" s="1"/>
  <c r="CB53" i="5"/>
  <c r="CB55" i="5"/>
  <c r="BR53" i="5"/>
  <c r="BU53" i="5" s="1"/>
  <c r="BQ55" i="5"/>
  <c r="BT55" i="5" s="1"/>
  <c r="CA54" i="5"/>
  <c r="CA53" i="5"/>
  <c r="BX56" i="5"/>
  <c r="BX54" i="5"/>
  <c r="BR54" i="5"/>
  <c r="BU54" i="5" s="1"/>
  <c r="CA55" i="5"/>
  <c r="BX55" i="5" s="1"/>
  <c r="CB56" i="5"/>
  <c r="BQ54" i="5"/>
  <c r="BT54" i="5" s="1"/>
  <c r="CB58" i="5"/>
  <c r="BR56" i="5"/>
  <c r="BU56" i="5" s="1"/>
  <c r="BQ57" i="5"/>
  <c r="BT57" i="5" s="1"/>
  <c r="BX60" i="5"/>
  <c r="BR58" i="5"/>
  <c r="BU58" i="5" s="1"/>
  <c r="BQ56" i="5"/>
  <c r="BT56" i="5" s="1"/>
  <c r="CA56" i="5"/>
  <c r="BW56" i="5" s="1"/>
  <c r="CA57" i="5"/>
  <c r="BW57" i="5" s="1"/>
  <c r="BR57" i="5"/>
  <c r="BU57" i="5" s="1"/>
  <c r="CB57" i="5"/>
  <c r="CA59" i="5"/>
  <c r="BX59" i="5" s="1"/>
  <c r="BQ58" i="5"/>
  <c r="BT58" i="5" s="1"/>
  <c r="BX61" i="5"/>
  <c r="BW62" i="5"/>
  <c r="BW59" i="5"/>
  <c r="BQ59" i="5"/>
  <c r="BT59" i="5" s="1"/>
  <c r="CA58" i="5"/>
  <c r="BW58" i="5" s="1"/>
  <c r="CB62" i="5"/>
  <c r="CB60" i="5"/>
  <c r="BR59" i="5"/>
  <c r="BU59" i="5" s="1"/>
  <c r="CB59" i="5"/>
  <c r="CA61" i="5"/>
  <c r="BQ60" i="5"/>
  <c r="BT60" i="5" s="1"/>
  <c r="CB63" i="5"/>
  <c r="BR60" i="5"/>
  <c r="BU60" i="5" s="1"/>
  <c r="CA60" i="5"/>
  <c r="BW60" i="5" s="1"/>
  <c r="BX62" i="5"/>
  <c r="CB61" i="5"/>
  <c r="BR61" i="5"/>
  <c r="BU61" i="5" s="1"/>
  <c r="BR62" i="5"/>
  <c r="BU62" i="5" s="1"/>
  <c r="CA62" i="5"/>
  <c r="BQ64" i="5"/>
  <c r="BT64" i="5" s="1"/>
  <c r="BW61" i="5"/>
  <c r="BW64" i="5"/>
  <c r="BQ61" i="5"/>
  <c r="BT61" i="5" s="1"/>
  <c r="BQ62" i="5"/>
  <c r="BT62" i="5" s="1"/>
  <c r="CB65" i="5"/>
  <c r="BR66" i="5"/>
  <c r="BU66" i="5" s="1"/>
  <c r="CA64" i="5"/>
  <c r="CB64" i="5"/>
  <c r="BR65" i="5"/>
  <c r="BU65" i="5" s="1"/>
  <c r="BR63" i="5"/>
  <c r="BU63" i="5" s="1"/>
  <c r="BQ66" i="5"/>
  <c r="BT66" i="5" s="1"/>
  <c r="BQ63" i="5"/>
  <c r="BT63" i="5" s="1"/>
  <c r="CA63" i="5"/>
  <c r="BX63" i="5" s="1"/>
  <c r="BX64" i="5"/>
  <c r="BQ68" i="5"/>
  <c r="BT68" i="5" s="1"/>
  <c r="BR64" i="5"/>
  <c r="BU64" i="5" s="1"/>
  <c r="CA65" i="5"/>
  <c r="BX65" i="5" s="1"/>
  <c r="BQ65" i="5"/>
  <c r="BT65" i="5" s="1"/>
  <c r="CA68" i="5"/>
  <c r="BW68" i="5" s="1"/>
  <c r="BW67" i="5"/>
  <c r="CB66" i="5"/>
  <c r="CB71" i="5"/>
  <c r="BQ67" i="5"/>
  <c r="BT67" i="5" s="1"/>
  <c r="CA66" i="5"/>
  <c r="BW66" i="5" s="1"/>
  <c r="CB68" i="5"/>
  <c r="CB67" i="5"/>
  <c r="CA67" i="5"/>
  <c r="BR67" i="5"/>
  <c r="BU67" i="5" s="1"/>
  <c r="BX67" i="5"/>
  <c r="CB69" i="5"/>
  <c r="BR72" i="5"/>
  <c r="BU72" i="5" s="1"/>
  <c r="CB72" i="5"/>
  <c r="BR68" i="5"/>
  <c r="BU68" i="5" s="1"/>
  <c r="BQ69" i="5"/>
  <c r="BT69" i="5" s="1"/>
  <c r="BX72" i="5"/>
  <c r="BR69" i="5"/>
  <c r="BU69" i="5" s="1"/>
  <c r="CA69" i="5"/>
  <c r="BX69" i="5" s="1"/>
  <c r="CA71" i="5"/>
  <c r="BX71" i="5" s="1"/>
  <c r="CA70" i="5"/>
  <c r="BW70" i="5" s="1"/>
  <c r="BX74" i="5"/>
  <c r="BR70" i="5"/>
  <c r="BU70" i="5" s="1"/>
  <c r="BX73" i="5"/>
  <c r="BR75" i="5"/>
  <c r="BU75" i="5" s="1"/>
  <c r="CB70" i="5"/>
  <c r="BX75" i="5"/>
  <c r="BR73" i="5"/>
  <c r="BU73" i="5" s="1"/>
  <c r="BX78" i="5"/>
  <c r="BR74" i="5"/>
  <c r="BU74" i="5" s="1"/>
  <c r="BR71" i="5"/>
  <c r="BU71" i="5" s="1"/>
  <c r="CB76" i="5"/>
  <c r="CB73" i="5"/>
  <c r="CB74" i="5"/>
  <c r="BX80" i="5"/>
  <c r="BX77" i="5"/>
  <c r="CB75" i="5"/>
  <c r="CA79" i="5"/>
  <c r="BW79" i="5" s="1"/>
  <c r="BX79" i="5"/>
  <c r="BR77" i="5"/>
  <c r="BU77" i="5" s="1"/>
  <c r="BR76" i="5"/>
  <c r="BU76" i="5" s="1"/>
  <c r="BX76" i="5"/>
  <c r="BQ79" i="5"/>
  <c r="BT79" i="5" s="1"/>
  <c r="CB79" i="5"/>
  <c r="BR79" i="5"/>
  <c r="BU79" i="5" s="1"/>
  <c r="BR82" i="5"/>
  <c r="BU82" i="5" s="1"/>
  <c r="BR81" i="5"/>
  <c r="BU81" i="5" s="1"/>
  <c r="CB77" i="5"/>
  <c r="BQ80" i="5"/>
  <c r="BT80" i="5" s="1"/>
  <c r="BR78" i="5"/>
  <c r="BU78" i="5" s="1"/>
  <c r="CB78" i="5"/>
  <c r="BX82" i="5"/>
  <c r="BQ82" i="5"/>
  <c r="BT82" i="5" s="1"/>
  <c r="BR80" i="5"/>
  <c r="BU80" i="5" s="1"/>
  <c r="BR86" i="5"/>
  <c r="BU86" i="5" s="1"/>
  <c r="CB80" i="5"/>
  <c r="CA80" i="5"/>
  <c r="BW80" i="5" s="1"/>
  <c r="CB81" i="5"/>
  <c r="BQ81" i="5"/>
  <c r="BT81" i="5" s="1"/>
  <c r="CA82" i="5"/>
  <c r="BW82" i="5" s="1"/>
  <c r="CB82" i="5"/>
  <c r="CA81" i="5"/>
  <c r="BX81" i="5" s="1"/>
  <c r="CA83" i="5"/>
  <c r="BW83" i="5" s="1"/>
  <c r="BQ83" i="5"/>
  <c r="BT83" i="5" s="1"/>
  <c r="BX86" i="5"/>
  <c r="CB85" i="5"/>
  <c r="CA85" i="5"/>
  <c r="BW85" i="5" s="1"/>
  <c r="CB83" i="5"/>
  <c r="BR83" i="5"/>
  <c r="BU83" i="5" s="1"/>
  <c r="CA84" i="5"/>
  <c r="BX84" i="5" s="1"/>
  <c r="BX85" i="5"/>
  <c r="BR84" i="5"/>
  <c r="BU84" i="5" s="1"/>
  <c r="BR85" i="5"/>
  <c r="BU85" i="5" s="1"/>
  <c r="BW84" i="5"/>
  <c r="BQ84" i="5"/>
  <c r="BT84" i="5" s="1"/>
  <c r="CB84" i="5"/>
  <c r="BR87" i="5"/>
  <c r="BU87" i="5" s="1"/>
  <c r="BR88" i="5"/>
  <c r="BU88" i="5" s="1"/>
  <c r="BR89" i="5"/>
  <c r="BU89" i="5" s="1"/>
  <c r="BQ85" i="5"/>
  <c r="BT85" i="5" s="1"/>
  <c r="BX88" i="5"/>
  <c r="BW88" i="5"/>
  <c r="BW89" i="5"/>
  <c r="CB86" i="5"/>
  <c r="BX89" i="5"/>
  <c r="CA87" i="5"/>
  <c r="BX87" i="5" s="1"/>
  <c r="CA86" i="5"/>
  <c r="CB88" i="5"/>
  <c r="CB87" i="5"/>
  <c r="BW86" i="5"/>
  <c r="BQ86" i="5"/>
  <c r="BT86" i="5" s="1"/>
  <c r="CB89" i="5"/>
  <c r="BQ88" i="5"/>
  <c r="BT88" i="5" s="1"/>
  <c r="BR91" i="5"/>
  <c r="BU91" i="5" s="1"/>
  <c r="BQ87" i="5"/>
  <c r="BT87" i="5" s="1"/>
  <c r="CA88" i="5"/>
  <c r="BR90" i="5"/>
  <c r="BU90" i="5" s="1"/>
  <c r="CA90" i="5"/>
  <c r="BX90" i="5" s="1"/>
  <c r="CB91" i="5"/>
  <c r="CB93" i="5"/>
  <c r="CA89" i="5"/>
  <c r="BR93" i="5"/>
  <c r="BU93" i="5" s="1"/>
  <c r="CB90" i="5"/>
  <c r="BW90" i="5"/>
  <c r="BQ93" i="5"/>
  <c r="BT93" i="5" s="1"/>
  <c r="BQ89" i="5"/>
  <c r="BT89" i="5" s="1"/>
  <c r="BQ90" i="5"/>
  <c r="BT90" i="5" s="1"/>
  <c r="BW95" i="5"/>
  <c r="BR92" i="5"/>
  <c r="BU92" i="5" s="1"/>
  <c r="CB92" i="5"/>
  <c r="CA92" i="5"/>
  <c r="BW92" i="5" s="1"/>
  <c r="BQ91" i="5"/>
  <c r="BT91" i="5" s="1"/>
  <c r="BQ92" i="5"/>
  <c r="BT92" i="5" s="1"/>
  <c r="CA91" i="5"/>
  <c r="BW91" i="5" s="1"/>
  <c r="BX95" i="5"/>
  <c r="CA93" i="5"/>
  <c r="BW93" i="5" s="1"/>
  <c r="CB94" i="5"/>
  <c r="BX96" i="5"/>
  <c r="CA94" i="5"/>
  <c r="BX94" i="5" s="1"/>
  <c r="BR95" i="5"/>
  <c r="BU95" i="5" s="1"/>
  <c r="BQ95" i="5"/>
  <c r="BT95" i="5" s="1"/>
  <c r="BQ96" i="5"/>
  <c r="BT96" i="5" s="1"/>
  <c r="BX100" i="5"/>
  <c r="BR94" i="5"/>
  <c r="BU94" i="5" s="1"/>
  <c r="CB95" i="5"/>
  <c r="BQ94" i="5"/>
  <c r="BT94" i="5" s="1"/>
  <c r="CA95" i="5"/>
  <c r="CB96" i="5"/>
  <c r="CB98" i="5"/>
  <c r="CB99" i="5"/>
  <c r="BR96" i="5"/>
  <c r="BU96" i="5" s="1"/>
  <c r="BW101" i="5"/>
  <c r="BX99" i="5"/>
  <c r="CA97" i="5"/>
  <c r="BX97" i="5" s="1"/>
  <c r="BW97" i="5"/>
  <c r="CA96" i="5"/>
  <c r="BW96" i="5" s="1"/>
  <c r="BW100" i="5"/>
  <c r="BR98" i="5"/>
  <c r="BU98" i="5" s="1"/>
  <c r="BR99" i="5"/>
  <c r="BU99" i="5" s="1"/>
  <c r="BQ97" i="5"/>
  <c r="BT97" i="5" s="1"/>
  <c r="CB97" i="5"/>
  <c r="BR97" i="5"/>
  <c r="BU97" i="5" s="1"/>
  <c r="BW98" i="5"/>
  <c r="CB102" i="5"/>
  <c r="BW102" i="5"/>
  <c r="BQ98" i="5"/>
  <c r="BT98" i="5" s="1"/>
  <c r="BQ100" i="5"/>
  <c r="BT100" i="5" s="1"/>
  <c r="BQ99" i="5"/>
  <c r="BT99" i="5" s="1"/>
  <c r="BW99" i="5"/>
  <c r="BX98" i="5"/>
  <c r="CA98" i="5"/>
  <c r="BX102" i="5"/>
  <c r="BR101" i="5"/>
  <c r="BU101" i="5" s="1"/>
  <c r="BW104" i="5"/>
  <c r="CB103" i="5"/>
  <c r="BR103" i="5"/>
  <c r="BU103" i="5" s="1"/>
  <c r="BR104" i="5"/>
  <c r="BU104" i="5" s="1"/>
  <c r="BR100" i="5"/>
  <c r="BU100" i="5" s="1"/>
  <c r="BX104" i="5"/>
  <c r="BX101" i="5"/>
  <c r="BX105" i="5"/>
  <c r="CB100" i="5"/>
  <c r="CB101" i="5"/>
  <c r="BX103" i="5"/>
  <c r="BR105" i="5"/>
  <c r="BU105" i="5" s="1"/>
  <c r="BR102" i="5"/>
  <c r="BU102" i="5" s="1"/>
  <c r="CB104" i="5"/>
  <c r="BR108" i="5"/>
  <c r="BU108" i="5" s="1"/>
  <c r="BX106" i="5"/>
  <c r="BX108" i="5"/>
  <c r="BX107" i="5"/>
  <c r="CB108" i="5"/>
  <c r="CB106" i="5"/>
  <c r="CB105" i="5"/>
  <c r="BX110" i="5"/>
  <c r="CB107" i="5"/>
  <c r="BR106" i="5"/>
  <c r="BU106" i="5" s="1"/>
  <c r="BR107" i="5"/>
  <c r="BU107" i="5" s="1"/>
  <c r="BW110" i="5"/>
  <c r="CB111" i="5"/>
  <c r="BR110" i="5"/>
  <c r="BU110" i="5" s="1"/>
  <c r="BW111" i="5"/>
  <c r="BQ109" i="5"/>
  <c r="BT109" i="5" s="1"/>
  <c r="BR109" i="5"/>
  <c r="BU109" i="5" s="1"/>
  <c r="BR112" i="5"/>
  <c r="BU112" i="5" s="1"/>
  <c r="CA109" i="5"/>
  <c r="BW109" i="5" s="1"/>
  <c r="CB109" i="5"/>
  <c r="BX109" i="5"/>
  <c r="BW113" i="5"/>
  <c r="CB113" i="5"/>
  <c r="BX111" i="5"/>
  <c r="BQ110" i="5"/>
  <c r="BT110" i="5" s="1"/>
  <c r="BR114" i="5"/>
  <c r="BU114" i="5" s="1"/>
  <c r="CA110" i="5"/>
  <c r="CB110" i="5"/>
  <c r="BR111" i="5"/>
  <c r="BU111" i="5" s="1"/>
  <c r="CA112" i="5"/>
  <c r="BX112" i="5" s="1"/>
  <c r="BQ111" i="5"/>
  <c r="BT111" i="5" s="1"/>
  <c r="CA111" i="5"/>
  <c r="BR113" i="5"/>
  <c r="BU113" i="5" s="1"/>
  <c r="BQ112" i="5"/>
  <c r="BT112" i="5" s="1"/>
  <c r="CA113" i="5"/>
  <c r="CB112" i="5"/>
  <c r="BX113" i="5"/>
  <c r="CB114" i="5"/>
  <c r="BQ113" i="5"/>
  <c r="BT113" i="5" s="1"/>
  <c r="BW118" i="5"/>
  <c r="CB115" i="5"/>
  <c r="BW114" i="5"/>
  <c r="BQ114" i="5"/>
  <c r="BT114" i="5" s="1"/>
  <c r="CA114" i="5"/>
  <c r="BX114" i="5" s="1"/>
  <c r="BQ115" i="5"/>
  <c r="BT115" i="5" s="1"/>
  <c r="BR115" i="5"/>
  <c r="BU115" i="5" s="1"/>
  <c r="BW119" i="5"/>
  <c r="CA115" i="5"/>
  <c r="BX115" i="5" s="1"/>
  <c r="CA116" i="5"/>
  <c r="BW116" i="5" s="1"/>
  <c r="CA117" i="5"/>
  <c r="BX117" i="5" s="1"/>
  <c r="BX116" i="5"/>
  <c r="BX118" i="5"/>
  <c r="BQ116" i="5"/>
  <c r="BT116" i="5" s="1"/>
  <c r="CB119" i="5"/>
  <c r="BR116" i="5"/>
  <c r="BU116" i="5" s="1"/>
  <c r="CB116" i="5"/>
  <c r="CB117" i="5"/>
  <c r="BQ117" i="5"/>
  <c r="BT117" i="5" s="1"/>
  <c r="BR117" i="5"/>
  <c r="BU117" i="5" s="1"/>
  <c r="BQ118" i="5"/>
  <c r="BT118" i="5" s="1"/>
  <c r="BR118" i="5"/>
  <c r="BU118" i="5" s="1"/>
  <c r="CB121" i="5"/>
  <c r="BX119" i="5"/>
  <c r="CA118" i="5"/>
  <c r="CB118" i="5"/>
  <c r="CB123" i="5"/>
  <c r="CA119" i="5"/>
  <c r="BQ119" i="5"/>
  <c r="BT119" i="5" s="1"/>
  <c r="BR119" i="5"/>
  <c r="BU119" i="5" s="1"/>
  <c r="BR120" i="5"/>
  <c r="BU120" i="5" s="1"/>
  <c r="BX121" i="5"/>
  <c r="BQ120" i="5"/>
  <c r="BT120" i="5" s="1"/>
  <c r="CB120" i="5"/>
  <c r="CA120" i="5"/>
  <c r="BX120" i="5" s="1"/>
  <c r="BR121" i="5"/>
  <c r="BU121" i="5" s="1"/>
  <c r="CA121" i="5"/>
  <c r="BW121" i="5" s="1"/>
  <c r="BQ121" i="5"/>
  <c r="BT121" i="5" s="1"/>
  <c r="CA122" i="5"/>
  <c r="BX122" i="5" s="1"/>
  <c r="BR126" i="5"/>
  <c r="BU126" i="5" s="1"/>
  <c r="CB122" i="5"/>
  <c r="BR122" i="5"/>
  <c r="BU122" i="5" s="1"/>
  <c r="BR123" i="5"/>
  <c r="BU123" i="5" s="1"/>
  <c r="BQ122" i="5"/>
  <c r="BT122" i="5" s="1"/>
  <c r="CA123" i="5"/>
  <c r="BW123" i="5" s="1"/>
  <c r="BQ123" i="5"/>
  <c r="BT123" i="5" s="1"/>
  <c r="BR124" i="5"/>
  <c r="BU124" i="5" s="1"/>
  <c r="BQ124" i="5"/>
  <c r="BT124" i="5" s="1"/>
  <c r="BQ125" i="5"/>
  <c r="BT125" i="5" s="1"/>
  <c r="CA124" i="5"/>
  <c r="BW124" i="5" s="1"/>
  <c r="CB124" i="5"/>
  <c r="CB125" i="5"/>
  <c r="CA125" i="5"/>
  <c r="BX125" i="5" s="1"/>
  <c r="CB126" i="5"/>
  <c r="BR125" i="5"/>
  <c r="BU125" i="5" s="1"/>
  <c r="CB129" i="5"/>
  <c r="BW125" i="5"/>
  <c r="CA127" i="5"/>
  <c r="BX127" i="5" s="1"/>
  <c r="CA126" i="5"/>
  <c r="BX126" i="5" s="1"/>
  <c r="BW126" i="5"/>
  <c r="BQ126" i="5"/>
  <c r="BT126" i="5" s="1"/>
  <c r="CB127" i="5"/>
  <c r="BR127" i="5"/>
  <c r="BU127" i="5" s="1"/>
  <c r="BQ127" i="5"/>
  <c r="BT127" i="5" s="1"/>
  <c r="CA128" i="5"/>
  <c r="BX128" i="5"/>
  <c r="BR132" i="5"/>
  <c r="BU132" i="5" s="1"/>
  <c r="CB131" i="5"/>
  <c r="BR129" i="5"/>
  <c r="BU129" i="5" s="1"/>
  <c r="CB128" i="5"/>
  <c r="BX130" i="5"/>
  <c r="BW128" i="5"/>
  <c r="BR128" i="5"/>
  <c r="BU128" i="5" s="1"/>
  <c r="BQ128" i="5"/>
  <c r="BT128" i="5" s="1"/>
  <c r="BQ129" i="5"/>
  <c r="BT129" i="5" s="1"/>
  <c r="BQ130" i="5"/>
  <c r="BT130" i="5" s="1"/>
  <c r="CA130" i="5"/>
  <c r="BW130" i="5" s="1"/>
  <c r="CA129" i="5"/>
  <c r="BX129" i="5" s="1"/>
  <c r="CB133" i="5"/>
  <c r="BX131" i="5"/>
  <c r="BR130" i="5"/>
  <c r="BU130" i="5" s="1"/>
  <c r="BR131" i="5"/>
  <c r="BU131" i="5" s="1"/>
  <c r="CB132" i="5"/>
  <c r="CB130" i="5"/>
  <c r="BR134" i="5"/>
  <c r="BU134" i="5" s="1"/>
  <c r="BX132" i="5"/>
  <c r="BX133" i="5"/>
  <c r="BX135" i="5"/>
  <c r="BX134" i="5"/>
  <c r="CB135" i="5"/>
  <c r="BR133" i="5"/>
  <c r="BU133" i="5" s="1"/>
  <c r="CB134" i="5"/>
  <c r="BR135" i="5"/>
  <c r="BU135" i="5" s="1"/>
  <c r="BX137" i="5"/>
  <c r="CB137" i="5"/>
  <c r="BX138" i="5"/>
  <c r="BR136" i="5"/>
  <c r="BU136" i="5" s="1"/>
  <c r="BX136" i="5"/>
  <c r="CB138" i="5"/>
  <c r="BR139" i="5"/>
  <c r="BU139" i="5" s="1"/>
  <c r="BR137" i="5"/>
  <c r="BU137" i="5" s="1"/>
  <c r="BW140" i="5"/>
  <c r="BX140" i="5"/>
  <c r="CB136" i="5"/>
  <c r="BX141" i="5"/>
  <c r="CB141" i="5"/>
  <c r="BQ140" i="5"/>
  <c r="BT140" i="5" s="1"/>
  <c r="BW142" i="5"/>
  <c r="CB139" i="5"/>
  <c r="BX139" i="5"/>
  <c r="BR138" i="5"/>
  <c r="BU138" i="5" s="1"/>
  <c r="CA141" i="5"/>
  <c r="BW141" i="5" s="1"/>
  <c r="BR141" i="5"/>
  <c r="BU141" i="5" s="1"/>
  <c r="CB144" i="5"/>
  <c r="BQ141" i="5"/>
  <c r="BT141" i="5" s="1"/>
  <c r="BR140" i="5"/>
  <c r="BU140" i="5" s="1"/>
  <c r="CB140" i="5"/>
  <c r="CA140" i="5"/>
  <c r="BQ142" i="5"/>
  <c r="BT142" i="5" s="1"/>
  <c r="CA142" i="5"/>
  <c r="BX142" i="5" s="1"/>
  <c r="BR143" i="5"/>
  <c r="BU143" i="5" s="1"/>
  <c r="CA147" i="5"/>
  <c r="BX147" i="5" s="1"/>
  <c r="BW144" i="5"/>
  <c r="BR145" i="5"/>
  <c r="BU145" i="5" s="1"/>
  <c r="BR144" i="5"/>
  <c r="BU144" i="5" s="1"/>
  <c r="CA143" i="5"/>
  <c r="BW143" i="5" s="1"/>
  <c r="BQ143" i="5"/>
  <c r="BT143" i="5" s="1"/>
  <c r="BR142" i="5"/>
  <c r="BU142" i="5" s="1"/>
  <c r="CB142" i="5"/>
  <c r="CB143" i="5"/>
  <c r="BR146" i="5"/>
  <c r="BU146" i="5" s="1"/>
  <c r="BQ145" i="5"/>
  <c r="BT145" i="5" s="1"/>
  <c r="BX144" i="5"/>
  <c r="BQ148" i="5"/>
  <c r="BT148" i="5" s="1"/>
  <c r="CA145" i="5"/>
  <c r="BX145" i="5" s="1"/>
  <c r="BW148" i="5"/>
  <c r="BQ146" i="5"/>
  <c r="BT146" i="5" s="1"/>
  <c r="CA148" i="5"/>
  <c r="CA144" i="5"/>
  <c r="BQ144" i="5"/>
  <c r="BT144" i="5" s="1"/>
  <c r="BR148" i="5"/>
  <c r="BU148" i="5" s="1"/>
  <c r="BR147" i="5"/>
  <c r="BU147" i="5" s="1"/>
  <c r="CB146" i="5"/>
  <c r="CA146" i="5"/>
  <c r="BX146" i="5" s="1"/>
  <c r="BW152" i="5"/>
  <c r="CB148" i="5"/>
  <c r="CB145" i="5"/>
  <c r="BW145" i="5"/>
  <c r="BQ147" i="5"/>
  <c r="BT147" i="5" s="1"/>
  <c r="BR149" i="5"/>
  <c r="BU149" i="5" s="1"/>
  <c r="BW151" i="5"/>
  <c r="BX152" i="5"/>
  <c r="BQ149" i="5"/>
  <c r="BT149" i="5" s="1"/>
  <c r="BX151" i="5"/>
  <c r="CA149" i="5"/>
  <c r="BW149" i="5" s="1"/>
  <c r="BX148" i="5"/>
  <c r="CA151" i="5"/>
  <c r="CB151" i="5"/>
  <c r="CB147" i="5"/>
  <c r="BQ150" i="5"/>
  <c r="BT150" i="5" s="1"/>
  <c r="BR152" i="5"/>
  <c r="BU152" i="5" s="1"/>
  <c r="BR150" i="5"/>
  <c r="BU150" i="5" s="1"/>
  <c r="BW154" i="5"/>
  <c r="CB150" i="5"/>
  <c r="CA150" i="5"/>
  <c r="BX150" i="5" s="1"/>
  <c r="CB149" i="5"/>
  <c r="BQ151" i="5"/>
  <c r="BT151" i="5" s="1"/>
  <c r="CA152" i="5"/>
  <c r="BR151" i="5"/>
  <c r="BU151" i="5" s="1"/>
  <c r="BQ153" i="5"/>
  <c r="BT153" i="5" s="1"/>
  <c r="BR153" i="5"/>
  <c r="BU153" i="5" s="1"/>
  <c r="CB152" i="5"/>
  <c r="BQ152" i="5"/>
  <c r="BT152" i="5" s="1"/>
  <c r="CA153" i="5"/>
  <c r="BX153" i="5" s="1"/>
  <c r="CB157" i="5"/>
  <c r="CA154" i="5"/>
  <c r="BX154" i="5" s="1"/>
  <c r="CB153" i="5"/>
  <c r="CB154" i="5"/>
  <c r="BX158" i="5"/>
  <c r="BR154" i="5"/>
  <c r="BU154" i="5" s="1"/>
  <c r="CA155" i="5"/>
  <c r="BW155" i="5" s="1"/>
  <c r="BQ154" i="5"/>
  <c r="BT154" i="5" s="1"/>
  <c r="CB155" i="5"/>
  <c r="BR155" i="5"/>
  <c r="BU155" i="5" s="1"/>
  <c r="BX156" i="5"/>
  <c r="BQ155" i="5"/>
  <c r="BT155" i="5" s="1"/>
  <c r="BR160" i="5"/>
  <c r="BU160" i="5" s="1"/>
  <c r="BR156" i="5"/>
  <c r="BU156" i="5" s="1"/>
  <c r="BQ156" i="5"/>
  <c r="BT156" i="5" s="1"/>
  <c r="CA156" i="5"/>
  <c r="BW156" i="5" s="1"/>
  <c r="CB156" i="5"/>
  <c r="BR158" i="5"/>
  <c r="BU158" i="5" s="1"/>
  <c r="BW161" i="5"/>
  <c r="BR157" i="5"/>
  <c r="BU157" i="5" s="1"/>
  <c r="CA157" i="5"/>
  <c r="BX157" i="5" s="1"/>
  <c r="BQ157" i="5"/>
  <c r="BT157" i="5" s="1"/>
  <c r="CA158" i="5"/>
  <c r="BX159" i="5"/>
  <c r="BW157" i="5"/>
  <c r="BQ158" i="5"/>
  <c r="BT158" i="5" s="1"/>
  <c r="BR162" i="5"/>
  <c r="BU162" i="5" s="1"/>
  <c r="CB158" i="5"/>
  <c r="BW158" i="5"/>
  <c r="CB159" i="5"/>
  <c r="BQ159" i="5"/>
  <c r="BT159" i="5" s="1"/>
  <c r="BR159" i="5"/>
  <c r="BU159" i="5" s="1"/>
  <c r="CA159" i="5"/>
  <c r="BW159" i="5" s="1"/>
  <c r="CB160" i="5"/>
  <c r="BX163" i="5"/>
  <c r="BX165" i="5"/>
  <c r="CA160" i="5"/>
  <c r="BW160" i="5" s="1"/>
  <c r="BX162" i="5"/>
  <c r="BQ160" i="5"/>
  <c r="BT160" i="5" s="1"/>
  <c r="CB161" i="5"/>
  <c r="BR161" i="5"/>
  <c r="BU161" i="5" s="1"/>
  <c r="CB164" i="5"/>
  <c r="CA161" i="5"/>
  <c r="BX161" i="5" s="1"/>
  <c r="BW163" i="5"/>
  <c r="CB162" i="5"/>
  <c r="BR164" i="5"/>
  <c r="BU164" i="5" s="1"/>
  <c r="CB163" i="5"/>
  <c r="BX164" i="5"/>
  <c r="BR166" i="5"/>
  <c r="BU166" i="5" s="1"/>
  <c r="BR169" i="5"/>
  <c r="BU169" i="5" s="1"/>
  <c r="BX167" i="5"/>
  <c r="BR165" i="5"/>
  <c r="BU165" i="5" s="1"/>
  <c r="BR163" i="5"/>
  <c r="BU163" i="5" s="1"/>
  <c r="BR167" i="5"/>
  <c r="BU167" i="5" s="1"/>
  <c r="CB165" i="5"/>
  <c r="CB166" i="5"/>
  <c r="BX166" i="5"/>
  <c r="BX170" i="5"/>
  <c r="CB167" i="5"/>
  <c r="BX169" i="5"/>
  <c r="CB170" i="5"/>
  <c r="BR168" i="5"/>
  <c r="BU168" i="5" s="1"/>
  <c r="CB169" i="5"/>
  <c r="CB168" i="5"/>
  <c r="BX168" i="5"/>
  <c r="BR172" i="5"/>
  <c r="BU172" i="5" s="1"/>
  <c r="CB171" i="5"/>
  <c r="BR170" i="5"/>
  <c r="BU170" i="5" s="1"/>
  <c r="BR171" i="5"/>
  <c r="BU171" i="5" s="1"/>
  <c r="CA171" i="5"/>
  <c r="BW171" i="5" s="1"/>
  <c r="BQ171" i="5"/>
  <c r="BT171" i="5" s="1"/>
  <c r="CB172" i="5"/>
  <c r="CA172" i="5"/>
  <c r="BW172" i="5" s="1"/>
  <c r="BQ173" i="5"/>
  <c r="BT173" i="5" s="1"/>
  <c r="BQ172" i="5"/>
  <c r="BT172" i="5" s="1"/>
  <c r="BR174" i="5"/>
  <c r="BU174" i="5" s="1"/>
  <c r="BW178" i="5"/>
  <c r="BR173" i="5"/>
  <c r="BU173" i="5" s="1"/>
  <c r="BQ174" i="5"/>
  <c r="BT174" i="5" s="1"/>
  <c r="CA173" i="5"/>
  <c r="BW173" i="5" s="1"/>
  <c r="CB173" i="5"/>
  <c r="CB177" i="5"/>
  <c r="BR176" i="5"/>
  <c r="BU176" i="5" s="1"/>
  <c r="BQ175" i="5"/>
  <c r="BT175" i="5" s="1"/>
  <c r="CA174" i="5"/>
  <c r="BX174" i="5" s="1"/>
  <c r="CB174" i="5"/>
  <c r="BW176" i="5"/>
  <c r="CB176" i="5"/>
  <c r="BX175" i="5"/>
  <c r="CA175" i="5"/>
  <c r="BW175" i="5" s="1"/>
  <c r="CB175" i="5"/>
  <c r="BR175" i="5"/>
  <c r="BU175" i="5" s="1"/>
  <c r="BQ176" i="5"/>
  <c r="BT176" i="5" s="1"/>
  <c r="CB179" i="5"/>
  <c r="CA176" i="5"/>
  <c r="BX176" i="5" s="1"/>
  <c r="BQ177" i="5"/>
  <c r="BT177" i="5" s="1"/>
  <c r="CA180" i="5"/>
  <c r="BX180" i="5" s="1"/>
  <c r="CA177" i="5"/>
  <c r="BW177" i="5" s="1"/>
  <c r="BW181" i="5"/>
  <c r="CA178" i="5"/>
  <c r="BQ178" i="5"/>
  <c r="BT178" i="5" s="1"/>
  <c r="BR177" i="5"/>
  <c r="BU177" i="5" s="1"/>
  <c r="CB180" i="5"/>
  <c r="BR179" i="5"/>
  <c r="BU179" i="5" s="1"/>
  <c r="BX178" i="5"/>
  <c r="BX181" i="5"/>
  <c r="CB178" i="5"/>
  <c r="BR178" i="5"/>
  <c r="BU178" i="5" s="1"/>
  <c r="CA179" i="5"/>
  <c r="BX179" i="5" s="1"/>
  <c r="BQ179" i="5"/>
  <c r="BT179" i="5" s="1"/>
  <c r="BQ180" i="5"/>
  <c r="BT180" i="5" s="1"/>
  <c r="CB181" i="5"/>
  <c r="CA181" i="5"/>
  <c r="CB183" i="5"/>
  <c r="BR180" i="5"/>
  <c r="BU180" i="5" s="1"/>
  <c r="BR181" i="5"/>
  <c r="BU181" i="5" s="1"/>
  <c r="BX184" i="5"/>
  <c r="BR182" i="5"/>
  <c r="BU182" i="5" s="1"/>
  <c r="BW182" i="5"/>
  <c r="CB182" i="5"/>
  <c r="BR185" i="5"/>
  <c r="BU185" i="5" s="1"/>
  <c r="BQ182" i="5"/>
  <c r="BT182" i="5" s="1"/>
  <c r="CA182" i="5"/>
  <c r="BX182" i="5" s="1"/>
  <c r="BQ181" i="5"/>
  <c r="BT181" i="5" s="1"/>
  <c r="CA185" i="5"/>
  <c r="BW185" i="5" s="1"/>
  <c r="BR183" i="5"/>
  <c r="BU183" i="5" s="1"/>
  <c r="CA183" i="5"/>
  <c r="BW183" i="5" s="1"/>
  <c r="BW186" i="5"/>
  <c r="BQ185" i="5"/>
  <c r="BT185" i="5" s="1"/>
  <c r="CA184" i="5"/>
  <c r="BW184" i="5" s="1"/>
  <c r="BQ183" i="5"/>
  <c r="BT183" i="5" s="1"/>
  <c r="CB186" i="5"/>
  <c r="CB188" i="5"/>
  <c r="BQ184" i="5"/>
  <c r="BT184" i="5" s="1"/>
  <c r="CB184" i="5"/>
  <c r="CB185" i="5"/>
  <c r="BW189" i="5"/>
  <c r="BR184" i="5"/>
  <c r="BU184" i="5" s="1"/>
  <c r="BR186" i="5"/>
  <c r="BU186" i="5" s="1"/>
  <c r="BQ186" i="5"/>
  <c r="BT186" i="5" s="1"/>
  <c r="CA186" i="5"/>
  <c r="BX186" i="5" s="1"/>
  <c r="BR187" i="5"/>
  <c r="BU187" i="5" s="1"/>
  <c r="CB187" i="5"/>
  <c r="BQ189" i="5"/>
  <c r="BT189" i="5" s="1"/>
  <c r="CA187" i="5"/>
  <c r="BX187" i="5" s="1"/>
  <c r="BR188" i="5"/>
  <c r="BU188" i="5" s="1"/>
  <c r="BR191" i="5"/>
  <c r="BU191" i="5" s="1"/>
  <c r="BQ187" i="5"/>
  <c r="BT187" i="5" s="1"/>
  <c r="CA189" i="5"/>
  <c r="BX189" i="5" s="1"/>
  <c r="CB189" i="5"/>
  <c r="BR189" i="5"/>
  <c r="BU189" i="5" s="1"/>
  <c r="CA188" i="5"/>
  <c r="BX188" i="5" s="1"/>
  <c r="BQ188" i="5"/>
  <c r="BT188" i="5" s="1"/>
  <c r="CB190" i="5"/>
  <c r="BQ190" i="5"/>
  <c r="BT190" i="5" s="1"/>
  <c r="BR190" i="5"/>
  <c r="BU190" i="5" s="1"/>
  <c r="CA190" i="5"/>
  <c r="BX190" i="5" s="1"/>
  <c r="BQ191" i="5"/>
  <c r="BT191" i="5" s="1"/>
  <c r="BQ192" i="5"/>
  <c r="BT192" i="5" s="1"/>
  <c r="BX194" i="5"/>
  <c r="BX193" i="5"/>
  <c r="CA192" i="5"/>
  <c r="BX192" i="5" s="1"/>
  <c r="BW194" i="5"/>
  <c r="BR193" i="5"/>
  <c r="BU193" i="5" s="1"/>
  <c r="CB194" i="5"/>
  <c r="CA194" i="5"/>
  <c r="BR195" i="5"/>
  <c r="BU195" i="5" s="1"/>
  <c r="BW191" i="5"/>
  <c r="CB193" i="5"/>
  <c r="BR194" i="5"/>
  <c r="BU194" i="5" s="1"/>
  <c r="CA195" i="5"/>
  <c r="BX195" i="5" s="1"/>
  <c r="CB192" i="5"/>
  <c r="CA193" i="5"/>
  <c r="BW193" i="5" s="1"/>
  <c r="CB195" i="5"/>
  <c r="BR192" i="5"/>
  <c r="BU192" i="5" s="1"/>
  <c r="BX191" i="5"/>
  <c r="BX196" i="5"/>
  <c r="CB191" i="5"/>
  <c r="CB197" i="5"/>
  <c r="BR197" i="5"/>
  <c r="BU197" i="5" s="1"/>
  <c r="BR196" i="5"/>
  <c r="BU196" i="5" s="1"/>
  <c r="CB198" i="5"/>
  <c r="CB196" i="5"/>
  <c r="BX197" i="5"/>
  <c r="BX198" i="5"/>
  <c r="BX199" i="5"/>
  <c r="BX201" i="5"/>
  <c r="CB200" i="5"/>
  <c r="BR200" i="5"/>
  <c r="BU200" i="5" s="1"/>
  <c r="CB199" i="5"/>
  <c r="BR199" i="5"/>
  <c r="BU199" i="5" s="1"/>
  <c r="BR198" i="5"/>
  <c r="BU198" i="5" s="1"/>
  <c r="CB201" i="5"/>
  <c r="BQ201" i="5"/>
  <c r="BT201" i="5" s="1"/>
  <c r="BR201" i="5"/>
  <c r="BU201" i="5" s="1"/>
  <c r="BX200" i="5"/>
  <c r="BR204" i="5"/>
  <c r="BU204" i="5" s="1"/>
  <c r="CA201" i="5"/>
  <c r="BW201" i="5" s="1"/>
  <c r="CB204" i="5"/>
  <c r="BX203" i="5"/>
  <c r="CA202" i="5"/>
  <c r="BW202" i="5" s="1"/>
  <c r="CB202" i="5"/>
  <c r="BX206" i="5"/>
  <c r="BR202" i="5"/>
  <c r="BU202" i="5" s="1"/>
  <c r="CB203" i="5"/>
  <c r="BQ202" i="5"/>
  <c r="BT202" i="5" s="1"/>
  <c r="BR205" i="5"/>
  <c r="BU205" i="5" s="1"/>
  <c r="BR203" i="5"/>
  <c r="BU203" i="5" s="1"/>
  <c r="CA203" i="5"/>
  <c r="BX210" i="5"/>
  <c r="CB206" i="5"/>
  <c r="BW203" i="5"/>
  <c r="BW207" i="5"/>
  <c r="BQ203" i="5"/>
  <c r="BT203" i="5" s="1"/>
  <c r="BX207" i="5"/>
  <c r="CA204" i="5"/>
  <c r="BX204" i="5" s="1"/>
  <c r="BQ204" i="5"/>
  <c r="BT204" i="5" s="1"/>
  <c r="CB205" i="5"/>
  <c r="BR206" i="5"/>
  <c r="BU206" i="5" s="1"/>
  <c r="BQ206" i="5"/>
  <c r="BT206" i="5" s="1"/>
  <c r="BW210" i="5"/>
  <c r="CA205" i="5"/>
  <c r="BX205" i="5" s="1"/>
  <c r="BQ205" i="5"/>
  <c r="BT205" i="5" s="1"/>
  <c r="BQ210" i="5"/>
  <c r="BT210" i="5" s="1"/>
  <c r="CA206" i="5"/>
  <c r="BW206" i="5" s="1"/>
  <c r="BR209" i="5"/>
  <c r="BU209" i="5" s="1"/>
  <c r="BQ207" i="5"/>
  <c r="BT207" i="5" s="1"/>
  <c r="CA207" i="5"/>
  <c r="CB209" i="5"/>
  <c r="BQ208" i="5"/>
  <c r="BT208" i="5" s="1"/>
  <c r="CB207" i="5"/>
  <c r="BX211" i="5"/>
  <c r="CA208" i="5"/>
  <c r="BX208" i="5" s="1"/>
  <c r="CB208" i="5"/>
  <c r="BR208" i="5"/>
  <c r="BU208" i="5" s="1"/>
  <c r="BR207" i="5"/>
  <c r="BU207" i="5" s="1"/>
  <c r="CA210" i="5"/>
  <c r="BR210" i="5"/>
  <c r="BU210" i="5" s="1"/>
  <c r="CA213" i="5"/>
  <c r="BW213" i="5" s="1"/>
  <c r="BX209" i="5"/>
  <c r="BQ211" i="5"/>
  <c r="BT211" i="5" s="1"/>
  <c r="BR213" i="5"/>
  <c r="BU213" i="5" s="1"/>
  <c r="CA209" i="5"/>
  <c r="BW209" i="5" s="1"/>
  <c r="BQ209" i="5"/>
  <c r="BT209" i="5" s="1"/>
  <c r="CB210" i="5"/>
  <c r="CA212" i="5"/>
  <c r="BX212" i="5" s="1"/>
  <c r="CB212" i="5"/>
  <c r="CB215" i="5"/>
  <c r="BR211" i="5"/>
  <c r="BU211" i="5" s="1"/>
  <c r="BR212" i="5"/>
  <c r="BU212" i="5" s="1"/>
  <c r="CA211" i="5"/>
  <c r="BW211" i="5" s="1"/>
  <c r="BQ212" i="5"/>
  <c r="BT212" i="5" s="1"/>
  <c r="CB211" i="5"/>
  <c r="CB217" i="5"/>
  <c r="CB213" i="5"/>
  <c r="CA214" i="5"/>
  <c r="BX214" i="5" s="1"/>
  <c r="CB216" i="5"/>
  <c r="BQ214" i="5"/>
  <c r="BT214" i="5" s="1"/>
  <c r="BQ213" i="5"/>
  <c r="BT213" i="5" s="1"/>
  <c r="BQ215" i="5"/>
  <c r="BT215" i="5" s="1"/>
  <c r="BR215" i="5"/>
  <c r="BU215" i="5" s="1"/>
  <c r="BR214" i="5"/>
  <c r="BU214" i="5" s="1"/>
  <c r="BQ216" i="5"/>
  <c r="BT216" i="5" s="1"/>
  <c r="CB214" i="5"/>
  <c r="CA215" i="5"/>
  <c r="BW215" i="5" s="1"/>
  <c r="CA216" i="5"/>
  <c r="BW216" i="5" s="1"/>
  <c r="BR216" i="5"/>
  <c r="BU216" i="5" s="1"/>
  <c r="CA217" i="5"/>
  <c r="BX224" i="5"/>
  <c r="CA218" i="5"/>
  <c r="BX218" i="5" s="1"/>
  <c r="BQ218" i="5"/>
  <c r="BT218" i="5" s="1"/>
  <c r="BQ217" i="5"/>
  <c r="BT217" i="5" s="1"/>
  <c r="BW217" i="5"/>
  <c r="BR217" i="5"/>
  <c r="BU217" i="5" s="1"/>
  <c r="BX217" i="5"/>
  <c r="CB218" i="5"/>
  <c r="BX225" i="5"/>
  <c r="BX222" i="5"/>
  <c r="BW222" i="5"/>
  <c r="BR218" i="5"/>
  <c r="BU218" i="5" s="1"/>
  <c r="CB219" i="5"/>
  <c r="BR219" i="5"/>
  <c r="BU219" i="5" s="1"/>
  <c r="CB222" i="5"/>
  <c r="BQ219" i="5"/>
  <c r="BT219" i="5" s="1"/>
  <c r="BX223" i="5"/>
  <c r="CA220" i="5"/>
  <c r="BW220" i="5" s="1"/>
  <c r="CA219" i="5"/>
  <c r="BW219" i="5" s="1"/>
  <c r="CB223" i="5"/>
  <c r="BR220" i="5"/>
  <c r="BU220" i="5" s="1"/>
  <c r="BQ220" i="5"/>
  <c r="BT220" i="5" s="1"/>
  <c r="CB220" i="5"/>
  <c r="BX228" i="5"/>
  <c r="CB221" i="5"/>
  <c r="BW223" i="5"/>
  <c r="CA221" i="5"/>
  <c r="BX221" i="5" s="1"/>
  <c r="BQ221" i="5"/>
  <c r="BT221" i="5" s="1"/>
  <c r="BR221" i="5"/>
  <c r="BU221" i="5" s="1"/>
  <c r="BR227" i="5"/>
  <c r="BU227" i="5" s="1"/>
  <c r="BX227" i="5"/>
  <c r="BQ222" i="5"/>
  <c r="BT222" i="5" s="1"/>
  <c r="BR222" i="5"/>
  <c r="BU222" i="5" s="1"/>
  <c r="CB226" i="5"/>
  <c r="BQ223" i="5"/>
  <c r="BT223" i="5" s="1"/>
  <c r="CB227" i="5"/>
  <c r="CB224" i="5"/>
  <c r="BR223" i="5"/>
  <c r="BU223" i="5" s="1"/>
  <c r="BX226" i="5"/>
  <c r="BR224" i="5"/>
  <c r="BU224" i="5" s="1"/>
  <c r="BR225" i="5"/>
  <c r="BU225" i="5" s="1"/>
  <c r="CB225" i="5"/>
  <c r="BX229" i="5"/>
  <c r="CB228" i="5"/>
  <c r="BR226" i="5"/>
  <c r="BU226" i="5" s="1"/>
  <c r="BX230" i="5"/>
  <c r="BR229" i="5"/>
  <c r="BU229" i="5" s="1"/>
  <c r="CB229" i="5"/>
  <c r="BX233" i="5"/>
  <c r="BR228" i="5"/>
  <c r="BU228" i="5" s="1"/>
  <c r="BX231" i="5"/>
  <c r="BR230" i="5"/>
  <c r="BU230" i="5" s="1"/>
  <c r="BW232" i="5"/>
  <c r="CB230" i="5"/>
  <c r="BR233" i="5"/>
  <c r="BU233" i="5" s="1"/>
  <c r="CB234" i="5"/>
  <c r="BR232" i="5"/>
  <c r="BU232" i="5" s="1"/>
  <c r="CB233" i="5"/>
  <c r="BQ235" i="5"/>
  <c r="BT235" i="5" s="1"/>
  <c r="CA232" i="5"/>
  <c r="BX232" i="5" s="1"/>
  <c r="BR231" i="5"/>
  <c r="BU231" i="5" s="1"/>
  <c r="BQ233" i="5"/>
  <c r="BT233" i="5" s="1"/>
  <c r="BX236" i="5"/>
  <c r="CB231" i="5"/>
  <c r="CB232" i="5"/>
  <c r="BQ232" i="5"/>
  <c r="BT232" i="5" s="1"/>
  <c r="CB236" i="5"/>
  <c r="CA233" i="5"/>
  <c r="BW233" i="5" s="1"/>
  <c r="BW235" i="5"/>
  <c r="BQ234" i="5"/>
  <c r="BT234" i="5" s="1"/>
  <c r="CA236" i="5"/>
  <c r="BW236" i="5" s="1"/>
  <c r="CA234" i="5"/>
  <c r="BW234" i="5" s="1"/>
  <c r="CB235" i="5"/>
  <c r="BR234" i="5"/>
  <c r="BU234" i="5" s="1"/>
  <c r="BX235" i="5"/>
  <c r="CA235" i="5"/>
  <c r="BR235" i="5"/>
  <c r="BU235" i="5" s="1"/>
  <c r="BQ236" i="5"/>
  <c r="BT236" i="5" s="1"/>
  <c r="BR237" i="5"/>
  <c r="BU237" i="5" s="1"/>
  <c r="BQ237" i="5"/>
  <c r="BT237" i="5" s="1"/>
  <c r="BR236" i="5"/>
  <c r="BU236" i="5" s="1"/>
  <c r="BW238" i="5"/>
  <c r="CB237" i="5"/>
  <c r="CB239" i="5"/>
  <c r="BR239" i="5"/>
  <c r="BU239" i="5" s="1"/>
  <c r="BQ238" i="5"/>
  <c r="BT238" i="5" s="1"/>
  <c r="CB242" i="5"/>
  <c r="CB238" i="5"/>
  <c r="CA237" i="5"/>
  <c r="BW237" i="5" s="1"/>
  <c r="BR238" i="5"/>
  <c r="BU238" i="5" s="1"/>
  <c r="CA238" i="5"/>
  <c r="BX238" i="5" s="1"/>
  <c r="BR241" i="5"/>
  <c r="BU241" i="5" s="1"/>
  <c r="BX239" i="5"/>
  <c r="CB240" i="5"/>
  <c r="BQ240" i="5"/>
  <c r="BT240" i="5" s="1"/>
  <c r="BQ239" i="5"/>
  <c r="BT239" i="5" s="1"/>
  <c r="CA239" i="5"/>
  <c r="BW239" i="5" s="1"/>
  <c r="BQ243" i="5"/>
  <c r="BT243" i="5" s="1"/>
  <c r="CB241" i="5"/>
  <c r="BW241" i="5"/>
  <c r="BR243" i="5"/>
  <c r="BU243" i="5" s="1"/>
  <c r="BQ241" i="5"/>
  <c r="BT241" i="5" s="1"/>
  <c r="BR240" i="5"/>
  <c r="BU240" i="5" s="1"/>
  <c r="CA240" i="5"/>
  <c r="BW240" i="5" s="1"/>
  <c r="CB244" i="5"/>
  <c r="CA243" i="5"/>
  <c r="BX243" i="5" s="1"/>
  <c r="BR245" i="5"/>
  <c r="BU245" i="5" s="1"/>
  <c r="CA242" i="5"/>
  <c r="BW242" i="5" s="1"/>
  <c r="BX242" i="5"/>
  <c r="BQ242" i="5"/>
  <c r="BT242" i="5" s="1"/>
  <c r="CA241" i="5"/>
  <c r="BX241" i="5" s="1"/>
  <c r="BW243" i="5"/>
  <c r="BR242" i="5"/>
  <c r="BU242" i="5" s="1"/>
  <c r="CA246" i="5"/>
  <c r="BX246" i="5" s="1"/>
  <c r="CB246" i="5"/>
  <c r="CA244" i="5"/>
  <c r="BX244" i="5" s="1"/>
  <c r="BQ244" i="5"/>
  <c r="BT244" i="5" s="1"/>
  <c r="CB243" i="5"/>
  <c r="CA245" i="5"/>
  <c r="BX245" i="5" s="1"/>
  <c r="BR244" i="5"/>
  <c r="BU244" i="5" s="1"/>
  <c r="CB245" i="5"/>
  <c r="CB248" i="5"/>
  <c r="BQ245" i="5"/>
  <c r="BT245" i="5" s="1"/>
  <c r="BQ246" i="5"/>
  <c r="BT246" i="5" s="1"/>
  <c r="BR246" i="5"/>
  <c r="BU246" i="5" s="1"/>
  <c r="BR248" i="5"/>
  <c r="BU248" i="5" s="1"/>
  <c r="BW251" i="5"/>
  <c r="CA247" i="5"/>
  <c r="BW247" i="5" s="1"/>
  <c r="BR247" i="5"/>
  <c r="BU247" i="5" s="1"/>
  <c r="BR250" i="5"/>
  <c r="BU250" i="5" s="1"/>
  <c r="BQ247" i="5"/>
  <c r="BT247" i="5" s="1"/>
  <c r="CB247" i="5"/>
  <c r="BQ248" i="5"/>
  <c r="BT248" i="5" s="1"/>
  <c r="CA249" i="5"/>
  <c r="BW249" i="5" s="1"/>
  <c r="CB251" i="5"/>
  <c r="BQ249" i="5"/>
  <c r="BT249" i="5" s="1"/>
  <c r="BW248" i="5"/>
  <c r="CA248" i="5"/>
  <c r="BX248" i="5" s="1"/>
  <c r="BR252" i="5"/>
  <c r="BU252" i="5" s="1"/>
  <c r="CB252" i="5"/>
  <c r="BR249" i="5"/>
  <c r="BU249" i="5" s="1"/>
  <c r="CB249" i="5"/>
  <c r="CA250" i="5"/>
  <c r="BX250" i="5" s="1"/>
  <c r="CA252" i="5"/>
  <c r="BW252" i="5" s="1"/>
  <c r="CB254" i="5"/>
  <c r="BW254" i="5"/>
  <c r="BX254" i="5"/>
  <c r="CB250" i="5"/>
  <c r="BQ250" i="5"/>
  <c r="BT250" i="5" s="1"/>
  <c r="BR251" i="5"/>
  <c r="BU251" i="5" s="1"/>
  <c r="BQ251" i="5"/>
  <c r="BT251" i="5" s="1"/>
  <c r="BX256" i="5"/>
  <c r="CA251" i="5"/>
  <c r="BX251" i="5" s="1"/>
  <c r="CA253" i="5"/>
  <c r="BW253" i="5" s="1"/>
  <c r="CA254" i="5"/>
  <c r="CB253" i="5"/>
  <c r="BR254" i="5"/>
  <c r="BU254" i="5" s="1"/>
  <c r="CB257" i="5"/>
  <c r="BR253" i="5"/>
  <c r="BU253" i="5" s="1"/>
  <c r="BR258" i="5"/>
  <c r="BU258" i="5" s="1"/>
  <c r="CB255" i="5"/>
  <c r="BX257" i="5"/>
  <c r="BX258" i="5"/>
  <c r="BX255" i="5"/>
  <c r="BR255" i="5"/>
  <c r="BU255" i="5" s="1"/>
  <c r="BX259" i="5"/>
  <c r="CB256" i="5"/>
  <c r="BR257" i="5"/>
  <c r="BU257" i="5" s="1"/>
  <c r="BR256" i="5"/>
  <c r="BU256" i="5" s="1"/>
  <c r="BX260" i="5"/>
  <c r="CB259" i="5"/>
  <c r="BX263" i="5"/>
  <c r="BR261" i="5"/>
  <c r="BU261" i="5" s="1"/>
  <c r="CB258" i="5"/>
  <c r="BR259" i="5"/>
  <c r="BU259" i="5" s="1"/>
  <c r="BW263" i="5"/>
  <c r="CB260" i="5"/>
  <c r="BR263" i="5"/>
  <c r="BU263" i="5" s="1"/>
  <c r="BW262" i="5"/>
  <c r="CB262" i="5"/>
  <c r="BX261" i="5"/>
  <c r="BR262" i="5"/>
  <c r="BU262" i="5" s="1"/>
  <c r="BQ264" i="5"/>
  <c r="BT264" i="5" s="1"/>
  <c r="BR260" i="5"/>
  <c r="BU260" i="5" s="1"/>
  <c r="CB265" i="5"/>
  <c r="BQ262" i="5"/>
  <c r="BT262" i="5" s="1"/>
  <c r="CB261" i="5"/>
  <c r="CA262" i="5"/>
  <c r="BX262" i="5" s="1"/>
  <c r="CB263" i="5"/>
  <c r="BX269" i="5"/>
  <c r="BQ265" i="5"/>
  <c r="BT265" i="5" s="1"/>
  <c r="BR266" i="5"/>
  <c r="BU266" i="5" s="1"/>
  <c r="BQ263" i="5"/>
  <c r="BT263" i="5" s="1"/>
  <c r="CA263" i="5"/>
  <c r="BR264" i="5"/>
  <c r="BU264" i="5" s="1"/>
  <c r="CB264" i="5"/>
  <c r="BX267" i="5"/>
  <c r="BR268" i="5"/>
  <c r="BU268" i="5" s="1"/>
  <c r="CA266" i="5"/>
  <c r="BX266" i="5" s="1"/>
  <c r="BX264" i="5"/>
  <c r="BQ269" i="5"/>
  <c r="BT269" i="5" s="1"/>
  <c r="CA267" i="5"/>
  <c r="CA264" i="5"/>
  <c r="BW264" i="5" s="1"/>
  <c r="BR265" i="5"/>
  <c r="BU265" i="5" s="1"/>
  <c r="BW267" i="5"/>
  <c r="CA265" i="5"/>
  <c r="BW265" i="5" s="1"/>
  <c r="CB266" i="5"/>
  <c r="BX270" i="5"/>
  <c r="BR267" i="5"/>
  <c r="BU267" i="5" s="1"/>
  <c r="BQ266" i="5"/>
  <c r="BT266" i="5" s="1"/>
  <c r="CB268" i="5"/>
  <c r="CA269" i="5"/>
  <c r="BW269" i="5" s="1"/>
  <c r="BR270" i="5"/>
  <c r="BU270" i="5" s="1"/>
  <c r="BQ268" i="5"/>
  <c r="BT268" i="5" s="1"/>
  <c r="CB269" i="5"/>
  <c r="CB267" i="5"/>
  <c r="BQ267" i="5"/>
  <c r="BT267" i="5" s="1"/>
  <c r="BQ270" i="5"/>
  <c r="BT270" i="5" s="1"/>
  <c r="CA270" i="5"/>
  <c r="BW270" i="5" s="1"/>
  <c r="BW272" i="5"/>
  <c r="CA268" i="5"/>
  <c r="BX268" i="5" s="1"/>
  <c r="BR269" i="5"/>
  <c r="BU269" i="5" s="1"/>
  <c r="CB270" i="5"/>
  <c r="BR272" i="5"/>
  <c r="BU272" i="5" s="1"/>
  <c r="CB273" i="5"/>
  <c r="BQ271" i="5"/>
  <c r="BT271" i="5" s="1"/>
  <c r="CB272" i="5"/>
  <c r="BX271" i="5"/>
  <c r="CA271" i="5"/>
  <c r="BW271" i="5" s="1"/>
  <c r="BR271" i="5"/>
  <c r="BU271" i="5" s="1"/>
  <c r="CB271" i="5"/>
  <c r="CB274" i="5"/>
  <c r="BX276" i="5"/>
  <c r="CB275" i="5"/>
  <c r="CA272" i="5"/>
  <c r="BX272" i="5" s="1"/>
  <c r="BQ272" i="5"/>
  <c r="BT272" i="5" s="1"/>
  <c r="CA273" i="5"/>
  <c r="BX273" i="5" s="1"/>
  <c r="BR273" i="5"/>
  <c r="BU273" i="5" s="1"/>
  <c r="BQ273" i="5"/>
  <c r="BT273" i="5" s="1"/>
  <c r="CB277" i="5"/>
  <c r="CA274" i="5"/>
  <c r="BW274" i="5" s="1"/>
  <c r="BR274" i="5"/>
  <c r="BU274" i="5" s="1"/>
  <c r="BQ274" i="5"/>
  <c r="BT274" i="5" s="1"/>
  <c r="BR275" i="5"/>
  <c r="BU275" i="5" s="1"/>
  <c r="CA275" i="5"/>
  <c r="BW275" i="5" s="1"/>
  <c r="BQ275" i="5"/>
  <c r="BT275" i="5" s="1"/>
  <c r="BW280" i="5"/>
  <c r="BQ276" i="5"/>
  <c r="BT276" i="5" s="1"/>
  <c r="BR277" i="5"/>
  <c r="BU277" i="5" s="1"/>
  <c r="BW279" i="5"/>
  <c r="CA276" i="5"/>
  <c r="BR276" i="5"/>
  <c r="BU276" i="5" s="1"/>
  <c r="BW276" i="5"/>
  <c r="CB276" i="5"/>
  <c r="BW277" i="5"/>
  <c r="BQ277" i="5"/>
  <c r="BT277" i="5" s="1"/>
  <c r="CA277" i="5"/>
  <c r="BX277" i="5" s="1"/>
  <c r="BX279" i="5"/>
  <c r="CB281" i="5"/>
  <c r="CA279" i="5"/>
  <c r="CB278" i="5"/>
  <c r="BQ278" i="5"/>
  <c r="BT278" i="5" s="1"/>
  <c r="BW278" i="5"/>
  <c r="BX280" i="5"/>
  <c r="BR278" i="5"/>
  <c r="BU278" i="5" s="1"/>
  <c r="CA278" i="5"/>
  <c r="BX278" i="5" s="1"/>
  <c r="CB279" i="5"/>
  <c r="BR279" i="5"/>
  <c r="BU279" i="5" s="1"/>
  <c r="BW283" i="5"/>
  <c r="BQ279" i="5"/>
  <c r="BT279" i="5" s="1"/>
  <c r="CA280" i="5"/>
  <c r="BX283" i="5"/>
  <c r="CB280" i="5"/>
  <c r="BR280" i="5"/>
  <c r="BU280" i="5" s="1"/>
  <c r="BW284" i="5"/>
  <c r="BQ280" i="5"/>
  <c r="BT280" i="5" s="1"/>
  <c r="BX284" i="5"/>
  <c r="CA281" i="5"/>
  <c r="BW281" i="5" s="1"/>
  <c r="BR281" i="5"/>
  <c r="BU281" i="5" s="1"/>
  <c r="BQ281" i="5"/>
  <c r="BT281" i="5" s="1"/>
  <c r="CA282" i="5"/>
  <c r="BW282" i="5" s="1"/>
  <c r="CB282" i="5"/>
  <c r="BX285" i="5"/>
  <c r="BQ282" i="5"/>
  <c r="BT282" i="5" s="1"/>
  <c r="BR282" i="5"/>
  <c r="BU282" i="5" s="1"/>
  <c r="CB283" i="5"/>
  <c r="BR283" i="5"/>
  <c r="BU283" i="5" s="1"/>
  <c r="BX287" i="5"/>
  <c r="BR284" i="5"/>
  <c r="BU284" i="5" s="1"/>
  <c r="BR288" i="5"/>
  <c r="BU288" i="5" s="1"/>
  <c r="CB284" i="5"/>
  <c r="BX286" i="5"/>
  <c r="CB285" i="5"/>
  <c r="BR285" i="5"/>
  <c r="BU285" i="5" s="1"/>
  <c r="BR286" i="5"/>
  <c r="BU286" i="5" s="1"/>
  <c r="CB286" i="5"/>
  <c r="CB287" i="5"/>
  <c r="BR287" i="5"/>
  <c r="BU287" i="5" s="1"/>
  <c r="CB288" i="5"/>
  <c r="BX288" i="5"/>
  <c r="BR292" i="5"/>
  <c r="BU292" i="5" s="1"/>
  <c r="BX292" i="5"/>
  <c r="BX289" i="5"/>
  <c r="CB289" i="5"/>
  <c r="BR289" i="5"/>
  <c r="BU289" i="5" s="1"/>
  <c r="BR290" i="5"/>
  <c r="BU290" i="5" s="1"/>
  <c r="CB290" i="5"/>
  <c r="BR293" i="5"/>
  <c r="BQ295" i="5"/>
  <c r="BX290" i="5"/>
  <c r="CB295" i="5"/>
  <c r="CB293" i="5"/>
  <c r="BR291" i="5"/>
  <c r="BU291" i="5" s="1"/>
  <c r="CB291" i="5"/>
  <c r="BR295" i="5"/>
  <c r="CB292" i="5"/>
  <c r="BX291" i="5"/>
  <c r="BR294" i="5"/>
  <c r="CB294" i="5"/>
  <c r="BR296" i="5"/>
  <c r="BQ294" i="5"/>
  <c r="BQ293" i="5"/>
  <c r="CB297" i="5"/>
  <c r="CB296" i="5"/>
  <c r="CA293" i="5"/>
  <c r="CA294" i="5"/>
  <c r="BQ296" i="5"/>
  <c r="BR297" i="5"/>
  <c r="CA295" i="5"/>
  <c r="BQ297" i="5"/>
  <c r="CB298" i="5"/>
  <c r="CA296" i="5"/>
  <c r="CA298" i="5"/>
  <c r="CB300" i="5"/>
  <c r="CA297" i="5"/>
  <c r="BQ298" i="5"/>
  <c r="BR298" i="5"/>
  <c r="BQ301" i="5"/>
  <c r="BQ304" i="5"/>
  <c r="BQ299" i="5"/>
  <c r="BQ300" i="5"/>
  <c r="BR300" i="5"/>
  <c r="CA299" i="5"/>
  <c r="CB301" i="5"/>
  <c r="BR301" i="5"/>
  <c r="BR299" i="5"/>
  <c r="CB299" i="5"/>
  <c r="CB303" i="5"/>
  <c r="CB304" i="5"/>
  <c r="CA301" i="5"/>
  <c r="CA300" i="5"/>
  <c r="BR303" i="5"/>
  <c r="BR307" i="5"/>
  <c r="BQ303" i="5"/>
  <c r="CA302" i="5"/>
  <c r="BQ302" i="5"/>
  <c r="CB305" i="5"/>
  <c r="CA303" i="5"/>
  <c r="BR302" i="5"/>
  <c r="CB308" i="5"/>
  <c r="BQ305" i="5"/>
  <c r="CB306" i="5"/>
  <c r="CB302" i="5"/>
  <c r="BR304" i="5"/>
  <c r="CA305" i="5"/>
  <c r="BQ308" i="5"/>
  <c r="BR306" i="5"/>
  <c r="CA304" i="5"/>
  <c r="BR305" i="5"/>
  <c r="CA307" i="5"/>
  <c r="CB309" i="5"/>
  <c r="BQ306" i="5"/>
  <c r="CA306" i="5"/>
  <c r="CB307" i="5"/>
  <c r="BQ307" i="5"/>
  <c r="CB310" i="5"/>
  <c r="BR308" i="5"/>
  <c r="CA309" i="5"/>
  <c r="BR311" i="5"/>
  <c r="CB314" i="5"/>
  <c r="CA308" i="5"/>
  <c r="BR310" i="5"/>
  <c r="CA311" i="5"/>
  <c r="BQ310" i="5"/>
  <c r="BR312" i="5"/>
  <c r="BQ311" i="5"/>
  <c r="BQ312" i="5"/>
  <c r="BR309" i="5"/>
  <c r="BQ313" i="5"/>
  <c r="CA310" i="5"/>
  <c r="BR313" i="5"/>
  <c r="BQ309" i="5"/>
  <c r="CB312" i="5"/>
  <c r="CB311" i="5"/>
  <c r="CB313" i="5"/>
  <c r="CB315" i="5"/>
  <c r="CA313" i="5"/>
  <c r="CA312" i="5"/>
  <c r="CB316" i="5"/>
  <c r="BR319" i="5"/>
  <c r="BQ316" i="5"/>
  <c r="BT316" i="5" s="1"/>
  <c r="BQ314" i="5"/>
  <c r="CB319" i="5"/>
  <c r="CB317" i="5"/>
  <c r="CA314" i="5"/>
  <c r="BR315" i="5"/>
  <c r="BQ315" i="5"/>
  <c r="BR314" i="5"/>
  <c r="CA315" i="5"/>
  <c r="BQ319" i="5"/>
  <c r="BT319" i="5" s="1"/>
  <c r="BR316" i="5"/>
  <c r="CB318" i="5"/>
  <c r="CA316" i="5"/>
  <c r="BW316" i="5" s="1"/>
  <c r="BQ318" i="5"/>
  <c r="BT318" i="5" s="1"/>
  <c r="BR318" i="5"/>
  <c r="BR317" i="5"/>
  <c r="BR320" i="5"/>
  <c r="BR325" i="5"/>
  <c r="CB320" i="5"/>
  <c r="CA324" i="5"/>
  <c r="CB324" i="5"/>
  <c r="CB321" i="5"/>
  <c r="BR323" i="5"/>
  <c r="BQ326" i="5"/>
  <c r="CB322" i="5"/>
  <c r="BR321" i="5"/>
  <c r="BR322" i="5"/>
  <c r="CB323" i="5"/>
  <c r="BR327" i="5"/>
  <c r="CA327" i="5"/>
  <c r="BR324" i="5"/>
  <c r="CB328" i="5"/>
  <c r="BQ325" i="5"/>
  <c r="BR326" i="5"/>
  <c r="BQ327" i="5"/>
  <c r="CB325" i="5"/>
  <c r="BQ324" i="5"/>
  <c r="BQ328" i="5"/>
  <c r="CA325" i="5"/>
  <c r="CA326" i="5"/>
  <c r="CB326" i="5"/>
  <c r="CB330" i="5"/>
  <c r="CB329" i="5"/>
  <c r="BR328" i="5"/>
  <c r="CA329" i="5"/>
  <c r="CB327" i="5"/>
  <c r="BR330" i="5"/>
  <c r="BR331" i="5"/>
  <c r="CA328" i="5"/>
  <c r="BQ330" i="5"/>
  <c r="BR329" i="5"/>
  <c r="BQ329" i="5"/>
  <c r="BR335" i="5"/>
  <c r="CA330" i="5"/>
  <c r="CA331" i="5"/>
  <c r="BR334" i="5"/>
  <c r="CB335" i="5"/>
  <c r="CA333" i="5"/>
  <c r="BQ334" i="5"/>
  <c r="CB331" i="5"/>
  <c r="BQ331" i="5"/>
  <c r="BQ332" i="5"/>
  <c r="CA337" i="5"/>
  <c r="CB336" i="5"/>
  <c r="CA332" i="5"/>
  <c r="BQ335" i="5"/>
  <c r="CB332" i="5"/>
  <c r="BR333" i="5"/>
  <c r="BQ333" i="5"/>
  <c r="CB334" i="5"/>
  <c r="CB333" i="5"/>
  <c r="BR332" i="5"/>
  <c r="CA334" i="5"/>
  <c r="BR337" i="5"/>
  <c r="CA335" i="5"/>
  <c r="CA336" i="5"/>
  <c r="CB338" i="5"/>
  <c r="BQ337" i="5"/>
  <c r="CB340" i="5"/>
  <c r="BQ336" i="5"/>
  <c r="BR336" i="5"/>
  <c r="CB337" i="5"/>
  <c r="BQ339" i="5"/>
  <c r="BR342" i="5"/>
  <c r="BQ338" i="5"/>
  <c r="CA339" i="5"/>
  <c r="CB341" i="5"/>
  <c r="CA338" i="5"/>
  <c r="CA340" i="5"/>
  <c r="BR338" i="5"/>
  <c r="BR339" i="5"/>
  <c r="CB339" i="5"/>
  <c r="BQ340" i="5"/>
  <c r="CA341" i="5"/>
  <c r="BR340" i="5"/>
  <c r="BR343" i="5"/>
  <c r="BR344" i="5"/>
  <c r="CB345" i="5"/>
  <c r="CB342" i="5"/>
  <c r="CB343" i="5"/>
  <c r="BQ342" i="5"/>
  <c r="CA342" i="5"/>
  <c r="BR341" i="5"/>
  <c r="CB346" i="5"/>
  <c r="CA343" i="5"/>
  <c r="BQ341" i="5"/>
  <c r="CA346" i="5"/>
  <c r="BW346" i="5" s="1"/>
  <c r="BR347" i="5"/>
  <c r="CB344" i="5"/>
  <c r="CB349" i="5"/>
  <c r="BR345" i="5"/>
  <c r="CB347" i="5"/>
  <c r="BR348" i="5"/>
  <c r="BR346" i="5"/>
  <c r="BR350" i="5"/>
  <c r="CB348" i="5"/>
  <c r="BR349" i="5"/>
  <c r="CB352" i="5"/>
  <c r="CB353" i="5"/>
  <c r="CB350" i="5"/>
  <c r="CB351" i="5"/>
  <c r="BR354" i="5"/>
  <c r="CA354" i="5"/>
  <c r="BR355" i="5"/>
  <c r="BR352" i="5"/>
  <c r="BR353" i="5"/>
  <c r="CA353" i="5"/>
  <c r="CB356" i="5"/>
  <c r="BR351" i="5"/>
  <c r="CB354" i="5"/>
  <c r="BR359" i="5"/>
  <c r="CA357" i="5"/>
  <c r="BQ355" i="5"/>
  <c r="CA355" i="5"/>
  <c r="CB355" i="5"/>
  <c r="BR357" i="5"/>
  <c r="BQ354" i="5"/>
  <c r="BR358" i="5"/>
  <c r="BR356" i="5"/>
  <c r="BQ353" i="5"/>
  <c r="BQ356" i="5"/>
  <c r="CB360" i="5"/>
  <c r="CA356" i="5"/>
  <c r="CA361" i="5"/>
  <c r="BQ361" i="5"/>
  <c r="CB357" i="5"/>
  <c r="CB358" i="5"/>
  <c r="BR364" i="5"/>
  <c r="BQ357" i="5"/>
  <c r="CA359" i="5"/>
  <c r="BQ358" i="5"/>
  <c r="CB362" i="5"/>
  <c r="CA358" i="5"/>
  <c r="BQ360" i="5"/>
  <c r="BQ359" i="5"/>
  <c r="CA363" i="5"/>
  <c r="CB359" i="5"/>
  <c r="BR366" i="5"/>
  <c r="CA360" i="5"/>
  <c r="BR362" i="5"/>
  <c r="BQ363" i="5"/>
  <c r="CB361" i="5"/>
  <c r="BR360" i="5"/>
  <c r="BR361" i="5"/>
  <c r="BQ362" i="5"/>
  <c r="BQ364" i="5"/>
  <c r="CB365" i="5"/>
  <c r="BR363" i="5"/>
  <c r="CA362" i="5"/>
  <c r="CB364" i="5"/>
  <c r="CB363" i="5"/>
  <c r="BQ365" i="5"/>
  <c r="BR367" i="5"/>
  <c r="CA364" i="5"/>
  <c r="CA365" i="5"/>
  <c r="CB367" i="5"/>
  <c r="CB368" i="5"/>
  <c r="BQ366" i="5"/>
  <c r="CB366" i="5"/>
  <c r="BR365" i="5"/>
  <c r="BR369" i="5"/>
  <c r="CA366" i="5"/>
  <c r="BQ367" i="5"/>
  <c r="CA367" i="5"/>
  <c r="BQ369" i="5"/>
  <c r="BR368" i="5"/>
  <c r="BQ368" i="5"/>
  <c r="BR370" i="5"/>
  <c r="BR371" i="5"/>
  <c r="CA368" i="5"/>
  <c r="CA372" i="5"/>
  <c r="CA369" i="5"/>
  <c r="CB373" i="5"/>
  <c r="CB370" i="5"/>
  <c r="CB372" i="5"/>
  <c r="CB369" i="5"/>
  <c r="BQ370" i="5"/>
  <c r="BQ375" i="5"/>
  <c r="BT375" i="5" s="1"/>
  <c r="BQ372" i="5"/>
  <c r="BQ371" i="5"/>
  <c r="BR372" i="5"/>
  <c r="CA371" i="5"/>
  <c r="CB374" i="5"/>
  <c r="CA370" i="5"/>
  <c r="BR377" i="5"/>
  <c r="CB371" i="5"/>
  <c r="CB376" i="5"/>
  <c r="BR373" i="5"/>
  <c r="CA373" i="5"/>
  <c r="CA375" i="5"/>
  <c r="BW375" i="5" s="1"/>
  <c r="CB375" i="5"/>
  <c r="BR374" i="5"/>
  <c r="CA376" i="5"/>
  <c r="BW376" i="5" s="1"/>
  <c r="BQ373" i="5"/>
  <c r="BQ378" i="5"/>
  <c r="BT378" i="5" s="1"/>
  <c r="BQ374" i="5"/>
  <c r="BT374" i="5" s="1"/>
  <c r="CA374" i="5"/>
  <c r="BW374" i="5" s="1"/>
  <c r="CA378" i="5"/>
  <c r="BW378" i="5" s="1"/>
  <c r="BR375" i="5"/>
  <c r="BR381" i="5"/>
  <c r="CB377" i="5"/>
  <c r="CB378" i="5"/>
  <c r="BR376" i="5"/>
  <c r="BR378" i="5"/>
  <c r="BR380" i="5"/>
  <c r="CB382" i="5"/>
  <c r="CB379" i="5"/>
  <c r="CB380" i="5"/>
  <c r="BR379" i="5"/>
  <c r="CB381" i="5"/>
  <c r="CB385" i="5"/>
  <c r="BX385" i="5" s="1"/>
  <c r="CB386" i="5"/>
  <c r="BX386" i="5" s="1"/>
  <c r="BR383" i="5"/>
  <c r="CB383" i="5"/>
  <c r="BR382" i="5"/>
  <c r="CA385" i="5"/>
  <c r="BW385" i="5" s="1"/>
  <c r="CB387" i="5"/>
  <c r="BX387" i="5" s="1"/>
  <c r="CB384" i="5"/>
  <c r="BX384" i="5" s="1"/>
  <c r="CA384" i="5"/>
  <c r="BW384" i="5" s="1"/>
  <c r="CB388" i="5"/>
  <c r="BX388" i="5" s="1"/>
  <c r="CA386" i="5"/>
  <c r="BW386" i="5" s="1"/>
  <c r="CB389" i="5"/>
  <c r="BX389" i="5" s="1"/>
  <c r="CA387" i="5"/>
  <c r="BW387" i="5" s="1"/>
  <c r="CA388" i="5"/>
  <c r="BW388" i="5" s="1"/>
  <c r="CB393" i="5"/>
  <c r="BX393" i="5" s="1"/>
  <c r="CA389" i="5"/>
  <c r="BW389" i="5" s="1"/>
  <c r="CA390" i="5"/>
  <c r="BW390" i="5" s="1"/>
  <c r="CB390" i="5"/>
  <c r="BX390" i="5" s="1"/>
  <c r="CA391" i="5"/>
  <c r="BW391" i="5" s="1"/>
  <c r="CB394" i="5"/>
  <c r="BX394" i="5" s="1"/>
  <c r="CB391" i="5"/>
  <c r="BX391" i="5" s="1"/>
  <c r="CB395" i="5"/>
  <c r="BX395" i="5" s="1"/>
  <c r="CB392" i="5"/>
  <c r="BX392" i="5" s="1"/>
  <c r="CA392" i="5"/>
  <c r="BW392" i="5" s="1"/>
  <c r="CA396" i="5"/>
  <c r="BW396" i="5" s="1"/>
  <c r="CA393" i="5"/>
  <c r="BW393" i="5" s="1"/>
  <c r="CA394" i="5"/>
  <c r="BW394" i="5" s="1"/>
  <c r="CA395" i="5"/>
  <c r="BW395" i="5" s="1"/>
  <c r="CB397" i="5"/>
  <c r="BX397" i="5" s="1"/>
  <c r="CB398" i="5"/>
  <c r="BX398" i="5" s="1"/>
  <c r="CB399" i="5"/>
  <c r="BX399" i="5" s="1"/>
  <c r="CB396" i="5"/>
  <c r="BX396" i="5" s="1"/>
  <c r="CB400" i="5"/>
  <c r="BX400" i="5" s="1"/>
  <c r="CA398" i="5"/>
  <c r="BW398" i="5" s="1"/>
  <c r="CA397" i="5"/>
  <c r="BW397" i="5" s="1"/>
  <c r="CA399" i="5"/>
  <c r="BW399" i="5" s="1"/>
  <c r="CA400" i="5"/>
  <c r="BW400" i="5" s="1"/>
  <c r="CA401" i="5"/>
  <c r="BW401" i="5" s="1"/>
  <c r="CB401" i="5"/>
  <c r="BX401" i="5" s="1"/>
  <c r="CB404" i="5"/>
  <c r="BX404" i="5" s="1"/>
  <c r="CB405" i="5"/>
  <c r="BX405" i="5" s="1"/>
  <c r="CB402" i="5"/>
  <c r="BX402" i="5" s="1"/>
  <c r="CA402" i="5"/>
  <c r="BW402" i="5" s="1"/>
  <c r="CA404" i="5"/>
  <c r="BW404" i="5" s="1"/>
  <c r="CB406" i="5"/>
  <c r="BX406" i="5" s="1"/>
  <c r="CB403" i="5"/>
  <c r="BX403" i="5" s="1"/>
  <c r="CA403" i="5"/>
  <c r="BW403" i="5" s="1"/>
  <c r="CB407" i="5"/>
  <c r="BX407" i="5" s="1"/>
  <c r="CB410" i="5"/>
  <c r="BX410" i="5" s="1"/>
  <c r="CB408" i="5"/>
  <c r="BX408" i="5" s="1"/>
  <c r="CB412" i="5"/>
  <c r="BX412" i="5" s="1"/>
  <c r="CB409" i="5"/>
  <c r="BX409" i="5" s="1"/>
  <c r="CB413" i="5"/>
  <c r="BX413" i="5" s="1"/>
  <c r="CB411" i="5"/>
  <c r="BX411" i="5" s="1"/>
  <c r="CB414" i="5"/>
  <c r="BX414" i="5" s="1"/>
  <c r="CB415" i="5"/>
  <c r="BX415" i="5" s="1"/>
  <c r="CA414" i="5"/>
  <c r="BW414" i="5" s="1"/>
  <c r="CB417" i="5"/>
  <c r="BX417" i="5" s="1"/>
  <c r="CA415" i="5"/>
  <c r="BW415" i="5" s="1"/>
  <c r="CB418" i="5"/>
  <c r="BX418" i="5" s="1"/>
  <c r="CA416" i="5"/>
  <c r="BW416" i="5" s="1"/>
  <c r="CB416" i="5"/>
  <c r="BX416" i="5" s="1"/>
  <c r="CA417" i="5"/>
  <c r="BW417" i="5" s="1"/>
  <c r="CB421" i="5"/>
  <c r="BX421" i="5" s="1"/>
  <c r="CA420" i="5"/>
  <c r="BW420" i="5" s="1"/>
  <c r="CA419" i="5"/>
  <c r="BW419" i="5" s="1"/>
  <c r="CA418" i="5"/>
  <c r="BW418" i="5" s="1"/>
  <c r="CB419" i="5"/>
  <c r="BX419" i="5" s="1"/>
  <c r="CA421" i="5"/>
  <c r="BW421" i="5" s="1"/>
  <c r="CA422" i="5"/>
  <c r="BW422" i="5" s="1"/>
  <c r="CB420" i="5"/>
  <c r="BX420" i="5" s="1"/>
  <c r="CB424" i="5"/>
  <c r="BX424" i="5" s="1"/>
  <c r="CB422" i="5"/>
  <c r="BX422" i="5" s="1"/>
  <c r="CB423" i="5"/>
  <c r="BX423" i="5" s="1"/>
  <c r="CB426" i="5"/>
  <c r="BX426" i="5" s="1"/>
  <c r="CA423" i="5"/>
  <c r="BW423" i="5" s="1"/>
  <c r="CA425" i="5"/>
  <c r="BW425" i="5" s="1"/>
  <c r="CA424" i="5"/>
  <c r="BW424" i="5" s="1"/>
  <c r="CB427" i="5"/>
  <c r="BX427" i="5" s="1"/>
  <c r="CA426" i="5"/>
  <c r="BW426" i="5" s="1"/>
  <c r="CA429" i="5"/>
  <c r="BW429" i="5" s="1"/>
  <c r="CB425" i="5"/>
  <c r="BX425" i="5" s="1"/>
  <c r="CA427" i="5"/>
  <c r="BW427" i="5" s="1"/>
  <c r="CA430" i="5"/>
  <c r="BW430" i="5" s="1"/>
  <c r="CB430" i="5"/>
  <c r="BX430" i="5" s="1"/>
  <c r="CA428" i="5"/>
  <c r="BW428" i="5" s="1"/>
  <c r="CB431" i="5"/>
  <c r="BX431" i="5" s="1"/>
  <c r="CB428" i="5"/>
  <c r="BX428" i="5" s="1"/>
  <c r="CB429" i="5"/>
  <c r="BX429" i="5" s="1"/>
  <c r="CB433" i="5"/>
  <c r="BX433" i="5" s="1"/>
  <c r="CA432" i="5"/>
  <c r="BW432" i="5" s="1"/>
  <c r="CB434" i="5"/>
  <c r="BX434" i="5" s="1"/>
  <c r="CA431" i="5"/>
  <c r="BW431" i="5" s="1"/>
  <c r="CA434" i="5"/>
  <c r="BW434" i="5" s="1"/>
  <c r="CA433" i="5"/>
  <c r="BW433" i="5" s="1"/>
  <c r="CB432" i="5"/>
  <c r="BX432" i="5" s="1"/>
  <c r="CB436" i="5"/>
  <c r="BX436" i="5" s="1"/>
  <c r="CB435" i="5"/>
  <c r="BX435" i="5" s="1"/>
  <c r="CB438" i="5"/>
  <c r="BX438" i="5" s="1"/>
  <c r="CB437" i="5"/>
  <c r="BX437" i="5" s="1"/>
  <c r="CB441" i="5"/>
  <c r="BX441" i="5" s="1"/>
  <c r="CB439" i="5"/>
  <c r="BX439" i="5" s="1"/>
  <c r="CB442" i="5"/>
  <c r="BX442" i="5" s="1"/>
  <c r="CB443" i="5"/>
  <c r="BX443" i="5" s="1"/>
  <c r="CB440" i="5"/>
  <c r="BX440" i="5" s="1"/>
  <c r="CB446" i="5"/>
  <c r="BX446" i="5" s="1"/>
  <c r="CB444" i="5"/>
  <c r="BX444" i="5" s="1"/>
  <c r="CB447" i="5"/>
  <c r="BX447" i="5" s="1"/>
  <c r="CB448" i="5"/>
  <c r="BX448" i="5" s="1"/>
  <c r="CB445" i="5"/>
  <c r="BX445" i="5" s="1"/>
  <c r="CA445" i="5"/>
  <c r="BW445" i="5" s="1"/>
  <c r="CA446" i="5"/>
  <c r="BW446" i="5" s="1"/>
  <c r="CA447" i="5"/>
  <c r="BW447" i="5" s="1"/>
  <c r="CB450" i="5"/>
  <c r="BX450" i="5" s="1"/>
  <c r="CA449" i="5"/>
  <c r="BW449" i="5" s="1"/>
  <c r="CA448" i="5"/>
  <c r="BW448" i="5" s="1"/>
  <c r="CB452" i="5"/>
  <c r="BX452" i="5" s="1"/>
  <c r="CB449" i="5"/>
  <c r="BX449" i="5" s="1"/>
  <c r="CA451" i="5"/>
  <c r="BW451" i="5" s="1"/>
  <c r="CB453" i="5"/>
  <c r="BX453" i="5" s="1"/>
  <c r="CA450" i="5"/>
  <c r="BW450" i="5" s="1"/>
  <c r="CB451" i="5"/>
  <c r="BX451" i="5" s="1"/>
  <c r="CA452" i="5"/>
  <c r="BW452" i="5" s="1"/>
  <c r="CB455" i="5"/>
  <c r="BX455" i="5" s="1"/>
  <c r="CA453" i="5"/>
  <c r="BW453" i="5" s="1"/>
  <c r="CA454" i="5"/>
  <c r="BW454" i="5" s="1"/>
  <c r="CB454" i="5"/>
  <c r="BX454" i="5" s="1"/>
  <c r="CA455" i="5"/>
  <c r="BW455" i="5" s="1"/>
  <c r="CA456" i="5"/>
  <c r="BW456" i="5" s="1"/>
  <c r="CB456" i="5"/>
  <c r="BX456" i="5" s="1"/>
  <c r="CA457" i="5"/>
  <c r="BW457" i="5" s="1"/>
  <c r="CB457" i="5"/>
  <c r="BX457" i="5" s="1"/>
  <c r="CB460" i="5"/>
  <c r="BX460" i="5" s="1"/>
  <c r="CA458" i="5"/>
  <c r="BW458" i="5" s="1"/>
  <c r="CB458" i="5"/>
  <c r="BX458" i="5" s="1"/>
  <c r="CB459" i="5"/>
  <c r="BX459" i="5" s="1"/>
  <c r="CA459" i="5"/>
  <c r="BW459" i="5" s="1"/>
  <c r="CA460" i="5"/>
  <c r="BW460" i="5" s="1"/>
  <c r="CB463" i="5"/>
  <c r="BX463" i="5" s="1"/>
  <c r="CB461" i="5"/>
  <c r="BX461" i="5" s="1"/>
  <c r="CA462" i="5"/>
  <c r="BW462" i="5" s="1"/>
  <c r="CB464" i="5"/>
  <c r="BX464" i="5" s="1"/>
  <c r="CA461" i="5"/>
  <c r="BW461" i="5" s="1"/>
  <c r="CB462" i="5"/>
  <c r="BX462" i="5" s="1"/>
  <c r="CB465" i="5"/>
  <c r="BX465" i="5" s="1"/>
  <c r="CA463" i="5"/>
  <c r="BW463" i="5" s="1"/>
  <c r="CB466" i="5"/>
  <c r="BX466" i="5" s="1"/>
  <c r="CA464" i="5"/>
  <c r="BW464" i="5" s="1"/>
  <c r="CB467" i="5"/>
  <c r="BX467" i="5" s="1"/>
  <c r="CB470" i="5"/>
  <c r="BX470" i="5" s="1"/>
  <c r="CB468" i="5"/>
  <c r="BX468" i="5" s="1"/>
  <c r="CB469" i="5"/>
  <c r="BX469" i="5" s="1"/>
  <c r="CB472" i="5"/>
  <c r="BX472" i="5" s="1"/>
  <c r="CB473" i="5"/>
  <c r="BX473" i="5" s="1"/>
  <c r="CB471" i="5"/>
  <c r="BX471" i="5" s="1"/>
  <c r="CB475" i="5"/>
  <c r="BX475" i="5" s="1"/>
  <c r="CB476" i="5"/>
  <c r="BX476" i="5" s="1"/>
  <c r="CB474" i="5"/>
  <c r="BX474" i="5" s="1"/>
  <c r="CB477" i="5"/>
  <c r="BX477" i="5" s="1"/>
  <c r="CB478" i="5"/>
  <c r="BX478" i="5" s="1"/>
  <c r="CA475" i="5"/>
  <c r="BW475" i="5" s="1"/>
  <c r="CA476" i="5"/>
  <c r="BW476" i="5" s="1"/>
  <c r="CA478" i="5"/>
  <c r="BW478" i="5" s="1"/>
  <c r="CA477" i="5"/>
  <c r="BW477" i="5" s="1"/>
  <c r="CB481" i="5"/>
  <c r="BX481" i="5" s="1"/>
  <c r="CB482" i="5"/>
  <c r="BX482" i="5" s="1"/>
  <c r="CA479" i="5"/>
  <c r="BW479" i="5" s="1"/>
  <c r="CB479" i="5"/>
  <c r="BX479" i="5" s="1"/>
  <c r="CB483" i="5"/>
  <c r="BX483" i="5" s="1"/>
  <c r="CB480" i="5"/>
  <c r="BX480" i="5" s="1"/>
  <c r="CA480" i="5"/>
  <c r="BW480" i="5" s="1"/>
  <c r="CA481" i="5"/>
  <c r="BW481" i="5" s="1"/>
  <c r="CA482" i="5"/>
  <c r="BW482" i="5" s="1"/>
  <c r="CB484" i="5"/>
  <c r="BX484" i="5" s="1"/>
  <c r="CA483" i="5"/>
  <c r="BW483" i="5" s="1"/>
  <c r="CB486" i="5"/>
  <c r="BX486" i="5" s="1"/>
  <c r="CA484" i="5"/>
  <c r="BW484" i="5" s="1"/>
  <c r="CA485" i="5"/>
  <c r="BW485" i="5" s="1"/>
  <c r="CB485" i="5"/>
  <c r="BX485" i="5" s="1"/>
  <c r="CA486" i="5"/>
  <c r="BW486" i="5" s="1"/>
  <c r="CA487" i="5"/>
  <c r="BW487" i="5" s="1"/>
  <c r="CB487" i="5"/>
  <c r="BX487" i="5" s="1"/>
  <c r="CA489" i="5"/>
  <c r="BW489" i="5" s="1"/>
  <c r="CB488" i="5"/>
  <c r="BX488" i="5" s="1"/>
  <c r="CA488" i="5"/>
  <c r="BW488" i="5" s="1"/>
  <c r="CB492" i="5"/>
  <c r="BX492" i="5" s="1"/>
  <c r="CB489" i="5"/>
  <c r="BX489" i="5" s="1"/>
  <c r="CB490" i="5"/>
  <c r="BX490" i="5" s="1"/>
  <c r="CA490" i="5"/>
  <c r="BW490" i="5" s="1"/>
  <c r="CB493" i="5"/>
  <c r="BX493" i="5" s="1"/>
  <c r="CB491" i="5"/>
  <c r="BX491" i="5" s="1"/>
  <c r="CA491" i="5"/>
  <c r="BW491" i="5" s="1"/>
  <c r="CA494" i="5"/>
  <c r="BW494" i="5" s="1"/>
  <c r="CA493" i="5"/>
  <c r="BW493" i="5" s="1"/>
  <c r="CA492" i="5"/>
  <c r="BW492" i="5" s="1"/>
  <c r="CB495" i="5"/>
  <c r="BX495" i="5" s="1"/>
  <c r="CA497" i="5"/>
  <c r="BW497" i="5" s="1"/>
  <c r="CB496" i="5"/>
  <c r="BX496" i="5" s="1"/>
  <c r="CB494" i="5"/>
  <c r="BX494" i="5" s="1"/>
  <c r="CA495" i="5"/>
  <c r="BW495" i="5" s="1"/>
  <c r="CB498" i="5"/>
  <c r="BX498" i="5" s="1"/>
  <c r="CA496" i="5"/>
  <c r="BW496" i="5" s="1"/>
  <c r="CB499" i="5"/>
  <c r="BX499" i="5" s="1"/>
  <c r="CB500" i="5"/>
  <c r="BX500" i="5" s="1"/>
  <c r="CB497" i="5"/>
  <c r="BX497" i="5" s="1"/>
  <c r="CB501" i="5"/>
  <c r="BX501" i="5" s="1"/>
  <c r="CB502" i="5"/>
  <c r="BX502" i="5" s="1"/>
  <c r="CB503" i="5"/>
  <c r="BX503" i="5" s="1"/>
  <c r="CB504" i="5"/>
  <c r="BX504" i="5" s="1"/>
  <c r="CB505" i="5"/>
  <c r="BX505" i="5" s="1"/>
  <c r="CA507" i="5"/>
  <c r="BW507" i="5" s="1"/>
  <c r="CB506" i="5"/>
  <c r="BX506" i="5" s="1"/>
  <c r="CA506" i="5"/>
  <c r="BW506" i="5" s="1"/>
  <c r="CB509" i="5"/>
  <c r="BX509" i="5" s="1"/>
  <c r="CB510" i="5"/>
  <c r="BX510" i="5" s="1"/>
  <c r="CB507" i="5"/>
  <c r="BX507" i="5" s="1"/>
  <c r="CB508" i="5"/>
  <c r="BX508" i="5" s="1"/>
  <c r="CB511" i="5"/>
  <c r="BX511" i="5" s="1"/>
  <c r="CA508" i="5"/>
  <c r="BW508" i="5" s="1"/>
  <c r="CA509" i="5"/>
  <c r="BW509" i="5" s="1"/>
  <c r="CA510" i="5"/>
  <c r="BW510" i="5" s="1"/>
  <c r="CA514" i="5"/>
  <c r="BW514" i="5" s="1"/>
  <c r="CA511" i="5"/>
  <c r="BW511" i="5" s="1"/>
  <c r="CA512" i="5"/>
  <c r="BW512" i="5" s="1"/>
  <c r="CA515" i="5"/>
  <c r="BW515" i="5" s="1"/>
  <c r="CB514" i="5"/>
  <c r="BX514" i="5" s="1"/>
  <c r="CA513" i="5"/>
  <c r="BW513" i="5" s="1"/>
  <c r="CB515" i="5"/>
  <c r="BX515" i="5" s="1"/>
  <c r="CB512" i="5"/>
  <c r="BX512" i="5" s="1"/>
  <c r="CA516" i="5"/>
  <c r="BW516" i="5" s="1"/>
  <c r="CB516" i="5"/>
  <c r="BX516" i="5" s="1"/>
  <c r="CB513" i="5"/>
  <c r="BX513" i="5" s="1"/>
  <c r="CB518" i="5"/>
  <c r="BX518" i="5" s="1"/>
  <c r="CB519" i="5"/>
  <c r="BX519" i="5" s="1"/>
  <c r="CA518" i="5"/>
  <c r="BW518" i="5" s="1"/>
  <c r="CB520" i="5"/>
  <c r="BX520" i="5" s="1"/>
  <c r="CB517" i="5"/>
  <c r="BX517" i="5" s="1"/>
  <c r="CA517" i="5"/>
  <c r="BW517" i="5" s="1"/>
  <c r="CA519" i="5"/>
  <c r="BW519" i="5" s="1"/>
  <c r="CA520" i="5"/>
  <c r="BW520" i="5" s="1"/>
  <c r="CB524" i="5"/>
  <c r="BX524" i="5" s="1"/>
  <c r="CB521" i="5"/>
  <c r="BX521" i="5" s="1"/>
  <c r="CA521" i="5"/>
  <c r="BW521" i="5" s="1"/>
  <c r="CB522" i="5"/>
  <c r="BX522" i="5" s="1"/>
  <c r="CA522" i="5"/>
  <c r="BW522" i="5" s="1"/>
  <c r="CB526" i="5"/>
  <c r="BX526" i="5" s="1"/>
  <c r="CA523" i="5"/>
  <c r="BW523" i="5" s="1"/>
  <c r="CB523" i="5"/>
  <c r="BX523" i="5" s="1"/>
  <c r="CA524" i="5"/>
  <c r="BW524" i="5" s="1"/>
  <c r="CA525" i="5"/>
  <c r="BW525" i="5" s="1"/>
  <c r="CA529" i="5"/>
  <c r="BW529" i="5" s="1"/>
  <c r="CB528" i="5"/>
  <c r="BX528" i="5" s="1"/>
  <c r="CB525" i="5"/>
  <c r="BX525" i="5" s="1"/>
  <c r="CA527" i="5"/>
  <c r="BW527" i="5" s="1"/>
  <c r="CA526" i="5"/>
  <c r="BW526" i="5" s="1"/>
  <c r="CB527" i="5"/>
  <c r="BX527" i="5" s="1"/>
  <c r="CB531" i="5"/>
  <c r="BX531" i="5" s="1"/>
  <c r="CB529" i="5"/>
  <c r="BX529" i="5" s="1"/>
  <c r="CB532" i="5"/>
  <c r="BX532" i="5" s="1"/>
  <c r="CB533" i="5"/>
  <c r="BX533" i="5" s="1"/>
  <c r="CB530" i="5"/>
  <c r="BX530" i="5" s="1"/>
  <c r="CB535" i="5"/>
  <c r="BX535" i="5" s="1"/>
  <c r="CB536" i="5"/>
  <c r="BX536" i="5" s="1"/>
  <c r="CB534" i="5"/>
  <c r="BX534" i="5" s="1"/>
  <c r="CB538" i="5"/>
  <c r="BX538" i="5" s="1"/>
  <c r="CB539" i="5"/>
  <c r="BX539" i="5" s="1"/>
  <c r="CA537" i="5"/>
  <c r="BW537" i="5" s="1"/>
  <c r="CB540" i="5"/>
  <c r="BX540" i="5" s="1"/>
  <c r="CB537" i="5"/>
  <c r="BX537" i="5" s="1"/>
  <c r="CA539" i="5"/>
  <c r="BW539" i="5" s="1"/>
  <c r="CA538" i="5"/>
  <c r="BW538" i="5" s="1"/>
  <c r="CB543" i="5"/>
  <c r="BX543" i="5" s="1"/>
  <c r="CA540" i="5"/>
  <c r="BW540" i="5" s="1"/>
  <c r="CA541" i="5"/>
  <c r="BW541" i="5" s="1"/>
  <c r="CB541" i="5"/>
  <c r="BX541" i="5" s="1"/>
  <c r="CB544" i="5"/>
  <c r="BX544" i="5" s="1"/>
  <c r="CB545" i="5"/>
  <c r="BX545" i="5" s="1"/>
  <c r="CB542" i="5"/>
  <c r="BX542" i="5" s="1"/>
  <c r="CA542" i="5"/>
  <c r="BW542" i="5" s="1"/>
  <c r="CA543" i="5"/>
  <c r="BW543" i="5" s="1"/>
  <c r="CB546" i="5"/>
  <c r="BX546" i="5" s="1"/>
  <c r="CA544" i="5"/>
  <c r="BW544" i="5" s="1"/>
  <c r="CA545" i="5"/>
  <c r="BW545" i="5" s="1"/>
  <c r="CB547" i="5"/>
  <c r="BX547" i="5" s="1"/>
  <c r="CB548" i="5"/>
  <c r="BX548" i="5" s="1"/>
  <c r="CA546" i="5"/>
  <c r="BW546" i="5" s="1"/>
  <c r="CA548" i="5"/>
  <c r="BW548" i="5" s="1"/>
  <c r="CA547" i="5"/>
  <c r="BW547" i="5" s="1"/>
  <c r="CB550" i="5"/>
  <c r="BX550" i="5" s="1"/>
  <c r="CA550" i="5"/>
  <c r="BW550" i="5" s="1"/>
  <c r="CA549" i="5"/>
  <c r="BW549" i="5" s="1"/>
  <c r="CB549" i="5"/>
  <c r="BX549" i="5" s="1"/>
  <c r="CB552" i="5"/>
  <c r="BX552" i="5" s="1"/>
  <c r="CB553" i="5"/>
  <c r="BX553" i="5" s="1"/>
  <c r="CB554" i="5"/>
  <c r="BX554" i="5" s="1"/>
  <c r="CA551" i="5"/>
  <c r="BW551" i="5" s="1"/>
  <c r="CB551" i="5"/>
  <c r="BX551" i="5" s="1"/>
  <c r="CA553" i="5"/>
  <c r="BW553" i="5" s="1"/>
  <c r="CA552" i="5"/>
  <c r="BW552" i="5" s="1"/>
  <c r="CA554" i="5"/>
  <c r="BW554" i="5" s="1"/>
  <c r="CB556" i="5"/>
  <c r="BX556" i="5" s="1"/>
  <c r="CB558" i="5"/>
  <c r="BX558" i="5" s="1"/>
  <c r="CB555" i="5"/>
  <c r="BX555" i="5" s="1"/>
  <c r="CA555" i="5"/>
  <c r="BW555" i="5" s="1"/>
  <c r="CB559" i="5"/>
  <c r="BX559" i="5" s="1"/>
  <c r="CA556" i="5"/>
  <c r="BW556" i="5" s="1"/>
  <c r="CA557" i="5"/>
  <c r="BW557" i="5" s="1"/>
  <c r="CA558" i="5"/>
  <c r="BW558" i="5" s="1"/>
  <c r="CA559" i="5"/>
  <c r="BW559" i="5" s="1"/>
  <c r="CB557" i="5"/>
  <c r="BX557" i="5" s="1"/>
  <c r="CB560" i="5"/>
  <c r="BX560" i="5" s="1"/>
  <c r="CB561" i="5"/>
  <c r="BX561" i="5" s="1"/>
  <c r="CB562" i="5"/>
  <c r="BX562" i="5" s="1"/>
  <c r="CB563" i="5"/>
  <c r="BX563" i="5" s="1"/>
  <c r="CB565" i="5"/>
  <c r="BX565" i="5" s="1"/>
  <c r="CB566" i="5"/>
  <c r="BX566" i="5" s="1"/>
  <c r="CB564" i="5"/>
  <c r="BX564" i="5" s="1"/>
  <c r="CB570" i="5"/>
  <c r="BX570" i="5" s="1"/>
  <c r="CB567" i="5"/>
  <c r="BX567" i="5" s="1"/>
  <c r="CA567" i="5"/>
  <c r="BW567" i="5" s="1"/>
  <c r="CB568" i="5"/>
  <c r="BX568" i="5" s="1"/>
  <c r="CA568" i="5"/>
  <c r="BW568" i="5" s="1"/>
  <c r="CB571" i="5"/>
  <c r="BX571" i="5" s="1"/>
  <c r="CB572" i="5"/>
  <c r="BX572" i="5" s="1"/>
  <c r="CA569" i="5"/>
  <c r="BW569" i="5" s="1"/>
  <c r="CA570" i="5"/>
  <c r="BW570" i="5" s="1"/>
  <c r="CB569" i="5"/>
  <c r="BX569" i="5" s="1"/>
  <c r="CA571" i="5"/>
  <c r="BW571" i="5" s="1"/>
  <c r="CB573" i="5"/>
  <c r="BX573" i="5" s="1"/>
  <c r="CA572" i="5"/>
  <c r="BW572" i="5" s="1"/>
  <c r="CB574" i="5"/>
  <c r="BX574" i="5" s="1"/>
  <c r="CB575" i="5"/>
  <c r="BX575" i="5" s="1"/>
  <c r="CB576" i="5"/>
  <c r="BX576" i="5" s="1"/>
  <c r="CA574" i="5"/>
  <c r="BW574" i="5" s="1"/>
  <c r="CA573" i="5"/>
  <c r="BW573" i="5" s="1"/>
  <c r="CA576" i="5"/>
  <c r="BW576" i="5" s="1"/>
  <c r="CA575" i="5"/>
  <c r="BW575" i="5" s="1"/>
  <c r="CB578" i="5"/>
  <c r="BX578" i="5" s="1"/>
  <c r="CB577" i="5"/>
  <c r="BX577" i="5" s="1"/>
  <c r="CA577" i="5"/>
  <c r="BW577" i="5" s="1"/>
  <c r="CA578" i="5"/>
  <c r="BW578" i="5" s="1"/>
  <c r="CA579" i="5"/>
  <c r="BW579" i="5" s="1"/>
  <c r="CA580" i="5"/>
  <c r="BW580" i="5" s="1"/>
  <c r="CB582" i="5"/>
  <c r="BX582" i="5" s="1"/>
  <c r="CB579" i="5"/>
  <c r="BX579" i="5" s="1"/>
  <c r="CB580" i="5"/>
  <c r="BX580" i="5" s="1"/>
  <c r="CA581" i="5"/>
  <c r="BW581" i="5" s="1"/>
  <c r="CA582" i="5"/>
  <c r="BW582" i="5" s="1"/>
  <c r="CA583" i="5"/>
  <c r="BW583" i="5" s="1"/>
  <c r="CB581" i="5"/>
  <c r="BX581" i="5" s="1"/>
  <c r="CB585" i="5"/>
  <c r="BX585" i="5" s="1"/>
  <c r="CA584" i="5"/>
  <c r="BW584" i="5" s="1"/>
  <c r="CB583" i="5"/>
  <c r="BX583" i="5" s="1"/>
  <c r="CB584" i="5"/>
  <c r="BX584" i="5" s="1"/>
  <c r="CB587" i="5"/>
  <c r="BX587" i="5" s="1"/>
  <c r="CA585" i="5"/>
  <c r="BW585" i="5" s="1"/>
  <c r="CA586" i="5"/>
  <c r="BW586" i="5" s="1"/>
  <c r="CB586" i="5"/>
  <c r="BX586" i="5" s="1"/>
  <c r="CA587" i="5"/>
  <c r="BW587" i="5" s="1"/>
  <c r="CA588" i="5"/>
  <c r="BW588" i="5" s="1"/>
  <c r="CB588" i="5"/>
  <c r="BX588" i="5" s="1"/>
  <c r="CB592" i="5"/>
  <c r="BX592" i="5" s="1"/>
  <c r="CB589" i="5"/>
  <c r="BX589" i="5" s="1"/>
  <c r="CB593" i="5"/>
  <c r="BX593" i="5" s="1"/>
  <c r="CB590" i="5"/>
  <c r="BX590" i="5" s="1"/>
  <c r="CB591" i="5"/>
  <c r="BX591" i="5" s="1"/>
  <c r="CB595" i="5"/>
  <c r="BX595" i="5" s="1"/>
  <c r="CB596" i="5"/>
  <c r="BX596" i="5" s="1"/>
  <c r="CA598" i="5"/>
  <c r="BW598" i="5" s="1"/>
  <c r="CB594" i="5"/>
  <c r="BX594" i="5" s="1"/>
  <c r="CB597" i="5"/>
  <c r="BX597" i="5" s="1"/>
  <c r="CB598" i="5"/>
  <c r="BX598" i="5" s="1"/>
  <c r="CA599" i="5"/>
  <c r="BW599" i="5" s="1"/>
  <c r="CA600" i="5"/>
  <c r="BW600" i="5" s="1"/>
  <c r="CB602" i="5"/>
  <c r="BX602" i="5" s="1"/>
  <c r="CB599" i="5"/>
  <c r="BX599" i="5" s="1"/>
  <c r="CA601" i="5"/>
  <c r="BW601" i="5" s="1"/>
  <c r="CB600" i="5"/>
  <c r="BX600" i="5" s="1"/>
  <c r="CB601" i="5"/>
  <c r="BX601" i="5" s="1"/>
  <c r="CA603" i="5"/>
  <c r="BW603" i="5" s="1"/>
  <c r="CA605" i="5"/>
  <c r="BW605" i="5" s="1"/>
  <c r="CA604" i="5"/>
  <c r="BW604" i="5" s="1"/>
  <c r="CA602" i="5"/>
  <c r="BW602" i="5" s="1"/>
  <c r="CB603" i="5"/>
  <c r="BX603" i="5" s="1"/>
  <c r="CB604" i="5"/>
  <c r="BX604" i="5" s="1"/>
  <c r="CA606" i="5"/>
  <c r="BW606" i="5" s="1"/>
  <c r="CB605" i="5"/>
  <c r="BX605" i="5" s="1"/>
  <c r="CB609" i="5"/>
  <c r="BX609" i="5" s="1"/>
  <c r="CB606" i="5"/>
  <c r="BX606" i="5" s="1"/>
  <c r="CA607" i="5"/>
  <c r="BW607" i="5" s="1"/>
  <c r="CB607" i="5"/>
  <c r="BX607" i="5" s="1"/>
  <c r="CB610" i="5"/>
  <c r="BX610" i="5" s="1"/>
  <c r="CA608" i="5"/>
  <c r="BW608" i="5" s="1"/>
  <c r="CB611" i="5"/>
  <c r="BX611" i="5" s="1"/>
  <c r="CB608" i="5"/>
  <c r="BX608" i="5" s="1"/>
  <c r="CB612" i="5"/>
  <c r="BX612" i="5" s="1"/>
  <c r="CA609" i="5"/>
  <c r="BW609" i="5" s="1"/>
  <c r="CA610" i="5"/>
  <c r="BW610" i="5" s="1"/>
  <c r="CB613" i="5"/>
  <c r="BX613" i="5" s="1"/>
  <c r="CA612" i="5"/>
  <c r="BW612" i="5" s="1"/>
  <c r="CB614" i="5"/>
  <c r="BX614" i="5" s="1"/>
  <c r="CA611" i="5"/>
  <c r="BW611" i="5" s="1"/>
  <c r="CB615" i="5"/>
  <c r="BX615" i="5" s="1"/>
  <c r="CB616" i="5"/>
  <c r="BX616" i="5" s="1"/>
  <c r="CA613" i="5"/>
  <c r="BW613" i="5" s="1"/>
  <c r="CA614" i="5"/>
  <c r="BW614" i="5" s="1"/>
  <c r="CB617" i="5"/>
  <c r="BX617" i="5" s="1"/>
  <c r="CA615" i="5"/>
  <c r="BW615" i="5" s="1"/>
  <c r="CA616" i="5"/>
  <c r="BW616" i="5" s="1"/>
  <c r="CA617" i="5"/>
  <c r="BW617" i="5" s="1"/>
  <c r="CB621" i="5"/>
  <c r="BX621" i="5" s="1"/>
  <c r="CB618" i="5"/>
  <c r="BX618" i="5" s="1"/>
  <c r="CB619" i="5"/>
  <c r="BX619" i="5" s="1"/>
  <c r="CB620" i="5"/>
  <c r="BX620" i="5" s="1"/>
  <c r="CB623" i="5"/>
  <c r="BX623" i="5" s="1"/>
  <c r="CB624" i="5"/>
  <c r="BX624" i="5" s="1"/>
  <c r="CB622" i="5"/>
  <c r="BX622" i="5" s="1"/>
  <c r="CB625" i="5"/>
  <c r="BX625" i="5" s="1"/>
  <c r="CB626" i="5"/>
  <c r="BX626" i="5" s="1"/>
  <c r="CA629" i="5"/>
  <c r="BW629" i="5" s="1"/>
  <c r="CB629" i="5"/>
  <c r="BX629" i="5" s="1"/>
  <c r="CA628" i="5"/>
  <c r="BW628" i="5" s="1"/>
  <c r="CB627" i="5"/>
  <c r="BX627" i="5" s="1"/>
  <c r="CB631" i="5"/>
  <c r="BX631" i="5" s="1"/>
  <c r="CB628" i="5"/>
  <c r="BX628" i="5" s="1"/>
  <c r="CB632" i="5"/>
  <c r="BX632" i="5" s="1"/>
  <c r="CA630" i="5"/>
  <c r="BW630" i="5" s="1"/>
  <c r="CB630" i="5"/>
  <c r="BX630" i="5" s="1"/>
  <c r="CA631" i="5"/>
  <c r="BW631" i="5" s="1"/>
  <c r="CB633" i="5"/>
  <c r="BX633" i="5" s="1"/>
  <c r="CA632" i="5"/>
  <c r="BW632" i="5" s="1"/>
  <c r="CA633" i="5"/>
  <c r="BW633" i="5" s="1"/>
  <c r="CB636" i="5"/>
  <c r="BX636" i="5" s="1"/>
  <c r="CA634" i="5"/>
  <c r="BW634" i="5" s="1"/>
  <c r="CB634" i="5"/>
  <c r="BX634" i="5" s="1"/>
  <c r="CA635" i="5"/>
  <c r="BW635" i="5" s="1"/>
  <c r="CA636" i="5"/>
  <c r="BW636" i="5" s="1"/>
  <c r="CB635" i="5"/>
  <c r="BX635" i="5" s="1"/>
  <c r="CA637" i="5"/>
  <c r="BW637" i="5" s="1"/>
  <c r="CB637" i="5"/>
  <c r="BX637" i="5" s="1"/>
  <c r="CB641" i="5"/>
  <c r="BX641" i="5" s="1"/>
  <c r="CA639" i="5"/>
  <c r="BW639" i="5" s="1"/>
  <c r="CA638" i="5"/>
  <c r="BW638" i="5" s="1"/>
  <c r="CB638" i="5"/>
  <c r="BX638" i="5" s="1"/>
  <c r="CB639" i="5"/>
  <c r="BX639" i="5" s="1"/>
  <c r="CA640" i="5"/>
  <c r="BW640" i="5" s="1"/>
  <c r="CB640" i="5"/>
  <c r="BX640" i="5" s="1"/>
  <c r="CB643" i="5"/>
  <c r="BX643" i="5" s="1"/>
  <c r="CA642" i="5"/>
  <c r="BW642" i="5" s="1"/>
  <c r="CA641" i="5"/>
  <c r="BW641" i="5" s="1"/>
  <c r="CB642" i="5"/>
  <c r="BX642" i="5" s="1"/>
  <c r="CB646" i="5"/>
  <c r="BX646" i="5" s="1"/>
  <c r="CA643" i="5"/>
  <c r="BW643" i="5" s="1"/>
  <c r="CA644" i="5"/>
  <c r="BW644" i="5" s="1"/>
  <c r="CB644" i="5"/>
  <c r="BX644" i="5" s="1"/>
  <c r="CB647" i="5"/>
  <c r="BX647" i="5" s="1"/>
  <c r="CA645" i="5"/>
  <c r="BW645" i="5" s="1"/>
  <c r="CB648" i="5"/>
  <c r="BX648" i="5" s="1"/>
  <c r="CB645" i="5"/>
  <c r="BX645" i="5" s="1"/>
  <c r="CA646" i="5"/>
  <c r="BW646" i="5" s="1"/>
  <c r="CB649" i="5"/>
  <c r="BX649" i="5" s="1"/>
  <c r="CB650" i="5"/>
  <c r="BX650" i="5" s="1"/>
  <c r="CA647" i="5"/>
  <c r="BW647" i="5" s="1"/>
  <c r="CA648" i="5"/>
  <c r="BW648" i="5" s="1"/>
  <c r="CB653" i="5"/>
  <c r="BX653" i="5" s="1"/>
  <c r="CB651" i="5"/>
  <c r="BX651" i="5" s="1"/>
  <c r="CB652" i="5"/>
  <c r="BX652" i="5" s="1"/>
  <c r="CB656" i="5"/>
  <c r="BX656" i="5" s="1"/>
  <c r="CB654" i="5"/>
  <c r="BX654" i="5" s="1"/>
  <c r="CB658" i="5"/>
  <c r="BX658" i="5" s="1"/>
  <c r="CB655" i="5"/>
  <c r="BX655" i="5" s="1"/>
  <c r="CB660" i="5"/>
  <c r="BX660" i="5" s="1"/>
  <c r="CB657" i="5"/>
  <c r="BX657" i="5" s="1"/>
  <c r="CA659" i="5"/>
  <c r="BW659" i="5" s="1"/>
  <c r="CB661" i="5"/>
  <c r="BX661" i="5" s="1"/>
  <c r="CA660" i="5"/>
  <c r="BW660" i="5" s="1"/>
  <c r="CB659" i="5"/>
  <c r="BX659" i="5" s="1"/>
  <c r="CB663" i="5"/>
  <c r="BX663" i="5" s="1"/>
  <c r="CA662" i="5"/>
  <c r="BW662" i="5" s="1"/>
  <c r="CA661" i="5"/>
  <c r="BW661" i="5" s="1"/>
  <c r="CB664" i="5"/>
  <c r="BX664" i="5" s="1"/>
  <c r="CB665" i="5"/>
  <c r="BX665" i="5" s="1"/>
  <c r="CB662" i="5"/>
  <c r="BX662" i="5" s="1"/>
  <c r="CA663" i="5"/>
  <c r="BW663" i="5" s="1"/>
  <c r="CB666" i="5"/>
  <c r="BX666" i="5" s="1"/>
  <c r="CB667" i="5"/>
  <c r="BX667" i="5" s="1"/>
  <c r="CA664" i="5"/>
  <c r="BW664" i="5" s="1"/>
  <c r="CA668" i="5"/>
  <c r="BW668" i="5" s="1"/>
  <c r="CB668" i="5"/>
  <c r="BX668" i="5" s="1"/>
  <c r="CA665" i="5"/>
  <c r="BW665" i="5" s="1"/>
  <c r="CA666" i="5"/>
  <c r="BW666" i="5" s="1"/>
  <c r="CB669" i="5"/>
  <c r="BX669" i="5" s="1"/>
  <c r="CA667" i="5"/>
  <c r="BW667" i="5" s="1"/>
  <c r="CA669" i="5"/>
  <c r="BW669" i="5" s="1"/>
  <c r="CA671" i="5"/>
  <c r="BW671" i="5" s="1"/>
  <c r="CB673" i="5"/>
  <c r="BX673" i="5" s="1"/>
  <c r="CB670" i="5"/>
  <c r="BX670" i="5" s="1"/>
  <c r="CA670" i="5"/>
  <c r="BW670" i="5" s="1"/>
  <c r="CB671" i="5"/>
  <c r="BX671" i="5" s="1"/>
  <c r="CB674" i="5"/>
  <c r="BX674" i="5" s="1"/>
  <c r="CA672" i="5"/>
  <c r="BW672" i="5" s="1"/>
  <c r="CB672" i="5"/>
  <c r="BX672" i="5" s="1"/>
  <c r="CB675" i="5"/>
  <c r="BX675" i="5" s="1"/>
  <c r="CA673" i="5"/>
  <c r="BW673" i="5" s="1"/>
  <c r="CA674" i="5"/>
  <c r="BW674" i="5" s="1"/>
  <c r="CA675" i="5"/>
  <c r="BW675" i="5" s="1"/>
  <c r="CB678" i="5"/>
  <c r="BX678" i="5" s="1"/>
  <c r="CB679" i="5"/>
  <c r="BX679" i="5" s="1"/>
  <c r="CB676" i="5"/>
  <c r="BX676" i="5" s="1"/>
  <c r="CA676" i="5"/>
  <c r="BW676" i="5" s="1"/>
  <c r="CA678" i="5"/>
  <c r="BW678" i="5" s="1"/>
  <c r="CA677" i="5"/>
  <c r="BW677" i="5" s="1"/>
  <c r="CB677" i="5"/>
  <c r="BX677" i="5" s="1"/>
  <c r="CA683" i="5"/>
  <c r="BW683" i="5" s="1"/>
  <c r="CA682" i="5"/>
  <c r="BW682" i="5" s="1"/>
  <c r="CA679" i="5"/>
  <c r="BW679" i="5" s="1"/>
  <c r="CA680" i="5"/>
  <c r="BW680" i="5" s="1"/>
  <c r="CB680" i="5"/>
  <c r="BX680" i="5" s="1"/>
  <c r="CB681" i="5"/>
  <c r="BX681" i="5" s="1"/>
  <c r="CB682" i="5"/>
  <c r="BX682" i="5" s="1"/>
  <c r="CB683" i="5"/>
  <c r="BX683" i="5" s="1"/>
  <c r="CB687" i="5"/>
  <c r="BX687" i="5" s="1"/>
  <c r="CB684" i="5"/>
  <c r="BX684" i="5" s="1"/>
  <c r="CB685" i="5"/>
  <c r="BX685" i="5" s="1"/>
  <c r="CB686" i="5"/>
  <c r="BX686" i="5" s="1"/>
  <c r="CB690" i="5"/>
  <c r="BX690" i="5" s="1"/>
  <c r="CB691" i="5"/>
  <c r="BX691" i="5" s="1"/>
  <c r="CB688" i="5"/>
  <c r="BX688" i="5" s="1"/>
  <c r="CB689" i="5"/>
  <c r="BX689" i="5" s="1"/>
  <c r="CA691" i="5"/>
  <c r="BW691" i="5" s="1"/>
  <c r="CA690" i="5"/>
  <c r="BW690" i="5" s="1"/>
  <c r="CB694" i="5"/>
  <c r="BX694" i="5" s="1"/>
  <c r="CB692" i="5"/>
  <c r="BX692" i="5" s="1"/>
  <c r="CB695" i="5"/>
  <c r="BX695" i="5" s="1"/>
  <c r="CA692" i="5"/>
  <c r="BW692" i="5" s="1"/>
  <c r="CA693" i="5"/>
  <c r="BW693" i="5" s="1"/>
  <c r="CB693" i="5"/>
  <c r="BX693" i="5" s="1"/>
  <c r="CB697" i="5"/>
  <c r="BX697" i="5" s="1"/>
  <c r="CA694" i="5"/>
  <c r="BW694" i="5" s="1"/>
  <c r="CA695" i="5"/>
  <c r="BW695" i="5" s="1"/>
  <c r="CB696" i="5"/>
  <c r="BX696" i="5" s="1"/>
  <c r="CA696" i="5"/>
  <c r="BW696" i="5" s="1"/>
  <c r="CA697" i="5"/>
  <c r="BW697" i="5" s="1"/>
  <c r="CA698" i="5"/>
  <c r="BW698" i="5" s="1"/>
  <c r="CB698" i="5"/>
  <c r="BX698" i="5" s="1"/>
  <c r="CB699" i="5"/>
  <c r="BX699" i="5" s="1"/>
  <c r="CA699" i="5"/>
  <c r="BW699" i="5" s="1"/>
  <c r="CA700" i="5"/>
  <c r="BW700" i="5" s="1"/>
  <c r="CB702" i="5"/>
  <c r="BX702" i="5" s="1"/>
  <c r="CB703" i="5"/>
  <c r="BX703" i="5" s="1"/>
  <c r="CB700" i="5"/>
  <c r="BX700" i="5" s="1"/>
  <c r="CA704" i="5"/>
  <c r="BW704" i="5" s="1"/>
  <c r="CB704" i="5"/>
  <c r="BX704" i="5" s="1"/>
  <c r="CA701" i="5"/>
  <c r="BW701" i="5" s="1"/>
  <c r="CB701" i="5"/>
  <c r="BX701" i="5" s="1"/>
  <c r="CA702" i="5"/>
  <c r="BW702" i="5" s="1"/>
  <c r="CA705" i="5"/>
  <c r="BW705" i="5" s="1"/>
  <c r="CB705" i="5"/>
  <c r="BX705" i="5" s="1"/>
  <c r="CA703" i="5"/>
  <c r="BW703" i="5" s="1"/>
  <c r="CB706" i="5"/>
  <c r="BX706" i="5" s="1"/>
  <c r="CA706" i="5"/>
  <c r="BW706" i="5" s="1"/>
  <c r="CA708" i="5"/>
  <c r="BW708" i="5" s="1"/>
  <c r="CB707" i="5"/>
  <c r="BX707" i="5" s="1"/>
  <c r="CA707" i="5"/>
  <c r="BW707" i="5" s="1"/>
  <c r="CB708" i="5"/>
  <c r="BX708" i="5" s="1"/>
  <c r="CB709" i="5"/>
  <c r="BX709" i="5" s="1"/>
  <c r="CB710" i="5"/>
  <c r="BX710" i="5" s="1"/>
  <c r="CB711" i="5"/>
  <c r="BX711" i="5" s="1"/>
  <c r="CB712" i="5"/>
  <c r="BX712" i="5" s="1"/>
  <c r="CB713" i="5"/>
  <c r="BX713" i="5" s="1"/>
  <c r="CB716" i="5"/>
  <c r="BX716" i="5" s="1"/>
  <c r="CB714" i="5"/>
  <c r="BX714" i="5" s="1"/>
  <c r="CB715" i="5"/>
  <c r="BX715" i="5" s="1"/>
  <c r="CB718" i="5"/>
  <c r="BX718" i="5" s="1"/>
  <c r="CB719" i="5"/>
  <c r="BX719" i="5" s="1"/>
  <c r="CB720" i="5"/>
  <c r="BX720" i="5" s="1"/>
  <c r="CB717" i="5"/>
  <c r="BX717" i="5" s="1"/>
  <c r="CA718" i="5"/>
  <c r="BW718" i="5" s="1"/>
  <c r="CA719" i="5"/>
  <c r="BW719" i="5" s="1"/>
  <c r="CA725" i="5"/>
  <c r="BW725" i="5" s="1"/>
  <c r="CA720" i="5"/>
  <c r="BW720" i="5" s="1"/>
  <c r="CB723" i="5"/>
  <c r="BX723" i="5" s="1"/>
  <c r="CA721" i="5"/>
  <c r="BW721" i="5" s="1"/>
  <c r="CB721" i="5"/>
  <c r="BX721" i="5" s="1"/>
  <c r="CA723" i="5"/>
  <c r="BW723" i="5" s="1"/>
  <c r="CA722" i="5"/>
  <c r="BW722" i="5" s="1"/>
  <c r="CB722" i="5"/>
  <c r="BX722" i="5" s="1"/>
  <c r="CB727" i="5"/>
  <c r="BX727" i="5" s="1"/>
  <c r="CB724" i="5"/>
  <c r="BX724" i="5" s="1"/>
  <c r="CA724" i="5"/>
  <c r="BW724" i="5" s="1"/>
  <c r="CB725" i="5"/>
  <c r="BX725" i="5" s="1"/>
  <c r="CA726" i="5"/>
  <c r="BW726" i="5" s="1"/>
  <c r="CA727" i="5"/>
  <c r="BW727" i="5" s="1"/>
  <c r="CB726" i="5"/>
  <c r="BX726" i="5" s="1"/>
  <c r="CA730" i="5"/>
  <c r="BW730" i="5" s="1"/>
  <c r="CA728" i="5"/>
  <c r="BW728" i="5" s="1"/>
  <c r="CB730" i="5"/>
  <c r="BX730" i="5" s="1"/>
  <c r="CB731" i="5"/>
  <c r="BX731" i="5" s="1"/>
  <c r="CB728" i="5"/>
  <c r="BX728" i="5" s="1"/>
  <c r="CA732" i="5"/>
  <c r="BW732" i="5" s="1"/>
  <c r="CA729" i="5"/>
  <c r="BW729" i="5" s="1"/>
  <c r="CB732" i="5"/>
  <c r="BX732" i="5" s="1"/>
  <c r="CB729" i="5"/>
  <c r="BX729" i="5" s="1"/>
  <c r="CB733" i="5"/>
  <c r="BX733" i="5" s="1"/>
  <c r="CA731" i="5"/>
  <c r="BW731" i="5" s="1"/>
  <c r="CB735" i="5"/>
  <c r="BX735" i="5" s="1"/>
  <c r="CB736" i="5"/>
  <c r="BX736" i="5" s="1"/>
  <c r="CA734" i="5"/>
  <c r="BW734" i="5" s="1"/>
  <c r="CA733" i="5"/>
  <c r="BW733" i="5" s="1"/>
  <c r="CA736" i="5"/>
  <c r="BW736" i="5" s="1"/>
  <c r="CB734" i="5"/>
  <c r="BX734" i="5" s="1"/>
  <c r="CA735" i="5"/>
  <c r="BW735" i="5" s="1"/>
  <c r="CB737" i="5"/>
  <c r="BX737" i="5" s="1"/>
  <c r="CA737" i="5"/>
  <c r="BW737" i="5" s="1"/>
  <c r="CB739" i="5"/>
  <c r="BX739" i="5" s="1"/>
  <c r="CB740" i="5"/>
  <c r="BX740" i="5" s="1"/>
  <c r="CA738" i="5"/>
  <c r="BW738" i="5" s="1"/>
  <c r="CA739" i="5"/>
  <c r="BW739" i="5" s="1"/>
  <c r="CA740" i="5"/>
  <c r="BW740" i="5" s="1"/>
  <c r="CB744" i="5"/>
  <c r="BX744" i="5" s="1"/>
  <c r="CA746" i="5"/>
  <c r="CB741" i="5"/>
  <c r="BX741" i="5" s="1"/>
  <c r="CA742" i="5"/>
  <c r="BW742" i="5" s="1"/>
  <c r="CA744" i="5"/>
  <c r="BW744" i="5" s="1"/>
  <c r="CB743" i="5"/>
  <c r="BX743" i="5" s="1"/>
  <c r="CB738" i="5"/>
  <c r="BX738" i="5" s="1"/>
  <c r="AH747" i="5"/>
  <c r="AK747" i="5"/>
  <c r="BP746" i="5"/>
  <c r="AM746" i="5"/>
  <c r="AL746" i="5"/>
  <c r="BV745" i="5"/>
  <c r="BS745" i="5"/>
  <c r="AV748" i="5"/>
  <c r="AG748" i="5"/>
  <c r="AA748" i="5"/>
  <c r="Z748" i="5"/>
  <c r="AB748" i="5"/>
  <c r="AW748" i="5"/>
  <c r="AL295" i="5"/>
  <c r="AV295" i="5"/>
  <c r="AL293" i="5"/>
  <c r="AI295" i="5"/>
  <c r="AV293" i="5"/>
  <c r="AI293" i="5"/>
  <c r="AW293" i="5"/>
  <c r="AV294" i="5"/>
  <c r="AL294" i="5"/>
  <c r="AW294" i="5"/>
  <c r="AI294" i="5"/>
  <c r="AW295" i="5"/>
  <c r="AI297" i="5"/>
  <c r="AL296" i="5"/>
  <c r="AI296" i="5"/>
  <c r="AW297" i="5"/>
  <c r="AW296" i="5"/>
  <c r="AV296" i="5"/>
  <c r="AL297" i="5"/>
  <c r="AL298" i="5"/>
  <c r="AW298" i="5"/>
  <c r="AI298" i="5"/>
  <c r="AV297" i="5"/>
  <c r="AL302" i="5"/>
  <c r="AW299" i="5"/>
  <c r="AV298" i="5"/>
  <c r="AW300" i="5"/>
  <c r="AL299" i="5"/>
  <c r="AV300" i="5"/>
  <c r="AI299" i="5"/>
  <c r="AV299" i="5"/>
  <c r="AL300" i="5"/>
  <c r="AI301" i="5"/>
  <c r="AV301" i="5"/>
  <c r="AI300" i="5"/>
  <c r="AI304" i="5"/>
  <c r="AV302" i="5"/>
  <c r="AL301" i="5"/>
  <c r="AI303" i="5"/>
  <c r="AL304" i="5"/>
  <c r="AI305" i="5"/>
  <c r="AL303" i="5"/>
  <c r="AI302" i="5"/>
  <c r="AW301" i="5"/>
  <c r="AL305" i="5"/>
  <c r="AW305" i="5"/>
  <c r="AV304" i="5"/>
  <c r="AW302" i="5"/>
  <c r="AL307" i="5"/>
  <c r="AW304" i="5"/>
  <c r="AI307" i="5"/>
  <c r="AW307" i="5"/>
  <c r="AV305" i="5"/>
  <c r="AW303" i="5"/>
  <c r="AV303" i="5"/>
  <c r="AW306" i="5"/>
  <c r="AI308" i="5"/>
  <c r="AI306" i="5"/>
  <c r="AW310" i="5"/>
  <c r="AV311" i="5"/>
  <c r="AV307" i="5"/>
  <c r="AL308" i="5"/>
  <c r="AL306" i="5"/>
  <c r="AV306" i="5"/>
  <c r="AW308" i="5"/>
  <c r="AV308" i="5"/>
  <c r="AV309" i="5"/>
  <c r="AI310" i="5"/>
  <c r="AW312" i="5"/>
  <c r="AL309" i="5"/>
  <c r="AV312" i="5"/>
  <c r="AW309" i="5"/>
  <c r="AI309" i="5"/>
  <c r="AI311" i="5"/>
  <c r="AW314" i="5"/>
  <c r="AL311" i="5"/>
  <c r="AV310" i="5"/>
  <c r="AL310" i="5"/>
  <c r="AW311" i="5"/>
  <c r="AI315" i="5"/>
  <c r="AI312" i="5"/>
  <c r="AL312" i="5"/>
  <c r="AV313" i="5"/>
  <c r="AV315" i="5"/>
  <c r="AL314" i="5"/>
  <c r="AL315" i="5"/>
  <c r="AL313" i="5"/>
  <c r="AL317" i="5"/>
  <c r="AI317" i="5"/>
  <c r="AI313" i="5"/>
  <c r="AI314" i="5"/>
  <c r="AW313" i="5"/>
  <c r="AW315" i="5"/>
  <c r="AW316" i="5"/>
  <c r="AW320" i="5"/>
  <c r="AW318" i="5"/>
  <c r="AW317" i="5"/>
  <c r="AW319" i="5"/>
  <c r="AW321" i="5"/>
  <c r="AW322" i="5"/>
  <c r="AW323" i="5"/>
  <c r="AW324" i="5"/>
  <c r="AI324" i="5"/>
  <c r="AW326" i="5"/>
  <c r="AI327" i="5"/>
  <c r="AV324" i="5"/>
  <c r="AL326" i="5"/>
  <c r="AI325" i="5"/>
  <c r="AW328" i="5"/>
  <c r="AL324" i="5"/>
  <c r="AL325" i="5"/>
  <c r="AI326" i="5"/>
  <c r="AW325" i="5"/>
  <c r="AW329" i="5"/>
  <c r="AV325" i="5"/>
  <c r="AL327" i="5"/>
  <c r="AI331" i="5"/>
  <c r="AI329" i="5"/>
  <c r="AW327" i="5"/>
  <c r="AV326" i="5"/>
  <c r="AV327" i="5"/>
  <c r="AV329" i="5"/>
  <c r="AW332" i="5"/>
  <c r="AV328" i="5"/>
  <c r="AL328" i="5"/>
  <c r="AI328" i="5"/>
  <c r="AI335" i="5"/>
  <c r="AL330" i="5"/>
  <c r="AW330" i="5"/>
  <c r="AL329" i="5"/>
  <c r="AW331" i="5"/>
  <c r="AL331" i="5"/>
  <c r="AI330" i="5"/>
  <c r="AV330" i="5"/>
  <c r="AI332" i="5"/>
  <c r="AV332" i="5"/>
  <c r="AL332" i="5"/>
  <c r="AW335" i="5"/>
  <c r="AV331" i="5"/>
  <c r="AW333" i="5"/>
  <c r="AI333" i="5"/>
  <c r="AL337" i="5"/>
  <c r="AL334" i="5"/>
  <c r="AL335" i="5"/>
  <c r="AL333" i="5"/>
  <c r="AW334" i="5"/>
  <c r="AI334" i="5"/>
  <c r="AV334" i="5"/>
  <c r="AI337" i="5"/>
  <c r="AV333" i="5"/>
  <c r="AW338" i="5"/>
  <c r="AV335" i="5"/>
  <c r="AW336" i="5"/>
  <c r="AL339" i="5"/>
  <c r="AV338" i="5"/>
  <c r="AV336" i="5"/>
  <c r="AL336" i="5"/>
  <c r="AI336" i="5"/>
  <c r="AW337" i="5"/>
  <c r="AV337" i="5"/>
  <c r="AI339" i="5"/>
  <c r="AI338" i="5"/>
  <c r="AI341" i="5"/>
  <c r="AL338" i="5"/>
  <c r="AI340" i="5"/>
  <c r="AL341" i="5"/>
  <c r="AW340" i="5"/>
  <c r="AW339" i="5"/>
  <c r="AL340" i="5"/>
  <c r="AL342" i="5"/>
  <c r="AV339" i="5"/>
  <c r="AV340" i="5"/>
  <c r="AL344" i="5"/>
  <c r="AO344" i="5" s="1"/>
  <c r="AV343" i="5"/>
  <c r="AV341" i="5"/>
  <c r="AV345" i="5"/>
  <c r="AV344" i="5"/>
  <c r="AR344" i="5" s="1"/>
  <c r="AW342" i="5"/>
  <c r="AW345" i="5"/>
  <c r="AW341" i="5"/>
  <c r="AI342" i="5"/>
  <c r="AI345" i="5"/>
  <c r="AV342" i="5"/>
  <c r="AW343" i="5"/>
  <c r="AI343" i="5"/>
  <c r="AW344" i="5"/>
  <c r="AW346" i="5"/>
  <c r="AW348" i="5"/>
  <c r="AW347" i="5"/>
  <c r="AW351" i="5"/>
  <c r="AW349" i="5"/>
  <c r="AW353" i="5"/>
  <c r="AW350" i="5"/>
  <c r="AW352" i="5"/>
  <c r="AI354" i="5"/>
  <c r="AV353" i="5"/>
  <c r="AI356" i="5"/>
  <c r="AW357" i="5"/>
  <c r="AL353" i="5"/>
  <c r="AI355" i="5"/>
  <c r="AL355" i="5"/>
  <c r="AV354" i="5"/>
  <c r="AW354" i="5"/>
  <c r="AW355" i="5"/>
  <c r="AI353" i="5"/>
  <c r="AW356" i="5"/>
  <c r="AI359" i="5"/>
  <c r="AL357" i="5"/>
  <c r="AV356" i="5"/>
  <c r="AV355" i="5"/>
  <c r="AL358" i="5"/>
  <c r="AL354" i="5"/>
  <c r="AL356" i="5"/>
  <c r="AV357" i="5"/>
  <c r="AV358" i="5"/>
  <c r="AI357" i="5"/>
  <c r="AI358" i="5"/>
  <c r="AI361" i="5"/>
  <c r="AV359" i="5"/>
  <c r="AL359" i="5"/>
  <c r="AW358" i="5"/>
  <c r="AW359" i="5"/>
  <c r="AI360" i="5"/>
  <c r="AW361" i="5"/>
  <c r="AV361" i="5"/>
  <c r="AL361" i="5"/>
  <c r="AV360" i="5"/>
  <c r="AW360" i="5"/>
  <c r="AL360" i="5"/>
  <c r="AL365" i="5"/>
  <c r="AI366" i="5"/>
  <c r="AW362" i="5"/>
  <c r="AL364" i="5"/>
  <c r="AW364" i="5"/>
  <c r="AV363" i="5"/>
  <c r="AV362" i="5"/>
  <c r="AI363" i="5"/>
  <c r="AI362" i="5"/>
  <c r="AL363" i="5"/>
  <c r="AW363" i="5"/>
  <c r="AL362" i="5"/>
  <c r="AI365" i="5"/>
  <c r="AW365" i="5"/>
  <c r="AV364" i="5"/>
  <c r="AI364" i="5"/>
  <c r="AL369" i="5"/>
  <c r="AW367" i="5"/>
  <c r="AL367" i="5"/>
  <c r="AV365" i="5"/>
  <c r="AL366" i="5"/>
  <c r="AI367" i="5"/>
  <c r="AV366" i="5"/>
  <c r="AL371" i="5"/>
  <c r="AI368" i="5"/>
  <c r="AW366" i="5"/>
  <c r="AV367" i="5"/>
  <c r="AW371" i="5"/>
  <c r="AI369" i="5"/>
  <c r="AV369" i="5"/>
  <c r="AL370" i="5"/>
  <c r="AV370" i="5"/>
  <c r="AI370" i="5"/>
  <c r="AV368" i="5"/>
  <c r="AL368" i="5"/>
  <c r="AV372" i="5"/>
  <c r="AW368" i="5"/>
  <c r="AW370" i="5"/>
  <c r="AW369" i="5"/>
  <c r="AW372" i="5"/>
  <c r="AI372" i="5"/>
  <c r="AV371" i="5"/>
  <c r="AL372" i="5"/>
  <c r="AI371" i="5"/>
  <c r="AW373" i="5"/>
  <c r="AI377" i="5"/>
  <c r="AV374" i="5"/>
  <c r="AI373" i="5"/>
  <c r="AL373" i="5"/>
  <c r="AL376" i="5"/>
  <c r="AO376" i="5" s="1"/>
  <c r="AV373" i="5"/>
  <c r="AW378" i="5"/>
  <c r="AW374" i="5"/>
  <c r="AW375" i="5"/>
  <c r="AW376" i="5"/>
  <c r="AW377" i="5"/>
  <c r="AW379" i="5"/>
  <c r="AW380" i="5"/>
  <c r="AW381" i="5"/>
  <c r="AW383" i="5"/>
  <c r="AW382" i="5"/>
  <c r="AV385" i="5"/>
  <c r="AR385" i="5" s="1"/>
  <c r="AW384" i="5"/>
  <c r="AS384" i="5" s="1"/>
  <c r="AW385" i="5"/>
  <c r="AS385" i="5" s="1"/>
  <c r="AV384" i="5"/>
  <c r="AR384" i="5" s="1"/>
  <c r="AV389" i="5"/>
  <c r="AR389" i="5" s="1"/>
  <c r="AV386" i="5"/>
  <c r="AR386" i="5" s="1"/>
  <c r="AW390" i="5"/>
  <c r="AS390" i="5" s="1"/>
  <c r="AW386" i="5"/>
  <c r="AS386" i="5" s="1"/>
  <c r="AW389" i="5"/>
  <c r="AS389" i="5" s="1"/>
  <c r="AV387" i="5"/>
  <c r="AR387" i="5" s="1"/>
  <c r="AW387" i="5"/>
  <c r="AS387" i="5" s="1"/>
  <c r="AV388" i="5"/>
  <c r="AR388" i="5" s="1"/>
  <c r="AW388" i="5"/>
  <c r="AS388" i="5" s="1"/>
  <c r="AW392" i="5"/>
  <c r="AS392" i="5" s="1"/>
  <c r="AW393" i="5"/>
  <c r="AS393" i="5" s="1"/>
  <c r="AV390" i="5"/>
  <c r="AR390" i="5" s="1"/>
  <c r="AW395" i="5"/>
  <c r="AS395" i="5" s="1"/>
  <c r="AW394" i="5"/>
  <c r="AS394" i="5" s="1"/>
  <c r="AV391" i="5"/>
  <c r="AR391" i="5" s="1"/>
  <c r="AW397" i="5"/>
  <c r="AS397" i="5" s="1"/>
  <c r="AW391" i="5"/>
  <c r="AS391" i="5" s="1"/>
  <c r="AV392" i="5"/>
  <c r="AR392" i="5" s="1"/>
  <c r="AV393" i="5"/>
  <c r="AR393" i="5" s="1"/>
  <c r="AV394" i="5"/>
  <c r="AR394" i="5" s="1"/>
  <c r="AW398" i="5"/>
  <c r="AS398" i="5" s="1"/>
  <c r="AV395" i="5"/>
  <c r="AR395" i="5" s="1"/>
  <c r="AV396" i="5"/>
  <c r="AR396" i="5" s="1"/>
  <c r="AW399" i="5"/>
  <c r="AS399" i="5" s="1"/>
  <c r="AW396" i="5"/>
  <c r="AS396" i="5" s="1"/>
  <c r="AW401" i="5"/>
  <c r="AS401" i="5" s="1"/>
  <c r="AV397" i="5"/>
  <c r="AR397" i="5" s="1"/>
  <c r="AW402" i="5"/>
  <c r="AS402" i="5" s="1"/>
  <c r="AV398" i="5"/>
  <c r="AR398" i="5" s="1"/>
  <c r="AV399" i="5"/>
  <c r="AR399" i="5" s="1"/>
  <c r="AV400" i="5"/>
  <c r="AR400" i="5" s="1"/>
  <c r="AW400" i="5"/>
  <c r="AS400" i="5" s="1"/>
  <c r="AV403" i="5"/>
  <c r="AR403" i="5" s="1"/>
  <c r="AV401" i="5"/>
  <c r="AR401" i="5" s="1"/>
  <c r="AV405" i="5"/>
  <c r="AR405" i="5" s="1"/>
  <c r="AW404" i="5"/>
  <c r="AS404" i="5" s="1"/>
  <c r="AW407" i="5"/>
  <c r="AS407" i="5" s="1"/>
  <c r="AV402" i="5"/>
  <c r="AR402" i="5" s="1"/>
  <c r="AW403" i="5"/>
  <c r="AS403" i="5" s="1"/>
  <c r="AV407" i="5"/>
  <c r="AR407" i="5" s="1"/>
  <c r="AW405" i="5"/>
  <c r="AS405" i="5" s="1"/>
  <c r="AW409" i="5"/>
  <c r="AS409" i="5" s="1"/>
  <c r="AW406" i="5"/>
  <c r="AS406" i="5" s="1"/>
  <c r="AW408" i="5"/>
  <c r="AS408" i="5" s="1"/>
  <c r="AW412" i="5"/>
  <c r="AS412" i="5" s="1"/>
  <c r="AW411" i="5"/>
  <c r="AS411" i="5" s="1"/>
  <c r="AW410" i="5"/>
  <c r="AS410" i="5" s="1"/>
  <c r="AW414" i="5"/>
  <c r="AS414" i="5" s="1"/>
  <c r="AW416" i="5"/>
  <c r="AS416" i="5" s="1"/>
  <c r="AW413" i="5"/>
  <c r="AS413" i="5" s="1"/>
  <c r="AV415" i="5"/>
  <c r="AR415" i="5" s="1"/>
  <c r="AV414" i="5"/>
  <c r="AR414" i="5" s="1"/>
  <c r="AW417" i="5"/>
  <c r="AS417" i="5" s="1"/>
  <c r="AW419" i="5"/>
  <c r="AS419" i="5" s="1"/>
  <c r="AW415" i="5"/>
  <c r="AS415" i="5" s="1"/>
  <c r="AV417" i="5"/>
  <c r="AR417" i="5" s="1"/>
  <c r="AV416" i="5"/>
  <c r="AR416" i="5" s="1"/>
  <c r="AV419" i="5"/>
  <c r="AR419" i="5" s="1"/>
  <c r="AW420" i="5"/>
  <c r="AS420" i="5" s="1"/>
  <c r="AW421" i="5"/>
  <c r="AS421" i="5" s="1"/>
  <c r="AW418" i="5"/>
  <c r="AS418" i="5" s="1"/>
  <c r="AV418" i="5"/>
  <c r="AR418" i="5" s="1"/>
  <c r="AV420" i="5"/>
  <c r="AR420" i="5" s="1"/>
  <c r="AW424" i="5"/>
  <c r="AS424" i="5" s="1"/>
  <c r="AV421" i="5"/>
  <c r="AR421" i="5" s="1"/>
  <c r="AV422" i="5"/>
  <c r="AR422" i="5" s="1"/>
  <c r="AW422" i="5"/>
  <c r="AS422" i="5" s="1"/>
  <c r="AW426" i="5"/>
  <c r="AS426" i="5" s="1"/>
  <c r="AV423" i="5"/>
  <c r="AR423" i="5" s="1"/>
  <c r="AW423" i="5"/>
  <c r="AS423" i="5" s="1"/>
  <c r="AV424" i="5"/>
  <c r="AR424" i="5" s="1"/>
  <c r="AV425" i="5"/>
  <c r="AR425" i="5" s="1"/>
  <c r="AW425" i="5"/>
  <c r="AS425" i="5" s="1"/>
  <c r="AW429" i="5"/>
  <c r="AS429" i="5" s="1"/>
  <c r="AW430" i="5"/>
  <c r="AS430" i="5" s="1"/>
  <c r="AV426" i="5"/>
  <c r="AR426" i="5" s="1"/>
  <c r="AW431" i="5"/>
  <c r="AS431" i="5" s="1"/>
  <c r="AV427" i="5"/>
  <c r="AR427" i="5" s="1"/>
  <c r="AW427" i="5"/>
  <c r="AS427" i="5" s="1"/>
  <c r="AV428" i="5"/>
  <c r="AR428" i="5" s="1"/>
  <c r="AW428" i="5"/>
  <c r="AS428" i="5" s="1"/>
  <c r="AV429" i="5"/>
  <c r="AR429" i="5" s="1"/>
  <c r="AV430" i="5"/>
  <c r="AR430" i="5" s="1"/>
  <c r="AW433" i="5"/>
  <c r="AS433" i="5" s="1"/>
  <c r="AW432" i="5"/>
  <c r="AS432" i="5" s="1"/>
  <c r="AV431" i="5"/>
  <c r="AR431" i="5" s="1"/>
  <c r="AV432" i="5"/>
  <c r="AR432" i="5" s="1"/>
  <c r="AW436" i="5"/>
  <c r="AS436" i="5" s="1"/>
  <c r="AW435" i="5"/>
  <c r="AS435" i="5" s="1"/>
  <c r="AW437" i="5"/>
  <c r="AS437" i="5" s="1"/>
  <c r="AV433" i="5"/>
  <c r="AR433" i="5" s="1"/>
  <c r="AV434" i="5"/>
  <c r="AR434" i="5" s="1"/>
  <c r="AW434" i="5"/>
  <c r="AS434" i="5" s="1"/>
  <c r="AW438" i="5"/>
  <c r="AS438" i="5" s="1"/>
  <c r="AW441" i="5"/>
  <c r="AS441" i="5" s="1"/>
  <c r="AW439" i="5"/>
  <c r="AS439" i="5" s="1"/>
  <c r="AW440" i="5"/>
  <c r="AS440" i="5" s="1"/>
  <c r="AW444" i="5"/>
  <c r="AS444" i="5" s="1"/>
  <c r="AW442" i="5"/>
  <c r="AS442" i="5" s="1"/>
  <c r="AW446" i="5"/>
  <c r="AS446" i="5" s="1"/>
  <c r="AW443" i="5"/>
  <c r="AS443" i="5" s="1"/>
  <c r="AW447" i="5"/>
  <c r="AS447" i="5" s="1"/>
  <c r="AW449" i="5"/>
  <c r="AS449" i="5" s="1"/>
  <c r="AW445" i="5"/>
  <c r="AS445" i="5" s="1"/>
  <c r="AW448" i="5"/>
  <c r="AS448" i="5" s="1"/>
  <c r="AV445" i="5"/>
  <c r="AR445" i="5" s="1"/>
  <c r="AW450" i="5"/>
  <c r="AS450" i="5" s="1"/>
  <c r="AV446" i="5"/>
  <c r="AR446" i="5" s="1"/>
  <c r="AV447" i="5"/>
  <c r="AR447" i="5" s="1"/>
  <c r="AV449" i="5"/>
  <c r="AR449" i="5" s="1"/>
  <c r="AW452" i="5"/>
  <c r="AS452" i="5" s="1"/>
  <c r="AV448" i="5"/>
  <c r="AR448" i="5" s="1"/>
  <c r="AV450" i="5"/>
  <c r="AR450" i="5" s="1"/>
  <c r="AV454" i="5"/>
  <c r="AR454" i="5" s="1"/>
  <c r="AV451" i="5"/>
  <c r="AR451" i="5" s="1"/>
  <c r="AV452" i="5"/>
  <c r="AR452" i="5" s="1"/>
  <c r="AW451" i="5"/>
  <c r="AS451" i="5" s="1"/>
  <c r="AW453" i="5"/>
  <c r="AS453" i="5" s="1"/>
  <c r="AV453" i="5"/>
  <c r="AR453" i="5" s="1"/>
  <c r="AW456" i="5"/>
  <c r="AS456" i="5" s="1"/>
  <c r="AW458" i="5"/>
  <c r="AS458" i="5" s="1"/>
  <c r="AW454" i="5"/>
  <c r="AS454" i="5" s="1"/>
  <c r="AW455" i="5"/>
  <c r="AS455" i="5" s="1"/>
  <c r="AV455" i="5"/>
  <c r="AR455" i="5" s="1"/>
  <c r="AW459" i="5"/>
  <c r="AS459" i="5" s="1"/>
  <c r="AV456" i="5"/>
  <c r="AR456" i="5" s="1"/>
  <c r="AW460" i="5"/>
  <c r="AS460" i="5" s="1"/>
  <c r="AW457" i="5"/>
  <c r="AS457" i="5" s="1"/>
  <c r="AV458" i="5"/>
  <c r="AR458" i="5" s="1"/>
  <c r="AV457" i="5"/>
  <c r="AR457" i="5" s="1"/>
  <c r="AV459" i="5"/>
  <c r="AR459" i="5" s="1"/>
  <c r="AW462" i="5"/>
  <c r="AS462" i="5" s="1"/>
  <c r="AW461" i="5"/>
  <c r="AS461" i="5" s="1"/>
  <c r="AW463" i="5"/>
  <c r="AS463" i="5" s="1"/>
  <c r="AV460" i="5"/>
  <c r="AR460" i="5" s="1"/>
  <c r="AW464" i="5"/>
  <c r="AS464" i="5" s="1"/>
  <c r="AV461" i="5"/>
  <c r="AR461" i="5" s="1"/>
  <c r="AV462" i="5"/>
  <c r="AR462" i="5" s="1"/>
  <c r="AV463" i="5"/>
  <c r="AR463" i="5" s="1"/>
  <c r="AW466" i="5"/>
  <c r="AS466" i="5" s="1"/>
  <c r="AV464" i="5"/>
  <c r="AR464" i="5" s="1"/>
  <c r="AV465" i="5"/>
  <c r="AR465" i="5" s="1"/>
  <c r="AW465" i="5"/>
  <c r="AS465" i="5" s="1"/>
  <c r="AW468" i="5"/>
  <c r="AS468" i="5" s="1"/>
  <c r="AW470" i="5"/>
  <c r="AS470" i="5" s="1"/>
  <c r="AW467" i="5"/>
  <c r="AS467" i="5" s="1"/>
  <c r="AW472" i="5"/>
  <c r="AS472" i="5" s="1"/>
  <c r="AW471" i="5"/>
  <c r="AS471" i="5" s="1"/>
  <c r="AW469" i="5"/>
  <c r="AS469" i="5" s="1"/>
  <c r="AW474" i="5"/>
  <c r="AS474" i="5" s="1"/>
  <c r="AW473" i="5"/>
  <c r="AS473" i="5" s="1"/>
  <c r="AW476" i="5"/>
  <c r="AS476" i="5" s="1"/>
  <c r="AV475" i="5"/>
  <c r="AR475" i="5" s="1"/>
  <c r="AW475" i="5"/>
  <c r="AS475" i="5" s="1"/>
  <c r="AV476" i="5"/>
  <c r="AR476" i="5" s="1"/>
  <c r="AV478" i="5"/>
  <c r="AR478" i="5" s="1"/>
  <c r="AV477" i="5"/>
  <c r="AR477" i="5" s="1"/>
  <c r="AW477" i="5"/>
  <c r="AS477" i="5" s="1"/>
  <c r="AW480" i="5"/>
  <c r="AS480" i="5" s="1"/>
  <c r="AW484" i="5"/>
  <c r="AS484" i="5" s="1"/>
  <c r="AW482" i="5"/>
  <c r="AS482" i="5" s="1"/>
  <c r="AV479" i="5"/>
  <c r="AR479" i="5" s="1"/>
  <c r="AW478" i="5"/>
  <c r="AS478" i="5" s="1"/>
  <c r="AV482" i="5"/>
  <c r="AR482" i="5" s="1"/>
  <c r="AW479" i="5"/>
  <c r="AS479" i="5" s="1"/>
  <c r="AV480" i="5"/>
  <c r="AR480" i="5" s="1"/>
  <c r="AV481" i="5"/>
  <c r="AR481" i="5" s="1"/>
  <c r="AW483" i="5"/>
  <c r="AS483" i="5" s="1"/>
  <c r="AW481" i="5"/>
  <c r="AS481" i="5" s="1"/>
  <c r="AV483" i="5"/>
  <c r="AR483" i="5" s="1"/>
  <c r="AW485" i="5"/>
  <c r="AS485" i="5" s="1"/>
  <c r="AV484" i="5"/>
  <c r="AR484" i="5" s="1"/>
  <c r="AW488" i="5"/>
  <c r="AS488" i="5" s="1"/>
  <c r="AV485" i="5"/>
  <c r="AR485" i="5" s="1"/>
  <c r="AV486" i="5"/>
  <c r="AR486" i="5" s="1"/>
  <c r="AW486" i="5"/>
  <c r="AS486" i="5" s="1"/>
  <c r="AW487" i="5"/>
  <c r="AS487" i="5" s="1"/>
  <c r="AW490" i="5"/>
  <c r="AS490" i="5" s="1"/>
  <c r="AV488" i="5"/>
  <c r="AR488" i="5" s="1"/>
  <c r="AV487" i="5"/>
  <c r="AR487" i="5" s="1"/>
  <c r="AW489" i="5"/>
  <c r="AS489" i="5" s="1"/>
  <c r="AV490" i="5"/>
  <c r="AR490" i="5" s="1"/>
  <c r="AW492" i="5"/>
  <c r="AS492" i="5" s="1"/>
  <c r="AV489" i="5"/>
  <c r="AR489" i="5" s="1"/>
  <c r="AV491" i="5"/>
  <c r="AR491" i="5" s="1"/>
  <c r="AW491" i="5"/>
  <c r="AS491" i="5" s="1"/>
  <c r="AV492" i="5"/>
  <c r="AR492" i="5" s="1"/>
  <c r="AW495" i="5"/>
  <c r="AS495" i="5" s="1"/>
  <c r="AW493" i="5"/>
  <c r="AS493" i="5" s="1"/>
  <c r="AW496" i="5"/>
  <c r="AS496" i="5" s="1"/>
  <c r="AV493" i="5"/>
  <c r="AR493" i="5" s="1"/>
  <c r="AV494" i="5"/>
  <c r="AR494" i="5" s="1"/>
  <c r="AW497" i="5"/>
  <c r="AS497" i="5" s="1"/>
  <c r="AW494" i="5"/>
  <c r="AS494" i="5" s="1"/>
  <c r="AV495" i="5"/>
  <c r="AR495" i="5" s="1"/>
  <c r="AW499" i="5"/>
  <c r="AS499" i="5" s="1"/>
  <c r="AW500" i="5"/>
  <c r="AS500" i="5" s="1"/>
  <c r="AW501" i="5"/>
  <c r="AS501" i="5" s="1"/>
  <c r="AW502" i="5"/>
  <c r="AS502" i="5" s="1"/>
  <c r="AW498" i="5"/>
  <c r="AS498" i="5" s="1"/>
  <c r="AW504" i="5"/>
  <c r="AS504" i="5" s="1"/>
  <c r="AW506" i="5"/>
  <c r="AS506" i="5" s="1"/>
  <c r="AW503" i="5"/>
  <c r="AS503" i="5" s="1"/>
  <c r="AW507" i="5"/>
  <c r="AS507" i="5" s="1"/>
  <c r="AW508" i="5"/>
  <c r="AS508" i="5" s="1"/>
  <c r="AW505" i="5"/>
  <c r="AS505" i="5" s="1"/>
  <c r="AV506" i="5"/>
  <c r="AR506" i="5" s="1"/>
  <c r="AW509" i="5"/>
  <c r="AS509" i="5" s="1"/>
  <c r="AV507" i="5"/>
  <c r="AR507" i="5" s="1"/>
  <c r="AW511" i="5"/>
  <c r="AS511" i="5" s="1"/>
  <c r="AV508" i="5"/>
  <c r="AR508" i="5" s="1"/>
  <c r="AV509" i="5"/>
  <c r="AR509" i="5" s="1"/>
  <c r="AW513" i="5"/>
  <c r="AS513" i="5" s="1"/>
  <c r="AW510" i="5"/>
  <c r="AS510" i="5" s="1"/>
  <c r="AV510" i="5"/>
  <c r="AR510" i="5" s="1"/>
  <c r="AW514" i="5"/>
  <c r="AS514" i="5" s="1"/>
  <c r="AV511" i="5"/>
  <c r="AR511" i="5" s="1"/>
  <c r="AV515" i="5"/>
  <c r="AR515" i="5" s="1"/>
  <c r="AV513" i="5"/>
  <c r="AR513" i="5" s="1"/>
  <c r="AW512" i="5"/>
  <c r="AS512" i="5" s="1"/>
  <c r="AV512" i="5"/>
  <c r="AR512" i="5" s="1"/>
  <c r="AW516" i="5"/>
  <c r="AS516" i="5" s="1"/>
  <c r="AW517" i="5"/>
  <c r="AS517" i="5" s="1"/>
  <c r="AV514" i="5"/>
  <c r="AR514" i="5" s="1"/>
  <c r="AW515" i="5"/>
  <c r="AS515" i="5" s="1"/>
  <c r="AV517" i="5"/>
  <c r="AR517" i="5" s="1"/>
  <c r="AV516" i="5"/>
  <c r="AR516" i="5" s="1"/>
  <c r="AW518" i="5"/>
  <c r="AS518" i="5" s="1"/>
  <c r="AV518" i="5"/>
  <c r="AR518" i="5" s="1"/>
  <c r="AV519" i="5"/>
  <c r="AR519" i="5" s="1"/>
  <c r="AV522" i="5"/>
  <c r="AR522" i="5" s="1"/>
  <c r="AW519" i="5"/>
  <c r="AS519" i="5" s="1"/>
  <c r="AW520" i="5"/>
  <c r="AS520" i="5" s="1"/>
  <c r="AW523" i="5"/>
  <c r="AS523" i="5" s="1"/>
  <c r="AV520" i="5"/>
  <c r="AR520" i="5" s="1"/>
  <c r="AW521" i="5"/>
  <c r="AS521" i="5" s="1"/>
  <c r="AW525" i="5"/>
  <c r="AS525" i="5" s="1"/>
  <c r="AV521" i="5"/>
  <c r="AR521" i="5" s="1"/>
  <c r="AW526" i="5"/>
  <c r="AS526" i="5" s="1"/>
  <c r="AW522" i="5"/>
  <c r="AS522" i="5" s="1"/>
  <c r="AV523" i="5"/>
  <c r="AR523" i="5" s="1"/>
  <c r="AW524" i="5"/>
  <c r="AS524" i="5" s="1"/>
  <c r="AV524" i="5"/>
  <c r="AR524" i="5" s="1"/>
  <c r="AW528" i="5"/>
  <c r="AS528" i="5" s="1"/>
  <c r="AV526" i="5"/>
  <c r="AR526" i="5" s="1"/>
  <c r="AV525" i="5"/>
  <c r="AR525" i="5" s="1"/>
  <c r="AV527" i="5"/>
  <c r="AR527" i="5" s="1"/>
  <c r="AW530" i="5"/>
  <c r="AS530" i="5" s="1"/>
  <c r="AW527" i="5"/>
  <c r="AS527" i="5" s="1"/>
  <c r="AW531" i="5"/>
  <c r="AS531" i="5" s="1"/>
  <c r="AW532" i="5"/>
  <c r="AS532" i="5" s="1"/>
  <c r="AW529" i="5"/>
  <c r="AS529" i="5" s="1"/>
  <c r="AW534" i="5"/>
  <c r="AS534" i="5" s="1"/>
  <c r="AW535" i="5"/>
  <c r="AS535" i="5" s="1"/>
  <c r="AW533" i="5"/>
  <c r="AS533" i="5" s="1"/>
  <c r="AW537" i="5"/>
  <c r="AS537" i="5" s="1"/>
  <c r="AW538" i="5"/>
  <c r="AS538" i="5" s="1"/>
  <c r="AW536" i="5"/>
  <c r="AS536" i="5" s="1"/>
  <c r="AV537" i="5"/>
  <c r="AR537" i="5" s="1"/>
  <c r="AV539" i="5"/>
  <c r="AR539" i="5" s="1"/>
  <c r="AV538" i="5"/>
  <c r="AR538" i="5" s="1"/>
  <c r="AW541" i="5"/>
  <c r="AS541" i="5" s="1"/>
  <c r="AW542" i="5"/>
  <c r="AS542" i="5" s="1"/>
  <c r="AW539" i="5"/>
  <c r="AS539" i="5" s="1"/>
  <c r="AV540" i="5"/>
  <c r="AR540" i="5" s="1"/>
  <c r="AV541" i="5"/>
  <c r="AR541" i="5" s="1"/>
  <c r="AW540" i="5"/>
  <c r="AS540" i="5" s="1"/>
  <c r="AV542" i="5"/>
  <c r="AR542" i="5" s="1"/>
  <c r="AV543" i="5"/>
  <c r="AR543" i="5" s="1"/>
  <c r="AW545" i="5"/>
  <c r="AS545" i="5" s="1"/>
  <c r="AW546" i="5"/>
  <c r="AS546" i="5" s="1"/>
  <c r="AW543" i="5"/>
  <c r="AS543" i="5" s="1"/>
  <c r="AV547" i="5"/>
  <c r="AR547" i="5" s="1"/>
  <c r="AW547" i="5"/>
  <c r="AS547" i="5" s="1"/>
  <c r="AV544" i="5"/>
  <c r="AR544" i="5" s="1"/>
  <c r="AW544" i="5"/>
  <c r="AS544" i="5" s="1"/>
  <c r="AV545" i="5"/>
  <c r="AR545" i="5" s="1"/>
  <c r="AW548" i="5"/>
  <c r="AS548" i="5" s="1"/>
  <c r="AV546" i="5"/>
  <c r="AR546" i="5" s="1"/>
  <c r="AW549" i="5"/>
  <c r="AS549" i="5" s="1"/>
  <c r="AW550" i="5"/>
  <c r="AS550" i="5" s="1"/>
  <c r="AV548" i="5"/>
  <c r="AR548" i="5" s="1"/>
  <c r="AV549" i="5"/>
  <c r="AR549" i="5" s="1"/>
  <c r="AV551" i="5"/>
  <c r="AR551" i="5" s="1"/>
  <c r="AW551" i="5"/>
  <c r="AS551" i="5" s="1"/>
  <c r="AV552" i="5"/>
  <c r="AR552" i="5" s="1"/>
  <c r="AV550" i="5"/>
  <c r="AR550" i="5" s="1"/>
  <c r="AW552" i="5"/>
  <c r="AS552" i="5" s="1"/>
  <c r="AW555" i="5"/>
  <c r="AS555" i="5" s="1"/>
  <c r="AV553" i="5"/>
  <c r="AR553" i="5" s="1"/>
  <c r="AW556" i="5"/>
  <c r="AS556" i="5" s="1"/>
  <c r="AW553" i="5"/>
  <c r="AS553" i="5" s="1"/>
  <c r="AV554" i="5"/>
  <c r="AR554" i="5" s="1"/>
  <c r="AW557" i="5"/>
  <c r="AS557" i="5" s="1"/>
  <c r="AW554" i="5"/>
  <c r="AS554" i="5" s="1"/>
  <c r="AV555" i="5"/>
  <c r="AR555" i="5" s="1"/>
  <c r="AV556" i="5"/>
  <c r="AR556" i="5" s="1"/>
  <c r="AW560" i="5"/>
  <c r="AS560" i="5" s="1"/>
  <c r="AW558" i="5"/>
  <c r="AS558" i="5" s="1"/>
  <c r="AW562" i="5"/>
  <c r="AS562" i="5" s="1"/>
  <c r="AW559" i="5"/>
  <c r="AS559" i="5" s="1"/>
  <c r="AW563" i="5"/>
  <c r="AS563" i="5" s="1"/>
  <c r="AW565" i="5"/>
  <c r="AS565" i="5" s="1"/>
  <c r="AW561" i="5"/>
  <c r="AS561" i="5" s="1"/>
  <c r="AW564" i="5"/>
  <c r="AS564" i="5" s="1"/>
  <c r="AW568" i="5"/>
  <c r="AS568" i="5" s="1"/>
  <c r="AV567" i="5"/>
  <c r="AR567" i="5" s="1"/>
  <c r="AW566" i="5"/>
  <c r="AS566" i="5" s="1"/>
  <c r="AW570" i="5"/>
  <c r="AS570" i="5" s="1"/>
  <c r="AV568" i="5"/>
  <c r="AR568" i="5" s="1"/>
  <c r="AW567" i="5"/>
  <c r="AS567" i="5" s="1"/>
  <c r="AV569" i="5"/>
  <c r="AR569" i="5" s="1"/>
  <c r="AW569" i="5"/>
  <c r="AS569" i="5" s="1"/>
  <c r="AV570" i="5"/>
  <c r="AR570" i="5" s="1"/>
  <c r="AW573" i="5"/>
  <c r="AS573" i="5" s="1"/>
  <c r="AV571" i="5"/>
  <c r="AR571" i="5" s="1"/>
  <c r="AW571" i="5"/>
  <c r="AS571" i="5" s="1"/>
  <c r="AW575" i="5"/>
  <c r="AS575" i="5" s="1"/>
  <c r="AW572" i="5"/>
  <c r="AS572" i="5" s="1"/>
  <c r="AV572" i="5"/>
  <c r="AR572" i="5" s="1"/>
  <c r="AV573" i="5"/>
  <c r="AR573" i="5" s="1"/>
  <c r="AV574" i="5"/>
  <c r="AR574" i="5" s="1"/>
  <c r="AW576" i="5"/>
  <c r="AS576" i="5" s="1"/>
  <c r="AW574" i="5"/>
  <c r="AS574" i="5" s="1"/>
  <c r="AW578" i="5"/>
  <c r="AS578" i="5" s="1"/>
  <c r="AV575" i="5"/>
  <c r="AR575" i="5" s="1"/>
  <c r="AV576" i="5"/>
  <c r="AR576" i="5" s="1"/>
  <c r="AW579" i="5"/>
  <c r="AS579" i="5" s="1"/>
  <c r="AW577" i="5"/>
  <c r="AS577" i="5" s="1"/>
  <c r="AV577" i="5"/>
  <c r="AR577" i="5" s="1"/>
  <c r="AW581" i="5"/>
  <c r="AS581" i="5" s="1"/>
  <c r="AV578" i="5"/>
  <c r="AR578" i="5" s="1"/>
  <c r="AV579" i="5"/>
  <c r="AR579" i="5" s="1"/>
  <c r="AW582" i="5"/>
  <c r="AS582" i="5" s="1"/>
  <c r="AV583" i="5"/>
  <c r="AR583" i="5" s="1"/>
  <c r="AW580" i="5"/>
  <c r="AS580" i="5" s="1"/>
  <c r="AV581" i="5"/>
  <c r="AR581" i="5" s="1"/>
  <c r="AV580" i="5"/>
  <c r="AR580" i="5" s="1"/>
  <c r="AW584" i="5"/>
  <c r="AS584" i="5" s="1"/>
  <c r="AV582" i="5"/>
  <c r="AR582" i="5" s="1"/>
  <c r="AW585" i="5"/>
  <c r="AS585" i="5" s="1"/>
  <c r="AW583" i="5"/>
  <c r="AS583" i="5" s="1"/>
  <c r="AW587" i="5"/>
  <c r="AS587" i="5" s="1"/>
  <c r="AV584" i="5"/>
  <c r="AR584" i="5" s="1"/>
  <c r="AV585" i="5"/>
  <c r="AR585" i="5" s="1"/>
  <c r="AW588" i="5"/>
  <c r="AS588" i="5" s="1"/>
  <c r="AW589" i="5"/>
  <c r="AS589" i="5" s="1"/>
  <c r="AV586" i="5"/>
  <c r="AR586" i="5" s="1"/>
  <c r="AW586" i="5"/>
  <c r="AS586" i="5" s="1"/>
  <c r="AV587" i="5"/>
  <c r="AR587" i="5" s="1"/>
  <c r="AW590" i="5"/>
  <c r="AS590" i="5" s="1"/>
  <c r="AW592" i="5"/>
  <c r="AS592" i="5" s="1"/>
  <c r="AW591" i="5"/>
  <c r="AS591" i="5" s="1"/>
  <c r="AW593" i="5"/>
  <c r="AS593" i="5" s="1"/>
  <c r="AW596" i="5"/>
  <c r="AS596" i="5" s="1"/>
  <c r="AW594" i="5"/>
  <c r="AS594" i="5" s="1"/>
  <c r="AW595" i="5"/>
  <c r="AS595" i="5" s="1"/>
  <c r="AW597" i="5"/>
  <c r="AS597" i="5" s="1"/>
  <c r="AW600" i="5"/>
  <c r="AS600" i="5" s="1"/>
  <c r="AW598" i="5"/>
  <c r="AS598" i="5" s="1"/>
  <c r="AV598" i="5"/>
  <c r="AR598" i="5" s="1"/>
  <c r="AW601" i="5"/>
  <c r="AS601" i="5" s="1"/>
  <c r="AW599" i="5"/>
  <c r="AS599" i="5" s="1"/>
  <c r="AV600" i="5"/>
  <c r="AR600" i="5" s="1"/>
  <c r="AW602" i="5"/>
  <c r="AS602" i="5" s="1"/>
  <c r="AV599" i="5"/>
  <c r="AR599" i="5" s="1"/>
  <c r="AV601" i="5"/>
  <c r="AR601" i="5" s="1"/>
  <c r="AV602" i="5"/>
  <c r="AR602" i="5" s="1"/>
  <c r="AW603" i="5"/>
  <c r="AS603" i="5" s="1"/>
  <c r="AV604" i="5"/>
  <c r="AR604" i="5" s="1"/>
  <c r="AV603" i="5"/>
  <c r="AR603" i="5" s="1"/>
  <c r="AV605" i="5"/>
  <c r="AR605" i="5" s="1"/>
  <c r="AV606" i="5"/>
  <c r="AR606" i="5" s="1"/>
  <c r="AW604" i="5"/>
  <c r="AS604" i="5" s="1"/>
  <c r="AW605" i="5"/>
  <c r="AS605" i="5" s="1"/>
  <c r="AW608" i="5"/>
  <c r="AS608" i="5" s="1"/>
  <c r="AV607" i="5"/>
  <c r="AR607" i="5" s="1"/>
  <c r="AW606" i="5"/>
  <c r="AS606" i="5" s="1"/>
  <c r="AV608" i="5"/>
  <c r="AR608" i="5" s="1"/>
  <c r="AW607" i="5"/>
  <c r="AS607" i="5" s="1"/>
  <c r="AV611" i="5"/>
  <c r="AR611" i="5" s="1"/>
  <c r="AV609" i="5"/>
  <c r="AR609" i="5" s="1"/>
  <c r="AV612" i="5"/>
  <c r="AR612" i="5" s="1"/>
  <c r="AW611" i="5"/>
  <c r="AS611" i="5" s="1"/>
  <c r="AW609" i="5"/>
  <c r="AS609" i="5" s="1"/>
  <c r="AW612" i="5"/>
  <c r="AS612" i="5" s="1"/>
  <c r="AW610" i="5"/>
  <c r="AS610" i="5" s="1"/>
  <c r="AV610" i="5"/>
  <c r="AR610" i="5" s="1"/>
  <c r="AW613" i="5"/>
  <c r="AS613" i="5" s="1"/>
  <c r="AW614" i="5"/>
  <c r="AS614" i="5" s="1"/>
  <c r="AV613" i="5"/>
  <c r="AR613" i="5" s="1"/>
  <c r="AW616" i="5"/>
  <c r="AS616" i="5" s="1"/>
  <c r="AW618" i="5"/>
  <c r="AS618" i="5" s="1"/>
  <c r="AV614" i="5"/>
  <c r="AR614" i="5" s="1"/>
  <c r="AV619" i="5"/>
  <c r="AR619" i="5" s="1"/>
  <c r="AV615" i="5"/>
  <c r="AR615" i="5" s="1"/>
  <c r="AW615" i="5"/>
  <c r="AS615" i="5" s="1"/>
  <c r="AV616" i="5"/>
  <c r="AR616" i="5" s="1"/>
  <c r="AW617" i="5"/>
  <c r="AS617" i="5" s="1"/>
  <c r="AV617" i="5"/>
  <c r="AR617" i="5" s="1"/>
  <c r="AW620" i="5"/>
  <c r="AS620" i="5" s="1"/>
  <c r="AW621" i="5"/>
  <c r="AS621" i="5" s="1"/>
  <c r="AW619" i="5"/>
  <c r="AS619" i="5" s="1"/>
  <c r="AW622" i="5"/>
  <c r="AS622" i="5" s="1"/>
  <c r="AW623" i="5"/>
  <c r="AS623" i="5" s="1"/>
  <c r="AW624" i="5"/>
  <c r="AS624" i="5" s="1"/>
  <c r="AW627" i="5"/>
  <c r="AS627" i="5" s="1"/>
  <c r="AW625" i="5"/>
  <c r="AS625" i="5" s="1"/>
  <c r="AW626" i="5"/>
  <c r="AS626" i="5" s="1"/>
  <c r="AW630" i="5"/>
  <c r="AS630" i="5" s="1"/>
  <c r="AW628" i="5"/>
  <c r="AS628" i="5" s="1"/>
  <c r="AW631" i="5"/>
  <c r="AS631" i="5" s="1"/>
  <c r="AV628" i="5"/>
  <c r="AR628" i="5" s="1"/>
  <c r="AV629" i="5"/>
  <c r="AR629" i="5" s="1"/>
  <c r="AW629" i="5"/>
  <c r="AS629" i="5" s="1"/>
  <c r="AV630" i="5"/>
  <c r="AR630" i="5" s="1"/>
  <c r="AV631" i="5"/>
  <c r="AR631" i="5" s="1"/>
  <c r="AW634" i="5"/>
  <c r="AS634" i="5" s="1"/>
  <c r="AV632" i="5"/>
  <c r="AR632" i="5" s="1"/>
  <c r="AW632" i="5"/>
  <c r="AS632" i="5" s="1"/>
  <c r="AW633" i="5"/>
  <c r="AS633" i="5" s="1"/>
  <c r="AW637" i="5"/>
  <c r="AS637" i="5" s="1"/>
  <c r="AV633" i="5"/>
  <c r="AR633" i="5" s="1"/>
  <c r="AW636" i="5"/>
  <c r="AS636" i="5" s="1"/>
  <c r="AV634" i="5"/>
  <c r="AR634" i="5" s="1"/>
  <c r="AV635" i="5"/>
  <c r="AR635" i="5" s="1"/>
  <c r="AW639" i="5"/>
  <c r="AS639" i="5" s="1"/>
  <c r="AW635" i="5"/>
  <c r="AS635" i="5" s="1"/>
  <c r="AV636" i="5"/>
  <c r="AR636" i="5" s="1"/>
  <c r="AV639" i="5"/>
  <c r="AR639" i="5" s="1"/>
  <c r="AV637" i="5"/>
  <c r="AR637" i="5" s="1"/>
  <c r="AV638" i="5"/>
  <c r="AR638" i="5" s="1"/>
  <c r="AW638" i="5"/>
  <c r="AS638" i="5" s="1"/>
  <c r="AW640" i="5"/>
  <c r="AS640" i="5" s="1"/>
  <c r="AV642" i="5"/>
  <c r="AR642" i="5" s="1"/>
  <c r="AV640" i="5"/>
  <c r="AR640" i="5" s="1"/>
  <c r="AV641" i="5"/>
  <c r="AR641" i="5" s="1"/>
  <c r="AW641" i="5"/>
  <c r="AS641" i="5" s="1"/>
  <c r="AW642" i="5"/>
  <c r="AS642" i="5" s="1"/>
  <c r="AV646" i="5"/>
  <c r="AR646" i="5" s="1"/>
  <c r="AV643" i="5"/>
  <c r="AR643" i="5" s="1"/>
  <c r="AW643" i="5"/>
  <c r="AS643" i="5" s="1"/>
  <c r="AW644" i="5"/>
  <c r="AS644" i="5" s="1"/>
  <c r="AV644" i="5"/>
  <c r="AR644" i="5" s="1"/>
  <c r="AW647" i="5"/>
  <c r="AS647" i="5" s="1"/>
  <c r="AV649" i="5"/>
  <c r="AR649" i="5" s="1"/>
  <c r="AV645" i="5"/>
  <c r="AR645" i="5" s="1"/>
  <c r="AW645" i="5"/>
  <c r="AS645" i="5" s="1"/>
  <c r="AW648" i="5"/>
  <c r="AS648" i="5" s="1"/>
  <c r="AW646" i="5"/>
  <c r="AS646" i="5" s="1"/>
  <c r="AV647" i="5"/>
  <c r="AR647" i="5" s="1"/>
  <c r="AW650" i="5"/>
  <c r="AS650" i="5" s="1"/>
  <c r="AV648" i="5"/>
  <c r="AR648" i="5" s="1"/>
  <c r="AW651" i="5"/>
  <c r="AS651" i="5" s="1"/>
  <c r="AW649" i="5"/>
  <c r="AS649" i="5" s="1"/>
  <c r="AW652" i="5"/>
  <c r="AS652" i="5" s="1"/>
  <c r="AW654" i="5"/>
  <c r="AS654" i="5" s="1"/>
  <c r="AW655" i="5"/>
  <c r="AS655" i="5" s="1"/>
  <c r="AW653" i="5"/>
  <c r="AS653" i="5" s="1"/>
  <c r="AW656" i="5"/>
  <c r="AS656" i="5" s="1"/>
  <c r="AW657" i="5"/>
  <c r="AS657" i="5" s="1"/>
  <c r="AW661" i="5"/>
  <c r="AS661" i="5" s="1"/>
  <c r="AW658" i="5"/>
  <c r="AS658" i="5" s="1"/>
  <c r="AW659" i="5"/>
  <c r="AS659" i="5" s="1"/>
  <c r="AW662" i="5"/>
  <c r="AS662" i="5" s="1"/>
  <c r="AV659" i="5"/>
  <c r="AR659" i="5" s="1"/>
  <c r="AW660" i="5"/>
  <c r="AS660" i="5" s="1"/>
  <c r="AV660" i="5"/>
  <c r="AR660" i="5" s="1"/>
  <c r="AW664" i="5"/>
  <c r="AS664" i="5" s="1"/>
  <c r="AV661" i="5"/>
  <c r="AR661" i="5" s="1"/>
  <c r="AV662" i="5"/>
  <c r="AR662" i="5" s="1"/>
  <c r="AW666" i="5"/>
  <c r="AS666" i="5" s="1"/>
  <c r="AW663" i="5"/>
  <c r="AS663" i="5" s="1"/>
  <c r="AV663" i="5"/>
  <c r="AR663" i="5" s="1"/>
  <c r="AV664" i="5"/>
  <c r="AR664" i="5" s="1"/>
  <c r="AW668" i="5"/>
  <c r="AS668" i="5" s="1"/>
  <c r="AV665" i="5"/>
  <c r="AR665" i="5" s="1"/>
  <c r="AW665" i="5"/>
  <c r="AS665" i="5" s="1"/>
  <c r="AV666" i="5"/>
  <c r="AR666" i="5" s="1"/>
  <c r="AV668" i="5"/>
  <c r="AR668" i="5" s="1"/>
  <c r="AW667" i="5"/>
  <c r="AS667" i="5" s="1"/>
  <c r="AV667" i="5"/>
  <c r="AR667" i="5" s="1"/>
  <c r="AV669" i="5"/>
  <c r="AR669" i="5" s="1"/>
  <c r="AV670" i="5"/>
  <c r="AR670" i="5" s="1"/>
  <c r="AW669" i="5"/>
  <c r="AS669" i="5" s="1"/>
  <c r="AV672" i="5"/>
  <c r="AR672" i="5" s="1"/>
  <c r="AW670" i="5"/>
  <c r="AS670" i="5" s="1"/>
  <c r="AV671" i="5"/>
  <c r="AR671" i="5" s="1"/>
  <c r="AW671" i="5"/>
  <c r="AS671" i="5" s="1"/>
  <c r="AW672" i="5"/>
  <c r="AS672" i="5" s="1"/>
  <c r="AW677" i="5"/>
  <c r="AS677" i="5" s="1"/>
  <c r="AV673" i="5"/>
  <c r="AR673" i="5" s="1"/>
  <c r="AW673" i="5"/>
  <c r="AS673" i="5" s="1"/>
  <c r="AW674" i="5"/>
  <c r="AS674" i="5" s="1"/>
  <c r="AV674" i="5"/>
  <c r="AR674" i="5" s="1"/>
  <c r="AV678" i="5"/>
  <c r="AR678" i="5" s="1"/>
  <c r="AW675" i="5"/>
  <c r="AS675" i="5" s="1"/>
  <c r="AV675" i="5"/>
  <c r="AR675" i="5" s="1"/>
  <c r="AV676" i="5"/>
  <c r="AR676" i="5" s="1"/>
  <c r="AW676" i="5"/>
  <c r="AS676" i="5" s="1"/>
  <c r="AW679" i="5"/>
  <c r="AS679" i="5" s="1"/>
  <c r="AV677" i="5"/>
  <c r="AR677" i="5" s="1"/>
  <c r="AW680" i="5"/>
  <c r="AS680" i="5" s="1"/>
  <c r="AW678" i="5"/>
  <c r="AS678" i="5" s="1"/>
  <c r="AV680" i="5"/>
  <c r="AR680" i="5" s="1"/>
  <c r="AV679" i="5"/>
  <c r="AR679" i="5" s="1"/>
  <c r="AW683" i="5"/>
  <c r="AS683" i="5" s="1"/>
  <c r="AW681" i="5"/>
  <c r="AS681" i="5" s="1"/>
  <c r="AW685" i="5"/>
  <c r="AS685" i="5" s="1"/>
  <c r="AW682" i="5"/>
  <c r="AS682" i="5" s="1"/>
  <c r="AW686" i="5"/>
  <c r="AS686" i="5" s="1"/>
  <c r="AW684" i="5"/>
  <c r="AS684" i="5" s="1"/>
  <c r="AW687" i="5"/>
  <c r="AS687" i="5" s="1"/>
  <c r="AW690" i="5"/>
  <c r="AS690" i="5" s="1"/>
  <c r="AW688" i="5"/>
  <c r="AS688" i="5" s="1"/>
  <c r="AW689" i="5"/>
  <c r="AS689" i="5" s="1"/>
  <c r="AW692" i="5"/>
  <c r="AS692" i="5" s="1"/>
  <c r="AW693" i="5"/>
  <c r="AS693" i="5" s="1"/>
  <c r="AV690" i="5"/>
  <c r="AR690" i="5" s="1"/>
  <c r="AW691" i="5"/>
  <c r="AS691" i="5" s="1"/>
  <c r="AV691" i="5"/>
  <c r="AR691" i="5" s="1"/>
  <c r="AV692" i="5"/>
  <c r="AR692" i="5" s="1"/>
  <c r="AW695" i="5"/>
  <c r="AS695" i="5" s="1"/>
  <c r="AV693" i="5"/>
  <c r="AR693" i="5" s="1"/>
  <c r="AW694" i="5"/>
  <c r="AS694" i="5" s="1"/>
  <c r="AW697" i="5"/>
  <c r="AS697" i="5" s="1"/>
  <c r="AV694" i="5"/>
  <c r="AR694" i="5" s="1"/>
  <c r="AW699" i="5"/>
  <c r="AS699" i="5" s="1"/>
  <c r="AV695" i="5"/>
  <c r="AR695" i="5" s="1"/>
  <c r="AW696" i="5"/>
  <c r="AS696" i="5" s="1"/>
  <c r="AV697" i="5"/>
  <c r="AR697" i="5" s="1"/>
  <c r="AV700" i="5"/>
  <c r="AR700" i="5" s="1"/>
  <c r="AV696" i="5"/>
  <c r="AR696" i="5" s="1"/>
  <c r="AV698" i="5"/>
  <c r="AR698" i="5" s="1"/>
  <c r="AW700" i="5"/>
  <c r="AS700" i="5" s="1"/>
  <c r="AW701" i="5"/>
  <c r="AS701" i="5" s="1"/>
  <c r="AW698" i="5"/>
  <c r="AS698" i="5" s="1"/>
  <c r="AV699" i="5"/>
  <c r="AR699" i="5" s="1"/>
  <c r="AW703" i="5"/>
  <c r="AS703" i="5" s="1"/>
  <c r="AV702" i="5"/>
  <c r="AR702" i="5" s="1"/>
  <c r="AV701" i="5"/>
  <c r="AR701" i="5" s="1"/>
  <c r="AW702" i="5"/>
  <c r="AS702" i="5" s="1"/>
  <c r="AV703" i="5"/>
  <c r="AR703" i="5" s="1"/>
  <c r="AW706" i="5"/>
  <c r="AS706" i="5" s="1"/>
  <c r="AV704" i="5"/>
  <c r="AR704" i="5" s="1"/>
  <c r="AW704" i="5"/>
  <c r="AS704" i="5" s="1"/>
  <c r="AV705" i="5"/>
  <c r="AR705" i="5" s="1"/>
  <c r="AW705" i="5"/>
  <c r="AS705" i="5" s="1"/>
  <c r="AV706" i="5"/>
  <c r="AR706" i="5" s="1"/>
  <c r="AW708" i="5"/>
  <c r="AS708" i="5" s="1"/>
  <c r="AW709" i="5"/>
  <c r="AS709" i="5" s="1"/>
  <c r="AW710" i="5"/>
  <c r="AS710" i="5" s="1"/>
  <c r="AW707" i="5"/>
  <c r="AS707" i="5" s="1"/>
  <c r="AV707" i="5"/>
  <c r="AR707" i="5" s="1"/>
  <c r="AW712" i="5"/>
  <c r="AS712" i="5" s="1"/>
  <c r="AW713" i="5"/>
  <c r="AS713" i="5" s="1"/>
  <c r="AW711" i="5"/>
  <c r="AS711" i="5" s="1"/>
  <c r="AW714" i="5"/>
  <c r="AS714" i="5" s="1"/>
  <c r="AW717" i="5"/>
  <c r="AS717" i="5" s="1"/>
  <c r="AW715" i="5"/>
  <c r="AS715" i="5" s="1"/>
  <c r="AW718" i="5"/>
  <c r="AS718" i="5" s="1"/>
  <c r="AW716" i="5"/>
  <c r="AS716" i="5" s="1"/>
  <c r="AV720" i="5"/>
  <c r="AR720" i="5" s="1"/>
  <c r="AV718" i="5"/>
  <c r="AR718" i="5" s="1"/>
  <c r="AV721" i="5"/>
  <c r="AR721" i="5" s="1"/>
  <c r="AW720" i="5"/>
  <c r="AS720" i="5" s="1"/>
  <c r="AW721" i="5"/>
  <c r="AS721" i="5" s="1"/>
  <c r="AV719" i="5"/>
  <c r="AR719" i="5" s="1"/>
  <c r="AW719" i="5"/>
  <c r="AS719" i="5" s="1"/>
  <c r="AW722" i="5"/>
  <c r="AS722" i="5" s="1"/>
  <c r="AW724" i="5"/>
  <c r="AS724" i="5" s="1"/>
  <c r="AV722" i="5"/>
  <c r="AR722" i="5" s="1"/>
  <c r="AW723" i="5"/>
  <c r="AS723" i="5" s="1"/>
  <c r="AV723" i="5"/>
  <c r="AR723" i="5" s="1"/>
  <c r="AV724" i="5"/>
  <c r="AR724" i="5" s="1"/>
  <c r="AW726" i="5"/>
  <c r="AS726" i="5" s="1"/>
  <c r="AV725" i="5"/>
  <c r="AR725" i="5" s="1"/>
  <c r="AV726" i="5"/>
  <c r="AR726" i="5" s="1"/>
  <c r="AW725" i="5"/>
  <c r="AS725" i="5" s="1"/>
  <c r="AW728" i="5"/>
  <c r="AS728" i="5" s="1"/>
  <c r="AW731" i="5"/>
  <c r="AS731" i="5" s="1"/>
  <c r="AW727" i="5"/>
  <c r="AS727" i="5" s="1"/>
  <c r="AV727" i="5"/>
  <c r="AR727" i="5" s="1"/>
  <c r="AV728" i="5"/>
  <c r="AR728" i="5" s="1"/>
  <c r="AV729" i="5"/>
  <c r="AR729" i="5" s="1"/>
  <c r="AW729" i="5"/>
  <c r="AS729" i="5" s="1"/>
  <c r="AV730" i="5"/>
  <c r="AR730" i="5" s="1"/>
  <c r="AW733" i="5"/>
  <c r="AS733" i="5" s="1"/>
  <c r="AW730" i="5"/>
  <c r="AS730" i="5" s="1"/>
  <c r="AV731" i="5"/>
  <c r="AR731" i="5" s="1"/>
  <c r="AV732" i="5"/>
  <c r="AR732" i="5" s="1"/>
  <c r="AW734" i="5"/>
  <c r="AS734" i="5" s="1"/>
  <c r="AW732" i="5"/>
  <c r="AS732" i="5" s="1"/>
  <c r="AV733" i="5"/>
  <c r="AR733" i="5" s="1"/>
  <c r="AV734" i="5"/>
  <c r="AR734" i="5" s="1"/>
  <c r="AW737" i="5"/>
  <c r="AS737" i="5" s="1"/>
  <c r="AV735" i="5"/>
  <c r="AR735" i="5" s="1"/>
  <c r="AW735" i="5"/>
  <c r="AS735" i="5" s="1"/>
  <c r="AV736" i="5"/>
  <c r="AR736" i="5" s="1"/>
  <c r="AW736" i="5"/>
  <c r="AS736" i="5" s="1"/>
  <c r="AV737" i="5"/>
  <c r="AR737" i="5" s="1"/>
  <c r="AW740" i="5"/>
  <c r="AS740" i="5" s="1"/>
  <c r="AW745" i="5"/>
  <c r="AS745" i="5" s="1"/>
  <c r="AV742" i="5"/>
  <c r="AR742" i="5" s="1"/>
  <c r="AV738" i="5"/>
  <c r="AR738" i="5" s="1"/>
  <c r="AW738" i="5"/>
  <c r="AS738" i="5" s="1"/>
  <c r="AV746" i="5"/>
  <c r="AV744" i="5"/>
  <c r="AR744" i="5" s="1"/>
  <c r="AW744" i="5"/>
  <c r="AS744" i="5" s="1"/>
  <c r="AW743" i="5"/>
  <c r="AS743" i="5" s="1"/>
  <c r="AV740" i="5"/>
  <c r="AR740" i="5" s="1"/>
  <c r="AW746" i="5"/>
  <c r="AN746" i="5"/>
  <c r="AQ746" i="5"/>
  <c r="BM746" i="5"/>
  <c r="AJ746" i="5"/>
  <c r="AI746" i="5"/>
  <c r="AR746" i="5" l="1"/>
  <c r="AO746" i="5"/>
  <c r="BN746" i="5"/>
  <c r="BN355" i="5"/>
  <c r="AO355" i="5"/>
  <c r="AR355" i="5"/>
  <c r="AO315" i="5"/>
  <c r="BN315" i="5"/>
  <c r="AR315" i="5"/>
  <c r="AO310" i="5"/>
  <c r="BN310" i="5"/>
  <c r="AR310" i="5"/>
  <c r="AH748" i="5"/>
  <c r="AK748" i="5"/>
  <c r="BW273" i="5"/>
  <c r="BW268" i="5"/>
  <c r="BX247" i="5"/>
  <c r="BW221" i="5"/>
  <c r="BX216" i="5"/>
  <c r="BW174" i="5"/>
  <c r="BX173" i="5"/>
  <c r="BW129" i="5"/>
  <c r="BW115" i="5"/>
  <c r="BW112" i="5"/>
  <c r="BW81" i="5"/>
  <c r="BW69" i="5"/>
  <c r="BW65" i="5"/>
  <c r="BW63" i="5"/>
  <c r="BW55" i="5"/>
  <c r="BX40" i="5"/>
  <c r="BW19" i="5"/>
  <c r="BU745" i="5"/>
  <c r="BX745" i="5"/>
  <c r="BV746" i="5"/>
  <c r="BS746" i="5"/>
  <c r="AR360" i="5"/>
  <c r="AO360" i="5"/>
  <c r="BN360" i="5"/>
  <c r="AR341" i="5"/>
  <c r="AO341" i="5"/>
  <c r="BN341" i="5"/>
  <c r="AO335" i="5"/>
  <c r="BN335" i="5"/>
  <c r="AR335" i="5"/>
  <c r="AO324" i="5"/>
  <c r="BN324" i="5"/>
  <c r="AR324" i="5"/>
  <c r="AO314" i="5"/>
  <c r="BN314" i="5"/>
  <c r="AR314" i="5"/>
  <c r="AO302" i="5"/>
  <c r="BN302" i="5"/>
  <c r="AR302" i="5"/>
  <c r="BX282" i="5"/>
  <c r="BX274" i="5"/>
  <c r="BW244" i="5"/>
  <c r="BW246" i="5"/>
  <c r="BX234" i="5"/>
  <c r="BW218" i="5"/>
  <c r="BX219" i="5"/>
  <c r="BW214" i="5"/>
  <c r="BW208" i="5"/>
  <c r="BX172" i="5"/>
  <c r="BX171" i="5"/>
  <c r="BX155" i="5"/>
  <c r="BW146" i="5"/>
  <c r="BW127" i="5"/>
  <c r="BX70" i="5"/>
  <c r="BX57" i="5"/>
  <c r="BX52" i="5"/>
  <c r="BW30" i="5"/>
  <c r="AR372" i="5"/>
  <c r="AO372" i="5"/>
  <c r="BN372" i="5"/>
  <c r="AR369" i="5"/>
  <c r="AO369" i="5"/>
  <c r="BN369" i="5"/>
  <c r="BN338" i="5"/>
  <c r="AR338" i="5"/>
  <c r="AO338" i="5"/>
  <c r="AR328" i="5"/>
  <c r="BN328" i="5"/>
  <c r="AO328" i="5"/>
  <c r="AO313" i="5"/>
  <c r="BN313" i="5"/>
  <c r="AR313" i="5"/>
  <c r="AO299" i="5"/>
  <c r="BN299" i="5"/>
  <c r="AR299" i="5"/>
  <c r="BN293" i="5"/>
  <c r="AR293" i="5"/>
  <c r="AO293" i="5"/>
  <c r="BX252" i="5"/>
  <c r="BW245" i="5"/>
  <c r="BX240" i="5"/>
  <c r="BX213" i="5"/>
  <c r="BW195" i="5"/>
  <c r="BW190" i="5"/>
  <c r="BX177" i="5"/>
  <c r="BX160" i="5"/>
  <c r="BX149" i="5"/>
  <c r="BW94" i="5"/>
  <c r="BX66" i="5"/>
  <c r="BX58" i="5"/>
  <c r="BW49" i="5"/>
  <c r="BX35" i="5"/>
  <c r="BX31" i="5"/>
  <c r="AR364" i="5"/>
  <c r="AO364" i="5"/>
  <c r="BN364" i="5"/>
  <c r="BN356" i="5"/>
  <c r="AO356" i="5"/>
  <c r="AR356" i="5"/>
  <c r="AO343" i="5"/>
  <c r="AR343" i="5"/>
  <c r="BN343" i="5"/>
  <c r="AR339" i="5"/>
  <c r="BN339" i="5"/>
  <c r="AO339" i="5"/>
  <c r="BN337" i="5"/>
  <c r="AR337" i="5"/>
  <c r="AO337" i="5"/>
  <c r="AO317" i="5"/>
  <c r="BN317" i="5"/>
  <c r="AR317" i="5"/>
  <c r="AO305" i="5"/>
  <c r="BN305" i="5"/>
  <c r="AR305" i="5"/>
  <c r="BX281" i="5"/>
  <c r="BW205" i="5"/>
  <c r="BW204" i="5"/>
  <c r="BX185" i="5"/>
  <c r="BW179" i="5"/>
  <c r="BW147" i="5"/>
  <c r="BW122" i="5"/>
  <c r="BN326" i="5"/>
  <c r="AR326" i="5"/>
  <c r="AO326" i="5"/>
  <c r="AO295" i="5"/>
  <c r="BN295" i="5"/>
  <c r="AR295" i="5"/>
  <c r="BW87" i="5"/>
  <c r="AO366" i="5"/>
  <c r="BN366" i="5"/>
  <c r="AR366" i="5"/>
  <c r="AR359" i="5"/>
  <c r="AO359" i="5"/>
  <c r="BN359" i="5"/>
  <c r="AR354" i="5"/>
  <c r="BN354" i="5"/>
  <c r="AO354" i="5"/>
  <c r="BN334" i="5"/>
  <c r="AR334" i="5"/>
  <c r="AO334" i="5"/>
  <c r="AO332" i="5"/>
  <c r="AR332" i="5"/>
  <c r="BN332" i="5"/>
  <c r="AO307" i="5"/>
  <c r="BN307" i="5"/>
  <c r="AR307" i="5"/>
  <c r="AO303" i="5"/>
  <c r="BN303" i="5"/>
  <c r="AR303" i="5"/>
  <c r="AO296" i="5"/>
  <c r="BN296" i="5"/>
  <c r="AR296" i="5"/>
  <c r="BX265" i="5"/>
  <c r="BX220" i="5"/>
  <c r="BW187" i="5"/>
  <c r="BX183" i="5"/>
  <c r="BW180" i="5"/>
  <c r="BW153" i="5"/>
  <c r="BX124" i="5"/>
  <c r="BW120" i="5"/>
  <c r="BX91" i="5"/>
  <c r="BX92" i="5"/>
  <c r="BX83" i="5"/>
  <c r="AR368" i="5"/>
  <c r="AO368" i="5"/>
  <c r="BN368" i="5"/>
  <c r="AR365" i="5"/>
  <c r="AO365" i="5"/>
  <c r="BN365" i="5"/>
  <c r="AR361" i="5"/>
  <c r="AO361" i="5"/>
  <c r="BN361" i="5"/>
  <c r="AR345" i="5"/>
  <c r="AO345" i="5"/>
  <c r="BN345" i="5"/>
  <c r="AR336" i="5"/>
  <c r="AO336" i="5"/>
  <c r="BN336" i="5"/>
  <c r="AO311" i="5"/>
  <c r="BN311" i="5"/>
  <c r="AR311" i="5"/>
  <c r="BR746" i="5"/>
  <c r="BQ746" i="5"/>
  <c r="BX275" i="5"/>
  <c r="BW266" i="5"/>
  <c r="BX237" i="5"/>
  <c r="BW26" i="5"/>
  <c r="BN373" i="5"/>
  <c r="AO373" i="5"/>
  <c r="AR373" i="5"/>
  <c r="AO358" i="5"/>
  <c r="BN358" i="5"/>
  <c r="AR358" i="5"/>
  <c r="BN353" i="5"/>
  <c r="AO353" i="5"/>
  <c r="AR353" i="5"/>
  <c r="AR342" i="5"/>
  <c r="AO342" i="5"/>
  <c r="BN342" i="5"/>
  <c r="AO330" i="5"/>
  <c r="BN330" i="5"/>
  <c r="AR330" i="5"/>
  <c r="AO309" i="5"/>
  <c r="BN309" i="5"/>
  <c r="AR309" i="5"/>
  <c r="AO297" i="5"/>
  <c r="BN297" i="5"/>
  <c r="AR297" i="5"/>
  <c r="BP747" i="5"/>
  <c r="AM747" i="5"/>
  <c r="AL747" i="5"/>
  <c r="BW188" i="5"/>
  <c r="BT745" i="5"/>
  <c r="BW745" i="5"/>
  <c r="AR374" i="5"/>
  <c r="AO374" i="5"/>
  <c r="BN357" i="5"/>
  <c r="AO357" i="5"/>
  <c r="AR357" i="5"/>
  <c r="BN325" i="5"/>
  <c r="AR325" i="5"/>
  <c r="AO325" i="5"/>
  <c r="AO304" i="5"/>
  <c r="BN304" i="5"/>
  <c r="AR304" i="5"/>
  <c r="AQ747" i="5"/>
  <c r="AN747" i="5"/>
  <c r="BM747" i="5"/>
  <c r="AJ747" i="5"/>
  <c r="AI747" i="5"/>
  <c r="BX253" i="5"/>
  <c r="BW250" i="5"/>
  <c r="BX68" i="5"/>
  <c r="BX37" i="5"/>
  <c r="BX27" i="5"/>
  <c r="BN377" i="5"/>
  <c r="AR377" i="5"/>
  <c r="AO377" i="5"/>
  <c r="AR367" i="5"/>
  <c r="AO367" i="5"/>
  <c r="BN367" i="5"/>
  <c r="AO300" i="5"/>
  <c r="BN300" i="5"/>
  <c r="AR300" i="5"/>
  <c r="AO294" i="5"/>
  <c r="BN294" i="5"/>
  <c r="AR294" i="5"/>
  <c r="BX215" i="5"/>
  <c r="BW192" i="5"/>
  <c r="BX143" i="5"/>
  <c r="BW71" i="5"/>
  <c r="BX23" i="5"/>
  <c r="AR370" i="5"/>
  <c r="AO370" i="5"/>
  <c r="BN370" i="5"/>
  <c r="AO362" i="5"/>
  <c r="BN362" i="5"/>
  <c r="AR362" i="5"/>
  <c r="AR329" i="5"/>
  <c r="AO329" i="5"/>
  <c r="BN329" i="5"/>
  <c r="AO306" i="5"/>
  <c r="BN306" i="5"/>
  <c r="AR306" i="5"/>
  <c r="AO298" i="5"/>
  <c r="BN298" i="5"/>
  <c r="AR298" i="5"/>
  <c r="BX249" i="5"/>
  <c r="BX202" i="5"/>
  <c r="BW29" i="5"/>
  <c r="AS746" i="5"/>
  <c r="AP746" i="5"/>
  <c r="BO746" i="5"/>
  <c r="AR371" i="5"/>
  <c r="AO371" i="5"/>
  <c r="BN371" i="5"/>
  <c r="AR363" i="5"/>
  <c r="AO363" i="5"/>
  <c r="BN363" i="5"/>
  <c r="AR340" i="5"/>
  <c r="BN340" i="5"/>
  <c r="AO340" i="5"/>
  <c r="AR333" i="5"/>
  <c r="AO333" i="5"/>
  <c r="BN333" i="5"/>
  <c r="AO331" i="5"/>
  <c r="AR331" i="5"/>
  <c r="BN331" i="5"/>
  <c r="AR327" i="5"/>
  <c r="BN327" i="5"/>
  <c r="AO327" i="5"/>
  <c r="AO312" i="5"/>
  <c r="BN312" i="5"/>
  <c r="AR312" i="5"/>
  <c r="AO308" i="5"/>
  <c r="BN308" i="5"/>
  <c r="AR308" i="5"/>
  <c r="AO301" i="5"/>
  <c r="BN301" i="5"/>
  <c r="AR301" i="5"/>
  <c r="AM294" i="5"/>
  <c r="AJ293" i="5"/>
  <c r="AM297" i="5"/>
  <c r="AM293" i="5"/>
  <c r="AJ294" i="5"/>
  <c r="AM295" i="5"/>
  <c r="AJ295" i="5"/>
  <c r="AJ297" i="5"/>
  <c r="AJ296" i="5"/>
  <c r="AM296" i="5"/>
  <c r="AM299" i="5"/>
  <c r="AJ298" i="5"/>
  <c r="AJ299" i="5"/>
  <c r="AM298" i="5"/>
  <c r="AM300" i="5"/>
  <c r="AJ300" i="5"/>
  <c r="AJ301" i="5"/>
  <c r="AJ302" i="5"/>
  <c r="AM301" i="5"/>
  <c r="AM304" i="5"/>
  <c r="AM302" i="5"/>
  <c r="AJ303" i="5"/>
  <c r="AJ306" i="5"/>
  <c r="AM303" i="5"/>
  <c r="AJ304" i="5"/>
  <c r="AJ305" i="5"/>
  <c r="AM305" i="5"/>
  <c r="AM306" i="5"/>
  <c r="AJ309" i="5"/>
  <c r="AJ307" i="5"/>
  <c r="AM307" i="5"/>
  <c r="AM310" i="5"/>
  <c r="AJ308" i="5"/>
  <c r="AM308" i="5"/>
  <c r="AM309" i="5"/>
  <c r="AJ311" i="5"/>
  <c r="AJ310" i="5"/>
  <c r="AM311" i="5"/>
  <c r="AJ313" i="5"/>
  <c r="AM312" i="5"/>
  <c r="AM315" i="5"/>
  <c r="AJ312" i="5"/>
  <c r="AM314" i="5"/>
  <c r="AJ314" i="5"/>
  <c r="AJ315" i="5"/>
  <c r="AM313" i="5"/>
  <c r="AJ316" i="5"/>
  <c r="AM316" i="5"/>
  <c r="AM320" i="5"/>
  <c r="AM318" i="5"/>
  <c r="AJ317" i="5"/>
  <c r="AJ319" i="5"/>
  <c r="AJ318" i="5"/>
  <c r="AM317" i="5"/>
  <c r="AJ320" i="5"/>
  <c r="AM319" i="5"/>
  <c r="AJ324" i="5"/>
  <c r="AJ322" i="5"/>
  <c r="AM322" i="5"/>
  <c r="AM321" i="5"/>
  <c r="AJ321" i="5"/>
  <c r="AM324" i="5"/>
  <c r="AJ323" i="5"/>
  <c r="AM323" i="5"/>
  <c r="AJ328" i="5"/>
  <c r="AM325" i="5"/>
  <c r="AJ325" i="5"/>
  <c r="AJ326" i="5"/>
  <c r="AM328" i="5"/>
  <c r="AM326" i="5"/>
  <c r="AM327" i="5"/>
  <c r="AJ327" i="5"/>
  <c r="AJ329" i="5"/>
  <c r="AM329" i="5"/>
  <c r="AJ334" i="5"/>
  <c r="AJ330" i="5"/>
  <c r="AM330" i="5"/>
  <c r="AJ331" i="5"/>
  <c r="AM331" i="5"/>
  <c r="AJ333" i="5"/>
  <c r="AM333" i="5"/>
  <c r="AM334" i="5"/>
  <c r="AM332" i="5"/>
  <c r="AJ332" i="5"/>
  <c r="AM338" i="5"/>
  <c r="AM335" i="5"/>
  <c r="AM336" i="5"/>
  <c r="AJ335" i="5"/>
  <c r="AJ336" i="5"/>
  <c r="AM337" i="5"/>
  <c r="AM339" i="5"/>
  <c r="AJ337" i="5"/>
  <c r="AM340" i="5"/>
  <c r="AJ338" i="5"/>
  <c r="AJ340" i="5"/>
  <c r="AJ342" i="5"/>
  <c r="AJ339" i="5"/>
  <c r="AM341" i="5"/>
  <c r="AJ341" i="5"/>
  <c r="AM343" i="5"/>
  <c r="AJ346" i="5"/>
  <c r="AM342" i="5"/>
  <c r="AJ343" i="5"/>
  <c r="AM344" i="5"/>
  <c r="AM346" i="5"/>
  <c r="AJ348" i="5"/>
  <c r="AJ344" i="5"/>
  <c r="AJ345" i="5"/>
  <c r="AM345" i="5"/>
  <c r="AM347" i="5"/>
  <c r="AJ347" i="5"/>
  <c r="AM348" i="5"/>
  <c r="AJ349" i="5"/>
  <c r="AM349" i="5"/>
  <c r="AJ350" i="5"/>
  <c r="AM351" i="5"/>
  <c r="AJ351" i="5"/>
  <c r="AM350" i="5"/>
  <c r="AJ352" i="5"/>
  <c r="AM352" i="5"/>
  <c r="AJ353" i="5"/>
  <c r="AJ354" i="5"/>
  <c r="AJ355" i="5"/>
  <c r="AM354" i="5"/>
  <c r="AM353" i="5"/>
  <c r="AJ357" i="5"/>
  <c r="AJ356" i="5"/>
  <c r="AM356" i="5"/>
  <c r="AM357" i="5"/>
  <c r="AM355" i="5"/>
  <c r="AJ358" i="5"/>
  <c r="AM358" i="5"/>
  <c r="AJ360" i="5"/>
  <c r="AM360" i="5"/>
  <c r="AJ362" i="5"/>
  <c r="AM359" i="5"/>
  <c r="AJ359" i="5"/>
  <c r="AM361" i="5"/>
  <c r="AM362" i="5"/>
  <c r="AJ361" i="5"/>
  <c r="AM364" i="5"/>
  <c r="AJ364" i="5"/>
  <c r="AM366" i="5"/>
  <c r="AJ365" i="5"/>
  <c r="AM363" i="5"/>
  <c r="AJ363" i="5"/>
  <c r="AM367" i="5"/>
  <c r="AM369" i="5"/>
  <c r="AM365" i="5"/>
  <c r="AJ366" i="5"/>
  <c r="AJ368" i="5"/>
  <c r="AJ367" i="5"/>
  <c r="AJ370" i="5"/>
  <c r="AM368" i="5"/>
  <c r="AJ369" i="5"/>
  <c r="AM370" i="5"/>
  <c r="AJ374" i="5"/>
  <c r="AM374" i="5"/>
  <c r="AM371" i="5"/>
  <c r="AJ371" i="5"/>
  <c r="AM372" i="5"/>
  <c r="AM373" i="5"/>
  <c r="AJ372" i="5"/>
  <c r="AJ373" i="5"/>
  <c r="AJ375" i="5"/>
  <c r="AM375" i="5"/>
  <c r="AM376" i="5"/>
  <c r="AJ376" i="5"/>
  <c r="AJ377" i="5"/>
  <c r="AJ379" i="5"/>
  <c r="AJ380" i="5"/>
  <c r="AM377" i="5"/>
  <c r="AM378" i="5"/>
  <c r="AJ378" i="5"/>
  <c r="AM379" i="5"/>
  <c r="AJ383" i="5"/>
  <c r="AM382" i="5"/>
  <c r="AM383" i="5"/>
  <c r="AM381" i="5"/>
  <c r="AM380" i="5"/>
  <c r="AJ381" i="5"/>
  <c r="AJ382" i="5"/>
  <c r="BW212" i="5"/>
  <c r="BW150" i="5"/>
  <c r="BX123" i="5"/>
  <c r="BW117" i="5"/>
  <c r="BX93" i="5"/>
  <c r="AP364" i="5" l="1"/>
  <c r="AS364" i="5"/>
  <c r="BO364" i="5"/>
  <c r="AP348" i="5"/>
  <c r="BO348" i="5"/>
  <c r="AS348" i="5"/>
  <c r="BO338" i="5"/>
  <c r="AS338" i="5"/>
  <c r="AP338" i="5"/>
  <c r="BO322" i="5"/>
  <c r="AS322" i="5"/>
  <c r="AP322" i="5"/>
  <c r="BO303" i="5"/>
  <c r="AS303" i="5"/>
  <c r="AP303" i="5"/>
  <c r="BT336" i="5"/>
  <c r="BW336" i="5"/>
  <c r="BT368" i="5"/>
  <c r="BW368" i="5"/>
  <c r="BT366" i="5"/>
  <c r="BW366" i="5"/>
  <c r="BT337" i="5"/>
  <c r="BW337" i="5"/>
  <c r="AP370" i="5"/>
  <c r="BO370" i="5"/>
  <c r="AS370" i="5"/>
  <c r="BO351" i="5"/>
  <c r="AS351" i="5"/>
  <c r="AP351" i="5"/>
  <c r="BO324" i="5"/>
  <c r="AS324" i="5"/>
  <c r="AP324" i="5"/>
  <c r="BO315" i="5"/>
  <c r="AS315" i="5"/>
  <c r="AP315" i="5"/>
  <c r="BO308" i="5"/>
  <c r="AS308" i="5"/>
  <c r="AP308" i="5"/>
  <c r="BO296" i="5"/>
  <c r="AS296" i="5"/>
  <c r="AP296" i="5"/>
  <c r="BW333" i="5"/>
  <c r="BT333" i="5"/>
  <c r="BX746" i="5"/>
  <c r="BU746" i="5"/>
  <c r="BT329" i="5"/>
  <c r="BW329" i="5"/>
  <c r="BW330" i="5"/>
  <c r="BT330" i="5"/>
  <c r="BW310" i="5"/>
  <c r="BT310" i="5"/>
  <c r="BO375" i="5"/>
  <c r="AS375" i="5"/>
  <c r="AP375" i="5"/>
  <c r="AS383" i="5"/>
  <c r="AP383" i="5"/>
  <c r="BO383" i="5"/>
  <c r="BO373" i="5"/>
  <c r="AS373" i="5"/>
  <c r="AP373" i="5"/>
  <c r="AP367" i="5"/>
  <c r="AS367" i="5"/>
  <c r="BO367" i="5"/>
  <c r="AP361" i="5"/>
  <c r="AS361" i="5"/>
  <c r="BO361" i="5"/>
  <c r="AS337" i="5"/>
  <c r="AP337" i="5"/>
  <c r="BO337" i="5"/>
  <c r="AP333" i="5"/>
  <c r="AS333" i="5"/>
  <c r="BO333" i="5"/>
  <c r="BO326" i="5"/>
  <c r="AS326" i="5"/>
  <c r="AP326" i="5"/>
  <c r="BO314" i="5"/>
  <c r="AS314" i="5"/>
  <c r="AP314" i="5"/>
  <c r="BO297" i="5"/>
  <c r="AS297" i="5"/>
  <c r="AP297" i="5"/>
  <c r="BW308" i="5"/>
  <c r="BT308" i="5"/>
  <c r="BT377" i="5"/>
  <c r="BW377" i="5"/>
  <c r="BW304" i="5"/>
  <c r="BT304" i="5"/>
  <c r="BT373" i="5"/>
  <c r="BW373" i="5"/>
  <c r="BW339" i="5"/>
  <c r="BT339" i="5"/>
  <c r="BT328" i="5"/>
  <c r="BW328" i="5"/>
  <c r="BW324" i="5"/>
  <c r="BT324" i="5"/>
  <c r="BO372" i="5"/>
  <c r="AS372" i="5"/>
  <c r="AP372" i="5"/>
  <c r="AP368" i="5"/>
  <c r="AS368" i="5"/>
  <c r="BO368" i="5"/>
  <c r="BO356" i="5"/>
  <c r="AP356" i="5"/>
  <c r="AS356" i="5"/>
  <c r="BO350" i="5"/>
  <c r="AS350" i="5"/>
  <c r="AP350" i="5"/>
  <c r="AS343" i="5"/>
  <c r="BO343" i="5"/>
  <c r="AP343" i="5"/>
  <c r="AS325" i="5"/>
  <c r="AP325" i="5"/>
  <c r="BO325" i="5"/>
  <c r="BO320" i="5"/>
  <c r="AS320" i="5"/>
  <c r="AP320" i="5"/>
  <c r="BO295" i="5"/>
  <c r="AS295" i="5"/>
  <c r="AP295" i="5"/>
  <c r="BW342" i="5"/>
  <c r="BT342" i="5"/>
  <c r="BW345" i="5"/>
  <c r="BT345" i="5"/>
  <c r="BW296" i="5"/>
  <c r="BT296" i="5"/>
  <c r="BO378" i="5"/>
  <c r="AS378" i="5"/>
  <c r="AP378" i="5"/>
  <c r="AP366" i="5"/>
  <c r="BO366" i="5"/>
  <c r="AS366" i="5"/>
  <c r="AS357" i="5"/>
  <c r="BO357" i="5"/>
  <c r="AP357" i="5"/>
  <c r="BO331" i="5"/>
  <c r="AP331" i="5"/>
  <c r="AS331" i="5"/>
  <c r="BO312" i="5"/>
  <c r="AS312" i="5"/>
  <c r="AP312" i="5"/>
  <c r="BO307" i="5"/>
  <c r="AS307" i="5"/>
  <c r="AP307" i="5"/>
  <c r="BO302" i="5"/>
  <c r="AS302" i="5"/>
  <c r="AP302" i="5"/>
  <c r="BW294" i="5"/>
  <c r="BT294" i="5"/>
  <c r="BW334" i="5"/>
  <c r="BT334" i="5"/>
  <c r="BW295" i="5"/>
  <c r="BT295" i="5"/>
  <c r="BW343" i="5"/>
  <c r="BT343" i="5"/>
  <c r="BW315" i="5"/>
  <c r="BT315" i="5"/>
  <c r="AP359" i="5"/>
  <c r="AS359" i="5"/>
  <c r="BO359" i="5"/>
  <c r="BO349" i="5"/>
  <c r="AS349" i="5"/>
  <c r="AP349" i="5"/>
  <c r="AS346" i="5"/>
  <c r="AP346" i="5"/>
  <c r="BO346" i="5"/>
  <c r="AP336" i="5"/>
  <c r="BO336" i="5"/>
  <c r="AS336" i="5"/>
  <c r="AS328" i="5"/>
  <c r="BO328" i="5"/>
  <c r="AP328" i="5"/>
  <c r="BO318" i="5"/>
  <c r="AS318" i="5"/>
  <c r="AP318" i="5"/>
  <c r="BO309" i="5"/>
  <c r="AS309" i="5"/>
  <c r="AP309" i="5"/>
  <c r="BO301" i="5"/>
  <c r="AS301" i="5"/>
  <c r="AP301" i="5"/>
  <c r="BO294" i="5"/>
  <c r="AS294" i="5"/>
  <c r="AP294" i="5"/>
  <c r="BW312" i="5"/>
  <c r="BT312" i="5"/>
  <c r="BT340" i="5"/>
  <c r="BW340" i="5"/>
  <c r="BT362" i="5"/>
  <c r="BW362" i="5"/>
  <c r="BR747" i="5"/>
  <c r="BQ747" i="5"/>
  <c r="BW305" i="5"/>
  <c r="BT305" i="5"/>
  <c r="BW335" i="5"/>
  <c r="BT335" i="5"/>
  <c r="BO335" i="5"/>
  <c r="AS335" i="5"/>
  <c r="AP335" i="5"/>
  <c r="BO330" i="5"/>
  <c r="AS330" i="5"/>
  <c r="AP330" i="5"/>
  <c r="BO319" i="5"/>
  <c r="AS319" i="5"/>
  <c r="AP319" i="5"/>
  <c r="BO300" i="5"/>
  <c r="AS300" i="5"/>
  <c r="AP300" i="5"/>
  <c r="BW325" i="5"/>
  <c r="BT325" i="5"/>
  <c r="BT361" i="5"/>
  <c r="BW361" i="5"/>
  <c r="BW303" i="5"/>
  <c r="BT303" i="5"/>
  <c r="BT354" i="5"/>
  <c r="BW354" i="5"/>
  <c r="BW293" i="5"/>
  <c r="BT293" i="5"/>
  <c r="BW338" i="5"/>
  <c r="BT338" i="5"/>
  <c r="BO380" i="5"/>
  <c r="AS380" i="5"/>
  <c r="AP380" i="5"/>
  <c r="AP362" i="5"/>
  <c r="BO362" i="5"/>
  <c r="AS362" i="5"/>
  <c r="BO355" i="5"/>
  <c r="AP355" i="5"/>
  <c r="AS355" i="5"/>
  <c r="BO347" i="5"/>
  <c r="AS347" i="5"/>
  <c r="AP347" i="5"/>
  <c r="AS341" i="5"/>
  <c r="AP341" i="5"/>
  <c r="BO341" i="5"/>
  <c r="AS334" i="5"/>
  <c r="AP334" i="5"/>
  <c r="BO334" i="5"/>
  <c r="BO323" i="5"/>
  <c r="AS323" i="5"/>
  <c r="AP323" i="5"/>
  <c r="BO317" i="5"/>
  <c r="AS317" i="5"/>
  <c r="AP317" i="5"/>
  <c r="BO313" i="5"/>
  <c r="AS313" i="5"/>
  <c r="AP313" i="5"/>
  <c r="BT363" i="5"/>
  <c r="BW363" i="5"/>
  <c r="BT370" i="5"/>
  <c r="BW370" i="5"/>
  <c r="BW300" i="5"/>
  <c r="BT300" i="5"/>
  <c r="BW297" i="5"/>
  <c r="BT297" i="5"/>
  <c r="BT369" i="5"/>
  <c r="BW369" i="5"/>
  <c r="BT341" i="5"/>
  <c r="BW341" i="5"/>
  <c r="AP371" i="5"/>
  <c r="AS371" i="5"/>
  <c r="BO371" i="5"/>
  <c r="BO379" i="5"/>
  <c r="AS379" i="5"/>
  <c r="AP379" i="5"/>
  <c r="AP363" i="5"/>
  <c r="AS363" i="5"/>
  <c r="BO363" i="5"/>
  <c r="BO354" i="5"/>
  <c r="AP354" i="5"/>
  <c r="AS354" i="5"/>
  <c r="BO305" i="5"/>
  <c r="AS305" i="5"/>
  <c r="AP305" i="5"/>
  <c r="AS293" i="5"/>
  <c r="AP293" i="5"/>
  <c r="BO293" i="5"/>
  <c r="BW327" i="5"/>
  <c r="BT327" i="5"/>
  <c r="BW298" i="5"/>
  <c r="BT298" i="5"/>
  <c r="AR747" i="5"/>
  <c r="AO747" i="5"/>
  <c r="BN747" i="5"/>
  <c r="BT353" i="5"/>
  <c r="BW353" i="5"/>
  <c r="BT359" i="5"/>
  <c r="BW359" i="5"/>
  <c r="BW326" i="5"/>
  <c r="BT326" i="5"/>
  <c r="BW317" i="5"/>
  <c r="BT317" i="5"/>
  <c r="BW299" i="5"/>
  <c r="BT299" i="5"/>
  <c r="BW302" i="5"/>
  <c r="BT302" i="5"/>
  <c r="BT355" i="5"/>
  <c r="BW355" i="5"/>
  <c r="BO381" i="5"/>
  <c r="AS381" i="5"/>
  <c r="AP381" i="5"/>
  <c r="BO374" i="5"/>
  <c r="AS374" i="5"/>
  <c r="AP374" i="5"/>
  <c r="AP360" i="5"/>
  <c r="AS360" i="5"/>
  <c r="BO360" i="5"/>
  <c r="BO353" i="5"/>
  <c r="AS353" i="5"/>
  <c r="AP353" i="5"/>
  <c r="BO339" i="5"/>
  <c r="AS339" i="5"/>
  <c r="AP339" i="5"/>
  <c r="AS329" i="5"/>
  <c r="AP329" i="5"/>
  <c r="BO329" i="5"/>
  <c r="BO321" i="5"/>
  <c r="AS321" i="5"/>
  <c r="AP321" i="5"/>
  <c r="BO310" i="5"/>
  <c r="AS310" i="5"/>
  <c r="AP310" i="5"/>
  <c r="BO304" i="5"/>
  <c r="AS304" i="5"/>
  <c r="AP304" i="5"/>
  <c r="BO299" i="5"/>
  <c r="AS299" i="5"/>
  <c r="AP299" i="5"/>
  <c r="BT367" i="5"/>
  <c r="BW367" i="5"/>
  <c r="AS747" i="5"/>
  <c r="AP747" i="5"/>
  <c r="BO747" i="5"/>
  <c r="BT357" i="5"/>
  <c r="BW357" i="5"/>
  <c r="BT365" i="5"/>
  <c r="BW365" i="5"/>
  <c r="BW307" i="5"/>
  <c r="BT307" i="5"/>
  <c r="BT356" i="5"/>
  <c r="BW356" i="5"/>
  <c r="BW746" i="5"/>
  <c r="BT746" i="5"/>
  <c r="AS382" i="5"/>
  <c r="AP382" i="5"/>
  <c r="BO382" i="5"/>
  <c r="BO377" i="5"/>
  <c r="AS377" i="5"/>
  <c r="AP377" i="5"/>
  <c r="BO376" i="5"/>
  <c r="AS376" i="5"/>
  <c r="AP376" i="5"/>
  <c r="AP365" i="5"/>
  <c r="AS365" i="5"/>
  <c r="BO365" i="5"/>
  <c r="AP345" i="5"/>
  <c r="AS345" i="5"/>
  <c r="BO345" i="5"/>
  <c r="AS342" i="5"/>
  <c r="AP342" i="5"/>
  <c r="BO342" i="5"/>
  <c r="AP332" i="5"/>
  <c r="AS332" i="5"/>
  <c r="BO332" i="5"/>
  <c r="BO327" i="5"/>
  <c r="AS327" i="5"/>
  <c r="AP327" i="5"/>
  <c r="BO311" i="5"/>
  <c r="AS311" i="5"/>
  <c r="AP311" i="5"/>
  <c r="BO298" i="5"/>
  <c r="AS298" i="5"/>
  <c r="AP298" i="5"/>
  <c r="BW331" i="5"/>
  <c r="BT331" i="5"/>
  <c r="BT371" i="5"/>
  <c r="BW371" i="5"/>
  <c r="BV747" i="5"/>
  <c r="BS747" i="5"/>
  <c r="BW309" i="5"/>
  <c r="BT309" i="5"/>
  <c r="BT358" i="5"/>
  <c r="BW358" i="5"/>
  <c r="BW311" i="5"/>
  <c r="BT311" i="5"/>
  <c r="BT364" i="5"/>
  <c r="BW364" i="5"/>
  <c r="BT372" i="5"/>
  <c r="BW372" i="5"/>
  <c r="BT360" i="5"/>
  <c r="BW360" i="5"/>
  <c r="BP748" i="5"/>
  <c r="AM748" i="5"/>
  <c r="AL748" i="5"/>
  <c r="AP369" i="5"/>
  <c r="AS369" i="5"/>
  <c r="BO369" i="5"/>
  <c r="AP358" i="5"/>
  <c r="BO358" i="5"/>
  <c r="AS358" i="5"/>
  <c r="BO352" i="5"/>
  <c r="AS352" i="5"/>
  <c r="AP352" i="5"/>
  <c r="AP344" i="5"/>
  <c r="BO344" i="5"/>
  <c r="AS344" i="5"/>
  <c r="AS340" i="5"/>
  <c r="BO340" i="5"/>
  <c r="AP340" i="5"/>
  <c r="BO316" i="5"/>
  <c r="AS316" i="5"/>
  <c r="AP316" i="5"/>
  <c r="BO306" i="5"/>
  <c r="AS306" i="5"/>
  <c r="AP306" i="5"/>
  <c r="BW301" i="5"/>
  <c r="BT301" i="5"/>
  <c r="BW306" i="5"/>
  <c r="BT306" i="5"/>
  <c r="BT332" i="5"/>
  <c r="BW332" i="5"/>
  <c r="BW313" i="5"/>
  <c r="BT313" i="5"/>
  <c r="BW314" i="5"/>
  <c r="BT314" i="5"/>
  <c r="AN748" i="5"/>
  <c r="AQ748" i="5"/>
  <c r="BM748" i="5"/>
  <c r="AJ748" i="5"/>
  <c r="AI748" i="5"/>
  <c r="BX316" i="5" l="1"/>
  <c r="BU316" i="5"/>
  <c r="BX369" i="5"/>
  <c r="BU369" i="5"/>
  <c r="BU342" i="5"/>
  <c r="BX342" i="5"/>
  <c r="BX293" i="5"/>
  <c r="BU293" i="5"/>
  <c r="BX302" i="5"/>
  <c r="BU302" i="5"/>
  <c r="BU372" i="5"/>
  <c r="BX372" i="5"/>
  <c r="BU333" i="5"/>
  <c r="BX333" i="5"/>
  <c r="BX308" i="5"/>
  <c r="BU308" i="5"/>
  <c r="BX336" i="5"/>
  <c r="BU336" i="5"/>
  <c r="BX304" i="5"/>
  <c r="BU304" i="5"/>
  <c r="BX339" i="5"/>
  <c r="BU339" i="5"/>
  <c r="BX381" i="5"/>
  <c r="BU381" i="5"/>
  <c r="BX323" i="5"/>
  <c r="BU323" i="5"/>
  <c r="BX355" i="5"/>
  <c r="BU355" i="5"/>
  <c r="BX319" i="5"/>
  <c r="BU319" i="5"/>
  <c r="BX301" i="5"/>
  <c r="BU301" i="5"/>
  <c r="BX373" i="5"/>
  <c r="BU373" i="5"/>
  <c r="BX322" i="5"/>
  <c r="BU322" i="5"/>
  <c r="BX298" i="5"/>
  <c r="BU298" i="5"/>
  <c r="BX377" i="5"/>
  <c r="BU377" i="5"/>
  <c r="BX379" i="5"/>
  <c r="BU379" i="5"/>
  <c r="BX366" i="5"/>
  <c r="BU366" i="5"/>
  <c r="AR748" i="5"/>
  <c r="AO748" i="5"/>
  <c r="BN748" i="5"/>
  <c r="BU345" i="5"/>
  <c r="BX345" i="5"/>
  <c r="BX382" i="5"/>
  <c r="BU382" i="5"/>
  <c r="BX371" i="5"/>
  <c r="BU371" i="5"/>
  <c r="BX334" i="5"/>
  <c r="BU334" i="5"/>
  <c r="BX346" i="5"/>
  <c r="BU346" i="5"/>
  <c r="BX307" i="5"/>
  <c r="BU307" i="5"/>
  <c r="BX295" i="5"/>
  <c r="BU295" i="5"/>
  <c r="BX350" i="5"/>
  <c r="BU350" i="5"/>
  <c r="BU337" i="5"/>
  <c r="BX337" i="5"/>
  <c r="BU383" i="5"/>
  <c r="BX383" i="5"/>
  <c r="BX315" i="5"/>
  <c r="BU315" i="5"/>
  <c r="BX747" i="5"/>
  <c r="BU747" i="5"/>
  <c r="BX362" i="5"/>
  <c r="BU362" i="5"/>
  <c r="BX340" i="5"/>
  <c r="BU340" i="5"/>
  <c r="BS748" i="5"/>
  <c r="BV748" i="5"/>
  <c r="BX297" i="5"/>
  <c r="BU297" i="5"/>
  <c r="BU338" i="5"/>
  <c r="BX338" i="5"/>
  <c r="BX353" i="5"/>
  <c r="BU353" i="5"/>
  <c r="BT747" i="5"/>
  <c r="BW747" i="5"/>
  <c r="BX305" i="5"/>
  <c r="BU305" i="5"/>
  <c r="BU330" i="5"/>
  <c r="BX330" i="5"/>
  <c r="BX309" i="5"/>
  <c r="BU309" i="5"/>
  <c r="BX365" i="5"/>
  <c r="BU365" i="5"/>
  <c r="BX360" i="5"/>
  <c r="BU360" i="5"/>
  <c r="BU341" i="5"/>
  <c r="BX341" i="5"/>
  <c r="BX312" i="5"/>
  <c r="BU312" i="5"/>
  <c r="BX378" i="5"/>
  <c r="BU378" i="5"/>
  <c r="BX320" i="5"/>
  <c r="BU320" i="5"/>
  <c r="BX356" i="5"/>
  <c r="BU356" i="5"/>
  <c r="BX361" i="5"/>
  <c r="BU361" i="5"/>
  <c r="BX324" i="5"/>
  <c r="BU324" i="5"/>
  <c r="BX358" i="5"/>
  <c r="BU358" i="5"/>
  <c r="BX310" i="5"/>
  <c r="BU310" i="5"/>
  <c r="BX325" i="5"/>
  <c r="BU325" i="5"/>
  <c r="BX368" i="5"/>
  <c r="BU368" i="5"/>
  <c r="BX348" i="5"/>
  <c r="BU348" i="5"/>
  <c r="BX321" i="5"/>
  <c r="BU321" i="5"/>
  <c r="BX313" i="5"/>
  <c r="BU313" i="5"/>
  <c r="BX335" i="5"/>
  <c r="BU335" i="5"/>
  <c r="BX314" i="5"/>
  <c r="BU314" i="5"/>
  <c r="BX375" i="5"/>
  <c r="BU375" i="5"/>
  <c r="AP748" i="5"/>
  <c r="AS748" i="5"/>
  <c r="BO748" i="5"/>
  <c r="BX344" i="5"/>
  <c r="BU344" i="5"/>
  <c r="BR748" i="5"/>
  <c r="BQ748" i="5"/>
  <c r="BX311" i="5"/>
  <c r="BU311" i="5"/>
  <c r="BX306" i="5"/>
  <c r="BU306" i="5"/>
  <c r="BX352" i="5"/>
  <c r="BU352" i="5"/>
  <c r="BX327" i="5"/>
  <c r="BU327" i="5"/>
  <c r="BU354" i="5"/>
  <c r="BX354" i="5"/>
  <c r="BX380" i="5"/>
  <c r="BU380" i="5"/>
  <c r="BX318" i="5"/>
  <c r="BU318" i="5"/>
  <c r="BX349" i="5"/>
  <c r="BU349" i="5"/>
  <c r="BX332" i="5"/>
  <c r="BU332" i="5"/>
  <c r="BU329" i="5"/>
  <c r="BX329" i="5"/>
  <c r="BX363" i="5"/>
  <c r="BU363" i="5"/>
  <c r="BX359" i="5"/>
  <c r="BU359" i="5"/>
  <c r="BX331" i="5"/>
  <c r="BU331" i="5"/>
  <c r="BX367" i="5"/>
  <c r="BU367" i="5"/>
  <c r="BX296" i="5"/>
  <c r="BU296" i="5"/>
  <c r="BX351" i="5"/>
  <c r="BU351" i="5"/>
  <c r="BX364" i="5"/>
  <c r="BU364" i="5"/>
  <c r="BX328" i="5"/>
  <c r="BU328" i="5"/>
  <c r="BX376" i="5"/>
  <c r="BU376" i="5"/>
  <c r="BX299" i="5"/>
  <c r="BU299" i="5"/>
  <c r="BX374" i="5"/>
  <c r="BU374" i="5"/>
  <c r="BX317" i="5"/>
  <c r="BU317" i="5"/>
  <c r="BX347" i="5"/>
  <c r="BU347" i="5"/>
  <c r="BX300" i="5"/>
  <c r="BU300" i="5"/>
  <c r="BX294" i="5"/>
  <c r="BU294" i="5"/>
  <c r="BX357" i="5"/>
  <c r="BU357" i="5"/>
  <c r="BX343" i="5"/>
  <c r="BU343" i="5"/>
  <c r="BX326" i="5"/>
  <c r="BU326" i="5"/>
  <c r="BX370" i="5"/>
  <c r="BU370" i="5"/>
  <c r="BX303" i="5"/>
  <c r="BU303" i="5"/>
  <c r="BU748" i="5" l="1"/>
  <c r="BX748" i="5"/>
  <c r="BT748" i="5"/>
  <c r="BW748" i="5"/>
  <c r="A3" i="21" l="1"/>
  <c r="B2" i="21"/>
  <c r="C2" i="21"/>
  <c r="D2" i="21"/>
  <c r="AR2" i="21" s="1"/>
  <c r="E2" i="21"/>
  <c r="AD2" i="21" l="1"/>
  <c r="AG2" i="21"/>
  <c r="AE2" i="21"/>
  <c r="AC2" i="21"/>
  <c r="AF2" i="21"/>
  <c r="C3" i="21"/>
  <c r="A4" i="21"/>
  <c r="B3" i="21"/>
  <c r="D3" i="21"/>
  <c r="AR3" i="21" s="1"/>
  <c r="E3" i="21"/>
  <c r="AD3" i="21" l="1"/>
  <c r="AG3" i="21"/>
  <c r="AE3" i="21"/>
  <c r="AC3" i="21"/>
  <c r="AF3" i="21"/>
  <c r="A5" i="21"/>
  <c r="B4" i="21"/>
  <c r="C4" i="21"/>
  <c r="D4" i="21"/>
  <c r="AR4" i="21" s="1"/>
  <c r="E4" i="21"/>
  <c r="AD4" i="21" l="1"/>
  <c r="AG4" i="21"/>
  <c r="AE4" i="21"/>
  <c r="AC4" i="21"/>
  <c r="AF4" i="21"/>
  <c r="D5" i="21"/>
  <c r="AR5" i="21" s="1"/>
  <c r="E5" i="21"/>
  <c r="C5" i="21"/>
  <c r="A6" i="21"/>
  <c r="B5" i="21"/>
  <c r="AD5" i="21" l="1"/>
  <c r="AG5" i="21"/>
  <c r="AE5" i="21"/>
  <c r="AC5" i="21"/>
  <c r="AF5" i="21"/>
  <c r="B6" i="21"/>
  <c r="A7" i="21"/>
  <c r="C6" i="21"/>
  <c r="D6" i="21"/>
  <c r="AR6" i="21" s="1"/>
  <c r="E6" i="21"/>
  <c r="AD6" i="21" l="1"/>
  <c r="AG6" i="21"/>
  <c r="AE6" i="21"/>
  <c r="AC6" i="21"/>
  <c r="AF6" i="21"/>
  <c r="D7" i="21"/>
  <c r="AR7" i="21" s="1"/>
  <c r="E7" i="21"/>
  <c r="C7" i="21"/>
  <c r="A8" i="21"/>
  <c r="B7" i="21"/>
  <c r="AD7" i="21" l="1"/>
  <c r="AG7" i="21"/>
  <c r="AE7" i="21"/>
  <c r="AC7" i="21"/>
  <c r="AF7" i="21"/>
  <c r="A9" i="21"/>
  <c r="B8" i="21"/>
  <c r="D8" i="21"/>
  <c r="AR8" i="21" s="1"/>
  <c r="C8" i="21"/>
  <c r="E8" i="21"/>
  <c r="AD8" i="21" l="1"/>
  <c r="AG8" i="21"/>
  <c r="AE8" i="21"/>
  <c r="AC8" i="21"/>
  <c r="AF8" i="21"/>
  <c r="A10" i="21"/>
  <c r="D9" i="21"/>
  <c r="AR9" i="21" s="1"/>
  <c r="E9" i="21"/>
  <c r="C9" i="21"/>
  <c r="B9" i="21"/>
  <c r="AD9" i="21" l="1"/>
  <c r="AG9" i="21"/>
  <c r="AE9" i="21"/>
  <c r="AC9" i="21"/>
  <c r="AF9" i="21"/>
  <c r="E10" i="21"/>
  <c r="B10" i="21"/>
  <c r="C10" i="21"/>
  <c r="A11" i="21"/>
  <c r="D10" i="21"/>
  <c r="AR10" i="21" s="1"/>
  <c r="AD10" i="21" l="1"/>
  <c r="AG10" i="21"/>
  <c r="AE10" i="21"/>
  <c r="AC10" i="21"/>
  <c r="AF10" i="21"/>
  <c r="B11" i="21"/>
  <c r="D11" i="21"/>
  <c r="AR11" i="21" s="1"/>
  <c r="E11" i="21"/>
  <c r="A12" i="21"/>
  <c r="C11" i="21"/>
  <c r="AD11" i="21" l="1"/>
  <c r="AG11" i="21"/>
  <c r="AE11" i="21"/>
  <c r="AC11" i="21"/>
  <c r="AF11" i="21"/>
  <c r="A13" i="21"/>
  <c r="B12" i="21"/>
  <c r="C12" i="21"/>
  <c r="E12" i="21"/>
  <c r="D12" i="21"/>
  <c r="AR12" i="21" s="1"/>
  <c r="AD12" i="21" l="1"/>
  <c r="AG12" i="21"/>
  <c r="AE12" i="21"/>
  <c r="AC12" i="21"/>
  <c r="AF12" i="21"/>
  <c r="E13" i="21"/>
  <c r="D13" i="21"/>
  <c r="AR13" i="21" s="1"/>
  <c r="C13" i="21"/>
  <c r="A14" i="21"/>
  <c r="B13" i="21"/>
  <c r="AD13" i="21" l="1"/>
  <c r="AG13" i="21"/>
  <c r="AE13" i="21"/>
  <c r="AC13" i="21"/>
  <c r="AF13" i="21"/>
  <c r="A15" i="21"/>
  <c r="B14" i="21"/>
  <c r="C14" i="21"/>
  <c r="D14" i="21"/>
  <c r="AR14" i="21" s="1"/>
  <c r="E14" i="21"/>
  <c r="AD14" i="21" l="1"/>
  <c r="AG14" i="21"/>
  <c r="AE14" i="21"/>
  <c r="AC14" i="21"/>
  <c r="AF14" i="21"/>
  <c r="D15" i="21"/>
  <c r="AR15" i="21" s="1"/>
  <c r="E15" i="21"/>
  <c r="A16" i="21"/>
  <c r="C15" i="21"/>
  <c r="B15" i="21"/>
  <c r="AD15" i="21" l="1"/>
  <c r="AG15" i="21"/>
  <c r="AE15" i="21"/>
  <c r="AC15" i="21"/>
  <c r="AF15" i="21"/>
  <c r="B16" i="21"/>
  <c r="D16" i="21"/>
  <c r="AR16" i="21" s="1"/>
  <c r="E16" i="21"/>
  <c r="A17" i="21"/>
  <c r="C16" i="21"/>
  <c r="AD16" i="21" l="1"/>
  <c r="AG16" i="21"/>
  <c r="AE16" i="21"/>
  <c r="AC16" i="21"/>
  <c r="AF16" i="21"/>
  <c r="D17" i="21"/>
  <c r="AR17" i="21" s="1"/>
  <c r="E17" i="21"/>
  <c r="A18" i="21"/>
  <c r="C17" i="21"/>
  <c r="B17" i="21"/>
  <c r="AD17" i="21" l="1"/>
  <c r="AG17" i="21"/>
  <c r="AE17" i="21"/>
  <c r="AC17" i="21"/>
  <c r="AF17" i="21"/>
  <c r="A19" i="21"/>
  <c r="B18" i="21"/>
  <c r="C18" i="21"/>
  <c r="D18" i="21"/>
  <c r="AR18" i="21" s="1"/>
  <c r="E18" i="21"/>
  <c r="AD18" i="21" l="1"/>
  <c r="AG18" i="21"/>
  <c r="AE18" i="21"/>
  <c r="AC18" i="21"/>
  <c r="AF18" i="21"/>
  <c r="D19" i="21"/>
  <c r="AR19" i="21" s="1"/>
  <c r="E19" i="21"/>
  <c r="C19" i="21"/>
  <c r="A20" i="21"/>
  <c r="B19" i="21"/>
  <c r="AD19" i="21" l="1"/>
  <c r="AG19" i="21"/>
  <c r="AE19" i="21"/>
  <c r="AC19" i="21"/>
  <c r="AF19" i="21"/>
  <c r="B20" i="21"/>
  <c r="D20" i="21"/>
  <c r="AR20" i="21" s="1"/>
  <c r="C20" i="21"/>
  <c r="A21" i="21"/>
  <c r="E20" i="21"/>
  <c r="AD20" i="21" l="1"/>
  <c r="AG20" i="21"/>
  <c r="AE20" i="21"/>
  <c r="AC20" i="21"/>
  <c r="AF20" i="21"/>
  <c r="D21" i="21"/>
  <c r="AR21" i="21" s="1"/>
  <c r="E21" i="21"/>
  <c r="A22" i="21"/>
  <c r="B21" i="21"/>
  <c r="C21" i="21"/>
  <c r="AD21" i="21" l="1"/>
  <c r="AG21" i="21"/>
  <c r="AE21" i="21"/>
  <c r="AC21" i="21"/>
  <c r="AF21" i="21"/>
  <c r="A23" i="21"/>
  <c r="B22" i="21"/>
  <c r="C22" i="21"/>
  <c r="D22" i="21"/>
  <c r="AR22" i="21" s="1"/>
  <c r="E22" i="21"/>
  <c r="AD22" i="21" l="1"/>
  <c r="AG22" i="21"/>
  <c r="AE22" i="21"/>
  <c r="AC22" i="21"/>
  <c r="AF22" i="21"/>
  <c r="D23" i="21"/>
  <c r="AR23" i="21" s="1"/>
  <c r="E23" i="21"/>
  <c r="C23" i="21"/>
  <c r="A24" i="21"/>
  <c r="B23" i="21"/>
  <c r="AD23" i="21" l="1"/>
  <c r="AG23" i="21"/>
  <c r="AE23" i="21"/>
  <c r="AC23" i="21"/>
  <c r="AF23" i="21"/>
  <c r="A25" i="21"/>
  <c r="B24" i="21"/>
  <c r="C24" i="21"/>
  <c r="D24" i="21"/>
  <c r="AR24" i="21" s="1"/>
  <c r="E24" i="21"/>
  <c r="AD24" i="21" l="1"/>
  <c r="AG24" i="21"/>
  <c r="AE24" i="21"/>
  <c r="AC24" i="21"/>
  <c r="AF24" i="21"/>
  <c r="E25" i="21"/>
  <c r="D25" i="21"/>
  <c r="AR25" i="21" s="1"/>
  <c r="A26" i="21"/>
  <c r="B25" i="21"/>
  <c r="C25" i="21"/>
  <c r="AD25" i="21" l="1"/>
  <c r="AG25" i="21"/>
  <c r="AE25" i="21"/>
  <c r="AC25" i="21"/>
  <c r="AF25" i="21"/>
  <c r="A27" i="21"/>
  <c r="C26" i="21"/>
  <c r="D26" i="21"/>
  <c r="AR26" i="21" s="1"/>
  <c r="E26" i="21"/>
  <c r="B26" i="21"/>
  <c r="AD26" i="21" l="1"/>
  <c r="AG26" i="21"/>
  <c r="AE26" i="21"/>
  <c r="AC26" i="21"/>
  <c r="AF26" i="21"/>
  <c r="D27" i="21"/>
  <c r="AR27" i="21" s="1"/>
  <c r="E27" i="21"/>
  <c r="A28" i="21"/>
  <c r="C27" i="21"/>
  <c r="B27" i="21"/>
  <c r="AD27" i="21" l="1"/>
  <c r="AG27" i="21"/>
  <c r="AE27" i="21"/>
  <c r="AC27" i="21"/>
  <c r="AF27" i="21"/>
  <c r="A29" i="21"/>
  <c r="C28" i="21"/>
  <c r="D28" i="21"/>
  <c r="AR28" i="21" s="1"/>
  <c r="B28" i="21"/>
  <c r="E28" i="21"/>
  <c r="AD28" i="21" l="1"/>
  <c r="AG28" i="21"/>
  <c r="AE28" i="21"/>
  <c r="AC28" i="21"/>
  <c r="AF28" i="21"/>
  <c r="E29" i="21"/>
  <c r="B29" i="21"/>
  <c r="C29" i="21"/>
  <c r="D29" i="21"/>
  <c r="AR29" i="21" s="1"/>
  <c r="A30" i="21"/>
  <c r="AD29" i="21" l="1"/>
  <c r="AG29" i="21"/>
  <c r="AE29" i="21"/>
  <c r="AC29" i="21"/>
  <c r="AF29" i="21"/>
  <c r="A31" i="21"/>
  <c r="D30" i="21"/>
  <c r="AR30" i="21" s="1"/>
  <c r="B30" i="21"/>
  <c r="C30" i="21"/>
  <c r="E30" i="21"/>
  <c r="AD30" i="21" l="1"/>
  <c r="AG30" i="21"/>
  <c r="AE30" i="21"/>
  <c r="AC30" i="21"/>
  <c r="AF30" i="21"/>
  <c r="E31" i="21"/>
  <c r="D31" i="21"/>
  <c r="AR31" i="21" s="1"/>
  <c r="A32" i="21"/>
  <c r="B31" i="21"/>
  <c r="C31" i="21"/>
  <c r="AD31" i="21" l="1"/>
  <c r="AG31" i="21"/>
  <c r="AE31" i="21"/>
  <c r="AC31" i="21"/>
  <c r="AF31" i="21"/>
  <c r="B32" i="21"/>
  <c r="D32" i="21"/>
  <c r="AR32" i="21" s="1"/>
  <c r="E32" i="21"/>
  <c r="A33" i="21"/>
  <c r="C32" i="21"/>
  <c r="AD32" i="21" l="1"/>
  <c r="AG32" i="21"/>
  <c r="AE32" i="21"/>
  <c r="AC32" i="21"/>
  <c r="AF32" i="21"/>
  <c r="C33" i="21"/>
  <c r="D33" i="21"/>
  <c r="AR33" i="21" s="1"/>
  <c r="A34" i="21"/>
  <c r="E33" i="21"/>
  <c r="B33" i="21"/>
  <c r="AD33" i="21" l="1"/>
  <c r="AG33" i="21"/>
  <c r="AE33" i="21"/>
  <c r="AC33" i="21"/>
  <c r="AF33" i="21"/>
  <c r="A35" i="21"/>
  <c r="D34" i="21"/>
  <c r="AR34" i="21" s="1"/>
  <c r="E34" i="21"/>
  <c r="B34" i="21"/>
  <c r="C34" i="21"/>
  <c r="AD34" i="21" l="1"/>
  <c r="AG34" i="21"/>
  <c r="AE34" i="21"/>
  <c r="AC34" i="21"/>
  <c r="AF34" i="21"/>
  <c r="D35" i="21"/>
  <c r="AR35" i="21" s="1"/>
  <c r="E35" i="21"/>
  <c r="A36" i="21"/>
  <c r="B35" i="21"/>
  <c r="C35" i="21"/>
  <c r="AD35" i="21" l="1"/>
  <c r="AG35" i="21"/>
  <c r="AC35" i="21"/>
  <c r="AE35" i="21"/>
  <c r="AF35" i="21"/>
  <c r="A37" i="21"/>
  <c r="B36" i="21"/>
  <c r="C36" i="21"/>
  <c r="D36" i="21"/>
  <c r="AR36" i="21" s="1"/>
  <c r="E36" i="21"/>
  <c r="AD36" i="21" l="1"/>
  <c r="AG36" i="21"/>
  <c r="AC36" i="21"/>
  <c r="AE36" i="21"/>
  <c r="AF36" i="21"/>
  <c r="D37" i="21"/>
  <c r="AR37" i="21" s="1"/>
  <c r="E37" i="21"/>
  <c r="B37" i="21"/>
  <c r="A38" i="21"/>
  <c r="C37" i="21"/>
  <c r="AD37" i="21" l="1"/>
  <c r="AG37" i="21"/>
  <c r="AC37" i="21"/>
  <c r="AE37" i="21"/>
  <c r="AF37" i="21"/>
  <c r="A39" i="21"/>
  <c r="B38" i="21"/>
  <c r="C38" i="21"/>
  <c r="D38" i="21"/>
  <c r="AR38" i="21" s="1"/>
  <c r="E38" i="21"/>
  <c r="AD38" i="21" l="1"/>
  <c r="AG38" i="21"/>
  <c r="AC38" i="21"/>
  <c r="AE38" i="21"/>
  <c r="AF38" i="21"/>
  <c r="D39" i="21"/>
  <c r="AR39" i="21" s="1"/>
  <c r="E39" i="21"/>
  <c r="A40" i="21"/>
  <c r="B39" i="21"/>
  <c r="C39" i="21"/>
  <c r="AD39" i="21" l="1"/>
  <c r="AG39" i="21"/>
  <c r="AC39" i="21"/>
  <c r="AE39" i="21"/>
  <c r="AF39" i="21"/>
  <c r="A41" i="21"/>
  <c r="B40" i="21"/>
  <c r="C40" i="21"/>
  <c r="D40" i="21"/>
  <c r="AR40" i="21" s="1"/>
  <c r="E40" i="21"/>
  <c r="AD40" i="21" l="1"/>
  <c r="AG40" i="21"/>
  <c r="AC40" i="21"/>
  <c r="AE40" i="21"/>
  <c r="AF40" i="21"/>
  <c r="D41" i="21"/>
  <c r="AR41" i="21" s="1"/>
  <c r="E41" i="21"/>
  <c r="C41" i="21"/>
  <c r="A42" i="21"/>
  <c r="B41" i="21"/>
  <c r="AD41" i="21" l="1"/>
  <c r="AG41" i="21"/>
  <c r="AC41" i="21"/>
  <c r="AE41" i="21"/>
  <c r="AF41" i="21"/>
  <c r="D42" i="21"/>
  <c r="AR42" i="21" s="1"/>
  <c r="E42" i="21"/>
  <c r="B42" i="21"/>
  <c r="C42" i="21"/>
  <c r="A43" i="21"/>
  <c r="AD42" i="21" l="1"/>
  <c r="AG42" i="21"/>
  <c r="AC42" i="21"/>
  <c r="AE42" i="21"/>
  <c r="AF42" i="21"/>
  <c r="E43" i="21"/>
  <c r="C43" i="21"/>
  <c r="A44" i="21"/>
  <c r="B43" i="21"/>
  <c r="D43" i="21"/>
  <c r="AR43" i="21" s="1"/>
  <c r="AD43" i="21" l="1"/>
  <c r="AG43" i="21"/>
  <c r="AC43" i="21"/>
  <c r="AE43" i="21"/>
  <c r="AF43" i="21"/>
  <c r="A45" i="21"/>
  <c r="B44" i="21"/>
  <c r="D44" i="21"/>
  <c r="AR44" i="21" s="1"/>
  <c r="C44" i="21"/>
  <c r="E44" i="21"/>
  <c r="AD44" i="21" l="1"/>
  <c r="AG44" i="21"/>
  <c r="AC44" i="21"/>
  <c r="AE44" i="21"/>
  <c r="AF44" i="21"/>
  <c r="D45" i="21"/>
  <c r="AR45" i="21" s="1"/>
  <c r="E45" i="21"/>
  <c r="A46" i="21"/>
  <c r="B45" i="21"/>
  <c r="C45" i="21"/>
  <c r="AD45" i="21" l="1"/>
  <c r="AG45" i="21"/>
  <c r="AC45" i="21"/>
  <c r="AE45" i="21"/>
  <c r="AF45" i="21"/>
  <c r="A47" i="21"/>
  <c r="B46" i="21"/>
  <c r="C46" i="21"/>
  <c r="D46" i="21"/>
  <c r="AR46" i="21" s="1"/>
  <c r="E46" i="21"/>
  <c r="AD46" i="21" l="1"/>
  <c r="AG46" i="21"/>
  <c r="AC46" i="21"/>
  <c r="AE46" i="21"/>
  <c r="AF46" i="21"/>
  <c r="D47" i="21"/>
  <c r="AR47" i="21" s="1"/>
  <c r="E47" i="21"/>
  <c r="A48" i="21"/>
  <c r="C47" i="21"/>
  <c r="B47" i="21"/>
  <c r="AD47" i="21" l="1"/>
  <c r="AG47" i="21"/>
  <c r="AC47" i="21"/>
  <c r="AE47" i="21"/>
  <c r="AF47" i="21"/>
  <c r="B48" i="21"/>
  <c r="D48" i="21"/>
  <c r="AR48" i="21" s="1"/>
  <c r="E48" i="21"/>
  <c r="A49" i="21"/>
  <c r="C48" i="21"/>
  <c r="AD48" i="21" l="1"/>
  <c r="AG48" i="21"/>
  <c r="AC48" i="21"/>
  <c r="AE48" i="21"/>
  <c r="AF48" i="21"/>
  <c r="D49" i="21"/>
  <c r="AR49" i="21" s="1"/>
  <c r="E49" i="21"/>
  <c r="C49" i="21"/>
  <c r="A50" i="21"/>
  <c r="B49" i="21"/>
  <c r="AD49" i="21" l="1"/>
  <c r="AG49" i="21"/>
  <c r="AC49" i="21"/>
  <c r="AE49" i="21"/>
  <c r="AF49" i="21"/>
  <c r="C50" i="21"/>
  <c r="B50" i="21"/>
  <c r="D50" i="21"/>
  <c r="AR50" i="21" s="1"/>
  <c r="A51" i="21"/>
  <c r="E50" i="21"/>
  <c r="AD50" i="21" l="1"/>
  <c r="AG50" i="21"/>
  <c r="AC50" i="21"/>
  <c r="AE50" i="21"/>
  <c r="AF50" i="21"/>
  <c r="D51" i="21"/>
  <c r="AR51" i="21" s="1"/>
  <c r="E51" i="21"/>
  <c r="B51" i="21"/>
  <c r="C51" i="21"/>
  <c r="A52" i="21"/>
  <c r="AD51" i="21" l="1"/>
  <c r="AG51" i="21"/>
  <c r="AC51" i="21"/>
  <c r="AE51" i="21"/>
  <c r="AF51" i="21"/>
  <c r="A53" i="21"/>
  <c r="B52" i="21"/>
  <c r="C52" i="21"/>
  <c r="D52" i="21"/>
  <c r="AR52" i="21" s="1"/>
  <c r="E52" i="21"/>
  <c r="AD52" i="21" l="1"/>
  <c r="AG52" i="21"/>
  <c r="AC52" i="21"/>
  <c r="AE52" i="21"/>
  <c r="AF52" i="21"/>
  <c r="D53" i="21"/>
  <c r="AR53" i="21" s="1"/>
  <c r="A54" i="21"/>
  <c r="C53" i="21"/>
  <c r="E53" i="21"/>
  <c r="B53" i="21"/>
  <c r="AD53" i="21" l="1"/>
  <c r="AG53" i="21"/>
  <c r="AC53" i="21"/>
  <c r="AE53" i="21"/>
  <c r="AF53" i="21"/>
  <c r="A55" i="21"/>
  <c r="B54" i="21"/>
  <c r="C54" i="21"/>
  <c r="E54" i="21"/>
  <c r="D54" i="21"/>
  <c r="AR54" i="21" s="1"/>
  <c r="AD54" i="21" l="1"/>
  <c r="AG54" i="21"/>
  <c r="AC54" i="21"/>
  <c r="AE54" i="21"/>
  <c r="AF54" i="21"/>
  <c r="D55" i="21"/>
  <c r="AR55" i="21" s="1"/>
  <c r="E55" i="21"/>
  <c r="B55" i="21"/>
  <c r="C55" i="21"/>
  <c r="A56" i="21"/>
  <c r="AD55" i="21" l="1"/>
  <c r="AG55" i="21"/>
  <c r="AC55" i="21"/>
  <c r="AE55" i="21"/>
  <c r="AF55" i="21"/>
  <c r="A57" i="21"/>
  <c r="B56" i="21"/>
  <c r="D56" i="21"/>
  <c r="AR56" i="21" s="1"/>
  <c r="C56" i="21"/>
  <c r="E56" i="21"/>
  <c r="AD56" i="21" l="1"/>
  <c r="AG56" i="21"/>
  <c r="AC56" i="21"/>
  <c r="AE56" i="21"/>
  <c r="AF56" i="21"/>
  <c r="D57" i="21"/>
  <c r="AR57" i="21" s="1"/>
  <c r="E57" i="21"/>
  <c r="A58" i="21"/>
  <c r="B57" i="21"/>
  <c r="C57" i="21"/>
  <c r="AD57" i="21" l="1"/>
  <c r="AG57" i="21"/>
  <c r="AC57" i="21"/>
  <c r="AE57" i="21"/>
  <c r="AF57" i="21"/>
  <c r="A59" i="21"/>
  <c r="B58" i="21"/>
  <c r="C58" i="21"/>
  <c r="D58" i="21"/>
  <c r="AR58" i="21" s="1"/>
  <c r="E58" i="21"/>
  <c r="AD58" i="21" l="1"/>
  <c r="AG58" i="21"/>
  <c r="AC58" i="21"/>
  <c r="AE58" i="21"/>
  <c r="AF58" i="21"/>
  <c r="D59" i="21"/>
  <c r="AR59" i="21" s="1"/>
  <c r="C59" i="21"/>
  <c r="E59" i="21"/>
  <c r="A60" i="21"/>
  <c r="B59" i="21"/>
  <c r="AD59" i="21" l="1"/>
  <c r="AG59" i="21"/>
  <c r="AC59" i="21"/>
  <c r="AE59" i="21"/>
  <c r="AF59" i="21"/>
  <c r="C60" i="21"/>
  <c r="E60" i="21"/>
  <c r="A61" i="21"/>
  <c r="B60" i="21"/>
  <c r="D60" i="21"/>
  <c r="AR60" i="21" s="1"/>
  <c r="AD60" i="21" l="1"/>
  <c r="AG60" i="21"/>
  <c r="AC60" i="21"/>
  <c r="AE60" i="21"/>
  <c r="AF60" i="21"/>
  <c r="B61" i="21"/>
  <c r="E61" i="21"/>
  <c r="C61" i="21"/>
  <c r="A62" i="21"/>
  <c r="D61" i="21"/>
  <c r="AR61" i="21" s="1"/>
  <c r="AD61" i="21" l="1"/>
  <c r="AG61" i="21"/>
  <c r="AC61" i="21"/>
  <c r="AE61" i="21"/>
  <c r="AF61" i="21"/>
  <c r="A63" i="21"/>
  <c r="B62" i="21"/>
  <c r="C62" i="21"/>
  <c r="D62" i="21"/>
  <c r="AR62" i="21" s="1"/>
  <c r="E62" i="21"/>
  <c r="AD62" i="21" l="1"/>
  <c r="AG62" i="21"/>
  <c r="AC62" i="21"/>
  <c r="AE62" i="21"/>
  <c r="AF62" i="21"/>
  <c r="D63" i="21"/>
  <c r="AR63" i="21" s="1"/>
  <c r="E63" i="21"/>
  <c r="C63" i="21"/>
  <c r="B63" i="21"/>
  <c r="A64" i="21"/>
  <c r="AD63" i="21" l="1"/>
  <c r="AG63" i="21"/>
  <c r="AC63" i="21"/>
  <c r="AE63" i="21"/>
  <c r="AF63" i="21"/>
  <c r="A65" i="21"/>
  <c r="B64" i="21"/>
  <c r="C64" i="21"/>
  <c r="D64" i="21"/>
  <c r="AR64" i="21" s="1"/>
  <c r="E64" i="21"/>
  <c r="AD64" i="21" l="1"/>
  <c r="AG64" i="21"/>
  <c r="AC64" i="21"/>
  <c r="AE64" i="21"/>
  <c r="AF64" i="21"/>
  <c r="E65" i="21"/>
  <c r="A66" i="21"/>
  <c r="C65" i="21"/>
  <c r="D65" i="21"/>
  <c r="AR65" i="21" s="1"/>
  <c r="B65" i="21"/>
  <c r="AD65" i="21" l="1"/>
  <c r="AG65" i="21"/>
  <c r="AC65" i="21"/>
  <c r="AE65" i="21"/>
  <c r="AF65" i="21"/>
  <c r="A67" i="21"/>
  <c r="B66" i="21"/>
  <c r="C66" i="21"/>
  <c r="D66" i="21"/>
  <c r="AR66" i="21" s="1"/>
  <c r="E66" i="21"/>
  <c r="AD66" i="21" l="1"/>
  <c r="AG66" i="21"/>
  <c r="AE66" i="21"/>
  <c r="AC66" i="21"/>
  <c r="AF66" i="21"/>
  <c r="D67" i="21"/>
  <c r="AR67" i="21" s="1"/>
  <c r="E67" i="21"/>
  <c r="A68" i="21"/>
  <c r="B67" i="21"/>
  <c r="C67" i="21"/>
  <c r="AD67" i="21" l="1"/>
  <c r="AG67" i="21"/>
  <c r="AC67" i="21"/>
  <c r="AE67" i="21"/>
  <c r="AF67" i="21"/>
  <c r="A69" i="21"/>
  <c r="B68" i="21"/>
  <c r="C68" i="21"/>
  <c r="D68" i="21"/>
  <c r="AR68" i="21" s="1"/>
  <c r="E68" i="21"/>
  <c r="AD68" i="21" l="1"/>
  <c r="AG68" i="21"/>
  <c r="AE68" i="21"/>
  <c r="AC68" i="21"/>
  <c r="AF68" i="21"/>
  <c r="D69" i="21"/>
  <c r="AR69" i="21" s="1"/>
  <c r="E69" i="21"/>
  <c r="A70" i="21"/>
  <c r="C69" i="21"/>
  <c r="B69" i="21"/>
  <c r="AD69" i="21" l="1"/>
  <c r="AG69" i="21"/>
  <c r="AC69" i="21"/>
  <c r="AE69" i="21"/>
  <c r="AF69" i="21"/>
  <c r="A71" i="21"/>
  <c r="B70" i="21"/>
  <c r="D70" i="21"/>
  <c r="AR70" i="21" s="1"/>
  <c r="E70" i="21"/>
  <c r="C70" i="21"/>
  <c r="AD70" i="21" l="1"/>
  <c r="AG70" i="21"/>
  <c r="AC70" i="21"/>
  <c r="AE70" i="21"/>
  <c r="AF70" i="21"/>
  <c r="D71" i="21"/>
  <c r="AR71" i="21" s="1"/>
  <c r="E71" i="21"/>
  <c r="A72" i="21"/>
  <c r="B71" i="21"/>
  <c r="C71" i="21"/>
  <c r="AD71" i="21" l="1"/>
  <c r="AG71" i="21"/>
  <c r="AC71" i="21"/>
  <c r="AE71" i="21"/>
  <c r="AF71" i="21"/>
  <c r="A73" i="21"/>
  <c r="B72" i="21"/>
  <c r="C72" i="21"/>
  <c r="E72" i="21"/>
  <c r="D72" i="21"/>
  <c r="AR72" i="21" s="1"/>
  <c r="AD72" i="21" l="1"/>
  <c r="AG72" i="21"/>
  <c r="AC72" i="21"/>
  <c r="AE72" i="21"/>
  <c r="AF72" i="21"/>
  <c r="D73" i="21"/>
  <c r="AR73" i="21" s="1"/>
  <c r="E73" i="21"/>
  <c r="A74" i="21"/>
  <c r="C73" i="21"/>
  <c r="B73" i="21"/>
  <c r="AD73" i="21" l="1"/>
  <c r="AG73" i="21"/>
  <c r="AC73" i="21"/>
  <c r="AE73" i="21"/>
  <c r="AF73" i="21"/>
  <c r="A75" i="21"/>
  <c r="B74" i="21"/>
  <c r="D74" i="21"/>
  <c r="AR74" i="21" s="1"/>
  <c r="E74" i="21"/>
  <c r="C74" i="21"/>
  <c r="AD74" i="21" l="1"/>
  <c r="AG74" i="21"/>
  <c r="AC74" i="21"/>
  <c r="AE74" i="21"/>
  <c r="AF74" i="21"/>
  <c r="D75" i="21"/>
  <c r="AR75" i="21" s="1"/>
  <c r="E75" i="21"/>
  <c r="A76" i="21"/>
  <c r="B75" i="21"/>
  <c r="C75" i="21"/>
  <c r="AD75" i="21" l="1"/>
  <c r="AG75" i="21"/>
  <c r="AC75" i="21"/>
  <c r="AE75" i="21"/>
  <c r="AF75" i="21"/>
  <c r="A77" i="21"/>
  <c r="B76" i="21"/>
  <c r="D76" i="21"/>
  <c r="AR76" i="21" s="1"/>
  <c r="C76" i="21"/>
  <c r="E76" i="21"/>
  <c r="AD76" i="21" l="1"/>
  <c r="AG76" i="21"/>
  <c r="AC76" i="21"/>
  <c r="AE76" i="21"/>
  <c r="AF76" i="21"/>
  <c r="E77" i="21"/>
  <c r="D77" i="21"/>
  <c r="AR77" i="21" s="1"/>
  <c r="A78" i="21"/>
  <c r="B77" i="21"/>
  <c r="C77" i="21"/>
  <c r="AD77" i="21" l="1"/>
  <c r="AG77" i="21"/>
  <c r="AC77" i="21"/>
  <c r="AE77" i="21"/>
  <c r="AF77" i="21"/>
  <c r="A79" i="21"/>
  <c r="B78" i="21"/>
  <c r="E78" i="21"/>
  <c r="C78" i="21"/>
  <c r="D78" i="21"/>
  <c r="AR78" i="21" s="1"/>
  <c r="AD78" i="21" l="1"/>
  <c r="AG78" i="21"/>
  <c r="AC78" i="21"/>
  <c r="AE78" i="21"/>
  <c r="AF78" i="21"/>
  <c r="D79" i="21"/>
  <c r="AR79" i="21" s="1"/>
  <c r="E79" i="21"/>
  <c r="A80" i="21"/>
  <c r="C79" i="21"/>
  <c r="B79" i="21"/>
  <c r="AD79" i="21" l="1"/>
  <c r="AG79" i="21"/>
  <c r="AC79" i="21"/>
  <c r="AE79" i="21"/>
  <c r="AF79" i="21"/>
  <c r="A81" i="21"/>
  <c r="B80" i="21"/>
  <c r="C80" i="21"/>
  <c r="D80" i="21"/>
  <c r="AR80" i="21" s="1"/>
  <c r="E80" i="21"/>
  <c r="AD80" i="21" l="1"/>
  <c r="AG80" i="21"/>
  <c r="AC80" i="21"/>
  <c r="AE80" i="21"/>
  <c r="AF80" i="21"/>
  <c r="D81" i="21"/>
  <c r="AR81" i="21" s="1"/>
  <c r="E81" i="21"/>
  <c r="A82" i="21"/>
  <c r="C81" i="21"/>
  <c r="B81" i="21"/>
  <c r="AD81" i="21" l="1"/>
  <c r="AG81" i="21"/>
  <c r="AE81" i="21"/>
  <c r="AC81" i="21"/>
  <c r="AF81" i="21"/>
  <c r="A83" i="21"/>
  <c r="C82" i="21"/>
  <c r="D82" i="21"/>
  <c r="AR82" i="21" s="1"/>
  <c r="E82" i="21"/>
  <c r="B82" i="21"/>
  <c r="AD82" i="21" l="1"/>
  <c r="AG82" i="21"/>
  <c r="AC82" i="21"/>
  <c r="AE82" i="21"/>
  <c r="AF82" i="21"/>
  <c r="D83" i="21"/>
  <c r="AR83" i="21" s="1"/>
  <c r="E83" i="21"/>
  <c r="A84" i="21"/>
  <c r="B83" i="21"/>
  <c r="C83" i="21"/>
  <c r="AD83" i="21" l="1"/>
  <c r="AG83" i="21"/>
  <c r="AC83" i="21"/>
  <c r="AE83" i="21"/>
  <c r="AF83" i="21"/>
  <c r="A85" i="21"/>
  <c r="B84" i="21"/>
  <c r="E84" i="21"/>
  <c r="C84" i="21"/>
  <c r="D84" i="21"/>
  <c r="AR84" i="21" s="1"/>
  <c r="AD84" i="21" l="1"/>
  <c r="AG84" i="21"/>
  <c r="AC84" i="21"/>
  <c r="AE84" i="21"/>
  <c r="AF84" i="21"/>
  <c r="A86" i="21"/>
  <c r="E85" i="21"/>
  <c r="B85" i="21"/>
  <c r="C85" i="21"/>
  <c r="D85" i="21"/>
  <c r="AR85" i="21" s="1"/>
  <c r="AD85" i="21" l="1"/>
  <c r="AG85" i="21"/>
  <c r="AC85" i="21"/>
  <c r="AE85" i="21"/>
  <c r="AF85" i="21"/>
  <c r="A87" i="21"/>
  <c r="B86" i="21"/>
  <c r="C86" i="21"/>
  <c r="D86" i="21"/>
  <c r="AR86" i="21" s="1"/>
  <c r="E86" i="21"/>
  <c r="AD86" i="21" l="1"/>
  <c r="AG86" i="21"/>
  <c r="AC86" i="21"/>
  <c r="AE86" i="21"/>
  <c r="AF86" i="21"/>
  <c r="D87" i="21"/>
  <c r="AR87" i="21" s="1"/>
  <c r="E87" i="21"/>
  <c r="B87" i="21"/>
  <c r="A88" i="21"/>
  <c r="C87" i="21"/>
  <c r="AD87" i="21" l="1"/>
  <c r="AG87" i="21"/>
  <c r="AC87" i="21"/>
  <c r="AE87" i="21"/>
  <c r="AF87" i="21"/>
  <c r="A89" i="21"/>
  <c r="B88" i="21"/>
  <c r="C88" i="21"/>
  <c r="D88" i="21"/>
  <c r="AR88" i="21" s="1"/>
  <c r="E88" i="21"/>
  <c r="AD88" i="21" l="1"/>
  <c r="AG88" i="21"/>
  <c r="AC88" i="21"/>
  <c r="AE88" i="21"/>
  <c r="AF88" i="21"/>
  <c r="A90" i="21"/>
  <c r="B89" i="21"/>
  <c r="C89" i="21"/>
  <c r="E89" i="21"/>
  <c r="D89" i="21"/>
  <c r="AR89" i="21" s="1"/>
  <c r="AD89" i="21" l="1"/>
  <c r="AG89" i="21"/>
  <c r="AC89" i="21"/>
  <c r="AE89" i="21"/>
  <c r="AF89" i="21"/>
  <c r="A91" i="21"/>
  <c r="B90" i="21"/>
  <c r="C90" i="21"/>
  <c r="D90" i="21"/>
  <c r="AR90" i="21" s="1"/>
  <c r="E90" i="21"/>
  <c r="AD90" i="21" l="1"/>
  <c r="AG90" i="21"/>
  <c r="AC90" i="21"/>
  <c r="AE90" i="21"/>
  <c r="AF90" i="21"/>
  <c r="B91" i="21"/>
  <c r="C91" i="21"/>
  <c r="D91" i="21"/>
  <c r="AR91" i="21" s="1"/>
  <c r="E91" i="21"/>
  <c r="A92" i="21"/>
  <c r="AD91" i="21" l="1"/>
  <c r="AG91" i="21"/>
  <c r="AC91" i="21"/>
  <c r="AE91" i="21"/>
  <c r="AF91" i="21"/>
  <c r="A93" i="21"/>
  <c r="B92" i="21"/>
  <c r="C92" i="21"/>
  <c r="E92" i="21"/>
  <c r="D92" i="21"/>
  <c r="AR92" i="21" s="1"/>
  <c r="AD92" i="21" l="1"/>
  <c r="AG92" i="21"/>
  <c r="AC92" i="21"/>
  <c r="AE92" i="21"/>
  <c r="AF92" i="21"/>
  <c r="A94" i="21"/>
  <c r="E93" i="21"/>
  <c r="B93" i="21"/>
  <c r="C93" i="21"/>
  <c r="D93" i="21"/>
  <c r="AR93" i="21" s="1"/>
  <c r="AD93" i="21" l="1"/>
  <c r="AG93" i="21"/>
  <c r="AC93" i="21"/>
  <c r="AE93" i="21"/>
  <c r="AF93" i="21"/>
  <c r="C94" i="21"/>
  <c r="E94" i="21"/>
  <c r="B94" i="21"/>
  <c r="D94" i="21"/>
  <c r="AR94" i="21" s="1"/>
  <c r="A95" i="21"/>
  <c r="AD94" i="21" l="1"/>
  <c r="AG94" i="21"/>
  <c r="AE94" i="21"/>
  <c r="AC94" i="21"/>
  <c r="AF94" i="21"/>
  <c r="A96" i="21"/>
  <c r="B95" i="21"/>
  <c r="C95" i="21"/>
  <c r="D95" i="21"/>
  <c r="AR95" i="21" s="1"/>
  <c r="E95" i="21"/>
  <c r="AD95" i="21" l="1"/>
  <c r="AG95" i="21"/>
  <c r="AC95" i="21"/>
  <c r="AE95" i="21"/>
  <c r="AF95" i="21"/>
  <c r="C96" i="21"/>
  <c r="E96" i="21"/>
  <c r="B96" i="21"/>
  <c r="D96" i="21"/>
  <c r="AR96" i="21" s="1"/>
  <c r="A97" i="21"/>
  <c r="AD96" i="21" l="1"/>
  <c r="AG96" i="21"/>
  <c r="AE96" i="21"/>
  <c r="AC96" i="21"/>
  <c r="AF96" i="21"/>
  <c r="A98" i="21"/>
  <c r="B97" i="21"/>
  <c r="C97" i="21"/>
  <c r="D97" i="21"/>
  <c r="AR97" i="21" s="1"/>
  <c r="E97" i="21"/>
  <c r="AD97" i="21" l="1"/>
  <c r="AG97" i="21"/>
  <c r="AE97" i="21"/>
  <c r="AC97" i="21"/>
  <c r="AF97" i="21"/>
  <c r="C98" i="21"/>
  <c r="D98" i="21"/>
  <c r="AR98" i="21" s="1"/>
  <c r="E98" i="21"/>
  <c r="B98" i="21"/>
  <c r="A99" i="21"/>
  <c r="AD98" i="21" l="1"/>
  <c r="AG98" i="21"/>
  <c r="AE98" i="21"/>
  <c r="AC98" i="21"/>
  <c r="AF98" i="21"/>
  <c r="B99" i="21"/>
  <c r="C99" i="21"/>
  <c r="D99" i="21"/>
  <c r="AR99" i="21" s="1"/>
  <c r="E99" i="21"/>
  <c r="A100" i="21"/>
  <c r="AD99" i="21" l="1"/>
  <c r="AG99" i="21"/>
  <c r="AE99" i="21"/>
  <c r="AC99" i="21"/>
  <c r="AF99" i="21"/>
  <c r="D100" i="21"/>
  <c r="AR100" i="21" s="1"/>
  <c r="E100" i="21"/>
  <c r="A101" i="21"/>
  <c r="B100" i="21"/>
  <c r="C100" i="21"/>
  <c r="AD100" i="21" l="1"/>
  <c r="AG100" i="21"/>
  <c r="AE100" i="21"/>
  <c r="AC100" i="21"/>
  <c r="AF100" i="21"/>
  <c r="A102" i="21"/>
  <c r="B101" i="21"/>
  <c r="C101" i="21"/>
  <c r="D101" i="21"/>
  <c r="AR101" i="21" s="1"/>
  <c r="E101" i="21"/>
  <c r="AD101" i="21" l="1"/>
  <c r="AG101" i="21"/>
  <c r="AE101" i="21"/>
  <c r="AC101" i="21"/>
  <c r="AF101" i="21"/>
  <c r="C102" i="21"/>
  <c r="D102" i="21"/>
  <c r="AR102" i="21" s="1"/>
  <c r="E102" i="21"/>
  <c r="B102" i="21"/>
  <c r="A103" i="21"/>
  <c r="AD102" i="21" l="1"/>
  <c r="AG102" i="21"/>
  <c r="AE102" i="21"/>
  <c r="AC102" i="21"/>
  <c r="AF102" i="21"/>
  <c r="A104" i="21"/>
  <c r="C103" i="21"/>
  <c r="E103" i="21"/>
  <c r="B103" i="21"/>
  <c r="D103" i="21"/>
  <c r="AR103" i="21" s="1"/>
  <c r="AD103" i="21" l="1"/>
  <c r="AG103" i="21"/>
  <c r="AE103" i="21"/>
  <c r="AC103" i="21"/>
  <c r="AF103" i="21"/>
  <c r="D104" i="21"/>
  <c r="AR104" i="21" s="1"/>
  <c r="E104" i="21"/>
  <c r="A105" i="21"/>
  <c r="C104" i="21"/>
  <c r="B104" i="21"/>
  <c r="AD104" i="21" l="1"/>
  <c r="AG104" i="21"/>
  <c r="AE104" i="21"/>
  <c r="AC104" i="21"/>
  <c r="AF104" i="21"/>
  <c r="A106" i="21"/>
  <c r="B105" i="21"/>
  <c r="C105" i="21"/>
  <c r="D105" i="21"/>
  <c r="AR105" i="21" s="1"/>
  <c r="E105" i="21"/>
  <c r="AD105" i="21" l="1"/>
  <c r="AG105" i="21"/>
  <c r="AE105" i="21"/>
  <c r="AC105" i="21"/>
  <c r="AF105" i="21"/>
  <c r="D106" i="21"/>
  <c r="AR106" i="21" s="1"/>
  <c r="E106" i="21"/>
  <c r="B106" i="21"/>
  <c r="A107" i="21"/>
  <c r="C106" i="21"/>
  <c r="AD106" i="21" l="1"/>
  <c r="AG106" i="21"/>
  <c r="AE106" i="21"/>
  <c r="AC106" i="21"/>
  <c r="AF106" i="21"/>
  <c r="A108" i="21"/>
  <c r="B107" i="21"/>
  <c r="C107" i="21"/>
  <c r="D107" i="21"/>
  <c r="AR107" i="21" s="1"/>
  <c r="E107" i="21"/>
  <c r="AD107" i="21" l="1"/>
  <c r="AG107" i="21"/>
  <c r="AE107" i="21"/>
  <c r="AC107" i="21"/>
  <c r="AF107" i="21"/>
  <c r="E108" i="21"/>
  <c r="D108" i="21"/>
  <c r="AR108" i="21" s="1"/>
  <c r="A109" i="21"/>
  <c r="B108" i="21"/>
  <c r="C108" i="21"/>
  <c r="AD108" i="21" l="1"/>
  <c r="AG108" i="21"/>
  <c r="AE108" i="21"/>
  <c r="AC108" i="21"/>
  <c r="AF108" i="21"/>
  <c r="A110" i="21"/>
  <c r="B109" i="21"/>
  <c r="C109" i="21"/>
  <c r="D109" i="21"/>
  <c r="AR109" i="21" s="1"/>
  <c r="E109" i="21"/>
  <c r="AD109" i="21" l="1"/>
  <c r="AG109" i="21"/>
  <c r="AE109" i="21"/>
  <c r="AC109" i="21"/>
  <c r="AF109" i="21"/>
  <c r="D110" i="21"/>
  <c r="AR110" i="21" s="1"/>
  <c r="E110" i="21"/>
  <c r="B110" i="21"/>
  <c r="C110" i="21"/>
  <c r="A111" i="21"/>
  <c r="AD110" i="21" l="1"/>
  <c r="AG110" i="21"/>
  <c r="AE110" i="21"/>
  <c r="AC110" i="21"/>
  <c r="AF110" i="21"/>
  <c r="A112" i="21"/>
  <c r="B111" i="21"/>
  <c r="C111" i="21"/>
  <c r="D111" i="21"/>
  <c r="AR111" i="21" s="1"/>
  <c r="E111" i="21"/>
  <c r="AD111" i="21" l="1"/>
  <c r="AG111" i="21"/>
  <c r="AE111" i="21"/>
  <c r="AC111" i="21"/>
  <c r="AF111" i="21"/>
  <c r="D112" i="21"/>
  <c r="AR112" i="21" s="1"/>
  <c r="E112" i="21"/>
  <c r="B112" i="21"/>
  <c r="A113" i="21"/>
  <c r="C112" i="21"/>
  <c r="AD112" i="21" l="1"/>
  <c r="AG112" i="21"/>
  <c r="AE112" i="21"/>
  <c r="AC112" i="21"/>
  <c r="AF112" i="21"/>
  <c r="A114" i="21"/>
  <c r="B113" i="21"/>
  <c r="E113" i="21"/>
  <c r="C113" i="21"/>
  <c r="D113" i="21"/>
  <c r="AR113" i="21" s="1"/>
  <c r="AD113" i="21" l="1"/>
  <c r="AG113" i="21"/>
  <c r="AE113" i="21"/>
  <c r="AC113" i="21"/>
  <c r="AF113" i="21"/>
  <c r="C114" i="21"/>
  <c r="D114" i="21"/>
  <c r="AR114" i="21" s="1"/>
  <c r="E114" i="21"/>
  <c r="A115" i="21"/>
  <c r="B114" i="21"/>
  <c r="AD114" i="21" l="1"/>
  <c r="AG114" i="21"/>
  <c r="AE114" i="21"/>
  <c r="AC114" i="21"/>
  <c r="AF114" i="21"/>
  <c r="A116" i="21"/>
  <c r="B115" i="21"/>
  <c r="C115" i="21"/>
  <c r="D115" i="21"/>
  <c r="AR115" i="21" s="1"/>
  <c r="E115" i="21"/>
  <c r="AD115" i="21" l="1"/>
  <c r="AG115" i="21"/>
  <c r="AE115" i="21"/>
  <c r="AC115" i="21"/>
  <c r="AF115" i="21"/>
  <c r="C116" i="21"/>
  <c r="D116" i="21"/>
  <c r="AR116" i="21" s="1"/>
  <c r="E116" i="21"/>
  <c r="A117" i="21"/>
  <c r="B116" i="21"/>
  <c r="AD116" i="21" l="1"/>
  <c r="AG116" i="21"/>
  <c r="AE116" i="21"/>
  <c r="AC116" i="21"/>
  <c r="AF116" i="21"/>
  <c r="A118" i="21"/>
  <c r="B117" i="21"/>
  <c r="C117" i="21"/>
  <c r="D117" i="21"/>
  <c r="AR117" i="21" s="1"/>
  <c r="E117" i="21"/>
  <c r="AD117" i="21" l="1"/>
  <c r="AG117" i="21"/>
  <c r="AE117" i="21"/>
  <c r="AC117" i="21"/>
  <c r="AF117" i="21"/>
  <c r="E118" i="21"/>
  <c r="A119" i="21"/>
  <c r="B118" i="21"/>
  <c r="C118" i="21"/>
  <c r="D118" i="21"/>
  <c r="AR118" i="21" s="1"/>
  <c r="AD118" i="21" l="1"/>
  <c r="AG118" i="21"/>
  <c r="AE118" i="21"/>
  <c r="AC118" i="21"/>
  <c r="AF118" i="21"/>
  <c r="D119" i="21"/>
  <c r="AR119" i="21" s="1"/>
  <c r="E119" i="21"/>
  <c r="A120" i="21"/>
  <c r="C119" i="21"/>
  <c r="B119" i="21"/>
  <c r="AD119" i="21" l="1"/>
  <c r="AG119" i="21"/>
  <c r="AE119" i="21"/>
  <c r="AC119" i="21"/>
  <c r="AF119" i="21"/>
  <c r="A121" i="21"/>
  <c r="B120" i="21"/>
  <c r="C120" i="21"/>
  <c r="E120" i="21"/>
  <c r="D120" i="21"/>
  <c r="AR120" i="21" s="1"/>
  <c r="AD120" i="21" l="1"/>
  <c r="AG120" i="21"/>
  <c r="AE120" i="21"/>
  <c r="AC120" i="21"/>
  <c r="AF120" i="21"/>
  <c r="D121" i="21"/>
  <c r="AR121" i="21" s="1"/>
  <c r="E121" i="21"/>
  <c r="C121" i="21"/>
  <c r="B121" i="21"/>
  <c r="A122" i="21"/>
  <c r="AD121" i="21" l="1"/>
  <c r="AG121" i="21"/>
  <c r="AE121" i="21"/>
  <c r="AC121" i="21"/>
  <c r="AF121" i="21"/>
  <c r="A123" i="21"/>
  <c r="B122" i="21"/>
  <c r="C122" i="21"/>
  <c r="D122" i="21"/>
  <c r="AR122" i="21" s="1"/>
  <c r="E122" i="21"/>
  <c r="AD122" i="21" l="1"/>
  <c r="AG122" i="21"/>
  <c r="AE122" i="21"/>
  <c r="AC122" i="21"/>
  <c r="AF122" i="21"/>
  <c r="D123" i="21"/>
  <c r="AR123" i="21" s="1"/>
  <c r="E123" i="21"/>
  <c r="A124" i="21"/>
  <c r="C123" i="21"/>
  <c r="B123" i="21"/>
  <c r="AD123" i="21" l="1"/>
  <c r="AG123" i="21"/>
  <c r="AE123" i="21"/>
  <c r="AC123" i="21"/>
  <c r="AF123" i="21"/>
  <c r="A125" i="21"/>
  <c r="B124" i="21"/>
  <c r="C124" i="21"/>
  <c r="D124" i="21"/>
  <c r="AR124" i="21" s="1"/>
  <c r="E124" i="21"/>
  <c r="AD124" i="21" l="1"/>
  <c r="AG124" i="21"/>
  <c r="AE124" i="21"/>
  <c r="AC124" i="21"/>
  <c r="AF124" i="21"/>
  <c r="D125" i="21"/>
  <c r="AR125" i="21" s="1"/>
  <c r="A126" i="21"/>
  <c r="B125" i="21"/>
  <c r="E125" i="21"/>
  <c r="C125" i="21"/>
  <c r="AD125" i="21" l="1"/>
  <c r="AG125" i="21"/>
  <c r="AE125" i="21"/>
  <c r="AC125" i="21"/>
  <c r="AF125" i="21"/>
  <c r="E126" i="21"/>
  <c r="A127" i="21"/>
  <c r="B126" i="21"/>
  <c r="C126" i="21"/>
  <c r="D126" i="21"/>
  <c r="AR126" i="21" s="1"/>
  <c r="AD126" i="21" l="1"/>
  <c r="AG126" i="21"/>
  <c r="AE126" i="21"/>
  <c r="AC126" i="21"/>
  <c r="AF126" i="21"/>
  <c r="B127" i="21"/>
  <c r="C127" i="21"/>
  <c r="D127" i="21"/>
  <c r="AR127" i="21" s="1"/>
  <c r="E127" i="21"/>
  <c r="A128" i="21"/>
  <c r="AD127" i="21" l="1"/>
  <c r="AG127" i="21"/>
  <c r="AE127" i="21"/>
  <c r="AF127" i="21"/>
  <c r="AC127" i="21"/>
  <c r="D128" i="21"/>
  <c r="AR128" i="21" s="1"/>
  <c r="E128" i="21"/>
  <c r="A129" i="21"/>
  <c r="B128" i="21"/>
  <c r="C128" i="21"/>
  <c r="AD128" i="21" l="1"/>
  <c r="AG128" i="21"/>
  <c r="AE128" i="21"/>
  <c r="AF128" i="21"/>
  <c r="AC128" i="21"/>
  <c r="A130" i="21"/>
  <c r="B129" i="21"/>
  <c r="C129" i="21"/>
  <c r="D129" i="21"/>
  <c r="AR129" i="21" s="1"/>
  <c r="E129" i="21"/>
  <c r="AD129" i="21" l="1"/>
  <c r="AG129" i="21"/>
  <c r="AE129" i="21"/>
  <c r="AF129" i="21"/>
  <c r="AC129" i="21"/>
  <c r="D130" i="21"/>
  <c r="AR130" i="21" s="1"/>
  <c r="E130" i="21"/>
  <c r="A131" i="21"/>
  <c r="C130" i="21"/>
  <c r="B130" i="21"/>
  <c r="AD130" i="21" l="1"/>
  <c r="AG130" i="21"/>
  <c r="AE130" i="21"/>
  <c r="AF130" i="21"/>
  <c r="AC130" i="21"/>
  <c r="A132" i="21"/>
  <c r="B131" i="21"/>
  <c r="D131" i="21"/>
  <c r="AR131" i="21" s="1"/>
  <c r="C131" i="21"/>
  <c r="E131" i="21"/>
  <c r="AD131" i="21" l="1"/>
  <c r="AG131" i="21"/>
  <c r="AE131" i="21"/>
  <c r="AF131" i="21"/>
  <c r="AC131" i="21"/>
  <c r="E132" i="21"/>
  <c r="D132" i="21"/>
  <c r="AR132" i="21" s="1"/>
  <c r="A133" i="21"/>
  <c r="B132" i="21"/>
  <c r="C132" i="21"/>
  <c r="AD132" i="21" l="1"/>
  <c r="AG132" i="21"/>
  <c r="AE132" i="21"/>
  <c r="AF132" i="21"/>
  <c r="AC132" i="21"/>
  <c r="A134" i="21"/>
  <c r="C133" i="21"/>
  <c r="D133" i="21"/>
  <c r="AR133" i="21" s="1"/>
  <c r="E133" i="21"/>
  <c r="B133" i="21"/>
  <c r="AD133" i="21" l="1"/>
  <c r="AG133" i="21"/>
  <c r="AE133" i="21"/>
  <c r="AF133" i="21"/>
  <c r="AC133" i="21"/>
  <c r="D134" i="21"/>
  <c r="AR134" i="21" s="1"/>
  <c r="E134" i="21"/>
  <c r="B134" i="21"/>
  <c r="C134" i="21"/>
  <c r="A135" i="21"/>
  <c r="AD134" i="21" l="1"/>
  <c r="AG134" i="21"/>
  <c r="AE134" i="21"/>
  <c r="AF134" i="21"/>
  <c r="AC134" i="21"/>
  <c r="A136" i="21"/>
  <c r="E135" i="21"/>
  <c r="B135" i="21"/>
  <c r="C135" i="21"/>
  <c r="D135" i="21"/>
  <c r="AR135" i="21" s="1"/>
  <c r="AD135" i="21" l="1"/>
  <c r="AG135" i="21"/>
  <c r="AE135" i="21"/>
  <c r="AF135" i="21"/>
  <c r="AC135" i="21"/>
  <c r="E136" i="21"/>
  <c r="D136" i="21"/>
  <c r="AR136" i="21" s="1"/>
  <c r="C136" i="21"/>
  <c r="A137" i="21"/>
  <c r="B136" i="21"/>
  <c r="AD136" i="21" l="1"/>
  <c r="AG136" i="21"/>
  <c r="AE136" i="21"/>
  <c r="AF136" i="21"/>
  <c r="AC136" i="21"/>
  <c r="A138" i="21"/>
  <c r="B137" i="21"/>
  <c r="D137" i="21"/>
  <c r="AR137" i="21" s="1"/>
  <c r="C137" i="21"/>
  <c r="E137" i="21"/>
  <c r="AD137" i="21" l="1"/>
  <c r="AG137" i="21"/>
  <c r="AE137" i="21"/>
  <c r="AF137" i="21"/>
  <c r="AC137" i="21"/>
  <c r="C138" i="21"/>
  <c r="A139" i="21"/>
  <c r="B138" i="21"/>
  <c r="D138" i="21"/>
  <c r="AR138" i="21" s="1"/>
  <c r="E138" i="21"/>
  <c r="AD138" i="21" l="1"/>
  <c r="AG138" i="21"/>
  <c r="AE138" i="21"/>
  <c r="AF138" i="21"/>
  <c r="AC138" i="21"/>
  <c r="D139" i="21"/>
  <c r="AR139" i="21" s="1"/>
  <c r="E139" i="21"/>
  <c r="C139" i="21"/>
  <c r="A140" i="21"/>
  <c r="B139" i="21"/>
  <c r="AD139" i="21" l="1"/>
  <c r="AG139" i="21"/>
  <c r="AE139" i="21"/>
  <c r="AF139" i="21"/>
  <c r="AC139" i="21"/>
  <c r="A141" i="21"/>
  <c r="B140" i="21"/>
  <c r="C140" i="21"/>
  <c r="E140" i="21"/>
  <c r="D140" i="21"/>
  <c r="AR140" i="21" s="1"/>
  <c r="AD140" i="21" l="1"/>
  <c r="AG140" i="21"/>
  <c r="AE140" i="21"/>
  <c r="AF140" i="21"/>
  <c r="AC140" i="21"/>
  <c r="D141" i="21"/>
  <c r="AR141" i="21" s="1"/>
  <c r="E141" i="21"/>
  <c r="A142" i="21"/>
  <c r="C141" i="21"/>
  <c r="B141" i="21"/>
  <c r="AD141" i="21" l="1"/>
  <c r="AG141" i="21"/>
  <c r="AE141" i="21"/>
  <c r="AF141" i="21"/>
  <c r="AC141" i="21"/>
  <c r="A143" i="21"/>
  <c r="B142" i="21"/>
  <c r="C142" i="21"/>
  <c r="D142" i="21"/>
  <c r="AR142" i="21" s="1"/>
  <c r="E142" i="21"/>
  <c r="AD142" i="21" l="1"/>
  <c r="AG142" i="21"/>
  <c r="AE142" i="21"/>
  <c r="AF142" i="21"/>
  <c r="AC142" i="21"/>
  <c r="D143" i="21"/>
  <c r="AR143" i="21" s="1"/>
  <c r="E143" i="21"/>
  <c r="A144" i="21"/>
  <c r="B143" i="21"/>
  <c r="C143" i="21"/>
  <c r="AD143" i="21" l="1"/>
  <c r="AG143" i="21"/>
  <c r="AE143" i="21"/>
  <c r="AF143" i="21"/>
  <c r="AC143" i="21"/>
  <c r="A145" i="21"/>
  <c r="C144" i="21"/>
  <c r="E144" i="21"/>
  <c r="B144" i="21"/>
  <c r="D144" i="21"/>
  <c r="AR144" i="21" s="1"/>
  <c r="AD144" i="21" l="1"/>
  <c r="AG144" i="21"/>
  <c r="AE144" i="21"/>
  <c r="AF144" i="21"/>
  <c r="AC144" i="21"/>
  <c r="D145" i="21"/>
  <c r="AR145" i="21" s="1"/>
  <c r="E145" i="21"/>
  <c r="B145" i="21"/>
  <c r="A146" i="21"/>
  <c r="C145" i="21"/>
  <c r="AD145" i="21" l="1"/>
  <c r="AG145" i="21"/>
  <c r="AE145" i="21"/>
  <c r="AF145" i="21"/>
  <c r="AC145" i="21"/>
  <c r="A147" i="21"/>
  <c r="C146" i="21"/>
  <c r="D146" i="21"/>
  <c r="AR146" i="21" s="1"/>
  <c r="E146" i="21"/>
  <c r="B146" i="21"/>
  <c r="AD146" i="21" l="1"/>
  <c r="AG146" i="21"/>
  <c r="AE146" i="21"/>
  <c r="AF146" i="21"/>
  <c r="AC146" i="21"/>
  <c r="D147" i="21"/>
  <c r="AR147" i="21" s="1"/>
  <c r="E147" i="21"/>
  <c r="A148" i="21"/>
  <c r="C147" i="21"/>
  <c r="B147" i="21"/>
  <c r="AD147" i="21" l="1"/>
  <c r="AG147" i="21"/>
  <c r="AE147" i="21"/>
  <c r="AF147" i="21"/>
  <c r="AC147" i="21"/>
  <c r="A149" i="21"/>
  <c r="B148" i="21"/>
  <c r="C148" i="21"/>
  <c r="D148" i="21"/>
  <c r="AR148" i="21" s="1"/>
  <c r="E148" i="21"/>
  <c r="AD148" i="21" l="1"/>
  <c r="AG148" i="21"/>
  <c r="AE148" i="21"/>
  <c r="AF148" i="21"/>
  <c r="AC148" i="21"/>
  <c r="E149" i="21"/>
  <c r="D149" i="21"/>
  <c r="AR149" i="21" s="1"/>
  <c r="C149" i="21"/>
  <c r="A150" i="21"/>
  <c r="B149" i="21"/>
  <c r="AD149" i="21" l="1"/>
  <c r="AG149" i="21"/>
  <c r="AE149" i="21"/>
  <c r="AF149" i="21"/>
  <c r="AC149" i="21"/>
  <c r="A151" i="21"/>
  <c r="B150" i="21"/>
  <c r="D150" i="21"/>
  <c r="AR150" i="21" s="1"/>
  <c r="E150" i="21"/>
  <c r="C150" i="21"/>
  <c r="AD150" i="21" l="1"/>
  <c r="AG150" i="21"/>
  <c r="AE150" i="21"/>
  <c r="AF150" i="21"/>
  <c r="AC150" i="21"/>
  <c r="D151" i="21"/>
  <c r="AR151" i="21" s="1"/>
  <c r="A152" i="21"/>
  <c r="E151" i="21"/>
  <c r="B151" i="21"/>
  <c r="C151" i="21"/>
  <c r="AD151" i="21" l="1"/>
  <c r="AG151" i="21"/>
  <c r="AE151" i="21"/>
  <c r="AF151" i="21"/>
  <c r="AC151" i="21"/>
  <c r="A153" i="21"/>
  <c r="B152" i="21"/>
  <c r="C152" i="21"/>
  <c r="D152" i="21"/>
  <c r="AR152" i="21" s="1"/>
  <c r="E152" i="21"/>
  <c r="AD152" i="21" l="1"/>
  <c r="AG152" i="21"/>
  <c r="AE152" i="21"/>
  <c r="AF152" i="21"/>
  <c r="AC152" i="21"/>
  <c r="D153" i="21"/>
  <c r="AR153" i="21" s="1"/>
  <c r="E153" i="21"/>
  <c r="A154" i="21"/>
  <c r="C153" i="21"/>
  <c r="B153" i="21"/>
  <c r="AD153" i="21" l="1"/>
  <c r="AG153" i="21"/>
  <c r="AE153" i="21"/>
  <c r="AF153" i="21"/>
  <c r="AC153" i="21"/>
  <c r="A155" i="21"/>
  <c r="B154" i="21"/>
  <c r="C154" i="21"/>
  <c r="D154" i="21"/>
  <c r="AR154" i="21" s="1"/>
  <c r="E154" i="21"/>
  <c r="AD154" i="21" l="1"/>
  <c r="AG154" i="21"/>
  <c r="AE154" i="21"/>
  <c r="AF154" i="21"/>
  <c r="AC154" i="21"/>
  <c r="C155" i="21"/>
  <c r="D155" i="21"/>
  <c r="AR155" i="21" s="1"/>
  <c r="E155" i="21"/>
  <c r="B155" i="21"/>
  <c r="A156" i="21"/>
  <c r="AD155" i="21" l="1"/>
  <c r="AG155" i="21"/>
  <c r="AE155" i="21"/>
  <c r="AF155" i="21"/>
  <c r="AC155" i="21"/>
  <c r="A157" i="21"/>
  <c r="B156" i="21"/>
  <c r="C156" i="21"/>
  <c r="E156" i="21"/>
  <c r="D156" i="21"/>
  <c r="AR156" i="21" s="1"/>
  <c r="AD156" i="21" l="1"/>
  <c r="AG156" i="21"/>
  <c r="AE156" i="21"/>
  <c r="AF156" i="21"/>
  <c r="AC156" i="21"/>
  <c r="D157" i="21"/>
  <c r="AR157" i="21" s="1"/>
  <c r="E157" i="21"/>
  <c r="C157" i="21"/>
  <c r="B157" i="21"/>
  <c r="A158" i="21"/>
  <c r="AD157" i="21" l="1"/>
  <c r="AG157" i="21"/>
  <c r="AE157" i="21"/>
  <c r="AF157" i="21"/>
  <c r="AC157" i="21"/>
  <c r="A159" i="21"/>
  <c r="E158" i="21"/>
  <c r="B158" i="21"/>
  <c r="C158" i="21"/>
  <c r="D158" i="21"/>
  <c r="AR158" i="21" s="1"/>
  <c r="AD158" i="21" l="1"/>
  <c r="AG158" i="21"/>
  <c r="AE158" i="21"/>
  <c r="AC158" i="21"/>
  <c r="AF158" i="21"/>
  <c r="D159" i="21"/>
  <c r="AR159" i="21" s="1"/>
  <c r="E159" i="21"/>
  <c r="C159" i="21"/>
  <c r="A160" i="21"/>
  <c r="B159" i="21"/>
  <c r="AD159" i="21" l="1"/>
  <c r="AG159" i="21"/>
  <c r="AE159" i="21"/>
  <c r="AC159" i="21"/>
  <c r="AF159" i="21"/>
  <c r="A161" i="21"/>
  <c r="B160" i="21"/>
  <c r="C160" i="21"/>
  <c r="D160" i="21"/>
  <c r="AR160" i="21" s="1"/>
  <c r="E160" i="21"/>
  <c r="AD160" i="21" l="1"/>
  <c r="AG160" i="21"/>
  <c r="AE160" i="21"/>
  <c r="AC160" i="21"/>
  <c r="AF160" i="21"/>
  <c r="D161" i="21"/>
  <c r="AR161" i="21" s="1"/>
  <c r="E161" i="21"/>
  <c r="C161" i="21"/>
  <c r="B161" i="21"/>
  <c r="A162" i="21"/>
  <c r="AD161" i="21" l="1"/>
  <c r="AG161" i="21"/>
  <c r="AE161" i="21"/>
  <c r="AC161" i="21"/>
  <c r="AF161" i="21"/>
  <c r="A163" i="21"/>
  <c r="D162" i="21"/>
  <c r="AR162" i="21" s="1"/>
  <c r="B162" i="21"/>
  <c r="C162" i="21"/>
  <c r="E162" i="21"/>
  <c r="AD162" i="21" l="1"/>
  <c r="AG162" i="21"/>
  <c r="AE162" i="21"/>
  <c r="AC162" i="21"/>
  <c r="AF162" i="21"/>
  <c r="D163" i="21"/>
  <c r="AR163" i="21" s="1"/>
  <c r="E163" i="21"/>
  <c r="A164" i="21"/>
  <c r="C163" i="21"/>
  <c r="B163" i="21"/>
  <c r="AD163" i="21" l="1"/>
  <c r="AG163" i="21"/>
  <c r="AE163" i="21"/>
  <c r="AC163" i="21"/>
  <c r="AF163" i="21"/>
  <c r="A165" i="21"/>
  <c r="B164" i="21"/>
  <c r="C164" i="21"/>
  <c r="D164" i="21"/>
  <c r="AR164" i="21" s="1"/>
  <c r="E164" i="21"/>
  <c r="AD164" i="21" l="1"/>
  <c r="AG164" i="21"/>
  <c r="AE164" i="21"/>
  <c r="AC164" i="21"/>
  <c r="AF164" i="21"/>
  <c r="A166" i="21"/>
  <c r="B165" i="21"/>
  <c r="C165" i="21"/>
  <c r="D165" i="21"/>
  <c r="AR165" i="21" s="1"/>
  <c r="E165" i="21"/>
  <c r="AD165" i="21" l="1"/>
  <c r="AG165" i="21"/>
  <c r="AE165" i="21"/>
  <c r="AC165" i="21"/>
  <c r="AF165" i="21"/>
  <c r="D166" i="21"/>
  <c r="AR166" i="21" s="1"/>
  <c r="A167" i="21"/>
  <c r="C166" i="21"/>
  <c r="E166" i="21"/>
  <c r="B166" i="21"/>
  <c r="AD166" i="21" l="1"/>
  <c r="AG166" i="21"/>
  <c r="AE166" i="21"/>
  <c r="AC166" i="21"/>
  <c r="AF166" i="21"/>
  <c r="A168" i="21"/>
  <c r="C167" i="21"/>
  <c r="D167" i="21"/>
  <c r="AR167" i="21" s="1"/>
  <c r="B167" i="21"/>
  <c r="E167" i="21"/>
  <c r="AD167" i="21" l="1"/>
  <c r="AG167" i="21"/>
  <c r="AE167" i="21"/>
  <c r="AC167" i="21"/>
  <c r="AF167" i="21"/>
  <c r="E168" i="21"/>
  <c r="D168" i="21"/>
  <c r="AR168" i="21" s="1"/>
  <c r="A169" i="21"/>
  <c r="B168" i="21"/>
  <c r="C168" i="21"/>
  <c r="AD168" i="21" l="1"/>
  <c r="AG168" i="21"/>
  <c r="AE168" i="21"/>
  <c r="AC168" i="21"/>
  <c r="AF168" i="21"/>
  <c r="A170" i="21"/>
  <c r="B169" i="21"/>
  <c r="C169" i="21"/>
  <c r="D169" i="21"/>
  <c r="AR169" i="21" s="1"/>
  <c r="E169" i="21"/>
  <c r="AD169" i="21" l="1"/>
  <c r="AG169" i="21"/>
  <c r="AE169" i="21"/>
  <c r="AC169" i="21"/>
  <c r="AF169" i="21"/>
  <c r="D170" i="21"/>
  <c r="AR170" i="21" s="1"/>
  <c r="E170" i="21"/>
  <c r="C170" i="21"/>
  <c r="A171" i="21"/>
  <c r="B170" i="21"/>
  <c r="AD170" i="21" l="1"/>
  <c r="AG170" i="21"/>
  <c r="AE170" i="21"/>
  <c r="AC170" i="21"/>
  <c r="AF170" i="21"/>
  <c r="A172" i="21"/>
  <c r="C171" i="21"/>
  <c r="D171" i="21"/>
  <c r="AR171" i="21" s="1"/>
  <c r="E171" i="21"/>
  <c r="B171" i="21"/>
  <c r="AD171" i="21" l="1"/>
  <c r="AG171" i="21"/>
  <c r="AE171" i="21"/>
  <c r="AC171" i="21"/>
  <c r="AF171" i="21"/>
  <c r="D172" i="21"/>
  <c r="AR172" i="21" s="1"/>
  <c r="A173" i="21"/>
  <c r="C172" i="21"/>
  <c r="E172" i="21"/>
  <c r="B172" i="21"/>
  <c r="AD172" i="21" l="1"/>
  <c r="AG172" i="21"/>
  <c r="AE172" i="21"/>
  <c r="AC172" i="21"/>
  <c r="AF172" i="21"/>
  <c r="A174" i="21"/>
  <c r="E173" i="21"/>
  <c r="B173" i="21"/>
  <c r="C173" i="21"/>
  <c r="D173" i="21"/>
  <c r="AR173" i="21" s="1"/>
  <c r="AD173" i="21" l="1"/>
  <c r="AG173" i="21"/>
  <c r="AE173" i="21"/>
  <c r="AC173" i="21"/>
  <c r="AF173" i="21"/>
  <c r="D174" i="21"/>
  <c r="AR174" i="21" s="1"/>
  <c r="E174" i="21"/>
  <c r="A175" i="21"/>
  <c r="C174" i="21"/>
  <c r="B174" i="21"/>
  <c r="AD174" i="21" l="1"/>
  <c r="AG174" i="21"/>
  <c r="AE174" i="21"/>
  <c r="AC174" i="21"/>
  <c r="AF174" i="21"/>
  <c r="A176" i="21"/>
  <c r="B175" i="21"/>
  <c r="C175" i="21"/>
  <c r="D175" i="21"/>
  <c r="AR175" i="21" s="1"/>
  <c r="E175" i="21"/>
  <c r="AD175" i="21" l="1"/>
  <c r="AG175" i="21"/>
  <c r="AE175" i="21"/>
  <c r="AC175" i="21"/>
  <c r="AF175" i="21"/>
  <c r="D176" i="21"/>
  <c r="AR176" i="21" s="1"/>
  <c r="E176" i="21"/>
  <c r="C176" i="21"/>
  <c r="A177" i="21"/>
  <c r="B176" i="21"/>
  <c r="AD176" i="21" l="1"/>
  <c r="AG176" i="21"/>
  <c r="AE176" i="21"/>
  <c r="AC176" i="21"/>
  <c r="AF176" i="21"/>
  <c r="A178" i="21"/>
  <c r="B177" i="21"/>
  <c r="C177" i="21"/>
  <c r="E177" i="21"/>
  <c r="D177" i="21"/>
  <c r="AR177" i="21" s="1"/>
  <c r="AD177" i="21" l="1"/>
  <c r="AG177" i="21"/>
  <c r="AE177" i="21"/>
  <c r="AC177" i="21"/>
  <c r="AF177" i="21"/>
  <c r="E178" i="21"/>
  <c r="B178" i="21"/>
  <c r="C178" i="21"/>
  <c r="D178" i="21"/>
  <c r="AR178" i="21" s="1"/>
  <c r="A179" i="21"/>
  <c r="AD178" i="21" l="1"/>
  <c r="AG178" i="21"/>
  <c r="AE178" i="21"/>
  <c r="AC178" i="21"/>
  <c r="AF178" i="21"/>
  <c r="A180" i="21"/>
  <c r="B179" i="21"/>
  <c r="D179" i="21"/>
  <c r="AR179" i="21" s="1"/>
  <c r="E179" i="21"/>
  <c r="C179" i="21"/>
  <c r="AD179" i="21" l="1"/>
  <c r="AG179" i="21"/>
  <c r="AE179" i="21"/>
  <c r="AC179" i="21"/>
  <c r="AF179" i="21"/>
  <c r="E180" i="21"/>
  <c r="D180" i="21"/>
  <c r="AR180" i="21" s="1"/>
  <c r="C180" i="21"/>
  <c r="B180" i="21"/>
  <c r="A181" i="21"/>
  <c r="AD180" i="21" l="1"/>
  <c r="AG180" i="21"/>
  <c r="AE180" i="21"/>
  <c r="AC180" i="21"/>
  <c r="AF180" i="21"/>
  <c r="A182" i="21"/>
  <c r="B181" i="21"/>
  <c r="C181" i="21"/>
  <c r="D181" i="21"/>
  <c r="AR181" i="21" s="1"/>
  <c r="E181" i="21"/>
  <c r="AD181" i="21" l="1"/>
  <c r="AG181" i="21"/>
  <c r="AE181" i="21"/>
  <c r="AC181" i="21"/>
  <c r="AF181" i="21"/>
  <c r="D182" i="21"/>
  <c r="AR182" i="21" s="1"/>
  <c r="E182" i="21"/>
  <c r="A183" i="21"/>
  <c r="B182" i="21"/>
  <c r="C182" i="21"/>
  <c r="AD182" i="21" l="1"/>
  <c r="AG182" i="21"/>
  <c r="AE182" i="21"/>
  <c r="AC182" i="21"/>
  <c r="AF182" i="21"/>
  <c r="A184" i="21"/>
  <c r="C183" i="21"/>
  <c r="B183" i="21"/>
  <c r="D183" i="21"/>
  <c r="AR183" i="21" s="1"/>
  <c r="E183" i="21"/>
  <c r="AD183" i="21" l="1"/>
  <c r="AG183" i="21"/>
  <c r="AE183" i="21"/>
  <c r="AC183" i="21"/>
  <c r="AF183" i="21"/>
  <c r="D184" i="21"/>
  <c r="AR184" i="21" s="1"/>
  <c r="A185" i="21"/>
  <c r="B184" i="21"/>
  <c r="E184" i="21"/>
  <c r="C184" i="21"/>
  <c r="AD184" i="21" l="1"/>
  <c r="AG184" i="21"/>
  <c r="AE184" i="21"/>
  <c r="AC184" i="21"/>
  <c r="AF184" i="21"/>
  <c r="A186" i="21"/>
  <c r="B185" i="21"/>
  <c r="C185" i="21"/>
  <c r="D185" i="21"/>
  <c r="AR185" i="21" s="1"/>
  <c r="E185" i="21"/>
  <c r="AD185" i="21" l="1"/>
  <c r="AG185" i="21"/>
  <c r="AE185" i="21"/>
  <c r="AC185" i="21"/>
  <c r="AF185" i="21"/>
  <c r="D186" i="21"/>
  <c r="AR186" i="21" s="1"/>
  <c r="E186" i="21"/>
  <c r="A187" i="21"/>
  <c r="B186" i="21"/>
  <c r="C186" i="21"/>
  <c r="AD186" i="21" l="1"/>
  <c r="AG186" i="21"/>
  <c r="AE186" i="21"/>
  <c r="AC186" i="21"/>
  <c r="AF186" i="21"/>
  <c r="B187" i="21"/>
  <c r="C187" i="21"/>
  <c r="A188" i="21"/>
  <c r="E187" i="21"/>
  <c r="D187" i="21"/>
  <c r="AR187" i="21" s="1"/>
  <c r="AD187" i="21" l="1"/>
  <c r="AG187" i="21"/>
  <c r="AE187" i="21"/>
  <c r="AC187" i="21"/>
  <c r="AF187" i="21"/>
  <c r="D188" i="21"/>
  <c r="AR188" i="21" s="1"/>
  <c r="E188" i="21"/>
  <c r="B188" i="21"/>
  <c r="C188" i="21"/>
  <c r="A189" i="21"/>
  <c r="AD188" i="21" l="1"/>
  <c r="AG188" i="21"/>
  <c r="AE188" i="21"/>
  <c r="AC188" i="21"/>
  <c r="AF188" i="21"/>
  <c r="A190" i="21"/>
  <c r="B189" i="21"/>
  <c r="D189" i="21"/>
  <c r="AR189" i="21" s="1"/>
  <c r="E189" i="21"/>
  <c r="C189" i="21"/>
  <c r="AD189" i="21" l="1"/>
  <c r="AG189" i="21"/>
  <c r="AE189" i="21"/>
  <c r="AC189" i="21"/>
  <c r="AF189" i="21"/>
  <c r="D190" i="21"/>
  <c r="AR190" i="21" s="1"/>
  <c r="E190" i="21"/>
  <c r="C190" i="21"/>
  <c r="B190" i="21"/>
  <c r="A191" i="21"/>
  <c r="AD190" i="21" l="1"/>
  <c r="AG190" i="21"/>
  <c r="AE190" i="21"/>
  <c r="AC190" i="21"/>
  <c r="AF190" i="21"/>
  <c r="A192" i="21"/>
  <c r="B191" i="21"/>
  <c r="C191" i="21"/>
  <c r="E191" i="21"/>
  <c r="D191" i="21"/>
  <c r="AR191" i="21" s="1"/>
  <c r="AD191" i="21" l="1"/>
  <c r="AG191" i="21"/>
  <c r="AE191" i="21"/>
  <c r="AC191" i="21"/>
  <c r="AF191" i="21"/>
  <c r="E192" i="21"/>
  <c r="D192" i="21"/>
  <c r="AR192" i="21" s="1"/>
  <c r="A193" i="21"/>
  <c r="B192" i="21"/>
  <c r="C192" i="21"/>
  <c r="AD192" i="21" l="1"/>
  <c r="AG192" i="21"/>
  <c r="AE192" i="21"/>
  <c r="AC192" i="21"/>
  <c r="AF192" i="21"/>
  <c r="A194" i="21"/>
  <c r="C193" i="21"/>
  <c r="E193" i="21"/>
  <c r="B193" i="21"/>
  <c r="D193" i="21"/>
  <c r="AR193" i="21" s="1"/>
  <c r="AD193" i="21" l="1"/>
  <c r="AG193" i="21"/>
  <c r="AE193" i="21"/>
  <c r="AC193" i="21"/>
  <c r="AF193" i="21"/>
  <c r="D194" i="21"/>
  <c r="AR194" i="21" s="1"/>
  <c r="E194" i="21"/>
  <c r="C194" i="21"/>
  <c r="A195" i="21"/>
  <c r="B194" i="21"/>
  <c r="AD194" i="21" l="1"/>
  <c r="AG194" i="21"/>
  <c r="AE194" i="21"/>
  <c r="AC194" i="21"/>
  <c r="AF194" i="21"/>
  <c r="B195" i="21"/>
  <c r="C195" i="21"/>
  <c r="D195" i="21"/>
  <c r="AR195" i="21" s="1"/>
  <c r="A196" i="21"/>
  <c r="E195" i="21"/>
  <c r="AD195" i="21" l="1"/>
  <c r="AG195" i="21"/>
  <c r="AE195" i="21"/>
  <c r="AC195" i="21"/>
  <c r="AF195" i="21"/>
  <c r="D196" i="21"/>
  <c r="AR196" i="21" s="1"/>
  <c r="E196" i="21"/>
  <c r="A197" i="21"/>
  <c r="B196" i="21"/>
  <c r="C196" i="21"/>
  <c r="AD196" i="21" l="1"/>
  <c r="AG196" i="21"/>
  <c r="AE196" i="21"/>
  <c r="AC196" i="21"/>
  <c r="AF196" i="21"/>
  <c r="A198" i="21"/>
  <c r="B197" i="21"/>
  <c r="C197" i="21"/>
  <c r="E197" i="21"/>
  <c r="D197" i="21"/>
  <c r="AR197" i="21" s="1"/>
  <c r="AD197" i="21" l="1"/>
  <c r="AG197" i="21"/>
  <c r="AE197" i="21"/>
  <c r="AC197" i="21"/>
  <c r="AF197" i="21"/>
  <c r="E198" i="21"/>
  <c r="A199" i="21"/>
  <c r="D198" i="21"/>
  <c r="AR198" i="21" s="1"/>
  <c r="C198" i="21"/>
  <c r="B198" i="21"/>
  <c r="AD198" i="21" l="1"/>
  <c r="AG198" i="21"/>
  <c r="AE198" i="21"/>
  <c r="AC198" i="21"/>
  <c r="AF198" i="21"/>
  <c r="B199" i="21"/>
  <c r="C199" i="21"/>
  <c r="D199" i="21"/>
  <c r="AR199" i="21" s="1"/>
  <c r="E199" i="21"/>
  <c r="A200" i="21"/>
  <c r="AD199" i="21" l="1"/>
  <c r="AG199" i="21"/>
  <c r="AE199" i="21"/>
  <c r="AC199" i="21"/>
  <c r="AF199" i="21"/>
  <c r="D200" i="21"/>
  <c r="AR200" i="21" s="1"/>
  <c r="E200" i="21"/>
  <c r="B200" i="21"/>
  <c r="A201" i="21"/>
  <c r="C200" i="21"/>
  <c r="AD200" i="21" l="1"/>
  <c r="AG200" i="21"/>
  <c r="AE200" i="21"/>
  <c r="AC200" i="21"/>
  <c r="AF200" i="21"/>
  <c r="A202" i="21"/>
  <c r="B201" i="21"/>
  <c r="E201" i="21"/>
  <c r="C201" i="21"/>
  <c r="D201" i="21"/>
  <c r="AR201" i="21" s="1"/>
  <c r="AD201" i="21" l="1"/>
  <c r="AG201" i="21"/>
  <c r="AE201" i="21"/>
  <c r="AC201" i="21"/>
  <c r="AF201" i="21"/>
  <c r="A203" i="21"/>
  <c r="D202" i="21"/>
  <c r="AR202" i="21" s="1"/>
  <c r="C202" i="21"/>
  <c r="E202" i="21"/>
  <c r="B202" i="21"/>
  <c r="AD202" i="21" l="1"/>
  <c r="AG202" i="21"/>
  <c r="AE202" i="21"/>
  <c r="AC202" i="21"/>
  <c r="AF202" i="21"/>
  <c r="A204" i="21"/>
  <c r="B203" i="21"/>
  <c r="D203" i="21"/>
  <c r="AR203" i="21" s="1"/>
  <c r="C203" i="21"/>
  <c r="E203" i="21"/>
  <c r="AD203" i="21" l="1"/>
  <c r="AG203" i="21"/>
  <c r="AE203" i="21"/>
  <c r="AC203" i="21"/>
  <c r="AF203" i="21"/>
  <c r="A205" i="21"/>
  <c r="C204" i="21"/>
  <c r="E204" i="21"/>
  <c r="D204" i="21"/>
  <c r="AR204" i="21" s="1"/>
  <c r="B204" i="21"/>
  <c r="AD204" i="21" l="1"/>
  <c r="AG204" i="21"/>
  <c r="AE204" i="21"/>
  <c r="AC204" i="21"/>
  <c r="AF204" i="21"/>
  <c r="A206" i="21"/>
  <c r="B205" i="21"/>
  <c r="C205" i="21"/>
  <c r="D205" i="21"/>
  <c r="AR205" i="21" s="1"/>
  <c r="E205" i="21"/>
  <c r="AD205" i="21" l="1"/>
  <c r="AG205" i="21"/>
  <c r="AE205" i="21"/>
  <c r="AC205" i="21"/>
  <c r="AF205" i="21"/>
  <c r="D206" i="21"/>
  <c r="AR206" i="21" s="1"/>
  <c r="E206" i="21"/>
  <c r="A207" i="21"/>
  <c r="B206" i="21"/>
  <c r="C206" i="21"/>
  <c r="AD206" i="21" l="1"/>
  <c r="AG206" i="21"/>
  <c r="AE206" i="21"/>
  <c r="AC206" i="21"/>
  <c r="AF206" i="21"/>
  <c r="A208" i="21"/>
  <c r="C207" i="21"/>
  <c r="E207" i="21"/>
  <c r="B207" i="21"/>
  <c r="D207" i="21"/>
  <c r="AR207" i="21" s="1"/>
  <c r="AD207" i="21" l="1"/>
  <c r="AG207" i="21"/>
  <c r="AE207" i="21"/>
  <c r="AC207" i="21"/>
  <c r="AF207" i="21"/>
  <c r="D208" i="21"/>
  <c r="AR208" i="21" s="1"/>
  <c r="E208" i="21"/>
  <c r="A209" i="21"/>
  <c r="C208" i="21"/>
  <c r="B208" i="21"/>
  <c r="AD208" i="21" l="1"/>
  <c r="AG208" i="21"/>
  <c r="AE208" i="21"/>
  <c r="AC208" i="21"/>
  <c r="AF208" i="21"/>
  <c r="A210" i="21"/>
  <c r="B209" i="21"/>
  <c r="C209" i="21"/>
  <c r="D209" i="21"/>
  <c r="AR209" i="21" s="1"/>
  <c r="E209" i="21"/>
  <c r="AD209" i="21" l="1"/>
  <c r="AG209" i="21"/>
  <c r="AE209" i="21"/>
  <c r="AC209" i="21"/>
  <c r="AF209" i="21"/>
  <c r="D210" i="21"/>
  <c r="AR210" i="21" s="1"/>
  <c r="E210" i="21"/>
  <c r="A211" i="21"/>
  <c r="C210" i="21"/>
  <c r="B210" i="21"/>
  <c r="AD210" i="21" l="1"/>
  <c r="AG210" i="21"/>
  <c r="AE210" i="21"/>
  <c r="AC210" i="21"/>
  <c r="AF210" i="21"/>
  <c r="A212" i="21"/>
  <c r="B211" i="21"/>
  <c r="C211" i="21"/>
  <c r="D211" i="21"/>
  <c r="AR211" i="21" s="1"/>
  <c r="E211" i="21"/>
  <c r="AD211" i="21" l="1"/>
  <c r="AG211" i="21"/>
  <c r="AE211" i="21"/>
  <c r="AC211" i="21"/>
  <c r="AF211" i="21"/>
  <c r="E212" i="21"/>
  <c r="C212" i="21"/>
  <c r="B212" i="21"/>
  <c r="D212" i="21"/>
  <c r="AR212" i="21" s="1"/>
  <c r="A213" i="21"/>
  <c r="AD212" i="21" l="1"/>
  <c r="AG212" i="21"/>
  <c r="AE212" i="21"/>
  <c r="AC212" i="21"/>
  <c r="AF212" i="21"/>
  <c r="A214" i="21"/>
  <c r="B213" i="21"/>
  <c r="D213" i="21"/>
  <c r="AR213" i="21" s="1"/>
  <c r="C213" i="21"/>
  <c r="E213" i="21"/>
  <c r="AD213" i="21" l="1"/>
  <c r="AG213" i="21"/>
  <c r="AE213" i="21"/>
  <c r="AC213" i="21"/>
  <c r="AF213" i="21"/>
  <c r="A215" i="21"/>
  <c r="B214" i="21"/>
  <c r="C214" i="21"/>
  <c r="D214" i="21"/>
  <c r="AR214" i="21" s="1"/>
  <c r="E214" i="21"/>
  <c r="AD214" i="21" l="1"/>
  <c r="AG214" i="21"/>
  <c r="AE214" i="21"/>
  <c r="AC214" i="21"/>
  <c r="AF214" i="21"/>
  <c r="A216" i="21"/>
  <c r="B215" i="21"/>
  <c r="D215" i="21"/>
  <c r="AR215" i="21" s="1"/>
  <c r="C215" i="21"/>
  <c r="E215" i="21"/>
  <c r="AD215" i="21" l="1"/>
  <c r="AG215" i="21"/>
  <c r="AE215" i="21"/>
  <c r="AC215" i="21"/>
  <c r="AF215" i="21"/>
  <c r="A217" i="21"/>
  <c r="E216" i="21"/>
  <c r="D216" i="21"/>
  <c r="AR216" i="21" s="1"/>
  <c r="B216" i="21"/>
  <c r="C216" i="21"/>
  <c r="AD216" i="21" l="1"/>
  <c r="AG216" i="21"/>
  <c r="AE216" i="21"/>
  <c r="AC216" i="21"/>
  <c r="AF216" i="21"/>
  <c r="D217" i="21"/>
  <c r="AR217" i="21" s="1"/>
  <c r="B217" i="21"/>
  <c r="E217" i="21"/>
  <c r="A218" i="21"/>
  <c r="C217" i="21"/>
  <c r="AD217" i="21" l="1"/>
  <c r="AG217" i="21"/>
  <c r="AE217" i="21"/>
  <c r="AC217" i="21"/>
  <c r="AF217" i="21"/>
  <c r="B218" i="21"/>
  <c r="C218" i="21"/>
  <c r="D218" i="21"/>
  <c r="AR218" i="21" s="1"/>
  <c r="E218" i="21"/>
  <c r="A219" i="21"/>
  <c r="AD218" i="21" l="1"/>
  <c r="AG218" i="21"/>
  <c r="AE218" i="21"/>
  <c r="AC218" i="21"/>
  <c r="AF218" i="21"/>
  <c r="D219" i="21"/>
  <c r="AR219" i="21" s="1"/>
  <c r="E219" i="21"/>
  <c r="B219" i="21"/>
  <c r="C219" i="21"/>
  <c r="A220" i="21"/>
  <c r="AD219" i="21" l="1"/>
  <c r="AG219" i="21"/>
  <c r="AC219" i="21"/>
  <c r="AE219" i="21"/>
  <c r="AF219" i="21"/>
  <c r="A221" i="21"/>
  <c r="B220" i="21"/>
  <c r="C220" i="21"/>
  <c r="D220" i="21"/>
  <c r="AR220" i="21" s="1"/>
  <c r="E220" i="21"/>
  <c r="AD220" i="21" l="1"/>
  <c r="AG220" i="21"/>
  <c r="AE220" i="21"/>
  <c r="AC220" i="21"/>
  <c r="AF220" i="21"/>
  <c r="E221" i="21"/>
  <c r="D221" i="21"/>
  <c r="AR221" i="21" s="1"/>
  <c r="B221" i="21"/>
  <c r="A222" i="21"/>
  <c r="C221" i="21"/>
  <c r="AD221" i="21" l="1"/>
  <c r="AG221" i="21"/>
  <c r="AC221" i="21"/>
  <c r="AE221" i="21"/>
  <c r="AF221" i="21"/>
  <c r="B222" i="21"/>
  <c r="C222" i="21"/>
  <c r="D222" i="21"/>
  <c r="AR222" i="21" s="1"/>
  <c r="E222" i="21"/>
  <c r="A223" i="21"/>
  <c r="AD222" i="21" l="1"/>
  <c r="AG222" i="21"/>
  <c r="AC222" i="21"/>
  <c r="AE222" i="21"/>
  <c r="AF222" i="21"/>
  <c r="A224" i="21"/>
  <c r="C223" i="21"/>
  <c r="B223" i="21"/>
  <c r="D223" i="21"/>
  <c r="AR223" i="21" s="1"/>
  <c r="E223" i="21"/>
  <c r="AD223" i="21" l="1"/>
  <c r="AG223" i="21"/>
  <c r="AC223" i="21"/>
  <c r="AE223" i="21"/>
  <c r="AF223" i="21"/>
  <c r="D224" i="21"/>
  <c r="AR224" i="21" s="1"/>
  <c r="E224" i="21"/>
  <c r="A225" i="21"/>
  <c r="C224" i="21"/>
  <c r="B224" i="21"/>
  <c r="AD224" i="21" l="1"/>
  <c r="AG224" i="21"/>
  <c r="AC224" i="21"/>
  <c r="AE224" i="21"/>
  <c r="AF224" i="21"/>
  <c r="A226" i="21"/>
  <c r="B225" i="21"/>
  <c r="C225" i="21"/>
  <c r="D225" i="21"/>
  <c r="AR225" i="21" s="1"/>
  <c r="E225" i="21"/>
  <c r="AD225" i="21" l="1"/>
  <c r="AG225" i="21"/>
  <c r="AE225" i="21"/>
  <c r="AC225" i="21"/>
  <c r="AF225" i="21"/>
  <c r="E226" i="21"/>
  <c r="B226" i="21"/>
  <c r="D226" i="21"/>
  <c r="AR226" i="21" s="1"/>
  <c r="A227" i="21"/>
  <c r="C226" i="21"/>
  <c r="AD226" i="21" l="1"/>
  <c r="AG226" i="21"/>
  <c r="AE226" i="21"/>
  <c r="AC226" i="21"/>
  <c r="AF226" i="21"/>
  <c r="B227" i="21"/>
  <c r="E227" i="21"/>
  <c r="C227" i="21"/>
  <c r="D227" i="21"/>
  <c r="AR227" i="21" s="1"/>
  <c r="A228" i="21"/>
  <c r="AD227" i="21" l="1"/>
  <c r="AG227" i="21"/>
  <c r="AE227" i="21"/>
  <c r="AC227" i="21"/>
  <c r="AF227" i="21"/>
  <c r="A229" i="21"/>
  <c r="C228" i="21"/>
  <c r="E228" i="21"/>
  <c r="D228" i="21"/>
  <c r="AR228" i="21" s="1"/>
  <c r="B228" i="21"/>
  <c r="AD228" i="21" l="1"/>
  <c r="AG228" i="21"/>
  <c r="AC228" i="21"/>
  <c r="AE228" i="21"/>
  <c r="AF228" i="21"/>
  <c r="D229" i="21"/>
  <c r="AR229" i="21" s="1"/>
  <c r="E229" i="21"/>
  <c r="A230" i="21"/>
  <c r="C229" i="21"/>
  <c r="B229" i="21"/>
  <c r="AD229" i="21" l="1"/>
  <c r="AG229" i="21"/>
  <c r="AE229" i="21"/>
  <c r="AC229" i="21"/>
  <c r="AF229" i="21"/>
  <c r="A231" i="21"/>
  <c r="C230" i="21"/>
  <c r="D230" i="21"/>
  <c r="AR230" i="21" s="1"/>
  <c r="E230" i="21"/>
  <c r="B230" i="21"/>
  <c r="AD230" i="21" l="1"/>
  <c r="AG230" i="21"/>
  <c r="AE230" i="21"/>
  <c r="AC230" i="21"/>
  <c r="AF230" i="21"/>
  <c r="D231" i="21"/>
  <c r="AR231" i="21" s="1"/>
  <c r="E231" i="21"/>
  <c r="C231" i="21"/>
  <c r="A232" i="21"/>
  <c r="B231" i="21"/>
  <c r="AD231" i="21" l="1"/>
  <c r="AG231" i="21"/>
  <c r="AC231" i="21"/>
  <c r="AE231" i="21"/>
  <c r="AF231" i="21"/>
  <c r="A233" i="21"/>
  <c r="B232" i="21"/>
  <c r="C232" i="21"/>
  <c r="D232" i="21"/>
  <c r="AR232" i="21" s="1"/>
  <c r="E232" i="21"/>
  <c r="AD232" i="21" l="1"/>
  <c r="AG232" i="21"/>
  <c r="AE232" i="21"/>
  <c r="AC232" i="21"/>
  <c r="AF232" i="21"/>
  <c r="D233" i="21"/>
  <c r="AR233" i="21" s="1"/>
  <c r="E233" i="21"/>
  <c r="A234" i="21"/>
  <c r="B233" i="21"/>
  <c r="C233" i="21"/>
  <c r="AD233" i="21" l="1"/>
  <c r="AG233" i="21"/>
  <c r="AC233" i="21"/>
  <c r="AE233" i="21"/>
  <c r="AF233" i="21"/>
  <c r="A235" i="21"/>
  <c r="B234" i="21"/>
  <c r="D234" i="21"/>
  <c r="AR234" i="21" s="1"/>
  <c r="E234" i="21"/>
  <c r="C234" i="21"/>
  <c r="AD234" i="21" l="1"/>
  <c r="AG234" i="21"/>
  <c r="AC234" i="21"/>
  <c r="AE234" i="21"/>
  <c r="AF234" i="21"/>
  <c r="D235" i="21"/>
  <c r="AR235" i="21" s="1"/>
  <c r="E235" i="21"/>
  <c r="A236" i="21"/>
  <c r="C235" i="21"/>
  <c r="B235" i="21"/>
  <c r="AD235" i="21" l="1"/>
  <c r="AG235" i="21"/>
  <c r="AC235" i="21"/>
  <c r="AE235" i="21"/>
  <c r="AF235" i="21"/>
  <c r="A237" i="21"/>
  <c r="B236" i="21"/>
  <c r="C236" i="21"/>
  <c r="E236" i="21"/>
  <c r="D236" i="21"/>
  <c r="AR236" i="21" s="1"/>
  <c r="AD236" i="21" l="1"/>
  <c r="AG236" i="21"/>
  <c r="AC236" i="21"/>
  <c r="AE236" i="21"/>
  <c r="AF236" i="21"/>
  <c r="D237" i="21"/>
  <c r="AR237" i="21" s="1"/>
  <c r="E237" i="21"/>
  <c r="A238" i="21"/>
  <c r="B237" i="21"/>
  <c r="C237" i="21"/>
  <c r="AD237" i="21" l="1"/>
  <c r="AG237" i="21"/>
  <c r="AC237" i="21"/>
  <c r="AE237" i="21"/>
  <c r="AF237" i="21"/>
  <c r="A239" i="21"/>
  <c r="C238" i="21"/>
  <c r="E238" i="21"/>
  <c r="B238" i="21"/>
  <c r="D238" i="21"/>
  <c r="AR238" i="21" s="1"/>
  <c r="AD238" i="21" l="1"/>
  <c r="AG238" i="21"/>
  <c r="AE238" i="21"/>
  <c r="AC238" i="21"/>
  <c r="AF238" i="21"/>
  <c r="D239" i="21"/>
  <c r="AR239" i="21" s="1"/>
  <c r="E239" i="21"/>
  <c r="C239" i="21"/>
  <c r="A240" i="21"/>
  <c r="B239" i="21"/>
  <c r="AD239" i="21" l="1"/>
  <c r="AG239" i="21"/>
  <c r="AE239" i="21"/>
  <c r="AC239" i="21"/>
  <c r="AF239" i="21"/>
  <c r="A241" i="21"/>
  <c r="B240" i="21"/>
  <c r="C240" i="21"/>
  <c r="E240" i="21"/>
  <c r="D240" i="21"/>
  <c r="AR240" i="21" s="1"/>
  <c r="AD240" i="21" l="1"/>
  <c r="AG240" i="21"/>
  <c r="AE240" i="21"/>
  <c r="AC240" i="21"/>
  <c r="AF240" i="21"/>
  <c r="D241" i="21"/>
  <c r="AR241" i="21" s="1"/>
  <c r="E241" i="21"/>
  <c r="C241" i="21"/>
  <c r="A242" i="21"/>
  <c r="B241" i="21"/>
  <c r="AD241" i="21" l="1"/>
  <c r="AG241" i="21"/>
  <c r="AE241" i="21"/>
  <c r="AC241" i="21"/>
  <c r="AF241" i="21"/>
  <c r="A243" i="21"/>
  <c r="B242" i="21"/>
  <c r="C242" i="21"/>
  <c r="D242" i="21"/>
  <c r="AR242" i="21" s="1"/>
  <c r="E242" i="21"/>
  <c r="AD242" i="21" l="1"/>
  <c r="AG242" i="21"/>
  <c r="AE242" i="21"/>
  <c r="AC242" i="21"/>
  <c r="AF242" i="21"/>
  <c r="D243" i="21"/>
  <c r="AR243" i="21" s="1"/>
  <c r="E243" i="21"/>
  <c r="C243" i="21"/>
  <c r="A244" i="21"/>
  <c r="B243" i="21"/>
  <c r="AD243" i="21" l="1"/>
  <c r="AG243" i="21"/>
  <c r="AE243" i="21"/>
  <c r="AC243" i="21"/>
  <c r="AF243" i="21"/>
  <c r="A245" i="21"/>
  <c r="D244" i="21"/>
  <c r="AR244" i="21" s="1"/>
  <c r="E244" i="21"/>
  <c r="B244" i="21"/>
  <c r="C244" i="21"/>
  <c r="AD244" i="21" l="1"/>
  <c r="AG244" i="21"/>
  <c r="AE244" i="21"/>
  <c r="AC244" i="21"/>
  <c r="AF244" i="21"/>
  <c r="E245" i="21"/>
  <c r="D245" i="21"/>
  <c r="AR245" i="21" s="1"/>
  <c r="B245" i="21"/>
  <c r="A246" i="21"/>
  <c r="C245" i="21"/>
  <c r="AD245" i="21" l="1"/>
  <c r="AG245" i="21"/>
  <c r="AC245" i="21"/>
  <c r="AE245" i="21"/>
  <c r="AF245" i="21"/>
  <c r="B246" i="21"/>
  <c r="C246" i="21"/>
  <c r="D246" i="21"/>
  <c r="AR246" i="21" s="1"/>
  <c r="A247" i="21"/>
  <c r="E246" i="21"/>
  <c r="AD246" i="21" l="1"/>
  <c r="AG246" i="21"/>
  <c r="AC246" i="21"/>
  <c r="AE246" i="21"/>
  <c r="AF246" i="21"/>
  <c r="D247" i="21"/>
  <c r="AR247" i="21" s="1"/>
  <c r="E247" i="21"/>
  <c r="A248" i="21"/>
  <c r="C247" i="21"/>
  <c r="B247" i="21"/>
  <c r="AD247" i="21" l="1"/>
  <c r="AG247" i="21"/>
  <c r="AC247" i="21"/>
  <c r="AE247" i="21"/>
  <c r="AF247" i="21"/>
  <c r="A249" i="21"/>
  <c r="D248" i="21"/>
  <c r="AR248" i="21" s="1"/>
  <c r="E248" i="21"/>
  <c r="B248" i="21"/>
  <c r="C248" i="21"/>
  <c r="AD248" i="21" l="1"/>
  <c r="AG248" i="21"/>
  <c r="AC248" i="21"/>
  <c r="AE248" i="21"/>
  <c r="AF248" i="21"/>
  <c r="D249" i="21"/>
  <c r="AR249" i="21" s="1"/>
  <c r="E249" i="21"/>
  <c r="B249" i="21"/>
  <c r="A250" i="21"/>
  <c r="C249" i="21"/>
  <c r="AD249" i="21" l="1"/>
  <c r="AG249" i="21"/>
  <c r="AC249" i="21"/>
  <c r="AE249" i="21"/>
  <c r="AF249" i="21"/>
  <c r="A251" i="21"/>
  <c r="B250" i="21"/>
  <c r="C250" i="21"/>
  <c r="D250" i="21"/>
  <c r="AR250" i="21" s="1"/>
  <c r="E250" i="21"/>
  <c r="AD250" i="21" l="1"/>
  <c r="AG250" i="21"/>
  <c r="AC250" i="21"/>
  <c r="AE250" i="21"/>
  <c r="AF250" i="21"/>
  <c r="D251" i="21"/>
  <c r="AR251" i="21" s="1"/>
  <c r="C251" i="21"/>
  <c r="E251" i="21"/>
  <c r="B251" i="21"/>
  <c r="A252" i="21"/>
  <c r="AD251" i="21" l="1"/>
  <c r="AG251" i="21"/>
  <c r="AE251" i="21"/>
  <c r="AC251" i="21"/>
  <c r="AF251" i="21"/>
  <c r="B252" i="21"/>
  <c r="C252" i="21"/>
  <c r="E252" i="21"/>
  <c r="D252" i="21"/>
  <c r="AR252" i="21" s="1"/>
  <c r="A253" i="21"/>
  <c r="AD252" i="21" l="1"/>
  <c r="AG252" i="21"/>
  <c r="AC252" i="21"/>
  <c r="AE252" i="21"/>
  <c r="AF252" i="21"/>
  <c r="D253" i="21"/>
  <c r="AR253" i="21" s="1"/>
  <c r="E253" i="21"/>
  <c r="A254" i="21"/>
  <c r="B253" i="21"/>
  <c r="C253" i="21"/>
  <c r="AD253" i="21" l="1"/>
  <c r="AG253" i="21"/>
  <c r="AC253" i="21"/>
  <c r="AE253" i="21"/>
  <c r="AF253" i="21"/>
  <c r="A255" i="21"/>
  <c r="B254" i="21"/>
  <c r="C254" i="21"/>
  <c r="D254" i="21"/>
  <c r="AR254" i="21" s="1"/>
  <c r="E254" i="21"/>
  <c r="AD254" i="21" l="1"/>
  <c r="AG254" i="21"/>
  <c r="AC254" i="21"/>
  <c r="AE254" i="21"/>
  <c r="AF254" i="21"/>
  <c r="D255" i="21"/>
  <c r="AR255" i="21" s="1"/>
  <c r="E255" i="21"/>
  <c r="A256" i="21"/>
  <c r="C255" i="21"/>
  <c r="B255" i="21"/>
  <c r="AD255" i="21" l="1"/>
  <c r="AG255" i="21"/>
  <c r="AC255" i="21"/>
  <c r="AE255" i="21"/>
  <c r="AF255" i="21"/>
  <c r="A257" i="21"/>
  <c r="B256" i="21"/>
  <c r="C256" i="21"/>
  <c r="E256" i="21"/>
  <c r="D256" i="21"/>
  <c r="AR256" i="21" s="1"/>
  <c r="AD256" i="21" l="1"/>
  <c r="AG256" i="21"/>
  <c r="AC256" i="21"/>
  <c r="AE256" i="21"/>
  <c r="AF256" i="21"/>
  <c r="D257" i="21"/>
  <c r="AR257" i="21" s="1"/>
  <c r="E257" i="21"/>
  <c r="A258" i="21"/>
  <c r="C257" i="21"/>
  <c r="B257" i="21"/>
  <c r="AD257" i="21" l="1"/>
  <c r="AG257" i="21"/>
  <c r="AC257" i="21"/>
  <c r="AE257" i="21"/>
  <c r="AF257" i="21"/>
  <c r="A259" i="21"/>
  <c r="B258" i="21"/>
  <c r="C258" i="21"/>
  <c r="D258" i="21"/>
  <c r="AR258" i="21" s="1"/>
  <c r="E258" i="21"/>
  <c r="AD258" i="21" l="1"/>
  <c r="AG258" i="21"/>
  <c r="AC258" i="21"/>
  <c r="AE258" i="21"/>
  <c r="AF258" i="21"/>
  <c r="D259" i="21"/>
  <c r="AR259" i="21" s="1"/>
  <c r="E259" i="21"/>
  <c r="A260" i="21"/>
  <c r="C259" i="21"/>
  <c r="B259" i="21"/>
  <c r="AD259" i="21" l="1"/>
  <c r="AG259" i="21"/>
  <c r="AC259" i="21"/>
  <c r="AE259" i="21"/>
  <c r="AF259" i="21"/>
  <c r="A261" i="21"/>
  <c r="B260" i="21"/>
  <c r="D260" i="21"/>
  <c r="AR260" i="21" s="1"/>
  <c r="E260" i="21"/>
  <c r="C260" i="21"/>
  <c r="AD260" i="21" l="1"/>
  <c r="AG260" i="21"/>
  <c r="AC260" i="21"/>
  <c r="AE260" i="21"/>
  <c r="AF260" i="21"/>
  <c r="D261" i="21"/>
  <c r="AR261" i="21" s="1"/>
  <c r="E261" i="21"/>
  <c r="A262" i="21"/>
  <c r="B261" i="21"/>
  <c r="C261" i="21"/>
  <c r="AD261" i="21" l="1"/>
  <c r="AG261" i="21"/>
  <c r="AC261" i="21"/>
  <c r="AE261" i="21"/>
  <c r="AF261" i="21"/>
  <c r="A263" i="21"/>
  <c r="D262" i="21"/>
  <c r="AR262" i="21" s="1"/>
  <c r="E262" i="21"/>
  <c r="B262" i="21"/>
  <c r="C262" i="21"/>
  <c r="AD262" i="21" l="1"/>
  <c r="AG262" i="21"/>
  <c r="AC262" i="21"/>
  <c r="AE262" i="21"/>
  <c r="AF262" i="21"/>
  <c r="D263" i="21"/>
  <c r="AR263" i="21" s="1"/>
  <c r="E263" i="21"/>
  <c r="C263" i="21"/>
  <c r="A264" i="21"/>
  <c r="B263" i="21"/>
  <c r="AD263" i="21" l="1"/>
  <c r="AG263" i="21"/>
  <c r="AC263" i="21"/>
  <c r="AE263" i="21"/>
  <c r="AF263" i="21"/>
  <c r="A265" i="21"/>
  <c r="D264" i="21"/>
  <c r="AR264" i="21" s="1"/>
  <c r="B264" i="21"/>
  <c r="C264" i="21"/>
  <c r="E264" i="21"/>
  <c r="AD264" i="21" l="1"/>
  <c r="AG264" i="21"/>
  <c r="AC264" i="21"/>
  <c r="AE264" i="21"/>
  <c r="AF264" i="21"/>
  <c r="D265" i="21"/>
  <c r="AR265" i="21" s="1"/>
  <c r="E265" i="21"/>
  <c r="B265" i="21"/>
  <c r="A266" i="21"/>
  <c r="C265" i="21"/>
  <c r="AD265" i="21" l="1"/>
  <c r="AG265" i="21"/>
  <c r="AC265" i="21"/>
  <c r="AE265" i="21"/>
  <c r="AF265" i="21"/>
  <c r="A267" i="21"/>
  <c r="B266" i="21"/>
  <c r="C266" i="21"/>
  <c r="D266" i="21"/>
  <c r="AR266" i="21" s="1"/>
  <c r="E266" i="21"/>
  <c r="AD266" i="21" l="1"/>
  <c r="AG266" i="21"/>
  <c r="AC266" i="21"/>
  <c r="AE266" i="21"/>
  <c r="AF266" i="21"/>
  <c r="E267" i="21"/>
  <c r="C267" i="21"/>
  <c r="D267" i="21"/>
  <c r="AR267" i="21" s="1"/>
  <c r="B267" i="21"/>
  <c r="A268" i="21"/>
  <c r="AD267" i="21" l="1"/>
  <c r="AG267" i="21"/>
  <c r="AC267" i="21"/>
  <c r="AE267" i="21"/>
  <c r="AF267" i="21"/>
  <c r="A269" i="21"/>
  <c r="B268" i="21"/>
  <c r="C268" i="21"/>
  <c r="D268" i="21"/>
  <c r="AR268" i="21" s="1"/>
  <c r="E268" i="21"/>
  <c r="AD268" i="21" l="1"/>
  <c r="AG268" i="21"/>
  <c r="AC268" i="21"/>
  <c r="AE268" i="21"/>
  <c r="AF268" i="21"/>
  <c r="E269" i="21"/>
  <c r="D269" i="21"/>
  <c r="AR269" i="21" s="1"/>
  <c r="A270" i="21"/>
  <c r="B269" i="21"/>
  <c r="C269" i="21"/>
  <c r="AD269" i="21" l="1"/>
  <c r="AG269" i="21"/>
  <c r="AC269" i="21"/>
  <c r="AE269" i="21"/>
  <c r="AF269" i="21"/>
  <c r="B270" i="21"/>
  <c r="C270" i="21"/>
  <c r="D270" i="21"/>
  <c r="AR270" i="21" s="1"/>
  <c r="A271" i="21"/>
  <c r="E270" i="21"/>
  <c r="AD270" i="21" l="1"/>
  <c r="AG270" i="21"/>
  <c r="AC270" i="21"/>
  <c r="AE270" i="21"/>
  <c r="AF270" i="21"/>
  <c r="E271" i="21"/>
  <c r="B271" i="21"/>
  <c r="D271" i="21"/>
  <c r="AR271" i="21" s="1"/>
  <c r="A272" i="21"/>
  <c r="C271" i="21"/>
  <c r="AD271" i="21" l="1"/>
  <c r="AG271" i="21"/>
  <c r="AC271" i="21"/>
  <c r="AE271" i="21"/>
  <c r="AF271" i="21"/>
  <c r="A273" i="21"/>
  <c r="E272" i="21"/>
  <c r="B272" i="21"/>
  <c r="C272" i="21"/>
  <c r="D272" i="21"/>
  <c r="AR272" i="21" s="1"/>
  <c r="AD272" i="21" l="1"/>
  <c r="AG272" i="21"/>
  <c r="AC272" i="21"/>
  <c r="AE272" i="21"/>
  <c r="AF272" i="21"/>
  <c r="A274" i="21"/>
  <c r="E273" i="21"/>
  <c r="B273" i="21"/>
  <c r="D273" i="21"/>
  <c r="AR273" i="21" s="1"/>
  <c r="C273" i="21"/>
  <c r="AD273" i="21" l="1"/>
  <c r="AG273" i="21"/>
  <c r="AC273" i="21"/>
  <c r="AE273" i="21"/>
  <c r="AF273" i="21"/>
  <c r="C274" i="21"/>
  <c r="D274" i="21"/>
  <c r="AR274" i="21" s="1"/>
  <c r="E274" i="21"/>
  <c r="B274" i="21"/>
  <c r="A275" i="21"/>
  <c r="AD274" i="21" l="1"/>
  <c r="AG274" i="21"/>
  <c r="AC274" i="21"/>
  <c r="AE274" i="21"/>
  <c r="AF274" i="21"/>
  <c r="A276" i="21"/>
  <c r="C275" i="21"/>
  <c r="D275" i="21"/>
  <c r="AR275" i="21" s="1"/>
  <c r="E275" i="21"/>
  <c r="B275" i="21"/>
  <c r="AD275" i="21" l="1"/>
  <c r="AG275" i="21"/>
  <c r="AC275" i="21"/>
  <c r="AE275" i="21"/>
  <c r="AF275" i="21"/>
  <c r="E276" i="21"/>
  <c r="D276" i="21"/>
  <c r="AR276" i="21" s="1"/>
  <c r="C276" i="21"/>
  <c r="A277" i="21"/>
  <c r="B276" i="21"/>
  <c r="AD276" i="21" l="1"/>
  <c r="AG276" i="21"/>
  <c r="AC276" i="21"/>
  <c r="AE276" i="21"/>
  <c r="AF276" i="21"/>
  <c r="A278" i="21"/>
  <c r="B277" i="21"/>
  <c r="D277" i="21"/>
  <c r="AR277" i="21" s="1"/>
  <c r="E277" i="21"/>
  <c r="C277" i="21"/>
  <c r="AD277" i="21" l="1"/>
  <c r="AG277" i="21"/>
  <c r="AC277" i="21"/>
  <c r="AE277" i="21"/>
  <c r="AF277" i="21"/>
  <c r="D278" i="21"/>
  <c r="AR278" i="21" s="1"/>
  <c r="A279" i="21"/>
  <c r="E278" i="21"/>
  <c r="C278" i="21"/>
  <c r="B278" i="21"/>
  <c r="AD278" i="21" l="1"/>
  <c r="AG278" i="21"/>
  <c r="AC278" i="21"/>
  <c r="AE278" i="21"/>
  <c r="AF278" i="21"/>
  <c r="A280" i="21"/>
  <c r="C279" i="21"/>
  <c r="D279" i="21"/>
  <c r="AR279" i="21" s="1"/>
  <c r="E279" i="21"/>
  <c r="B279" i="21"/>
  <c r="AD279" i="21" l="1"/>
  <c r="AG279" i="21"/>
  <c r="AC279" i="21"/>
  <c r="AE279" i="21"/>
  <c r="AF279" i="21"/>
  <c r="E280" i="21"/>
  <c r="D280" i="21"/>
  <c r="AR280" i="21" s="1"/>
  <c r="B280" i="21"/>
  <c r="A281" i="21"/>
  <c r="C280" i="21"/>
  <c r="AD280" i="21" l="1"/>
  <c r="AG280" i="21"/>
  <c r="AE280" i="21"/>
  <c r="AF280" i="21"/>
  <c r="AC280" i="21"/>
  <c r="A282" i="21"/>
  <c r="B281" i="21"/>
  <c r="D281" i="21"/>
  <c r="AR281" i="21" s="1"/>
  <c r="E281" i="21"/>
  <c r="C281" i="21"/>
  <c r="AD281" i="21" l="1"/>
  <c r="AG281" i="21"/>
  <c r="AE281" i="21"/>
  <c r="AF281" i="21"/>
  <c r="AC281" i="21"/>
  <c r="D282" i="21"/>
  <c r="AR282" i="21" s="1"/>
  <c r="C282" i="21"/>
  <c r="B282" i="21"/>
  <c r="E282" i="21"/>
  <c r="A283" i="21"/>
  <c r="AD282" i="21" l="1"/>
  <c r="AG282" i="21"/>
  <c r="AE282" i="21"/>
  <c r="AC282" i="21"/>
  <c r="AF282" i="21"/>
  <c r="A284" i="21"/>
  <c r="B283" i="21"/>
  <c r="C283" i="21"/>
  <c r="D283" i="21"/>
  <c r="AR283" i="21" s="1"/>
  <c r="E283" i="21"/>
  <c r="AD283" i="21" l="1"/>
  <c r="AG283" i="21"/>
  <c r="AC283" i="21"/>
  <c r="AE283" i="21"/>
  <c r="AF283" i="21"/>
  <c r="C284" i="21"/>
  <c r="E284" i="21"/>
  <c r="A285" i="21"/>
  <c r="D284" i="21"/>
  <c r="AR284" i="21" s="1"/>
  <c r="B284" i="21"/>
  <c r="AD284" i="21" l="1"/>
  <c r="AG284" i="21"/>
  <c r="AE284" i="21"/>
  <c r="AF284" i="21"/>
  <c r="AC284" i="21"/>
  <c r="A286" i="21"/>
  <c r="B285" i="21"/>
  <c r="C285" i="21"/>
  <c r="D285" i="21"/>
  <c r="AR285" i="21" s="1"/>
  <c r="E285" i="21"/>
  <c r="AD285" i="21" l="1"/>
  <c r="AG285" i="21"/>
  <c r="AE285" i="21"/>
  <c r="AF285" i="21"/>
  <c r="AC285" i="21"/>
  <c r="D286" i="21"/>
  <c r="AR286" i="21" s="1"/>
  <c r="E286" i="21"/>
  <c r="A287" i="21"/>
  <c r="C286" i="21"/>
  <c r="B286" i="21"/>
  <c r="AD286" i="21" l="1"/>
  <c r="AG286" i="21"/>
  <c r="AE286" i="21"/>
  <c r="AF286" i="21"/>
  <c r="AC286" i="21"/>
  <c r="B287" i="21"/>
  <c r="C287" i="21"/>
  <c r="D287" i="21"/>
  <c r="AR287" i="21" s="1"/>
  <c r="A288" i="21"/>
  <c r="E287" i="21"/>
  <c r="AD287" i="21" l="1"/>
  <c r="AG287" i="21"/>
  <c r="AE287" i="21"/>
  <c r="AF287" i="21"/>
  <c r="AC287" i="21"/>
  <c r="E288" i="21"/>
  <c r="D288" i="21"/>
  <c r="AR288" i="21" s="1"/>
  <c r="C288" i="21"/>
  <c r="A289" i="21"/>
  <c r="B288" i="21"/>
  <c r="AD288" i="21" l="1"/>
  <c r="AG288" i="21"/>
  <c r="AC288" i="21"/>
  <c r="AE288" i="21"/>
  <c r="AF288" i="21"/>
  <c r="A290" i="21"/>
  <c r="C289" i="21"/>
  <c r="B289" i="21"/>
  <c r="E289" i="21"/>
  <c r="D289" i="21"/>
  <c r="AR289" i="21" s="1"/>
  <c r="AD289" i="21" l="1"/>
  <c r="AG289" i="21"/>
  <c r="AE289" i="21"/>
  <c r="AF289" i="21"/>
  <c r="AC289" i="21"/>
  <c r="D290" i="21"/>
  <c r="AR290" i="21" s="1"/>
  <c r="E290" i="21"/>
  <c r="B290" i="21"/>
  <c r="A291" i="21"/>
  <c r="C290" i="21"/>
  <c r="AD290" i="21" l="1"/>
  <c r="AG290" i="21"/>
  <c r="AE290" i="21"/>
  <c r="AF290" i="21"/>
  <c r="AC290" i="21"/>
  <c r="A292" i="21"/>
  <c r="B291" i="21"/>
  <c r="C291" i="21"/>
  <c r="D291" i="21"/>
  <c r="AR291" i="21" s="1"/>
  <c r="E291" i="21"/>
  <c r="AD291" i="21" l="1"/>
  <c r="AG291" i="21"/>
  <c r="AE291" i="21"/>
  <c r="AC291" i="21"/>
  <c r="AF291" i="21"/>
  <c r="D292" i="21"/>
  <c r="AR292" i="21" s="1"/>
  <c r="E292" i="21"/>
  <c r="C292" i="21"/>
  <c r="A293" i="21"/>
  <c r="B292" i="21"/>
  <c r="AD292" i="21" l="1"/>
  <c r="AG292" i="21"/>
  <c r="AE292" i="21"/>
  <c r="AF292" i="21"/>
  <c r="AC292" i="21"/>
  <c r="A294" i="21"/>
  <c r="B293" i="21"/>
  <c r="C293" i="21"/>
  <c r="E293" i="21"/>
  <c r="D293" i="21"/>
  <c r="AR293" i="21" s="1"/>
  <c r="AD293" i="21" l="1"/>
  <c r="AG293" i="21"/>
  <c r="AE293" i="21"/>
  <c r="AF293" i="21"/>
  <c r="AC293" i="21"/>
  <c r="D294" i="21"/>
  <c r="AR294" i="21" s="1"/>
  <c r="E294" i="21"/>
  <c r="C294" i="21"/>
  <c r="A295" i="21"/>
  <c r="B294" i="21"/>
  <c r="AD294" i="21" l="1"/>
  <c r="AG294" i="21"/>
  <c r="AE294" i="21"/>
  <c r="AC294" i="21"/>
  <c r="AF294" i="21"/>
  <c r="A296" i="21"/>
  <c r="C295" i="21"/>
  <c r="D295" i="21"/>
  <c r="AR295" i="21" s="1"/>
  <c r="E295" i="21"/>
  <c r="B295" i="21"/>
  <c r="AD295" i="21" l="1"/>
  <c r="AG295" i="21"/>
  <c r="AE295" i="21"/>
  <c r="AC295" i="21"/>
  <c r="AF295" i="21"/>
  <c r="D296" i="21"/>
  <c r="AR296" i="21" s="1"/>
  <c r="E296" i="21"/>
  <c r="B296" i="21"/>
  <c r="A297" i="21"/>
  <c r="C296" i="21"/>
  <c r="AD296" i="21" l="1"/>
  <c r="AG296" i="21"/>
  <c r="AE296" i="21"/>
  <c r="AF296" i="21"/>
  <c r="AC296" i="21"/>
  <c r="B297" i="21"/>
  <c r="D297" i="21"/>
  <c r="AR297" i="21" s="1"/>
  <c r="A298" i="21"/>
  <c r="C297" i="21"/>
  <c r="E297" i="21"/>
  <c r="AD297" i="21" l="1"/>
  <c r="AG297" i="21"/>
  <c r="AC297" i="21"/>
  <c r="AE297" i="21"/>
  <c r="AF297" i="21"/>
  <c r="D298" i="21"/>
  <c r="AR298" i="21" s="1"/>
  <c r="E298" i="21"/>
  <c r="A299" i="21"/>
  <c r="B298" i="21"/>
  <c r="C298" i="21"/>
  <c r="AD298" i="21" l="1"/>
  <c r="AG298" i="21"/>
  <c r="AE298" i="21"/>
  <c r="AF298" i="21"/>
  <c r="AC298" i="21"/>
  <c r="B299" i="21"/>
  <c r="C299" i="21"/>
  <c r="D299" i="21"/>
  <c r="AR299" i="21" s="1"/>
  <c r="A300" i="21"/>
  <c r="E299" i="21"/>
  <c r="AD299" i="21" l="1"/>
  <c r="AG299" i="21"/>
  <c r="AC299" i="21"/>
  <c r="AE299" i="21"/>
  <c r="AF299" i="21"/>
  <c r="E300" i="21"/>
  <c r="D300" i="21"/>
  <c r="AR300" i="21" s="1"/>
  <c r="C300" i="21"/>
  <c r="A301" i="21"/>
  <c r="B300" i="21"/>
  <c r="AD300" i="21" l="1"/>
  <c r="AG300" i="21"/>
  <c r="AE300" i="21"/>
  <c r="AF300" i="21"/>
  <c r="AC300" i="21"/>
  <c r="A302" i="21"/>
  <c r="B301" i="21"/>
  <c r="C301" i="21"/>
  <c r="E301" i="21"/>
  <c r="D301" i="21"/>
  <c r="AR301" i="21" s="1"/>
  <c r="AD301" i="21" l="1"/>
  <c r="AG301" i="21"/>
  <c r="AE301" i="21"/>
  <c r="AF301" i="21"/>
  <c r="AC301" i="21"/>
  <c r="D302" i="21"/>
  <c r="AR302" i="21" s="1"/>
  <c r="E302" i="21"/>
  <c r="A303" i="21"/>
  <c r="B302" i="21"/>
  <c r="C302" i="21"/>
  <c r="AD302" i="21" l="1"/>
  <c r="AG302" i="21"/>
  <c r="AE302" i="21"/>
  <c r="AF302" i="21"/>
  <c r="AC302" i="21"/>
  <c r="A304" i="21"/>
  <c r="B303" i="21"/>
  <c r="C303" i="21"/>
  <c r="D303" i="21"/>
  <c r="AR303" i="21" s="1"/>
  <c r="E303" i="21"/>
  <c r="AD303" i="21" l="1"/>
  <c r="AG303" i="21"/>
  <c r="AE303" i="21"/>
  <c r="AF303" i="21"/>
  <c r="AC303" i="21"/>
  <c r="D304" i="21"/>
  <c r="AR304" i="21" s="1"/>
  <c r="A305" i="21"/>
  <c r="E304" i="21"/>
  <c r="C304" i="21"/>
  <c r="B304" i="21"/>
  <c r="AD304" i="21" l="1"/>
  <c r="AG304" i="21"/>
  <c r="AE304" i="21"/>
  <c r="AF304" i="21"/>
  <c r="AC304" i="21"/>
  <c r="A306" i="21"/>
  <c r="B305" i="21"/>
  <c r="D305" i="21"/>
  <c r="AR305" i="21" s="1"/>
  <c r="E305" i="21"/>
  <c r="C305" i="21"/>
  <c r="AD305" i="21" l="1"/>
  <c r="AG305" i="21"/>
  <c r="AE305" i="21"/>
  <c r="AF305" i="21"/>
  <c r="AC305" i="21"/>
  <c r="D306" i="21"/>
  <c r="AR306" i="21" s="1"/>
  <c r="E306" i="21"/>
  <c r="B306" i="21"/>
  <c r="C306" i="21"/>
  <c r="A307" i="21"/>
  <c r="AD306" i="21" l="1"/>
  <c r="AG306" i="21"/>
  <c r="AE306" i="21"/>
  <c r="AC306" i="21"/>
  <c r="AF306" i="21"/>
  <c r="A308" i="21"/>
  <c r="D307" i="21"/>
  <c r="AR307" i="21" s="1"/>
  <c r="E307" i="21"/>
  <c r="B307" i="21"/>
  <c r="C307" i="21"/>
  <c r="AD307" i="21" l="1"/>
  <c r="AG307" i="21"/>
  <c r="AE307" i="21"/>
  <c r="AF307" i="21"/>
  <c r="AC307" i="21"/>
  <c r="E308" i="21"/>
  <c r="D308" i="21"/>
  <c r="AR308" i="21" s="1"/>
  <c r="B308" i="21"/>
  <c r="C308" i="21"/>
  <c r="A309" i="21"/>
  <c r="AD308" i="21" l="1"/>
  <c r="AG308" i="21"/>
  <c r="AE308" i="21"/>
  <c r="AF308" i="21"/>
  <c r="AC308" i="21"/>
  <c r="A310" i="21"/>
  <c r="D309" i="21"/>
  <c r="AR309" i="21" s="1"/>
  <c r="E309" i="21"/>
  <c r="B309" i="21"/>
  <c r="C309" i="21"/>
  <c r="AD309" i="21" l="1"/>
  <c r="AG309" i="21"/>
  <c r="AC309" i="21"/>
  <c r="AE309" i="21"/>
  <c r="AF309" i="21"/>
  <c r="D310" i="21"/>
  <c r="AR310" i="21" s="1"/>
  <c r="E310" i="21"/>
  <c r="B310" i="21"/>
  <c r="C310" i="21"/>
  <c r="A311" i="21"/>
  <c r="AD310" i="21" l="1"/>
  <c r="AG310" i="21"/>
  <c r="AE310" i="21"/>
  <c r="AF310" i="21"/>
  <c r="AC310" i="21"/>
  <c r="A312" i="21"/>
  <c r="B311" i="21"/>
  <c r="E311" i="21"/>
  <c r="C311" i="21"/>
  <c r="D311" i="21"/>
  <c r="AR311" i="21" s="1"/>
  <c r="AD311" i="21" l="1"/>
  <c r="AG311" i="21"/>
  <c r="AE311" i="21"/>
  <c r="AC311" i="21"/>
  <c r="AF311" i="21"/>
  <c r="E312" i="21"/>
  <c r="D312" i="21"/>
  <c r="AR312" i="21" s="1"/>
  <c r="A313" i="21"/>
  <c r="B312" i="21"/>
  <c r="C312" i="21"/>
  <c r="AD312" i="21" l="1"/>
  <c r="AG312" i="21"/>
  <c r="AE312" i="21"/>
  <c r="AC312" i="21"/>
  <c r="AF312" i="21"/>
  <c r="A314" i="21"/>
  <c r="C313" i="21"/>
  <c r="B313" i="21"/>
  <c r="D313" i="21"/>
  <c r="AR313" i="21" s="1"/>
  <c r="E313" i="21"/>
  <c r="AD313" i="21" l="1"/>
  <c r="AG313" i="21"/>
  <c r="AE313" i="21"/>
  <c r="AC313" i="21"/>
  <c r="AF313" i="21"/>
  <c r="D314" i="21"/>
  <c r="AR314" i="21" s="1"/>
  <c r="E314" i="21"/>
  <c r="C314" i="21"/>
  <c r="B314" i="21"/>
  <c r="A315" i="21"/>
  <c r="AD314" i="21" l="1"/>
  <c r="AG314" i="21"/>
  <c r="AE314" i="21"/>
  <c r="AC314" i="21"/>
  <c r="AF314" i="21"/>
  <c r="A316" i="21"/>
  <c r="B315" i="21"/>
  <c r="D315" i="21"/>
  <c r="AR315" i="21" s="1"/>
  <c r="E315" i="21"/>
  <c r="C315" i="21"/>
  <c r="AD315" i="21" l="1"/>
  <c r="AG315" i="21"/>
  <c r="AE315" i="21"/>
  <c r="AC315" i="21"/>
  <c r="AF315" i="21"/>
  <c r="A317" i="21"/>
  <c r="B316" i="21"/>
  <c r="C316" i="21"/>
  <c r="D316" i="21"/>
  <c r="AR316" i="21" s="1"/>
  <c r="E316" i="21"/>
  <c r="AD316" i="21" l="1"/>
  <c r="AG316" i="21"/>
  <c r="AE316" i="21"/>
  <c r="AC316" i="21"/>
  <c r="AF316" i="21"/>
  <c r="A318" i="21"/>
  <c r="B317" i="21"/>
  <c r="C317" i="21"/>
  <c r="E317" i="21"/>
  <c r="D317" i="21"/>
  <c r="AR317" i="21" s="1"/>
  <c r="AD317" i="21" l="1"/>
  <c r="AG317" i="21"/>
  <c r="AE317" i="21"/>
  <c r="AC317" i="21"/>
  <c r="AF317" i="21"/>
  <c r="D318" i="21"/>
  <c r="AR318" i="21" s="1"/>
  <c r="E318" i="21"/>
  <c r="A319" i="21"/>
  <c r="B318" i="21"/>
  <c r="C318" i="21"/>
  <c r="AD318" i="21" l="1"/>
  <c r="AG318" i="21"/>
  <c r="AE318" i="21"/>
  <c r="AC318" i="21"/>
  <c r="AF318" i="21"/>
  <c r="A320" i="21"/>
  <c r="B319" i="21"/>
  <c r="C319" i="21"/>
  <c r="D319" i="21"/>
  <c r="AR319" i="21" s="1"/>
  <c r="E319" i="21"/>
  <c r="AD319" i="21" l="1"/>
  <c r="AG319" i="21"/>
  <c r="AE319" i="21"/>
  <c r="AC319" i="21"/>
  <c r="AF319" i="21"/>
  <c r="D320" i="21"/>
  <c r="AR320" i="21" s="1"/>
  <c r="E320" i="21"/>
  <c r="A321" i="21"/>
  <c r="B320" i="21"/>
  <c r="C320" i="21"/>
  <c r="AD320" i="21" l="1"/>
  <c r="AG320" i="21"/>
  <c r="AE320" i="21"/>
  <c r="AC320" i="21"/>
  <c r="AF320" i="21"/>
  <c r="A322" i="21"/>
  <c r="B321" i="21"/>
  <c r="E321" i="21"/>
  <c r="C321" i="21"/>
  <c r="D321" i="21"/>
  <c r="AR321" i="21" s="1"/>
  <c r="AD321" i="21" l="1"/>
  <c r="AG321" i="21"/>
  <c r="AE321" i="21"/>
  <c r="AC321" i="21"/>
  <c r="AF321" i="21"/>
  <c r="E322" i="21"/>
  <c r="C322" i="21"/>
  <c r="D322" i="21"/>
  <c r="AR322" i="21" s="1"/>
  <c r="B322" i="21"/>
  <c r="A323" i="21"/>
  <c r="AD322" i="21" l="1"/>
  <c r="AG322" i="21"/>
  <c r="AE322" i="21"/>
  <c r="AC322" i="21"/>
  <c r="AF322" i="21"/>
  <c r="B323" i="21"/>
  <c r="D323" i="21"/>
  <c r="AR323" i="21" s="1"/>
  <c r="E323" i="21"/>
  <c r="A324" i="21"/>
  <c r="C323" i="21"/>
  <c r="AD323" i="21" l="1"/>
  <c r="AG323" i="21"/>
  <c r="AE323" i="21"/>
  <c r="AC323" i="21"/>
  <c r="AF323" i="21"/>
  <c r="A325" i="21"/>
  <c r="B324" i="21"/>
  <c r="D324" i="21"/>
  <c r="AR324" i="21" s="1"/>
  <c r="C324" i="21"/>
  <c r="E324" i="21"/>
  <c r="AD324" i="21" l="1"/>
  <c r="AG324" i="21"/>
  <c r="AE324" i="21"/>
  <c r="AC324" i="21"/>
  <c r="AF324" i="21"/>
  <c r="A326" i="21"/>
  <c r="B325" i="21"/>
  <c r="C325" i="21"/>
  <c r="D325" i="21"/>
  <c r="AR325" i="21" s="1"/>
  <c r="E325" i="21"/>
  <c r="AD325" i="21" l="1"/>
  <c r="AG325" i="21"/>
  <c r="AE325" i="21"/>
  <c r="AC325" i="21"/>
  <c r="AF325" i="21"/>
  <c r="D326" i="21"/>
  <c r="AR326" i="21" s="1"/>
  <c r="E326" i="21"/>
  <c r="A327" i="21"/>
  <c r="B326" i="21"/>
  <c r="C326" i="21"/>
  <c r="AD326" i="21" l="1"/>
  <c r="AG326" i="21"/>
  <c r="AE326" i="21"/>
  <c r="AC326" i="21"/>
  <c r="AF326" i="21"/>
  <c r="A328" i="21"/>
  <c r="B327" i="21"/>
  <c r="C327" i="21"/>
  <c r="D327" i="21"/>
  <c r="AR327" i="21" s="1"/>
  <c r="E327" i="21"/>
  <c r="AD327" i="21" l="1"/>
  <c r="AG327" i="21"/>
  <c r="AE327" i="21"/>
  <c r="AC327" i="21"/>
  <c r="AF327" i="21"/>
  <c r="D328" i="21"/>
  <c r="AR328" i="21" s="1"/>
  <c r="C328" i="21"/>
  <c r="E328" i="21"/>
  <c r="A329" i="21"/>
  <c r="B328" i="21"/>
  <c r="AD328" i="21" l="1"/>
  <c r="AG328" i="21"/>
  <c r="AE328" i="21"/>
  <c r="AC328" i="21"/>
  <c r="AF328" i="21"/>
  <c r="A330" i="21"/>
  <c r="B329" i="21"/>
  <c r="C329" i="21"/>
  <c r="D329" i="21"/>
  <c r="AR329" i="21" s="1"/>
  <c r="E329" i="21"/>
  <c r="AD329" i="21" l="1"/>
  <c r="AG329" i="21"/>
  <c r="AE329" i="21"/>
  <c r="AC329" i="21"/>
  <c r="AF329" i="21"/>
  <c r="D330" i="21"/>
  <c r="AR330" i="21" s="1"/>
  <c r="E330" i="21"/>
  <c r="C330" i="21"/>
  <c r="B330" i="21"/>
  <c r="A331" i="21"/>
  <c r="AD330" i="21" l="1"/>
  <c r="AG330" i="21"/>
  <c r="AE330" i="21"/>
  <c r="AC330" i="21"/>
  <c r="AF330" i="21"/>
  <c r="A332" i="21"/>
  <c r="B331" i="21"/>
  <c r="C331" i="21"/>
  <c r="D331" i="21"/>
  <c r="AR331" i="21" s="1"/>
  <c r="E331" i="21"/>
  <c r="AD331" i="21" l="1"/>
  <c r="AG331" i="21"/>
  <c r="AE331" i="21"/>
  <c r="AC331" i="21"/>
  <c r="AF331" i="21"/>
  <c r="D332" i="21"/>
  <c r="AR332" i="21" s="1"/>
  <c r="B332" i="21"/>
  <c r="E332" i="21"/>
  <c r="C332" i="21"/>
  <c r="A333" i="21"/>
  <c r="AD332" i="21" l="1"/>
  <c r="AG332" i="21"/>
  <c r="AE332" i="21"/>
  <c r="AC332" i="21"/>
  <c r="AF332" i="21"/>
  <c r="A334" i="21"/>
  <c r="B333" i="21"/>
  <c r="C333" i="21"/>
  <c r="D333" i="21"/>
  <c r="AR333" i="21" s="1"/>
  <c r="E333" i="21"/>
  <c r="AD333" i="21" l="1"/>
  <c r="AG333" i="21"/>
  <c r="AE333" i="21"/>
  <c r="AC333" i="21"/>
  <c r="AF333" i="21"/>
  <c r="D334" i="21"/>
  <c r="AR334" i="21" s="1"/>
  <c r="B334" i="21"/>
  <c r="C334" i="21"/>
  <c r="E334" i="21"/>
  <c r="A335" i="21"/>
  <c r="AD334" i="21" l="1"/>
  <c r="AG334" i="21"/>
  <c r="AE334" i="21"/>
  <c r="AC334" i="21"/>
  <c r="AF334" i="21"/>
  <c r="A336" i="21"/>
  <c r="B335" i="21"/>
  <c r="C335" i="21"/>
  <c r="D335" i="21"/>
  <c r="AR335" i="21" s="1"/>
  <c r="E335" i="21"/>
  <c r="AD335" i="21" l="1"/>
  <c r="AG335" i="21"/>
  <c r="AE335" i="21"/>
  <c r="AC335" i="21"/>
  <c r="AF335" i="21"/>
  <c r="D336" i="21"/>
  <c r="AR336" i="21" s="1"/>
  <c r="A337" i="21"/>
  <c r="E336" i="21"/>
  <c r="C336" i="21"/>
  <c r="B336" i="21"/>
  <c r="AD336" i="21" l="1"/>
  <c r="AG336" i="21"/>
  <c r="AE336" i="21"/>
  <c r="AC336" i="21"/>
  <c r="AF336" i="21"/>
  <c r="A338" i="21"/>
  <c r="B337" i="21"/>
  <c r="C337" i="21"/>
  <c r="E337" i="21"/>
  <c r="D337" i="21"/>
  <c r="AR337" i="21" s="1"/>
  <c r="AD337" i="21" l="1"/>
  <c r="AG337" i="21"/>
  <c r="AE337" i="21"/>
  <c r="AC337" i="21"/>
  <c r="AF337" i="21"/>
  <c r="D338" i="21"/>
  <c r="AR338" i="21" s="1"/>
  <c r="A339" i="21"/>
  <c r="B338" i="21"/>
  <c r="C338" i="21"/>
  <c r="E338" i="21"/>
  <c r="AD338" i="21" l="1"/>
  <c r="AG338" i="21"/>
  <c r="AE338" i="21"/>
  <c r="AC338" i="21"/>
  <c r="AF338" i="21"/>
  <c r="C339" i="21"/>
  <c r="B339" i="21"/>
  <c r="D339" i="21"/>
  <c r="AR339" i="21" s="1"/>
  <c r="A340" i="21"/>
  <c r="E339" i="21"/>
  <c r="AD339" i="21" l="1"/>
  <c r="AG339" i="21"/>
  <c r="AE339" i="21"/>
  <c r="AC339" i="21"/>
  <c r="AF339" i="21"/>
  <c r="A341" i="21"/>
  <c r="B340" i="21"/>
  <c r="C340" i="21"/>
  <c r="D340" i="21"/>
  <c r="AR340" i="21" s="1"/>
  <c r="E340" i="21"/>
  <c r="AD340" i="21" l="1"/>
  <c r="AG340" i="21"/>
  <c r="AE340" i="21"/>
  <c r="AC340" i="21"/>
  <c r="AF340" i="21"/>
  <c r="E341" i="21"/>
  <c r="A342" i="21"/>
  <c r="D341" i="21"/>
  <c r="AR341" i="21" s="1"/>
  <c r="C341" i="21"/>
  <c r="B341" i="21"/>
  <c r="AD341" i="21" l="1"/>
  <c r="AG341" i="21"/>
  <c r="AE341" i="21"/>
  <c r="AC341" i="21"/>
  <c r="AF341" i="21"/>
  <c r="D342" i="21"/>
  <c r="AR342" i="21" s="1"/>
  <c r="A343" i="21"/>
  <c r="B342" i="21"/>
  <c r="C342" i="21"/>
  <c r="E342" i="21"/>
  <c r="AD342" i="21" l="1"/>
  <c r="AG342" i="21"/>
  <c r="AE342" i="21"/>
  <c r="AC342" i="21"/>
  <c r="AF342" i="21"/>
  <c r="A344" i="21"/>
  <c r="E343" i="21"/>
  <c r="B343" i="21"/>
  <c r="D343" i="21"/>
  <c r="AR343" i="21" s="1"/>
  <c r="C343" i="21"/>
  <c r="AD343" i="21" l="1"/>
  <c r="AG343" i="21"/>
  <c r="AE343" i="21"/>
  <c r="AC343" i="21"/>
  <c r="AF343" i="21"/>
  <c r="A345" i="21"/>
  <c r="C344" i="21"/>
  <c r="D344" i="21"/>
  <c r="AR344" i="21" s="1"/>
  <c r="B344" i="21"/>
  <c r="E344" i="21"/>
  <c r="AD344" i="21" l="1"/>
  <c r="AG344" i="21"/>
  <c r="AE344" i="21"/>
  <c r="AC344" i="21"/>
  <c r="AF344" i="21"/>
  <c r="D345" i="21"/>
  <c r="AR345" i="21" s="1"/>
  <c r="E345" i="21"/>
  <c r="C345" i="21"/>
  <c r="B345" i="21"/>
  <c r="A346" i="21"/>
  <c r="AD345" i="21" l="1"/>
  <c r="AG345" i="21"/>
  <c r="AE345" i="21"/>
  <c r="AC345" i="21"/>
  <c r="AF345" i="21"/>
  <c r="A347" i="21"/>
  <c r="C346" i="21"/>
  <c r="D346" i="21"/>
  <c r="AR346" i="21" s="1"/>
  <c r="E346" i="21"/>
  <c r="B346" i="21"/>
  <c r="AD346" i="21" l="1"/>
  <c r="AG346" i="21"/>
  <c r="AE346" i="21"/>
  <c r="AC346" i="21"/>
  <c r="AF346" i="21"/>
  <c r="D347" i="21"/>
  <c r="AR347" i="21" s="1"/>
  <c r="E347" i="21"/>
  <c r="B347" i="21"/>
  <c r="C347" i="21"/>
  <c r="A348" i="21"/>
  <c r="AD347" i="21" l="1"/>
  <c r="AG347" i="21"/>
  <c r="AE347" i="21"/>
  <c r="AC347" i="21"/>
  <c r="AF347" i="21"/>
  <c r="A349" i="21"/>
  <c r="B348" i="21"/>
  <c r="C348" i="21"/>
  <c r="E348" i="21"/>
  <c r="D348" i="21"/>
  <c r="AR348" i="21" s="1"/>
  <c r="AD348" i="21" l="1"/>
  <c r="AG348" i="21"/>
  <c r="AE348" i="21"/>
  <c r="AC348" i="21"/>
  <c r="AF348" i="21"/>
  <c r="D349" i="21"/>
  <c r="AR349" i="21" s="1"/>
  <c r="A350" i="21"/>
  <c r="B349" i="21"/>
  <c r="C349" i="21"/>
  <c r="E349" i="21"/>
  <c r="AD349" i="21" l="1"/>
  <c r="AG349" i="21"/>
  <c r="AE349" i="21"/>
  <c r="AC349" i="21"/>
  <c r="AF349" i="21"/>
  <c r="E350" i="21"/>
  <c r="B350" i="21"/>
  <c r="A351" i="21"/>
  <c r="C350" i="21"/>
  <c r="D350" i="21"/>
  <c r="AR350" i="21" s="1"/>
  <c r="AD350" i="21" l="1"/>
  <c r="AG350" i="21"/>
  <c r="AE350" i="21"/>
  <c r="AC350" i="21"/>
  <c r="AF350" i="21"/>
  <c r="B351" i="21"/>
  <c r="D351" i="21"/>
  <c r="AR351" i="21" s="1"/>
  <c r="A352" i="21"/>
  <c r="C351" i="21"/>
  <c r="E351" i="21"/>
  <c r="AD351" i="21" l="1"/>
  <c r="AG351" i="21"/>
  <c r="AE351" i="21"/>
  <c r="AC351" i="21"/>
  <c r="AF351" i="21"/>
  <c r="A353" i="21"/>
  <c r="C352" i="21"/>
  <c r="E352" i="21"/>
  <c r="B352" i="21"/>
  <c r="D352" i="21"/>
  <c r="AR352" i="21" s="1"/>
  <c r="AD352" i="21" l="1"/>
  <c r="AG352" i="21"/>
  <c r="AE352" i="21"/>
  <c r="AC352" i="21"/>
  <c r="AF352" i="21"/>
  <c r="D353" i="21"/>
  <c r="AR353" i="21" s="1"/>
  <c r="E353" i="21"/>
  <c r="B353" i="21"/>
  <c r="A354" i="21"/>
  <c r="C353" i="21"/>
  <c r="AD353" i="21" l="1"/>
  <c r="AG353" i="21"/>
  <c r="AE353" i="21"/>
  <c r="AC353" i="21"/>
  <c r="AF353" i="21"/>
  <c r="A355" i="21"/>
  <c r="C354" i="21"/>
  <c r="B354" i="21"/>
  <c r="E354" i="21"/>
  <c r="D354" i="21"/>
  <c r="AR354" i="21" s="1"/>
  <c r="AD354" i="21" l="1"/>
  <c r="AG354" i="21"/>
  <c r="AE354" i="21"/>
  <c r="AC354" i="21"/>
  <c r="AF354" i="21"/>
  <c r="E355" i="21"/>
  <c r="C355" i="21"/>
  <c r="D355" i="21"/>
  <c r="AR355" i="21" s="1"/>
  <c r="B355" i="21"/>
  <c r="A356" i="21"/>
  <c r="AD355" i="21" l="1"/>
  <c r="AG355" i="21"/>
  <c r="AE355" i="21"/>
  <c r="AC355" i="21"/>
  <c r="AF355" i="21"/>
  <c r="B356" i="21"/>
  <c r="C356" i="21"/>
  <c r="D356" i="21"/>
  <c r="AR356" i="21" s="1"/>
  <c r="E356" i="21"/>
  <c r="A357" i="21"/>
  <c r="AD356" i="21" l="1"/>
  <c r="AG356" i="21"/>
  <c r="AE356" i="21"/>
  <c r="AC356" i="21"/>
  <c r="AF356" i="21"/>
  <c r="A358" i="21"/>
  <c r="C357" i="21"/>
  <c r="E357" i="21"/>
  <c r="D357" i="21"/>
  <c r="AR357" i="21" s="1"/>
  <c r="B357" i="21"/>
  <c r="AD357" i="21" l="1"/>
  <c r="AG357" i="21"/>
  <c r="AE357" i="21"/>
  <c r="AC357" i="21"/>
  <c r="AF357" i="21"/>
  <c r="E358" i="21"/>
  <c r="A359" i="21"/>
  <c r="B358" i="21"/>
  <c r="D358" i="21"/>
  <c r="AR358" i="21" s="1"/>
  <c r="C358" i="21"/>
  <c r="AD358" i="21" l="1"/>
  <c r="AG358" i="21"/>
  <c r="AE358" i="21"/>
  <c r="AC358" i="21"/>
  <c r="AF358" i="21"/>
  <c r="A360" i="21"/>
  <c r="C359" i="21"/>
  <c r="E359" i="21"/>
  <c r="B359" i="21"/>
  <c r="D359" i="21"/>
  <c r="AR359" i="21" s="1"/>
  <c r="AD359" i="21" l="1"/>
  <c r="AG359" i="21"/>
  <c r="AE359" i="21"/>
  <c r="AC359" i="21"/>
  <c r="AF359" i="21"/>
  <c r="E360" i="21"/>
  <c r="B360" i="21"/>
  <c r="D360" i="21"/>
  <c r="AR360" i="21" s="1"/>
  <c r="A361" i="21"/>
  <c r="C360" i="21"/>
  <c r="AD360" i="21" l="1"/>
  <c r="AG360" i="21"/>
  <c r="AE360" i="21"/>
  <c r="AC360" i="21"/>
  <c r="AF360" i="21"/>
  <c r="A362" i="21"/>
  <c r="B361" i="21"/>
  <c r="C361" i="21"/>
  <c r="E361" i="21"/>
  <c r="D361" i="21"/>
  <c r="AR361" i="21" s="1"/>
  <c r="AD361" i="21" l="1"/>
  <c r="AG361" i="21"/>
  <c r="AE361" i="21"/>
  <c r="AC361" i="21"/>
  <c r="AF361" i="21"/>
  <c r="D362" i="21"/>
  <c r="AR362" i="21" s="1"/>
  <c r="E362" i="21"/>
  <c r="B362" i="21"/>
  <c r="C362" i="21"/>
  <c r="A363" i="21"/>
  <c r="AD362" i="21" l="1"/>
  <c r="AG362" i="21"/>
  <c r="AE362" i="21"/>
  <c r="AC362" i="21"/>
  <c r="AF362" i="21"/>
  <c r="A364" i="21"/>
  <c r="C363" i="21"/>
  <c r="D363" i="21"/>
  <c r="AR363" i="21" s="1"/>
  <c r="E363" i="21"/>
  <c r="B363" i="21"/>
  <c r="AD363" i="21" l="1"/>
  <c r="AG363" i="21"/>
  <c r="AE363" i="21"/>
  <c r="AC363" i="21"/>
  <c r="AF363" i="21"/>
  <c r="D364" i="21"/>
  <c r="AR364" i="21" s="1"/>
  <c r="E364" i="21"/>
  <c r="A365" i="21"/>
  <c r="C364" i="21"/>
  <c r="B364" i="21"/>
  <c r="AD364" i="21" l="1"/>
  <c r="AG364" i="21"/>
  <c r="AE364" i="21"/>
  <c r="AC364" i="21"/>
  <c r="AF364" i="21"/>
  <c r="A366" i="21"/>
  <c r="B365" i="21"/>
  <c r="C365" i="21"/>
  <c r="E365" i="21"/>
  <c r="D365" i="21"/>
  <c r="AR365" i="21" s="1"/>
  <c r="AD365" i="21" l="1"/>
  <c r="AG365" i="21"/>
  <c r="AE365" i="21"/>
  <c r="AC365" i="21"/>
  <c r="AF365" i="21"/>
  <c r="D366" i="21"/>
  <c r="AR366" i="21" s="1"/>
  <c r="E366" i="21"/>
  <c r="C366" i="21"/>
  <c r="A367" i="21"/>
  <c r="B366" i="21"/>
  <c r="AD366" i="21" l="1"/>
  <c r="AG366" i="21"/>
  <c r="AE366" i="21"/>
  <c r="AC366" i="21"/>
  <c r="AF366" i="21"/>
  <c r="A368" i="21"/>
  <c r="B367" i="21"/>
  <c r="E367" i="21"/>
  <c r="C367" i="21"/>
  <c r="D367" i="21"/>
  <c r="AR367" i="21" s="1"/>
  <c r="AD367" i="21" l="1"/>
  <c r="AG367" i="21"/>
  <c r="AE367" i="21"/>
  <c r="AC367" i="21"/>
  <c r="AF367" i="21"/>
  <c r="D368" i="21"/>
  <c r="AR368" i="21" s="1"/>
  <c r="E368" i="21"/>
  <c r="A369" i="21"/>
  <c r="B368" i="21"/>
  <c r="C368" i="21"/>
  <c r="C26" i="13" l="1"/>
  <c r="C14" i="13"/>
  <c r="C17" i="13"/>
  <c r="C23" i="13"/>
  <c r="C11" i="13"/>
  <c r="AM4" i="2"/>
  <c r="AQ4" i="2" s="1"/>
  <c r="C20" i="13"/>
  <c r="AM7" i="2"/>
  <c r="AQ7" i="2" s="1"/>
  <c r="AD368" i="21"/>
  <c r="AG368" i="21"/>
  <c r="AE368" i="21"/>
  <c r="AC368" i="21"/>
  <c r="AF368" i="21"/>
  <c r="C369" i="21"/>
  <c r="B369" i="21"/>
  <c r="D369" i="21"/>
  <c r="AR369" i="21" s="1"/>
  <c r="E369" i="21"/>
  <c r="AD369" i="21" l="1"/>
  <c r="E10" i="10" s="1"/>
  <c r="I10" i="10" s="1"/>
  <c r="AG369" i="21"/>
  <c r="AE369" i="21"/>
  <c r="AC369" i="21"/>
  <c r="C10" i="10" s="1"/>
  <c r="AF369" i="21"/>
  <c r="G10" i="10" l="1"/>
  <c r="F4" i="1" l="1"/>
  <c r="C4" i="6" s="1"/>
  <c r="A5" i="1"/>
  <c r="H4" i="1"/>
  <c r="AB2" i="21" s="1"/>
  <c r="B4" i="1"/>
  <c r="F5" i="1" l="1"/>
  <c r="C5" i="6" s="1"/>
  <c r="A6" i="1"/>
  <c r="H5" i="1"/>
  <c r="B5" i="1"/>
  <c r="G4" i="1"/>
  <c r="C4" i="1"/>
  <c r="AB4" i="21" l="1"/>
  <c r="F6" i="1"/>
  <c r="C6" i="6" s="1"/>
  <c r="AB3" i="21"/>
  <c r="A7" i="1"/>
  <c r="B6" i="1"/>
  <c r="G5" i="1"/>
  <c r="C5" i="1"/>
  <c r="AB5" i="21" l="1"/>
  <c r="F7" i="1"/>
  <c r="C7" i="6" s="1"/>
  <c r="A8" i="1"/>
  <c r="B7" i="1"/>
  <c r="G6" i="1"/>
  <c r="C6" i="1"/>
  <c r="AB6" i="21" l="1"/>
  <c r="F8" i="1"/>
  <c r="C8" i="6" s="1"/>
  <c r="A9" i="1"/>
  <c r="B8" i="1"/>
  <c r="G7" i="1"/>
  <c r="C7" i="1"/>
  <c r="AB7" i="21" l="1"/>
  <c r="F9" i="1"/>
  <c r="C9" i="6" s="1"/>
  <c r="A10" i="1"/>
  <c r="B9" i="1"/>
  <c r="G8" i="1"/>
  <c r="C8" i="1"/>
  <c r="AB8" i="21" l="1"/>
  <c r="F10" i="1"/>
  <c r="C10" i="6" s="1"/>
  <c r="A11" i="1"/>
  <c r="B10" i="1"/>
  <c r="G9" i="1"/>
  <c r="C9" i="1"/>
  <c r="F11" i="1" l="1"/>
  <c r="C11" i="6" s="1"/>
  <c r="A12" i="1"/>
  <c r="B11" i="1"/>
  <c r="G10" i="1"/>
  <c r="C10" i="1"/>
  <c r="AB10" i="21" l="1"/>
  <c r="F12" i="1"/>
  <c r="C12" i="6" s="1"/>
  <c r="A13" i="1"/>
  <c r="B12" i="1"/>
  <c r="G11" i="1"/>
  <c r="C11" i="1"/>
  <c r="F13" i="1" l="1"/>
  <c r="C13" i="6" s="1"/>
  <c r="A14" i="1"/>
  <c r="B13" i="1"/>
  <c r="G12" i="1"/>
  <c r="C12" i="1"/>
  <c r="F14" i="1" l="1"/>
  <c r="C14" i="6" s="1"/>
  <c r="A15" i="1"/>
  <c r="B14" i="1"/>
  <c r="G13" i="1"/>
  <c r="C13" i="1"/>
  <c r="F15" i="1" l="1"/>
  <c r="C15" i="6" s="1"/>
  <c r="A16" i="1"/>
  <c r="B15" i="1"/>
  <c r="G14" i="1"/>
  <c r="C14" i="1"/>
  <c r="F16" i="1" l="1"/>
  <c r="C16" i="6" s="1"/>
  <c r="A17" i="1"/>
  <c r="B16" i="1"/>
  <c r="G15" i="1"/>
  <c r="C15" i="1"/>
  <c r="F17" i="1" l="1"/>
  <c r="C17" i="6" s="1"/>
  <c r="A18" i="1"/>
  <c r="B17" i="1"/>
  <c r="G16" i="1"/>
  <c r="C16" i="1"/>
  <c r="F18" i="1" l="1"/>
  <c r="C18" i="6" s="1"/>
  <c r="A19" i="1"/>
  <c r="B18" i="1"/>
  <c r="G17" i="1"/>
  <c r="C17" i="1"/>
  <c r="F19" i="1" l="1"/>
  <c r="C19" i="6" s="1"/>
  <c r="A20" i="1"/>
  <c r="B19" i="1"/>
  <c r="G18" i="1"/>
  <c r="C18" i="1"/>
  <c r="F20" i="1" l="1"/>
  <c r="A21" i="1"/>
  <c r="B20" i="1"/>
  <c r="G19" i="1"/>
  <c r="C19" i="1"/>
  <c r="G20" i="1" l="1"/>
  <c r="C20" i="6"/>
  <c r="F21" i="1"/>
  <c r="C21" i="6" s="1"/>
  <c r="A22" i="1"/>
  <c r="B21" i="1"/>
  <c r="C20" i="1"/>
  <c r="F22" i="1" l="1"/>
  <c r="C22" i="6" s="1"/>
  <c r="A23" i="1"/>
  <c r="B22" i="1"/>
  <c r="G21" i="1"/>
  <c r="C21" i="1"/>
  <c r="F23" i="1" l="1"/>
  <c r="C23" i="6" s="1"/>
  <c r="A24" i="1"/>
  <c r="B23" i="1"/>
  <c r="G22" i="1"/>
  <c r="C22" i="1"/>
  <c r="F24" i="1" l="1"/>
  <c r="C24" i="6" s="1"/>
  <c r="A25" i="1"/>
  <c r="B24" i="1"/>
  <c r="G23" i="1"/>
  <c r="C23" i="1"/>
  <c r="F25" i="1" l="1"/>
  <c r="C25" i="6" s="1"/>
  <c r="A26" i="1"/>
  <c r="B25" i="1"/>
  <c r="G24" i="1"/>
  <c r="C24" i="1"/>
  <c r="F26" i="1" l="1"/>
  <c r="C26" i="6" s="1"/>
  <c r="A27" i="1"/>
  <c r="B26" i="1"/>
  <c r="G25" i="1"/>
  <c r="C25" i="1"/>
  <c r="F27" i="1" l="1"/>
  <c r="C27" i="6" s="1"/>
  <c r="A28" i="1"/>
  <c r="B27" i="1"/>
  <c r="G26" i="1"/>
  <c r="C26" i="1"/>
  <c r="F28" i="1" l="1"/>
  <c r="C28" i="6" s="1"/>
  <c r="A29" i="1"/>
  <c r="B28" i="1"/>
  <c r="G27" i="1"/>
  <c r="C27" i="1"/>
  <c r="F29" i="1" l="1"/>
  <c r="C29" i="6" s="1"/>
  <c r="A30" i="1"/>
  <c r="B29" i="1"/>
  <c r="G28" i="1"/>
  <c r="C28" i="1"/>
  <c r="F30" i="1" l="1"/>
  <c r="C30" i="6" s="1"/>
  <c r="A31" i="1"/>
  <c r="B30" i="1"/>
  <c r="G29" i="1"/>
  <c r="C29" i="1"/>
  <c r="F31" i="1" l="1"/>
  <c r="C31" i="6" s="1"/>
  <c r="A32" i="1"/>
  <c r="B31" i="1"/>
  <c r="G30" i="1"/>
  <c r="C30" i="1"/>
  <c r="F32" i="1" l="1"/>
  <c r="C32" i="6" s="1"/>
  <c r="A33" i="1"/>
  <c r="B32" i="1"/>
  <c r="G31" i="1"/>
  <c r="C31" i="1"/>
  <c r="F33" i="1" l="1"/>
  <c r="C33" i="6" s="1"/>
  <c r="A34" i="1"/>
  <c r="B33" i="1"/>
  <c r="G32" i="1"/>
  <c r="C32" i="1"/>
  <c r="F34" i="1" l="1"/>
  <c r="C34" i="6" s="1"/>
  <c r="A35" i="1"/>
  <c r="B34" i="1"/>
  <c r="G33" i="1"/>
  <c r="C33" i="1"/>
  <c r="F35" i="1" l="1"/>
  <c r="C35" i="6" s="1"/>
  <c r="A36" i="1"/>
  <c r="B35" i="1"/>
  <c r="G34" i="1"/>
  <c r="C34" i="1"/>
  <c r="F36" i="1" l="1"/>
  <c r="C36" i="6" s="1"/>
  <c r="A37" i="1"/>
  <c r="B36" i="1"/>
  <c r="G35" i="1"/>
  <c r="C35" i="1"/>
  <c r="F37" i="1" l="1"/>
  <c r="C37" i="6" s="1"/>
  <c r="A38" i="1"/>
  <c r="B37" i="1"/>
  <c r="C36" i="1"/>
  <c r="G36" i="1"/>
  <c r="F38" i="1" l="1"/>
  <c r="C38" i="6" s="1"/>
  <c r="A39" i="1"/>
  <c r="B38" i="1"/>
  <c r="G37" i="1"/>
  <c r="C37" i="1"/>
  <c r="F39" i="1" l="1"/>
  <c r="C39" i="6" s="1"/>
  <c r="A40" i="1"/>
  <c r="B39" i="1"/>
  <c r="G38" i="1"/>
  <c r="C38" i="1"/>
  <c r="F40" i="1" l="1"/>
  <c r="C40" i="6" s="1"/>
  <c r="A41" i="1"/>
  <c r="B40" i="1"/>
  <c r="G39" i="1"/>
  <c r="C39" i="1"/>
  <c r="F41" i="1" l="1"/>
  <c r="C41" i="6" s="1"/>
  <c r="A42" i="1"/>
  <c r="B41" i="1"/>
  <c r="C40" i="1"/>
  <c r="G40" i="1"/>
  <c r="F42" i="1" l="1"/>
  <c r="C42" i="6" s="1"/>
  <c r="A43" i="1"/>
  <c r="B42" i="1"/>
  <c r="G41" i="1"/>
  <c r="C41" i="1"/>
  <c r="F43" i="1" l="1"/>
  <c r="C43" i="6" s="1"/>
  <c r="A44" i="1"/>
  <c r="B43" i="1"/>
  <c r="G42" i="1"/>
  <c r="C42" i="1"/>
  <c r="F44" i="1" l="1"/>
  <c r="C44" i="6" s="1"/>
  <c r="A45" i="1"/>
  <c r="B44" i="1"/>
  <c r="G43" i="1"/>
  <c r="C43" i="1"/>
  <c r="F45" i="1" l="1"/>
  <c r="C45" i="6" s="1"/>
  <c r="A46" i="1"/>
  <c r="B45" i="1"/>
  <c r="C44" i="1"/>
  <c r="G44" i="1"/>
  <c r="F46" i="1" l="1"/>
  <c r="C46" i="6" s="1"/>
  <c r="A47" i="1"/>
  <c r="B46" i="1"/>
  <c r="G45" i="1"/>
  <c r="C45" i="1"/>
  <c r="F47" i="1" l="1"/>
  <c r="C47" i="6" s="1"/>
  <c r="A48" i="1"/>
  <c r="B47" i="1"/>
  <c r="G46" i="1"/>
  <c r="C46" i="1"/>
  <c r="F48" i="1" l="1"/>
  <c r="C48" i="6" s="1"/>
  <c r="A49" i="1"/>
  <c r="B48" i="1"/>
  <c r="G47" i="1"/>
  <c r="C47" i="1"/>
  <c r="F49" i="1" l="1"/>
  <c r="C49" i="6" s="1"/>
  <c r="A50" i="1"/>
  <c r="B49" i="1"/>
  <c r="C48" i="1"/>
  <c r="G48" i="1"/>
  <c r="F50" i="1" l="1"/>
  <c r="C50" i="6" s="1"/>
  <c r="A51" i="1"/>
  <c r="B50" i="1"/>
  <c r="G49" i="1"/>
  <c r="C49" i="1"/>
  <c r="F51" i="1" l="1"/>
  <c r="C51" i="6" s="1"/>
  <c r="A52" i="1"/>
  <c r="B51" i="1"/>
  <c r="G50" i="1"/>
  <c r="C50" i="1"/>
  <c r="F52" i="1" l="1"/>
  <c r="C52" i="6" s="1"/>
  <c r="A53" i="1"/>
  <c r="B52" i="1"/>
  <c r="G51" i="1"/>
  <c r="C51" i="1"/>
  <c r="F53" i="1" l="1"/>
  <c r="C53" i="6" s="1"/>
  <c r="A54" i="1"/>
  <c r="B53" i="1"/>
  <c r="C52" i="1"/>
  <c r="G52" i="1"/>
  <c r="F54" i="1" l="1"/>
  <c r="C54" i="6" s="1"/>
  <c r="A55" i="1"/>
  <c r="B54" i="1"/>
  <c r="G53" i="1"/>
  <c r="C53" i="1"/>
  <c r="F55" i="1" l="1"/>
  <c r="C55" i="6" s="1"/>
  <c r="A56" i="1"/>
  <c r="B55" i="1"/>
  <c r="G54" i="1"/>
  <c r="C54" i="1"/>
  <c r="F56" i="1" l="1"/>
  <c r="C56" i="6" s="1"/>
  <c r="A57" i="1"/>
  <c r="B56" i="1"/>
  <c r="G55" i="1"/>
  <c r="C55" i="1"/>
  <c r="F57" i="1" l="1"/>
  <c r="C57" i="6" s="1"/>
  <c r="A58" i="1"/>
  <c r="B57" i="1"/>
  <c r="C56" i="1"/>
  <c r="G56" i="1"/>
  <c r="F58" i="1" l="1"/>
  <c r="C58" i="6" s="1"/>
  <c r="A59" i="1"/>
  <c r="B58" i="1"/>
  <c r="G57" i="1"/>
  <c r="C57" i="1"/>
  <c r="F59" i="1" l="1"/>
  <c r="C59" i="6" s="1"/>
  <c r="A60" i="1"/>
  <c r="B59" i="1"/>
  <c r="G58" i="1"/>
  <c r="C58" i="1"/>
  <c r="F60" i="1" l="1"/>
  <c r="C60" i="6" s="1"/>
  <c r="A61" i="1"/>
  <c r="B60" i="1"/>
  <c r="G59" i="1"/>
  <c r="C59" i="1"/>
  <c r="F61" i="1" l="1"/>
  <c r="C61" i="6" s="1"/>
  <c r="A62" i="1"/>
  <c r="B61" i="1"/>
  <c r="G60" i="1"/>
  <c r="C60" i="1"/>
  <c r="F62" i="1" l="1"/>
  <c r="C62" i="6" s="1"/>
  <c r="A63" i="1"/>
  <c r="B62" i="1"/>
  <c r="G61" i="1"/>
  <c r="C61" i="1"/>
  <c r="F63" i="1" l="1"/>
  <c r="C63" i="6" s="1"/>
  <c r="A64" i="1"/>
  <c r="B63" i="1"/>
  <c r="G62" i="1"/>
  <c r="C62" i="1"/>
  <c r="F64" i="1" l="1"/>
  <c r="C64" i="6" s="1"/>
  <c r="A65" i="1"/>
  <c r="B64" i="1"/>
  <c r="G63" i="1"/>
  <c r="C63" i="1"/>
  <c r="F65" i="1" l="1"/>
  <c r="C65" i="6" s="1"/>
  <c r="A66" i="1"/>
  <c r="B65" i="1"/>
  <c r="G64" i="1"/>
  <c r="C64" i="1"/>
  <c r="F66" i="1" l="1"/>
  <c r="A67" i="1"/>
  <c r="B66" i="1"/>
  <c r="G65" i="1"/>
  <c r="C65" i="1"/>
  <c r="F67" i="1" l="1"/>
  <c r="A68" i="1"/>
  <c r="B67" i="1"/>
  <c r="G66" i="1"/>
  <c r="C66" i="1"/>
  <c r="G67" i="1" l="1"/>
  <c r="C67" i="1"/>
  <c r="F68" i="1"/>
  <c r="A69" i="1"/>
  <c r="B68" i="1"/>
  <c r="G68" i="1" l="1"/>
  <c r="C68" i="1"/>
  <c r="F69" i="1"/>
  <c r="A70" i="1"/>
  <c r="B69" i="1"/>
  <c r="F70" i="1" l="1"/>
  <c r="A71" i="1"/>
  <c r="B70" i="1"/>
  <c r="G69" i="1"/>
  <c r="C69" i="1"/>
  <c r="F71" i="1" l="1"/>
  <c r="A72" i="1"/>
  <c r="B71" i="1"/>
  <c r="G70" i="1"/>
  <c r="C70" i="1"/>
  <c r="F72" i="1" l="1"/>
  <c r="A73" i="1"/>
  <c r="B72" i="1"/>
  <c r="G71" i="1"/>
  <c r="C71" i="1"/>
  <c r="F73" i="1" l="1"/>
  <c r="A74" i="1"/>
  <c r="B73" i="1"/>
  <c r="G72" i="1"/>
  <c r="C72" i="1"/>
  <c r="F74" i="1" l="1"/>
  <c r="A75" i="1"/>
  <c r="B74" i="1"/>
  <c r="G73" i="1"/>
  <c r="C73" i="1"/>
  <c r="F75" i="1" l="1"/>
  <c r="A76" i="1"/>
  <c r="B75" i="1"/>
  <c r="G74" i="1"/>
  <c r="C74" i="1"/>
  <c r="F76" i="1" l="1"/>
  <c r="A77" i="1"/>
  <c r="B76" i="1"/>
  <c r="G75" i="1"/>
  <c r="C75" i="1"/>
  <c r="F77" i="1" l="1"/>
  <c r="A78" i="1"/>
  <c r="B77" i="1"/>
  <c r="G76" i="1"/>
  <c r="C76" i="1"/>
  <c r="F78" i="1" l="1"/>
  <c r="A79" i="1"/>
  <c r="B78" i="1"/>
  <c r="G77" i="1"/>
  <c r="C77" i="1"/>
  <c r="F79" i="1" l="1"/>
  <c r="A80" i="1"/>
  <c r="B79" i="1"/>
  <c r="G78" i="1"/>
  <c r="C78" i="1"/>
  <c r="F80" i="1" l="1"/>
  <c r="A81" i="1"/>
  <c r="B80" i="1"/>
  <c r="G79" i="1"/>
  <c r="C79" i="1"/>
  <c r="F81" i="1" l="1"/>
  <c r="A82" i="1"/>
  <c r="B81" i="1"/>
  <c r="G80" i="1"/>
  <c r="C80" i="1"/>
  <c r="F82" i="1" l="1"/>
  <c r="A83" i="1"/>
  <c r="B82" i="1"/>
  <c r="G81" i="1"/>
  <c r="C81" i="1"/>
  <c r="F83" i="1" l="1"/>
  <c r="A84" i="1"/>
  <c r="B83" i="1"/>
  <c r="G82" i="1"/>
  <c r="C82" i="1"/>
  <c r="F84" i="1" l="1"/>
  <c r="A85" i="1"/>
  <c r="B84" i="1"/>
  <c r="G83" i="1"/>
  <c r="C83" i="1"/>
  <c r="F85" i="1" l="1"/>
  <c r="A86" i="1"/>
  <c r="B85" i="1"/>
  <c r="G84" i="1"/>
  <c r="C84" i="1"/>
  <c r="F86" i="1" l="1"/>
  <c r="A87" i="1"/>
  <c r="B86" i="1"/>
  <c r="G85" i="1"/>
  <c r="C85" i="1"/>
  <c r="G86" i="1" l="1"/>
  <c r="C86" i="1"/>
  <c r="F87" i="1"/>
  <c r="A88" i="1"/>
  <c r="B87" i="1"/>
  <c r="F88" i="1" l="1"/>
  <c r="A89" i="1"/>
  <c r="B88" i="1"/>
  <c r="G87" i="1"/>
  <c r="C87" i="1"/>
  <c r="F89" i="1" l="1"/>
  <c r="A90" i="1"/>
  <c r="B89" i="1"/>
  <c r="G88" i="1"/>
  <c r="C88" i="1"/>
  <c r="F90" i="1" l="1"/>
  <c r="A91" i="1"/>
  <c r="B90" i="1"/>
  <c r="G89" i="1"/>
  <c r="C89" i="1"/>
  <c r="F91" i="1" l="1"/>
  <c r="A92" i="1"/>
  <c r="B91" i="1"/>
  <c r="G90" i="1"/>
  <c r="C90" i="1"/>
  <c r="F92" i="1" l="1"/>
  <c r="A93" i="1"/>
  <c r="B92" i="1"/>
  <c r="G91" i="1"/>
  <c r="C91" i="1"/>
  <c r="F93" i="1" l="1"/>
  <c r="A94" i="1"/>
  <c r="B93" i="1"/>
  <c r="G92" i="1"/>
  <c r="C92" i="1"/>
  <c r="F94" i="1" l="1"/>
  <c r="A95" i="1"/>
  <c r="B94" i="1"/>
  <c r="G93" i="1"/>
  <c r="C93" i="1"/>
  <c r="F95" i="1" l="1"/>
  <c r="A96" i="1"/>
  <c r="B95" i="1"/>
  <c r="G94" i="1"/>
  <c r="C94" i="1"/>
  <c r="F96" i="1" l="1"/>
  <c r="A97" i="1"/>
  <c r="B96" i="1"/>
  <c r="G95" i="1"/>
  <c r="C95" i="1"/>
  <c r="F97" i="1" l="1"/>
  <c r="A98" i="1"/>
  <c r="B97" i="1"/>
  <c r="G96" i="1"/>
  <c r="C96" i="1"/>
  <c r="F98" i="1" l="1"/>
  <c r="A99" i="1"/>
  <c r="B98" i="1"/>
  <c r="G97" i="1"/>
  <c r="C97" i="1"/>
  <c r="F99" i="1" l="1"/>
  <c r="A100" i="1"/>
  <c r="B99" i="1"/>
  <c r="G98" i="1"/>
  <c r="C98" i="1"/>
  <c r="F100" i="1" l="1"/>
  <c r="A101" i="1"/>
  <c r="B100" i="1"/>
  <c r="G99" i="1"/>
  <c r="C99" i="1"/>
  <c r="F101" i="1" l="1"/>
  <c r="A102" i="1"/>
  <c r="B101" i="1"/>
  <c r="G100" i="1"/>
  <c r="C100" i="1"/>
  <c r="F102" i="1" l="1"/>
  <c r="A103" i="1"/>
  <c r="B102" i="1"/>
  <c r="G101" i="1"/>
  <c r="C101" i="1"/>
  <c r="F103" i="1" l="1"/>
  <c r="A104" i="1"/>
  <c r="B103" i="1"/>
  <c r="G102" i="1"/>
  <c r="C102" i="1"/>
  <c r="F104" i="1" l="1"/>
  <c r="A105" i="1"/>
  <c r="B104" i="1"/>
  <c r="G103" i="1"/>
  <c r="C103" i="1"/>
  <c r="F105" i="1" l="1"/>
  <c r="A106" i="1"/>
  <c r="B105" i="1"/>
  <c r="G104" i="1"/>
  <c r="C104" i="1"/>
  <c r="F106" i="1" l="1"/>
  <c r="A107" i="1"/>
  <c r="B106" i="1"/>
  <c r="G105" i="1"/>
  <c r="C105" i="1"/>
  <c r="F107" i="1" l="1"/>
  <c r="A108" i="1"/>
  <c r="B107" i="1"/>
  <c r="G106" i="1"/>
  <c r="C106" i="1"/>
  <c r="F108" i="1" l="1"/>
  <c r="A109" i="1"/>
  <c r="B108" i="1"/>
  <c r="G107" i="1"/>
  <c r="C107" i="1"/>
  <c r="F109" i="1" l="1"/>
  <c r="A110" i="1"/>
  <c r="B109" i="1"/>
  <c r="G108" i="1"/>
  <c r="C108" i="1"/>
  <c r="F110" i="1" l="1"/>
  <c r="A111" i="1"/>
  <c r="B110" i="1"/>
  <c r="G109" i="1"/>
  <c r="C109" i="1"/>
  <c r="F111" i="1" l="1"/>
  <c r="A112" i="1"/>
  <c r="B111" i="1"/>
  <c r="G110" i="1"/>
  <c r="C110" i="1"/>
  <c r="F112" i="1" l="1"/>
  <c r="A113" i="1"/>
  <c r="B112" i="1"/>
  <c r="G111" i="1"/>
  <c r="C111" i="1"/>
  <c r="F113" i="1" l="1"/>
  <c r="A114" i="1"/>
  <c r="B113" i="1"/>
  <c r="G112" i="1"/>
  <c r="C112" i="1"/>
  <c r="F114" i="1" l="1"/>
  <c r="A115" i="1"/>
  <c r="B114" i="1"/>
  <c r="G113" i="1"/>
  <c r="C113" i="1"/>
  <c r="F115" i="1" l="1"/>
  <c r="A116" i="1"/>
  <c r="B115" i="1"/>
  <c r="G114" i="1"/>
  <c r="C114" i="1"/>
  <c r="F116" i="1" l="1"/>
  <c r="A117" i="1"/>
  <c r="B116" i="1"/>
  <c r="G115" i="1"/>
  <c r="C115" i="1"/>
  <c r="F117" i="1" l="1"/>
  <c r="A118" i="1"/>
  <c r="B117" i="1"/>
  <c r="G116" i="1"/>
  <c r="C116" i="1"/>
  <c r="F118" i="1" l="1"/>
  <c r="A119" i="1"/>
  <c r="B118" i="1"/>
  <c r="G117" i="1"/>
  <c r="C117" i="1"/>
  <c r="F119" i="1" l="1"/>
  <c r="A120" i="1"/>
  <c r="B119" i="1"/>
  <c r="G118" i="1"/>
  <c r="C118" i="1"/>
  <c r="F120" i="1" l="1"/>
  <c r="A121" i="1"/>
  <c r="B120" i="1"/>
  <c r="G119" i="1"/>
  <c r="C119" i="1"/>
  <c r="F121" i="1" l="1"/>
  <c r="A122" i="1"/>
  <c r="B121" i="1"/>
  <c r="G120" i="1"/>
  <c r="C120" i="1"/>
  <c r="F122" i="1" l="1"/>
  <c r="A123" i="1"/>
  <c r="B122" i="1"/>
  <c r="G121" i="1"/>
  <c r="C121" i="1"/>
  <c r="F123" i="1" l="1"/>
  <c r="A124" i="1"/>
  <c r="B123" i="1"/>
  <c r="G122" i="1"/>
  <c r="C122" i="1"/>
  <c r="F124" i="1" l="1"/>
  <c r="A125" i="1"/>
  <c r="B124" i="1"/>
  <c r="G123" i="1"/>
  <c r="C123" i="1"/>
  <c r="F125" i="1" l="1"/>
  <c r="A126" i="1"/>
  <c r="B125" i="1"/>
  <c r="G124" i="1"/>
  <c r="C124" i="1"/>
  <c r="F126" i="1" l="1"/>
  <c r="A127" i="1"/>
  <c r="B126" i="1"/>
  <c r="G125" i="1"/>
  <c r="C125" i="1"/>
  <c r="F127" i="1" l="1"/>
  <c r="A128" i="1"/>
  <c r="B127" i="1"/>
  <c r="G126" i="1"/>
  <c r="C126" i="1"/>
  <c r="F128" i="1" l="1"/>
  <c r="A129" i="1"/>
  <c r="B128" i="1"/>
  <c r="G127" i="1"/>
  <c r="C127" i="1"/>
  <c r="F129" i="1" l="1"/>
  <c r="A130" i="1"/>
  <c r="B129" i="1"/>
  <c r="G128" i="1"/>
  <c r="C128" i="1"/>
  <c r="F130" i="1" l="1"/>
  <c r="A131" i="1"/>
  <c r="B130" i="1"/>
  <c r="G129" i="1"/>
  <c r="C129" i="1"/>
  <c r="F131" i="1" l="1"/>
  <c r="A132" i="1"/>
  <c r="B131" i="1"/>
  <c r="G130" i="1"/>
  <c r="C130" i="1"/>
  <c r="F132" i="1" l="1"/>
  <c r="A133" i="1"/>
  <c r="B132" i="1"/>
  <c r="G131" i="1"/>
  <c r="C131" i="1"/>
  <c r="F133" i="1" l="1"/>
  <c r="A134" i="1"/>
  <c r="B133" i="1"/>
  <c r="G132" i="1"/>
  <c r="C132" i="1"/>
  <c r="I85" i="3" l="1"/>
  <c r="J51" i="3"/>
  <c r="J128" i="3"/>
  <c r="J242" i="3"/>
  <c r="J60" i="3"/>
  <c r="J78" i="3"/>
  <c r="I77" i="3"/>
  <c r="AB136" i="21"/>
  <c r="J232" i="3"/>
  <c r="I174" i="3"/>
  <c r="I177" i="3"/>
  <c r="J70" i="3"/>
  <c r="J240" i="3"/>
  <c r="J162" i="3"/>
  <c r="J176" i="3"/>
  <c r="I158" i="3"/>
  <c r="AB266" i="21"/>
  <c r="AB46" i="21"/>
  <c r="J170" i="3"/>
  <c r="J190" i="3"/>
  <c r="AB199" i="21"/>
  <c r="J83" i="3"/>
  <c r="J189" i="3"/>
  <c r="J148" i="3"/>
  <c r="J52" i="3"/>
  <c r="I234" i="3"/>
  <c r="J90" i="3"/>
  <c r="J212" i="3"/>
  <c r="I227" i="3"/>
  <c r="I98" i="3"/>
  <c r="I195" i="3"/>
  <c r="I106" i="3"/>
  <c r="J136" i="3"/>
  <c r="I117" i="3"/>
  <c r="I176" i="3"/>
  <c r="I238" i="3"/>
  <c r="J208" i="3"/>
  <c r="I55" i="3"/>
  <c r="J141" i="3"/>
  <c r="I232" i="3"/>
  <c r="I120" i="3"/>
  <c r="I201" i="3"/>
  <c r="I151" i="3"/>
  <c r="J99" i="3"/>
  <c r="J103" i="3"/>
  <c r="J93" i="3"/>
  <c r="J126" i="3"/>
  <c r="J84" i="3"/>
  <c r="J85" i="3"/>
  <c r="K85" i="3" s="1"/>
  <c r="J139" i="3"/>
  <c r="I59" i="3"/>
  <c r="I186" i="3"/>
  <c r="AB98" i="21"/>
  <c r="I207" i="3"/>
  <c r="I138" i="3"/>
  <c r="I185" i="3"/>
  <c r="I213" i="3"/>
  <c r="AB239" i="21"/>
  <c r="I220" i="3"/>
  <c r="I129" i="3"/>
  <c r="J134" i="3"/>
  <c r="J131" i="3"/>
  <c r="I110" i="3"/>
  <c r="I58" i="3"/>
  <c r="J114" i="3"/>
  <c r="I235" i="3"/>
  <c r="J184" i="3"/>
  <c r="I187" i="3"/>
  <c r="I64" i="3"/>
  <c r="I48" i="3"/>
  <c r="J204" i="3"/>
  <c r="J165" i="3"/>
  <c r="J97" i="3"/>
  <c r="J67" i="3"/>
  <c r="J117" i="3"/>
  <c r="K117" i="3" s="1"/>
  <c r="AB45" i="21"/>
  <c r="I136" i="3"/>
  <c r="I167" i="3"/>
  <c r="AB189" i="21"/>
  <c r="I148" i="3"/>
  <c r="AB27" i="21"/>
  <c r="J218" i="3"/>
  <c r="J8" i="11"/>
  <c r="J177" i="3"/>
  <c r="K177" i="3" s="1"/>
  <c r="I113" i="3"/>
  <c r="I202" i="3"/>
  <c r="AB242" i="21"/>
  <c r="I86" i="3"/>
  <c r="J228" i="3"/>
  <c r="J153" i="3"/>
  <c r="I157" i="3"/>
  <c r="J87" i="3"/>
  <c r="AB149" i="21"/>
  <c r="J216" i="3"/>
  <c r="I104" i="3"/>
  <c r="J155" i="3"/>
  <c r="I100" i="3"/>
  <c r="I42" i="3"/>
  <c r="I199" i="3"/>
  <c r="J186" i="3"/>
  <c r="K186" i="3" s="1"/>
  <c r="J130" i="3"/>
  <c r="I179" i="3"/>
  <c r="I194" i="3"/>
  <c r="I72" i="3"/>
  <c r="I70" i="3"/>
  <c r="I97" i="3"/>
  <c r="I218" i="3"/>
  <c r="I51" i="3"/>
  <c r="I46" i="3"/>
  <c r="I92" i="3"/>
  <c r="I128" i="3"/>
  <c r="J40" i="3"/>
  <c r="J82" i="3"/>
  <c r="J215" i="3"/>
  <c r="J119" i="3"/>
  <c r="AB122" i="21"/>
  <c r="I82" i="3"/>
  <c r="J217" i="3"/>
  <c r="J145" i="3"/>
  <c r="J63" i="3"/>
  <c r="I225" i="3"/>
  <c r="I155" i="3"/>
  <c r="I63" i="3"/>
  <c r="J66" i="3"/>
  <c r="AB314" i="21"/>
  <c r="J223" i="3"/>
  <c r="J202" i="3"/>
  <c r="I149" i="3"/>
  <c r="I163" i="3"/>
  <c r="I125" i="3"/>
  <c r="J210" i="3"/>
  <c r="J175" i="3"/>
  <c r="J163" i="3"/>
  <c r="I221" i="3"/>
  <c r="J101" i="3"/>
  <c r="I7" i="11"/>
  <c r="I132" i="3"/>
  <c r="I108" i="3"/>
  <c r="J196" i="3"/>
  <c r="I141" i="3"/>
  <c r="J118" i="3"/>
  <c r="I122" i="3"/>
  <c r="J116" i="3"/>
  <c r="I143" i="3"/>
  <c r="I75" i="3"/>
  <c r="I144" i="3"/>
  <c r="J5" i="11"/>
  <c r="AB282" i="21"/>
  <c r="J94" i="3"/>
  <c r="I154" i="3"/>
  <c r="AB134" i="21"/>
  <c r="J221" i="3"/>
  <c r="AB170" i="21"/>
  <c r="I178" i="3"/>
  <c r="I206" i="3"/>
  <c r="J43" i="3"/>
  <c r="J113" i="3"/>
  <c r="I84" i="3"/>
  <c r="I8" i="11"/>
  <c r="I173" i="3"/>
  <c r="I65" i="3"/>
  <c r="I133" i="3"/>
  <c r="J203" i="3"/>
  <c r="I168" i="3"/>
  <c r="I183" i="3"/>
  <c r="I4" i="11"/>
  <c r="I62" i="3"/>
  <c r="J147" i="3"/>
  <c r="J188" i="3"/>
  <c r="AB84" i="21"/>
  <c r="J227" i="3"/>
  <c r="J121" i="3"/>
  <c r="I121" i="3"/>
  <c r="J160" i="3"/>
  <c r="J122" i="3"/>
  <c r="I192" i="3"/>
  <c r="J127" i="3"/>
  <c r="J91" i="3"/>
  <c r="I137" i="3"/>
  <c r="I196" i="3"/>
  <c r="J205" i="3"/>
  <c r="J207" i="3"/>
  <c r="J225" i="3"/>
  <c r="AB34" i="21"/>
  <c r="I191" i="3"/>
  <c r="I219" i="3"/>
  <c r="AB218" i="21"/>
  <c r="J137" i="3"/>
  <c r="I76" i="3"/>
  <c r="J110" i="3"/>
  <c r="I240" i="3"/>
  <c r="I226" i="3"/>
  <c r="I230" i="3"/>
  <c r="I171" i="3"/>
  <c r="I44" i="3"/>
  <c r="J102" i="3"/>
  <c r="I118" i="3"/>
  <c r="I223" i="3"/>
  <c r="I83" i="3"/>
  <c r="J61" i="3"/>
  <c r="J192" i="3"/>
  <c r="AB95" i="21"/>
  <c r="J169" i="3"/>
  <c r="I228" i="3"/>
  <c r="J45" i="3"/>
  <c r="J48" i="3"/>
  <c r="K48" i="3" s="1"/>
  <c r="I214" i="3"/>
  <c r="I198" i="3"/>
  <c r="J158" i="3"/>
  <c r="J152" i="3"/>
  <c r="J166" i="3"/>
  <c r="I79" i="3"/>
  <c r="AB280" i="21"/>
  <c r="J150" i="3"/>
  <c r="I241" i="3"/>
  <c r="AB146" i="21"/>
  <c r="J77" i="3"/>
  <c r="I212" i="3"/>
  <c r="I237" i="3"/>
  <c r="J183" i="3"/>
  <c r="J107" i="3"/>
  <c r="AB38" i="21"/>
  <c r="J231" i="3"/>
  <c r="I130" i="3"/>
  <c r="I135" i="3"/>
  <c r="J241" i="3"/>
  <c r="I164" i="3"/>
  <c r="AB74" i="21"/>
  <c r="J164" i="3"/>
  <c r="I57" i="3"/>
  <c r="J55" i="3"/>
  <c r="I197" i="3"/>
  <c r="J179" i="3"/>
  <c r="J159" i="3"/>
  <c r="I153" i="3"/>
  <c r="I233" i="3"/>
  <c r="I89" i="3"/>
  <c r="J173" i="3"/>
  <c r="AB55" i="21"/>
  <c r="J123" i="3"/>
  <c r="J111" i="3"/>
  <c r="I159" i="3"/>
  <c r="AB26" i="21"/>
  <c r="I60" i="3"/>
  <c r="J171" i="3"/>
  <c r="J229" i="3"/>
  <c r="J115" i="3"/>
  <c r="J120" i="3"/>
  <c r="K120" i="3" s="1"/>
  <c r="J71" i="3"/>
  <c r="J80" i="3"/>
  <c r="I53" i="3"/>
  <c r="J89" i="3"/>
  <c r="I105" i="3"/>
  <c r="AB248" i="21"/>
  <c r="I139" i="3"/>
  <c r="J187" i="3"/>
  <c r="K187" i="3" s="1"/>
  <c r="I217" i="3"/>
  <c r="I205" i="3"/>
  <c r="J144" i="3"/>
  <c r="I231" i="3"/>
  <c r="AB37" i="21"/>
  <c r="I6" i="11"/>
  <c r="J214" i="3"/>
  <c r="I208" i="3"/>
  <c r="J124" i="3"/>
  <c r="I56" i="3"/>
  <c r="I142" i="3"/>
  <c r="I47" i="3"/>
  <c r="J211" i="3"/>
  <c r="J125" i="3"/>
  <c r="K125" i="3" s="1"/>
  <c r="J73" i="3"/>
  <c r="AB29" i="21"/>
  <c r="AB310" i="21"/>
  <c r="I93" i="3"/>
  <c r="AB75" i="21"/>
  <c r="J7" i="11"/>
  <c r="AB337" i="21"/>
  <c r="AB328" i="21"/>
  <c r="AB223" i="21"/>
  <c r="AB211" i="21"/>
  <c r="J129" i="3"/>
  <c r="AB324" i="21"/>
  <c r="J230" i="3"/>
  <c r="AB293" i="21"/>
  <c r="AB150" i="21"/>
  <c r="AB321" i="21"/>
  <c r="AB267" i="21"/>
  <c r="AB297" i="21"/>
  <c r="AB158" i="21"/>
  <c r="AB108" i="21"/>
  <c r="AB212" i="21"/>
  <c r="J209" i="3"/>
  <c r="AB112" i="21"/>
  <c r="AB244" i="21"/>
  <c r="AB334" i="21"/>
  <c r="AB362" i="21"/>
  <c r="AB363" i="21"/>
  <c r="AB290" i="21"/>
  <c r="I90" i="3"/>
  <c r="I124" i="3"/>
  <c r="AB129" i="21"/>
  <c r="J108" i="3"/>
  <c r="J47" i="3"/>
  <c r="AB262" i="21"/>
  <c r="J185" i="3"/>
  <c r="AB288" i="21"/>
  <c r="AB155" i="21"/>
  <c r="I94" i="3"/>
  <c r="AB143" i="21"/>
  <c r="AB115" i="21"/>
  <c r="AB47" i="21"/>
  <c r="AB318" i="21"/>
  <c r="AB13" i="21"/>
  <c r="AB269" i="21"/>
  <c r="AB58" i="21"/>
  <c r="AB68" i="21"/>
  <c r="AB103" i="21"/>
  <c r="AB306" i="21"/>
  <c r="AB322" i="21"/>
  <c r="I74" i="3"/>
  <c r="I169" i="3"/>
  <c r="AB107" i="21"/>
  <c r="I91" i="3"/>
  <c r="AB247" i="21"/>
  <c r="AB234" i="21"/>
  <c r="AB299" i="21"/>
  <c r="I78" i="3"/>
  <c r="AB331" i="21"/>
  <c r="AB73" i="21"/>
  <c r="AB228" i="21"/>
  <c r="AB333" i="21"/>
  <c r="AB119" i="21"/>
  <c r="AB311" i="21"/>
  <c r="I146" i="3"/>
  <c r="AB277" i="21"/>
  <c r="AB102" i="21"/>
  <c r="AB366" i="21"/>
  <c r="AB118" i="21"/>
  <c r="AB216" i="21"/>
  <c r="AB11" i="21"/>
  <c r="AB213" i="21"/>
  <c r="J49" i="3"/>
  <c r="I107" i="3"/>
  <c r="AB43" i="21"/>
  <c r="I216" i="3"/>
  <c r="J56" i="3"/>
  <c r="AB41" i="21"/>
  <c r="I156" i="3"/>
  <c r="I131" i="3"/>
  <c r="AB19" i="21"/>
  <c r="AB157" i="21"/>
  <c r="AB281" i="21"/>
  <c r="AB243" i="21"/>
  <c r="I224" i="3"/>
  <c r="AB154" i="21"/>
  <c r="AB131" i="21"/>
  <c r="AB229" i="21"/>
  <c r="AB109" i="21"/>
  <c r="AB294" i="21"/>
  <c r="AB116" i="21"/>
  <c r="J154" i="3"/>
  <c r="J178" i="3"/>
  <c r="I114" i="3"/>
  <c r="AB209" i="21"/>
  <c r="AB319" i="21"/>
  <c r="AB347" i="21"/>
  <c r="AB104" i="21"/>
  <c r="J92" i="3"/>
  <c r="AB126" i="21"/>
  <c r="J42" i="3"/>
  <c r="I80" i="3"/>
  <c r="I116" i="3"/>
  <c r="AB268" i="21"/>
  <c r="J199" i="3"/>
  <c r="J234" i="3"/>
  <c r="K234" i="3" s="1"/>
  <c r="J106" i="3"/>
  <c r="K106" i="3" s="1"/>
  <c r="AB106" i="21"/>
  <c r="AB52" i="21"/>
  <c r="AB345" i="21"/>
  <c r="AB302" i="21"/>
  <c r="AB163" i="21"/>
  <c r="AB40" i="21"/>
  <c r="I40" i="3"/>
  <c r="AB67" i="21"/>
  <c r="J74" i="3"/>
  <c r="I166" i="3"/>
  <c r="I182" i="3"/>
  <c r="J44" i="3"/>
  <c r="K44" i="3" s="1"/>
  <c r="AB368" i="21"/>
  <c r="AB48" i="21"/>
  <c r="AB353" i="21"/>
  <c r="I204" i="3"/>
  <c r="I52" i="3"/>
  <c r="AB92" i="21"/>
  <c r="AB348" i="21"/>
  <c r="J142" i="3"/>
  <c r="K142" i="3" s="1"/>
  <c r="AB369" i="21"/>
  <c r="AB336" i="21"/>
  <c r="AB101" i="21"/>
  <c r="AB50" i="21"/>
  <c r="AB232" i="21"/>
  <c r="AB200" i="21"/>
  <c r="J98" i="3"/>
  <c r="AB283" i="21"/>
  <c r="AB325" i="21"/>
  <c r="J109" i="3"/>
  <c r="AB124" i="21"/>
  <c r="AB61" i="21"/>
  <c r="I165" i="3"/>
  <c r="AB138" i="21"/>
  <c r="AB137" i="21"/>
  <c r="AB173" i="21"/>
  <c r="J193" i="3"/>
  <c r="J76" i="3"/>
  <c r="J239" i="3"/>
  <c r="J81" i="3"/>
  <c r="J226" i="3"/>
  <c r="J57" i="3"/>
  <c r="AB39" i="21"/>
  <c r="AB271" i="21"/>
  <c r="AB62" i="21"/>
  <c r="J220" i="3"/>
  <c r="K220" i="3" s="1"/>
  <c r="AB270" i="21"/>
  <c r="AB90" i="21"/>
  <c r="AB153" i="21"/>
  <c r="J172" i="3"/>
  <c r="I147" i="3"/>
  <c r="AB263" i="21"/>
  <c r="AB343" i="21"/>
  <c r="AB250" i="21"/>
  <c r="AB238" i="21"/>
  <c r="AB32" i="21"/>
  <c r="AB12" i="21"/>
  <c r="AB14" i="21"/>
  <c r="J206" i="3"/>
  <c r="K206" i="3" s="1"/>
  <c r="AB133" i="21"/>
  <c r="AB316" i="21"/>
  <c r="AB210" i="21"/>
  <c r="AB307" i="21"/>
  <c r="J53" i="3"/>
  <c r="AB308" i="21"/>
  <c r="AB255" i="21"/>
  <c r="I115" i="3"/>
  <c r="AB227" i="21"/>
  <c r="I81" i="3"/>
  <c r="AB365" i="21"/>
  <c r="AB338" i="21"/>
  <c r="AB36" i="21"/>
  <c r="AB224" i="21"/>
  <c r="AB360" i="21"/>
  <c r="AB273" i="21"/>
  <c r="I229" i="3"/>
  <c r="AB141" i="21"/>
  <c r="AB180" i="21"/>
  <c r="I222" i="3"/>
  <c r="AB349" i="21"/>
  <c r="I127" i="3"/>
  <c r="J167" i="3"/>
  <c r="AB87" i="21"/>
  <c r="AB195" i="21"/>
  <c r="AB80" i="21"/>
  <c r="AB342" i="21"/>
  <c r="I111" i="3"/>
  <c r="AB272" i="21"/>
  <c r="J182" i="3"/>
  <c r="J112" i="3"/>
  <c r="AB51" i="21"/>
  <c r="I161" i="3"/>
  <c r="AB327" i="21"/>
  <c r="AB196" i="21"/>
  <c r="I109" i="3"/>
  <c r="AB220" i="21"/>
  <c r="J180" i="3"/>
  <c r="AB344" i="21"/>
  <c r="AB145" i="21"/>
  <c r="AB305" i="21"/>
  <c r="AB156" i="21"/>
  <c r="I211" i="3"/>
  <c r="AB222" i="21"/>
  <c r="AB16" i="21"/>
  <c r="AB22" i="21"/>
  <c r="AB66" i="21"/>
  <c r="I50" i="3"/>
  <c r="AB179" i="21"/>
  <c r="AB23" i="21"/>
  <c r="AB259" i="21"/>
  <c r="I103" i="3"/>
  <c r="AB326" i="21"/>
  <c r="AB88" i="21"/>
  <c r="AB171" i="21"/>
  <c r="I126" i="3"/>
  <c r="AB24" i="21"/>
  <c r="AB105" i="21"/>
  <c r="I96" i="3"/>
  <c r="J222" i="3"/>
  <c r="K222" i="3" s="1"/>
  <c r="AB174" i="21"/>
  <c r="AB300" i="21"/>
  <c r="AB236" i="21"/>
  <c r="I242" i="3"/>
  <c r="AB93" i="21"/>
  <c r="AB214" i="21"/>
  <c r="AB264" i="21"/>
  <c r="AB181" i="21"/>
  <c r="AB276" i="21"/>
  <c r="AB128" i="21"/>
  <c r="AB221" i="21"/>
  <c r="I12" i="3"/>
  <c r="AB53" i="21"/>
  <c r="AB110" i="21"/>
  <c r="AB175" i="21"/>
  <c r="AB204" i="21"/>
  <c r="AB164" i="21"/>
  <c r="AB261" i="21"/>
  <c r="J58" i="3"/>
  <c r="I175" i="3"/>
  <c r="AB358" i="21"/>
  <c r="I101" i="3"/>
  <c r="AB323" i="21"/>
  <c r="AB233" i="21"/>
  <c r="I66" i="3"/>
  <c r="AB140" i="21"/>
  <c r="AB226" i="21"/>
  <c r="J195" i="3"/>
  <c r="I190" i="3"/>
  <c r="J238" i="3"/>
  <c r="J143" i="3"/>
  <c r="AB132" i="21"/>
  <c r="AB265" i="21"/>
  <c r="AB203" i="21"/>
  <c r="AB356" i="21"/>
  <c r="J64" i="3"/>
  <c r="AB57" i="21"/>
  <c r="I236" i="3"/>
  <c r="AB89" i="21"/>
  <c r="I203" i="3"/>
  <c r="AB335" i="21"/>
  <c r="AB121" i="21"/>
  <c r="AB364" i="21"/>
  <c r="AB178" i="21"/>
  <c r="AB56" i="21"/>
  <c r="J213" i="3"/>
  <c r="AB295" i="21"/>
  <c r="J132" i="3"/>
  <c r="K132" i="3" s="1"/>
  <c r="AB298" i="21"/>
  <c r="AB176" i="21"/>
  <c r="AB111" i="21"/>
  <c r="I43" i="3"/>
  <c r="AB341" i="21"/>
  <c r="AB249" i="21"/>
  <c r="AB202" i="21"/>
  <c r="AB94" i="21"/>
  <c r="AB71" i="21"/>
  <c r="AB18" i="21"/>
  <c r="J79" i="3"/>
  <c r="AB70" i="21"/>
  <c r="AB64" i="21"/>
  <c r="J62" i="3"/>
  <c r="AB28" i="21"/>
  <c r="I71" i="3"/>
  <c r="AB135" i="21"/>
  <c r="AB287" i="21"/>
  <c r="J174" i="3"/>
  <c r="K174" i="3" s="1"/>
  <c r="AB303" i="21"/>
  <c r="AB258" i="21"/>
  <c r="AB160" i="21"/>
  <c r="AB237" i="21"/>
  <c r="AB54" i="21"/>
  <c r="J105" i="3"/>
  <c r="K105" i="3" s="1"/>
  <c r="AB117" i="21"/>
  <c r="I172" i="3"/>
  <c r="AB72" i="21"/>
  <c r="AB81" i="21"/>
  <c r="AB183" i="21"/>
  <c r="AB241" i="21"/>
  <c r="I88" i="3"/>
  <c r="I145" i="3"/>
  <c r="AB301" i="21"/>
  <c r="AB291" i="21"/>
  <c r="AB230" i="21"/>
  <c r="AB219" i="21"/>
  <c r="AB168" i="21"/>
  <c r="AB201" i="21"/>
  <c r="J235" i="3"/>
  <c r="AB15" i="21"/>
  <c r="AB332" i="21"/>
  <c r="I5" i="11"/>
  <c r="AB315" i="21"/>
  <c r="AB79" i="21"/>
  <c r="AB77" i="21"/>
  <c r="I188" i="3"/>
  <c r="J135" i="3"/>
  <c r="AB21" i="21"/>
  <c r="I134" i="3"/>
  <c r="I102" i="3"/>
  <c r="AB260" i="21"/>
  <c r="AB225" i="21"/>
  <c r="I215" i="3"/>
  <c r="I45" i="3"/>
  <c r="AB292" i="21"/>
  <c r="AB289" i="21"/>
  <c r="AB182" i="21"/>
  <c r="AB367" i="21"/>
  <c r="AB304" i="21"/>
  <c r="I119" i="3"/>
  <c r="AB274" i="21"/>
  <c r="AB9" i="21"/>
  <c r="I180" i="3"/>
  <c r="AB339" i="21"/>
  <c r="AB191" i="21"/>
  <c r="J149" i="3"/>
  <c r="AB357" i="21"/>
  <c r="AB198" i="21"/>
  <c r="J59" i="3"/>
  <c r="K59" i="3" s="1"/>
  <c r="AB63" i="21"/>
  <c r="AB192" i="21"/>
  <c r="J181" i="3"/>
  <c r="AB139" i="21"/>
  <c r="AB97" i="21"/>
  <c r="I67" i="3"/>
  <c r="J224" i="3"/>
  <c r="I193" i="3"/>
  <c r="AB188" i="21"/>
  <c r="AB96" i="21"/>
  <c r="J161" i="3"/>
  <c r="AB346" i="21"/>
  <c r="J140" i="3"/>
  <c r="J4" i="11"/>
  <c r="AB361" i="21"/>
  <c r="AB359" i="21"/>
  <c r="AB313" i="21"/>
  <c r="J156" i="3"/>
  <c r="K156" i="3" s="1"/>
  <c r="AB246" i="21"/>
  <c r="I69" i="3"/>
  <c r="AB185" i="21"/>
  <c r="AB194" i="21"/>
  <c r="J100" i="3"/>
  <c r="I73" i="3"/>
  <c r="AB144" i="21"/>
  <c r="AB83" i="21"/>
  <c r="AB148" i="21"/>
  <c r="J68" i="3"/>
  <c r="AB340" i="21"/>
  <c r="I54" i="3"/>
  <c r="AB123" i="21"/>
  <c r="J191" i="3"/>
  <c r="I99" i="3"/>
  <c r="AB256" i="21"/>
  <c r="I181" i="3"/>
  <c r="J146" i="3"/>
  <c r="AB184" i="21"/>
  <c r="J54" i="3"/>
  <c r="AB186" i="21"/>
  <c r="J46" i="3"/>
  <c r="I170" i="3"/>
  <c r="AB217" i="21"/>
  <c r="J88" i="3"/>
  <c r="J72" i="3"/>
  <c r="J168" i="3"/>
  <c r="J86" i="3"/>
  <c r="J200" i="3"/>
  <c r="AB167" i="21"/>
  <c r="J194" i="3"/>
  <c r="AB354" i="21"/>
  <c r="AB257" i="21"/>
  <c r="J233" i="3"/>
  <c r="I95" i="3"/>
  <c r="I68" i="3"/>
  <c r="I184" i="3"/>
  <c r="AB147" i="21"/>
  <c r="AB91" i="21"/>
  <c r="AB320" i="21"/>
  <c r="I150" i="3"/>
  <c r="AB252" i="21"/>
  <c r="J201" i="3"/>
  <c r="AB35" i="21"/>
  <c r="AB78" i="21"/>
  <c r="J197" i="3"/>
  <c r="I162" i="3"/>
  <c r="J198" i="3"/>
  <c r="AB99" i="21"/>
  <c r="AB330" i="21"/>
  <c r="J104" i="3"/>
  <c r="AB152" i="21"/>
  <c r="AB231" i="21"/>
  <c r="AB20" i="21"/>
  <c r="AB190" i="21"/>
  <c r="AB31" i="21"/>
  <c r="AB33" i="21"/>
  <c r="AB251" i="21"/>
  <c r="AB329" i="21"/>
  <c r="AB120" i="21"/>
  <c r="AB162" i="21"/>
  <c r="AB240" i="21"/>
  <c r="AB317" i="21"/>
  <c r="AB125" i="21"/>
  <c r="AB113" i="21"/>
  <c r="J65" i="3"/>
  <c r="AB44" i="21"/>
  <c r="AB100" i="21"/>
  <c r="AB278" i="21"/>
  <c r="I61" i="3"/>
  <c r="AB205" i="21"/>
  <c r="I239" i="3"/>
  <c r="AB245" i="21"/>
  <c r="AB49" i="21"/>
  <c r="AB127" i="21"/>
  <c r="AB284" i="21"/>
  <c r="AB159" i="21"/>
  <c r="AB215" i="21"/>
  <c r="AB355" i="21"/>
  <c r="I209" i="3"/>
  <c r="J236" i="3"/>
  <c r="K236" i="3" s="1"/>
  <c r="AB25" i="21"/>
  <c r="AB172" i="21"/>
  <c r="I49" i="3"/>
  <c r="AB197" i="21"/>
  <c r="AB206" i="21"/>
  <c r="AB187" i="21"/>
  <c r="J219" i="3"/>
  <c r="AB76" i="21"/>
  <c r="AB208" i="21"/>
  <c r="AB352" i="21"/>
  <c r="I189" i="3"/>
  <c r="AB253" i="21"/>
  <c r="AB69" i="21"/>
  <c r="J96" i="3"/>
  <c r="J50" i="3"/>
  <c r="AB286" i="21"/>
  <c r="J6" i="11"/>
  <c r="I152" i="3"/>
  <c r="J12" i="3"/>
  <c r="AB254" i="21"/>
  <c r="AB285" i="21"/>
  <c r="J138" i="3"/>
  <c r="J75" i="3"/>
  <c r="K75" i="3" s="1"/>
  <c r="AB85" i="21"/>
  <c r="AB59" i="21"/>
  <c r="I123" i="3"/>
  <c r="AB309" i="21"/>
  <c r="AB82" i="21"/>
  <c r="AB235" i="21"/>
  <c r="AB17" i="21"/>
  <c r="J151" i="3"/>
  <c r="K151" i="3" s="1"/>
  <c r="J133" i="3"/>
  <c r="I210" i="3"/>
  <c r="J157" i="3"/>
  <c r="AB42" i="21"/>
  <c r="AB350" i="21"/>
  <c r="AB60" i="21"/>
  <c r="I160" i="3"/>
  <c r="I140" i="3"/>
  <c r="AB142" i="21"/>
  <c r="AB193" i="21"/>
  <c r="AB351" i="21"/>
  <c r="J237" i="3"/>
  <c r="AB296" i="21"/>
  <c r="AB165" i="21"/>
  <c r="I112" i="3"/>
  <c r="AB312" i="21"/>
  <c r="AB130" i="21"/>
  <c r="J95" i="3"/>
  <c r="AB30" i="21"/>
  <c r="AB161" i="21"/>
  <c r="I200" i="3"/>
  <c r="AB169" i="21"/>
  <c r="AB86" i="21"/>
  <c r="AB151" i="21"/>
  <c r="AB279" i="21"/>
  <c r="AB114" i="21"/>
  <c r="J69" i="3"/>
  <c r="AB65" i="21"/>
  <c r="AB177" i="21"/>
  <c r="AB166" i="21"/>
  <c r="AB275" i="21"/>
  <c r="AB207" i="21"/>
  <c r="I87" i="3"/>
  <c r="I45" i="21"/>
  <c r="I47" i="21"/>
  <c r="I37" i="21"/>
  <c r="I126" i="21"/>
  <c r="I60" i="21"/>
  <c r="I121" i="21"/>
  <c r="I98" i="21"/>
  <c r="I87" i="21"/>
  <c r="I46" i="21"/>
  <c r="I57" i="21"/>
  <c r="I128" i="21"/>
  <c r="Z6" i="21"/>
  <c r="I64" i="21"/>
  <c r="Z8" i="21"/>
  <c r="I111" i="21"/>
  <c r="Y5" i="21"/>
  <c r="I53" i="21"/>
  <c r="I110" i="21"/>
  <c r="I2" i="21"/>
  <c r="I28" i="21"/>
  <c r="I32" i="21"/>
  <c r="I27" i="21"/>
  <c r="I76" i="21"/>
  <c r="I14" i="21"/>
  <c r="I62" i="21"/>
  <c r="I81" i="21"/>
  <c r="I116" i="21"/>
  <c r="I119" i="21"/>
  <c r="I15" i="21"/>
  <c r="I69" i="21"/>
  <c r="I104" i="21"/>
  <c r="I24" i="21"/>
  <c r="I56" i="21"/>
  <c r="I112" i="21"/>
  <c r="I8" i="21"/>
  <c r="I101" i="21"/>
  <c r="I130" i="21"/>
  <c r="I100" i="21"/>
  <c r="I109" i="21"/>
  <c r="I94" i="21"/>
  <c r="I75" i="21"/>
  <c r="I10" i="21"/>
  <c r="I34" i="21"/>
  <c r="Y6" i="21"/>
  <c r="I58" i="21"/>
  <c r="I21" i="21"/>
  <c r="I49" i="21"/>
  <c r="I91" i="21"/>
  <c r="I73" i="21"/>
  <c r="I35" i="21"/>
  <c r="I42" i="21"/>
  <c r="F6" i="21"/>
  <c r="I124" i="21"/>
  <c r="I30" i="21"/>
  <c r="I66" i="21"/>
  <c r="I106" i="21"/>
  <c r="I9" i="21"/>
  <c r="I38" i="21"/>
  <c r="I26" i="21"/>
  <c r="I78" i="21"/>
  <c r="I17" i="21"/>
  <c r="I67" i="21"/>
  <c r="I61" i="21"/>
  <c r="F4" i="21"/>
  <c r="I132" i="21"/>
  <c r="I43" i="21"/>
  <c r="I23" i="21"/>
  <c r="I41" i="21"/>
  <c r="I5" i="21"/>
  <c r="I11" i="21"/>
  <c r="I77" i="21"/>
  <c r="I82" i="21"/>
  <c r="F5" i="21"/>
  <c r="I33" i="21"/>
  <c r="I113" i="21"/>
  <c r="I79" i="21"/>
  <c r="AA4" i="21"/>
  <c r="I68" i="21"/>
  <c r="AA6" i="21"/>
  <c r="I51" i="21"/>
  <c r="Z4" i="21"/>
  <c r="I7" i="21"/>
  <c r="Y8" i="21"/>
  <c r="I70" i="21"/>
  <c r="I20" i="21"/>
  <c r="I123" i="21"/>
  <c r="I36" i="21"/>
  <c r="I117" i="21"/>
  <c r="I118" i="21"/>
  <c r="I122" i="21"/>
  <c r="I103" i="21"/>
  <c r="I115" i="21"/>
  <c r="I44" i="21"/>
  <c r="I29" i="21"/>
  <c r="Y7" i="21"/>
  <c r="I13" i="21"/>
  <c r="I54" i="21"/>
  <c r="I55" i="21"/>
  <c r="Y4" i="21"/>
  <c r="I84" i="21"/>
  <c r="I52" i="21"/>
  <c r="I39" i="21"/>
  <c r="I125" i="21"/>
  <c r="Z5" i="21"/>
  <c r="I93" i="21"/>
  <c r="I108" i="21"/>
  <c r="I74" i="21"/>
  <c r="F7" i="21"/>
  <c r="I97" i="21"/>
  <c r="I40" i="21"/>
  <c r="I16" i="21"/>
  <c r="I114" i="21"/>
  <c r="I48" i="21"/>
  <c r="I120" i="21"/>
  <c r="I59" i="21"/>
  <c r="I92" i="21"/>
  <c r="I80" i="21"/>
  <c r="I96" i="21"/>
  <c r="I95" i="21"/>
  <c r="I88" i="21"/>
  <c r="I18" i="21"/>
  <c r="Z7" i="21"/>
  <c r="I83" i="21"/>
  <c r="I127" i="21"/>
  <c r="I19" i="21"/>
  <c r="I72" i="21"/>
  <c r="AA8" i="21"/>
  <c r="I102" i="21"/>
  <c r="I85" i="21"/>
  <c r="I105" i="21"/>
  <c r="I25" i="21"/>
  <c r="I3" i="21"/>
  <c r="I89" i="21"/>
  <c r="AA5" i="21"/>
  <c r="I12" i="21"/>
  <c r="I90" i="21"/>
  <c r="I107" i="21"/>
  <c r="I71" i="21"/>
  <c r="I129" i="21"/>
  <c r="I50" i="21"/>
  <c r="I31" i="21"/>
  <c r="I63" i="21"/>
  <c r="I99" i="21"/>
  <c r="I22" i="21"/>
  <c r="AA7" i="21"/>
  <c r="I131" i="21"/>
  <c r="I6" i="21"/>
  <c r="I65" i="21"/>
  <c r="I86" i="21"/>
  <c r="G248" i="21"/>
  <c r="I192" i="21"/>
  <c r="I249" i="21"/>
  <c r="G133" i="21"/>
  <c r="M359" i="21"/>
  <c r="L180" i="21"/>
  <c r="Y130" i="21"/>
  <c r="M131" i="21"/>
  <c r="G36" i="21"/>
  <c r="K199" i="21"/>
  <c r="AA109" i="21"/>
  <c r="I326" i="21"/>
  <c r="I308" i="21"/>
  <c r="X128" i="21"/>
  <c r="Y186" i="21"/>
  <c r="F267" i="21"/>
  <c r="I163" i="21"/>
  <c r="AA25" i="21"/>
  <c r="N183" i="21"/>
  <c r="X264" i="21"/>
  <c r="L230" i="21"/>
  <c r="Z32" i="21"/>
  <c r="L22" i="21"/>
  <c r="N123" i="21"/>
  <c r="G130" i="21"/>
  <c r="AA265" i="21"/>
  <c r="Z218" i="21"/>
  <c r="Y22" i="21"/>
  <c r="I137" i="21"/>
  <c r="N14" i="21"/>
  <c r="K302" i="21"/>
  <c r="I200" i="21"/>
  <c r="Z74" i="21"/>
  <c r="X289" i="21"/>
  <c r="F65" i="21"/>
  <c r="L109" i="21"/>
  <c r="AA62" i="21"/>
  <c r="AA229" i="21"/>
  <c r="X339" i="21"/>
  <c r="Z301" i="21"/>
  <c r="F138" i="21"/>
  <c r="AA325" i="21"/>
  <c r="X202" i="21"/>
  <c r="X220" i="21"/>
  <c r="G152" i="21"/>
  <c r="Z284" i="21"/>
  <c r="Y227" i="21"/>
  <c r="X203" i="21"/>
  <c r="M339" i="21"/>
  <c r="Y315" i="21"/>
  <c r="L215" i="21"/>
  <c r="X192" i="21"/>
  <c r="M119" i="21"/>
  <c r="N62" i="21"/>
  <c r="M49" i="21"/>
  <c r="L92" i="21"/>
  <c r="L243" i="21"/>
  <c r="I136" i="21"/>
  <c r="K192" i="21"/>
  <c r="M128" i="21"/>
  <c r="F203" i="21"/>
  <c r="F316" i="21"/>
  <c r="Z77" i="21"/>
  <c r="I170" i="21"/>
  <c r="AA263" i="21"/>
  <c r="Y10" i="21"/>
  <c r="G29" i="21"/>
  <c r="L26" i="21"/>
  <c r="X215" i="21"/>
  <c r="G290" i="21"/>
  <c r="L244" i="21"/>
  <c r="M310" i="21"/>
  <c r="G368" i="21"/>
  <c r="N70" i="21"/>
  <c r="AA180" i="21"/>
  <c r="Z303" i="21"/>
  <c r="Y321" i="21"/>
  <c r="X284" i="21"/>
  <c r="Z283" i="21"/>
  <c r="M159" i="21"/>
  <c r="N120" i="21"/>
  <c r="N354" i="21"/>
  <c r="X366" i="21"/>
  <c r="K47" i="21"/>
  <c r="L5" i="21"/>
  <c r="Z279" i="21"/>
  <c r="X181" i="21"/>
  <c r="N93" i="21"/>
  <c r="I344" i="21"/>
  <c r="AA143" i="21"/>
  <c r="AA61" i="21"/>
  <c r="M306" i="21"/>
  <c r="N311" i="21"/>
  <c r="F263" i="21"/>
  <c r="G160" i="21"/>
  <c r="I303" i="21"/>
  <c r="F140" i="21"/>
  <c r="AA106" i="21"/>
  <c r="Y344" i="21"/>
  <c r="K296" i="21"/>
  <c r="Y114" i="21"/>
  <c r="G224" i="21"/>
  <c r="Y76" i="21"/>
  <c r="M178" i="21"/>
  <c r="Z157" i="21"/>
  <c r="K15" i="21"/>
  <c r="X346" i="21"/>
  <c r="X259" i="21"/>
  <c r="N46" i="21"/>
  <c r="G149" i="21"/>
  <c r="AA28" i="21"/>
  <c r="N332" i="21"/>
  <c r="X123" i="21"/>
  <c r="X307" i="21"/>
  <c r="M64" i="21"/>
  <c r="N57" i="21"/>
  <c r="Y310" i="21"/>
  <c r="Z207" i="21"/>
  <c r="Z123" i="21"/>
  <c r="Y259" i="21"/>
  <c r="K178" i="21"/>
  <c r="AA341" i="21"/>
  <c r="I191" i="21"/>
  <c r="F314" i="21"/>
  <c r="F369" i="21"/>
  <c r="AA253" i="21"/>
  <c r="Z206" i="21"/>
  <c r="M98" i="21"/>
  <c r="AA76" i="21"/>
  <c r="Z111" i="21"/>
  <c r="AA364" i="21"/>
  <c r="N166" i="21"/>
  <c r="F323" i="21"/>
  <c r="N105" i="21"/>
  <c r="K227" i="21"/>
  <c r="Z235" i="21"/>
  <c r="N195" i="21"/>
  <c r="K177" i="21"/>
  <c r="I162" i="21"/>
  <c r="L70" i="21"/>
  <c r="I264" i="21"/>
  <c r="G95" i="21"/>
  <c r="F242" i="21"/>
  <c r="Z177" i="21"/>
  <c r="Z64" i="21"/>
  <c r="I228" i="21"/>
  <c r="X342" i="21"/>
  <c r="Y147" i="21"/>
  <c r="X245" i="21"/>
  <c r="M341" i="21"/>
  <c r="AA272" i="21"/>
  <c r="Y251" i="21"/>
  <c r="M302" i="21"/>
  <c r="F19" i="21"/>
  <c r="G200" i="21"/>
  <c r="M60" i="21"/>
  <c r="G42" i="21"/>
  <c r="F105" i="21"/>
  <c r="Z97" i="21"/>
  <c r="K121" i="21"/>
  <c r="M148" i="21"/>
  <c r="K46" i="21"/>
  <c r="AA184" i="21"/>
  <c r="Y180" i="21"/>
  <c r="F341" i="21"/>
  <c r="AA26" i="21"/>
  <c r="AA158" i="21"/>
  <c r="Z42" i="21"/>
  <c r="F265" i="21"/>
  <c r="AA238" i="21"/>
  <c r="L110" i="21"/>
  <c r="X316" i="21"/>
  <c r="G13" i="21"/>
  <c r="I337" i="21"/>
  <c r="Y173" i="21"/>
  <c r="M281" i="21"/>
  <c r="G88" i="21"/>
  <c r="Z26" i="21"/>
  <c r="K180" i="21"/>
  <c r="G90" i="21"/>
  <c r="M6" i="21"/>
  <c r="K165" i="21"/>
  <c r="M22" i="21"/>
  <c r="K238" i="21"/>
  <c r="K183" i="21"/>
  <c r="Z305" i="21"/>
  <c r="F266" i="21"/>
  <c r="N249" i="21"/>
  <c r="X260" i="21"/>
  <c r="K48" i="21"/>
  <c r="Z60" i="21"/>
  <c r="AA46" i="21"/>
  <c r="Y294" i="21"/>
  <c r="N143" i="21"/>
  <c r="AA87" i="21"/>
  <c r="G286" i="21"/>
  <c r="Z56" i="21"/>
  <c r="Y168" i="21"/>
  <c r="F319" i="21"/>
  <c r="F9" i="21"/>
  <c r="Z85" i="21"/>
  <c r="K315" i="21"/>
  <c r="M45" i="21"/>
  <c r="X116" i="21"/>
  <c r="X222" i="21"/>
  <c r="X234" i="21"/>
  <c r="M127" i="21"/>
  <c r="M69" i="21"/>
  <c r="Y318" i="21"/>
  <c r="L339" i="21"/>
  <c r="N26" i="21"/>
  <c r="N186" i="21"/>
  <c r="L99" i="21"/>
  <c r="Z246" i="21"/>
  <c r="M211" i="21"/>
  <c r="I152" i="21"/>
  <c r="L291" i="21"/>
  <c r="L208" i="21"/>
  <c r="F80" i="21"/>
  <c r="X274" i="21"/>
  <c r="N305" i="21"/>
  <c r="G363" i="21"/>
  <c r="Z96" i="21"/>
  <c r="Y323" i="21"/>
  <c r="K297" i="21"/>
  <c r="G358" i="21"/>
  <c r="AA198" i="21"/>
  <c r="X120" i="21"/>
  <c r="L95" i="21"/>
  <c r="X200" i="21"/>
  <c r="Z369" i="21"/>
  <c r="X311" i="21"/>
  <c r="M175" i="21"/>
  <c r="M355" i="21"/>
  <c r="K361" i="21"/>
  <c r="I226" i="21"/>
  <c r="AA250" i="21"/>
  <c r="Z15" i="21"/>
  <c r="Y55" i="21"/>
  <c r="Y172" i="21"/>
  <c r="AA86" i="21"/>
  <c r="G137" i="21"/>
  <c r="Y230" i="21"/>
  <c r="M154" i="21"/>
  <c r="L178" i="21"/>
  <c r="G355" i="21"/>
  <c r="L252" i="21"/>
  <c r="K314" i="21"/>
  <c r="Y305" i="21"/>
  <c r="AA305" i="21"/>
  <c r="N149" i="21"/>
  <c r="G87" i="21"/>
  <c r="AA112" i="21"/>
  <c r="AA205" i="21"/>
  <c r="X281" i="21"/>
  <c r="I279" i="21"/>
  <c r="Y359" i="21"/>
  <c r="AA236" i="21"/>
  <c r="Z35" i="21"/>
  <c r="M214" i="21"/>
  <c r="X133" i="21"/>
  <c r="K310" i="21"/>
  <c r="X291" i="21"/>
  <c r="M251" i="21"/>
  <c r="L223" i="21"/>
  <c r="Y53" i="21"/>
  <c r="N35" i="21"/>
  <c r="F24" i="21"/>
  <c r="F258" i="21"/>
  <c r="M8" i="21"/>
  <c r="L18" i="21"/>
  <c r="Y366" i="21"/>
  <c r="F68" i="21"/>
  <c r="Z269" i="21"/>
  <c r="Y181" i="21"/>
  <c r="I186" i="21"/>
  <c r="N337" i="21"/>
  <c r="I223" i="21"/>
  <c r="M137" i="21"/>
  <c r="M151" i="21"/>
  <c r="X172" i="21"/>
  <c r="Z355" i="21"/>
  <c r="M52" i="21"/>
  <c r="N43" i="21"/>
  <c r="F137" i="21"/>
  <c r="I233" i="21"/>
  <c r="AA281" i="21"/>
  <c r="M303" i="21"/>
  <c r="G159" i="21"/>
  <c r="M56" i="21"/>
  <c r="L77" i="21"/>
  <c r="Y237" i="21"/>
  <c r="F251" i="21"/>
  <c r="Y135" i="21"/>
  <c r="N265" i="21"/>
  <c r="Z171" i="21"/>
  <c r="Y285" i="21"/>
  <c r="K44" i="21"/>
  <c r="F181" i="21"/>
  <c r="G246" i="21"/>
  <c r="Z120" i="21"/>
  <c r="X275" i="21"/>
  <c r="N260" i="21"/>
  <c r="K248" i="21"/>
  <c r="G139" i="21"/>
  <c r="F64" i="21"/>
  <c r="G284" i="21"/>
  <c r="Z209" i="21"/>
  <c r="Z337" i="21"/>
  <c r="N8" i="21"/>
  <c r="X129" i="21"/>
  <c r="X131" i="21"/>
  <c r="AA138" i="21"/>
  <c r="Z362" i="21"/>
  <c r="Z260" i="21"/>
  <c r="N156" i="21"/>
  <c r="K122" i="21"/>
  <c r="Z2" i="21"/>
  <c r="X330" i="21"/>
  <c r="Y31" i="21"/>
  <c r="AA357" i="21"/>
  <c r="M206" i="21"/>
  <c r="N96" i="21"/>
  <c r="K89" i="21"/>
  <c r="Z61" i="21"/>
  <c r="M77" i="21"/>
  <c r="F304" i="21"/>
  <c r="G197" i="21"/>
  <c r="F262" i="21"/>
  <c r="AA304" i="21"/>
  <c r="AA297" i="21"/>
  <c r="Z37" i="21"/>
  <c r="K189" i="21"/>
  <c r="Z98" i="21"/>
  <c r="Y265" i="21"/>
  <c r="Y211" i="21"/>
  <c r="Y191" i="21"/>
  <c r="K344" i="21"/>
  <c r="N312" i="21"/>
  <c r="Z202" i="21"/>
  <c r="M218" i="21"/>
  <c r="L270" i="21"/>
  <c r="M198" i="21"/>
  <c r="L105" i="21"/>
  <c r="N150" i="21"/>
  <c r="N309" i="21"/>
  <c r="M241" i="21"/>
  <c r="Y332" i="21"/>
  <c r="Y29" i="21"/>
  <c r="L74" i="21"/>
  <c r="G309" i="21"/>
  <c r="I209" i="21"/>
  <c r="K173" i="21"/>
  <c r="X270" i="21"/>
  <c r="L329" i="21"/>
  <c r="AA48" i="21"/>
  <c r="Z352" i="21"/>
  <c r="AA193" i="21"/>
  <c r="AA121" i="21"/>
  <c r="M334" i="21"/>
  <c r="X272" i="21"/>
  <c r="G367" i="21"/>
  <c r="Z88" i="21"/>
  <c r="K230" i="21"/>
  <c r="N316" i="21"/>
  <c r="K111" i="21"/>
  <c r="Y319" i="21"/>
  <c r="K252" i="21"/>
  <c r="AA119" i="21"/>
  <c r="F278" i="21"/>
  <c r="Y64" i="21"/>
  <c r="F293" i="21"/>
  <c r="F2" i="21"/>
  <c r="L69" i="21"/>
  <c r="L222" i="21"/>
  <c r="F318" i="21"/>
  <c r="AA19" i="21"/>
  <c r="G102" i="21"/>
  <c r="AA94" i="21"/>
  <c r="AA225" i="21"/>
  <c r="Z178" i="21"/>
  <c r="G68" i="21"/>
  <c r="G220" i="21"/>
  <c r="N63" i="21"/>
  <c r="AA136" i="21"/>
  <c r="X216" i="21"/>
  <c r="K197" i="21"/>
  <c r="G312" i="21"/>
  <c r="Y72" i="21"/>
  <c r="F163" i="21"/>
  <c r="N83" i="21"/>
  <c r="Z112" i="21"/>
  <c r="K229" i="21"/>
  <c r="M231" i="21"/>
  <c r="M86" i="21"/>
  <c r="I325" i="21"/>
  <c r="K61" i="21"/>
  <c r="Z234" i="21"/>
  <c r="Y268" i="21"/>
  <c r="Y338" i="21"/>
  <c r="Y197" i="21"/>
  <c r="F296" i="21"/>
  <c r="Z288" i="21"/>
  <c r="X303" i="21"/>
  <c r="AA160" i="21"/>
  <c r="X250" i="21"/>
  <c r="F112" i="21"/>
  <c r="M95" i="21"/>
  <c r="Z183" i="21"/>
  <c r="Y132" i="21"/>
  <c r="Z300" i="21"/>
  <c r="Y324" i="21"/>
  <c r="Z166" i="21"/>
  <c r="L327" i="21"/>
  <c r="Y112" i="21"/>
  <c r="Z238" i="21"/>
  <c r="I178" i="21"/>
  <c r="K90" i="21"/>
  <c r="Y274" i="21"/>
  <c r="AA49" i="21"/>
  <c r="F194" i="21"/>
  <c r="F259" i="21"/>
  <c r="AA145" i="21"/>
  <c r="I246" i="21"/>
  <c r="AA58" i="21"/>
  <c r="U58" i="21" s="1"/>
  <c r="M82" i="21"/>
  <c r="AA31" i="21"/>
  <c r="M71" i="21"/>
  <c r="M266" i="21"/>
  <c r="I334" i="21"/>
  <c r="N22" i="21"/>
  <c r="F130" i="21"/>
  <c r="G19" i="21"/>
  <c r="AA291" i="21"/>
  <c r="Z128" i="21"/>
  <c r="AA321" i="21"/>
  <c r="N276" i="21"/>
  <c r="Z307" i="21"/>
  <c r="Z339" i="21"/>
  <c r="AA57" i="21"/>
  <c r="Z22" i="21"/>
  <c r="N144" i="21"/>
  <c r="Y19" i="21"/>
  <c r="X191" i="21"/>
  <c r="N333" i="21"/>
  <c r="Y115" i="21"/>
  <c r="M304" i="21"/>
  <c r="N139" i="21"/>
  <c r="N159" i="21"/>
  <c r="M124" i="21"/>
  <c r="Y184" i="21"/>
  <c r="Z107" i="21"/>
  <c r="Z252" i="21"/>
  <c r="M117" i="21"/>
  <c r="F11" i="21"/>
  <c r="AA355" i="21"/>
  <c r="Y155" i="21"/>
  <c r="G348" i="21"/>
  <c r="G47" i="21"/>
  <c r="F197" i="21"/>
  <c r="F252" i="21"/>
  <c r="G161" i="21"/>
  <c r="Z309" i="21"/>
  <c r="X208" i="21"/>
  <c r="K148" i="21"/>
  <c r="AA233" i="21"/>
  <c r="X243" i="21"/>
  <c r="AA343" i="21"/>
  <c r="N85" i="21"/>
  <c r="L233" i="21"/>
  <c r="G21" i="21"/>
  <c r="X336" i="21"/>
  <c r="AA251" i="21"/>
  <c r="L152" i="21"/>
  <c r="F56" i="21"/>
  <c r="X190" i="21"/>
  <c r="G276" i="21"/>
  <c r="F73" i="21"/>
  <c r="Y124" i="21"/>
  <c r="K235" i="21"/>
  <c r="Y119" i="21"/>
  <c r="F320" i="21"/>
  <c r="G107" i="21"/>
  <c r="AA199" i="21"/>
  <c r="Z302" i="21"/>
  <c r="Z311" i="21"/>
  <c r="M23" i="21"/>
  <c r="I321" i="21"/>
  <c r="K107" i="21"/>
  <c r="M349" i="21"/>
  <c r="F106" i="21"/>
  <c r="X145" i="21"/>
  <c r="Z124" i="21"/>
  <c r="Z247" i="21"/>
  <c r="N36" i="21"/>
  <c r="L154" i="21"/>
  <c r="Y367" i="21"/>
  <c r="I335" i="21"/>
  <c r="L151" i="21"/>
  <c r="G323" i="21"/>
  <c r="G114" i="21"/>
  <c r="N215" i="21"/>
  <c r="N198" i="21"/>
  <c r="I225" i="21"/>
  <c r="I298" i="21"/>
  <c r="AA336" i="21"/>
  <c r="Z285" i="21"/>
  <c r="Z69" i="21"/>
  <c r="N78" i="21"/>
  <c r="Y159" i="21"/>
  <c r="F348" i="21"/>
  <c r="I331" i="21"/>
  <c r="Z201" i="21"/>
  <c r="K7" i="21"/>
  <c r="AA177" i="21"/>
  <c r="F70" i="21"/>
  <c r="M330" i="21"/>
  <c r="L259" i="21"/>
  <c r="AA369" i="21"/>
  <c r="X160" i="21"/>
  <c r="N247" i="21"/>
  <c r="Z36" i="21"/>
  <c r="I206" i="21"/>
  <c r="F306" i="21"/>
  <c r="G150" i="21"/>
  <c r="I172" i="21"/>
  <c r="X332" i="21"/>
  <c r="N108" i="21"/>
  <c r="I241" i="21"/>
  <c r="G116" i="21"/>
  <c r="Z317" i="21"/>
  <c r="Y127" i="21"/>
  <c r="Z3" i="21"/>
  <c r="G12" i="21"/>
  <c r="Z334" i="21"/>
  <c r="Z164" i="21"/>
  <c r="AA239" i="21"/>
  <c r="AA228" i="21"/>
  <c r="M267" i="21"/>
  <c r="Z210" i="21"/>
  <c r="AA324" i="21"/>
  <c r="AA317" i="21"/>
  <c r="K255" i="21"/>
  <c r="N259" i="21"/>
  <c r="Z28" i="21"/>
  <c r="L345" i="21"/>
  <c r="F328" i="21"/>
  <c r="X126" i="21"/>
  <c r="AA223" i="21"/>
  <c r="N98" i="21"/>
  <c r="AA279" i="21"/>
  <c r="G147" i="21"/>
  <c r="Z195" i="21"/>
  <c r="X238" i="21"/>
  <c r="K109" i="21"/>
  <c r="AA151" i="21"/>
  <c r="AA340" i="21"/>
  <c r="G83" i="21"/>
  <c r="Y188" i="21"/>
  <c r="F122" i="21"/>
  <c r="Z188" i="21"/>
  <c r="AA202" i="21"/>
  <c r="L360" i="21"/>
  <c r="Y339" i="21"/>
  <c r="G48" i="21"/>
  <c r="Z34" i="21"/>
  <c r="Z87" i="21"/>
  <c r="L186" i="21"/>
  <c r="Y243" i="21"/>
  <c r="Z145" i="21"/>
  <c r="F23" i="21"/>
  <c r="K330" i="21"/>
  <c r="F353" i="21"/>
  <c r="G285" i="21"/>
  <c r="M219" i="21"/>
  <c r="AA254" i="21"/>
  <c r="L303" i="21"/>
  <c r="K289" i="21"/>
  <c r="Z220" i="21"/>
  <c r="M209" i="21"/>
  <c r="AA95" i="21"/>
  <c r="Y117" i="21"/>
  <c r="F192" i="21"/>
  <c r="I198" i="21"/>
  <c r="M150" i="21"/>
  <c r="F345" i="21"/>
  <c r="F108" i="21"/>
  <c r="M248" i="21"/>
  <c r="N10" i="21"/>
  <c r="M96" i="21"/>
  <c r="L141" i="21"/>
  <c r="G314" i="21"/>
  <c r="AA294" i="21"/>
  <c r="X169" i="21"/>
  <c r="X171" i="21"/>
  <c r="Y42" i="21"/>
  <c r="F172" i="21"/>
  <c r="Z63" i="21"/>
  <c r="Z153" i="21"/>
  <c r="K143" i="21"/>
  <c r="G49" i="21"/>
  <c r="Y24" i="21"/>
  <c r="Z186" i="21"/>
  <c r="Y195" i="21"/>
  <c r="N113" i="21"/>
  <c r="I292" i="21"/>
  <c r="X348" i="21"/>
  <c r="M362" i="21"/>
  <c r="G127" i="21"/>
  <c r="AA169" i="21"/>
  <c r="Z67" i="21"/>
  <c r="Y122" i="21"/>
  <c r="N2" i="21"/>
  <c r="M41" i="21"/>
  <c r="N24" i="21"/>
  <c r="G254" i="21"/>
  <c r="X206" i="21"/>
  <c r="G199" i="21"/>
  <c r="I280" i="21"/>
  <c r="Z66" i="21"/>
  <c r="Y163" i="21"/>
  <c r="Y328" i="21"/>
  <c r="Y126" i="21"/>
  <c r="L338" i="21"/>
  <c r="X113" i="21"/>
  <c r="Z271" i="21"/>
  <c r="K59" i="21"/>
  <c r="Y3" i="21"/>
  <c r="X199" i="21"/>
  <c r="F66" i="21"/>
  <c r="AA259" i="21"/>
  <c r="M208" i="21"/>
  <c r="F126" i="21"/>
  <c r="AA299" i="21"/>
  <c r="AA244" i="21"/>
  <c r="Z102" i="21"/>
  <c r="X358" i="21"/>
  <c r="Z94" i="21"/>
  <c r="Z180" i="21"/>
  <c r="N97" i="21"/>
  <c r="L238" i="21"/>
  <c r="X331" i="21"/>
  <c r="Z361" i="21"/>
  <c r="X231" i="21"/>
  <c r="L55" i="21"/>
  <c r="G228" i="21"/>
  <c r="K19" i="21"/>
  <c r="AA51" i="21"/>
  <c r="F361" i="21"/>
  <c r="X144" i="21"/>
  <c r="F356" i="21"/>
  <c r="M15" i="21"/>
  <c r="K23" i="21"/>
  <c r="X333" i="21"/>
  <c r="AA130" i="21"/>
  <c r="X230" i="21"/>
  <c r="AA353" i="21"/>
  <c r="Z278" i="21"/>
  <c r="L277" i="21"/>
  <c r="Z189" i="21"/>
  <c r="Z100" i="21"/>
  <c r="Y276" i="21"/>
  <c r="N37" i="21"/>
  <c r="L209" i="21"/>
  <c r="K105" i="21"/>
  <c r="Z129" i="21"/>
  <c r="N212" i="21"/>
  <c r="F202" i="21"/>
  <c r="X352" i="21"/>
  <c r="X249" i="21"/>
  <c r="I151" i="21"/>
  <c r="Y231" i="21"/>
  <c r="AA338" i="21"/>
  <c r="G35" i="21"/>
  <c r="Z221" i="21"/>
  <c r="I293" i="21"/>
  <c r="M194" i="21"/>
  <c r="M363" i="21"/>
  <c r="M253" i="21"/>
  <c r="N155" i="21"/>
  <c r="K360" i="21"/>
  <c r="K224" i="21"/>
  <c r="X247" i="21"/>
  <c r="Y267" i="21"/>
  <c r="G125" i="21"/>
  <c r="F10" i="21"/>
  <c r="X177" i="21"/>
  <c r="Y148" i="21"/>
  <c r="N178" i="21"/>
  <c r="K290" i="21"/>
  <c r="X294" i="21"/>
  <c r="Y47" i="21"/>
  <c r="M72" i="21"/>
  <c r="AA104" i="21"/>
  <c r="AA327" i="21"/>
  <c r="N216" i="21"/>
  <c r="X210" i="21"/>
  <c r="G293" i="21"/>
  <c r="F131" i="21"/>
  <c r="Z270" i="21"/>
  <c r="Y83" i="21"/>
  <c r="K157" i="21"/>
  <c r="Y269" i="21"/>
  <c r="L333" i="21"/>
  <c r="L23" i="21"/>
  <c r="AA97" i="21"/>
  <c r="L94" i="21"/>
  <c r="G330" i="21"/>
  <c r="X338" i="21"/>
  <c r="K281" i="21"/>
  <c r="AA56" i="21"/>
  <c r="L358" i="21"/>
  <c r="G61" i="21"/>
  <c r="AA328" i="21"/>
  <c r="Z277" i="21"/>
  <c r="N145" i="21"/>
  <c r="Y14" i="21"/>
  <c r="K263" i="21"/>
  <c r="Z336" i="21"/>
  <c r="Y217" i="21"/>
  <c r="Z213" i="21"/>
  <c r="F359" i="21"/>
  <c r="G132" i="21"/>
  <c r="K250" i="21"/>
  <c r="F57" i="21"/>
  <c r="N267" i="21"/>
  <c r="X213" i="21"/>
  <c r="N104" i="21"/>
  <c r="I208" i="21"/>
  <c r="F269" i="21"/>
  <c r="AA278" i="21"/>
  <c r="G27" i="21"/>
  <c r="M16" i="21"/>
  <c r="K365" i="21"/>
  <c r="AA285" i="21"/>
  <c r="X194" i="21"/>
  <c r="G34" i="21"/>
  <c r="X282" i="21"/>
  <c r="Z224" i="21"/>
  <c r="AA230" i="21"/>
  <c r="N52" i="21"/>
  <c r="Z363" i="21"/>
  <c r="X168" i="21"/>
  <c r="Z144" i="21"/>
  <c r="Y165" i="21"/>
  <c r="K202" i="21"/>
  <c r="X323" i="21"/>
  <c r="L342" i="21"/>
  <c r="AA41" i="21"/>
  <c r="G60" i="21"/>
  <c r="Y266" i="21"/>
  <c r="K242" i="21"/>
  <c r="F313" i="21"/>
  <c r="L297" i="21"/>
  <c r="AA59" i="21"/>
  <c r="Z27" i="21"/>
  <c r="Z30" i="21"/>
  <c r="K135" i="21"/>
  <c r="G76" i="21"/>
  <c r="AA30" i="21"/>
  <c r="G175" i="21"/>
  <c r="Z162" i="21"/>
  <c r="Z16" i="21"/>
  <c r="K309" i="21"/>
  <c r="N7" i="21"/>
  <c r="M201" i="21"/>
  <c r="AA108" i="21"/>
  <c r="Z241" i="21"/>
  <c r="AA273" i="21"/>
  <c r="G131" i="21"/>
  <c r="F332" i="21"/>
  <c r="Z33" i="21"/>
  <c r="X136" i="21"/>
  <c r="L102" i="21"/>
  <c r="Z203" i="21"/>
  <c r="L36" i="21"/>
  <c r="Y49" i="21"/>
  <c r="L182" i="21"/>
  <c r="G221" i="21"/>
  <c r="M138" i="21"/>
  <c r="AA72" i="21"/>
  <c r="AA126" i="21"/>
  <c r="AA165" i="21"/>
  <c r="N365" i="21"/>
  <c r="AA292" i="21"/>
  <c r="X317" i="21"/>
  <c r="X214" i="21"/>
  <c r="N30" i="21"/>
  <c r="K93" i="21"/>
  <c r="F206" i="21"/>
  <c r="K222" i="21"/>
  <c r="L283" i="21"/>
  <c r="Z289" i="21"/>
  <c r="F75" i="21"/>
  <c r="K86" i="21"/>
  <c r="L62" i="21"/>
  <c r="M29" i="21"/>
  <c r="I235" i="21"/>
  <c r="M171" i="21"/>
  <c r="I154" i="21"/>
  <c r="N273" i="21"/>
  <c r="N360" i="21"/>
  <c r="M59" i="21"/>
  <c r="I138" i="21"/>
  <c r="G10" i="21"/>
  <c r="I185" i="21"/>
  <c r="N175" i="21"/>
  <c r="L269" i="21"/>
  <c r="I135" i="21"/>
  <c r="L202" i="21"/>
  <c r="X364" i="21"/>
  <c r="F21" i="21"/>
  <c r="I314" i="21"/>
  <c r="X159" i="21"/>
  <c r="Y284" i="21"/>
  <c r="Z13" i="21"/>
  <c r="Y71" i="21"/>
  <c r="X290" i="21"/>
  <c r="Y261" i="21"/>
  <c r="AA174" i="21"/>
  <c r="AA81" i="21"/>
  <c r="Z364" i="21"/>
  <c r="F15" i="21"/>
  <c r="K26" i="21"/>
  <c r="F344" i="21"/>
  <c r="Z106" i="21"/>
  <c r="Z290" i="21"/>
  <c r="X195" i="21"/>
  <c r="Y69" i="21"/>
  <c r="Z310" i="21"/>
  <c r="L343" i="21"/>
  <c r="X320" i="21"/>
  <c r="I205" i="21"/>
  <c r="AA237" i="21"/>
  <c r="L344" i="21"/>
  <c r="Y368" i="21"/>
  <c r="F257" i="21"/>
  <c r="I188" i="21"/>
  <c r="N76" i="21"/>
  <c r="AA73" i="21"/>
  <c r="I189" i="21"/>
  <c r="X351" i="21"/>
  <c r="G7" i="21"/>
  <c r="G250" i="21"/>
  <c r="Y336" i="21"/>
  <c r="K22" i="21"/>
  <c r="AA211" i="21"/>
  <c r="K139" i="21"/>
  <c r="K254" i="21"/>
  <c r="Y271" i="21"/>
  <c r="N242" i="21"/>
  <c r="X302" i="21"/>
  <c r="X297" i="21"/>
  <c r="X334" i="21"/>
  <c r="AA29" i="21"/>
  <c r="Z24" i="21"/>
  <c r="Z108" i="21"/>
  <c r="Y196" i="21"/>
  <c r="Y75" i="21"/>
  <c r="N40" i="21"/>
  <c r="Z343" i="21"/>
  <c r="Z76" i="21"/>
  <c r="X139" i="21"/>
  <c r="AA47" i="21"/>
  <c r="Z101" i="21"/>
  <c r="M262" i="21"/>
  <c r="K335" i="21"/>
  <c r="L263" i="21"/>
  <c r="I259" i="21"/>
  <c r="F96" i="21"/>
  <c r="K243" i="21"/>
  <c r="X296" i="21"/>
  <c r="AA351" i="21"/>
  <c r="G142" i="21"/>
  <c r="Z51" i="21"/>
  <c r="AA221" i="21"/>
  <c r="AA226" i="21"/>
  <c r="I247" i="21"/>
  <c r="G229" i="21"/>
  <c r="K352" i="21"/>
  <c r="K100" i="21"/>
  <c r="F120" i="21"/>
  <c r="K160" i="21"/>
  <c r="Z31" i="21"/>
  <c r="X268" i="21"/>
  <c r="L364" i="21"/>
  <c r="N111" i="21"/>
  <c r="G120" i="21"/>
  <c r="M166" i="21"/>
  <c r="Z347" i="21"/>
  <c r="G171" i="21"/>
  <c r="AA231" i="21"/>
  <c r="M193" i="21"/>
  <c r="K126" i="21"/>
  <c r="G190" i="21"/>
  <c r="F250" i="21"/>
  <c r="AA187" i="21"/>
  <c r="F185" i="21"/>
  <c r="AA74" i="21"/>
  <c r="Z134" i="21"/>
  <c r="K39" i="21"/>
  <c r="X228" i="21"/>
  <c r="M91" i="21"/>
  <c r="Z345" i="21"/>
  <c r="M80" i="21"/>
  <c r="N187" i="21"/>
  <c r="Y97" i="21"/>
  <c r="F343" i="21"/>
  <c r="K134" i="21"/>
  <c r="AA78" i="21"/>
  <c r="Z127" i="21"/>
  <c r="Y222" i="21"/>
  <c r="L262" i="21"/>
  <c r="AA295" i="21"/>
  <c r="Y313" i="21"/>
  <c r="AA79" i="21"/>
  <c r="AA360" i="21"/>
  <c r="Y212" i="21"/>
  <c r="AA35" i="21"/>
  <c r="N59" i="21"/>
  <c r="N48" i="21"/>
  <c r="M346" i="21"/>
  <c r="L82" i="21"/>
  <c r="L284" i="21"/>
  <c r="K274" i="21"/>
  <c r="G350" i="21"/>
  <c r="F12" i="21"/>
  <c r="G365" i="21"/>
  <c r="F188" i="21"/>
  <c r="AA132" i="21"/>
  <c r="Z219" i="21"/>
  <c r="AA167" i="21"/>
  <c r="F268" i="21"/>
  <c r="AA227" i="21"/>
  <c r="M365" i="21"/>
  <c r="F110" i="21"/>
  <c r="X193" i="21"/>
  <c r="AA361" i="21"/>
  <c r="Y342" i="21"/>
  <c r="K346" i="21"/>
  <c r="L241" i="21"/>
  <c r="X201" i="21"/>
  <c r="Y77" i="21"/>
  <c r="L218" i="21"/>
  <c r="N176" i="21"/>
  <c r="M58" i="21"/>
  <c r="N346" i="21"/>
  <c r="F334" i="21"/>
  <c r="Z208" i="21"/>
  <c r="K241" i="21"/>
  <c r="K232" i="21"/>
  <c r="Y213" i="21"/>
  <c r="AA129" i="21"/>
  <c r="AA248" i="21"/>
  <c r="M256" i="21"/>
  <c r="G155" i="21"/>
  <c r="I300" i="21"/>
  <c r="N12" i="21"/>
  <c r="K313" i="21"/>
  <c r="Z318" i="21"/>
  <c r="Z237" i="21"/>
  <c r="K150" i="21"/>
  <c r="Z121" i="21"/>
  <c r="K53" i="21"/>
  <c r="F358" i="21"/>
  <c r="K131" i="21"/>
  <c r="Z58" i="21"/>
  <c r="L101" i="21"/>
  <c r="F127" i="21"/>
  <c r="M305" i="21"/>
  <c r="M227" i="21"/>
  <c r="X286" i="21"/>
  <c r="N174" i="21"/>
  <c r="M317" i="21"/>
  <c r="K70" i="21"/>
  <c r="G327" i="21"/>
  <c r="G110" i="21"/>
  <c r="Y146" i="21"/>
  <c r="K162" i="21"/>
  <c r="AA240" i="21"/>
  <c r="AA173" i="21"/>
  <c r="Z316" i="21"/>
  <c r="Y272" i="21"/>
  <c r="N157" i="21"/>
  <c r="L224" i="21"/>
  <c r="F253" i="21"/>
  <c r="L73" i="21"/>
  <c r="Z86" i="21"/>
  <c r="G349" i="21"/>
  <c r="AA139" i="21"/>
  <c r="X313" i="21"/>
  <c r="N71" i="21"/>
  <c r="Z319" i="21"/>
  <c r="AA55" i="21"/>
  <c r="M172" i="21"/>
  <c r="N194" i="21"/>
  <c r="AA293" i="21"/>
  <c r="M275" i="21"/>
  <c r="M169" i="21"/>
  <c r="M322" i="21"/>
  <c r="G118" i="21"/>
  <c r="N336" i="21"/>
  <c r="K220" i="21"/>
  <c r="N315" i="21"/>
  <c r="M162" i="21"/>
  <c r="G84" i="21"/>
  <c r="K215" i="21"/>
  <c r="K282" i="21"/>
  <c r="M325" i="21"/>
  <c r="L307" i="21"/>
  <c r="M112" i="21"/>
  <c r="G331" i="21"/>
  <c r="F317" i="21"/>
  <c r="M44" i="21"/>
  <c r="Z254" i="21"/>
  <c r="X19" i="21"/>
  <c r="Z323" i="21"/>
  <c r="K38" i="21"/>
  <c r="G264" i="21"/>
  <c r="Z49" i="21"/>
  <c r="AA309" i="21"/>
  <c r="F169" i="21"/>
  <c r="M126" i="21"/>
  <c r="Y141" i="21"/>
  <c r="Y286" i="21"/>
  <c r="N47" i="21"/>
  <c r="Z222" i="21"/>
  <c r="K140" i="21"/>
  <c r="X299" i="21"/>
  <c r="N257" i="21"/>
  <c r="M134" i="21"/>
  <c r="F360" i="21"/>
  <c r="X278" i="21"/>
  <c r="Z81" i="21"/>
  <c r="M185" i="21"/>
  <c r="F76" i="21"/>
  <c r="G291" i="21"/>
  <c r="Y40" i="21"/>
  <c r="Y116" i="21"/>
  <c r="N351" i="21"/>
  <c r="Y239" i="21"/>
  <c r="L319" i="21"/>
  <c r="N163" i="21"/>
  <c r="Z122" i="21"/>
  <c r="Y296" i="21"/>
  <c r="F133" i="21"/>
  <c r="L273" i="21"/>
  <c r="Z321" i="21"/>
  <c r="AA133" i="21"/>
  <c r="K359" i="21"/>
  <c r="G104" i="21"/>
  <c r="AA196" i="21"/>
  <c r="Y312" i="21"/>
  <c r="M186" i="21"/>
  <c r="N168" i="21"/>
  <c r="L310" i="21"/>
  <c r="Z152" i="21"/>
  <c r="K269" i="21"/>
  <c r="X110" i="21"/>
  <c r="L134" i="21"/>
  <c r="N366" i="21"/>
  <c r="AA15" i="21"/>
  <c r="M190" i="21"/>
  <c r="L349" i="21"/>
  <c r="Z292" i="21"/>
  <c r="K62" i="21"/>
  <c r="X350" i="21"/>
  <c r="X273" i="21"/>
  <c r="X328" i="21"/>
  <c r="N126" i="21"/>
  <c r="F195" i="21"/>
  <c r="F291" i="21"/>
  <c r="Z41" i="21"/>
  <c r="X236" i="21"/>
  <c r="X141" i="21"/>
  <c r="F135" i="21"/>
  <c r="F115" i="21"/>
  <c r="G96" i="21"/>
  <c r="Z93" i="21"/>
  <c r="Z297" i="21"/>
  <c r="F71" i="21"/>
  <c r="X277" i="21"/>
  <c r="Y350" i="21"/>
  <c r="AA337" i="21"/>
  <c r="I230" i="21"/>
  <c r="X226" i="21"/>
  <c r="G15" i="21"/>
  <c r="G129" i="21"/>
  <c r="L321" i="21"/>
  <c r="Z75" i="21"/>
  <c r="K194" i="21"/>
  <c r="Z250" i="21"/>
  <c r="K142" i="21"/>
  <c r="K234" i="21"/>
  <c r="K118" i="21"/>
  <c r="G194" i="21"/>
  <c r="AA110" i="21"/>
  <c r="X310" i="21"/>
  <c r="M157" i="21"/>
  <c r="X122" i="21"/>
  <c r="F193" i="21"/>
  <c r="X205" i="21"/>
  <c r="Z70" i="21"/>
  <c r="AA290" i="21"/>
  <c r="N301" i="21"/>
  <c r="M293" i="21"/>
  <c r="Z273" i="21"/>
  <c r="M24" i="21"/>
  <c r="L117" i="21"/>
  <c r="Z139" i="21"/>
  <c r="K318" i="21"/>
  <c r="F354" i="21"/>
  <c r="Z11" i="21"/>
  <c r="N165" i="21"/>
  <c r="Y354" i="21"/>
  <c r="L235" i="21"/>
  <c r="F77" i="21"/>
  <c r="F52" i="21"/>
  <c r="I176" i="21"/>
  <c r="N196" i="21"/>
  <c r="K138" i="21"/>
  <c r="F134" i="21"/>
  <c r="F111" i="21"/>
  <c r="N41" i="21"/>
  <c r="L276" i="21"/>
  <c r="Z160" i="21"/>
  <c r="AA166" i="21"/>
  <c r="Y299" i="21"/>
  <c r="L264" i="21"/>
  <c r="AA218" i="21"/>
  <c r="Y190" i="21"/>
  <c r="F207" i="21"/>
  <c r="X288" i="21"/>
  <c r="AA131" i="21"/>
  <c r="F13" i="21"/>
  <c r="K114" i="21"/>
  <c r="F305" i="21"/>
  <c r="AA326" i="21"/>
  <c r="G64" i="21"/>
  <c r="K188" i="21"/>
  <c r="Z353" i="21"/>
  <c r="AA301" i="21"/>
  <c r="Z287" i="21"/>
  <c r="Z227" i="21"/>
  <c r="AA175" i="21"/>
  <c r="M289" i="21"/>
  <c r="AA271" i="21"/>
  <c r="AA11" i="21"/>
  <c r="AA75" i="21"/>
  <c r="Z344" i="21"/>
  <c r="Y254" i="21"/>
  <c r="M212" i="21"/>
  <c r="M161" i="21"/>
  <c r="G295" i="21"/>
  <c r="Y57" i="21"/>
  <c r="N38" i="21"/>
  <c r="Y346" i="21"/>
  <c r="L197" i="21"/>
  <c r="N100" i="21"/>
  <c r="K357" i="21"/>
  <c r="F59" i="21"/>
  <c r="F368" i="21"/>
  <c r="AA354" i="21"/>
  <c r="Y262" i="21"/>
  <c r="M240" i="21"/>
  <c r="G57" i="21"/>
  <c r="AA53" i="21"/>
  <c r="AA105" i="21"/>
  <c r="F121" i="21"/>
  <c r="X344" i="21"/>
  <c r="AA164" i="21"/>
  <c r="N99" i="21"/>
  <c r="Z229" i="21"/>
  <c r="N21" i="21"/>
  <c r="X219" i="21"/>
  <c r="F254" i="21"/>
  <c r="F175" i="21"/>
  <c r="AA149" i="21"/>
  <c r="Z21" i="21"/>
  <c r="X118" i="21"/>
  <c r="AA27" i="21"/>
  <c r="Z215" i="21"/>
  <c r="N79" i="21"/>
  <c r="N280" i="21"/>
  <c r="I196" i="21"/>
  <c r="N3" i="21"/>
  <c r="K34" i="21"/>
  <c r="N299" i="21"/>
  <c r="G43" i="21"/>
  <c r="Z135" i="21"/>
  <c r="K249" i="21"/>
  <c r="Z231" i="21"/>
  <c r="N107" i="21"/>
  <c r="Z50" i="21"/>
  <c r="G340" i="21"/>
  <c r="AA204" i="21"/>
  <c r="AA197" i="21"/>
  <c r="Z54" i="21"/>
  <c r="F196" i="21"/>
  <c r="AA77" i="21"/>
  <c r="X258" i="21"/>
  <c r="Y11" i="21"/>
  <c r="L56" i="21"/>
  <c r="K292" i="21"/>
  <c r="K91" i="21"/>
  <c r="F244" i="21"/>
  <c r="F290" i="21"/>
  <c r="F272" i="21"/>
  <c r="L100" i="21"/>
  <c r="G297" i="21"/>
  <c r="N44" i="21"/>
  <c r="K270" i="21"/>
  <c r="N189" i="21"/>
  <c r="Y365" i="21"/>
  <c r="N295" i="21"/>
  <c r="N181" i="21"/>
  <c r="AA339" i="21"/>
  <c r="I232" i="21"/>
  <c r="K14" i="21"/>
  <c r="G148" i="21"/>
  <c r="K343" i="21"/>
  <c r="K363" i="21"/>
  <c r="F299" i="21"/>
  <c r="I164" i="21"/>
  <c r="K102" i="21"/>
  <c r="I193" i="21"/>
  <c r="K198" i="21"/>
  <c r="X240" i="21"/>
  <c r="L282" i="21"/>
  <c r="G91" i="21"/>
  <c r="N313" i="21"/>
  <c r="K106" i="21"/>
  <c r="F246" i="21"/>
  <c r="AA323" i="21"/>
  <c r="N246" i="21"/>
  <c r="Z20" i="21"/>
  <c r="G146" i="21"/>
  <c r="AA60" i="21"/>
  <c r="M70" i="21"/>
  <c r="AA201" i="21"/>
  <c r="AA206" i="21"/>
  <c r="K364" i="21"/>
  <c r="Y137" i="21"/>
  <c r="AA335" i="21"/>
  <c r="Z181" i="21"/>
  <c r="Y234" i="21"/>
  <c r="N27" i="21"/>
  <c r="F256" i="21"/>
  <c r="AA194" i="21"/>
  <c r="AA322" i="21"/>
  <c r="AA70" i="21"/>
  <c r="I366" i="21"/>
  <c r="L50" i="21"/>
  <c r="G361" i="21"/>
  <c r="N272" i="21"/>
  <c r="M290" i="21"/>
  <c r="F55" i="21"/>
  <c r="Y39" i="21"/>
  <c r="I222" i="21"/>
  <c r="Y68" i="21"/>
  <c r="Y167" i="21"/>
  <c r="L114" i="21"/>
  <c r="F357" i="21"/>
  <c r="N322" i="21"/>
  <c r="Z367" i="21"/>
  <c r="Z138" i="21"/>
  <c r="I324" i="21"/>
  <c r="X138" i="21"/>
  <c r="X142" i="21"/>
  <c r="N310" i="21"/>
  <c r="N169" i="21"/>
  <c r="F363" i="21"/>
  <c r="Y203" i="21"/>
  <c r="Y348" i="21"/>
  <c r="N243" i="21"/>
  <c r="I288" i="21"/>
  <c r="F27" i="21"/>
  <c r="F274" i="21"/>
  <c r="Z216" i="21"/>
  <c r="G101" i="21"/>
  <c r="M270" i="21"/>
  <c r="F143" i="21"/>
  <c r="L146" i="21"/>
  <c r="AA89" i="21"/>
  <c r="K186" i="21"/>
  <c r="G31" i="21"/>
  <c r="M259" i="21"/>
  <c r="I348" i="21"/>
  <c r="G73" i="21"/>
  <c r="Y340" i="21"/>
  <c r="X266" i="21"/>
  <c r="X179" i="21"/>
  <c r="K351" i="21"/>
  <c r="G30" i="21"/>
  <c r="Z68" i="21"/>
  <c r="F329" i="21"/>
  <c r="X148" i="21"/>
  <c r="Z92" i="21"/>
  <c r="X345" i="21"/>
  <c r="X173" i="21"/>
  <c r="Y309" i="21"/>
  <c r="Y166" i="21"/>
  <c r="N106" i="21"/>
  <c r="I202" i="21"/>
  <c r="M282" i="21"/>
  <c r="N180" i="21"/>
  <c r="G170" i="21"/>
  <c r="G233" i="21"/>
  <c r="F336" i="21"/>
  <c r="L144" i="21"/>
  <c r="AA222" i="21"/>
  <c r="K74" i="21"/>
  <c r="L164" i="21"/>
  <c r="I254" i="21"/>
  <c r="Z324" i="21"/>
  <c r="X197" i="21"/>
  <c r="I156" i="21"/>
  <c r="AA117" i="21"/>
  <c r="Y52" i="21"/>
  <c r="L368" i="21"/>
  <c r="AA188" i="21"/>
  <c r="Z304" i="21"/>
  <c r="N161" i="21"/>
  <c r="F198" i="21"/>
  <c r="F255" i="21"/>
  <c r="F179" i="21"/>
  <c r="M277" i="21"/>
  <c r="AA24" i="21"/>
  <c r="K228" i="21"/>
  <c r="Y73" i="21"/>
  <c r="L248" i="21"/>
  <c r="G153" i="21"/>
  <c r="X279" i="21"/>
  <c r="G32" i="21"/>
  <c r="Y282" i="21"/>
  <c r="G279" i="21"/>
  <c r="I250" i="21"/>
  <c r="G22" i="21"/>
  <c r="X137" i="21"/>
  <c r="AA333" i="21"/>
  <c r="AA38" i="21"/>
  <c r="U38" i="21" s="1"/>
  <c r="AA69" i="21"/>
  <c r="M343" i="21"/>
  <c r="Y291" i="21"/>
  <c r="K147" i="21"/>
  <c r="X300" i="21"/>
  <c r="L66" i="21"/>
  <c r="Z114" i="21"/>
  <c r="N204" i="21"/>
  <c r="F355" i="21"/>
  <c r="Z349" i="21"/>
  <c r="Y208" i="21"/>
  <c r="I258" i="21"/>
  <c r="K113" i="21"/>
  <c r="X185" i="21"/>
  <c r="F147" i="21"/>
  <c r="K280" i="21"/>
  <c r="L183" i="21"/>
  <c r="K276" i="21"/>
  <c r="L54" i="21"/>
  <c r="K219" i="21"/>
  <c r="K185" i="21"/>
  <c r="K42" i="21"/>
  <c r="L229" i="21"/>
  <c r="Z99" i="21"/>
  <c r="AA189" i="21"/>
  <c r="Z306" i="21"/>
  <c r="AA262" i="21"/>
  <c r="N28" i="21"/>
  <c r="G97" i="21"/>
  <c r="AA358" i="21"/>
  <c r="Z315" i="21"/>
  <c r="Z328" i="21"/>
  <c r="K275" i="21"/>
  <c r="G181" i="21"/>
  <c r="Y125" i="21"/>
  <c r="G359" i="21"/>
  <c r="Z44" i="21"/>
  <c r="Y109" i="21"/>
  <c r="K332" i="21"/>
  <c r="AA368" i="21"/>
  <c r="AA207" i="21"/>
  <c r="I238" i="21"/>
  <c r="N148" i="21"/>
  <c r="G85" i="21"/>
  <c r="K225" i="21"/>
  <c r="L171" i="21"/>
  <c r="Z281" i="21"/>
  <c r="AA161" i="21"/>
  <c r="AA32" i="21"/>
  <c r="Z163" i="21"/>
  <c r="G111" i="21"/>
  <c r="K322" i="21"/>
  <c r="Z83" i="21"/>
  <c r="G166" i="21"/>
  <c r="Z57" i="21"/>
  <c r="L357" i="21"/>
  <c r="X354" i="21"/>
  <c r="X314" i="21"/>
  <c r="I150" i="21"/>
  <c r="G326" i="21"/>
  <c r="K182" i="21"/>
  <c r="Z360" i="21"/>
  <c r="N224" i="21"/>
  <c r="I360" i="21"/>
  <c r="AA330" i="21"/>
  <c r="G26" i="21"/>
  <c r="Z327" i="21"/>
  <c r="AA282" i="21"/>
  <c r="F139" i="21"/>
  <c r="F241" i="21"/>
  <c r="X125" i="21"/>
  <c r="X322" i="21"/>
  <c r="X340" i="21"/>
  <c r="AA20" i="21"/>
  <c r="Z73" i="21"/>
  <c r="K295" i="21"/>
  <c r="Z143" i="21"/>
  <c r="F82" i="21"/>
  <c r="AA171" i="21"/>
  <c r="N75" i="21"/>
  <c r="X146" i="21"/>
  <c r="Z105" i="21"/>
  <c r="AA68" i="21"/>
  <c r="L253" i="21"/>
  <c r="K73" i="21"/>
  <c r="N345" i="21"/>
  <c r="N296" i="21"/>
  <c r="M113" i="21"/>
  <c r="N356" i="21"/>
  <c r="AA148" i="21"/>
  <c r="G154" i="21"/>
  <c r="X253" i="21"/>
  <c r="X150" i="21"/>
  <c r="Y95" i="21"/>
  <c r="X269" i="21"/>
  <c r="AA98" i="21"/>
  <c r="Z147" i="21"/>
  <c r="F260" i="21"/>
  <c r="Z151" i="21"/>
  <c r="K54" i="21"/>
  <c r="L189" i="21"/>
  <c r="N32" i="21"/>
  <c r="X335" i="21"/>
  <c r="F324" i="21"/>
  <c r="Y158" i="21"/>
  <c r="Z320" i="21"/>
  <c r="X361" i="21"/>
  <c r="Z314" i="21"/>
  <c r="AA270" i="21"/>
  <c r="N109" i="21"/>
  <c r="M237" i="21"/>
  <c r="L85" i="21"/>
  <c r="G144" i="21"/>
  <c r="K10" i="21"/>
  <c r="I148" i="21"/>
  <c r="G143" i="21"/>
  <c r="F209" i="21"/>
  <c r="Z126" i="21"/>
  <c r="AA232" i="21"/>
  <c r="AA43" i="21"/>
  <c r="X360" i="21"/>
  <c r="L207" i="21"/>
  <c r="I199" i="21"/>
  <c r="I323" i="21"/>
  <c r="Z141" i="21"/>
  <c r="Z104" i="21"/>
  <c r="X353" i="21"/>
  <c r="AA162" i="21"/>
  <c r="N207" i="21"/>
  <c r="Y355" i="21"/>
  <c r="AA200" i="21"/>
  <c r="X147" i="21"/>
  <c r="AA18" i="21"/>
  <c r="F86" i="21"/>
  <c r="N6" i="21"/>
  <c r="F233" i="21"/>
  <c r="I310" i="21"/>
  <c r="K158" i="21"/>
  <c r="M43" i="21"/>
  <c r="Z249" i="21"/>
  <c r="Z341" i="21"/>
  <c r="Z338" i="21"/>
  <c r="M294" i="21"/>
  <c r="AA3" i="21"/>
  <c r="AA191" i="21"/>
  <c r="G122" i="21"/>
  <c r="AA334" i="21"/>
  <c r="AA102" i="21"/>
  <c r="G117" i="21"/>
  <c r="Z72" i="21"/>
  <c r="Z159" i="21"/>
  <c r="AA347" i="21"/>
  <c r="Z14" i="21"/>
  <c r="N137" i="21"/>
  <c r="X312" i="21"/>
  <c r="K207" i="21"/>
  <c r="AA83" i="21"/>
  <c r="L57" i="21"/>
  <c r="X134" i="21"/>
  <c r="X241" i="21"/>
  <c r="AA276" i="21"/>
  <c r="Z225" i="21"/>
  <c r="Z9" i="21"/>
  <c r="Z357" i="21"/>
  <c r="M84" i="21"/>
  <c r="N112" i="21"/>
  <c r="G82" i="21"/>
  <c r="G201" i="21"/>
  <c r="I340" i="21"/>
  <c r="L306" i="21"/>
  <c r="N91" i="21"/>
  <c r="L317" i="21"/>
  <c r="N160" i="21"/>
  <c r="F184" i="21"/>
  <c r="F249" i="21"/>
  <c r="F145" i="21"/>
  <c r="AA40" i="21"/>
  <c r="Z79" i="21"/>
  <c r="X121" i="21"/>
  <c r="AA135" i="21"/>
  <c r="L255" i="21"/>
  <c r="F276" i="21"/>
  <c r="F248" i="21"/>
  <c r="K328" i="21"/>
  <c r="Z103" i="21"/>
  <c r="N291" i="21"/>
  <c r="L369" i="21"/>
  <c r="Z366" i="21"/>
  <c r="X363" i="21"/>
  <c r="N9" i="21"/>
  <c r="G86" i="21"/>
  <c r="G4" i="21"/>
  <c r="X212" i="21"/>
  <c r="X117" i="21"/>
  <c r="Y9" i="21"/>
  <c r="N130" i="21"/>
  <c r="X124" i="21"/>
  <c r="G23" i="21"/>
  <c r="X329" i="21"/>
  <c r="AA181" i="21"/>
  <c r="G20" i="21"/>
  <c r="AA111" i="21"/>
  <c r="AA300" i="21"/>
  <c r="Z158" i="21"/>
  <c r="L42" i="21"/>
  <c r="N15" i="21"/>
  <c r="Y205" i="21"/>
  <c r="AA142" i="21"/>
  <c r="AA277" i="21"/>
  <c r="L137" i="21"/>
  <c r="X158" i="21"/>
  <c r="AA313" i="21"/>
  <c r="X265" i="21"/>
  <c r="Z359" i="21"/>
  <c r="Y179" i="21"/>
  <c r="F199" i="21"/>
  <c r="F240" i="21"/>
  <c r="F191" i="21"/>
  <c r="M210" i="21"/>
  <c r="X135" i="21"/>
  <c r="G128" i="21"/>
  <c r="F3" i="21"/>
  <c r="N203" i="21"/>
  <c r="F176" i="21"/>
  <c r="Z242" i="21"/>
  <c r="Z251" i="21"/>
  <c r="N205" i="21"/>
  <c r="X154" i="21"/>
  <c r="K63" i="21"/>
  <c r="AA116" i="21"/>
  <c r="X176" i="21"/>
  <c r="AA82" i="21"/>
  <c r="L254" i="21"/>
  <c r="I290" i="21"/>
  <c r="L341" i="21"/>
  <c r="X368" i="21"/>
  <c r="Y43" i="21"/>
  <c r="Z43" i="21"/>
  <c r="Z131" i="21"/>
  <c r="L301" i="21"/>
  <c r="Y333" i="21"/>
  <c r="L108" i="21"/>
  <c r="N367" i="21"/>
  <c r="G3" i="21"/>
  <c r="M357" i="21"/>
  <c r="K304" i="21"/>
  <c r="G258" i="21"/>
  <c r="K257" i="21"/>
  <c r="M323" i="21"/>
  <c r="M152" i="21"/>
  <c r="L10" i="21"/>
  <c r="M105" i="21"/>
  <c r="AA312" i="21"/>
  <c r="Y260" i="21"/>
  <c r="Z59" i="21"/>
  <c r="X155" i="21"/>
  <c r="AA303" i="21"/>
  <c r="Z48" i="21"/>
  <c r="AA107" i="21"/>
  <c r="Y221" i="21"/>
  <c r="M63" i="21"/>
  <c r="N191" i="21"/>
  <c r="G140" i="21"/>
  <c r="Y275" i="21"/>
  <c r="Y326" i="21"/>
  <c r="N239" i="21"/>
  <c r="K231" i="21"/>
  <c r="Z291" i="21"/>
  <c r="Y63" i="21"/>
  <c r="K127" i="21"/>
  <c r="G180" i="21"/>
  <c r="AA42" i="21"/>
  <c r="Z80" i="21"/>
  <c r="Z233" i="21"/>
  <c r="Y101" i="21"/>
  <c r="AA153" i="21"/>
  <c r="Y169" i="21"/>
  <c r="AA243" i="21"/>
  <c r="Z280" i="21"/>
  <c r="AA23" i="21"/>
  <c r="X369" i="21"/>
  <c r="Z193" i="21"/>
  <c r="F333" i="21"/>
  <c r="X233" i="21"/>
  <c r="X130" i="21"/>
  <c r="Y226" i="21"/>
  <c r="G63" i="21"/>
  <c r="Z259" i="21"/>
  <c r="Y65" i="21"/>
  <c r="K233" i="21"/>
  <c r="Y35" i="21"/>
  <c r="X280" i="21"/>
  <c r="L313" i="21"/>
  <c r="Y12" i="21"/>
  <c r="N152" i="21"/>
  <c r="L68" i="21"/>
  <c r="Z325" i="21"/>
  <c r="AA235" i="21"/>
  <c r="M202" i="21"/>
  <c r="L131" i="21"/>
  <c r="K112" i="21"/>
  <c r="M110" i="21"/>
  <c r="L37" i="21"/>
  <c r="L214" i="21"/>
  <c r="L325" i="21"/>
  <c r="X180" i="21"/>
  <c r="G217" i="21"/>
  <c r="K167" i="21"/>
  <c r="Y176" i="21"/>
  <c r="X109" i="21"/>
  <c r="M184" i="21"/>
  <c r="X166" i="21"/>
  <c r="L81" i="21"/>
  <c r="Y133" i="21"/>
  <c r="X262" i="21"/>
  <c r="M328" i="21"/>
  <c r="N304" i="21"/>
  <c r="X365" i="21"/>
  <c r="AA176" i="21"/>
  <c r="M89" i="21"/>
  <c r="L190" i="21"/>
  <c r="I215" i="21"/>
  <c r="F218" i="21"/>
  <c r="Y149" i="21"/>
  <c r="G210" i="21"/>
  <c r="F270" i="21"/>
  <c r="K334" i="21"/>
  <c r="F232" i="21"/>
  <c r="AA268" i="21"/>
  <c r="I296" i="21"/>
  <c r="N135" i="21"/>
  <c r="M320" i="21"/>
  <c r="AA367" i="21"/>
  <c r="X315" i="21"/>
  <c r="X248" i="21"/>
  <c r="M164" i="21"/>
  <c r="G256" i="21"/>
  <c r="Y162" i="21"/>
  <c r="N231" i="21"/>
  <c r="N199" i="21"/>
  <c r="K211" i="21"/>
  <c r="N334" i="21"/>
  <c r="F44" i="21"/>
  <c r="F72" i="21"/>
  <c r="F243" i="21"/>
  <c r="M79" i="21"/>
  <c r="AA90" i="21"/>
  <c r="AA332" i="21"/>
  <c r="Y102" i="21"/>
  <c r="K172" i="21"/>
  <c r="N95" i="21"/>
  <c r="F307" i="21"/>
  <c r="K306" i="21"/>
  <c r="N118" i="21"/>
  <c r="Y51" i="21"/>
  <c r="G310" i="21"/>
  <c r="K133" i="21"/>
  <c r="F247" i="21"/>
  <c r="G162" i="21"/>
  <c r="G240" i="21"/>
  <c r="Z110" i="21"/>
  <c r="L39" i="21"/>
  <c r="L172" i="21"/>
  <c r="L220" i="21"/>
  <c r="L312" i="21"/>
  <c r="Z119" i="21"/>
  <c r="Y331" i="21"/>
  <c r="M120" i="21"/>
  <c r="N230" i="21"/>
  <c r="M50" i="21"/>
  <c r="L38" i="21"/>
  <c r="N331" i="21"/>
  <c r="N20" i="21"/>
  <c r="G209" i="21"/>
  <c r="K247" i="21"/>
  <c r="AA344" i="21"/>
  <c r="AA220" i="21"/>
  <c r="X170" i="21"/>
  <c r="L351" i="21"/>
  <c r="Z365" i="21"/>
  <c r="Z155" i="21"/>
  <c r="F141" i="21"/>
  <c r="AA146" i="21"/>
  <c r="AA284" i="21"/>
  <c r="L93" i="21"/>
  <c r="M100" i="21"/>
  <c r="G113" i="21"/>
  <c r="F61" i="21"/>
  <c r="Y250" i="21"/>
  <c r="AA356" i="21"/>
  <c r="K338" i="21"/>
  <c r="M68" i="21"/>
  <c r="M144" i="21"/>
  <c r="F277" i="21"/>
  <c r="K58" i="21"/>
  <c r="I173" i="21"/>
  <c r="Y34" i="21"/>
  <c r="K65" i="21"/>
  <c r="Z346" i="21"/>
  <c r="M19" i="21"/>
  <c r="M271" i="21"/>
  <c r="AA127" i="21"/>
  <c r="AA288" i="21"/>
  <c r="I214" i="21"/>
  <c r="G38" i="21"/>
  <c r="M337" i="21"/>
  <c r="M216" i="21"/>
  <c r="G316" i="21"/>
  <c r="N248" i="21"/>
  <c r="M38" i="21"/>
  <c r="G62" i="21"/>
  <c r="G44" i="21"/>
  <c r="G215" i="21"/>
  <c r="L142" i="21"/>
  <c r="Z137" i="21"/>
  <c r="F87" i="21"/>
  <c r="F234" i="21"/>
  <c r="X341" i="21"/>
  <c r="Y224" i="21"/>
  <c r="Z17" i="21"/>
  <c r="G227" i="21"/>
  <c r="F119" i="21"/>
  <c r="Y113" i="21"/>
  <c r="AA54" i="21"/>
  <c r="N173" i="21"/>
  <c r="F125" i="21"/>
  <c r="G322" i="21"/>
  <c r="Y164" i="21"/>
  <c r="Z179" i="21"/>
  <c r="I167" i="21"/>
  <c r="M13" i="21"/>
  <c r="Y343" i="21"/>
  <c r="Z109" i="21"/>
  <c r="F41" i="21"/>
  <c r="I243" i="21"/>
  <c r="AA156" i="21"/>
  <c r="M348" i="21"/>
  <c r="L281" i="21"/>
  <c r="Z65" i="21"/>
  <c r="I283" i="21"/>
  <c r="G174" i="21"/>
  <c r="Y152" i="21"/>
  <c r="F67" i="21"/>
  <c r="AA203" i="21"/>
  <c r="L348" i="21"/>
  <c r="N53" i="21"/>
  <c r="N222" i="21"/>
  <c r="G2" i="21"/>
  <c r="L350" i="21"/>
  <c r="AA210" i="21"/>
  <c r="X140" i="21"/>
  <c r="N5" i="21"/>
  <c r="L47" i="21"/>
  <c r="F42" i="21"/>
  <c r="I231" i="21"/>
  <c r="G337" i="21"/>
  <c r="Y255" i="21"/>
  <c r="Y154" i="21"/>
  <c r="M232" i="21"/>
  <c r="L181" i="21"/>
  <c r="G241" i="21"/>
  <c r="F165" i="21"/>
  <c r="L14" i="21"/>
  <c r="F91" i="21"/>
  <c r="N103" i="21"/>
  <c r="G296" i="21"/>
  <c r="Y249" i="21"/>
  <c r="F166" i="21"/>
  <c r="F340" i="21"/>
  <c r="N49" i="21"/>
  <c r="I341" i="21"/>
  <c r="K66" i="21"/>
  <c r="F47" i="21"/>
  <c r="Y193" i="21"/>
  <c r="I312" i="21"/>
  <c r="M353" i="21"/>
  <c r="M42" i="21"/>
  <c r="L359" i="21"/>
  <c r="M39" i="21"/>
  <c r="K69" i="21"/>
  <c r="N164" i="21"/>
  <c r="N324" i="21"/>
  <c r="N268" i="21"/>
  <c r="I210" i="21"/>
  <c r="I281" i="21"/>
  <c r="K204" i="21"/>
  <c r="N84" i="21"/>
  <c r="Y23" i="21"/>
  <c r="Y70" i="21"/>
  <c r="M66" i="21"/>
  <c r="L157" i="21"/>
  <c r="Y308" i="21"/>
  <c r="Y200" i="21"/>
  <c r="G259" i="21"/>
  <c r="F35" i="21"/>
  <c r="F295" i="21"/>
  <c r="I363" i="21"/>
  <c r="I272" i="21"/>
  <c r="K170" i="21"/>
  <c r="Z150" i="21"/>
  <c r="K331" i="21"/>
  <c r="M125" i="21"/>
  <c r="I268" i="21"/>
  <c r="G278" i="21"/>
  <c r="X156" i="21"/>
  <c r="Y171" i="21"/>
  <c r="I357" i="21"/>
  <c r="Y91" i="21"/>
  <c r="K166" i="21"/>
  <c r="M224" i="21"/>
  <c r="G324" i="21"/>
  <c r="M189" i="21"/>
  <c r="Y140" i="21"/>
  <c r="I359" i="21"/>
  <c r="F85" i="21"/>
  <c r="Z169" i="21"/>
  <c r="Z118" i="21"/>
  <c r="L111" i="21"/>
  <c r="M121" i="21"/>
  <c r="L192" i="21"/>
  <c r="I248" i="21"/>
  <c r="AA185" i="21"/>
  <c r="Z211" i="21"/>
  <c r="I140" i="21"/>
  <c r="K349" i="21"/>
  <c r="M51" i="21"/>
  <c r="L266" i="21"/>
  <c r="G319" i="21"/>
  <c r="I252" i="21"/>
  <c r="F300" i="21"/>
  <c r="G336" i="21"/>
  <c r="I315" i="21"/>
  <c r="G234" i="21"/>
  <c r="L302" i="21"/>
  <c r="M246" i="21"/>
  <c r="AA170" i="21"/>
  <c r="F216" i="21"/>
  <c r="K33" i="21"/>
  <c r="K203" i="21"/>
  <c r="N228" i="21"/>
  <c r="X252" i="21"/>
  <c r="Y26" i="21"/>
  <c r="M316" i="21"/>
  <c r="AA155" i="21"/>
  <c r="I351" i="21"/>
  <c r="N129" i="21"/>
  <c r="I329" i="21"/>
  <c r="K239" i="21"/>
  <c r="Y202" i="21"/>
  <c r="G338" i="21"/>
  <c r="F366" i="21"/>
  <c r="G343" i="21"/>
  <c r="Y298" i="21"/>
  <c r="G156" i="21"/>
  <c r="K336" i="21"/>
  <c r="K348" i="21"/>
  <c r="X304" i="21"/>
  <c r="AA269" i="21"/>
  <c r="Y194" i="21"/>
  <c r="I278" i="21"/>
  <c r="G253" i="21"/>
  <c r="N146" i="21"/>
  <c r="M221" i="21"/>
  <c r="X349" i="21"/>
  <c r="L44" i="21"/>
  <c r="N303" i="21"/>
  <c r="K321" i="21"/>
  <c r="X164" i="21"/>
  <c r="Y353" i="21"/>
  <c r="M217" i="21"/>
  <c r="M235" i="21"/>
  <c r="M315" i="21"/>
  <c r="Y174" i="21"/>
  <c r="N352" i="21"/>
  <c r="L149" i="21"/>
  <c r="F36" i="21"/>
  <c r="Y145" i="21"/>
  <c r="G303" i="21"/>
  <c r="L265" i="21"/>
  <c r="N343" i="21"/>
  <c r="M65" i="21"/>
  <c r="F144" i="21"/>
  <c r="N300" i="21"/>
  <c r="X309" i="21"/>
  <c r="X271" i="21"/>
  <c r="N238" i="21"/>
  <c r="F273" i="21"/>
  <c r="M181" i="21"/>
  <c r="N220" i="21"/>
  <c r="M352" i="21"/>
  <c r="M233" i="21"/>
  <c r="AA123" i="21"/>
  <c r="Y136" i="21"/>
  <c r="M252" i="21"/>
  <c r="F342" i="21"/>
  <c r="N277" i="21"/>
  <c r="K176" i="21"/>
  <c r="L340" i="21"/>
  <c r="L308" i="21"/>
  <c r="G347" i="21"/>
  <c r="F31" i="21"/>
  <c r="K149" i="21"/>
  <c r="M351" i="21"/>
  <c r="N258" i="21"/>
  <c r="L353" i="21"/>
  <c r="AA100" i="21"/>
  <c r="U100" i="21" s="1"/>
  <c r="K278" i="21"/>
  <c r="N348" i="21"/>
  <c r="N261" i="21"/>
  <c r="N34" i="21"/>
  <c r="N116" i="21"/>
  <c r="I289" i="21"/>
  <c r="K325" i="21"/>
  <c r="L156" i="21"/>
  <c r="I194" i="21"/>
  <c r="G360" i="21"/>
  <c r="M167" i="21"/>
  <c r="M313" i="21"/>
  <c r="X261" i="21"/>
  <c r="I287" i="21"/>
  <c r="Y258" i="21"/>
  <c r="G24" i="21"/>
  <c r="N250" i="21"/>
  <c r="N138" i="21"/>
  <c r="Z25" i="21"/>
  <c r="AA318" i="21"/>
  <c r="Y277" i="21"/>
  <c r="I291" i="21"/>
  <c r="G141" i="21"/>
  <c r="G212" i="21"/>
  <c r="I158" i="21"/>
  <c r="N119" i="21"/>
  <c r="G352" i="21"/>
  <c r="G283" i="21"/>
  <c r="I256" i="21"/>
  <c r="F222" i="21"/>
  <c r="Y105" i="21"/>
  <c r="Z176" i="21"/>
  <c r="Z368" i="21"/>
  <c r="Z45" i="21"/>
  <c r="M278" i="21"/>
  <c r="G321" i="21"/>
  <c r="F229" i="21"/>
  <c r="K40" i="21"/>
  <c r="X326" i="21"/>
  <c r="K236" i="21"/>
  <c r="N357" i="21"/>
  <c r="N219" i="21"/>
  <c r="L115" i="21"/>
  <c r="L60" i="21"/>
  <c r="I275" i="21"/>
  <c r="I277" i="21"/>
  <c r="F154" i="21"/>
  <c r="G249" i="21"/>
  <c r="G50" i="21"/>
  <c r="AA2" i="21"/>
  <c r="M177" i="21"/>
  <c r="M99" i="21"/>
  <c r="K67" i="21"/>
  <c r="M146" i="21"/>
  <c r="Z18" i="21"/>
  <c r="M345" i="21"/>
  <c r="L160" i="21"/>
  <c r="Y153" i="21"/>
  <c r="F321" i="21"/>
  <c r="F201" i="21"/>
  <c r="K130" i="21"/>
  <c r="L53" i="21"/>
  <c r="I317" i="21"/>
  <c r="I286" i="21"/>
  <c r="G14" i="21"/>
  <c r="K271" i="21"/>
  <c r="L135" i="21"/>
  <c r="Z62" i="21"/>
  <c r="Z55" i="21"/>
  <c r="M288" i="21"/>
  <c r="I141" i="21"/>
  <c r="M35" i="21"/>
  <c r="I146" i="21"/>
  <c r="I257" i="21"/>
  <c r="K221" i="21"/>
  <c r="Z187" i="21"/>
  <c r="N82" i="21"/>
  <c r="N349" i="21"/>
  <c r="N184" i="21"/>
  <c r="M360" i="21"/>
  <c r="N286" i="21"/>
  <c r="Y264" i="21"/>
  <c r="I343" i="21"/>
  <c r="L125" i="21"/>
  <c r="F211" i="21"/>
  <c r="K259" i="21"/>
  <c r="Z272" i="21"/>
  <c r="K161" i="21"/>
  <c r="M274" i="21"/>
  <c r="K80" i="21"/>
  <c r="I261" i="21"/>
  <c r="L295" i="21"/>
  <c r="M264" i="21"/>
  <c r="N185" i="21"/>
  <c r="M11" i="21"/>
  <c r="Y85" i="21"/>
  <c r="F69" i="21"/>
  <c r="Z351" i="21"/>
  <c r="M180" i="21"/>
  <c r="G231" i="21"/>
  <c r="F20" i="21"/>
  <c r="M244" i="21"/>
  <c r="AA65" i="21"/>
  <c r="F29" i="21"/>
  <c r="K264" i="21"/>
  <c r="AA66" i="21"/>
  <c r="M249" i="21"/>
  <c r="Z196" i="21"/>
  <c r="N102" i="21"/>
  <c r="N329" i="21"/>
  <c r="Z116" i="21"/>
  <c r="I320" i="21"/>
  <c r="M93" i="21"/>
  <c r="G269" i="21"/>
  <c r="Z350" i="21"/>
  <c r="N355" i="21"/>
  <c r="N65" i="21"/>
  <c r="Z199" i="21"/>
  <c r="Y236" i="21"/>
  <c r="I237" i="21"/>
  <c r="L184" i="21"/>
  <c r="G311" i="21"/>
  <c r="M300" i="21"/>
  <c r="AA144" i="21"/>
  <c r="N188" i="21"/>
  <c r="L334" i="21"/>
  <c r="Y178" i="21"/>
  <c r="L204" i="21"/>
  <c r="X325" i="21"/>
  <c r="L195" i="21"/>
  <c r="K217" i="21"/>
  <c r="L2" i="21"/>
  <c r="F177" i="21"/>
  <c r="L147" i="21"/>
  <c r="G108" i="21"/>
  <c r="Z125" i="21"/>
  <c r="G103" i="21"/>
  <c r="I197" i="21"/>
  <c r="L328" i="21"/>
  <c r="Z296" i="21"/>
  <c r="Y78" i="21"/>
  <c r="F352" i="21"/>
  <c r="G341" i="21"/>
  <c r="L366" i="21"/>
  <c r="G244" i="21"/>
  <c r="Y32" i="21"/>
  <c r="G71" i="21"/>
  <c r="L6" i="21"/>
  <c r="N251" i="21"/>
  <c r="N294" i="21"/>
  <c r="I147" i="21"/>
  <c r="F364" i="21"/>
  <c r="K329" i="21"/>
  <c r="I4" i="21"/>
  <c r="K298" i="21"/>
  <c r="Z348" i="21"/>
  <c r="X227" i="21"/>
  <c r="N133" i="21"/>
  <c r="G92" i="21"/>
  <c r="F30" i="21"/>
  <c r="AA224" i="21"/>
  <c r="F152" i="21"/>
  <c r="I328" i="21"/>
  <c r="K24" i="21"/>
  <c r="L314" i="21"/>
  <c r="M129" i="21"/>
  <c r="I182" i="21"/>
  <c r="K13" i="21"/>
  <c r="G239" i="21"/>
  <c r="L127" i="21"/>
  <c r="N327" i="21"/>
  <c r="M308" i="21"/>
  <c r="I142" i="21"/>
  <c r="X256" i="21"/>
  <c r="I201" i="21"/>
  <c r="Y288" i="21"/>
  <c r="F294" i="21"/>
  <c r="F347" i="21"/>
  <c r="M287" i="21"/>
  <c r="F123" i="21"/>
  <c r="M155" i="21"/>
  <c r="Y44" i="21"/>
  <c r="G287" i="21"/>
  <c r="N281" i="21"/>
  <c r="L203" i="21"/>
  <c r="G9" i="21"/>
  <c r="F97" i="21"/>
  <c r="K251" i="21"/>
  <c r="Y111" i="21"/>
  <c r="Y106" i="21"/>
  <c r="Y244" i="21"/>
  <c r="L231" i="21"/>
  <c r="I159" i="21"/>
  <c r="L129" i="21"/>
  <c r="Y18" i="21"/>
  <c r="Y337" i="21"/>
  <c r="K317" i="21"/>
  <c r="Z312" i="21"/>
  <c r="I224" i="21"/>
  <c r="F217" i="21"/>
  <c r="M156" i="21"/>
  <c r="M296" i="21"/>
  <c r="M301" i="21"/>
  <c r="G225" i="21"/>
  <c r="X218" i="21"/>
  <c r="M191" i="21"/>
  <c r="AA134" i="21"/>
  <c r="Y61" i="21"/>
  <c r="X355" i="21"/>
  <c r="L15" i="21"/>
  <c r="I165" i="21"/>
  <c r="Y204" i="21"/>
  <c r="G66" i="21"/>
  <c r="G211" i="21"/>
  <c r="X178" i="21"/>
  <c r="Y253" i="21"/>
  <c r="L25" i="21"/>
  <c r="F8" i="21"/>
  <c r="L153" i="21"/>
  <c r="F279" i="21"/>
  <c r="Z40" i="21"/>
  <c r="K60" i="21"/>
  <c r="I143" i="21"/>
  <c r="F170" i="21"/>
  <c r="X324" i="21"/>
  <c r="Z354" i="21"/>
  <c r="X319" i="21"/>
  <c r="M329" i="21"/>
  <c r="N358" i="21"/>
  <c r="Z82" i="21"/>
  <c r="X196" i="21"/>
  <c r="M350" i="21"/>
  <c r="AA113" i="21"/>
  <c r="N323" i="21"/>
  <c r="L40" i="21"/>
  <c r="Y30" i="21"/>
  <c r="L210" i="21"/>
  <c r="Z262" i="21"/>
  <c r="AA52" i="21"/>
  <c r="M168" i="21"/>
  <c r="N121" i="21"/>
  <c r="X263" i="21"/>
  <c r="I299" i="21"/>
  <c r="N368" i="21"/>
  <c r="Y118" i="21"/>
  <c r="Y240" i="21"/>
  <c r="Y82" i="21"/>
  <c r="I240" i="21"/>
  <c r="K293" i="21"/>
  <c r="M103" i="21"/>
  <c r="L166" i="21"/>
  <c r="G294" i="21"/>
  <c r="G98" i="21"/>
  <c r="Y27" i="21"/>
  <c r="G123" i="21"/>
  <c r="G207" i="21"/>
  <c r="Z91" i="21"/>
  <c r="M226" i="21"/>
  <c r="X293" i="21"/>
  <c r="N314" i="21"/>
  <c r="N275" i="21"/>
  <c r="F365" i="21"/>
  <c r="L221" i="21"/>
  <c r="K181" i="21"/>
  <c r="F18" i="21"/>
  <c r="I339" i="21"/>
  <c r="Y199" i="21"/>
  <c r="F224" i="21"/>
  <c r="I157" i="21"/>
  <c r="Y290" i="21"/>
  <c r="L240" i="21"/>
  <c r="L140" i="21"/>
  <c r="X149" i="21"/>
  <c r="M236" i="21"/>
  <c r="Z294" i="21"/>
  <c r="G74" i="21"/>
  <c r="Y289" i="21"/>
  <c r="N263" i="21"/>
  <c r="AA63" i="21"/>
  <c r="M5" i="21"/>
  <c r="M297" i="21"/>
  <c r="M361" i="21"/>
  <c r="K4" i="21"/>
  <c r="M273" i="21"/>
  <c r="AA22" i="21"/>
  <c r="X254" i="21"/>
  <c r="AA172" i="21"/>
  <c r="K125" i="21"/>
  <c r="M111" i="21"/>
  <c r="M199" i="21"/>
  <c r="Y293" i="21"/>
  <c r="K124" i="21"/>
  <c r="AA179" i="21"/>
  <c r="N132" i="21"/>
  <c r="N339" i="21"/>
  <c r="M109" i="21"/>
  <c r="L226" i="21"/>
  <c r="N202" i="21"/>
  <c r="L98" i="21"/>
  <c r="Y320" i="21"/>
  <c r="L322" i="21"/>
  <c r="Z197" i="21"/>
  <c r="Y58" i="21"/>
  <c r="Y59" i="21"/>
  <c r="Z340" i="21"/>
  <c r="X174" i="21"/>
  <c r="M299" i="21"/>
  <c r="N128" i="21"/>
  <c r="N158" i="21"/>
  <c r="L355" i="21"/>
  <c r="N369" i="21"/>
  <c r="K200" i="21"/>
  <c r="K191" i="21"/>
  <c r="K5" i="21"/>
  <c r="K256" i="21"/>
  <c r="AA366" i="21"/>
  <c r="I276" i="21"/>
  <c r="G261" i="21"/>
  <c r="G93" i="21"/>
  <c r="I307" i="21"/>
  <c r="Y352" i="21"/>
  <c r="X183" i="21"/>
  <c r="Y143" i="21"/>
  <c r="F302" i="21"/>
  <c r="M26" i="21"/>
  <c r="K273" i="21"/>
  <c r="K3" i="21"/>
  <c r="M321" i="21"/>
  <c r="M115" i="21"/>
  <c r="AA34" i="21"/>
  <c r="Z204" i="21"/>
  <c r="L61" i="21"/>
  <c r="L78" i="21"/>
  <c r="L113" i="21"/>
  <c r="M242" i="21"/>
  <c r="N206" i="21"/>
  <c r="M311" i="21"/>
  <c r="K136" i="21"/>
  <c r="L132" i="21"/>
  <c r="Z52" i="21"/>
  <c r="Y110" i="21"/>
  <c r="X162" i="21"/>
  <c r="L87" i="21"/>
  <c r="X217" i="21"/>
  <c r="F231" i="21"/>
  <c r="N45" i="21"/>
  <c r="M173" i="21"/>
  <c r="Y90" i="21"/>
  <c r="K169" i="21"/>
  <c r="M30" i="21"/>
  <c r="N245" i="21"/>
  <c r="Y134" i="21"/>
  <c r="AA91" i="21"/>
  <c r="X184" i="21"/>
  <c r="K206" i="21"/>
  <c r="F74" i="21"/>
  <c r="G158" i="21"/>
  <c r="F83" i="21"/>
  <c r="I149" i="21"/>
  <c r="I322" i="21"/>
  <c r="I355" i="21"/>
  <c r="K341" i="21"/>
  <c r="L211" i="21"/>
  <c r="K101" i="21"/>
  <c r="K223" i="21"/>
  <c r="Z295" i="21"/>
  <c r="Y48" i="21"/>
  <c r="Y108" i="21"/>
  <c r="K347" i="21"/>
  <c r="Y245" i="21"/>
  <c r="L206" i="21"/>
  <c r="M279" i="21"/>
  <c r="X337" i="21"/>
  <c r="L299" i="21"/>
  <c r="N279" i="21"/>
  <c r="N359" i="21"/>
  <c r="AA352" i="21"/>
  <c r="Y198" i="21"/>
  <c r="M245" i="21"/>
  <c r="N284" i="21"/>
  <c r="L138" i="21"/>
  <c r="M307" i="21"/>
  <c r="M97" i="21"/>
  <c r="F303" i="21"/>
  <c r="Y214" i="21"/>
  <c r="L324" i="21"/>
  <c r="I175" i="21"/>
  <c r="L75" i="21"/>
  <c r="L97" i="21"/>
  <c r="M143" i="21"/>
  <c r="N29" i="21"/>
  <c r="N306" i="21"/>
  <c r="I211" i="21"/>
  <c r="K368" i="21"/>
  <c r="AA310" i="21"/>
  <c r="L58" i="21"/>
  <c r="N142" i="21"/>
  <c r="F22" i="21"/>
  <c r="N140" i="21"/>
  <c r="AA306" i="21"/>
  <c r="F261" i="21"/>
  <c r="K350" i="21"/>
  <c r="I271" i="21"/>
  <c r="K316" i="21"/>
  <c r="N209" i="21"/>
  <c r="N124" i="21"/>
  <c r="L19" i="21"/>
  <c r="N151" i="21"/>
  <c r="G262" i="21"/>
  <c r="F223" i="21"/>
  <c r="M331" i="21"/>
  <c r="AA37" i="21"/>
  <c r="X235" i="21"/>
  <c r="AA137" i="21"/>
  <c r="L331" i="21"/>
  <c r="K97" i="21"/>
  <c r="G274" i="21"/>
  <c r="L16" i="21"/>
  <c r="L336" i="21"/>
  <c r="K154" i="21"/>
  <c r="I203" i="21"/>
  <c r="X209" i="21"/>
  <c r="F99" i="21"/>
  <c r="K92" i="21"/>
  <c r="AA217" i="21"/>
  <c r="K12" i="21"/>
  <c r="K50" i="21"/>
  <c r="F62" i="21"/>
  <c r="G369" i="21"/>
  <c r="M228" i="21"/>
  <c r="L287" i="21"/>
  <c r="I282" i="21"/>
  <c r="K43" i="21"/>
  <c r="N86" i="21"/>
  <c r="K301" i="21"/>
  <c r="K27" i="21"/>
  <c r="M250" i="21"/>
  <c r="AA154" i="21"/>
  <c r="Z331" i="21"/>
  <c r="AA331" i="21"/>
  <c r="M347" i="21"/>
  <c r="K76" i="21"/>
  <c r="I361" i="21"/>
  <c r="G165" i="21"/>
  <c r="K151" i="21"/>
  <c r="Y223" i="21"/>
  <c r="N252" i="21"/>
  <c r="M239" i="21"/>
  <c r="F164" i="21"/>
  <c r="AA234" i="21"/>
  <c r="Y38" i="21"/>
  <c r="AA213" i="21"/>
  <c r="F168" i="21"/>
  <c r="AA289" i="21"/>
  <c r="F32" i="21"/>
  <c r="F160" i="21"/>
  <c r="G298" i="21"/>
  <c r="I161" i="21"/>
  <c r="M108" i="21"/>
  <c r="F150" i="21"/>
  <c r="Y131" i="21"/>
  <c r="X207" i="21"/>
  <c r="K340" i="21"/>
  <c r="F81" i="21"/>
  <c r="Y177" i="21"/>
  <c r="L260" i="21"/>
  <c r="Y341" i="21"/>
  <c r="F298" i="21"/>
  <c r="Y329" i="21"/>
  <c r="F282" i="21"/>
  <c r="N171" i="21"/>
  <c r="G329" i="21"/>
  <c r="X347" i="21"/>
  <c r="X367" i="21"/>
  <c r="Y160" i="21"/>
  <c r="Y307" i="21"/>
  <c r="G214" i="21"/>
  <c r="G176" i="21"/>
  <c r="F159" i="21"/>
  <c r="AA216" i="21"/>
  <c r="N55" i="21"/>
  <c r="L247" i="21"/>
  <c r="K209" i="21"/>
  <c r="AA186" i="21"/>
  <c r="F331" i="21"/>
  <c r="N94" i="21"/>
  <c r="Y156" i="21"/>
  <c r="F215" i="21"/>
  <c r="AA308" i="21"/>
  <c r="M37" i="21"/>
  <c r="M203" i="21"/>
  <c r="L122" i="21"/>
  <c r="Z256" i="21"/>
  <c r="M4" i="21"/>
  <c r="M74" i="21"/>
  <c r="L3" i="21"/>
  <c r="L236" i="21"/>
  <c r="Z248" i="21"/>
  <c r="AA152" i="21"/>
  <c r="L41" i="21"/>
  <c r="N361" i="21"/>
  <c r="M280" i="21"/>
  <c r="F238" i="21"/>
  <c r="K120" i="21"/>
  <c r="G275" i="21"/>
  <c r="F275" i="21"/>
  <c r="Y157" i="21"/>
  <c r="F346" i="21"/>
  <c r="F310" i="21"/>
  <c r="N320" i="21"/>
  <c r="Y361" i="21"/>
  <c r="Y300" i="21"/>
  <c r="M215" i="21"/>
  <c r="G313" i="21"/>
  <c r="L274" i="21"/>
  <c r="K99" i="21"/>
  <c r="M368" i="21"/>
  <c r="M268" i="21"/>
  <c r="K285" i="21"/>
  <c r="L21" i="21"/>
  <c r="X224" i="21"/>
  <c r="AA80" i="21"/>
  <c r="X115" i="21"/>
  <c r="Y151" i="21"/>
  <c r="M369" i="21"/>
  <c r="N197" i="21"/>
  <c r="N236" i="21"/>
  <c r="I369" i="21"/>
  <c r="X251" i="21"/>
  <c r="M261" i="21"/>
  <c r="N13" i="21"/>
  <c r="M46" i="21"/>
  <c r="F167" i="21"/>
  <c r="F221" i="21"/>
  <c r="Z274" i="21"/>
  <c r="K288" i="21"/>
  <c r="K337" i="21"/>
  <c r="X283" i="21"/>
  <c r="K277" i="21"/>
  <c r="K196" i="21"/>
  <c r="F173" i="21"/>
  <c r="G301" i="21"/>
  <c r="F142" i="21"/>
  <c r="M295" i="21"/>
  <c r="Z133" i="21"/>
  <c r="L165" i="21"/>
  <c r="X305" i="21"/>
  <c r="N131" i="21"/>
  <c r="AA103" i="21"/>
  <c r="K115" i="21"/>
  <c r="AA16" i="21"/>
  <c r="I168" i="21"/>
  <c r="F227" i="21"/>
  <c r="G366" i="21"/>
  <c r="K266" i="21"/>
  <c r="L256" i="21"/>
  <c r="Z228" i="21"/>
  <c r="L34" i="21"/>
  <c r="G72" i="21"/>
  <c r="G263" i="21"/>
  <c r="L119" i="21"/>
  <c r="G65" i="21"/>
  <c r="M286" i="21"/>
  <c r="N58" i="21"/>
  <c r="F311" i="21"/>
  <c r="Y263" i="21"/>
  <c r="K156" i="21"/>
  <c r="AA274" i="21"/>
  <c r="AA314" i="21"/>
  <c r="L173" i="21"/>
  <c r="I266" i="21"/>
  <c r="X242" i="21"/>
  <c r="L103" i="21"/>
  <c r="X163" i="21"/>
  <c r="Y187" i="21"/>
  <c r="X237" i="21"/>
  <c r="K78" i="21"/>
  <c r="L250" i="21"/>
  <c r="L65" i="21"/>
  <c r="Y182" i="21"/>
  <c r="M141" i="21"/>
  <c r="L27" i="21"/>
  <c r="K21" i="21"/>
  <c r="N114" i="21"/>
  <c r="G56" i="21"/>
  <c r="L4" i="21"/>
  <c r="N285" i="21"/>
  <c r="X211" i="21"/>
  <c r="M25" i="21"/>
  <c r="M366" i="21"/>
  <c r="AA64" i="21"/>
  <c r="G78" i="21"/>
  <c r="I306" i="21"/>
  <c r="G288" i="21"/>
  <c r="F114" i="21"/>
  <c r="I145" i="21"/>
  <c r="L219" i="21"/>
  <c r="AA256" i="21"/>
  <c r="G25" i="21"/>
  <c r="I236" i="21"/>
  <c r="I302" i="21"/>
  <c r="Z46" i="21"/>
  <c r="L272" i="21"/>
  <c r="AA365" i="21"/>
  <c r="L33" i="21"/>
  <c r="Y161" i="21"/>
  <c r="N364" i="21"/>
  <c r="F284" i="21"/>
  <c r="G280" i="21"/>
  <c r="M153" i="21"/>
  <c r="N90" i="21"/>
  <c r="M183" i="21"/>
  <c r="K108" i="21"/>
  <c r="L107" i="21"/>
  <c r="Y295" i="21"/>
  <c r="N317" i="21"/>
  <c r="I301" i="21"/>
  <c r="G186" i="21"/>
  <c r="L316" i="21"/>
  <c r="G94" i="21"/>
  <c r="G213" i="21"/>
  <c r="G302" i="21"/>
  <c r="L88" i="21"/>
  <c r="G192" i="21"/>
  <c r="X244" i="21"/>
  <c r="X152" i="21"/>
  <c r="N77" i="21"/>
  <c r="Z146" i="21"/>
  <c r="Y216" i="21"/>
  <c r="N80" i="21"/>
  <c r="X119" i="21"/>
  <c r="M75" i="21"/>
  <c r="K323" i="21"/>
  <c r="I207" i="21"/>
  <c r="N363" i="21"/>
  <c r="F157" i="21"/>
  <c r="M272" i="21"/>
  <c r="L365" i="21"/>
  <c r="L275" i="21"/>
  <c r="G242" i="21"/>
  <c r="N325" i="21"/>
  <c r="Z264" i="21"/>
  <c r="G260" i="21"/>
  <c r="K17" i="21"/>
  <c r="G177" i="21"/>
  <c r="K32" i="21"/>
  <c r="L187" i="21"/>
  <c r="I187" i="21"/>
  <c r="G257" i="21"/>
  <c r="F118" i="21"/>
  <c r="L49" i="21"/>
  <c r="I244" i="21"/>
  <c r="AA39" i="21"/>
  <c r="L12" i="21"/>
  <c r="M102" i="21"/>
  <c r="X198" i="21"/>
  <c r="Z236" i="21"/>
  <c r="Z10" i="21"/>
  <c r="G11" i="21"/>
  <c r="Y84" i="21"/>
  <c r="L296" i="21"/>
  <c r="N64" i="21"/>
  <c r="Y209" i="21"/>
  <c r="M356" i="21"/>
  <c r="AA348" i="21"/>
  <c r="K190" i="21"/>
  <c r="Z342" i="21"/>
  <c r="M57" i="21"/>
  <c r="L112" i="21"/>
  <c r="M230" i="21"/>
  <c r="M40" i="21"/>
  <c r="L83" i="21"/>
  <c r="L30" i="21"/>
  <c r="M340" i="21"/>
  <c r="L279" i="21"/>
  <c r="AA311" i="21"/>
  <c r="F182" i="21"/>
  <c r="L271" i="21"/>
  <c r="I239" i="21"/>
  <c r="Z200" i="21"/>
  <c r="F337" i="21"/>
  <c r="K153" i="21"/>
  <c r="I139" i="21"/>
  <c r="M53" i="21"/>
  <c r="M92" i="21"/>
  <c r="G333" i="21"/>
  <c r="N134" i="21"/>
  <c r="K283" i="21"/>
  <c r="K208" i="21"/>
  <c r="I174" i="21"/>
  <c r="M254" i="21"/>
  <c r="K35" i="21"/>
  <c r="F156" i="21"/>
  <c r="I367" i="21"/>
  <c r="Z212" i="21"/>
  <c r="K104" i="21"/>
  <c r="G189" i="21"/>
  <c r="AA45" i="21"/>
  <c r="U45" i="21" s="1"/>
  <c r="G218" i="21"/>
  <c r="G222" i="21"/>
  <c r="I274" i="21"/>
  <c r="I313" i="21"/>
  <c r="I245" i="21"/>
  <c r="K128" i="21"/>
  <c r="L67" i="21"/>
  <c r="Y60" i="21"/>
  <c r="Y123" i="21"/>
  <c r="L170" i="21"/>
  <c r="K64" i="21"/>
  <c r="F228" i="21"/>
  <c r="AA329" i="21"/>
  <c r="X221" i="21"/>
  <c r="Y94" i="21"/>
  <c r="K96" i="21"/>
  <c r="F58" i="21"/>
  <c r="L198" i="21"/>
  <c r="L249" i="21"/>
  <c r="L168" i="21"/>
  <c r="K355" i="21"/>
  <c r="G40" i="21"/>
  <c r="F327" i="21"/>
  <c r="F367" i="21"/>
  <c r="F155" i="21"/>
  <c r="N39" i="21"/>
  <c r="K77" i="21"/>
  <c r="K144" i="21"/>
  <c r="AA190" i="21"/>
  <c r="X285" i="21"/>
  <c r="K116" i="21"/>
  <c r="F88" i="21"/>
  <c r="X246" i="21"/>
  <c r="F104" i="21"/>
  <c r="F95" i="21"/>
  <c r="G51" i="21"/>
  <c r="N136" i="21"/>
  <c r="AA280" i="21"/>
  <c r="L126" i="21"/>
  <c r="G81" i="21"/>
  <c r="K52" i="21"/>
  <c r="Z261" i="21"/>
  <c r="Y36" i="21"/>
  <c r="Y287" i="21"/>
  <c r="N319" i="21"/>
  <c r="M28" i="21"/>
  <c r="M338" i="21"/>
  <c r="G77" i="21"/>
  <c r="G268" i="21"/>
  <c r="Z217" i="21"/>
  <c r="Z214" i="21"/>
  <c r="M135" i="21"/>
  <c r="I333" i="21"/>
  <c r="I213" i="21"/>
  <c r="I358" i="21"/>
  <c r="Y56" i="21"/>
  <c r="N147" i="21"/>
  <c r="AA14" i="21"/>
  <c r="Y138" i="21"/>
  <c r="L89" i="21"/>
  <c r="I253" i="21"/>
  <c r="G238" i="21"/>
  <c r="Y2" i="21"/>
  <c r="L200" i="21"/>
  <c r="K265" i="21"/>
  <c r="L45" i="21"/>
  <c r="F38" i="21"/>
  <c r="Y301" i="21"/>
  <c r="AA275" i="21"/>
  <c r="F226" i="21"/>
  <c r="G145" i="21"/>
  <c r="G45" i="21"/>
  <c r="M283" i="21"/>
  <c r="F116" i="21"/>
  <c r="N122" i="21"/>
  <c r="F90" i="21"/>
  <c r="G357" i="21"/>
  <c r="F63" i="21"/>
  <c r="Z29" i="21"/>
  <c r="M342" i="21"/>
  <c r="M94" i="21"/>
  <c r="G252" i="21"/>
  <c r="N193" i="21"/>
  <c r="K367" i="21"/>
  <c r="M85" i="21"/>
  <c r="Z140" i="21"/>
  <c r="L320" i="21"/>
  <c r="N192" i="21"/>
  <c r="N347" i="21"/>
  <c r="M358" i="21"/>
  <c r="K326" i="21"/>
  <c r="AA93" i="21"/>
  <c r="AA12" i="21"/>
  <c r="N4" i="21"/>
  <c r="M133" i="21"/>
  <c r="Y92" i="21"/>
  <c r="K20" i="21"/>
  <c r="K83" i="21"/>
  <c r="N225" i="21"/>
  <c r="AA50" i="21"/>
  <c r="F178" i="21"/>
  <c r="F280" i="21"/>
  <c r="F286" i="21"/>
  <c r="Z142" i="21"/>
  <c r="AA96" i="21"/>
  <c r="K37" i="21"/>
  <c r="X298" i="21"/>
  <c r="F53" i="21"/>
  <c r="G251" i="21"/>
  <c r="I260" i="21"/>
  <c r="G277" i="21"/>
  <c r="I216" i="21"/>
  <c r="K312" i="21"/>
  <c r="F315" i="21"/>
  <c r="Z185" i="21"/>
  <c r="K29" i="21"/>
  <c r="AA264" i="21"/>
  <c r="AA257" i="21"/>
  <c r="X321" i="21"/>
  <c r="L354" i="21"/>
  <c r="Y100" i="21"/>
  <c r="AA33" i="21"/>
  <c r="N92" i="21"/>
  <c r="N226" i="21"/>
  <c r="X343" i="21"/>
  <c r="M269" i="21"/>
  <c r="L155" i="21"/>
  <c r="K262" i="21"/>
  <c r="Y46" i="21"/>
  <c r="K45" i="21"/>
  <c r="AA101" i="21"/>
  <c r="X306" i="21"/>
  <c r="F287" i="21"/>
  <c r="K210" i="21"/>
  <c r="N67" i="21"/>
  <c r="Y316" i="21"/>
  <c r="Z19" i="21"/>
  <c r="M179" i="21"/>
  <c r="AA150" i="21"/>
  <c r="I227" i="21"/>
  <c r="M7" i="21"/>
  <c r="K56" i="21"/>
  <c r="Z168" i="21"/>
  <c r="N256" i="21"/>
  <c r="M17" i="21"/>
  <c r="M238" i="21"/>
  <c r="N234" i="21"/>
  <c r="K68" i="21"/>
  <c r="N235" i="21"/>
  <c r="Y225" i="21"/>
  <c r="K159" i="21"/>
  <c r="Y356" i="21"/>
  <c r="M222" i="21"/>
  <c r="M142" i="21"/>
  <c r="N362" i="21"/>
  <c r="F335" i="21"/>
  <c r="I242" i="21"/>
  <c r="F312" i="21"/>
  <c r="N292" i="21"/>
  <c r="L169" i="21"/>
  <c r="Z322" i="21"/>
  <c r="I332" i="21"/>
  <c r="F98" i="21"/>
  <c r="Z276" i="21"/>
  <c r="AA115" i="21"/>
  <c r="K342" i="21"/>
  <c r="AA362" i="21"/>
  <c r="K141" i="21"/>
  <c r="AA178" i="21"/>
  <c r="M55" i="21"/>
  <c r="Y349" i="21"/>
  <c r="Y357" i="21"/>
  <c r="M47" i="21"/>
  <c r="Z263" i="21"/>
  <c r="N73" i="21"/>
  <c r="F45" i="21"/>
  <c r="Y96" i="21"/>
  <c r="F187" i="21"/>
  <c r="F289" i="21"/>
  <c r="G53" i="21"/>
  <c r="AA10" i="21"/>
  <c r="L304" i="21"/>
  <c r="F212" i="21"/>
  <c r="N288" i="21"/>
  <c r="AA214" i="21"/>
  <c r="AA245" i="21"/>
  <c r="F109" i="21"/>
  <c r="G307" i="21"/>
  <c r="K129" i="21"/>
  <c r="N11" i="21"/>
  <c r="L194" i="21"/>
  <c r="I273" i="21"/>
  <c r="I190" i="21"/>
  <c r="L227" i="21"/>
  <c r="F40" i="21"/>
  <c r="AA363" i="21"/>
  <c r="G351" i="21"/>
  <c r="Y103" i="21"/>
  <c r="M136" i="21"/>
  <c r="F237" i="21"/>
  <c r="N308" i="21"/>
  <c r="Z84" i="21"/>
  <c r="G39" i="21"/>
  <c r="Z23" i="21"/>
  <c r="X153" i="21"/>
  <c r="K245" i="21"/>
  <c r="G52" i="21"/>
  <c r="G58" i="21"/>
  <c r="G205" i="21"/>
  <c r="Y20" i="21"/>
  <c r="Z258" i="21"/>
  <c r="N297" i="21"/>
  <c r="L309" i="21"/>
  <c r="L116" i="21"/>
  <c r="N237" i="21"/>
  <c r="G75" i="21"/>
  <c r="L29" i="21"/>
  <c r="X357" i="21"/>
  <c r="F149" i="21"/>
  <c r="G292" i="21"/>
  <c r="F151" i="21"/>
  <c r="Y175" i="21"/>
  <c r="Z167" i="21"/>
  <c r="M34" i="21"/>
  <c r="K193" i="21"/>
  <c r="M195" i="21"/>
  <c r="G151" i="21"/>
  <c r="Z115" i="21"/>
  <c r="AA122" i="21"/>
  <c r="L212" i="21"/>
  <c r="AA88" i="21"/>
  <c r="AA140" i="21"/>
  <c r="K145" i="21"/>
  <c r="N69" i="21"/>
  <c r="F93" i="21"/>
  <c r="G273" i="21"/>
  <c r="L51" i="21"/>
  <c r="I204" i="21"/>
  <c r="Y144" i="21"/>
  <c r="L91" i="21"/>
  <c r="M76" i="21"/>
  <c r="L242" i="21"/>
  <c r="L17" i="21"/>
  <c r="K18" i="21"/>
  <c r="G318" i="21"/>
  <c r="Y363" i="21"/>
  <c r="M158" i="21"/>
  <c r="I184" i="21"/>
  <c r="AA302" i="21"/>
  <c r="N170" i="21"/>
  <c r="Y21" i="21"/>
  <c r="M27" i="21"/>
  <c r="L150" i="21"/>
  <c r="AA266" i="21"/>
  <c r="N54" i="21"/>
  <c r="M165" i="21"/>
  <c r="Y45" i="21"/>
  <c r="N269" i="21"/>
  <c r="Z240" i="21"/>
  <c r="K117" i="21"/>
  <c r="N326" i="21"/>
  <c r="G69" i="21"/>
  <c r="Y327" i="21"/>
  <c r="K8" i="21"/>
  <c r="L176" i="21"/>
  <c r="M204" i="21"/>
  <c r="K41" i="21"/>
  <c r="K81" i="21"/>
  <c r="AA36" i="21"/>
  <c r="Y248" i="21"/>
  <c r="G272" i="21"/>
  <c r="K88" i="21"/>
  <c r="G179" i="21"/>
  <c r="G41" i="21"/>
  <c r="G115" i="21"/>
  <c r="L167" i="21"/>
  <c r="L24" i="21"/>
  <c r="L323" i="21"/>
  <c r="M104" i="21"/>
  <c r="F161" i="21"/>
  <c r="G112" i="21"/>
  <c r="F330" i="21"/>
  <c r="M207" i="21"/>
  <c r="I356" i="21"/>
  <c r="K226" i="21"/>
  <c r="K155" i="21"/>
  <c r="M31" i="21"/>
  <c r="M14" i="21"/>
  <c r="L43" i="21"/>
  <c r="N162" i="21"/>
  <c r="AA195" i="21"/>
  <c r="I350" i="21"/>
  <c r="K279" i="21"/>
  <c r="G105" i="21"/>
  <c r="K179" i="21"/>
  <c r="K205" i="21"/>
  <c r="K30" i="21"/>
  <c r="N283" i="21"/>
  <c r="M292" i="21"/>
  <c r="M324" i="21"/>
  <c r="N287" i="21"/>
  <c r="AA241" i="21"/>
  <c r="Z335" i="21"/>
  <c r="L145" i="21"/>
  <c r="M243" i="21"/>
  <c r="K175" i="21"/>
  <c r="F117" i="21"/>
  <c r="F338" i="21"/>
  <c r="K261" i="21"/>
  <c r="Y87" i="21"/>
  <c r="I285" i="21"/>
  <c r="G282" i="21"/>
  <c r="Z190" i="21"/>
  <c r="K51" i="21"/>
  <c r="Z205" i="21"/>
  <c r="G308" i="21"/>
  <c r="N318" i="21"/>
  <c r="G219" i="21"/>
  <c r="G362" i="21"/>
  <c r="F49" i="21"/>
  <c r="K319" i="21"/>
  <c r="Z113" i="21"/>
  <c r="I234" i="21"/>
  <c r="G188" i="21"/>
  <c r="I353" i="21"/>
  <c r="N81" i="21"/>
  <c r="Z282" i="21"/>
  <c r="K307" i="21"/>
  <c r="Y93" i="21"/>
  <c r="X187" i="21"/>
  <c r="K354" i="21"/>
  <c r="M174" i="21"/>
  <c r="X362" i="21"/>
  <c r="L174" i="21"/>
  <c r="K353" i="21"/>
  <c r="AA252" i="21"/>
  <c r="L136" i="21"/>
  <c r="F297" i="21"/>
  <c r="N208" i="21"/>
  <c r="M12" i="21"/>
  <c r="K137" i="21"/>
  <c r="K84" i="21"/>
  <c r="N274" i="21"/>
  <c r="AA212" i="21"/>
  <c r="N61" i="21"/>
  <c r="L234" i="21"/>
  <c r="K244" i="21"/>
  <c r="Y142" i="21"/>
  <c r="N179" i="21"/>
  <c r="AA267" i="21"/>
  <c r="G119" i="21"/>
  <c r="F285" i="21"/>
  <c r="Y54" i="21"/>
  <c r="G204" i="21"/>
  <c r="F16" i="21"/>
  <c r="F174" i="21"/>
  <c r="Y17" i="21"/>
  <c r="K287" i="21"/>
  <c r="G136" i="21"/>
  <c r="G54" i="21"/>
  <c r="Y170" i="21"/>
  <c r="L257" i="21"/>
  <c r="I368" i="21"/>
  <c r="Y207" i="21"/>
  <c r="G79" i="21"/>
  <c r="N221" i="21"/>
  <c r="AA247" i="21"/>
  <c r="AA359" i="21"/>
  <c r="F158" i="21"/>
  <c r="M257" i="21"/>
  <c r="Z244" i="21"/>
  <c r="N307" i="21"/>
  <c r="M213" i="21"/>
  <c r="Y99" i="21"/>
  <c r="N282" i="21"/>
  <c r="M318" i="21"/>
  <c r="M122" i="21"/>
  <c r="F48" i="21"/>
  <c r="Y66" i="21"/>
  <c r="L362" i="21"/>
  <c r="Z12" i="21"/>
  <c r="AA67" i="21"/>
  <c r="Z266" i="21"/>
  <c r="L79" i="21"/>
  <c r="K75" i="21"/>
  <c r="AA349" i="21"/>
  <c r="Y306" i="21"/>
  <c r="M81" i="21"/>
  <c r="AA319" i="21"/>
  <c r="AA71" i="21"/>
  <c r="N200" i="21"/>
  <c r="N342" i="21"/>
  <c r="Y121" i="21"/>
  <c r="N232" i="21"/>
  <c r="Y256" i="21"/>
  <c r="L193" i="21"/>
  <c r="Z332" i="21"/>
  <c r="Y104" i="21"/>
  <c r="L86" i="21"/>
  <c r="Z174" i="21"/>
  <c r="L123" i="21"/>
  <c r="I309" i="21"/>
  <c r="N117" i="21"/>
  <c r="M332" i="21"/>
  <c r="K237" i="21"/>
  <c r="N330" i="21"/>
  <c r="I338" i="21"/>
  <c r="Z117" i="21"/>
  <c r="Z95" i="21"/>
  <c r="M309" i="21"/>
  <c r="AA296" i="21"/>
  <c r="N340" i="21"/>
  <c r="L268" i="21"/>
  <c r="Z130" i="21"/>
  <c r="Y351" i="21"/>
  <c r="Y273" i="21"/>
  <c r="L196" i="21"/>
  <c r="M107" i="21"/>
  <c r="Y241" i="21"/>
  <c r="M326" i="21"/>
  <c r="L130" i="21"/>
  <c r="F46" i="21"/>
  <c r="Y362" i="21"/>
  <c r="X356" i="21"/>
  <c r="K184" i="21"/>
  <c r="Z89" i="21"/>
  <c r="M265" i="21"/>
  <c r="M255" i="21"/>
  <c r="Y201" i="21"/>
  <c r="M130" i="21"/>
  <c r="K103" i="21"/>
  <c r="K9" i="21"/>
  <c r="K110" i="21"/>
  <c r="K25" i="21"/>
  <c r="N18" i="21"/>
  <c r="L213" i="21"/>
  <c r="Z175" i="21"/>
  <c r="L104" i="21"/>
  <c r="G237" i="21"/>
  <c r="M291" i="21"/>
  <c r="L90" i="21"/>
  <c r="AA307" i="21"/>
  <c r="I319" i="21"/>
  <c r="Z165" i="21"/>
  <c r="G126" i="21"/>
  <c r="Y139" i="21"/>
  <c r="M73" i="21"/>
  <c r="F129" i="21"/>
  <c r="N223" i="21"/>
  <c r="L311" i="21"/>
  <c r="L199" i="21"/>
  <c r="G33" i="21"/>
  <c r="I155" i="21"/>
  <c r="M163" i="21"/>
  <c r="Y280" i="21"/>
  <c r="L188" i="21"/>
  <c r="F288" i="21"/>
  <c r="X255" i="21"/>
  <c r="M18" i="21"/>
  <c r="AA17" i="21"/>
  <c r="G266" i="21"/>
  <c r="K79" i="21"/>
  <c r="M140" i="21"/>
  <c r="N290" i="21"/>
  <c r="N266" i="21"/>
  <c r="L163" i="21"/>
  <c r="G89" i="21"/>
  <c r="L118" i="21"/>
  <c r="G353" i="21"/>
  <c r="F124" i="21"/>
  <c r="G208" i="21"/>
  <c r="F37" i="21"/>
  <c r="L267" i="21"/>
  <c r="N17" i="21"/>
  <c r="Y220" i="21"/>
  <c r="F281" i="21"/>
  <c r="N335" i="21"/>
  <c r="L318" i="21"/>
  <c r="M205" i="21"/>
  <c r="Y81" i="21"/>
  <c r="N88" i="21"/>
  <c r="M196" i="21"/>
  <c r="Y334" i="21"/>
  <c r="L363" i="21"/>
  <c r="G267" i="21"/>
  <c r="M285" i="21"/>
  <c r="L361" i="21"/>
  <c r="F17" i="21"/>
  <c r="F264" i="21"/>
  <c r="N56" i="21"/>
  <c r="M354" i="21"/>
  <c r="X182" i="21"/>
  <c r="I183" i="21"/>
  <c r="L139" i="21"/>
  <c r="Y279" i="21"/>
  <c r="Y50" i="21"/>
  <c r="Y98" i="21"/>
  <c r="I342" i="21"/>
  <c r="I295" i="21"/>
  <c r="M276" i="21"/>
  <c r="Z255" i="21"/>
  <c r="Z161" i="21"/>
  <c r="I316" i="21"/>
  <c r="F171" i="21"/>
  <c r="X127" i="21"/>
  <c r="M160" i="21"/>
  <c r="F102" i="21"/>
  <c r="G299" i="21"/>
  <c r="X257" i="21"/>
  <c r="X111" i="21"/>
  <c r="K246" i="21"/>
  <c r="I305" i="21"/>
  <c r="K358" i="21"/>
  <c r="Y41" i="21"/>
  <c r="N125" i="21"/>
  <c r="Y252" i="21"/>
  <c r="X165" i="21"/>
  <c r="AA120" i="21"/>
  <c r="F205" i="21"/>
  <c r="L13" i="21"/>
  <c r="X189" i="21"/>
  <c r="Y278" i="21"/>
  <c r="Z90" i="21"/>
  <c r="M48" i="21"/>
  <c r="X359" i="21"/>
  <c r="F190" i="21"/>
  <c r="K291" i="21"/>
  <c r="Y303" i="21"/>
  <c r="K119" i="21"/>
  <c r="I364" i="21"/>
  <c r="Y232" i="21"/>
  <c r="L261" i="21"/>
  <c r="X161" i="21"/>
  <c r="N60" i="21"/>
  <c r="AA316" i="21"/>
  <c r="I153" i="21"/>
  <c r="K98" i="21"/>
  <c r="I347" i="21"/>
  <c r="G124" i="21"/>
  <c r="G342" i="21"/>
  <c r="Y37" i="21"/>
  <c r="G230" i="21"/>
  <c r="N42" i="21"/>
  <c r="AA246" i="21"/>
  <c r="M145" i="21"/>
  <c r="L143" i="21"/>
  <c r="F43" i="21"/>
  <c r="AA128" i="21"/>
  <c r="AA168" i="21"/>
  <c r="L286" i="21"/>
  <c r="AA209" i="21"/>
  <c r="X114" i="21"/>
  <c r="Y238" i="21"/>
  <c r="Z39" i="21"/>
  <c r="G8" i="21"/>
  <c r="L239" i="21"/>
  <c r="L72" i="21"/>
  <c r="Z53" i="21"/>
  <c r="M2" i="21"/>
  <c r="Y107" i="21"/>
  <c r="G70" i="21"/>
  <c r="L290" i="21"/>
  <c r="F322" i="21"/>
  <c r="F92" i="21"/>
  <c r="Z308" i="21"/>
  <c r="F351" i="21"/>
  <c r="L46" i="21"/>
  <c r="Y80" i="21"/>
  <c r="M87" i="21"/>
  <c r="M90" i="21"/>
  <c r="Z173" i="21"/>
  <c r="G328" i="21"/>
  <c r="L8" i="21"/>
  <c r="AA346" i="21"/>
  <c r="Z184" i="21"/>
  <c r="Z286" i="21"/>
  <c r="K195" i="21"/>
  <c r="K163" i="21"/>
  <c r="I330" i="21"/>
  <c r="Y235" i="21"/>
  <c r="Y292" i="21"/>
  <c r="AA287" i="21"/>
  <c r="G335" i="21"/>
  <c r="I220" i="21"/>
  <c r="F89" i="21"/>
  <c r="G198" i="21"/>
  <c r="N23" i="21"/>
  <c r="G270" i="21"/>
  <c r="G304" i="21"/>
  <c r="N101" i="21"/>
  <c r="Z333" i="21"/>
  <c r="Z298" i="21"/>
  <c r="M36" i="21"/>
  <c r="Y322" i="21"/>
  <c r="L367" i="21"/>
  <c r="Z253" i="21"/>
  <c r="Y325" i="21"/>
  <c r="Y67" i="21"/>
  <c r="K36" i="21"/>
  <c r="G106" i="21"/>
  <c r="X186" i="21"/>
  <c r="X295" i="21"/>
  <c r="G271" i="21"/>
  <c r="F208" i="21"/>
  <c r="G196" i="21"/>
  <c r="M149" i="21"/>
  <c r="K87" i="21"/>
  <c r="K294" i="21"/>
  <c r="N19" i="21"/>
  <c r="X204" i="21"/>
  <c r="L346" i="21"/>
  <c r="M200" i="21"/>
  <c r="N153" i="21"/>
  <c r="M67" i="21"/>
  <c r="M106" i="21"/>
  <c r="L9" i="21"/>
  <c r="I354" i="21"/>
  <c r="I195" i="21"/>
  <c r="K345" i="21"/>
  <c r="G315" i="21"/>
  <c r="G16" i="21"/>
  <c r="K152" i="21"/>
  <c r="AA147" i="21"/>
  <c r="N172" i="21"/>
  <c r="Z358" i="21"/>
  <c r="Y28" i="21"/>
  <c r="AA92" i="21"/>
  <c r="L35" i="21"/>
  <c r="X167" i="21"/>
  <c r="K94" i="21"/>
  <c r="F51" i="21"/>
  <c r="F186" i="21"/>
  <c r="N270" i="21"/>
  <c r="Y86" i="21"/>
  <c r="L64" i="21"/>
  <c r="Y33" i="21"/>
  <c r="AA44" i="21"/>
  <c r="L293" i="21"/>
  <c r="AA21" i="21"/>
  <c r="G187" i="21"/>
  <c r="F128" i="21"/>
  <c r="AA192" i="21"/>
  <c r="N74" i="21"/>
  <c r="N110" i="21"/>
  <c r="M319" i="21"/>
  <c r="Y62" i="21"/>
  <c r="N350" i="21"/>
  <c r="Y89" i="21"/>
  <c r="N201" i="21"/>
  <c r="M192" i="21"/>
  <c r="M333" i="21"/>
  <c r="L280" i="21"/>
  <c r="L191" i="21"/>
  <c r="K168" i="21"/>
  <c r="I346" i="21"/>
  <c r="G354" i="21"/>
  <c r="G121" i="21"/>
  <c r="AA258" i="21"/>
  <c r="L288" i="21"/>
  <c r="I263" i="21"/>
  <c r="K308" i="21"/>
  <c r="Y206" i="21"/>
  <c r="K123" i="21"/>
  <c r="Z330" i="21"/>
  <c r="F292" i="21"/>
  <c r="I265" i="21"/>
  <c r="G55" i="21"/>
  <c r="AA99" i="21"/>
  <c r="M367" i="21"/>
  <c r="N190" i="21"/>
  <c r="N25" i="21"/>
  <c r="I217" i="21"/>
  <c r="G135" i="21"/>
  <c r="AA85" i="21"/>
  <c r="K214" i="21"/>
  <c r="AA182" i="21"/>
  <c r="Y345" i="21"/>
  <c r="G320" i="21"/>
  <c r="N68" i="21"/>
  <c r="X151" i="21"/>
  <c r="Z38" i="21"/>
  <c r="AA255" i="21"/>
  <c r="L32" i="21"/>
  <c r="Y150" i="21"/>
  <c r="Z257" i="21"/>
  <c r="L52" i="21"/>
  <c r="I262" i="21"/>
  <c r="Y347" i="21"/>
  <c r="G173" i="21"/>
  <c r="G28" i="21"/>
  <c r="G202" i="21"/>
  <c r="L148" i="21"/>
  <c r="G167" i="21"/>
  <c r="G339" i="21"/>
  <c r="F78" i="21"/>
  <c r="F245" i="21"/>
  <c r="Z148" i="21"/>
  <c r="Y281" i="21"/>
  <c r="M263" i="21"/>
  <c r="L59" i="21"/>
  <c r="N127" i="21"/>
  <c r="Y360" i="21"/>
  <c r="K218" i="21"/>
  <c r="Z245" i="21"/>
  <c r="L352" i="21"/>
  <c r="N255" i="21"/>
  <c r="M33" i="21"/>
  <c r="AA320" i="21"/>
  <c r="X276" i="21"/>
  <c r="N33" i="21"/>
  <c r="M88" i="21"/>
  <c r="Y229" i="21"/>
  <c r="Z293" i="21"/>
  <c r="N254" i="21"/>
  <c r="F309" i="21"/>
  <c r="L332" i="21"/>
  <c r="F34" i="21"/>
  <c r="M139" i="21"/>
  <c r="N233" i="21"/>
  <c r="G80" i="21"/>
  <c r="K327" i="21"/>
  <c r="F308" i="21"/>
  <c r="G346" i="21"/>
  <c r="G203" i="21"/>
  <c r="L217" i="21"/>
  <c r="M182" i="21"/>
  <c r="N213" i="21"/>
  <c r="N278" i="21"/>
  <c r="N89" i="21"/>
  <c r="M298" i="21"/>
  <c r="X157" i="21"/>
  <c r="Y330" i="21"/>
  <c r="AA219" i="21"/>
  <c r="Y257" i="21"/>
  <c r="Z194" i="21"/>
  <c r="K240" i="21"/>
  <c r="Y297" i="21"/>
  <c r="F239" i="21"/>
  <c r="I219" i="21"/>
  <c r="AA342" i="21"/>
  <c r="K95" i="21"/>
  <c r="Y228" i="21"/>
  <c r="N293" i="21"/>
  <c r="N217" i="21"/>
  <c r="X239" i="21"/>
  <c r="AA260" i="21"/>
  <c r="I269" i="21"/>
  <c r="Z182" i="21"/>
  <c r="N328" i="21"/>
  <c r="I304" i="21"/>
  <c r="F153" i="21"/>
  <c r="G305" i="21"/>
  <c r="L237" i="21"/>
  <c r="K216" i="21"/>
  <c r="F204" i="21"/>
  <c r="K72" i="21"/>
  <c r="F25" i="21"/>
  <c r="K201" i="21"/>
  <c r="AA114" i="21"/>
  <c r="Y358" i="21"/>
  <c r="K267" i="21"/>
  <c r="AA183" i="21"/>
  <c r="Y364" i="21"/>
  <c r="I365" i="21"/>
  <c r="G325" i="21"/>
  <c r="Z172" i="21"/>
  <c r="Y15" i="21"/>
  <c r="Z156" i="21"/>
  <c r="L63" i="21"/>
  <c r="I179" i="21"/>
  <c r="Y128" i="21"/>
  <c r="K164" i="21"/>
  <c r="N253" i="21"/>
  <c r="F235" i="21"/>
  <c r="K174" i="21"/>
  <c r="G265" i="21"/>
  <c r="G46" i="21"/>
  <c r="L31" i="21"/>
  <c r="L205" i="21"/>
  <c r="AA124" i="21"/>
  <c r="F214" i="21"/>
  <c r="AA208" i="21"/>
  <c r="N341" i="21"/>
  <c r="I169" i="21"/>
  <c r="M336" i="21"/>
  <c r="G18" i="21"/>
  <c r="G178" i="21"/>
  <c r="AA298" i="21"/>
  <c r="Y219" i="21"/>
  <c r="Z268" i="21"/>
  <c r="Y314" i="21"/>
  <c r="I362" i="21"/>
  <c r="K85" i="21"/>
  <c r="L159" i="21"/>
  <c r="F180" i="21"/>
  <c r="F326" i="21"/>
  <c r="F79" i="21"/>
  <c r="F301" i="21"/>
  <c r="G289" i="21"/>
  <c r="G195" i="21"/>
  <c r="X132" i="21"/>
  <c r="K55" i="21"/>
  <c r="AA315" i="21"/>
  <c r="Z329" i="21"/>
  <c r="M225" i="21"/>
  <c r="M62" i="21"/>
  <c r="K272" i="21"/>
  <c r="M116" i="21"/>
  <c r="N167" i="21"/>
  <c r="G157" i="21"/>
  <c r="Y317" i="21"/>
  <c r="I171" i="21"/>
  <c r="L106" i="21"/>
  <c r="L285" i="21"/>
  <c r="I229" i="21"/>
  <c r="F100" i="21"/>
  <c r="M83" i="21"/>
  <c r="L179" i="21"/>
  <c r="F162" i="21"/>
  <c r="L294" i="21"/>
  <c r="I181" i="21"/>
  <c r="AA118" i="21"/>
  <c r="Z230" i="21"/>
  <c r="N182" i="21"/>
  <c r="Z132" i="21"/>
  <c r="I318" i="21"/>
  <c r="G356" i="21"/>
  <c r="L246" i="21"/>
  <c r="G138" i="21"/>
  <c r="G226" i="21"/>
  <c r="Y25" i="21"/>
  <c r="Y233" i="21"/>
  <c r="AA345" i="21"/>
  <c r="K71" i="21"/>
  <c r="X267" i="21"/>
  <c r="Z356" i="21"/>
  <c r="G281" i="21"/>
  <c r="M188" i="21"/>
  <c r="I345" i="21"/>
  <c r="N289" i="21"/>
  <c r="AA283" i="21"/>
  <c r="L20" i="21"/>
  <c r="M187" i="21"/>
  <c r="M247" i="21"/>
  <c r="N240" i="21"/>
  <c r="AA157" i="21"/>
  <c r="AA163" i="21"/>
  <c r="AA215" i="21"/>
  <c r="G193" i="21"/>
  <c r="K333" i="21"/>
  <c r="G182" i="21"/>
  <c r="K258" i="21"/>
  <c r="Z78" i="21"/>
  <c r="M197" i="21"/>
  <c r="N31" i="21"/>
  <c r="I327" i="21"/>
  <c r="Z275" i="21"/>
  <c r="Z239" i="21"/>
  <c r="N16" i="21"/>
  <c r="F101" i="21"/>
  <c r="N50" i="21"/>
  <c r="G236" i="21"/>
  <c r="K260" i="21"/>
  <c r="Y79" i="21"/>
  <c r="M118" i="21"/>
  <c r="M32" i="21"/>
  <c r="L28" i="21"/>
  <c r="F350" i="21"/>
  <c r="I284" i="21"/>
  <c r="F213" i="21"/>
  <c r="N141" i="21"/>
  <c r="F146" i="21"/>
  <c r="AA13" i="21"/>
  <c r="N211" i="21"/>
  <c r="Y16" i="21"/>
  <c r="M10" i="21"/>
  <c r="L315" i="21"/>
  <c r="N321" i="21"/>
  <c r="F183" i="21"/>
  <c r="I218" i="21"/>
  <c r="N264" i="21"/>
  <c r="K2" i="21"/>
  <c r="L228" i="21"/>
  <c r="G344" i="21"/>
  <c r="I166" i="21"/>
  <c r="Z243" i="21"/>
  <c r="K286" i="21"/>
  <c r="L258" i="21"/>
  <c r="M327" i="21"/>
  <c r="I251" i="21"/>
  <c r="L330" i="21"/>
  <c r="G37" i="21"/>
  <c r="Z223" i="21"/>
  <c r="L245" i="21"/>
  <c r="K339" i="21"/>
  <c r="L96" i="21"/>
  <c r="L162" i="21"/>
  <c r="M314" i="21"/>
  <c r="M260" i="21"/>
  <c r="N353" i="21"/>
  <c r="G243" i="21"/>
  <c r="M114" i="21"/>
  <c r="L133" i="21"/>
  <c r="AA242" i="21"/>
  <c r="G67" i="21"/>
  <c r="I349" i="21"/>
  <c r="F39" i="21"/>
  <c r="M132" i="21"/>
  <c r="M335" i="21"/>
  <c r="L48" i="21"/>
  <c r="K49" i="21"/>
  <c r="K187" i="21"/>
  <c r="Y304" i="21"/>
  <c r="F210" i="21"/>
  <c r="K171" i="21"/>
  <c r="F132" i="21"/>
  <c r="X287" i="21"/>
  <c r="Y215" i="21"/>
  <c r="G17" i="21"/>
  <c r="Y185" i="21"/>
  <c r="AA84" i="21"/>
  <c r="Z313" i="21"/>
  <c r="AA261" i="21"/>
  <c r="F220" i="21"/>
  <c r="X225" i="21"/>
  <c r="M234" i="21"/>
  <c r="Y283" i="21"/>
  <c r="F136" i="21"/>
  <c r="AA141" i="21"/>
  <c r="G6" i="21"/>
  <c r="G169" i="21"/>
  <c r="N227" i="21"/>
  <c r="N262" i="21"/>
  <c r="I134" i="21"/>
  <c r="Y270" i="21"/>
  <c r="K16" i="21"/>
  <c r="I177" i="21"/>
  <c r="Y335" i="21"/>
  <c r="K253" i="21"/>
  <c r="F219" i="21"/>
  <c r="AA249" i="21"/>
  <c r="Y189" i="21"/>
  <c r="I221" i="21"/>
  <c r="L216" i="21"/>
  <c r="F325" i="21"/>
  <c r="M9" i="21"/>
  <c r="G317" i="21"/>
  <c r="G100" i="21"/>
  <c r="Z71" i="21"/>
  <c r="N271" i="21"/>
  <c r="Y120" i="21"/>
  <c r="Y242" i="21"/>
  <c r="F148" i="21"/>
  <c r="F283" i="21"/>
  <c r="L278" i="21"/>
  <c r="M284" i="21"/>
  <c r="Z198" i="21"/>
  <c r="X223" i="21"/>
  <c r="Z226" i="21"/>
  <c r="N298" i="21"/>
  <c r="N344" i="21"/>
  <c r="F271" i="21"/>
  <c r="L300" i="21"/>
  <c r="N87" i="21"/>
  <c r="AA125" i="21"/>
  <c r="Z47" i="21"/>
  <c r="AA286" i="21"/>
  <c r="M312" i="21"/>
  <c r="M78" i="21"/>
  <c r="I133" i="21"/>
  <c r="G245" i="21"/>
  <c r="N115" i="21"/>
  <c r="I160" i="21"/>
  <c r="Y369" i="21"/>
  <c r="I294" i="21"/>
  <c r="F84" i="21"/>
  <c r="N210" i="21"/>
  <c r="K366" i="21"/>
  <c r="Z267" i="21"/>
  <c r="M61" i="21"/>
  <c r="N177" i="21"/>
  <c r="M3" i="21"/>
  <c r="F14" i="21"/>
  <c r="N244" i="21"/>
  <c r="L71" i="21"/>
  <c r="Y247" i="21"/>
  <c r="K300" i="21"/>
  <c r="Y302" i="21"/>
  <c r="N51" i="21"/>
  <c r="L225" i="21"/>
  <c r="M220" i="21"/>
  <c r="K11" i="21"/>
  <c r="X229" i="21"/>
  <c r="F94" i="21"/>
  <c r="Y311" i="21"/>
  <c r="Y129" i="21"/>
  <c r="G109" i="21"/>
  <c r="M170" i="21"/>
  <c r="Y192" i="21"/>
  <c r="G216" i="21"/>
  <c r="Y74" i="21"/>
  <c r="M258" i="21"/>
  <c r="L76" i="21"/>
  <c r="X143" i="21"/>
  <c r="L326" i="21"/>
  <c r="AA350" i="21"/>
  <c r="G172" i="21"/>
  <c r="L120" i="21"/>
  <c r="Z154" i="21"/>
  <c r="L232" i="21"/>
  <c r="M54" i="21"/>
  <c r="L84" i="21"/>
  <c r="Y13" i="21"/>
  <c r="I144" i="21"/>
  <c r="L298" i="21"/>
  <c r="G184" i="21"/>
  <c r="X318" i="21"/>
  <c r="M364" i="21"/>
  <c r="X292" i="21"/>
  <c r="K356" i="21"/>
  <c r="X232" i="21"/>
  <c r="Z149" i="21"/>
  <c r="L128" i="21"/>
  <c r="F230" i="21"/>
  <c r="L121" i="21"/>
  <c r="Y210" i="21"/>
  <c r="G99" i="21"/>
  <c r="G334" i="21"/>
  <c r="F113" i="21"/>
  <c r="Y246" i="21"/>
  <c r="L356" i="21"/>
  <c r="N214" i="21"/>
  <c r="Z192" i="21"/>
  <c r="L347" i="21"/>
  <c r="L158" i="21"/>
  <c r="G5" i="21"/>
  <c r="M123" i="21"/>
  <c r="K57" i="21"/>
  <c r="K268" i="21"/>
  <c r="X308" i="21"/>
  <c r="L305" i="21"/>
  <c r="X89" i="21"/>
  <c r="X78" i="21"/>
  <c r="X102" i="21"/>
  <c r="N218" i="21"/>
  <c r="I297" i="21"/>
  <c r="I311" i="21"/>
  <c r="K324" i="21"/>
  <c r="L335" i="21"/>
  <c r="Y88" i="21"/>
  <c r="G255" i="21"/>
  <c r="K311" i="21"/>
  <c r="F26" i="21"/>
  <c r="F60" i="21"/>
  <c r="L175" i="21"/>
  <c r="Z136" i="21"/>
  <c r="K6" i="21"/>
  <c r="Y218" i="21"/>
  <c r="X69" i="21"/>
  <c r="X34" i="21"/>
  <c r="X82" i="21"/>
  <c r="X103" i="21"/>
  <c r="X18" i="21"/>
  <c r="X83" i="21"/>
  <c r="X106" i="21"/>
  <c r="X91" i="21"/>
  <c r="X35" i="21"/>
  <c r="X68" i="21"/>
  <c r="X43" i="21"/>
  <c r="X38" i="21"/>
  <c r="X14" i="21"/>
  <c r="X29" i="21"/>
  <c r="G164" i="21"/>
  <c r="K284" i="21"/>
  <c r="L337" i="21"/>
  <c r="N154" i="21"/>
  <c r="M101" i="21"/>
  <c r="I267" i="21"/>
  <c r="I180" i="21"/>
  <c r="G183" i="21"/>
  <c r="F54" i="21"/>
  <c r="K213" i="21"/>
  <c r="K320" i="21"/>
  <c r="X98" i="21"/>
  <c r="X49" i="21"/>
  <c r="X74" i="21"/>
  <c r="X88" i="21"/>
  <c r="X62" i="21"/>
  <c r="X101" i="21"/>
  <c r="X105" i="21"/>
  <c r="X59" i="21"/>
  <c r="X48" i="21"/>
  <c r="X31" i="21"/>
  <c r="X65" i="21"/>
  <c r="X2" i="21"/>
  <c r="X4" i="21"/>
  <c r="X9" i="21"/>
  <c r="L177" i="21"/>
  <c r="M344" i="21"/>
  <c r="G168" i="21"/>
  <c r="G300" i="21"/>
  <c r="Y183" i="21"/>
  <c r="AA9" i="21"/>
  <c r="K146" i="21"/>
  <c r="N72" i="21"/>
  <c r="K305" i="21"/>
  <c r="M21" i="21"/>
  <c r="Z299" i="21"/>
  <c r="L289" i="21"/>
  <c r="N241" i="21"/>
  <c r="X75" i="21"/>
  <c r="X32" i="21"/>
  <c r="X70" i="21"/>
  <c r="X12" i="21"/>
  <c r="X71" i="21"/>
  <c r="X20" i="21"/>
  <c r="X6" i="21"/>
  <c r="X85" i="21"/>
  <c r="X10" i="21"/>
  <c r="X45" i="21"/>
  <c r="X107" i="21"/>
  <c r="X42" i="21"/>
  <c r="X95" i="21"/>
  <c r="X40" i="21"/>
  <c r="X72" i="21"/>
  <c r="F107" i="21"/>
  <c r="N338" i="21"/>
  <c r="G163" i="21"/>
  <c r="F349" i="21"/>
  <c r="M223" i="21"/>
  <c r="F225" i="21"/>
  <c r="N229" i="21"/>
  <c r="F339" i="21"/>
  <c r="K369" i="21"/>
  <c r="K299" i="21"/>
  <c r="L201" i="21"/>
  <c r="G364" i="21"/>
  <c r="X86" i="21"/>
  <c r="X28" i="21"/>
  <c r="X77" i="21"/>
  <c r="X36" i="21"/>
  <c r="X99" i="21"/>
  <c r="X22" i="21"/>
  <c r="X47" i="21"/>
  <c r="X108" i="21"/>
  <c r="X33" i="21"/>
  <c r="X26" i="21"/>
  <c r="X67" i="21"/>
  <c r="G345" i="21"/>
  <c r="F28" i="21"/>
  <c r="G191" i="21"/>
  <c r="F362" i="21"/>
  <c r="L161" i="21"/>
  <c r="K31" i="21"/>
  <c r="AA159" i="21"/>
  <c r="G206" i="21"/>
  <c r="G185" i="21"/>
  <c r="F200" i="21"/>
  <c r="G59" i="21"/>
  <c r="K303" i="21"/>
  <c r="G306" i="21"/>
  <c r="M176" i="21"/>
  <c r="X92" i="21"/>
  <c r="X53" i="21"/>
  <c r="X61" i="21"/>
  <c r="X15" i="21"/>
  <c r="X81" i="21"/>
  <c r="X51" i="21"/>
  <c r="X60" i="21"/>
  <c r="X58" i="21"/>
  <c r="F33" i="21"/>
  <c r="G247" i="21"/>
  <c r="K28" i="21"/>
  <c r="K212" i="21"/>
  <c r="L80" i="21"/>
  <c r="L124" i="21"/>
  <c r="G134" i="21"/>
  <c r="G232" i="21"/>
  <c r="M20" i="21"/>
  <c r="G223" i="21"/>
  <c r="X188" i="21"/>
  <c r="F236" i="21"/>
  <c r="M147" i="21"/>
  <c r="X52" i="21"/>
  <c r="X8" i="21"/>
  <c r="X21" i="21"/>
  <c r="X23" i="21"/>
  <c r="X7" i="21"/>
  <c r="X94" i="21"/>
  <c r="X104" i="21"/>
  <c r="X37" i="21"/>
  <c r="X100" i="21"/>
  <c r="X24" i="21"/>
  <c r="X90" i="21"/>
  <c r="X39" i="21"/>
  <c r="L185" i="21"/>
  <c r="Z191" i="21"/>
  <c r="M229" i="21"/>
  <c r="I270" i="21"/>
  <c r="I255" i="21"/>
  <c r="K362" i="21"/>
  <c r="X301" i="21"/>
  <c r="F50" i="21"/>
  <c r="I212" i="21"/>
  <c r="Z265" i="21"/>
  <c r="Z170" i="21"/>
  <c r="Z232" i="21"/>
  <c r="I336" i="21"/>
  <c r="K132" i="21"/>
  <c r="X327" i="21"/>
  <c r="G235" i="21"/>
  <c r="L292" i="21"/>
  <c r="X5" i="21"/>
  <c r="X80" i="21"/>
  <c r="X30" i="21"/>
  <c r="X57" i="21"/>
  <c r="X76" i="21"/>
  <c r="X17" i="21"/>
  <c r="X3" i="21"/>
  <c r="X79" i="21"/>
  <c r="X64" i="21"/>
  <c r="X27" i="21"/>
  <c r="X93" i="21"/>
  <c r="X97" i="21"/>
  <c r="N66" i="21"/>
  <c r="X112" i="21"/>
  <c r="Z326" i="21"/>
  <c r="G332" i="21"/>
  <c r="N302" i="21"/>
  <c r="F189" i="21"/>
  <c r="F103" i="21"/>
  <c r="K82" i="21"/>
  <c r="L11" i="21"/>
  <c r="L251" i="21"/>
  <c r="L7" i="21"/>
  <c r="X175" i="21"/>
  <c r="I352" i="21"/>
  <c r="X63" i="21"/>
  <c r="X87" i="21"/>
  <c r="X84" i="21"/>
  <c r="X25" i="21"/>
  <c r="X96" i="21"/>
  <c r="X55" i="21"/>
  <c r="X16" i="21"/>
  <c r="X54" i="21"/>
  <c r="X56" i="21"/>
  <c r="X50" i="21"/>
  <c r="X13" i="21"/>
  <c r="X66" i="21"/>
  <c r="X44" i="21"/>
  <c r="X46" i="21"/>
  <c r="X11" i="21"/>
  <c r="X41" i="21"/>
  <c r="X73" i="21"/>
  <c r="F134" i="1"/>
  <c r="B134" i="1"/>
  <c r="I23" i="3"/>
  <c r="J37" i="3"/>
  <c r="J31" i="3"/>
  <c r="I22" i="3"/>
  <c r="J14" i="3"/>
  <c r="I6" i="3"/>
  <c r="J25" i="3"/>
  <c r="AP7" i="2"/>
  <c r="AT7" i="2" s="1"/>
  <c r="I10" i="3"/>
  <c r="J28" i="3"/>
  <c r="J13" i="3"/>
  <c r="J9" i="3"/>
  <c r="I13" i="3"/>
  <c r="I5" i="3"/>
  <c r="J16" i="3"/>
  <c r="J29" i="3"/>
  <c r="I7" i="3"/>
  <c r="AP9" i="2"/>
  <c r="AT9" i="2" s="1"/>
  <c r="I28" i="3"/>
  <c r="J41" i="3"/>
  <c r="I14" i="3"/>
  <c r="I35" i="3"/>
  <c r="I30" i="3"/>
  <c r="I11" i="3"/>
  <c r="J24" i="3"/>
  <c r="I29" i="3"/>
  <c r="I39" i="3"/>
  <c r="J17" i="3"/>
  <c r="I27" i="3"/>
  <c r="J38" i="3"/>
  <c r="J39" i="3"/>
  <c r="J36" i="3"/>
  <c r="J35" i="3"/>
  <c r="I31" i="3"/>
  <c r="J5" i="3"/>
  <c r="I37" i="3"/>
  <c r="I32" i="3"/>
  <c r="I38" i="3"/>
  <c r="I36" i="3"/>
  <c r="J33" i="3"/>
  <c r="I20" i="3"/>
  <c r="I18" i="3"/>
  <c r="I15" i="3"/>
  <c r="I17" i="3"/>
  <c r="I33" i="3"/>
  <c r="J4" i="3"/>
  <c r="J7" i="3"/>
  <c r="J34" i="3"/>
  <c r="I21" i="3"/>
  <c r="J6" i="3"/>
  <c r="J11" i="3"/>
  <c r="J15" i="3"/>
  <c r="I16" i="3"/>
  <c r="J23" i="3"/>
  <c r="I41" i="3"/>
  <c r="J26" i="3"/>
  <c r="I8" i="3"/>
  <c r="I9" i="3"/>
  <c r="I19" i="3"/>
  <c r="J19" i="3"/>
  <c r="J22" i="3"/>
  <c r="J30" i="3"/>
  <c r="AN4" i="2"/>
  <c r="I4" i="3"/>
  <c r="I34" i="3"/>
  <c r="AP4" i="2"/>
  <c r="J18" i="3"/>
  <c r="I26" i="3"/>
  <c r="J20" i="3"/>
  <c r="J10" i="3"/>
  <c r="J27" i="3"/>
  <c r="J8" i="3"/>
  <c r="J32" i="3"/>
  <c r="I24" i="3"/>
  <c r="J21" i="3"/>
  <c r="I25" i="3"/>
  <c r="AP6" i="2"/>
  <c r="AN6" i="2"/>
  <c r="AN9" i="2"/>
  <c r="AN7" i="2"/>
  <c r="G133" i="1"/>
  <c r="C133" i="1"/>
  <c r="K168" i="3" l="1"/>
  <c r="K79" i="3"/>
  <c r="U50" i="21"/>
  <c r="U15" i="21"/>
  <c r="U27" i="21"/>
  <c r="U88" i="21"/>
  <c r="U118" i="21"/>
  <c r="U107" i="21"/>
  <c r="U86" i="21"/>
  <c r="U62" i="21"/>
  <c r="K237" i="3"/>
  <c r="K199" i="3"/>
  <c r="K178" i="3"/>
  <c r="U142" i="21"/>
  <c r="R142" i="21"/>
  <c r="O142" i="21"/>
  <c r="R134" i="21"/>
  <c r="U134" i="21"/>
  <c r="O134" i="21"/>
  <c r="U132" i="21"/>
  <c r="O132" i="21"/>
  <c r="R132" i="21"/>
  <c r="R143" i="21"/>
  <c r="U143" i="21"/>
  <c r="O143" i="21"/>
  <c r="O128" i="21"/>
  <c r="R128" i="21"/>
  <c r="U128" i="21"/>
  <c r="O137" i="21"/>
  <c r="R137" i="21"/>
  <c r="U137" i="21"/>
  <c r="R135" i="21"/>
  <c r="U135" i="21"/>
  <c r="O135" i="21"/>
  <c r="O133" i="21"/>
  <c r="R133" i="21"/>
  <c r="U133" i="21"/>
  <c r="R129" i="21"/>
  <c r="U129" i="21"/>
  <c r="O129" i="21"/>
  <c r="O136" i="21"/>
  <c r="R136" i="21"/>
  <c r="U136" i="21"/>
  <c r="O138" i="21"/>
  <c r="R138" i="21"/>
  <c r="U138" i="21"/>
  <c r="U140" i="21"/>
  <c r="O140" i="21"/>
  <c r="R140" i="21"/>
  <c r="O144" i="21"/>
  <c r="R144" i="21"/>
  <c r="U144" i="21"/>
  <c r="O127" i="21"/>
  <c r="R127" i="21"/>
  <c r="U127" i="21"/>
  <c r="O130" i="21"/>
  <c r="R130" i="21"/>
  <c r="U130" i="21"/>
  <c r="O145" i="21"/>
  <c r="U145" i="21"/>
  <c r="R145" i="21"/>
  <c r="O141" i="21"/>
  <c r="R141" i="21"/>
  <c r="U141" i="21"/>
  <c r="U131" i="21"/>
  <c r="O131" i="21"/>
  <c r="R131" i="21"/>
  <c r="U139" i="21"/>
  <c r="O139" i="21"/>
  <c r="R139" i="21"/>
  <c r="U287" i="21"/>
  <c r="U286" i="21"/>
  <c r="U147" i="21"/>
  <c r="U178" i="21"/>
  <c r="U189" i="21"/>
  <c r="K92" i="3"/>
  <c r="K138" i="3"/>
  <c r="K195" i="3"/>
  <c r="K104" i="3"/>
  <c r="K62" i="3"/>
  <c r="K198" i="3"/>
  <c r="K7" i="11"/>
  <c r="K86" i="3"/>
  <c r="K149" i="3"/>
  <c r="K58" i="3"/>
  <c r="K167" i="3"/>
  <c r="K57" i="3"/>
  <c r="K6" i="11"/>
  <c r="K146" i="3"/>
  <c r="K226" i="3"/>
  <c r="K179" i="3"/>
  <c r="K158" i="3"/>
  <c r="U215" i="21"/>
  <c r="U155" i="21"/>
  <c r="D11" i="13"/>
  <c r="E11" i="13" s="1"/>
  <c r="U246" i="21"/>
  <c r="U331" i="21"/>
  <c r="U152" i="21"/>
  <c r="U209" i="21"/>
  <c r="U176" i="21"/>
  <c r="U163" i="21"/>
  <c r="U314" i="21"/>
  <c r="U267" i="21"/>
  <c r="U156" i="21"/>
  <c r="U159" i="21"/>
  <c r="U318" i="21"/>
  <c r="U185" i="21"/>
  <c r="U222" i="21"/>
  <c r="U279" i="21"/>
  <c r="K221" i="3"/>
  <c r="F10" i="10"/>
  <c r="F16" i="12"/>
  <c r="F21" i="12"/>
  <c r="F20" i="12"/>
  <c r="F14" i="12"/>
  <c r="F11" i="12"/>
  <c r="F4" i="10"/>
  <c r="F13" i="12"/>
  <c r="F12" i="12"/>
  <c r="F19" i="12"/>
  <c r="F18" i="12"/>
  <c r="F17" i="12"/>
  <c r="U5" i="21"/>
  <c r="F4" i="12"/>
  <c r="J4" i="12" s="1"/>
  <c r="F10" i="12"/>
  <c r="F15" i="12"/>
  <c r="K241" i="3"/>
  <c r="K69" i="3"/>
  <c r="K171" i="3"/>
  <c r="K227" i="3"/>
  <c r="K202" i="3"/>
  <c r="K98" i="3"/>
  <c r="K95" i="3"/>
  <c r="K238" i="3"/>
  <c r="K154" i="3"/>
  <c r="K76" i="3"/>
  <c r="K183" i="3"/>
  <c r="K118" i="3"/>
  <c r="K49" i="3"/>
  <c r="K81" i="3"/>
  <c r="K127" i="3"/>
  <c r="K136" i="3"/>
  <c r="K82" i="3"/>
  <c r="K184" i="3"/>
  <c r="K176" i="3"/>
  <c r="K68" i="3"/>
  <c r="K216" i="3"/>
  <c r="K121" i="3"/>
  <c r="K54" i="3"/>
  <c r="K163" i="3"/>
  <c r="K223" i="3"/>
  <c r="U266" i="21"/>
  <c r="U10" i="21"/>
  <c r="U23" i="21"/>
  <c r="U243" i="21"/>
  <c r="U183" i="21"/>
  <c r="U179" i="21"/>
  <c r="U208" i="21"/>
  <c r="U66" i="21"/>
  <c r="U122" i="21"/>
  <c r="U102" i="21"/>
  <c r="U154" i="21"/>
  <c r="U186" i="21"/>
  <c r="U260" i="21"/>
  <c r="U182" i="21"/>
  <c r="U241" i="21"/>
  <c r="U148" i="21"/>
  <c r="U105" i="21"/>
  <c r="U46" i="21"/>
  <c r="U192" i="21"/>
  <c r="U301" i="21"/>
  <c r="U309" i="21"/>
  <c r="U41" i="21"/>
  <c r="U57" i="21"/>
  <c r="U250" i="21"/>
  <c r="U76" i="21"/>
  <c r="U275" i="21"/>
  <c r="U90" i="21"/>
  <c r="U98" i="21"/>
  <c r="U124" i="21"/>
  <c r="U319" i="21"/>
  <c r="U16" i="21"/>
  <c r="U68" i="21"/>
  <c r="U117" i="21"/>
  <c r="U151" i="21"/>
  <c r="U315" i="21"/>
  <c r="U92" i="21"/>
  <c r="U55" i="21"/>
  <c r="U47" i="21"/>
  <c r="U126" i="21"/>
  <c r="U103" i="21"/>
  <c r="U24" i="21"/>
  <c r="U369" i="21"/>
  <c r="U321" i="21"/>
  <c r="U13" i="21"/>
  <c r="U36" i="21"/>
  <c r="U310" i="21"/>
  <c r="U288" i="21"/>
  <c r="U240" i="21"/>
  <c r="U73" i="21"/>
  <c r="U17" i="21"/>
  <c r="U110" i="21"/>
  <c r="U292" i="21"/>
  <c r="U170" i="21"/>
  <c r="U348" i="21"/>
  <c r="U329" i="21"/>
  <c r="U150" i="21"/>
  <c r="U64" i="21"/>
  <c r="U249" i="21"/>
  <c r="U359" i="21"/>
  <c r="U49" i="21"/>
  <c r="U247" i="21"/>
  <c r="U82" i="21"/>
  <c r="U3" i="21"/>
  <c r="U18" i="21"/>
  <c r="U99" i="21"/>
  <c r="U21" i="21"/>
  <c r="U67" i="21"/>
  <c r="U101" i="21"/>
  <c r="U264" i="21"/>
  <c r="U172" i="21"/>
  <c r="U344" i="21"/>
  <c r="U200" i="21"/>
  <c r="U84" i="21"/>
  <c r="U14" i="21"/>
  <c r="U78" i="21"/>
  <c r="U56" i="21"/>
  <c r="U51" i="21"/>
  <c r="U125" i="21"/>
  <c r="U114" i="21"/>
  <c r="U296" i="21"/>
  <c r="U93" i="21"/>
  <c r="U39" i="21"/>
  <c r="U365" i="21"/>
  <c r="U37" i="21"/>
  <c r="U52" i="21"/>
  <c r="U367" i="21"/>
  <c r="U81" i="21"/>
  <c r="U225" i="21"/>
  <c r="U112" i="21"/>
  <c r="U8" i="21"/>
  <c r="U9" i="21"/>
  <c r="U320" i="21"/>
  <c r="U71" i="21"/>
  <c r="U214" i="21"/>
  <c r="U85" i="21"/>
  <c r="U302" i="21"/>
  <c r="U96" i="21"/>
  <c r="U63" i="21"/>
  <c r="U65" i="21"/>
  <c r="U111" i="21"/>
  <c r="U40" i="21"/>
  <c r="U232" i="21"/>
  <c r="U322" i="21"/>
  <c r="U77" i="21"/>
  <c r="U149" i="21"/>
  <c r="U175" i="21"/>
  <c r="U97" i="21"/>
  <c r="U121" i="21"/>
  <c r="U217" i="21"/>
  <c r="U219" i="21"/>
  <c r="U256" i="21"/>
  <c r="U168" i="21"/>
  <c r="U342" i="21"/>
  <c r="U120" i="21"/>
  <c r="U350" i="21"/>
  <c r="U242" i="21"/>
  <c r="U346" i="21"/>
  <c r="U313" i="21"/>
  <c r="K147" i="3"/>
  <c r="K94" i="3"/>
  <c r="K109" i="3"/>
  <c r="K74" i="3"/>
  <c r="U75" i="21"/>
  <c r="K4" i="11"/>
  <c r="K185" i="3"/>
  <c r="K214" i="3"/>
  <c r="U53" i="21"/>
  <c r="K100" i="3"/>
  <c r="K64" i="3"/>
  <c r="K42" i="3"/>
  <c r="K129" i="3"/>
  <c r="K110" i="3"/>
  <c r="K157" i="3"/>
  <c r="K63" i="3"/>
  <c r="K93" i="3"/>
  <c r="U363" i="21"/>
  <c r="U366" i="21"/>
  <c r="U54" i="21"/>
  <c r="K201" i="3"/>
  <c r="K233" i="3"/>
  <c r="U12" i="21"/>
  <c r="U280" i="21"/>
  <c r="U80" i="21"/>
  <c r="U91" i="21"/>
  <c r="U113" i="21"/>
  <c r="U223" i="21"/>
  <c r="K108" i="3"/>
  <c r="U312" i="21"/>
  <c r="U333" i="21"/>
  <c r="U60" i="21"/>
  <c r="U248" i="21"/>
  <c r="U231" i="21"/>
  <c r="U278" i="21"/>
  <c r="U340" i="21"/>
  <c r="U26" i="21"/>
  <c r="K211" i="3"/>
  <c r="K166" i="3"/>
  <c r="K155" i="3"/>
  <c r="U298" i="21"/>
  <c r="U258" i="21"/>
  <c r="U44" i="21"/>
  <c r="U115" i="21"/>
  <c r="U33" i="21"/>
  <c r="U308" i="21"/>
  <c r="U34" i="21"/>
  <c r="U22" i="21"/>
  <c r="U224" i="21"/>
  <c r="U2" i="21"/>
  <c r="U116" i="21"/>
  <c r="U334" i="21"/>
  <c r="U43" i="21"/>
  <c r="U104" i="21"/>
  <c r="U341" i="21"/>
  <c r="U7" i="21"/>
  <c r="K133" i="3"/>
  <c r="K194" i="3"/>
  <c r="K46" i="3"/>
  <c r="K143" i="3"/>
  <c r="K144" i="3"/>
  <c r="K89" i="3"/>
  <c r="K159" i="3"/>
  <c r="K188" i="3"/>
  <c r="K77" i="3"/>
  <c r="K192" i="3"/>
  <c r="U234" i="21"/>
  <c r="U306" i="21"/>
  <c r="U161" i="21"/>
  <c r="U368" i="21"/>
  <c r="U354" i="21"/>
  <c r="U360" i="21"/>
  <c r="U221" i="21"/>
  <c r="U338" i="21"/>
  <c r="Z45" i="3"/>
  <c r="AC45" i="3" s="1"/>
  <c r="Y45" i="3"/>
  <c r="Y165" i="3"/>
  <c r="Z165" i="3"/>
  <c r="AC165" i="3" s="1"/>
  <c r="Y50" i="3"/>
  <c r="Z50" i="3"/>
  <c r="AC50" i="3" s="1"/>
  <c r="Y66" i="3"/>
  <c r="Z66" i="3"/>
  <c r="AC66" i="3" s="1"/>
  <c r="Y73" i="3"/>
  <c r="Z73" i="3"/>
  <c r="AC73" i="3" s="1"/>
  <c r="Y157" i="3"/>
  <c r="Z157" i="3"/>
  <c r="AC157" i="3" s="1"/>
  <c r="Z99" i="3"/>
  <c r="AC99" i="3" s="1"/>
  <c r="Y99" i="3"/>
  <c r="Z167" i="3"/>
  <c r="AC167" i="3" s="1"/>
  <c r="Y167" i="3"/>
  <c r="Z131" i="3"/>
  <c r="AC131" i="3" s="1"/>
  <c r="Y131" i="3"/>
  <c r="Y88" i="3"/>
  <c r="Z88" i="3"/>
  <c r="AC88" i="3" s="1"/>
  <c r="U164" i="21"/>
  <c r="U285" i="21"/>
  <c r="U297" i="21"/>
  <c r="U229" i="21"/>
  <c r="U265" i="21"/>
  <c r="Y133" i="3"/>
  <c r="Z133" i="3"/>
  <c r="AC133" i="3" s="1"/>
  <c r="Z185" i="3"/>
  <c r="AC185" i="3" s="1"/>
  <c r="Y185" i="3"/>
  <c r="Z173" i="3"/>
  <c r="AC173" i="3" s="1"/>
  <c r="Y173" i="3"/>
  <c r="K224" i="3"/>
  <c r="Z33" i="22"/>
  <c r="Z94" i="3"/>
  <c r="AC94" i="3" s="1"/>
  <c r="Y94" i="3"/>
  <c r="K180" i="3"/>
  <c r="Z150" i="3"/>
  <c r="AC150" i="3" s="1"/>
  <c r="Y150" i="3"/>
  <c r="Y183" i="3"/>
  <c r="Z183" i="3"/>
  <c r="AC183" i="3" s="1"/>
  <c r="Y119" i="3"/>
  <c r="Z119" i="3"/>
  <c r="AC119" i="3" s="1"/>
  <c r="Y162" i="3"/>
  <c r="Z162" i="3"/>
  <c r="AC162" i="3" s="1"/>
  <c r="K152" i="3"/>
  <c r="Y82" i="3"/>
  <c r="Z82" i="3"/>
  <c r="AC82" i="3" s="1"/>
  <c r="K91" i="3"/>
  <c r="Y85" i="3"/>
  <c r="Z85" i="3"/>
  <c r="AC85" i="3" s="1"/>
  <c r="Z59" i="3"/>
  <c r="AC59" i="3" s="1"/>
  <c r="Y59" i="3"/>
  <c r="Y118" i="3"/>
  <c r="Z118" i="3"/>
  <c r="AC118" i="3" s="1"/>
  <c r="U347" i="21"/>
  <c r="U171" i="21"/>
  <c r="U174" i="21"/>
  <c r="Y181" i="3"/>
  <c r="Z181" i="3"/>
  <c r="AC181" i="3" s="1"/>
  <c r="Z76" i="3"/>
  <c r="AC76" i="3" s="1"/>
  <c r="Y76" i="3"/>
  <c r="Z148" i="3"/>
  <c r="AC148" i="3" s="1"/>
  <c r="Y148" i="3"/>
  <c r="Y153" i="3"/>
  <c r="Z153" i="3"/>
  <c r="AC153" i="3" s="1"/>
  <c r="Z49" i="3"/>
  <c r="AC49" i="3" s="1"/>
  <c r="Y49" i="3"/>
  <c r="K61" i="3"/>
  <c r="Y87" i="3"/>
  <c r="Z87" i="3"/>
  <c r="AC87" i="3" s="1"/>
  <c r="Z142" i="3"/>
  <c r="AC142" i="3" s="1"/>
  <c r="Y142" i="3"/>
  <c r="Z46" i="3"/>
  <c r="AC46" i="3" s="1"/>
  <c r="Y46" i="3"/>
  <c r="Y179" i="3"/>
  <c r="Z179" i="3"/>
  <c r="AC179" i="3" s="1"/>
  <c r="Y69" i="3"/>
  <c r="Z69" i="3"/>
  <c r="AC69" i="3" s="1"/>
  <c r="Y84" i="3"/>
  <c r="Z84" i="3"/>
  <c r="AC84" i="3" s="1"/>
  <c r="Z65" i="3"/>
  <c r="AC65" i="3" s="1"/>
  <c r="Y65" i="3"/>
  <c r="U349" i="21"/>
  <c r="U261" i="21"/>
  <c r="U212" i="21"/>
  <c r="U213" i="21"/>
  <c r="U181" i="21"/>
  <c r="U69" i="21"/>
  <c r="U206" i="21"/>
  <c r="U197" i="21"/>
  <c r="U216" i="21"/>
  <c r="U358" i="21"/>
  <c r="U194" i="21"/>
  <c r="U290" i="21"/>
  <c r="U295" i="21"/>
  <c r="U239" i="21"/>
  <c r="U199" i="21"/>
  <c r="U304" i="21"/>
  <c r="U236" i="21"/>
  <c r="U28" i="21"/>
  <c r="Z44" i="3"/>
  <c r="AC44" i="3" s="1"/>
  <c r="Y44" i="3"/>
  <c r="Y128" i="3"/>
  <c r="Z128" i="3"/>
  <c r="AC128" i="3" s="1"/>
  <c r="K200" i="3"/>
  <c r="Z91" i="3"/>
  <c r="AC91" i="3" s="1"/>
  <c r="Y91" i="3"/>
  <c r="Z28" i="22"/>
  <c r="K239" i="3"/>
  <c r="Z151" i="3"/>
  <c r="AC151" i="3" s="1"/>
  <c r="Y151" i="3"/>
  <c r="K71" i="3"/>
  <c r="Z56" i="3"/>
  <c r="AC56" i="3" s="1"/>
  <c r="Y56" i="3"/>
  <c r="AN8" i="2"/>
  <c r="AP5" i="2"/>
  <c r="AP8" i="2"/>
  <c r="AN5" i="2"/>
  <c r="U316" i="21"/>
  <c r="U352" i="21"/>
  <c r="U356" i="21"/>
  <c r="U191" i="21"/>
  <c r="U282" i="21"/>
  <c r="U173" i="21"/>
  <c r="U79" i="21"/>
  <c r="U269" i="21"/>
  <c r="U284" i="21"/>
  <c r="U201" i="21"/>
  <c r="U195" i="21"/>
  <c r="U311" i="21"/>
  <c r="U274" i="21"/>
  <c r="U203" i="21"/>
  <c r="U153" i="21"/>
  <c r="U270" i="21"/>
  <c r="U262" i="21"/>
  <c r="U157" i="21"/>
  <c r="U345" i="21"/>
  <c r="U362" i="21"/>
  <c r="U257" i="21"/>
  <c r="U123" i="21"/>
  <c r="U146" i="21"/>
  <c r="U220" i="21"/>
  <c r="U268" i="21"/>
  <c r="U42" i="21"/>
  <c r="U83" i="21"/>
  <c r="U307" i="21"/>
  <c r="U190" i="21"/>
  <c r="U289" i="21"/>
  <c r="U210" i="21"/>
  <c r="U332" i="21"/>
  <c r="U235" i="21"/>
  <c r="U277" i="21"/>
  <c r="U283" i="21"/>
  <c r="U255" i="21"/>
  <c r="U252" i="21"/>
  <c r="U245" i="21"/>
  <c r="U303" i="21"/>
  <c r="U300" i="21"/>
  <c r="U276" i="21"/>
  <c r="U166" i="21"/>
  <c r="U353" i="21"/>
  <c r="U244" i="21"/>
  <c r="U364" i="21"/>
  <c r="U263" i="21"/>
  <c r="U4" i="21"/>
  <c r="Y96" i="3"/>
  <c r="Z96" i="3"/>
  <c r="AC96" i="3" s="1"/>
  <c r="Z32" i="22"/>
  <c r="K135" i="3"/>
  <c r="Z105" i="3"/>
  <c r="AC105" i="3" s="1"/>
  <c r="Y105" i="3"/>
  <c r="Y174" i="3"/>
  <c r="Z174" i="3"/>
  <c r="AC174" i="3" s="1"/>
  <c r="Y68" i="3"/>
  <c r="Z68" i="3"/>
  <c r="AC68" i="3" s="1"/>
  <c r="Z36" i="22"/>
  <c r="Y135" i="3"/>
  <c r="Z135" i="3"/>
  <c r="AC135" i="3" s="1"/>
  <c r="Z31" i="22"/>
  <c r="K229" i="3"/>
  <c r="Z80" i="3"/>
  <c r="AC80" i="3" s="1"/>
  <c r="Y80" i="3"/>
  <c r="Y184" i="3"/>
  <c r="Z184" i="3"/>
  <c r="AC184" i="3" s="1"/>
  <c r="Z67" i="3"/>
  <c r="AC67" i="3" s="1"/>
  <c r="Y67" i="3"/>
  <c r="K116" i="3"/>
  <c r="Y178" i="3"/>
  <c r="Z178" i="3"/>
  <c r="AC178" i="3" s="1"/>
  <c r="Z163" i="3"/>
  <c r="AC163" i="3" s="1"/>
  <c r="Y163" i="3"/>
  <c r="Z147" i="3"/>
  <c r="AC147" i="3" s="1"/>
  <c r="Y147" i="3"/>
  <c r="K139" i="3"/>
  <c r="Y97" i="3"/>
  <c r="Z97" i="3"/>
  <c r="AC97" i="3" s="1"/>
  <c r="K90" i="3"/>
  <c r="Y75" i="3"/>
  <c r="Z75" i="3"/>
  <c r="AC75" i="3" s="1"/>
  <c r="Z139" i="3"/>
  <c r="AC139" i="3" s="1"/>
  <c r="Y139" i="3"/>
  <c r="Z125" i="3"/>
  <c r="AC125" i="3" s="1"/>
  <c r="Y125" i="3"/>
  <c r="Y42" i="3"/>
  <c r="Z42" i="3"/>
  <c r="AC42" i="3" s="1"/>
  <c r="K232" i="3"/>
  <c r="U361" i="21"/>
  <c r="U29" i="21"/>
  <c r="U165" i="21"/>
  <c r="U343" i="21"/>
  <c r="U94" i="21"/>
  <c r="U119" i="21"/>
  <c r="U87" i="21"/>
  <c r="U253" i="21"/>
  <c r="K12" i="3"/>
  <c r="Y60" i="3"/>
  <c r="Z60" i="3"/>
  <c r="AC60" i="3" s="1"/>
  <c r="Z37" i="22"/>
  <c r="Z154" i="3"/>
  <c r="AC154" i="3" s="1"/>
  <c r="Y154" i="3"/>
  <c r="K53" i="3"/>
  <c r="Z26" i="22"/>
  <c r="K124" i="3"/>
  <c r="Y102" i="3"/>
  <c r="Z102" i="3"/>
  <c r="AC102" i="3" s="1"/>
  <c r="K80" i="3"/>
  <c r="Y182" i="3"/>
  <c r="Z182" i="3"/>
  <c r="AC182" i="3" s="1"/>
  <c r="Z71" i="3"/>
  <c r="AC71" i="3" s="1"/>
  <c r="Y71" i="3"/>
  <c r="Y90" i="3"/>
  <c r="Z90" i="3"/>
  <c r="AC90" i="3" s="1"/>
  <c r="Z92" i="3"/>
  <c r="AC92" i="3" s="1"/>
  <c r="Y92" i="3"/>
  <c r="K66" i="3"/>
  <c r="K119" i="3"/>
  <c r="K87" i="3"/>
  <c r="Y143" i="3"/>
  <c r="Z143" i="3"/>
  <c r="AC143" i="3" s="1"/>
  <c r="K114" i="3"/>
  <c r="Y123" i="3"/>
  <c r="Z123" i="3"/>
  <c r="AC123" i="3" s="1"/>
  <c r="Z51" i="3"/>
  <c r="AC51" i="3" s="1"/>
  <c r="Y51" i="3"/>
  <c r="Z61" i="3"/>
  <c r="AC61" i="3" s="1"/>
  <c r="Y61" i="3"/>
  <c r="K52" i="3"/>
  <c r="Z130" i="3"/>
  <c r="AC130" i="3" s="1"/>
  <c r="Y130" i="3"/>
  <c r="K122" i="3"/>
  <c r="K5" i="11"/>
  <c r="K196" i="3"/>
  <c r="K175" i="3"/>
  <c r="K215" i="3"/>
  <c r="Y149" i="3"/>
  <c r="Z149" i="3"/>
  <c r="AC149" i="3" s="1"/>
  <c r="Y52" i="3"/>
  <c r="Z52" i="3"/>
  <c r="AC52" i="3" s="1"/>
  <c r="K8" i="11"/>
  <c r="K67" i="3"/>
  <c r="Y62" i="3"/>
  <c r="Z62" i="3"/>
  <c r="AC62" i="3" s="1"/>
  <c r="Y121" i="3"/>
  <c r="Z121" i="3"/>
  <c r="AC121" i="3" s="1"/>
  <c r="K78" i="3"/>
  <c r="U328" i="21"/>
  <c r="U95" i="21"/>
  <c r="U355" i="21"/>
  <c r="U291" i="21"/>
  <c r="U31" i="21"/>
  <c r="U193" i="21"/>
  <c r="U357" i="21"/>
  <c r="U325" i="21"/>
  <c r="Z186" i="3"/>
  <c r="AC186" i="3" s="1"/>
  <c r="Y186" i="3"/>
  <c r="K197" i="3"/>
  <c r="Z53" i="3"/>
  <c r="AC53" i="3" s="1"/>
  <c r="Y53" i="3"/>
  <c r="K172" i="3"/>
  <c r="Z112" i="3"/>
  <c r="AC112" i="3" s="1"/>
  <c r="Y112" i="3"/>
  <c r="K230" i="3"/>
  <c r="Y140" i="3"/>
  <c r="Z140" i="3"/>
  <c r="AC140" i="3" s="1"/>
  <c r="Y166" i="3"/>
  <c r="Z166" i="3"/>
  <c r="AC166" i="3" s="1"/>
  <c r="K111" i="3"/>
  <c r="K55" i="3"/>
  <c r="K231" i="3"/>
  <c r="K225" i="3"/>
  <c r="K160" i="3"/>
  <c r="Z106" i="3"/>
  <c r="AC106" i="3" s="1"/>
  <c r="Y106" i="3"/>
  <c r="K113" i="3"/>
  <c r="K210" i="3"/>
  <c r="Y108" i="3"/>
  <c r="Z108" i="3"/>
  <c r="AC108" i="3" s="1"/>
  <c r="Y101" i="3"/>
  <c r="Z101" i="3"/>
  <c r="AC101" i="3" s="1"/>
  <c r="K130" i="3"/>
  <c r="Y145" i="3"/>
  <c r="Z145" i="3"/>
  <c r="AC145" i="3" s="1"/>
  <c r="K97" i="3"/>
  <c r="K84" i="3"/>
  <c r="K148" i="3"/>
  <c r="K60" i="3"/>
  <c r="U326" i="21"/>
  <c r="U337" i="21"/>
  <c r="U35" i="21"/>
  <c r="U74" i="21"/>
  <c r="U211" i="21"/>
  <c r="U108" i="21"/>
  <c r="U59" i="21"/>
  <c r="U230" i="21"/>
  <c r="U299" i="21"/>
  <c r="U259" i="21"/>
  <c r="U317" i="21"/>
  <c r="U177" i="21"/>
  <c r="U251" i="21"/>
  <c r="U305" i="21"/>
  <c r="U272" i="21"/>
  <c r="Y169" i="3"/>
  <c r="Z169" i="3"/>
  <c r="AC169" i="3" s="1"/>
  <c r="Z104" i="3"/>
  <c r="AC104" i="3" s="1"/>
  <c r="Y104" i="3"/>
  <c r="K65" i="3"/>
  <c r="K140" i="3"/>
  <c r="K181" i="3"/>
  <c r="Y86" i="3"/>
  <c r="Z86" i="3"/>
  <c r="AC86" i="3" s="1"/>
  <c r="Z172" i="3"/>
  <c r="AC172" i="3" s="1"/>
  <c r="Y172" i="3"/>
  <c r="Y168" i="3"/>
  <c r="Z168" i="3"/>
  <c r="AC168" i="3" s="1"/>
  <c r="Z161" i="3"/>
  <c r="AC161" i="3" s="1"/>
  <c r="Y161" i="3"/>
  <c r="K123" i="3"/>
  <c r="Y156" i="3"/>
  <c r="Z156" i="3"/>
  <c r="AC156" i="3" s="1"/>
  <c r="K150" i="3"/>
  <c r="K207" i="3"/>
  <c r="K43" i="3"/>
  <c r="Y70" i="3"/>
  <c r="Z70" i="3"/>
  <c r="AC70" i="3" s="1"/>
  <c r="Z43" i="3"/>
  <c r="AC43" i="3" s="1"/>
  <c r="Y43" i="3"/>
  <c r="Z98" i="3"/>
  <c r="AC98" i="3" s="1"/>
  <c r="Y98" i="3"/>
  <c r="K153" i="3"/>
  <c r="K218" i="3"/>
  <c r="K165" i="3"/>
  <c r="K131" i="3"/>
  <c r="K126" i="3"/>
  <c r="K189" i="3"/>
  <c r="Y95" i="3"/>
  <c r="Z95" i="3"/>
  <c r="AC95" i="3" s="1"/>
  <c r="U339" i="21"/>
  <c r="U204" i="21"/>
  <c r="U218" i="21"/>
  <c r="U227" i="21"/>
  <c r="U72" i="21"/>
  <c r="U273" i="21"/>
  <c r="U281" i="21"/>
  <c r="U184" i="21"/>
  <c r="U109" i="21"/>
  <c r="K219" i="3"/>
  <c r="Z132" i="3"/>
  <c r="AC132" i="3" s="1"/>
  <c r="Y132" i="3"/>
  <c r="Z27" i="22"/>
  <c r="Z55" i="3"/>
  <c r="AC55" i="3" s="1"/>
  <c r="Y55" i="3"/>
  <c r="K213" i="3"/>
  <c r="Y81" i="3"/>
  <c r="Z81" i="3"/>
  <c r="AC81" i="3" s="1"/>
  <c r="K193" i="3"/>
  <c r="Z136" i="3"/>
  <c r="AC136" i="3" s="1"/>
  <c r="Y136" i="3"/>
  <c r="Y74" i="3"/>
  <c r="Z74" i="3"/>
  <c r="AC74" i="3" s="1"/>
  <c r="K107" i="3"/>
  <c r="Z35" i="22"/>
  <c r="K45" i="3"/>
  <c r="Y83" i="3"/>
  <c r="Z83" i="3"/>
  <c r="AC83" i="3" s="1"/>
  <c r="Y146" i="3"/>
  <c r="Z146" i="3"/>
  <c r="AC146" i="3" s="1"/>
  <c r="Y129" i="3"/>
  <c r="Z129" i="3"/>
  <c r="AC129" i="3" s="1"/>
  <c r="Z160" i="3"/>
  <c r="AC160" i="3" s="1"/>
  <c r="Y160" i="3"/>
  <c r="Y159" i="3"/>
  <c r="Z159" i="3"/>
  <c r="AC159" i="3" s="1"/>
  <c r="K228" i="3"/>
  <c r="K204" i="3"/>
  <c r="Z57" i="3"/>
  <c r="AC57" i="3" s="1"/>
  <c r="Y57" i="3"/>
  <c r="Z134" i="3"/>
  <c r="AC134" i="3" s="1"/>
  <c r="Y134" i="3"/>
  <c r="K141" i="3"/>
  <c r="Z109" i="3"/>
  <c r="AC109" i="3" s="1"/>
  <c r="Y109" i="3"/>
  <c r="K83" i="3"/>
  <c r="K162" i="3"/>
  <c r="K242" i="3"/>
  <c r="U162" i="21"/>
  <c r="U330" i="21"/>
  <c r="U188" i="21"/>
  <c r="U89" i="21"/>
  <c r="U70" i="21"/>
  <c r="U323" i="21"/>
  <c r="U167" i="21"/>
  <c r="U351" i="21"/>
  <c r="U205" i="21"/>
  <c r="U238" i="21"/>
  <c r="U61" i="21"/>
  <c r="U25" i="21"/>
  <c r="Z47" i="3"/>
  <c r="AC47" i="3" s="1"/>
  <c r="Y47" i="3"/>
  <c r="Y89" i="3"/>
  <c r="Z89" i="3"/>
  <c r="AC89" i="3" s="1"/>
  <c r="Z127" i="3"/>
  <c r="AC127" i="3" s="1"/>
  <c r="Y127" i="3"/>
  <c r="K72" i="3"/>
  <c r="K191" i="3"/>
  <c r="K161" i="3"/>
  <c r="Y79" i="3"/>
  <c r="Z79" i="3"/>
  <c r="AC79" i="3" s="1"/>
  <c r="Y78" i="3"/>
  <c r="Z78" i="3"/>
  <c r="AC78" i="3" s="1"/>
  <c r="Z126" i="3"/>
  <c r="AC126" i="3" s="1"/>
  <c r="Y126" i="3"/>
  <c r="K209" i="3"/>
  <c r="Y187" i="3"/>
  <c r="Z187" i="3"/>
  <c r="AC187" i="3" s="1"/>
  <c r="Z120" i="3"/>
  <c r="AC120" i="3" s="1"/>
  <c r="Y120" i="3"/>
  <c r="Y48" i="3"/>
  <c r="Z48" i="3"/>
  <c r="AC48" i="3" s="1"/>
  <c r="K173" i="3"/>
  <c r="K102" i="3"/>
  <c r="K205" i="3"/>
  <c r="K203" i="3"/>
  <c r="Z180" i="3"/>
  <c r="AC180" i="3" s="1"/>
  <c r="Y180" i="3"/>
  <c r="K101" i="3"/>
  <c r="Z77" i="3"/>
  <c r="AC77" i="3" s="1"/>
  <c r="Y77" i="3"/>
  <c r="Z176" i="3"/>
  <c r="AC176" i="3" s="1"/>
  <c r="Y176" i="3"/>
  <c r="K240" i="3"/>
  <c r="K128" i="3"/>
  <c r="U32" i="21"/>
  <c r="U335" i="21"/>
  <c r="U11" i="21"/>
  <c r="U293" i="21"/>
  <c r="U187" i="21"/>
  <c r="U226" i="21"/>
  <c r="U30" i="21"/>
  <c r="U169" i="21"/>
  <c r="U324" i="21"/>
  <c r="U233" i="21"/>
  <c r="U19" i="21"/>
  <c r="U106" i="21"/>
  <c r="U6" i="21"/>
  <c r="Y107" i="3"/>
  <c r="Z107" i="3"/>
  <c r="AC107" i="3" s="1"/>
  <c r="K50" i="3"/>
  <c r="Z30" i="22"/>
  <c r="K88" i="3"/>
  <c r="Z29" i="22"/>
  <c r="Y144" i="3"/>
  <c r="Z144" i="3"/>
  <c r="AC144" i="3" s="1"/>
  <c r="Z177" i="3"/>
  <c r="AC177" i="3" s="1"/>
  <c r="Y177" i="3"/>
  <c r="K112" i="3"/>
  <c r="K56" i="3"/>
  <c r="K47" i="3"/>
  <c r="K73" i="3"/>
  <c r="K115" i="3"/>
  <c r="Y54" i="3"/>
  <c r="Z54" i="3"/>
  <c r="AC54" i="3" s="1"/>
  <c r="Y93" i="3"/>
  <c r="Z93" i="3"/>
  <c r="AC93" i="3" s="1"/>
  <c r="Y158" i="3"/>
  <c r="Z158" i="3"/>
  <c r="AC158" i="3" s="1"/>
  <c r="K169" i="3"/>
  <c r="K137" i="3"/>
  <c r="K145" i="3"/>
  <c r="K40" i="3"/>
  <c r="Z63" i="3"/>
  <c r="AC63" i="3" s="1"/>
  <c r="Y63" i="3"/>
  <c r="Y152" i="3"/>
  <c r="Z152" i="3"/>
  <c r="AC152" i="3" s="1"/>
  <c r="Z58" i="3"/>
  <c r="AC58" i="3" s="1"/>
  <c r="Y58" i="3"/>
  <c r="K134" i="3"/>
  <c r="K103" i="3"/>
  <c r="Z110" i="3"/>
  <c r="AC110" i="3" s="1"/>
  <c r="Y110" i="3"/>
  <c r="Z124" i="3"/>
  <c r="AC124" i="3" s="1"/>
  <c r="Y124" i="3"/>
  <c r="Y170" i="3"/>
  <c r="Z170" i="3"/>
  <c r="AC170" i="3" s="1"/>
  <c r="U20" i="21"/>
  <c r="U207" i="21"/>
  <c r="U271" i="21"/>
  <c r="U196" i="21"/>
  <c r="U237" i="21"/>
  <c r="U327" i="21"/>
  <c r="U294" i="21"/>
  <c r="U254" i="21"/>
  <c r="U202" i="21"/>
  <c r="U228" i="21"/>
  <c r="U336" i="21"/>
  <c r="U160" i="21"/>
  <c r="U48" i="21"/>
  <c r="U198" i="21"/>
  <c r="U158" i="21"/>
  <c r="U180" i="21"/>
  <c r="Y40" i="3"/>
  <c r="Z40" i="3"/>
  <c r="AC40" i="3" s="1"/>
  <c r="K96" i="3"/>
  <c r="Y100" i="3"/>
  <c r="Z100" i="3"/>
  <c r="AC100" i="3" s="1"/>
  <c r="K235" i="3"/>
  <c r="Z34" i="22"/>
  <c r="Y64" i="3"/>
  <c r="Z64" i="3"/>
  <c r="AC64" i="3" s="1"/>
  <c r="K182" i="3"/>
  <c r="Y175" i="3"/>
  <c r="Z175" i="3"/>
  <c r="AC175" i="3" s="1"/>
  <c r="Y171" i="3"/>
  <c r="Z171" i="3"/>
  <c r="AC171" i="3" s="1"/>
  <c r="K164" i="3"/>
  <c r="Z122" i="3"/>
  <c r="AC122" i="3" s="1"/>
  <c r="Y122" i="3"/>
  <c r="Z117" i="3"/>
  <c r="AC117" i="3" s="1"/>
  <c r="Y117" i="3"/>
  <c r="Y72" i="3"/>
  <c r="Z72" i="3"/>
  <c r="AC72" i="3" s="1"/>
  <c r="Z138" i="3"/>
  <c r="AC138" i="3" s="1"/>
  <c r="Y138" i="3"/>
  <c r="Y141" i="3"/>
  <c r="Z141" i="3"/>
  <c r="AC141" i="3" s="1"/>
  <c r="K217" i="3"/>
  <c r="Z137" i="3"/>
  <c r="AC137" i="3" s="1"/>
  <c r="Y137" i="3"/>
  <c r="Z111" i="3"/>
  <c r="AC111" i="3" s="1"/>
  <c r="Y111" i="3"/>
  <c r="Y103" i="3"/>
  <c r="Z103" i="3"/>
  <c r="AC103" i="3" s="1"/>
  <c r="K208" i="3"/>
  <c r="Y155" i="3"/>
  <c r="Z155" i="3"/>
  <c r="AC155" i="3" s="1"/>
  <c r="K190" i="3"/>
  <c r="K70" i="3"/>
  <c r="K51" i="3"/>
  <c r="Z164" i="3"/>
  <c r="AC164" i="3" s="1"/>
  <c r="Y164" i="3"/>
  <c r="K99" i="3"/>
  <c r="K212" i="3"/>
  <c r="K170" i="3"/>
  <c r="W219" i="21"/>
  <c r="O219" i="21"/>
  <c r="W128" i="21"/>
  <c r="W33" i="21"/>
  <c r="O33" i="21"/>
  <c r="W103" i="21"/>
  <c r="O103" i="21"/>
  <c r="W152" i="21"/>
  <c r="O152" i="21"/>
  <c r="W308" i="21"/>
  <c r="O308" i="21"/>
  <c r="W216" i="21"/>
  <c r="O216" i="21"/>
  <c r="W331" i="21"/>
  <c r="O331" i="21"/>
  <c r="W137" i="21"/>
  <c r="W34" i="21"/>
  <c r="O34" i="21"/>
  <c r="W22" i="21"/>
  <c r="O22" i="21"/>
  <c r="W288" i="21"/>
  <c r="O288" i="21"/>
  <c r="W284" i="21"/>
  <c r="O284" i="21"/>
  <c r="W176" i="21"/>
  <c r="O176" i="21"/>
  <c r="W107" i="21"/>
  <c r="O107" i="21"/>
  <c r="W347" i="21"/>
  <c r="O347" i="21"/>
  <c r="W171" i="21"/>
  <c r="O171" i="21"/>
  <c r="W20" i="21"/>
  <c r="O20" i="21"/>
  <c r="W222" i="21"/>
  <c r="O222" i="21"/>
  <c r="W201" i="21"/>
  <c r="O201" i="21"/>
  <c r="W105" i="21"/>
  <c r="O105" i="21"/>
  <c r="W271" i="21"/>
  <c r="O271" i="21"/>
  <c r="W326" i="21"/>
  <c r="O326" i="21"/>
  <c r="W337" i="21"/>
  <c r="O337" i="21"/>
  <c r="W173" i="21"/>
  <c r="O173" i="21"/>
  <c r="W226" i="21"/>
  <c r="O226" i="21"/>
  <c r="W30" i="21"/>
  <c r="O30" i="21"/>
  <c r="W285" i="21"/>
  <c r="O285" i="21"/>
  <c r="W199" i="21"/>
  <c r="O199" i="21"/>
  <c r="W145" i="21"/>
  <c r="W94" i="21"/>
  <c r="O94" i="21"/>
  <c r="W119" i="21"/>
  <c r="O119" i="21"/>
  <c r="W345" i="21"/>
  <c r="O345" i="21"/>
  <c r="W320" i="21"/>
  <c r="O320" i="21"/>
  <c r="W168" i="21"/>
  <c r="O168" i="21"/>
  <c r="W258" i="21"/>
  <c r="O258" i="21"/>
  <c r="W178" i="21"/>
  <c r="O178" i="21"/>
  <c r="W252" i="21"/>
  <c r="O252" i="21"/>
  <c r="W116" i="21"/>
  <c r="O116" i="21"/>
  <c r="W142" i="21"/>
  <c r="W135" i="21"/>
  <c r="W102" i="21"/>
  <c r="O102" i="21"/>
  <c r="W162" i="21"/>
  <c r="O162" i="21"/>
  <c r="W43" i="21"/>
  <c r="O43" i="21"/>
  <c r="W68" i="21"/>
  <c r="O68" i="21"/>
  <c r="W358" i="21"/>
  <c r="O358" i="21"/>
  <c r="W38" i="21"/>
  <c r="O38" i="21"/>
  <c r="W188" i="21"/>
  <c r="O188" i="21"/>
  <c r="W323" i="21"/>
  <c r="O323" i="21"/>
  <c r="W248" i="21"/>
  <c r="O248" i="21"/>
  <c r="W227" i="21"/>
  <c r="O227" i="21"/>
  <c r="W29" i="21"/>
  <c r="O29" i="21"/>
  <c r="W81" i="21"/>
  <c r="O81" i="21"/>
  <c r="W72" i="21"/>
  <c r="O72" i="21"/>
  <c r="W273" i="21"/>
  <c r="O273" i="21"/>
  <c r="W340" i="21"/>
  <c r="O340" i="21"/>
  <c r="W369" i="21"/>
  <c r="O369" i="21"/>
  <c r="W177" i="21"/>
  <c r="O177" i="21"/>
  <c r="W251" i="21"/>
  <c r="O251" i="21"/>
  <c r="W160" i="21"/>
  <c r="O160" i="21"/>
  <c r="W121" i="21"/>
  <c r="O121" i="21"/>
  <c r="W297" i="21"/>
  <c r="O297" i="21"/>
  <c r="W357" i="21"/>
  <c r="O357" i="21"/>
  <c r="W138" i="21"/>
  <c r="W106" i="21"/>
  <c r="O106" i="21"/>
  <c r="W159" i="21"/>
  <c r="O159" i="21"/>
  <c r="W215" i="21"/>
  <c r="O215" i="21"/>
  <c r="W350" i="21"/>
  <c r="O350" i="21"/>
  <c r="W44" i="21"/>
  <c r="O44" i="21"/>
  <c r="W125" i="21"/>
  <c r="O125" i="21"/>
  <c r="W261" i="21"/>
  <c r="O261" i="21"/>
  <c r="W88" i="21"/>
  <c r="O88" i="21"/>
  <c r="W314" i="21"/>
  <c r="O314" i="21"/>
  <c r="W146" i="21"/>
  <c r="O146" i="21"/>
  <c r="W296" i="21"/>
  <c r="O296" i="21"/>
  <c r="W247" i="21"/>
  <c r="O247" i="21"/>
  <c r="W122" i="21"/>
  <c r="O122" i="21"/>
  <c r="W186" i="21"/>
  <c r="O186" i="21"/>
  <c r="W213" i="21"/>
  <c r="O213" i="21"/>
  <c r="W52" i="21"/>
  <c r="O52" i="21"/>
  <c r="W235" i="21"/>
  <c r="O235" i="21"/>
  <c r="W232" i="21"/>
  <c r="O232" i="21"/>
  <c r="W147" i="21"/>
  <c r="O147" i="21"/>
  <c r="W17" i="21"/>
  <c r="O17" i="21"/>
  <c r="W71" i="21"/>
  <c r="O71" i="21"/>
  <c r="W141" i="21"/>
  <c r="W163" i="21"/>
  <c r="O163" i="21"/>
  <c r="W267" i="21"/>
  <c r="O267" i="21"/>
  <c r="W245" i="21"/>
  <c r="O245" i="21"/>
  <c r="W12" i="21"/>
  <c r="O12" i="21"/>
  <c r="W280" i="21"/>
  <c r="O280" i="21"/>
  <c r="W91" i="21"/>
  <c r="O91" i="21"/>
  <c r="W157" i="21"/>
  <c r="O157" i="21"/>
  <c r="W118" i="21"/>
  <c r="O118" i="21"/>
  <c r="W209" i="21"/>
  <c r="O209" i="21"/>
  <c r="W195" i="21"/>
  <c r="O195" i="21"/>
  <c r="W311" i="21"/>
  <c r="O311" i="21"/>
  <c r="W37" i="21"/>
  <c r="O37" i="21"/>
  <c r="W269" i="21"/>
  <c r="O269" i="21"/>
  <c r="W156" i="21"/>
  <c r="O156" i="21"/>
  <c r="W243" i="21"/>
  <c r="O243" i="21"/>
  <c r="W313" i="21"/>
  <c r="O313" i="21"/>
  <c r="W298" i="21"/>
  <c r="O298" i="21"/>
  <c r="W183" i="21"/>
  <c r="O183" i="21"/>
  <c r="W36" i="21"/>
  <c r="O36" i="21"/>
  <c r="W315" i="21"/>
  <c r="O315" i="21"/>
  <c r="W319" i="21"/>
  <c r="O319" i="21"/>
  <c r="W14" i="21"/>
  <c r="O14" i="21"/>
  <c r="W170" i="21"/>
  <c r="O170" i="21"/>
  <c r="W220" i="21"/>
  <c r="O220" i="21"/>
  <c r="W9" i="21"/>
  <c r="O9" i="21"/>
  <c r="W13" i="21"/>
  <c r="O13" i="21"/>
  <c r="W212" i="21"/>
  <c r="O212" i="21"/>
  <c r="W93" i="21"/>
  <c r="O93" i="21"/>
  <c r="W210" i="21"/>
  <c r="O210" i="21"/>
  <c r="W344" i="21"/>
  <c r="O344" i="21"/>
  <c r="W191" i="21"/>
  <c r="O191" i="21"/>
  <c r="W200" i="21"/>
  <c r="O200" i="21"/>
  <c r="W282" i="21"/>
  <c r="O282" i="21"/>
  <c r="W32" i="21"/>
  <c r="O32" i="21"/>
  <c r="W114" i="21"/>
  <c r="O114" i="21"/>
  <c r="W92" i="21"/>
  <c r="O92" i="21"/>
  <c r="W287" i="21"/>
  <c r="O287" i="21"/>
  <c r="W349" i="21"/>
  <c r="O349" i="21"/>
  <c r="W359" i="21"/>
  <c r="O359" i="21"/>
  <c r="W140" i="21"/>
  <c r="W10" i="21"/>
  <c r="O10" i="21"/>
  <c r="W275" i="21"/>
  <c r="O275" i="21"/>
  <c r="W348" i="21"/>
  <c r="O348" i="21"/>
  <c r="W80" i="21"/>
  <c r="O80" i="21"/>
  <c r="W310" i="21"/>
  <c r="O310" i="21"/>
  <c r="W179" i="21"/>
  <c r="O179" i="21"/>
  <c r="W113" i="21"/>
  <c r="O113" i="21"/>
  <c r="W65" i="21"/>
  <c r="O65" i="21"/>
  <c r="W268" i="21"/>
  <c r="O268" i="21"/>
  <c r="W42" i="21"/>
  <c r="O42" i="21"/>
  <c r="W83" i="21"/>
  <c r="O83" i="21"/>
  <c r="W334" i="21"/>
  <c r="O334" i="21"/>
  <c r="W3" i="21"/>
  <c r="O3" i="21"/>
  <c r="W18" i="21"/>
  <c r="O18" i="21"/>
  <c r="W330" i="21"/>
  <c r="O330" i="21"/>
  <c r="W161" i="21"/>
  <c r="O161" i="21"/>
  <c r="W368" i="21"/>
  <c r="O368" i="21"/>
  <c r="W189" i="21"/>
  <c r="O189" i="21"/>
  <c r="W117" i="21"/>
  <c r="O117" i="21"/>
  <c r="W89" i="21"/>
  <c r="O89" i="21"/>
  <c r="W70" i="21"/>
  <c r="O70" i="21"/>
  <c r="W194" i="21"/>
  <c r="O194" i="21"/>
  <c r="W27" i="21"/>
  <c r="O27" i="21"/>
  <c r="W354" i="21"/>
  <c r="O354" i="21"/>
  <c r="W131" i="21"/>
  <c r="W290" i="21"/>
  <c r="O290" i="21"/>
  <c r="W110" i="21"/>
  <c r="O110" i="21"/>
  <c r="W133" i="21"/>
  <c r="W361" i="21"/>
  <c r="O361" i="21"/>
  <c r="W231" i="21"/>
  <c r="O231" i="21"/>
  <c r="W165" i="21"/>
  <c r="O165" i="21"/>
  <c r="W41" i="21"/>
  <c r="O41" i="21"/>
  <c r="W278" i="21"/>
  <c r="O278" i="21"/>
  <c r="W353" i="21"/>
  <c r="O353" i="21"/>
  <c r="W244" i="21"/>
  <c r="O244" i="21"/>
  <c r="W336" i="21"/>
  <c r="O336" i="21"/>
  <c r="W57" i="21"/>
  <c r="O57" i="21"/>
  <c r="W321" i="21"/>
  <c r="O321" i="21"/>
  <c r="W49" i="21"/>
  <c r="O49" i="21"/>
  <c r="W19" i="21"/>
  <c r="O19" i="21"/>
  <c r="W193" i="21"/>
  <c r="O193" i="21"/>
  <c r="W46" i="21"/>
  <c r="O46" i="21"/>
  <c r="W325" i="21"/>
  <c r="O325" i="21"/>
  <c r="W229" i="21"/>
  <c r="O229" i="21"/>
  <c r="W246" i="21"/>
  <c r="O246" i="21"/>
  <c r="W329" i="21"/>
  <c r="O329" i="21"/>
  <c r="W39" i="21"/>
  <c r="O39" i="21"/>
  <c r="W365" i="21"/>
  <c r="O365" i="21"/>
  <c r="W274" i="21"/>
  <c r="O274" i="21"/>
  <c r="W66" i="21"/>
  <c r="O66" i="21"/>
  <c r="W155" i="21"/>
  <c r="O155" i="21"/>
  <c r="W54" i="21"/>
  <c r="O54" i="21"/>
  <c r="W356" i="21"/>
  <c r="O356" i="21"/>
  <c r="W332" i="21"/>
  <c r="O332" i="21"/>
  <c r="W277" i="21"/>
  <c r="O277" i="21"/>
  <c r="W111" i="21"/>
  <c r="O111" i="21"/>
  <c r="W40" i="21"/>
  <c r="O40" i="21"/>
  <c r="W149" i="21"/>
  <c r="O149" i="21"/>
  <c r="W11" i="21"/>
  <c r="O11" i="21"/>
  <c r="W175" i="21"/>
  <c r="O175" i="21"/>
  <c r="W139" i="21"/>
  <c r="W129" i="21"/>
  <c r="W167" i="21"/>
  <c r="O167" i="21"/>
  <c r="W360" i="21"/>
  <c r="O360" i="21"/>
  <c r="W295" i="21"/>
  <c r="O295" i="21"/>
  <c r="W104" i="21"/>
  <c r="O104" i="21"/>
  <c r="W239" i="21"/>
  <c r="O239" i="21"/>
  <c r="W343" i="21"/>
  <c r="O343" i="21"/>
  <c r="W48" i="21"/>
  <c r="O48" i="21"/>
  <c r="W250" i="21"/>
  <c r="O250" i="21"/>
  <c r="W198" i="21"/>
  <c r="O198" i="21"/>
  <c r="W158" i="21"/>
  <c r="O158" i="21"/>
  <c r="W180" i="21"/>
  <c r="O180" i="21"/>
  <c r="W109" i="21"/>
  <c r="O109" i="21"/>
  <c r="W4" i="21"/>
  <c r="O4" i="21"/>
  <c r="W281" i="21"/>
  <c r="O281" i="21"/>
  <c r="W87" i="21"/>
  <c r="O87" i="21"/>
  <c r="W26" i="21"/>
  <c r="O26" i="21"/>
  <c r="W364" i="21"/>
  <c r="O364" i="21"/>
  <c r="W253" i="21"/>
  <c r="O253" i="21"/>
  <c r="W263" i="21"/>
  <c r="O263" i="21"/>
  <c r="W249" i="21"/>
  <c r="O249" i="21"/>
  <c r="W84" i="21"/>
  <c r="O84" i="21"/>
  <c r="W124" i="21"/>
  <c r="O124" i="21"/>
  <c r="W85" i="21"/>
  <c r="O85" i="21"/>
  <c r="W316" i="21"/>
  <c r="O316" i="21"/>
  <c r="W16" i="21"/>
  <c r="O16" i="21"/>
  <c r="W352" i="21"/>
  <c r="O352" i="21"/>
  <c r="W366" i="21"/>
  <c r="O366" i="21"/>
  <c r="W224" i="21"/>
  <c r="O224" i="21"/>
  <c r="W144" i="21"/>
  <c r="W2" i="21"/>
  <c r="O2" i="21"/>
  <c r="W318" i="21"/>
  <c r="O318" i="21"/>
  <c r="W23" i="21"/>
  <c r="O23" i="21"/>
  <c r="W153" i="21"/>
  <c r="O153" i="21"/>
  <c r="W312" i="21"/>
  <c r="O312" i="21"/>
  <c r="W270" i="21"/>
  <c r="O270" i="21"/>
  <c r="W262" i="21"/>
  <c r="O262" i="21"/>
  <c r="W69" i="21"/>
  <c r="O69" i="21"/>
  <c r="W197" i="21"/>
  <c r="O197" i="21"/>
  <c r="W218" i="21"/>
  <c r="O218" i="21"/>
  <c r="W166" i="21"/>
  <c r="O166" i="21"/>
  <c r="W196" i="21"/>
  <c r="O196" i="21"/>
  <c r="W240" i="21"/>
  <c r="O240" i="21"/>
  <c r="W35" i="21"/>
  <c r="O35" i="21"/>
  <c r="W74" i="21"/>
  <c r="O74" i="21"/>
  <c r="W211" i="21"/>
  <c r="O211" i="21"/>
  <c r="W73" i="21"/>
  <c r="O73" i="21"/>
  <c r="W237" i="21"/>
  <c r="O237" i="21"/>
  <c r="W126" i="21"/>
  <c r="O126" i="21"/>
  <c r="W59" i="21"/>
  <c r="O59" i="21"/>
  <c r="W130" i="21"/>
  <c r="W223" i="21"/>
  <c r="O223" i="21"/>
  <c r="W317" i="21"/>
  <c r="O317" i="21"/>
  <c r="W228" i="21"/>
  <c r="O228" i="21"/>
  <c r="W58" i="21"/>
  <c r="O58" i="21"/>
  <c r="W205" i="21"/>
  <c r="O205" i="21"/>
  <c r="W341" i="21"/>
  <c r="O341" i="21"/>
  <c r="W28" i="21"/>
  <c r="O28" i="21"/>
  <c r="W143" i="21"/>
  <c r="W265" i="21"/>
  <c r="O265" i="21"/>
  <c r="W335" i="21"/>
  <c r="O335" i="21"/>
  <c r="W75" i="21"/>
  <c r="O75" i="21"/>
  <c r="W55" i="21"/>
  <c r="O55" i="21"/>
  <c r="W351" i="21"/>
  <c r="O351" i="21"/>
  <c r="W338" i="21"/>
  <c r="O338" i="21"/>
  <c r="W279" i="21"/>
  <c r="O279" i="21"/>
  <c r="W305" i="21"/>
  <c r="O305" i="21"/>
  <c r="W272" i="21"/>
  <c r="O272" i="21"/>
  <c r="W76" i="21"/>
  <c r="O76" i="21"/>
  <c r="W322" i="21"/>
  <c r="O322" i="21"/>
  <c r="W77" i="21"/>
  <c r="O77" i="21"/>
  <c r="W164" i="21"/>
  <c r="O164" i="21"/>
  <c r="W221" i="21"/>
  <c r="O221" i="21"/>
  <c r="W292" i="21"/>
  <c r="O292" i="21"/>
  <c r="W242" i="21"/>
  <c r="O242" i="21"/>
  <c r="W260" i="21"/>
  <c r="O260" i="21"/>
  <c r="W342" i="21"/>
  <c r="O342" i="21"/>
  <c r="W182" i="21"/>
  <c r="O182" i="21"/>
  <c r="W192" i="21"/>
  <c r="O192" i="21"/>
  <c r="W214" i="21"/>
  <c r="O214" i="21"/>
  <c r="W362" i="21"/>
  <c r="O362" i="21"/>
  <c r="W115" i="21"/>
  <c r="O115" i="21"/>
  <c r="W150" i="21"/>
  <c r="O150" i="21"/>
  <c r="W257" i="21"/>
  <c r="O257" i="21"/>
  <c r="W234" i="21"/>
  <c r="O234" i="21"/>
  <c r="W217" i="21"/>
  <c r="O217" i="21"/>
  <c r="W306" i="21"/>
  <c r="O306" i="21"/>
  <c r="W134" i="21"/>
  <c r="W90" i="21"/>
  <c r="O90" i="21"/>
  <c r="W303" i="21"/>
  <c r="O303" i="21"/>
  <c r="W300" i="21"/>
  <c r="O300" i="21"/>
  <c r="W98" i="21"/>
  <c r="O98" i="21"/>
  <c r="W148" i="21"/>
  <c r="O148" i="21"/>
  <c r="W207" i="21"/>
  <c r="O207" i="21"/>
  <c r="W24" i="21"/>
  <c r="O24" i="21"/>
  <c r="W301" i="21"/>
  <c r="O301" i="21"/>
  <c r="W293" i="21"/>
  <c r="O293" i="21"/>
  <c r="W132" i="21"/>
  <c r="W79" i="21"/>
  <c r="O79" i="21"/>
  <c r="W187" i="21"/>
  <c r="O187" i="21"/>
  <c r="W328" i="21"/>
  <c r="O328" i="21"/>
  <c r="W97" i="21"/>
  <c r="O97" i="21"/>
  <c r="W169" i="21"/>
  <c r="O169" i="21"/>
  <c r="W95" i="21"/>
  <c r="O95" i="21"/>
  <c r="W324" i="21"/>
  <c r="O324" i="21"/>
  <c r="W225" i="21"/>
  <c r="O225" i="21"/>
  <c r="W112" i="21"/>
  <c r="O112" i="21"/>
  <c r="W184" i="21"/>
  <c r="O184" i="21"/>
  <c r="W8" i="21"/>
  <c r="O8" i="21"/>
  <c r="W309" i="21"/>
  <c r="O309" i="21"/>
  <c r="W47" i="21"/>
  <c r="O47" i="21"/>
  <c r="W286" i="21"/>
  <c r="O286" i="21"/>
  <c r="W283" i="21"/>
  <c r="O283" i="21"/>
  <c r="W208" i="21"/>
  <c r="O208" i="21"/>
  <c r="W255" i="21"/>
  <c r="O255" i="21"/>
  <c r="W99" i="21"/>
  <c r="O99" i="21"/>
  <c r="W21" i="21"/>
  <c r="O21" i="21"/>
  <c r="W346" i="21"/>
  <c r="O346" i="21"/>
  <c r="W120" i="21"/>
  <c r="O120" i="21"/>
  <c r="W307" i="21"/>
  <c r="O307" i="21"/>
  <c r="W67" i="21"/>
  <c r="O67" i="21"/>
  <c r="W241" i="21"/>
  <c r="O241" i="21"/>
  <c r="W266" i="21"/>
  <c r="O266" i="21"/>
  <c r="W302" i="21"/>
  <c r="O302" i="21"/>
  <c r="W363" i="21"/>
  <c r="O363" i="21"/>
  <c r="W101" i="21"/>
  <c r="O101" i="21"/>
  <c r="W264" i="21"/>
  <c r="O264" i="21"/>
  <c r="W96" i="21"/>
  <c r="O96" i="21"/>
  <c r="W50" i="21"/>
  <c r="O50" i="21"/>
  <c r="W190" i="21"/>
  <c r="O190" i="21"/>
  <c r="W45" i="21"/>
  <c r="O45" i="21"/>
  <c r="W256" i="21"/>
  <c r="O256" i="21"/>
  <c r="W64" i="21"/>
  <c r="O64" i="21"/>
  <c r="W289" i="21"/>
  <c r="O289" i="21"/>
  <c r="W154" i="21"/>
  <c r="O154" i="21"/>
  <c r="W172" i="21"/>
  <c r="O172" i="21"/>
  <c r="W63" i="21"/>
  <c r="O63" i="21"/>
  <c r="W100" i="21"/>
  <c r="O100" i="21"/>
  <c r="W123" i="21"/>
  <c r="O123" i="21"/>
  <c r="W185" i="21"/>
  <c r="O185" i="21"/>
  <c r="W203" i="21"/>
  <c r="O203" i="21"/>
  <c r="W127" i="21"/>
  <c r="W367" i="21"/>
  <c r="O367" i="21"/>
  <c r="W82" i="21"/>
  <c r="O82" i="21"/>
  <c r="W181" i="21"/>
  <c r="O181" i="21"/>
  <c r="W276" i="21"/>
  <c r="O276" i="21"/>
  <c r="W333" i="21"/>
  <c r="O333" i="21"/>
  <c r="W206" i="21"/>
  <c r="O206" i="21"/>
  <c r="W60" i="21"/>
  <c r="O60" i="21"/>
  <c r="W339" i="21"/>
  <c r="O339" i="21"/>
  <c r="W204" i="21"/>
  <c r="O204" i="21"/>
  <c r="W53" i="21"/>
  <c r="O53" i="21"/>
  <c r="W15" i="21"/>
  <c r="O15" i="21"/>
  <c r="W78" i="21"/>
  <c r="O78" i="21"/>
  <c r="W174" i="21"/>
  <c r="O174" i="21"/>
  <c r="W108" i="21"/>
  <c r="O108" i="21"/>
  <c r="W230" i="21"/>
  <c r="O230" i="21"/>
  <c r="W56" i="21"/>
  <c r="O56" i="21"/>
  <c r="W327" i="21"/>
  <c r="O327" i="21"/>
  <c r="W51" i="21"/>
  <c r="O51" i="21"/>
  <c r="W299" i="21"/>
  <c r="O299" i="21"/>
  <c r="W259" i="21"/>
  <c r="O259" i="21"/>
  <c r="W294" i="21"/>
  <c r="O294" i="21"/>
  <c r="W254" i="21"/>
  <c r="O254" i="21"/>
  <c r="W202" i="21"/>
  <c r="O202" i="21"/>
  <c r="W151" i="21"/>
  <c r="O151" i="21"/>
  <c r="W233" i="21"/>
  <c r="O233" i="21"/>
  <c r="W355" i="21"/>
  <c r="O355" i="21"/>
  <c r="W291" i="21"/>
  <c r="O291" i="21"/>
  <c r="W31" i="21"/>
  <c r="O31" i="21"/>
  <c r="W136" i="21"/>
  <c r="W304" i="21"/>
  <c r="O304" i="21"/>
  <c r="W236" i="21"/>
  <c r="O236" i="21"/>
  <c r="W86" i="21"/>
  <c r="O86" i="21"/>
  <c r="W238" i="21"/>
  <c r="O238" i="21"/>
  <c r="W61" i="21"/>
  <c r="O61" i="21"/>
  <c r="W25" i="21"/>
  <c r="O25" i="21"/>
  <c r="W7" i="21"/>
  <c r="O7" i="21"/>
  <c r="W5" i="21"/>
  <c r="O5" i="21"/>
  <c r="W6" i="21"/>
  <c r="O6" i="21"/>
  <c r="W62" i="21"/>
  <c r="O62" i="21"/>
  <c r="R17" i="21"/>
  <c r="R159" i="21"/>
  <c r="R9" i="21"/>
  <c r="R350" i="21"/>
  <c r="R286" i="21"/>
  <c r="R125" i="21"/>
  <c r="R249" i="21"/>
  <c r="R261" i="21"/>
  <c r="R84" i="21"/>
  <c r="R242" i="21"/>
  <c r="R13" i="21"/>
  <c r="R215" i="21"/>
  <c r="R163" i="21"/>
  <c r="R157" i="21"/>
  <c r="R283" i="21"/>
  <c r="R345" i="21"/>
  <c r="R118" i="21"/>
  <c r="R315" i="21"/>
  <c r="R298" i="21"/>
  <c r="R208" i="21"/>
  <c r="R124" i="21"/>
  <c r="R183" i="21"/>
  <c r="R114" i="21"/>
  <c r="R260" i="21"/>
  <c r="R342" i="21"/>
  <c r="R219" i="21"/>
  <c r="R320" i="21"/>
  <c r="R255" i="21"/>
  <c r="R182" i="21"/>
  <c r="R85" i="21"/>
  <c r="R99" i="21"/>
  <c r="R258" i="21"/>
  <c r="R192" i="21"/>
  <c r="R21" i="21"/>
  <c r="R44" i="21"/>
  <c r="R92" i="21"/>
  <c r="R147" i="21"/>
  <c r="R287" i="21"/>
  <c r="R346" i="21"/>
  <c r="R209" i="21"/>
  <c r="R168" i="21"/>
  <c r="R246" i="21"/>
  <c r="R316" i="21"/>
  <c r="R120" i="21"/>
  <c r="R307" i="21"/>
  <c r="R296" i="21"/>
  <c r="R71" i="21"/>
  <c r="R319" i="21"/>
  <c r="R349" i="21"/>
  <c r="R67" i="21"/>
  <c r="R359" i="21"/>
  <c r="R247" i="21"/>
  <c r="R267" i="21"/>
  <c r="R212" i="21"/>
  <c r="R252" i="21"/>
  <c r="R241" i="21"/>
  <c r="R195" i="21"/>
  <c r="R36" i="21"/>
  <c r="R266" i="21"/>
  <c r="R302" i="21"/>
  <c r="R88" i="21"/>
  <c r="R122" i="21"/>
  <c r="R363" i="21"/>
  <c r="R245" i="21"/>
  <c r="R214" i="21"/>
  <c r="R10" i="21"/>
  <c r="R178" i="21"/>
  <c r="R362" i="21"/>
  <c r="R115" i="21"/>
  <c r="R150" i="21"/>
  <c r="R101" i="21"/>
  <c r="R33" i="21"/>
  <c r="R257" i="21"/>
  <c r="R264" i="21"/>
  <c r="R96" i="21"/>
  <c r="R50" i="21"/>
  <c r="R12" i="21"/>
  <c r="R93" i="21"/>
  <c r="R275" i="21"/>
  <c r="R14" i="21"/>
  <c r="R280" i="21"/>
  <c r="R190" i="21"/>
  <c r="R329" i="21"/>
  <c r="R45" i="21"/>
  <c r="R311" i="21"/>
  <c r="R348" i="21"/>
  <c r="R39" i="21"/>
  <c r="R365" i="21"/>
  <c r="R256" i="21"/>
  <c r="R64" i="21"/>
  <c r="R314" i="21"/>
  <c r="R274" i="21"/>
  <c r="R16" i="21"/>
  <c r="R103" i="21"/>
  <c r="R80" i="21"/>
  <c r="R152" i="21"/>
  <c r="R308" i="21"/>
  <c r="R186" i="21"/>
  <c r="R216" i="21"/>
  <c r="R289" i="21"/>
  <c r="R213" i="21"/>
  <c r="R234" i="21"/>
  <c r="R331" i="21"/>
  <c r="R154" i="21"/>
  <c r="R217" i="21"/>
  <c r="R37" i="21"/>
  <c r="R306" i="21"/>
  <c r="R310" i="21"/>
  <c r="R352" i="21"/>
  <c r="R91" i="21"/>
  <c r="R34" i="21"/>
  <c r="R366" i="21"/>
  <c r="R179" i="21"/>
  <c r="R172" i="21"/>
  <c r="R22" i="21"/>
  <c r="R63" i="21"/>
  <c r="R52" i="21"/>
  <c r="R113" i="21"/>
  <c r="R224" i="21"/>
  <c r="R66" i="21"/>
  <c r="R65" i="21"/>
  <c r="R2" i="21"/>
  <c r="R318" i="21"/>
  <c r="R100" i="21"/>
  <c r="R123" i="21"/>
  <c r="R269" i="21"/>
  <c r="R155" i="21"/>
  <c r="R170" i="21"/>
  <c r="R185" i="21"/>
  <c r="R210" i="21"/>
  <c r="R203" i="21"/>
  <c r="R156" i="21"/>
  <c r="R54" i="21"/>
  <c r="R288" i="21"/>
  <c r="R356" i="21"/>
  <c r="R284" i="21"/>
  <c r="R146" i="21"/>
  <c r="R220" i="21"/>
  <c r="R344" i="21"/>
  <c r="R332" i="21"/>
  <c r="R90" i="21"/>
  <c r="R367" i="21"/>
  <c r="R268" i="21"/>
  <c r="R176" i="21"/>
  <c r="R235" i="21"/>
  <c r="R23" i="21"/>
  <c r="R243" i="21"/>
  <c r="R153" i="21"/>
  <c r="R42" i="21"/>
  <c r="R107" i="21"/>
  <c r="R303" i="21"/>
  <c r="R312" i="21"/>
  <c r="R82" i="21"/>
  <c r="R116" i="21"/>
  <c r="R313" i="21"/>
  <c r="R277" i="21"/>
  <c r="R300" i="21"/>
  <c r="R111" i="21"/>
  <c r="R181" i="21"/>
  <c r="R40" i="21"/>
  <c r="R276" i="21"/>
  <c r="R83" i="21"/>
  <c r="R347" i="21"/>
  <c r="R102" i="21"/>
  <c r="R334" i="21"/>
  <c r="R191" i="21"/>
  <c r="R3" i="21"/>
  <c r="R18" i="21"/>
  <c r="R200" i="21"/>
  <c r="R162" i="21"/>
  <c r="R43" i="21"/>
  <c r="R232" i="21"/>
  <c r="R270" i="21"/>
  <c r="R98" i="21"/>
  <c r="R148" i="21"/>
  <c r="R68" i="21"/>
  <c r="R171" i="21"/>
  <c r="R20" i="21"/>
  <c r="R282" i="21"/>
  <c r="R330" i="21"/>
  <c r="R32" i="21"/>
  <c r="R161" i="21"/>
  <c r="R207" i="21"/>
  <c r="R368" i="21"/>
  <c r="R358" i="21"/>
  <c r="R262" i="21"/>
  <c r="R189" i="21"/>
  <c r="R69" i="21"/>
  <c r="R38" i="21"/>
  <c r="R333" i="21"/>
  <c r="R24" i="21"/>
  <c r="R188" i="21"/>
  <c r="R117" i="21"/>
  <c r="R222" i="21"/>
  <c r="R89" i="21"/>
  <c r="R70" i="21"/>
  <c r="R322" i="21"/>
  <c r="R194" i="21"/>
  <c r="R335" i="21"/>
  <c r="R206" i="21"/>
  <c r="R201" i="21"/>
  <c r="R60" i="21"/>
  <c r="R323" i="21"/>
  <c r="R339" i="21"/>
  <c r="R77" i="21"/>
  <c r="R197" i="21"/>
  <c r="R204" i="21"/>
  <c r="R27" i="21"/>
  <c r="R149" i="21"/>
  <c r="R164" i="21"/>
  <c r="R105" i="21"/>
  <c r="R53" i="21"/>
  <c r="R354" i="21"/>
  <c r="R75" i="21"/>
  <c r="R11" i="21"/>
  <c r="R271" i="21"/>
  <c r="R175" i="21"/>
  <c r="R301" i="21"/>
  <c r="R326" i="21"/>
  <c r="R218" i="21"/>
  <c r="R166" i="21"/>
  <c r="R290" i="21"/>
  <c r="R110" i="21"/>
  <c r="R337" i="21"/>
  <c r="R15" i="21"/>
  <c r="R196" i="21"/>
  <c r="R309" i="21"/>
  <c r="R293" i="21"/>
  <c r="R55" i="21"/>
  <c r="R173" i="21"/>
  <c r="R240" i="21"/>
  <c r="R248" i="21"/>
  <c r="R361" i="21"/>
  <c r="R227" i="21"/>
  <c r="R167" i="21"/>
  <c r="R35" i="21"/>
  <c r="R360" i="21"/>
  <c r="R79" i="21"/>
  <c r="R295" i="21"/>
  <c r="R78" i="21"/>
  <c r="R74" i="21"/>
  <c r="R187" i="21"/>
  <c r="R231" i="21"/>
  <c r="R226" i="21"/>
  <c r="R221" i="21"/>
  <c r="R351" i="21"/>
  <c r="R47" i="21"/>
  <c r="R29" i="21"/>
  <c r="R211" i="21"/>
  <c r="R73" i="21"/>
  <c r="R237" i="21"/>
  <c r="R81" i="21"/>
  <c r="R174" i="21"/>
  <c r="R292" i="21"/>
  <c r="R165" i="21"/>
  <c r="R126" i="21"/>
  <c r="R72" i="21"/>
  <c r="R273" i="21"/>
  <c r="R108" i="21"/>
  <c r="R30" i="21"/>
  <c r="R59" i="21"/>
  <c r="R41" i="21"/>
  <c r="R230" i="21"/>
  <c r="R285" i="21"/>
  <c r="R278" i="21"/>
  <c r="R328" i="21"/>
  <c r="R56" i="21"/>
  <c r="R97" i="21"/>
  <c r="R327" i="21"/>
  <c r="R104" i="21"/>
  <c r="R338" i="21"/>
  <c r="R353" i="21"/>
  <c r="R51" i="21"/>
  <c r="R244" i="21"/>
  <c r="R299" i="21"/>
  <c r="R259" i="21"/>
  <c r="R169" i="21"/>
  <c r="R294" i="21"/>
  <c r="R95" i="21"/>
  <c r="R254" i="21"/>
  <c r="R202" i="21"/>
  <c r="R340" i="21"/>
  <c r="R151" i="21"/>
  <c r="R279" i="21"/>
  <c r="R223" i="21"/>
  <c r="R317" i="21"/>
  <c r="R324" i="21"/>
  <c r="R228" i="21"/>
  <c r="R239" i="21"/>
  <c r="R369" i="21"/>
  <c r="R177" i="21"/>
  <c r="R336" i="21"/>
  <c r="R199" i="21"/>
  <c r="R251" i="21"/>
  <c r="R343" i="21"/>
  <c r="R233" i="21"/>
  <c r="R355" i="21"/>
  <c r="R57" i="21"/>
  <c r="R321" i="21"/>
  <c r="R291" i="21"/>
  <c r="R31" i="21"/>
  <c r="R58" i="21"/>
  <c r="R49" i="21"/>
  <c r="R160" i="21"/>
  <c r="R225" i="21"/>
  <c r="R94" i="21"/>
  <c r="R19" i="21"/>
  <c r="R119" i="21"/>
  <c r="R121" i="21"/>
  <c r="R193" i="21"/>
  <c r="R48" i="21"/>
  <c r="R297" i="21"/>
  <c r="R304" i="21"/>
  <c r="R357" i="21"/>
  <c r="R281" i="21"/>
  <c r="R236" i="21"/>
  <c r="R205" i="21"/>
  <c r="R112" i="21"/>
  <c r="R305" i="21"/>
  <c r="R86" i="21"/>
  <c r="R250" i="21"/>
  <c r="R198" i="21"/>
  <c r="R87" i="21"/>
  <c r="R46" i="21"/>
  <c r="R238" i="21"/>
  <c r="R158" i="21"/>
  <c r="R26" i="21"/>
  <c r="R184" i="21"/>
  <c r="R272" i="21"/>
  <c r="R364" i="21"/>
  <c r="R76" i="21"/>
  <c r="R253" i="21"/>
  <c r="R341" i="21"/>
  <c r="R28" i="21"/>
  <c r="R106" i="21"/>
  <c r="R61" i="21"/>
  <c r="R180" i="21"/>
  <c r="R263" i="21"/>
  <c r="R325" i="21"/>
  <c r="R229" i="21"/>
  <c r="R62" i="21"/>
  <c r="R265" i="21"/>
  <c r="R25" i="21"/>
  <c r="R109" i="21"/>
  <c r="R7" i="21"/>
  <c r="R5" i="21"/>
  <c r="R8" i="21"/>
  <c r="R6" i="21"/>
  <c r="R4" i="21"/>
  <c r="Q36" i="22"/>
  <c r="Z17" i="3"/>
  <c r="AC17" i="3" s="1"/>
  <c r="Y17" i="3"/>
  <c r="Z7" i="3"/>
  <c r="AC7" i="3" s="1"/>
  <c r="Y7" i="3"/>
  <c r="Q19" i="22"/>
  <c r="Z13" i="3"/>
  <c r="AC13" i="3" s="1"/>
  <c r="Y13" i="3"/>
  <c r="Z22" i="3"/>
  <c r="AC22" i="3" s="1"/>
  <c r="Y22" i="3"/>
  <c r="Z19" i="3"/>
  <c r="AC19" i="3" s="1"/>
  <c r="Y19" i="3"/>
  <c r="Z27" i="3"/>
  <c r="AC27" i="3" s="1"/>
  <c r="Y27" i="3"/>
  <c r="Z30" i="3"/>
  <c r="AC30" i="3" s="1"/>
  <c r="Y30" i="3"/>
  <c r="Q35" i="22"/>
  <c r="B19" i="12" s="1"/>
  <c r="Q30" i="22"/>
  <c r="B14" i="12" s="1"/>
  <c r="Q37" i="22"/>
  <c r="B21" i="12" s="1"/>
  <c r="Q24" i="22"/>
  <c r="Q16" i="22"/>
  <c r="Q31" i="22"/>
  <c r="B15" i="12" s="1"/>
  <c r="Z26" i="3"/>
  <c r="AC26" i="3" s="1"/>
  <c r="Y26" i="3"/>
  <c r="Q10" i="22"/>
  <c r="D18" i="12"/>
  <c r="Q18" i="22"/>
  <c r="Z37" i="3"/>
  <c r="AC37" i="3" s="1"/>
  <c r="Y37" i="3"/>
  <c r="Z34" i="3"/>
  <c r="AC34" i="3" s="1"/>
  <c r="Y34" i="3"/>
  <c r="Z25" i="3"/>
  <c r="AC25" i="3" s="1"/>
  <c r="Y25" i="3"/>
  <c r="Z23" i="3"/>
  <c r="AC23" i="3" s="1"/>
  <c r="Y23" i="3"/>
  <c r="D11" i="12"/>
  <c r="Q3" i="22"/>
  <c r="Z11" i="3"/>
  <c r="AC11" i="3" s="1"/>
  <c r="Y11" i="3"/>
  <c r="Z18" i="3"/>
  <c r="AC18" i="3" s="1"/>
  <c r="Y18" i="3"/>
  <c r="D12" i="12"/>
  <c r="Q4" i="22"/>
  <c r="D21" i="12"/>
  <c r="Q13" i="22"/>
  <c r="Z28" i="3"/>
  <c r="AC28" i="3" s="1"/>
  <c r="Y28" i="3"/>
  <c r="Z38" i="3"/>
  <c r="AC38" i="3" s="1"/>
  <c r="Y38" i="3"/>
  <c r="Q33" i="22"/>
  <c r="B17" i="12" s="1"/>
  <c r="Q17" i="22"/>
  <c r="D20" i="13"/>
  <c r="E20" i="13" s="1"/>
  <c r="D4" i="10"/>
  <c r="D21" i="13" s="1"/>
  <c r="Q26" i="22"/>
  <c r="B10" i="12" s="1"/>
  <c r="D4" i="12"/>
  <c r="D22" i="13" s="1"/>
  <c r="Q25" i="22"/>
  <c r="Z9" i="3"/>
  <c r="AC9" i="3" s="1"/>
  <c r="Y9" i="3"/>
  <c r="Z5" i="3"/>
  <c r="AC5" i="3" s="1"/>
  <c r="Y5" i="3"/>
  <c r="Q21" i="22"/>
  <c r="Q22" i="22"/>
  <c r="Z32" i="3"/>
  <c r="AC32" i="3" s="1"/>
  <c r="Y32" i="3"/>
  <c r="Z24" i="3"/>
  <c r="AC24" i="3" s="1"/>
  <c r="Y24" i="3"/>
  <c r="Q20" i="22"/>
  <c r="Z39" i="3"/>
  <c r="AC39" i="3" s="1"/>
  <c r="Y39" i="3"/>
  <c r="D20" i="12"/>
  <c r="Q12" i="22"/>
  <c r="Z6" i="3"/>
  <c r="AC6" i="3" s="1"/>
  <c r="Y6" i="3"/>
  <c r="Z21" i="3"/>
  <c r="AC21" i="3" s="1"/>
  <c r="Y21" i="3"/>
  <c r="Z16" i="3"/>
  <c r="AC16" i="3" s="1"/>
  <c r="Y16" i="3"/>
  <c r="Z41" i="3"/>
  <c r="AC41" i="3" s="1"/>
  <c r="Y41" i="3"/>
  <c r="Z35" i="3"/>
  <c r="AC35" i="3" s="1"/>
  <c r="Y35" i="3"/>
  <c r="Z10" i="3"/>
  <c r="AC10" i="3" s="1"/>
  <c r="Y10" i="3"/>
  <c r="D10" i="12"/>
  <c r="Q2" i="22"/>
  <c r="Z36" i="3"/>
  <c r="AC36" i="3" s="1"/>
  <c r="Y36" i="3"/>
  <c r="Q32" i="22"/>
  <c r="B16" i="12" s="1"/>
  <c r="D17" i="12"/>
  <c r="Q9" i="22"/>
  <c r="Z33" i="3"/>
  <c r="AC33" i="3" s="1"/>
  <c r="Y33" i="3"/>
  <c r="D10" i="10"/>
  <c r="D15" i="12"/>
  <c r="Q7" i="22"/>
  <c r="Z20" i="3"/>
  <c r="AC20" i="3" s="1"/>
  <c r="Y20" i="3"/>
  <c r="Q28" i="22"/>
  <c r="B12" i="12" s="1"/>
  <c r="Q14" i="22"/>
  <c r="Z31" i="3"/>
  <c r="AC31" i="3" s="1"/>
  <c r="Y31" i="3"/>
  <c r="Z29" i="3"/>
  <c r="AC29" i="3" s="1"/>
  <c r="Y29" i="3"/>
  <c r="Q23" i="22"/>
  <c r="Z15" i="3"/>
  <c r="AC15" i="3" s="1"/>
  <c r="Y15" i="3"/>
  <c r="Z14" i="3"/>
  <c r="AC14" i="3" s="1"/>
  <c r="Y14" i="3"/>
  <c r="D16" i="12"/>
  <c r="Q8" i="22"/>
  <c r="D13" i="12"/>
  <c r="Q5" i="22"/>
  <c r="Z8" i="3"/>
  <c r="AC8" i="3" s="1"/>
  <c r="Y8" i="3"/>
  <c r="Z4" i="3"/>
  <c r="AC4" i="3" s="1"/>
  <c r="Y4" i="3"/>
  <c r="D19" i="12"/>
  <c r="Q11" i="22"/>
  <c r="Q15" i="22"/>
  <c r="Q6" i="22"/>
  <c r="D14" i="12"/>
  <c r="Q34" i="22"/>
  <c r="B18" i="12" s="1"/>
  <c r="Q29" i="22"/>
  <c r="B13" i="12" s="1"/>
  <c r="Q27" i="22"/>
  <c r="B11" i="12" s="1"/>
  <c r="K20" i="3"/>
  <c r="K30" i="3"/>
  <c r="K23" i="3"/>
  <c r="AR7" i="2"/>
  <c r="K22" i="3"/>
  <c r="K7" i="3"/>
  <c r="K21" i="3"/>
  <c r="K27" i="3"/>
  <c r="K19" i="3"/>
  <c r="K32" i="3"/>
  <c r="AR9" i="2"/>
  <c r="K6" i="3"/>
  <c r="K35" i="3"/>
  <c r="K39" i="3"/>
  <c r="K18" i="3"/>
  <c r="K11" i="3"/>
  <c r="K10" i="3"/>
  <c r="K5" i="3"/>
  <c r="K14" i="3"/>
  <c r="K4" i="3"/>
  <c r="K41" i="3"/>
  <c r="AT4" i="2"/>
  <c r="AR4" i="2"/>
  <c r="K34" i="3"/>
  <c r="K36" i="3"/>
  <c r="K38" i="3"/>
  <c r="K24" i="3"/>
  <c r="K8" i="3"/>
  <c r="K15" i="3"/>
  <c r="K33" i="3"/>
  <c r="K26" i="3"/>
  <c r="K16" i="3"/>
  <c r="K9" i="3"/>
  <c r="K13" i="3"/>
  <c r="K29" i="3"/>
  <c r="K17" i="3"/>
  <c r="K25" i="3"/>
  <c r="K31" i="3"/>
  <c r="K37" i="3"/>
  <c r="F4" i="6"/>
  <c r="Q4" i="6"/>
  <c r="T4" i="6"/>
  <c r="I5" i="6"/>
  <c r="Y4" i="6"/>
  <c r="X4" i="6"/>
  <c r="M4" i="6"/>
  <c r="U4" i="6"/>
  <c r="K4" i="6"/>
  <c r="O4" i="6"/>
  <c r="I4" i="6"/>
  <c r="I6" i="6"/>
  <c r="J4" i="6"/>
  <c r="W4" i="6"/>
  <c r="G4" i="6"/>
  <c r="S4" i="6"/>
  <c r="M6" i="6"/>
  <c r="L4" i="6"/>
  <c r="Z4" i="6"/>
  <c r="X6" i="6"/>
  <c r="H4" i="6"/>
  <c r="R4" i="6"/>
  <c r="N4" i="6"/>
  <c r="H6" i="6"/>
  <c r="Q6" i="6"/>
  <c r="V4" i="6"/>
  <c r="V6" i="6"/>
  <c r="J6" i="6"/>
  <c r="R6" i="6"/>
  <c r="O6" i="6"/>
  <c r="W6" i="6"/>
  <c r="L6" i="6"/>
  <c r="W5" i="6"/>
  <c r="L5" i="6"/>
  <c r="O5" i="6"/>
  <c r="Y5" i="6"/>
  <c r="N5" i="6"/>
  <c r="S6" i="6"/>
  <c r="S5" i="6"/>
  <c r="Z6" i="6"/>
  <c r="J5" i="6"/>
  <c r="X5" i="6"/>
  <c r="T5" i="6"/>
  <c r="Z5" i="6"/>
  <c r="K5" i="6"/>
  <c r="F6" i="6"/>
  <c r="T6" i="6"/>
  <c r="R5" i="6"/>
  <c r="M5" i="6"/>
  <c r="H5" i="6"/>
  <c r="V5" i="6"/>
  <c r="F5" i="6"/>
  <c r="U5" i="6"/>
  <c r="Q5" i="6"/>
  <c r="K6" i="6"/>
  <c r="G5" i="6"/>
  <c r="Y6" i="6"/>
  <c r="U6" i="6"/>
  <c r="V8" i="6"/>
  <c r="N6" i="6"/>
  <c r="G6" i="6"/>
  <c r="V7" i="6"/>
  <c r="G8" i="6"/>
  <c r="Z7" i="6"/>
  <c r="J7" i="6"/>
  <c r="Y7" i="6"/>
  <c r="L8" i="6"/>
  <c r="Q7" i="6"/>
  <c r="T7" i="6"/>
  <c r="N8" i="6"/>
  <c r="L7" i="6"/>
  <c r="U8" i="6"/>
  <c r="H8" i="6"/>
  <c r="W7" i="6"/>
  <c r="K7" i="6"/>
  <c r="H7" i="6"/>
  <c r="U7" i="6"/>
  <c r="G7" i="6"/>
  <c r="F8" i="6"/>
  <c r="I7" i="6"/>
  <c r="F7" i="6"/>
  <c r="X7" i="6"/>
  <c r="O7" i="6"/>
  <c r="S7" i="6"/>
  <c r="R7" i="6"/>
  <c r="M7" i="6"/>
  <c r="R8" i="6"/>
  <c r="S8" i="6"/>
  <c r="N7" i="6"/>
  <c r="X8" i="6"/>
  <c r="O8" i="6"/>
  <c r="J8" i="6"/>
  <c r="K8" i="6"/>
  <c r="Y8" i="6"/>
  <c r="Q8" i="6"/>
  <c r="W8" i="6"/>
  <c r="M8" i="6"/>
  <c r="Z8" i="6"/>
  <c r="T8" i="6"/>
  <c r="I8" i="6"/>
  <c r="I9" i="6"/>
  <c r="U9" i="6"/>
  <c r="R9" i="6"/>
  <c r="X10" i="6"/>
  <c r="M9" i="6"/>
  <c r="K9" i="6"/>
  <c r="Q9" i="6"/>
  <c r="N9" i="6"/>
  <c r="Y9" i="6"/>
  <c r="X9" i="6"/>
  <c r="T9" i="6"/>
  <c r="J9" i="6"/>
  <c r="H9" i="6"/>
  <c r="F9" i="6"/>
  <c r="S9" i="6"/>
  <c r="O10" i="6"/>
  <c r="O9" i="6"/>
  <c r="V9" i="6"/>
  <c r="G9" i="6"/>
  <c r="L9" i="6"/>
  <c r="T10" i="6"/>
  <c r="Z9" i="6"/>
  <c r="W9" i="6"/>
  <c r="S10" i="6"/>
  <c r="U10" i="6"/>
  <c r="Q10" i="6"/>
  <c r="J10" i="6"/>
  <c r="G10" i="6"/>
  <c r="M10" i="6"/>
  <c r="R10" i="6"/>
  <c r="Y10" i="6"/>
  <c r="L10" i="6"/>
  <c r="V10" i="6"/>
  <c r="I10" i="6"/>
  <c r="W10" i="6"/>
  <c r="N10" i="6"/>
  <c r="Z10" i="6"/>
  <c r="H10" i="6"/>
  <c r="K10" i="6"/>
  <c r="F10" i="6"/>
  <c r="U11" i="6"/>
  <c r="K11" i="6"/>
  <c r="V11" i="6"/>
  <c r="L11" i="6"/>
  <c r="H11" i="6"/>
  <c r="F11" i="6"/>
  <c r="S11" i="6"/>
  <c r="T11" i="6"/>
  <c r="I11" i="6"/>
  <c r="M11" i="6"/>
  <c r="W11" i="6"/>
  <c r="Q11" i="6"/>
  <c r="Z11" i="6"/>
  <c r="Y11" i="6"/>
  <c r="O11" i="6"/>
  <c r="R11" i="6"/>
  <c r="J11" i="6"/>
  <c r="N11" i="6"/>
  <c r="X11" i="6"/>
  <c r="G11" i="6"/>
  <c r="W12" i="6"/>
  <c r="M12" i="6"/>
  <c r="S12" i="6"/>
  <c r="K12" i="6"/>
  <c r="G12" i="6"/>
  <c r="X12" i="6"/>
  <c r="R12" i="6"/>
  <c r="N12" i="6"/>
  <c r="L12" i="6"/>
  <c r="Q12" i="6"/>
  <c r="Y12" i="6"/>
  <c r="J12" i="6"/>
  <c r="U12" i="6"/>
  <c r="H12" i="6"/>
  <c r="O12" i="6"/>
  <c r="I12" i="6"/>
  <c r="T12" i="6"/>
  <c r="Z12" i="6"/>
  <c r="V12" i="6"/>
  <c r="F12" i="6"/>
  <c r="S13" i="6"/>
  <c r="N13" i="6"/>
  <c r="K13" i="6"/>
  <c r="U13" i="6"/>
  <c r="H13" i="6"/>
  <c r="R13" i="6"/>
  <c r="L13" i="6"/>
  <c r="I13" i="6"/>
  <c r="V13" i="6"/>
  <c r="Q13" i="6"/>
  <c r="O13" i="6"/>
  <c r="W13" i="6"/>
  <c r="T13" i="6"/>
  <c r="F13" i="6"/>
  <c r="J13" i="6"/>
  <c r="X13" i="6"/>
  <c r="Z13" i="6"/>
  <c r="M13" i="6"/>
  <c r="Y13" i="6"/>
  <c r="G13" i="6"/>
  <c r="S14" i="6"/>
  <c r="W14" i="6"/>
  <c r="N14" i="6"/>
  <c r="I14" i="6"/>
  <c r="L14" i="6"/>
  <c r="Z14" i="6"/>
  <c r="Q14" i="6"/>
  <c r="Y14" i="6"/>
  <c r="G14" i="6"/>
  <c r="K14" i="6"/>
  <c r="H14" i="6"/>
  <c r="X14" i="6"/>
  <c r="U14" i="6"/>
  <c r="T14" i="6"/>
  <c r="M14" i="6"/>
  <c r="V14" i="6"/>
  <c r="J14" i="6"/>
  <c r="F14" i="6"/>
  <c r="R14" i="6"/>
  <c r="O14" i="6"/>
  <c r="T15" i="6"/>
  <c r="M15" i="6"/>
  <c r="R15" i="6"/>
  <c r="Z15" i="6"/>
  <c r="L15" i="6"/>
  <c r="I15" i="6"/>
  <c r="H15" i="6"/>
  <c r="Q15" i="6"/>
  <c r="K15" i="6"/>
  <c r="N15" i="6"/>
  <c r="X15" i="6"/>
  <c r="G15" i="6"/>
  <c r="J15" i="6"/>
  <c r="S15" i="6"/>
  <c r="F15" i="6"/>
  <c r="W15" i="6"/>
  <c r="U15" i="6"/>
  <c r="V15" i="6"/>
  <c r="O15" i="6"/>
  <c r="Y15" i="6"/>
  <c r="L16" i="6"/>
  <c r="O16" i="6"/>
  <c r="Q16" i="6"/>
  <c r="F16" i="6"/>
  <c r="R16" i="6"/>
  <c r="Y16" i="6"/>
  <c r="J16" i="6"/>
  <c r="W16" i="6"/>
  <c r="K16" i="6"/>
  <c r="V16" i="6"/>
  <c r="Z16" i="6"/>
  <c r="U16" i="6"/>
  <c r="X16" i="6"/>
  <c r="I16" i="6"/>
  <c r="M16" i="6"/>
  <c r="T16" i="6"/>
  <c r="H16" i="6"/>
  <c r="N16" i="6"/>
  <c r="S16" i="6"/>
  <c r="G16" i="6"/>
  <c r="T17" i="6"/>
  <c r="Z17" i="6"/>
  <c r="Q17" i="6"/>
  <c r="X17" i="6"/>
  <c r="S17" i="6"/>
  <c r="L17" i="6"/>
  <c r="U17" i="6"/>
  <c r="J17" i="6"/>
  <c r="Y17" i="6"/>
  <c r="W17" i="6"/>
  <c r="R17" i="6"/>
  <c r="K17" i="6"/>
  <c r="N17" i="6"/>
  <c r="G17" i="6"/>
  <c r="I17" i="6"/>
  <c r="M17" i="6"/>
  <c r="H17" i="6"/>
  <c r="O17" i="6"/>
  <c r="F17" i="6"/>
  <c r="V17" i="6"/>
  <c r="F18" i="6"/>
  <c r="S18" i="6"/>
  <c r="X18" i="6"/>
  <c r="M18" i="6"/>
  <c r="V18" i="6"/>
  <c r="W18" i="6"/>
  <c r="J18" i="6"/>
  <c r="O18" i="6"/>
  <c r="K18" i="6"/>
  <c r="H18" i="6"/>
  <c r="G18" i="6"/>
  <c r="U18" i="6"/>
  <c r="Y18" i="6"/>
  <c r="T18" i="6"/>
  <c r="Q18" i="6"/>
  <c r="N18" i="6"/>
  <c r="Z18" i="6"/>
  <c r="R18" i="6"/>
  <c r="L18" i="6"/>
  <c r="I18" i="6"/>
  <c r="X19" i="6"/>
  <c r="N19" i="6"/>
  <c r="G19" i="6"/>
  <c r="L19" i="6"/>
  <c r="K19" i="6"/>
  <c r="S19" i="6"/>
  <c r="Z19" i="6"/>
  <c r="O19" i="6"/>
  <c r="W19" i="6"/>
  <c r="V19" i="6"/>
  <c r="I19" i="6"/>
  <c r="F19" i="6"/>
  <c r="T19" i="6"/>
  <c r="H19" i="6"/>
  <c r="M19" i="6"/>
  <c r="Y19" i="6"/>
  <c r="Q19" i="6"/>
  <c r="U19" i="6"/>
  <c r="J19" i="6"/>
  <c r="R19" i="6"/>
  <c r="I20" i="6"/>
  <c r="N20" i="6"/>
  <c r="L20" i="6"/>
  <c r="R20" i="6"/>
  <c r="O20" i="6"/>
  <c r="W20" i="6"/>
  <c r="G20" i="6"/>
  <c r="J20" i="6"/>
  <c r="Y20" i="6"/>
  <c r="X20" i="6"/>
  <c r="Z20" i="6"/>
  <c r="Q20" i="6"/>
  <c r="F20" i="6"/>
  <c r="M20" i="6"/>
  <c r="V20" i="6"/>
  <c r="S20" i="6"/>
  <c r="T20" i="6"/>
  <c r="H20" i="6"/>
  <c r="K20" i="6"/>
  <c r="U20" i="6"/>
  <c r="Z21" i="6"/>
  <c r="R21" i="6"/>
  <c r="H21" i="6"/>
  <c r="F21" i="6"/>
  <c r="I21" i="6"/>
  <c r="V21" i="6"/>
  <c r="H22" i="6"/>
  <c r="I22" i="6"/>
  <c r="O21" i="6"/>
  <c r="G21" i="6"/>
  <c r="Q21" i="6"/>
  <c r="M21" i="6"/>
  <c r="N21" i="6"/>
  <c r="L21" i="6"/>
  <c r="K21" i="6"/>
  <c r="J21" i="6"/>
  <c r="X21" i="6"/>
  <c r="W21" i="6"/>
  <c r="T21" i="6"/>
  <c r="Y21" i="6"/>
  <c r="S21" i="6"/>
  <c r="U21" i="6"/>
  <c r="T22" i="6"/>
  <c r="G26" i="6"/>
  <c r="F22" i="6"/>
  <c r="Z22" i="6"/>
  <c r="N22" i="6"/>
  <c r="O22" i="6"/>
  <c r="U22" i="6"/>
  <c r="G22" i="6"/>
  <c r="L22" i="6"/>
  <c r="R22" i="6"/>
  <c r="S22" i="6"/>
  <c r="V22" i="6"/>
  <c r="X22" i="6"/>
  <c r="K22" i="6"/>
  <c r="W22" i="6"/>
  <c r="M22" i="6"/>
  <c r="Y22" i="6"/>
  <c r="Q22" i="6"/>
  <c r="J22" i="6"/>
  <c r="X23" i="6"/>
  <c r="W23" i="6"/>
  <c r="T23" i="6"/>
  <c r="N23" i="6"/>
  <c r="S23" i="6"/>
  <c r="K23" i="6"/>
  <c r="U23" i="6"/>
  <c r="J23" i="6"/>
  <c r="O23" i="6"/>
  <c r="H23" i="6"/>
  <c r="J24" i="6"/>
  <c r="Y23" i="6"/>
  <c r="O24" i="6"/>
  <c r="M23" i="6"/>
  <c r="G23" i="6"/>
  <c r="I23" i="6"/>
  <c r="Q23" i="6"/>
  <c r="V23" i="6"/>
  <c r="F23" i="6"/>
  <c r="L23" i="6"/>
  <c r="R23" i="6"/>
  <c r="Z23" i="6"/>
  <c r="N24" i="6"/>
  <c r="Y24" i="6"/>
  <c r="U24" i="6"/>
  <c r="V24" i="6"/>
  <c r="G24" i="6"/>
  <c r="F24" i="6"/>
  <c r="R24" i="6"/>
  <c r="T24" i="6"/>
  <c r="K24" i="6"/>
  <c r="I24" i="6"/>
  <c r="Z24" i="6"/>
  <c r="M24" i="6"/>
  <c r="W24" i="6"/>
  <c r="H24" i="6"/>
  <c r="L24" i="6"/>
  <c r="X24" i="6"/>
  <c r="Q24" i="6"/>
  <c r="S24" i="6"/>
  <c r="W26" i="6"/>
  <c r="M25" i="6"/>
  <c r="L25" i="6"/>
  <c r="J25" i="6"/>
  <c r="I25" i="6"/>
  <c r="Y25" i="6"/>
  <c r="V25" i="6"/>
  <c r="N25" i="6"/>
  <c r="F25" i="6"/>
  <c r="O25" i="6"/>
  <c r="X25" i="6"/>
  <c r="H25" i="6"/>
  <c r="G25" i="6"/>
  <c r="K25" i="6"/>
  <c r="Z25" i="6"/>
  <c r="H28" i="6"/>
  <c r="U25" i="6"/>
  <c r="Q25" i="6"/>
  <c r="T25" i="6"/>
  <c r="W25" i="6"/>
  <c r="S25" i="6"/>
  <c r="R25" i="6"/>
  <c r="Y26" i="6"/>
  <c r="X26" i="6"/>
  <c r="S26" i="6"/>
  <c r="M26" i="6"/>
  <c r="N26" i="6"/>
  <c r="K26" i="6"/>
  <c r="J26" i="6"/>
  <c r="T26" i="6"/>
  <c r="I26" i="6"/>
  <c r="V26" i="6"/>
  <c r="U26" i="6"/>
  <c r="L26" i="6"/>
  <c r="R26" i="6"/>
  <c r="H26" i="6"/>
  <c r="Z26" i="6"/>
  <c r="O26" i="6"/>
  <c r="F26" i="6"/>
  <c r="I28" i="6"/>
  <c r="Q26" i="6"/>
  <c r="S27" i="6"/>
  <c r="V27" i="6"/>
  <c r="W28" i="6"/>
  <c r="I27" i="6"/>
  <c r="L27" i="6"/>
  <c r="X27" i="6"/>
  <c r="Z27" i="6"/>
  <c r="T27" i="6"/>
  <c r="U27" i="6"/>
  <c r="R27" i="6"/>
  <c r="G27" i="6"/>
  <c r="K28" i="6"/>
  <c r="K27" i="6"/>
  <c r="F27" i="6"/>
  <c r="Y27" i="6"/>
  <c r="J27" i="6"/>
  <c r="W27" i="6"/>
  <c r="Q27" i="6"/>
  <c r="N27" i="6"/>
  <c r="M27" i="6"/>
  <c r="H27" i="6"/>
  <c r="O27" i="6"/>
  <c r="G28" i="6"/>
  <c r="U28" i="6"/>
  <c r="V28" i="6"/>
  <c r="J28" i="6"/>
  <c r="S28" i="6"/>
  <c r="Z28" i="6"/>
  <c r="N28" i="6"/>
  <c r="L28" i="6"/>
  <c r="O28" i="6"/>
  <c r="X28" i="6"/>
  <c r="M28" i="6"/>
  <c r="T28" i="6"/>
  <c r="Y28" i="6"/>
  <c r="Q28" i="6"/>
  <c r="R28" i="6"/>
  <c r="F28" i="6"/>
  <c r="V29" i="6"/>
  <c r="Y29" i="6"/>
  <c r="R29" i="6"/>
  <c r="H29" i="6"/>
  <c r="L29" i="6"/>
  <c r="Z29" i="6"/>
  <c r="S29" i="6"/>
  <c r="M29" i="6"/>
  <c r="N29" i="6"/>
  <c r="K29" i="6"/>
  <c r="G29" i="6"/>
  <c r="O29" i="6"/>
  <c r="X29" i="6"/>
  <c r="J29" i="6"/>
  <c r="F29" i="6"/>
  <c r="I29" i="6"/>
  <c r="T29" i="6"/>
  <c r="Q29" i="6"/>
  <c r="W29" i="6"/>
  <c r="U29" i="6"/>
  <c r="T30" i="6"/>
  <c r="N30" i="6"/>
  <c r="J30" i="6"/>
  <c r="Q30" i="6"/>
  <c r="M30" i="6"/>
  <c r="Z30" i="6"/>
  <c r="W30" i="6"/>
  <c r="R30" i="6"/>
  <c r="V30" i="6"/>
  <c r="K30" i="6"/>
  <c r="G30" i="6"/>
  <c r="L30" i="6"/>
  <c r="H30" i="6"/>
  <c r="Y30" i="6"/>
  <c r="F30" i="6"/>
  <c r="X30" i="6"/>
  <c r="U30" i="6"/>
  <c r="I30" i="6"/>
  <c r="O30" i="6"/>
  <c r="S30" i="6"/>
  <c r="J31" i="6"/>
  <c r="T31" i="6"/>
  <c r="M31" i="6"/>
  <c r="X31" i="6"/>
  <c r="V31" i="6"/>
  <c r="Q31" i="6"/>
  <c r="F31" i="6"/>
  <c r="K31" i="6"/>
  <c r="Y31" i="6"/>
  <c r="G31" i="6"/>
  <c r="N31" i="6"/>
  <c r="R31" i="6"/>
  <c r="O31" i="6"/>
  <c r="L31" i="6"/>
  <c r="U31" i="6"/>
  <c r="Z31" i="6"/>
  <c r="I31" i="6"/>
  <c r="H31" i="6"/>
  <c r="W31" i="6"/>
  <c r="S31" i="6"/>
  <c r="U32" i="6"/>
  <c r="L32" i="6"/>
  <c r="N32" i="6"/>
  <c r="O32" i="6"/>
  <c r="S32" i="6"/>
  <c r="V32" i="6"/>
  <c r="R32" i="6"/>
  <c r="F32" i="6"/>
  <c r="T32" i="6"/>
  <c r="X32" i="6"/>
  <c r="Z32" i="6"/>
  <c r="Q32" i="6"/>
  <c r="W32" i="6"/>
  <c r="M32" i="6"/>
  <c r="Y32" i="6"/>
  <c r="I32" i="6"/>
  <c r="G32" i="6"/>
  <c r="K32" i="6"/>
  <c r="J32" i="6"/>
  <c r="H32" i="6"/>
  <c r="Q33" i="6"/>
  <c r="I33" i="6"/>
  <c r="M33" i="6"/>
  <c r="N33" i="6"/>
  <c r="Z33" i="6"/>
  <c r="G33" i="6"/>
  <c r="O33" i="6"/>
  <c r="U33" i="6"/>
  <c r="T33" i="6"/>
  <c r="R33" i="6"/>
  <c r="W33" i="6"/>
  <c r="V33" i="6"/>
  <c r="F33" i="6"/>
  <c r="X33" i="6"/>
  <c r="H33" i="6"/>
  <c r="Y33" i="6"/>
  <c r="L33" i="6"/>
  <c r="J33" i="6"/>
  <c r="K33" i="6"/>
  <c r="S33" i="6"/>
  <c r="U34" i="6"/>
  <c r="M34" i="6"/>
  <c r="R34" i="6"/>
  <c r="F34" i="6"/>
  <c r="S34" i="6"/>
  <c r="K34" i="6"/>
  <c r="Q34" i="6"/>
  <c r="Y34" i="6"/>
  <c r="W34" i="6"/>
  <c r="T34" i="6"/>
  <c r="G34" i="6"/>
  <c r="V34" i="6"/>
  <c r="L34" i="6"/>
  <c r="X34" i="6"/>
  <c r="Z34" i="6"/>
  <c r="O34" i="6"/>
  <c r="I34" i="6"/>
  <c r="N34" i="6"/>
  <c r="J34" i="6"/>
  <c r="H34" i="6"/>
  <c r="F35" i="6"/>
  <c r="U35" i="6"/>
  <c r="W35" i="6"/>
  <c r="M35" i="6"/>
  <c r="G35" i="6"/>
  <c r="S35" i="6"/>
  <c r="T35" i="6"/>
  <c r="J35" i="6"/>
  <c r="L35" i="6"/>
  <c r="Q35" i="6"/>
  <c r="Y35" i="6"/>
  <c r="V35" i="6"/>
  <c r="Z35" i="6"/>
  <c r="R35" i="6"/>
  <c r="O35" i="6"/>
  <c r="K35" i="6"/>
  <c r="H35" i="6"/>
  <c r="I35" i="6"/>
  <c r="X35" i="6"/>
  <c r="N35" i="6"/>
  <c r="N36" i="6"/>
  <c r="Z36" i="6"/>
  <c r="O36" i="6"/>
  <c r="F36" i="6"/>
  <c r="I36" i="6"/>
  <c r="Y36" i="6"/>
  <c r="T36" i="6"/>
  <c r="X36" i="6"/>
  <c r="S36" i="6"/>
  <c r="U36" i="6"/>
  <c r="H36" i="6"/>
  <c r="L36" i="6"/>
  <c r="R36" i="6"/>
  <c r="V36" i="6"/>
  <c r="G36" i="6"/>
  <c r="Q36" i="6"/>
  <c r="M36" i="6"/>
  <c r="W36" i="6"/>
  <c r="J36" i="6"/>
  <c r="K36" i="6"/>
  <c r="I37" i="6"/>
  <c r="U37" i="6"/>
  <c r="Y37" i="6"/>
  <c r="O37" i="6"/>
  <c r="K37" i="6"/>
  <c r="L37" i="6"/>
  <c r="N37" i="6"/>
  <c r="G37" i="6"/>
  <c r="W37" i="6"/>
  <c r="Q37" i="6"/>
  <c r="X37" i="6"/>
  <c r="J37" i="6"/>
  <c r="S37" i="6"/>
  <c r="M37" i="6"/>
  <c r="F37" i="6"/>
  <c r="T37" i="6"/>
  <c r="V37" i="6"/>
  <c r="R37" i="6"/>
  <c r="H37" i="6"/>
  <c r="Z37" i="6"/>
  <c r="Y38" i="6"/>
  <c r="M38" i="6"/>
  <c r="H38" i="6"/>
  <c r="N38" i="6"/>
  <c r="X38" i="6"/>
  <c r="F38" i="6"/>
  <c r="I38" i="6"/>
  <c r="L38" i="6"/>
  <c r="R38" i="6"/>
  <c r="T38" i="6"/>
  <c r="V38" i="6"/>
  <c r="W38" i="6"/>
  <c r="S38" i="6"/>
  <c r="Z38" i="6"/>
  <c r="U38" i="6"/>
  <c r="G38" i="6"/>
  <c r="Q38" i="6"/>
  <c r="J38" i="6"/>
  <c r="O38" i="6"/>
  <c r="K38" i="6"/>
  <c r="Z39" i="6"/>
  <c r="X39" i="6"/>
  <c r="L39" i="6"/>
  <c r="I39" i="6"/>
  <c r="T39" i="6"/>
  <c r="Q39" i="6"/>
  <c r="O39" i="6"/>
  <c r="G39" i="6"/>
  <c r="R39" i="6"/>
  <c r="V39" i="6"/>
  <c r="W39" i="6"/>
  <c r="J39" i="6"/>
  <c r="F39" i="6"/>
  <c r="U39" i="6"/>
  <c r="H39" i="6"/>
  <c r="S39" i="6"/>
  <c r="Y39" i="6"/>
  <c r="N39" i="6"/>
  <c r="K39" i="6"/>
  <c r="M39" i="6"/>
  <c r="M40" i="6"/>
  <c r="L40" i="6"/>
  <c r="X40" i="6"/>
  <c r="S40" i="6"/>
  <c r="J40" i="6"/>
  <c r="H40" i="6"/>
  <c r="V40" i="6"/>
  <c r="T40" i="6"/>
  <c r="W40" i="6"/>
  <c r="Q40" i="6"/>
  <c r="Z40" i="6"/>
  <c r="G40" i="6"/>
  <c r="N40" i="6"/>
  <c r="K40" i="6"/>
  <c r="Y40" i="6"/>
  <c r="U40" i="6"/>
  <c r="R40" i="6"/>
  <c r="O40" i="6"/>
  <c r="I40" i="6"/>
  <c r="F40" i="6"/>
  <c r="S41" i="6"/>
  <c r="L41" i="6"/>
  <c r="F41" i="6"/>
  <c r="R41" i="6"/>
  <c r="W41" i="6"/>
  <c r="Z41" i="6"/>
  <c r="T41" i="6"/>
  <c r="N41" i="6"/>
  <c r="V41" i="6"/>
  <c r="Q41" i="6"/>
  <c r="I41" i="6"/>
  <c r="O41" i="6"/>
  <c r="H41" i="6"/>
  <c r="X41" i="6"/>
  <c r="Y41" i="6"/>
  <c r="K41" i="6"/>
  <c r="U41" i="6"/>
  <c r="G41" i="6"/>
  <c r="J41" i="6"/>
  <c r="M41" i="6"/>
  <c r="U42" i="6"/>
  <c r="O42" i="6"/>
  <c r="K42" i="6"/>
  <c r="X42" i="6"/>
  <c r="Z42" i="6"/>
  <c r="N42" i="6"/>
  <c r="G42" i="6"/>
  <c r="Y42" i="6"/>
  <c r="I42" i="6"/>
  <c r="M42" i="6"/>
  <c r="F42" i="6"/>
  <c r="T42" i="6"/>
  <c r="L42" i="6"/>
  <c r="R42" i="6"/>
  <c r="J42" i="6"/>
  <c r="S42" i="6"/>
  <c r="H42" i="6"/>
  <c r="V42" i="6"/>
  <c r="W42" i="6"/>
  <c r="Q42" i="6"/>
  <c r="I43" i="6"/>
  <c r="T43" i="6"/>
  <c r="S43" i="6"/>
  <c r="N43" i="6"/>
  <c r="Z43" i="6"/>
  <c r="R43" i="6"/>
  <c r="Y43" i="6"/>
  <c r="J43" i="6"/>
  <c r="V43" i="6"/>
  <c r="G43" i="6"/>
  <c r="X43" i="6"/>
  <c r="F43" i="6"/>
  <c r="AB43" i="6" s="1"/>
  <c r="K43" i="6"/>
  <c r="W43" i="6"/>
  <c r="U43" i="6"/>
  <c r="O43" i="6"/>
  <c r="L43" i="6"/>
  <c r="H43" i="6"/>
  <c r="M43" i="6"/>
  <c r="Q43" i="6"/>
  <c r="I44" i="6"/>
  <c r="N44" i="6"/>
  <c r="F44" i="6"/>
  <c r="AB44" i="6" s="1"/>
  <c r="L44" i="6"/>
  <c r="T44" i="6"/>
  <c r="Z44" i="6"/>
  <c r="J44" i="6"/>
  <c r="X44" i="6"/>
  <c r="M44" i="6"/>
  <c r="R44" i="6"/>
  <c r="V44" i="6"/>
  <c r="G44" i="6"/>
  <c r="S44" i="6"/>
  <c r="K44" i="6"/>
  <c r="W44" i="6"/>
  <c r="Q44" i="6"/>
  <c r="U44" i="6"/>
  <c r="Y44" i="6"/>
  <c r="O44" i="6"/>
  <c r="H44" i="6"/>
  <c r="S46" i="6"/>
  <c r="T46" i="6"/>
  <c r="W45" i="6"/>
  <c r="U45" i="6"/>
  <c r="Y45" i="6"/>
  <c r="H46" i="6"/>
  <c r="J45" i="6"/>
  <c r="R46" i="6"/>
  <c r="K45" i="6"/>
  <c r="L45" i="6"/>
  <c r="Z45" i="6"/>
  <c r="T45" i="6"/>
  <c r="N45" i="6"/>
  <c r="N46" i="6"/>
  <c r="R45" i="6"/>
  <c r="G45" i="6"/>
  <c r="Q45" i="6"/>
  <c r="F45" i="6"/>
  <c r="AB45" i="6" s="1"/>
  <c r="M45" i="6"/>
  <c r="O45" i="6"/>
  <c r="X45" i="6"/>
  <c r="S45" i="6"/>
  <c r="I45" i="6"/>
  <c r="H45" i="6"/>
  <c r="V45" i="6"/>
  <c r="Z46" i="6"/>
  <c r="R47" i="6"/>
  <c r="N47" i="6"/>
  <c r="I47" i="6"/>
  <c r="L46" i="6"/>
  <c r="I46" i="6"/>
  <c r="V46" i="6"/>
  <c r="J47" i="6"/>
  <c r="O47" i="6"/>
  <c r="K46" i="6"/>
  <c r="G46" i="6"/>
  <c r="G47" i="6"/>
  <c r="W47" i="6"/>
  <c r="K48" i="6"/>
  <c r="Q47" i="6"/>
  <c r="T47" i="6"/>
  <c r="X47" i="6"/>
  <c r="O46" i="6"/>
  <c r="Q46" i="6"/>
  <c r="M46" i="6"/>
  <c r="H47" i="6"/>
  <c r="M47" i="6"/>
  <c r="Y47" i="6"/>
  <c r="L47" i="6"/>
  <c r="F47" i="6"/>
  <c r="AB47" i="6" s="1"/>
  <c r="Y46" i="6"/>
  <c r="W46" i="6"/>
  <c r="X46" i="6"/>
  <c r="S47" i="6"/>
  <c r="U46" i="6"/>
  <c r="U47" i="6"/>
  <c r="F46" i="6"/>
  <c r="AB46" i="6" s="1"/>
  <c r="J46" i="6"/>
  <c r="K47" i="6"/>
  <c r="V47" i="6"/>
  <c r="V48" i="6"/>
  <c r="Z49" i="6"/>
  <c r="L49" i="6"/>
  <c r="Y49" i="6"/>
  <c r="H49" i="6"/>
  <c r="V49" i="6"/>
  <c r="Z50" i="6"/>
  <c r="N50" i="6"/>
  <c r="X49" i="6"/>
  <c r="I49" i="6"/>
  <c r="U49" i="6"/>
  <c r="R49" i="6"/>
  <c r="G49" i="6"/>
  <c r="K49" i="6"/>
  <c r="J50" i="6"/>
  <c r="W49" i="6"/>
  <c r="Z47" i="6"/>
  <c r="W52" i="6"/>
  <c r="K53" i="6"/>
  <c r="O48" i="6"/>
  <c r="S49" i="6"/>
  <c r="R48" i="6"/>
  <c r="X48" i="6"/>
  <c r="T49" i="6"/>
  <c r="Z51" i="6"/>
  <c r="H51" i="6"/>
  <c r="X51" i="6"/>
  <c r="Y51" i="6"/>
  <c r="O49" i="6"/>
  <c r="I48" i="6"/>
  <c r="N49" i="6"/>
  <c r="J48" i="6"/>
  <c r="Q49" i="6"/>
  <c r="Y48" i="6"/>
  <c r="F48" i="6"/>
  <c r="AB48" i="6" s="1"/>
  <c r="Q48" i="6"/>
  <c r="R51" i="6"/>
  <c r="L48" i="6"/>
  <c r="J49" i="6"/>
  <c r="W48" i="6"/>
  <c r="G48" i="6"/>
  <c r="U48" i="6"/>
  <c r="I51" i="6"/>
  <c r="N48" i="6"/>
  <c r="Z48" i="6"/>
  <c r="M48" i="6"/>
  <c r="S48" i="6"/>
  <c r="L51" i="6"/>
  <c r="H48" i="6"/>
  <c r="T48" i="6"/>
  <c r="T51" i="6"/>
  <c r="O52" i="6"/>
  <c r="Q52" i="6"/>
  <c r="W51" i="6"/>
  <c r="F49" i="6"/>
  <c r="AB49" i="6" s="1"/>
  <c r="S50" i="6"/>
  <c r="Y52" i="6"/>
  <c r="U51" i="6"/>
  <c r="M49" i="6"/>
  <c r="X50" i="6"/>
  <c r="R50" i="6"/>
  <c r="K51" i="6"/>
  <c r="J51" i="6"/>
  <c r="L50" i="6"/>
  <c r="U50" i="6"/>
  <c r="F50" i="6"/>
  <c r="AB50" i="6" s="1"/>
  <c r="V50" i="6"/>
  <c r="S51" i="6"/>
  <c r="V53" i="6"/>
  <c r="Q50" i="6"/>
  <c r="Z53" i="6"/>
  <c r="Y50" i="6"/>
  <c r="O53" i="6"/>
  <c r="T50" i="6"/>
  <c r="O51" i="6"/>
  <c r="K50" i="6"/>
  <c r="S53" i="6"/>
  <c r="F51" i="6"/>
  <c r="AB51" i="6" s="1"/>
  <c r="M50" i="6"/>
  <c r="J53" i="6"/>
  <c r="H53" i="6"/>
  <c r="W50" i="6"/>
  <c r="I50" i="6"/>
  <c r="O50" i="6"/>
  <c r="M51" i="6"/>
  <c r="H50" i="6"/>
  <c r="G50" i="6"/>
  <c r="Y53" i="6"/>
  <c r="Y55" i="6"/>
  <c r="V51" i="6"/>
  <c r="F53" i="6"/>
  <c r="AB53" i="6" s="1"/>
  <c r="N51" i="6"/>
  <c r="G51" i="6"/>
  <c r="N53" i="6"/>
  <c r="G53" i="6"/>
  <c r="Q53" i="6"/>
  <c r="Q51" i="6"/>
  <c r="U53" i="6"/>
  <c r="U52" i="6"/>
  <c r="R53" i="6"/>
  <c r="X53" i="6"/>
  <c r="M52" i="6"/>
  <c r="Z52" i="6"/>
  <c r="N52" i="6"/>
  <c r="V52" i="6"/>
  <c r="J52" i="6"/>
  <c r="M53" i="6"/>
  <c r="G52" i="6"/>
  <c r="S52" i="6"/>
  <c r="X52" i="6"/>
  <c r="F52" i="6"/>
  <c r="AB52" i="6" s="1"/>
  <c r="K52" i="6"/>
  <c r="R52" i="6"/>
  <c r="L52" i="6"/>
  <c r="H52" i="6"/>
  <c r="I52" i="6"/>
  <c r="T52" i="6"/>
  <c r="L53" i="6"/>
  <c r="J55" i="6"/>
  <c r="I53" i="6"/>
  <c r="F55" i="6"/>
  <c r="AB55" i="6" s="1"/>
  <c r="T53" i="6"/>
  <c r="Z55" i="6"/>
  <c r="M55" i="6"/>
  <c r="U55" i="6"/>
  <c r="R55" i="6"/>
  <c r="W53" i="6"/>
  <c r="Z54" i="6"/>
  <c r="K54" i="6"/>
  <c r="U54" i="6"/>
  <c r="L54" i="6"/>
  <c r="Q54" i="6"/>
  <c r="I55" i="6"/>
  <c r="G54" i="6"/>
  <c r="W54" i="6"/>
  <c r="Y54" i="6"/>
  <c r="N55" i="6"/>
  <c r="N54" i="6"/>
  <c r="S54" i="6"/>
  <c r="V54" i="6"/>
  <c r="O54" i="6"/>
  <c r="K55" i="6"/>
  <c r="T54" i="6"/>
  <c r="F54" i="6"/>
  <c r="AB54" i="6" s="1"/>
  <c r="H54" i="6"/>
  <c r="R54" i="6"/>
  <c r="Q55" i="6"/>
  <c r="I54" i="6"/>
  <c r="T55" i="6"/>
  <c r="J54" i="6"/>
  <c r="M54" i="6"/>
  <c r="X54" i="6"/>
  <c r="G55" i="6"/>
  <c r="L55" i="6"/>
  <c r="X55" i="6"/>
  <c r="S55" i="6"/>
  <c r="V55" i="6"/>
  <c r="H55" i="6"/>
  <c r="O55" i="6"/>
  <c r="W55" i="6"/>
  <c r="Q56" i="6"/>
  <c r="M56" i="6"/>
  <c r="Y56" i="6"/>
  <c r="G56" i="6"/>
  <c r="R56" i="6"/>
  <c r="U56" i="6"/>
  <c r="K56" i="6"/>
  <c r="X56" i="6"/>
  <c r="H56" i="6"/>
  <c r="W56" i="6"/>
  <c r="J56" i="6"/>
  <c r="F56" i="6"/>
  <c r="AB56" i="6" s="1"/>
  <c r="L56" i="6"/>
  <c r="I56" i="6"/>
  <c r="O56" i="6"/>
  <c r="V56" i="6"/>
  <c r="T56" i="6"/>
  <c r="S56" i="6"/>
  <c r="Z56" i="6"/>
  <c r="N56" i="6"/>
  <c r="S57" i="6"/>
  <c r="K57" i="6"/>
  <c r="M57" i="6"/>
  <c r="T57" i="6"/>
  <c r="U57" i="6"/>
  <c r="O57" i="6"/>
  <c r="Z57" i="6"/>
  <c r="W57" i="6"/>
  <c r="L57" i="6"/>
  <c r="I57" i="6"/>
  <c r="Y57" i="6"/>
  <c r="G57" i="6"/>
  <c r="X57" i="6"/>
  <c r="N57" i="6"/>
  <c r="V57" i="6"/>
  <c r="R57" i="6"/>
  <c r="F57" i="6"/>
  <c r="AB57" i="6" s="1"/>
  <c r="Q57" i="6"/>
  <c r="J57" i="6"/>
  <c r="H57" i="6"/>
  <c r="X58" i="6"/>
  <c r="L58" i="6"/>
  <c r="G58" i="6"/>
  <c r="M58" i="6"/>
  <c r="J58" i="6"/>
  <c r="N58" i="6"/>
  <c r="T58" i="6"/>
  <c r="U58" i="6"/>
  <c r="I58" i="6"/>
  <c r="Z58" i="6"/>
  <c r="K58" i="6"/>
  <c r="S58" i="6"/>
  <c r="O58" i="6"/>
  <c r="W58" i="6"/>
  <c r="Y58" i="6"/>
  <c r="Q58" i="6"/>
  <c r="R58" i="6"/>
  <c r="F58" i="6"/>
  <c r="AB58" i="6" s="1"/>
  <c r="V58" i="6"/>
  <c r="H58" i="6"/>
  <c r="M59" i="6"/>
  <c r="X59" i="6"/>
  <c r="O59" i="6"/>
  <c r="F59" i="6"/>
  <c r="AB59" i="6" s="1"/>
  <c r="L59" i="6"/>
  <c r="U59" i="6"/>
  <c r="N59" i="6"/>
  <c r="S59" i="6"/>
  <c r="Z59" i="6"/>
  <c r="T59" i="6"/>
  <c r="Q59" i="6"/>
  <c r="K59" i="6"/>
  <c r="Y59" i="6"/>
  <c r="R59" i="6"/>
  <c r="J59" i="6"/>
  <c r="I59" i="6"/>
  <c r="W59" i="6"/>
  <c r="V59" i="6"/>
  <c r="G59" i="6"/>
  <c r="H59" i="6"/>
  <c r="L60" i="6"/>
  <c r="T60" i="6"/>
  <c r="W60" i="6"/>
  <c r="F60" i="6"/>
  <c r="AB60" i="6" s="1"/>
  <c r="I60" i="6"/>
  <c r="S60" i="6"/>
  <c r="K60" i="6"/>
  <c r="N60" i="6"/>
  <c r="O60" i="6"/>
  <c r="Q60" i="6"/>
  <c r="Z60" i="6"/>
  <c r="X60" i="6"/>
  <c r="R60" i="6"/>
  <c r="V60" i="6"/>
  <c r="H60" i="6"/>
  <c r="J60" i="6"/>
  <c r="G60" i="6"/>
  <c r="U60" i="6"/>
  <c r="M60" i="6"/>
  <c r="Y60" i="6"/>
  <c r="H61" i="6"/>
  <c r="W61" i="6"/>
  <c r="V61" i="6"/>
  <c r="R61" i="6"/>
  <c r="X61" i="6"/>
  <c r="N61" i="6"/>
  <c r="L61" i="6"/>
  <c r="S61" i="6"/>
  <c r="Q61" i="6"/>
  <c r="K61" i="6"/>
  <c r="O61" i="6"/>
  <c r="I61" i="6"/>
  <c r="J61" i="6"/>
  <c r="Y61" i="6"/>
  <c r="T61" i="6"/>
  <c r="U61" i="6"/>
  <c r="M61" i="6"/>
  <c r="F61" i="6"/>
  <c r="AB61" i="6" s="1"/>
  <c r="Z61" i="6"/>
  <c r="G61" i="6"/>
  <c r="W62" i="6"/>
  <c r="J62" i="6"/>
  <c r="M62" i="6"/>
  <c r="H62" i="6"/>
  <c r="Z62" i="6"/>
  <c r="O62" i="6"/>
  <c r="F62" i="6"/>
  <c r="K62" i="6"/>
  <c r="Y62" i="6"/>
  <c r="I62" i="6"/>
  <c r="T62" i="6"/>
  <c r="S62" i="6"/>
  <c r="R62" i="6"/>
  <c r="N62" i="6"/>
  <c r="X62" i="6"/>
  <c r="V62" i="6"/>
  <c r="L62" i="6"/>
  <c r="U62" i="6"/>
  <c r="G62" i="6"/>
  <c r="Q62" i="6"/>
  <c r="Y63" i="6"/>
  <c r="J63" i="6"/>
  <c r="Z63" i="6"/>
  <c r="I63" i="6"/>
  <c r="V63" i="6"/>
  <c r="H63" i="6"/>
  <c r="L63" i="6"/>
  <c r="R63" i="6"/>
  <c r="U63" i="6"/>
  <c r="G63" i="6"/>
  <c r="K63" i="6"/>
  <c r="Q63" i="6"/>
  <c r="X63" i="6"/>
  <c r="T63" i="6"/>
  <c r="O63" i="6"/>
  <c r="M63" i="6"/>
  <c r="F63" i="6"/>
  <c r="S63" i="6"/>
  <c r="W63" i="6"/>
  <c r="N63" i="6"/>
  <c r="Y64" i="6"/>
  <c r="J64" i="6"/>
  <c r="V64" i="6"/>
  <c r="I64" i="6"/>
  <c r="M64" i="6"/>
  <c r="U64" i="6"/>
  <c r="Z64" i="6"/>
  <c r="W64" i="6"/>
  <c r="S64" i="6"/>
  <c r="F64" i="6"/>
  <c r="R64" i="6"/>
  <c r="N64" i="6"/>
  <c r="K64" i="6"/>
  <c r="O64" i="6"/>
  <c r="H64" i="6"/>
  <c r="T64" i="6"/>
  <c r="G64" i="6"/>
  <c r="L64" i="6"/>
  <c r="X64" i="6"/>
  <c r="Q64" i="6"/>
  <c r="L65" i="6"/>
  <c r="X65" i="6"/>
  <c r="H65" i="6"/>
  <c r="M65" i="6"/>
  <c r="U65" i="6"/>
  <c r="Y65" i="6"/>
  <c r="Q65" i="6"/>
  <c r="W65" i="6"/>
  <c r="T65" i="6"/>
  <c r="N65" i="6"/>
  <c r="J65" i="6"/>
  <c r="G65" i="6"/>
  <c r="R65" i="6"/>
  <c r="S65" i="6"/>
  <c r="V65" i="6"/>
  <c r="F65" i="6"/>
  <c r="K65" i="6"/>
  <c r="I65" i="6"/>
  <c r="Z65" i="6"/>
  <c r="O65" i="6"/>
  <c r="AT6" i="2"/>
  <c r="AR6" i="2"/>
  <c r="K28" i="3"/>
  <c r="G134" i="1"/>
  <c r="C134" i="1"/>
  <c r="D39" i="13"/>
  <c r="D40" i="13"/>
  <c r="D41" i="13"/>
  <c r="AA36" i="6" l="1"/>
  <c r="Y34" i="7" s="1"/>
  <c r="AA53" i="6"/>
  <c r="AA55" i="6"/>
  <c r="AA41" i="6"/>
  <c r="Y39" i="7" s="1"/>
  <c r="AA37" i="6"/>
  <c r="R35" i="7" s="1"/>
  <c r="AA50" i="6"/>
  <c r="AA52" i="6"/>
  <c r="AA45" i="6"/>
  <c r="Y43" i="7" s="1"/>
  <c r="AA54" i="6"/>
  <c r="AA48" i="6"/>
  <c r="AA47" i="6"/>
  <c r="AA42" i="6"/>
  <c r="T40" i="7" s="1"/>
  <c r="AA40" i="6"/>
  <c r="S38" i="7" s="1"/>
  <c r="AA39" i="6"/>
  <c r="Q37" i="7" s="1"/>
  <c r="AA51" i="6"/>
  <c r="AA49" i="6"/>
  <c r="AA38" i="6"/>
  <c r="Q36" i="7" s="1"/>
  <c r="AA46" i="6"/>
  <c r="AA44" i="6"/>
  <c r="Q42" i="7" s="1"/>
  <c r="AA43" i="6"/>
  <c r="S41" i="7" s="1"/>
  <c r="J21" i="12"/>
  <c r="J16" i="12"/>
  <c r="J19" i="12"/>
  <c r="J11" i="12"/>
  <c r="J15" i="12"/>
  <c r="J17" i="12"/>
  <c r="J10" i="12"/>
  <c r="J13" i="12"/>
  <c r="U36" i="22"/>
  <c r="X36" i="22" s="1"/>
  <c r="B20" i="12"/>
  <c r="J20" i="12" s="1"/>
  <c r="J18" i="12"/>
  <c r="J12" i="12"/>
  <c r="J14" i="12"/>
  <c r="J10" i="10"/>
  <c r="H10" i="10"/>
  <c r="J4" i="10"/>
  <c r="D15" i="13" s="1"/>
  <c r="H4" i="10"/>
  <c r="D18" i="13" s="1"/>
  <c r="H13" i="12"/>
  <c r="H15" i="12"/>
  <c r="AV8" i="2"/>
  <c r="AV5" i="2"/>
  <c r="AV9" i="2"/>
  <c r="AV6" i="2"/>
  <c r="AV7" i="2"/>
  <c r="AV4" i="2"/>
  <c r="AX4" i="2"/>
  <c r="AX7" i="2"/>
  <c r="AX8" i="2"/>
  <c r="D14" i="13"/>
  <c r="E14" i="13" s="1"/>
  <c r="H16" i="12"/>
  <c r="AQ46" i="2"/>
  <c r="AT46" i="2" s="1"/>
  <c r="R36" i="22"/>
  <c r="H10" i="12"/>
  <c r="H19" i="12"/>
  <c r="H20" i="12"/>
  <c r="D23" i="13"/>
  <c r="D26" i="13"/>
  <c r="H14" i="12"/>
  <c r="L17" i="12"/>
  <c r="N20" i="12"/>
  <c r="H21" i="12"/>
  <c r="R34" i="22"/>
  <c r="U34" i="22"/>
  <c r="X34" i="22" s="1"/>
  <c r="AQ44" i="2"/>
  <c r="R11" i="22"/>
  <c r="U11" i="22"/>
  <c r="AQ21" i="2"/>
  <c r="R5" i="22"/>
  <c r="AQ15" i="2"/>
  <c r="U5" i="22"/>
  <c r="L20" i="12"/>
  <c r="N18" i="12"/>
  <c r="L21" i="12"/>
  <c r="R35" i="22"/>
  <c r="U35" i="22"/>
  <c r="X35" i="22" s="1"/>
  <c r="AQ45" i="2"/>
  <c r="L13" i="12"/>
  <c r="R12" i="22"/>
  <c r="AQ22" i="2"/>
  <c r="U12" i="22"/>
  <c r="H4" i="12"/>
  <c r="D19" i="13" s="1"/>
  <c r="H18" i="12"/>
  <c r="R31" i="22"/>
  <c r="U31" i="22"/>
  <c r="X31" i="22" s="1"/>
  <c r="AQ41" i="2"/>
  <c r="R16" i="22"/>
  <c r="U16" i="22"/>
  <c r="AQ26" i="2"/>
  <c r="L18" i="12"/>
  <c r="R6" i="22"/>
  <c r="U6" i="22"/>
  <c r="AQ16" i="2"/>
  <c r="R32" i="22"/>
  <c r="U32" i="22"/>
  <c r="X32" i="22" s="1"/>
  <c r="AQ42" i="2"/>
  <c r="R22" i="22"/>
  <c r="U22" i="22"/>
  <c r="AQ32" i="2"/>
  <c r="R21" i="22"/>
  <c r="U21" i="22"/>
  <c r="AQ31" i="2"/>
  <c r="AQ27" i="2"/>
  <c r="R17" i="22"/>
  <c r="U17" i="22"/>
  <c r="R4" i="22"/>
  <c r="AQ14" i="2"/>
  <c r="U4" i="22"/>
  <c r="L11" i="12"/>
  <c r="L12" i="12"/>
  <c r="R10" i="22"/>
  <c r="U10" i="22"/>
  <c r="AQ20" i="2"/>
  <c r="N10" i="12"/>
  <c r="N11" i="12"/>
  <c r="D17" i="13"/>
  <c r="E17" i="13" s="1"/>
  <c r="R29" i="22"/>
  <c r="U29" i="22"/>
  <c r="X29" i="22" s="1"/>
  <c r="AQ39" i="2"/>
  <c r="L10" i="12"/>
  <c r="R23" i="22"/>
  <c r="U23" i="22"/>
  <c r="AQ33" i="2"/>
  <c r="R14" i="22"/>
  <c r="U14" i="22"/>
  <c r="AQ24" i="2"/>
  <c r="R26" i="22"/>
  <c r="U26" i="22"/>
  <c r="AQ36" i="2"/>
  <c r="H12" i="12"/>
  <c r="N14" i="12"/>
  <c r="N10" i="10"/>
  <c r="R24" i="22"/>
  <c r="U24" i="22"/>
  <c r="AQ34" i="2"/>
  <c r="N16" i="12"/>
  <c r="R30" i="22"/>
  <c r="U30" i="22"/>
  <c r="X30" i="22" s="1"/>
  <c r="AQ40" i="2"/>
  <c r="N21" i="12"/>
  <c r="R28" i="22"/>
  <c r="AQ38" i="2"/>
  <c r="U28" i="22"/>
  <c r="X28" i="22" s="1"/>
  <c r="R7" i="22"/>
  <c r="U7" i="22"/>
  <c r="AQ17" i="2"/>
  <c r="N19" i="12"/>
  <c r="R3" i="22"/>
  <c r="U3" i="22"/>
  <c r="AQ13" i="2"/>
  <c r="L14" i="12"/>
  <c r="L10" i="10"/>
  <c r="L16" i="12"/>
  <c r="N15" i="12"/>
  <c r="L4" i="10"/>
  <c r="L4" i="12"/>
  <c r="R8" i="22"/>
  <c r="U8" i="22"/>
  <c r="AQ18" i="2"/>
  <c r="L15" i="12"/>
  <c r="N13" i="12"/>
  <c r="R9" i="22"/>
  <c r="U9" i="22"/>
  <c r="AQ19" i="2"/>
  <c r="U2" i="22"/>
  <c r="AQ12" i="2"/>
  <c r="R2" i="22"/>
  <c r="N12" i="12"/>
  <c r="R20" i="22"/>
  <c r="U20" i="22"/>
  <c r="AQ30" i="2"/>
  <c r="L19" i="12"/>
  <c r="R13" i="22"/>
  <c r="U13" i="22"/>
  <c r="AQ23" i="2"/>
  <c r="H11" i="12"/>
  <c r="N17" i="12"/>
  <c r="R15" i="22"/>
  <c r="U15" i="22"/>
  <c r="AQ25" i="2"/>
  <c r="H17" i="12"/>
  <c r="R25" i="22"/>
  <c r="AQ35" i="2"/>
  <c r="U25" i="22"/>
  <c r="R18" i="22"/>
  <c r="U18" i="22"/>
  <c r="AQ28" i="2"/>
  <c r="R27" i="22"/>
  <c r="U27" i="22"/>
  <c r="X27" i="22" s="1"/>
  <c r="AQ37" i="2"/>
  <c r="R33" i="22"/>
  <c r="U33" i="22"/>
  <c r="X33" i="22" s="1"/>
  <c r="AQ43" i="2"/>
  <c r="R37" i="22"/>
  <c r="U37" i="22"/>
  <c r="X37" i="22" s="1"/>
  <c r="AQ47" i="2"/>
  <c r="R19" i="22"/>
  <c r="U19" i="22"/>
  <c r="AQ29" i="2"/>
  <c r="N4" i="12"/>
  <c r="P50" i="6"/>
  <c r="P39" i="6"/>
  <c r="AB39" i="6" s="1"/>
  <c r="P64" i="6"/>
  <c r="AB64" i="6" s="1"/>
  <c r="AA60" i="6"/>
  <c r="P58" i="6"/>
  <c r="AA31" i="6"/>
  <c r="Q29" i="7" s="1"/>
  <c r="AA28" i="6"/>
  <c r="Q26" i="7" s="1"/>
  <c r="P14" i="6"/>
  <c r="J12" i="7" s="1"/>
  <c r="P13" i="6"/>
  <c r="N11" i="7" s="1"/>
  <c r="AA12" i="6"/>
  <c r="Y10" i="7" s="1"/>
  <c r="P11" i="6"/>
  <c r="M9" i="7" s="1"/>
  <c r="P9" i="6"/>
  <c r="O7" i="7" s="1"/>
  <c r="AA4" i="6"/>
  <c r="Z2" i="7" s="1"/>
  <c r="AA56" i="6"/>
  <c r="P55" i="6"/>
  <c r="P33" i="6"/>
  <c r="H31" i="7" s="1"/>
  <c r="P24" i="6"/>
  <c r="K22" i="7" s="1"/>
  <c r="P18" i="6"/>
  <c r="AB18" i="6" s="1"/>
  <c r="P7" i="6"/>
  <c r="AB7" i="6" s="1"/>
  <c r="AA6" i="6"/>
  <c r="Q4" i="7" s="1"/>
  <c r="P4" i="6"/>
  <c r="AB4" i="6" s="1"/>
  <c r="D12" i="13"/>
  <c r="AA63" i="6"/>
  <c r="P59" i="6"/>
  <c r="AA58" i="6"/>
  <c r="P54" i="6"/>
  <c r="P43" i="6"/>
  <c r="P32" i="6"/>
  <c r="J30" i="7" s="1"/>
  <c r="AA27" i="6"/>
  <c r="Z25" i="7" s="1"/>
  <c r="P23" i="6"/>
  <c r="I21" i="7" s="1"/>
  <c r="P21" i="6"/>
  <c r="M19" i="7" s="1"/>
  <c r="P19" i="6"/>
  <c r="K17" i="7" s="1"/>
  <c r="AA11" i="6"/>
  <c r="R9" i="7" s="1"/>
  <c r="D16" i="13"/>
  <c r="D13" i="13"/>
  <c r="AT8" i="2"/>
  <c r="AR8" i="2"/>
  <c r="P62" i="6"/>
  <c r="AB62" i="6" s="1"/>
  <c r="AA59" i="6"/>
  <c r="P52" i="6"/>
  <c r="P49" i="6"/>
  <c r="P41" i="6"/>
  <c r="AB41" i="6" s="1"/>
  <c r="AA34" i="6"/>
  <c r="R32" i="7" s="1"/>
  <c r="P30" i="6"/>
  <c r="AB30" i="6" s="1"/>
  <c r="AA25" i="6"/>
  <c r="V23" i="7" s="1"/>
  <c r="AA21" i="6"/>
  <c r="T19" i="7" s="1"/>
  <c r="AA18" i="6"/>
  <c r="R16" i="7" s="1"/>
  <c r="P17" i="6"/>
  <c r="AB17" i="6" s="1"/>
  <c r="AA17" i="6"/>
  <c r="X15" i="7" s="1"/>
  <c r="AA14" i="6"/>
  <c r="Y12" i="7" s="1"/>
  <c r="AA8" i="6"/>
  <c r="Z6" i="7" s="1"/>
  <c r="P8" i="6"/>
  <c r="K6" i="7" s="1"/>
  <c r="P61" i="6"/>
  <c r="AA57" i="6"/>
  <c r="P51" i="6"/>
  <c r="P47" i="6"/>
  <c r="P45" i="6"/>
  <c r="P38" i="6"/>
  <c r="AB38" i="6" s="1"/>
  <c r="AA35" i="6"/>
  <c r="R33" i="7" s="1"/>
  <c r="AA29" i="6"/>
  <c r="T27" i="7" s="1"/>
  <c r="AA26" i="6"/>
  <c r="Q24" i="7" s="1"/>
  <c r="P25" i="6"/>
  <c r="J23" i="7" s="1"/>
  <c r="AA23" i="6"/>
  <c r="V21" i="7" s="1"/>
  <c r="AA13" i="6"/>
  <c r="X11" i="7" s="1"/>
  <c r="AA10" i="6"/>
  <c r="T8" i="7" s="1"/>
  <c r="AA5" i="6"/>
  <c r="X3" i="7" s="1"/>
  <c r="P6" i="6"/>
  <c r="N4" i="7" s="1"/>
  <c r="P63" i="6"/>
  <c r="AB63" i="6" s="1"/>
  <c r="AA61" i="6"/>
  <c r="P57" i="6"/>
  <c r="P46" i="6"/>
  <c r="P35" i="6"/>
  <c r="O33" i="7" s="1"/>
  <c r="AA33" i="6"/>
  <c r="T31" i="7" s="1"/>
  <c r="P22" i="6"/>
  <c r="N20" i="7" s="1"/>
  <c r="P20" i="6"/>
  <c r="AB20" i="6" s="1"/>
  <c r="AA19" i="6"/>
  <c r="S17" i="7" s="1"/>
  <c r="AT5" i="2"/>
  <c r="AR5" i="2"/>
  <c r="P65" i="6"/>
  <c r="AB65" i="6" s="1"/>
  <c r="AA64" i="6"/>
  <c r="AA62" i="6"/>
  <c r="P60" i="6"/>
  <c r="P56" i="6"/>
  <c r="P40" i="6"/>
  <c r="AB40" i="6" s="1"/>
  <c r="P36" i="6"/>
  <c r="AB36" i="6" s="1"/>
  <c r="P34" i="6"/>
  <c r="I32" i="7" s="1"/>
  <c r="AA32" i="6"/>
  <c r="T30" i="7" s="1"/>
  <c r="AA30" i="6"/>
  <c r="X28" i="7" s="1"/>
  <c r="P28" i="6"/>
  <c r="K26" i="7" s="1"/>
  <c r="P27" i="6"/>
  <c r="AB27" i="6" s="1"/>
  <c r="P26" i="6"/>
  <c r="K24" i="7" s="1"/>
  <c r="AA24" i="6"/>
  <c r="W22" i="7" s="1"/>
  <c r="AA22" i="6"/>
  <c r="X20" i="7" s="1"/>
  <c r="AA20" i="6"/>
  <c r="Q18" i="7" s="1"/>
  <c r="P16" i="6"/>
  <c r="G14" i="7" s="1"/>
  <c r="AA15" i="6"/>
  <c r="U13" i="7" s="1"/>
  <c r="P12" i="6"/>
  <c r="G10" i="7" s="1"/>
  <c r="P10" i="6"/>
  <c r="L8" i="7" s="1"/>
  <c r="AA7" i="6"/>
  <c r="Z5" i="7" s="1"/>
  <c r="P5" i="6"/>
  <c r="H3" i="7" s="1"/>
  <c r="AA65" i="6"/>
  <c r="P53" i="6"/>
  <c r="P48" i="6"/>
  <c r="P44" i="6"/>
  <c r="P42" i="6"/>
  <c r="AB42" i="6" s="1"/>
  <c r="P37" i="6"/>
  <c r="AB37" i="6" s="1"/>
  <c r="P31" i="6"/>
  <c r="K29" i="7" s="1"/>
  <c r="P29" i="6"/>
  <c r="O27" i="7" s="1"/>
  <c r="AA16" i="6"/>
  <c r="Q14" i="7" s="1"/>
  <c r="P15" i="6"/>
  <c r="P13" i="7" s="1"/>
  <c r="AA9" i="6"/>
  <c r="V7" i="7" s="1"/>
  <c r="O34" i="7" l="1"/>
  <c r="X36" i="7"/>
  <c r="M38" i="7"/>
  <c r="Z36" i="7"/>
  <c r="H36" i="7"/>
  <c r="N39" i="7"/>
  <c r="U43" i="7"/>
  <c r="T37" i="7"/>
  <c r="J40" i="7"/>
  <c r="O43" i="7"/>
  <c r="U37" i="7"/>
  <c r="V40" i="7"/>
  <c r="X40" i="7"/>
  <c r="X41" i="7"/>
  <c r="P37" i="7"/>
  <c r="G40" i="7"/>
  <c r="R43" i="7"/>
  <c r="Q40" i="7"/>
  <c r="W43" i="7"/>
  <c r="P41" i="7"/>
  <c r="V35" i="7"/>
  <c r="S39" i="7"/>
  <c r="T42" i="7"/>
  <c r="G36" i="7"/>
  <c r="Q39" i="7"/>
  <c r="Y35" i="7"/>
  <c r="J37" i="7"/>
  <c r="Y40" i="7"/>
  <c r="T43" i="7"/>
  <c r="G37" i="7"/>
  <c r="I40" i="7"/>
  <c r="X43" i="7"/>
  <c r="R41" i="7"/>
  <c r="K41" i="7"/>
  <c r="K42" i="7"/>
  <c r="I37" i="7"/>
  <c r="W40" i="7"/>
  <c r="J43" i="7"/>
  <c r="M42" i="7"/>
  <c r="Z43" i="7"/>
  <c r="I42" i="7"/>
  <c r="V39" i="7"/>
  <c r="S42" i="7"/>
  <c r="H39" i="7"/>
  <c r="M37" i="7"/>
  <c r="K37" i="7"/>
  <c r="S40" i="7"/>
  <c r="P43" i="7"/>
  <c r="N38" i="7"/>
  <c r="Z41" i="7"/>
  <c r="M35" i="7"/>
  <c r="Q38" i="7"/>
  <c r="W41" i="7"/>
  <c r="H42" i="7"/>
  <c r="N43" i="7"/>
  <c r="X38" i="7"/>
  <c r="Y41" i="7"/>
  <c r="H35" i="7"/>
  <c r="I43" i="7"/>
  <c r="T35" i="7"/>
  <c r="M43" i="7"/>
  <c r="S36" i="7"/>
  <c r="U39" i="7"/>
  <c r="L43" i="7"/>
  <c r="X37" i="7"/>
  <c r="O40" i="7"/>
  <c r="K40" i="7"/>
  <c r="N37" i="7"/>
  <c r="O41" i="7"/>
  <c r="L35" i="7"/>
  <c r="W38" i="7"/>
  <c r="L41" i="7"/>
  <c r="N35" i="7"/>
  <c r="P38" i="7"/>
  <c r="O42" i="7"/>
  <c r="H43" i="7"/>
  <c r="O35" i="7"/>
  <c r="Z38" i="7"/>
  <c r="U41" i="7"/>
  <c r="O36" i="7"/>
  <c r="Z42" i="7"/>
  <c r="L36" i="7"/>
  <c r="X35" i="7"/>
  <c r="Z37" i="7"/>
  <c r="Z40" i="7"/>
  <c r="Q43" i="7"/>
  <c r="V37" i="7"/>
  <c r="R40" i="7"/>
  <c r="W42" i="7"/>
  <c r="P35" i="7"/>
  <c r="T38" i="7"/>
  <c r="G41" i="7"/>
  <c r="S35" i="7"/>
  <c r="R38" i="7"/>
  <c r="J42" i="7"/>
  <c r="N36" i="7"/>
  <c r="Z39" i="7"/>
  <c r="R42" i="7"/>
  <c r="L42" i="7"/>
  <c r="G35" i="7"/>
  <c r="J38" i="7"/>
  <c r="G42" i="7"/>
  <c r="W36" i="7"/>
  <c r="J36" i="7"/>
  <c r="S37" i="7"/>
  <c r="W37" i="7"/>
  <c r="R37" i="7"/>
  <c r="M40" i="7"/>
  <c r="V43" i="7"/>
  <c r="O37" i="7"/>
  <c r="T41" i="7"/>
  <c r="U36" i="7"/>
  <c r="K35" i="7"/>
  <c r="U38" i="7"/>
  <c r="Q41" i="7"/>
  <c r="Y36" i="7"/>
  <c r="W39" i="7"/>
  <c r="N42" i="7"/>
  <c r="T36" i="7"/>
  <c r="X39" i="7"/>
  <c r="Y42" i="7"/>
  <c r="I35" i="7"/>
  <c r="I36" i="7"/>
  <c r="T39" i="7"/>
  <c r="V42" i="7"/>
  <c r="H37" i="7"/>
  <c r="L37" i="7"/>
  <c r="G38" i="7"/>
  <c r="G39" i="7"/>
  <c r="Y37" i="7"/>
  <c r="J41" i="7"/>
  <c r="U35" i="7"/>
  <c r="I38" i="7"/>
  <c r="H41" i="7"/>
  <c r="V38" i="7"/>
  <c r="Z35" i="7"/>
  <c r="R39" i="7"/>
  <c r="X42" i="7"/>
  <c r="R36" i="7"/>
  <c r="I39" i="7"/>
  <c r="U42" i="7"/>
  <c r="K36" i="7"/>
  <c r="P40" i="7"/>
  <c r="S43" i="7"/>
  <c r="Y38" i="7"/>
  <c r="V36" i="7"/>
  <c r="P42" i="7"/>
  <c r="J39" i="7"/>
  <c r="L39" i="7"/>
  <c r="J35" i="7"/>
  <c r="K38" i="7"/>
  <c r="V41" i="7"/>
  <c r="Q35" i="7"/>
  <c r="L38" i="7"/>
  <c r="I41" i="7"/>
  <c r="K39" i="7"/>
  <c r="M36" i="7"/>
  <c r="P39" i="7"/>
  <c r="U40" i="7"/>
  <c r="N40" i="7"/>
  <c r="H38" i="7"/>
  <c r="H40" i="7"/>
  <c r="P36" i="7"/>
  <c r="L40" i="7"/>
  <c r="K43" i="7"/>
  <c r="O39" i="7"/>
  <c r="W35" i="7"/>
  <c r="O38" i="7"/>
  <c r="M41" i="7"/>
  <c r="M39" i="7"/>
  <c r="G43" i="7"/>
  <c r="N41" i="7"/>
  <c r="C18" i="12"/>
  <c r="C15" i="12"/>
  <c r="C20" i="12"/>
  <c r="C21" i="12"/>
  <c r="C16" i="12"/>
  <c r="C13" i="12"/>
  <c r="C11" i="12"/>
  <c r="C14" i="12"/>
  <c r="C17" i="12"/>
  <c r="C12" i="12"/>
  <c r="C19" i="12"/>
  <c r="AX5" i="2"/>
  <c r="AX9" i="2"/>
  <c r="AX6" i="2"/>
  <c r="AX46" i="2"/>
  <c r="C40" i="13"/>
  <c r="E40" i="13" s="1"/>
  <c r="C41" i="13"/>
  <c r="E41" i="13" s="1"/>
  <c r="C39" i="13"/>
  <c r="E39" i="13" s="1"/>
  <c r="X18" i="22"/>
  <c r="AX30" i="2"/>
  <c r="AT30" i="2"/>
  <c r="V6" i="22"/>
  <c r="Y6" i="22" s="1"/>
  <c r="V9" i="22"/>
  <c r="Y9" i="22" s="1"/>
  <c r="V2" i="22"/>
  <c r="Y2" i="22" s="1"/>
  <c r="V8" i="22"/>
  <c r="Y8" i="22" s="1"/>
  <c r="E10" i="12"/>
  <c r="V10" i="22"/>
  <c r="Y10" i="22" s="1"/>
  <c r="V12" i="22"/>
  <c r="Y12" i="22" s="1"/>
  <c r="V4" i="22"/>
  <c r="Y4" i="22" s="1"/>
  <c r="V5" i="22"/>
  <c r="Y5" i="22" s="1"/>
  <c r="V3" i="22"/>
  <c r="Y3" i="22" s="1"/>
  <c r="X2" i="22"/>
  <c r="V7" i="22"/>
  <c r="Y7" i="22" s="1"/>
  <c r="V11" i="22"/>
  <c r="Y11" i="22" s="1"/>
  <c r="V13" i="22"/>
  <c r="Y13" i="22" s="1"/>
  <c r="AT18" i="2"/>
  <c r="AX18" i="2"/>
  <c r="AT25" i="2"/>
  <c r="AX25" i="2"/>
  <c r="X20" i="22"/>
  <c r="X8" i="22"/>
  <c r="E16" i="12"/>
  <c r="AX34" i="2"/>
  <c r="AT34" i="2"/>
  <c r="AT33" i="2"/>
  <c r="AX33" i="2"/>
  <c r="AT31" i="2"/>
  <c r="AX31" i="2"/>
  <c r="AT22" i="2"/>
  <c r="AX22" i="2"/>
  <c r="E19" i="12"/>
  <c r="X11" i="22"/>
  <c r="X21" i="22"/>
  <c r="AX42" i="2"/>
  <c r="AT42" i="2"/>
  <c r="X23" i="22"/>
  <c r="X17" i="22"/>
  <c r="AX26" i="2"/>
  <c r="AT26" i="2"/>
  <c r="X24" i="22"/>
  <c r="AX37" i="2"/>
  <c r="AT37" i="2"/>
  <c r="X15" i="22"/>
  <c r="AT23" i="2"/>
  <c r="AX23" i="2"/>
  <c r="X19" i="22"/>
  <c r="AT43" i="2"/>
  <c r="AX43" i="2"/>
  <c r="AX35" i="2"/>
  <c r="AT35" i="2"/>
  <c r="AX13" i="2"/>
  <c r="AT13" i="2"/>
  <c r="E15" i="12"/>
  <c r="X7" i="22"/>
  <c r="AX40" i="2"/>
  <c r="AT40" i="2"/>
  <c r="X5" i="22"/>
  <c r="E13" i="12"/>
  <c r="AT19" i="2"/>
  <c r="AX19" i="2"/>
  <c r="AX17" i="2"/>
  <c r="AT17" i="2"/>
  <c r="AX29" i="2"/>
  <c r="AT29" i="2"/>
  <c r="AM8" i="2"/>
  <c r="AM5" i="2"/>
  <c r="X13" i="22"/>
  <c r="E21" i="12"/>
  <c r="C10" i="12"/>
  <c r="S5" i="22"/>
  <c r="S9" i="22"/>
  <c r="S6" i="22"/>
  <c r="S13" i="22"/>
  <c r="S10" i="22"/>
  <c r="S8" i="22"/>
  <c r="S4" i="22"/>
  <c r="S7" i="22"/>
  <c r="S12" i="22"/>
  <c r="S11" i="22"/>
  <c r="S3" i="22"/>
  <c r="S2" i="22"/>
  <c r="X16" i="22"/>
  <c r="AX44" i="2"/>
  <c r="AT44" i="2"/>
  <c r="C4" i="10"/>
  <c r="C21" i="13" s="1"/>
  <c r="E21" i="13" s="1"/>
  <c r="S34" i="22"/>
  <c r="S36" i="22"/>
  <c r="S28" i="22"/>
  <c r="S35" i="22"/>
  <c r="S26" i="22"/>
  <c r="S31" i="22"/>
  <c r="S27" i="22"/>
  <c r="S32" i="22"/>
  <c r="S29" i="22"/>
  <c r="S37" i="22"/>
  <c r="S30" i="22"/>
  <c r="S33" i="22"/>
  <c r="E17" i="12"/>
  <c r="X9" i="22"/>
  <c r="AX28" i="2"/>
  <c r="AT28" i="2"/>
  <c r="AX12" i="2"/>
  <c r="AT12" i="2"/>
  <c r="X3" i="22"/>
  <c r="E11" i="12"/>
  <c r="AX24" i="2"/>
  <c r="AT24" i="2"/>
  <c r="AX20" i="2"/>
  <c r="AT20" i="2"/>
  <c r="X4" i="22"/>
  <c r="E12" i="12"/>
  <c r="AT27" i="2"/>
  <c r="AX27" i="2"/>
  <c r="AX32" i="2"/>
  <c r="AT32" i="2"/>
  <c r="AX16" i="2"/>
  <c r="AT16" i="2"/>
  <c r="AX15" i="2"/>
  <c r="AT15" i="2"/>
  <c r="AT47" i="2"/>
  <c r="AX47" i="2"/>
  <c r="X25" i="22"/>
  <c r="AT36" i="2"/>
  <c r="AX36" i="2"/>
  <c r="V16" i="22"/>
  <c r="Y16" i="22" s="1"/>
  <c r="V23" i="22"/>
  <c r="Y23" i="22" s="1"/>
  <c r="V15" i="22"/>
  <c r="Y15" i="22" s="1"/>
  <c r="V18" i="22"/>
  <c r="Y18" i="22" s="1"/>
  <c r="X14" i="22"/>
  <c r="V25" i="22"/>
  <c r="Y25" i="22" s="1"/>
  <c r="V24" i="22"/>
  <c r="Y24" i="22" s="1"/>
  <c r="V21" i="22"/>
  <c r="Y21" i="22" s="1"/>
  <c r="V14" i="22"/>
  <c r="Y14" i="22" s="1"/>
  <c r="V22" i="22"/>
  <c r="Y22" i="22" s="1"/>
  <c r="V17" i="22"/>
  <c r="Y17" i="22" s="1"/>
  <c r="V20" i="22"/>
  <c r="Y20" i="22" s="1"/>
  <c r="V19" i="22"/>
  <c r="Y19" i="22" s="1"/>
  <c r="AX39" i="2"/>
  <c r="AT39" i="2"/>
  <c r="E18" i="12"/>
  <c r="X10" i="22"/>
  <c r="X22" i="22"/>
  <c r="X6" i="22"/>
  <c r="E14" i="12"/>
  <c r="AT41" i="2"/>
  <c r="AX41" i="2"/>
  <c r="E20" i="12"/>
  <c r="X12" i="22"/>
  <c r="AT45" i="2"/>
  <c r="AX45" i="2"/>
  <c r="AX38" i="2"/>
  <c r="AT38" i="2"/>
  <c r="X26" i="22"/>
  <c r="E4" i="10"/>
  <c r="V26" i="22"/>
  <c r="V35" i="22"/>
  <c r="Y35" i="22" s="1"/>
  <c r="V29" i="22"/>
  <c r="Y29" i="22" s="1"/>
  <c r="V30" i="22"/>
  <c r="Y30" i="22" s="1"/>
  <c r="V37" i="22"/>
  <c r="Y37" i="22" s="1"/>
  <c r="V27" i="22"/>
  <c r="Y27" i="22" s="1"/>
  <c r="V33" i="22"/>
  <c r="Y33" i="22" s="1"/>
  <c r="V31" i="22"/>
  <c r="Y31" i="22" s="1"/>
  <c r="V32" i="22"/>
  <c r="Y32" i="22" s="1"/>
  <c r="V34" i="22"/>
  <c r="Y34" i="22" s="1"/>
  <c r="V36" i="22"/>
  <c r="Y36" i="22" s="1"/>
  <c r="V28" i="22"/>
  <c r="Y28" i="22" s="1"/>
  <c r="S14" i="22"/>
  <c r="S22" i="22"/>
  <c r="S20" i="22"/>
  <c r="S17" i="22"/>
  <c r="S25" i="22"/>
  <c r="S19" i="22"/>
  <c r="S21" i="22"/>
  <c r="S23" i="22"/>
  <c r="S24" i="22"/>
  <c r="S16" i="22"/>
  <c r="S18" i="22"/>
  <c r="S15" i="22"/>
  <c r="AX14" i="2"/>
  <c r="AT14" i="2"/>
  <c r="AT21" i="2"/>
  <c r="AX21" i="2"/>
  <c r="N4" i="10"/>
  <c r="D24" i="13" s="1"/>
  <c r="E24" i="13" s="1"/>
  <c r="R26" i="7"/>
  <c r="L5" i="7"/>
  <c r="V6" i="7"/>
  <c r="T6" i="7"/>
  <c r="S10" i="7"/>
  <c r="U26" i="7"/>
  <c r="H28" i="7"/>
  <c r="V26" i="7"/>
  <c r="X26" i="7"/>
  <c r="I5" i="7"/>
  <c r="M20" i="7"/>
  <c r="K11" i="7"/>
  <c r="R4" i="7"/>
  <c r="X4" i="7"/>
  <c r="V4" i="7"/>
  <c r="T26" i="7"/>
  <c r="Y26" i="7"/>
  <c r="Z17" i="7"/>
  <c r="N30" i="7"/>
  <c r="S26" i="7"/>
  <c r="I20" i="7"/>
  <c r="L19" i="7"/>
  <c r="J22" i="7"/>
  <c r="Y23" i="7"/>
  <c r="R23" i="7"/>
  <c r="O22" i="7"/>
  <c r="J7" i="7"/>
  <c r="L22" i="7"/>
  <c r="P7" i="7"/>
  <c r="Z29" i="7"/>
  <c r="T29" i="7"/>
  <c r="Y29" i="7"/>
  <c r="P5" i="7"/>
  <c r="U10" i="7"/>
  <c r="U29" i="7"/>
  <c r="V10" i="7"/>
  <c r="S29" i="7"/>
  <c r="R29" i="7"/>
  <c r="O12" i="7"/>
  <c r="X16" i="7"/>
  <c r="Y16" i="7"/>
  <c r="U16" i="7"/>
  <c r="P17" i="7"/>
  <c r="N17" i="7"/>
  <c r="P30" i="7"/>
  <c r="K2" i="7"/>
  <c r="J21" i="7"/>
  <c r="H16" i="7"/>
  <c r="N21" i="7"/>
  <c r="T2" i="7"/>
  <c r="M16" i="7"/>
  <c r="M6" i="7"/>
  <c r="M18" i="7"/>
  <c r="W2" i="7"/>
  <c r="N15" i="7"/>
  <c r="S8" i="7"/>
  <c r="Y8" i="7"/>
  <c r="H21" i="7"/>
  <c r="P6" i="7"/>
  <c r="R12" i="7"/>
  <c r="N16" i="7"/>
  <c r="Y2" i="7"/>
  <c r="J16" i="7"/>
  <c r="K21" i="7"/>
  <c r="X2" i="7"/>
  <c r="L21" i="7"/>
  <c r="R2" i="7"/>
  <c r="O4" i="7"/>
  <c r="K4" i="7"/>
  <c r="X12" i="7"/>
  <c r="V29" i="7"/>
  <c r="W29" i="7"/>
  <c r="N7" i="7"/>
  <c r="K16" i="7"/>
  <c r="X29" i="7"/>
  <c r="N9" i="7"/>
  <c r="T16" i="7"/>
  <c r="S2" i="7"/>
  <c r="P16" i="7"/>
  <c r="P33" i="7"/>
  <c r="L33" i="7"/>
  <c r="V8" i="7"/>
  <c r="L18" i="7"/>
  <c r="T24" i="7"/>
  <c r="J4" i="7"/>
  <c r="Z23" i="7"/>
  <c r="H22" i="7"/>
  <c r="K33" i="7"/>
  <c r="Z11" i="7"/>
  <c r="G33" i="7"/>
  <c r="H4" i="7"/>
  <c r="I2" i="7"/>
  <c r="J9" i="7"/>
  <c r="K9" i="7"/>
  <c r="L9" i="7"/>
  <c r="J2" i="7"/>
  <c r="T22" i="7"/>
  <c r="L6" i="7"/>
  <c r="O9" i="7"/>
  <c r="I9" i="7"/>
  <c r="X22" i="7"/>
  <c r="Y24" i="7"/>
  <c r="I30" i="7"/>
  <c r="M12" i="7"/>
  <c r="X10" i="7"/>
  <c r="V3" i="7"/>
  <c r="O30" i="7"/>
  <c r="K19" i="7"/>
  <c r="I15" i="7"/>
  <c r="N12" i="7"/>
  <c r="P9" i="7"/>
  <c r="J15" i="7"/>
  <c r="K30" i="7"/>
  <c r="K15" i="7"/>
  <c r="U8" i="7"/>
  <c r="P15" i="7"/>
  <c r="P28" i="7"/>
  <c r="P31" i="7"/>
  <c r="P12" i="7"/>
  <c r="J31" i="7"/>
  <c r="L23" i="7"/>
  <c r="K28" i="7"/>
  <c r="I31" i="7"/>
  <c r="I12" i="7"/>
  <c r="M25" i="7"/>
  <c r="N28" i="7"/>
  <c r="K31" i="7"/>
  <c r="N31" i="7"/>
  <c r="T10" i="7"/>
  <c r="Z21" i="7"/>
  <c r="L25" i="7"/>
  <c r="T9" i="7"/>
  <c r="T25" i="7"/>
  <c r="L31" i="7"/>
  <c r="S9" i="7"/>
  <c r="I25" i="7"/>
  <c r="M28" i="7"/>
  <c r="U9" i="7"/>
  <c r="O11" i="7"/>
  <c r="M31" i="7"/>
  <c r="O31" i="7"/>
  <c r="O2" i="7"/>
  <c r="J17" i="7"/>
  <c r="M33" i="7"/>
  <c r="O23" i="7"/>
  <c r="N22" i="7"/>
  <c r="AB32" i="6"/>
  <c r="H12" i="7"/>
  <c r="U2" i="7"/>
  <c r="S27" i="7"/>
  <c r="J3" i="7"/>
  <c r="X25" i="7"/>
  <c r="P19" i="7"/>
  <c r="I34" i="7"/>
  <c r="T34" i="7"/>
  <c r="S4" i="7"/>
  <c r="V34" i="7"/>
  <c r="T3" i="7"/>
  <c r="P34" i="7"/>
  <c r="U4" i="7"/>
  <c r="Z34" i="7"/>
  <c r="K34" i="7"/>
  <c r="M34" i="7"/>
  <c r="V27" i="7"/>
  <c r="W4" i="7"/>
  <c r="V32" i="7"/>
  <c r="Z19" i="7"/>
  <c r="W19" i="7"/>
  <c r="X19" i="7"/>
  <c r="I28" i="7"/>
  <c r="H5" i="7"/>
  <c r="W24" i="7"/>
  <c r="U12" i="7"/>
  <c r="N5" i="7"/>
  <c r="T12" i="7"/>
  <c r="Z30" i="7"/>
  <c r="X9" i="7"/>
  <c r="I19" i="7"/>
  <c r="U21" i="7"/>
  <c r="S32" i="7"/>
  <c r="R19" i="7"/>
  <c r="Z32" i="7"/>
  <c r="H11" i="7"/>
  <c r="P3" i="7"/>
  <c r="H19" i="7"/>
  <c r="AB33" i="6"/>
  <c r="H9" i="7"/>
  <c r="G23" i="7"/>
  <c r="S3" i="7"/>
  <c r="Y32" i="7"/>
  <c r="P25" i="7"/>
  <c r="P18" i="7"/>
  <c r="G28" i="7"/>
  <c r="L15" i="7"/>
  <c r="P8" i="7"/>
  <c r="G18" i="7"/>
  <c r="O17" i="7"/>
  <c r="H17" i="7"/>
  <c r="Y4" i="7"/>
  <c r="G8" i="7"/>
  <c r="H24" i="7"/>
  <c r="R20" i="7"/>
  <c r="Y19" i="7"/>
  <c r="I13" i="7"/>
  <c r="G13" i="7"/>
  <c r="G29" i="7"/>
  <c r="M8" i="7"/>
  <c r="Q13" i="7"/>
  <c r="J27" i="7"/>
  <c r="L34" i="7"/>
  <c r="J34" i="7"/>
  <c r="G4" i="7"/>
  <c r="W8" i="7"/>
  <c r="G15" i="7"/>
  <c r="W21" i="7"/>
  <c r="M7" i="7"/>
  <c r="AB19" i="6"/>
  <c r="T21" i="7"/>
  <c r="Q34" i="7"/>
  <c r="Z8" i="7"/>
  <c r="O15" i="7"/>
  <c r="AB24" i="6"/>
  <c r="H30" i="7"/>
  <c r="Y9" i="7"/>
  <c r="S21" i="7"/>
  <c r="AB31" i="6"/>
  <c r="T13" i="7"/>
  <c r="AB6" i="6"/>
  <c r="V13" i="7"/>
  <c r="R31" i="7"/>
  <c r="V9" i="7"/>
  <c r="R30" i="7"/>
  <c r="O8" i="7"/>
  <c r="G21" i="7"/>
  <c r="G16" i="7"/>
  <c r="G31" i="7"/>
  <c r="Q10" i="7"/>
  <c r="Z24" i="7"/>
  <c r="W13" i="7"/>
  <c r="I26" i="7"/>
  <c r="Y14" i="7"/>
  <c r="V20" i="7"/>
  <c r="Y30" i="7"/>
  <c r="R17" i="7"/>
  <c r="Z9" i="7"/>
  <c r="L24" i="7"/>
  <c r="S7" i="7"/>
  <c r="AB16" i="6"/>
  <c r="R18" i="7"/>
  <c r="G25" i="7"/>
  <c r="U5" i="7"/>
  <c r="G20" i="7"/>
  <c r="AB35" i="6"/>
  <c r="P21" i="7"/>
  <c r="X32" i="7"/>
  <c r="L4" i="7"/>
  <c r="R10" i="7"/>
  <c r="M24" i="7"/>
  <c r="G19" i="7"/>
  <c r="G30" i="7"/>
  <c r="G5" i="7"/>
  <c r="W10" i="7"/>
  <c r="L16" i="7"/>
  <c r="W26" i="7"/>
  <c r="L7" i="7"/>
  <c r="W7" i="7"/>
  <c r="AB12" i="6"/>
  <c r="G34" i="7"/>
  <c r="V5" i="7"/>
  <c r="Q12" i="7"/>
  <c r="M23" i="7"/>
  <c r="T18" i="7"/>
  <c r="W32" i="7"/>
  <c r="G7" i="7"/>
  <c r="L12" i="7"/>
  <c r="X30" i="7"/>
  <c r="Q7" i="7"/>
  <c r="Q22" i="7"/>
  <c r="Q30" i="7"/>
  <c r="V11" i="7"/>
  <c r="S20" i="7"/>
  <c r="Z28" i="7"/>
  <c r="J33" i="7"/>
  <c r="R6" i="7"/>
  <c r="W27" i="7"/>
  <c r="N19" i="7"/>
  <c r="O5" i="7"/>
  <c r="S12" i="7"/>
  <c r="O19" i="7"/>
  <c r="H33" i="7"/>
  <c r="AB9" i="6"/>
  <c r="G12" i="7"/>
  <c r="P4" i="7"/>
  <c r="V17" i="7"/>
  <c r="U6" i="7"/>
  <c r="O21" i="7"/>
  <c r="X27" i="7"/>
  <c r="AB15" i="6"/>
  <c r="N27" i="7"/>
  <c r="Q31" i="7"/>
  <c r="I33" i="7"/>
  <c r="Q8" i="7"/>
  <c r="Z12" i="7"/>
  <c r="H7" i="7"/>
  <c r="Y33" i="7"/>
  <c r="K7" i="7"/>
  <c r="O16" i="7"/>
  <c r="P20" i="7"/>
  <c r="N33" i="7"/>
  <c r="I7" i="7"/>
  <c r="K12" i="7"/>
  <c r="M21" i="7"/>
  <c r="I17" i="7"/>
  <c r="P14" i="7"/>
  <c r="K27" i="7"/>
  <c r="M11" i="7"/>
  <c r="T20" i="7"/>
  <c r="O26" i="7"/>
  <c r="Q5" i="7"/>
  <c r="AB10" i="6"/>
  <c r="J11" i="7"/>
  <c r="U14" i="7"/>
  <c r="Y17" i="7"/>
  <c r="Q20" i="7"/>
  <c r="Q28" i="7"/>
  <c r="R5" i="7"/>
  <c r="V16" i="7"/>
  <c r="K20" i="7"/>
  <c r="X24" i="7"/>
  <c r="R34" i="7"/>
  <c r="O6" i="7"/>
  <c r="Q11" i="7"/>
  <c r="J14" i="7"/>
  <c r="U17" i="7"/>
  <c r="X21" i="7"/>
  <c r="AB25" i="6"/>
  <c r="K25" i="7"/>
  <c r="Y28" i="7"/>
  <c r="T4" i="7"/>
  <c r="Q6" i="7"/>
  <c r="W9" i="7"/>
  <c r="R15" i="7"/>
  <c r="H18" i="7"/>
  <c r="V22" i="7"/>
  <c r="S25" i="7"/>
  <c r="W28" i="7"/>
  <c r="X33" i="7"/>
  <c r="J5" i="7"/>
  <c r="Q9" i="7"/>
  <c r="V12" i="7"/>
  <c r="V15" i="7"/>
  <c r="K18" i="7"/>
  <c r="L20" i="7"/>
  <c r="X23" i="7"/>
  <c r="P32" i="7"/>
  <c r="G2" i="7"/>
  <c r="N3" i="7"/>
  <c r="N6" i="7"/>
  <c r="M13" i="7"/>
  <c r="J19" i="7"/>
  <c r="G22" i="7"/>
  <c r="I24" i="7"/>
  <c r="T28" i="7"/>
  <c r="Z31" i="7"/>
  <c r="Z33" i="7"/>
  <c r="Q2" i="7"/>
  <c r="Y5" i="7"/>
  <c r="N10" i="7"/>
  <c r="W12" i="7"/>
  <c r="V14" i="7"/>
  <c r="O18" i="7"/>
  <c r="P22" i="7"/>
  <c r="J25" i="7"/>
  <c r="O28" i="7"/>
  <c r="L30" i="7"/>
  <c r="U34" i="7"/>
  <c r="H14" i="7"/>
  <c r="V24" i="7"/>
  <c r="M32" i="7"/>
  <c r="J8" i="7"/>
  <c r="Z15" i="7"/>
  <c r="W18" i="7"/>
  <c r="L32" i="7"/>
  <c r="V18" i="7"/>
  <c r="U25" i="7"/>
  <c r="W31" i="7"/>
  <c r="S6" i="7"/>
  <c r="Z13" i="7"/>
  <c r="S18" i="7"/>
  <c r="T23" i="7"/>
  <c r="I27" i="7"/>
  <c r="M10" i="7"/>
  <c r="K13" i="7"/>
  <c r="V28" i="7"/>
  <c r="S34" i="7"/>
  <c r="W5" i="7"/>
  <c r="Z7" i="7"/>
  <c r="O14" i="7"/>
  <c r="X18" i="7"/>
  <c r="R21" i="7"/>
  <c r="L26" i="7"/>
  <c r="L28" i="7"/>
  <c r="W34" i="7"/>
  <c r="E26" i="13"/>
  <c r="Y3" i="7"/>
  <c r="J24" i="7"/>
  <c r="M26" i="7"/>
  <c r="U31" i="7"/>
  <c r="O3" i="7"/>
  <c r="H10" i="7"/>
  <c r="L13" i="7"/>
  <c r="X17" i="7"/>
  <c r="J26" i="7"/>
  <c r="J29" i="7"/>
  <c r="W15" i="7"/>
  <c r="N18" i="7"/>
  <c r="Q21" i="7"/>
  <c r="U23" i="7"/>
  <c r="H29" i="7"/>
  <c r="H6" i="7"/>
  <c r="R7" i="7"/>
  <c r="R13" i="7"/>
  <c r="N23" i="7"/>
  <c r="W25" i="7"/>
  <c r="H34" i="7"/>
  <c r="I4" i="7"/>
  <c r="W6" i="7"/>
  <c r="H13" i="7"/>
  <c r="O24" i="7"/>
  <c r="P27" i="7"/>
  <c r="V33" i="7"/>
  <c r="L2" i="7"/>
  <c r="K5" i="7"/>
  <c r="M14" i="7"/>
  <c r="Z16" i="7"/>
  <c r="S19" i="7"/>
  <c r="H25" i="7"/>
  <c r="U28" i="7"/>
  <c r="N34" i="7"/>
  <c r="P2" i="7"/>
  <c r="X5" i="7"/>
  <c r="R8" i="7"/>
  <c r="M15" i="7"/>
  <c r="I18" i="7"/>
  <c r="R22" i="7"/>
  <c r="N25" i="7"/>
  <c r="J28" i="7"/>
  <c r="X31" i="7"/>
  <c r="E23" i="13"/>
  <c r="Z3" i="7"/>
  <c r="S5" i="7"/>
  <c r="U18" i="7"/>
  <c r="AB26" i="6"/>
  <c r="G26" i="7"/>
  <c r="S28" i="7"/>
  <c r="Y31" i="7"/>
  <c r="L3" i="7"/>
  <c r="Y7" i="7"/>
  <c r="R14" i="7"/>
  <c r="W17" i="7"/>
  <c r="Y22" i="7"/>
  <c r="Y25" i="7"/>
  <c r="S30" i="7"/>
  <c r="D27" i="13"/>
  <c r="E27" i="13" s="1"/>
  <c r="Y6" i="7"/>
  <c r="S24" i="7"/>
  <c r="Y27" i="7"/>
  <c r="I29" i="7"/>
  <c r="U33" i="7"/>
  <c r="N2" i="7"/>
  <c r="M5" i="7"/>
  <c r="T7" i="7"/>
  <c r="P10" i="7"/>
  <c r="X13" i="7"/>
  <c r="Q19" i="7"/>
  <c r="P23" i="7"/>
  <c r="N29" i="7"/>
  <c r="Q32" i="7"/>
  <c r="M4" i="7"/>
  <c r="X8" i="7"/>
  <c r="O10" i="7"/>
  <c r="Y13" i="7"/>
  <c r="M17" i="7"/>
  <c r="AB21" i="6"/>
  <c r="AB23" i="6"/>
  <c r="R24" i="7"/>
  <c r="U27" i="7"/>
  <c r="I6" i="7"/>
  <c r="I11" i="7"/>
  <c r="L14" i="7"/>
  <c r="L17" i="7"/>
  <c r="U20" i="7"/>
  <c r="I22" i="7"/>
  <c r="O25" i="7"/>
  <c r="M2" i="7"/>
  <c r="X6" i="7"/>
  <c r="I8" i="7"/>
  <c r="Z10" i="7"/>
  <c r="AB14" i="6"/>
  <c r="H15" i="7"/>
  <c r="V19" i="7"/>
  <c r="M22" i="7"/>
  <c r="Z26" i="7"/>
  <c r="N32" i="7"/>
  <c r="K3" i="7"/>
  <c r="Z14" i="7"/>
  <c r="Y20" i="7"/>
  <c r="H32" i="7"/>
  <c r="S14" i="7"/>
  <c r="AB29" i="6"/>
  <c r="K32" i="7"/>
  <c r="U15" i="7"/>
  <c r="Z18" i="7"/>
  <c r="P24" i="7"/>
  <c r="G27" i="7"/>
  <c r="T33" i="7"/>
  <c r="G3" i="7"/>
  <c r="J6" i="7"/>
  <c r="L10" i="7"/>
  <c r="J20" i="7"/>
  <c r="G24" i="7"/>
  <c r="AB28" i="6"/>
  <c r="L29" i="7"/>
  <c r="G32" i="7"/>
  <c r="U3" i="7"/>
  <c r="S11" i="7"/>
  <c r="X14" i="7"/>
  <c r="Q17" i="7"/>
  <c r="AB22" i="6"/>
  <c r="H26" i="7"/>
  <c r="W30" i="7"/>
  <c r="U7" i="7"/>
  <c r="N13" i="7"/>
  <c r="W16" i="7"/>
  <c r="U22" i="7"/>
  <c r="U24" i="7"/>
  <c r="L27" i="7"/>
  <c r="V30" i="7"/>
  <c r="Q33" i="7"/>
  <c r="H2" i="7"/>
  <c r="G6" i="7"/>
  <c r="L11" i="7"/>
  <c r="K14" i="7"/>
  <c r="Q16" i="7"/>
  <c r="Q23" i="7"/>
  <c r="N26" i="7"/>
  <c r="O29" i="7"/>
  <c r="Z4" i="7"/>
  <c r="J10" i="7"/>
  <c r="W14" i="7"/>
  <c r="G17" i="7"/>
  <c r="V25" i="7"/>
  <c r="R28" i="7"/>
  <c r="X34" i="7"/>
  <c r="N8" i="7"/>
  <c r="T11" i="7"/>
  <c r="I14" i="7"/>
  <c r="T17" i="7"/>
  <c r="W20" i="7"/>
  <c r="K23" i="7"/>
  <c r="P29" i="7"/>
  <c r="U32" i="7"/>
  <c r="V2" i="7"/>
  <c r="AB11" i="6"/>
  <c r="R11" i="7"/>
  <c r="S16" i="7"/>
  <c r="H23" i="7"/>
  <c r="T32" i="7"/>
  <c r="AB5" i="6"/>
  <c r="K10" i="7"/>
  <c r="AB34" i="6"/>
  <c r="T15" i="7"/>
  <c r="S22" i="7"/>
  <c r="P26" i="7"/>
  <c r="D28" i="13"/>
  <c r="E28" i="13" s="1"/>
  <c r="Q3" i="7"/>
  <c r="X7" i="7"/>
  <c r="O13" i="7"/>
  <c r="Z22" i="7"/>
  <c r="Q27" i="7"/>
  <c r="AB8" i="6"/>
  <c r="K8" i="7"/>
  <c r="P11" i="7"/>
  <c r="N14" i="7"/>
  <c r="O20" i="7"/>
  <c r="R27" i="7"/>
  <c r="R3" i="7"/>
  <c r="U11" i="7"/>
  <c r="T14" i="7"/>
  <c r="R25" i="7"/>
  <c r="V31" i="7"/>
  <c r="S15" i="7"/>
  <c r="J18" i="7"/>
  <c r="I23" i="7"/>
  <c r="U30" i="7"/>
  <c r="M3" i="7"/>
  <c r="G9" i="7"/>
  <c r="AB13" i="6"/>
  <c r="J13" i="7"/>
  <c r="I16" i="7"/>
  <c r="U19" i="7"/>
  <c r="S23" i="7"/>
  <c r="M29" i="7"/>
  <c r="O32" i="7"/>
  <c r="T5" i="7"/>
  <c r="Y15" i="7"/>
  <c r="D25" i="13"/>
  <c r="E25" i="13" s="1"/>
  <c r="I10" i="7"/>
  <c r="Z20" i="7"/>
  <c r="Y11" i="7"/>
  <c r="Q15" i="7"/>
  <c r="N24" i="7"/>
  <c r="H27" i="7"/>
  <c r="W33" i="7"/>
  <c r="H8" i="7"/>
  <c r="W11" i="7"/>
  <c r="Q25" i="7"/>
  <c r="S31" i="7"/>
  <c r="W3" i="7"/>
  <c r="Y18" i="7"/>
  <c r="Y21" i="7"/>
  <c r="W23" i="7"/>
  <c r="M27" i="7"/>
  <c r="J32" i="7"/>
  <c r="I3" i="7"/>
  <c r="G11" i="7"/>
  <c r="S13" i="7"/>
  <c r="H20" i="7"/>
  <c r="Z27" i="7"/>
  <c r="M30" i="7"/>
  <c r="S33" i="7"/>
  <c r="AO8" i="2" l="1"/>
  <c r="AS8" i="2" s="1"/>
  <c r="AO5" i="2"/>
  <c r="AQ5" i="2" s="1"/>
  <c r="AU33" i="2"/>
  <c r="AU31" i="2"/>
  <c r="AU25" i="2"/>
  <c r="AU27" i="2"/>
  <c r="AU35" i="2"/>
  <c r="AU26" i="2"/>
  <c r="AU34" i="2"/>
  <c r="AU28" i="2"/>
  <c r="AU24" i="2"/>
  <c r="AU32" i="2"/>
  <c r="AU29" i="2"/>
  <c r="AU30" i="2"/>
  <c r="G19" i="12"/>
  <c r="I19" i="12"/>
  <c r="C4" i="12"/>
  <c r="C22" i="13" s="1"/>
  <c r="E22" i="13" s="1"/>
  <c r="AM9" i="2"/>
  <c r="AM6" i="2"/>
  <c r="AY31" i="2"/>
  <c r="AY30" i="2"/>
  <c r="AY32" i="2"/>
  <c r="AY24" i="2"/>
  <c r="AY25" i="2"/>
  <c r="AY33" i="2"/>
  <c r="AY34" i="2"/>
  <c r="AY27" i="2"/>
  <c r="AY35" i="2"/>
  <c r="AY29" i="2"/>
  <c r="AY26" i="2"/>
  <c r="AY28" i="2"/>
  <c r="Y26" i="22"/>
  <c r="E4" i="12"/>
  <c r="G11" i="12"/>
  <c r="I11" i="12"/>
  <c r="I17" i="12"/>
  <c r="G17" i="12"/>
  <c r="G21" i="12"/>
  <c r="I21" i="12"/>
  <c r="G15" i="12"/>
  <c r="I15" i="12"/>
  <c r="I4" i="10"/>
  <c r="C15" i="13" s="1"/>
  <c r="E15" i="13" s="1"/>
  <c r="G4" i="10"/>
  <c r="C18" i="13" s="1"/>
  <c r="E18" i="13" s="1"/>
  <c r="C12" i="13"/>
  <c r="E12" i="13" s="1"/>
  <c r="G20" i="12"/>
  <c r="I20" i="12"/>
  <c r="I18" i="12"/>
  <c r="G18" i="12"/>
  <c r="AY40" i="2"/>
  <c r="AY42" i="2"/>
  <c r="AY43" i="2"/>
  <c r="AY36" i="2"/>
  <c r="AY44" i="2"/>
  <c r="AY37" i="2"/>
  <c r="AY45" i="2"/>
  <c r="AY38" i="2"/>
  <c r="AY46" i="2"/>
  <c r="AY39" i="2"/>
  <c r="AY47" i="2"/>
  <c r="AY41" i="2"/>
  <c r="I12" i="12"/>
  <c r="G12" i="12"/>
  <c r="AU13" i="2"/>
  <c r="AU21" i="2"/>
  <c r="AU22" i="2"/>
  <c r="AU23" i="2"/>
  <c r="AU16" i="2"/>
  <c r="AU12" i="2"/>
  <c r="AU18" i="2"/>
  <c r="AU19" i="2"/>
  <c r="AU20" i="2"/>
  <c r="AU14" i="2"/>
  <c r="AU15" i="2"/>
  <c r="AU17" i="2"/>
  <c r="I16" i="12"/>
  <c r="G16" i="12"/>
  <c r="AU37" i="2"/>
  <c r="AU45" i="2"/>
  <c r="AU39" i="2"/>
  <c r="AU47" i="2"/>
  <c r="AU40" i="2"/>
  <c r="AU36" i="2"/>
  <c r="AU41" i="2"/>
  <c r="AU42" i="2"/>
  <c r="AU43" i="2"/>
  <c r="AU44" i="2"/>
  <c r="AU38" i="2"/>
  <c r="AU46" i="2"/>
  <c r="AY21" i="2"/>
  <c r="AY14" i="2"/>
  <c r="AY22" i="2"/>
  <c r="AY23" i="2"/>
  <c r="AY15" i="2"/>
  <c r="AY18" i="2"/>
  <c r="AY17" i="2"/>
  <c r="AY19" i="2"/>
  <c r="AY16" i="2"/>
  <c r="AY12" i="2"/>
  <c r="AY20" i="2"/>
  <c r="AY13" i="2"/>
  <c r="G13" i="12"/>
  <c r="I13" i="12"/>
  <c r="G10" i="12"/>
  <c r="I10" i="12"/>
  <c r="G14" i="12"/>
  <c r="I14" i="12"/>
  <c r="AQ8" i="2" l="1"/>
  <c r="AS5" i="2"/>
  <c r="AO6" i="2"/>
  <c r="AQ6" i="2" s="1"/>
  <c r="AO9" i="2"/>
  <c r="AQ9" i="2" s="1"/>
  <c r="G4" i="12"/>
  <c r="C19" i="13" s="1"/>
  <c r="E19" i="13" s="1"/>
  <c r="C13" i="13"/>
  <c r="E13" i="13" s="1"/>
  <c r="I4" i="12"/>
  <c r="C16" i="13" s="1"/>
  <c r="E16" i="13" s="1"/>
  <c r="AS6" i="2" l="1"/>
  <c r="AS9" i="2"/>
</calcChain>
</file>

<file path=xl/sharedStrings.xml><?xml version="1.0" encoding="utf-8"?>
<sst xmlns="http://schemas.openxmlformats.org/spreadsheetml/2006/main" count="8549" uniqueCount="968">
  <si>
    <t>Month:- April - 2025</t>
  </si>
  <si>
    <t xml:space="preserve">Month </t>
  </si>
  <si>
    <t xml:space="preserve">Date </t>
  </si>
  <si>
    <t>Operation Year</t>
  </si>
  <si>
    <t>Year_3</t>
  </si>
  <si>
    <t>Year Start Date</t>
  </si>
  <si>
    <t>Year End Date</t>
  </si>
  <si>
    <t>Sr. No.</t>
  </si>
  <si>
    <t>Particular</t>
  </si>
  <si>
    <t>Target</t>
  </si>
  <si>
    <t>Measured</t>
  </si>
  <si>
    <t>Deviation</t>
  </si>
  <si>
    <t>Remarks</t>
  </si>
  <si>
    <t>E_Grid Daily (MWh)</t>
  </si>
  <si>
    <t>E_Grid MTD(MWh)</t>
  </si>
  <si>
    <t>E_Grid YTD (MWh)</t>
  </si>
  <si>
    <t>CUF Daily(%)</t>
  </si>
  <si>
    <t>CUF MTD(%)</t>
  </si>
  <si>
    <t>CUF YTD(%)</t>
  </si>
  <si>
    <t>PR_Daily (%)</t>
  </si>
  <si>
    <t xml:space="preserve"> </t>
  </si>
  <si>
    <t>PR_MTD (%)</t>
  </si>
  <si>
    <t>PR_YTD (%)</t>
  </si>
  <si>
    <t>POA Daily (KWh/m2)</t>
  </si>
  <si>
    <t>POA MTD(KWh/m2)</t>
  </si>
  <si>
    <t>POA YTD(KWh/m2)</t>
  </si>
  <si>
    <t>PA Daily (KWh/m2)</t>
  </si>
  <si>
    <t>PA MTD(KWh/m2)</t>
  </si>
  <si>
    <t>PA YTD(KWh/m2)</t>
  </si>
  <si>
    <t>GA Daily (KWh/m2)</t>
  </si>
  <si>
    <t>GA MTD(KWh/m2)</t>
  </si>
  <si>
    <t>GA YTD(KWh/m2)</t>
  </si>
  <si>
    <t>Performance Summary PSEGPL Solar</t>
  </si>
  <si>
    <t>SPV</t>
  </si>
  <si>
    <t>O2R6</t>
  </si>
  <si>
    <t>O2R10</t>
  </si>
  <si>
    <t>PSEGPL</t>
  </si>
  <si>
    <t>Till Date</t>
  </si>
  <si>
    <t>20 MW PSEGPL Performance Summary-YTD</t>
  </si>
  <si>
    <t>Year</t>
  </si>
  <si>
    <t>Days</t>
  </si>
  <si>
    <t>Estimated POA(KWh/m2)</t>
  </si>
  <si>
    <t>Measured POA (KWh/m2)</t>
  </si>
  <si>
    <t>Budgeted Energy (MWh)</t>
  </si>
  <si>
    <t>Measured Energy (MWh)</t>
  </si>
  <si>
    <t>Targt PR (%)</t>
  </si>
  <si>
    <t>Measured PR(%)</t>
  </si>
  <si>
    <t>Target DC CUF (%)</t>
  </si>
  <si>
    <t>Measured DC CUF (%)</t>
  </si>
  <si>
    <t>Target GA (%)</t>
  </si>
  <si>
    <t>Measured GA (%)</t>
  </si>
  <si>
    <t>Target PA (%)</t>
  </si>
  <si>
    <t>Measured PA (%)</t>
  </si>
  <si>
    <t>20 MW PSEGPL Performance Summary-Monthwise</t>
  </si>
  <si>
    <t>L0bour &amp; staff not responding</t>
  </si>
  <si>
    <t>PM activity pending assign to team bu not doing</t>
  </si>
  <si>
    <t xml:space="preserve">Tools are missing </t>
  </si>
  <si>
    <t>All tools given to team but they are haruntaka ta</t>
  </si>
  <si>
    <t>all man power doing only 8 hrs duty</t>
  </si>
  <si>
    <t>Also not doing PTW</t>
  </si>
  <si>
    <t xml:space="preserve">ALSO NOT MAINTAING </t>
  </si>
  <si>
    <t>no one are techincal persion</t>
  </si>
  <si>
    <t>GC pending due expences</t>
  </si>
  <si>
    <t>Also spare not avilable yet at site</t>
  </si>
  <si>
    <t>SCADA is not operating</t>
  </si>
  <si>
    <t>Internet issues</t>
  </si>
  <si>
    <t>Local issues</t>
  </si>
  <si>
    <t>Light are all faulty</t>
  </si>
  <si>
    <t>WMS Problems issue</t>
  </si>
  <si>
    <t>20 MW PSEGPL Performance Summary</t>
  </si>
  <si>
    <t>Start Date</t>
  </si>
  <si>
    <t>End Date</t>
  </si>
  <si>
    <t>Date</t>
  </si>
  <si>
    <t>Financial Year</t>
  </si>
  <si>
    <t>Calendar Year</t>
  </si>
  <si>
    <t>Month Year</t>
  </si>
  <si>
    <t>Operating Hours</t>
  </si>
  <si>
    <t>GHI-UP (KWh/m2)</t>
  </si>
  <si>
    <t>GHI-Down(KWh/m2)</t>
  </si>
  <si>
    <t>POA-UP(KWh/m2)</t>
  </si>
  <si>
    <t>POA-Down(KWh/m2)</t>
  </si>
  <si>
    <t>Amb_Temp(°C)</t>
  </si>
  <si>
    <t>Mod_Temp(°C)</t>
  </si>
  <si>
    <t>WS_Avg(m/s)</t>
  </si>
  <si>
    <t>WS_Max(m/s)</t>
  </si>
  <si>
    <t>PA(%)</t>
  </si>
  <si>
    <t>MA (%)</t>
  </si>
  <si>
    <t>IGA (%)</t>
  </si>
  <si>
    <t>EGA(%)</t>
  </si>
  <si>
    <t>EMA (%)</t>
  </si>
  <si>
    <t>TA (%)</t>
  </si>
  <si>
    <t>PR(%)</t>
  </si>
  <si>
    <t>WPR(%)</t>
  </si>
  <si>
    <t>CUF(%)</t>
  </si>
  <si>
    <t>Gen_Exp (kWh)</t>
  </si>
  <si>
    <t>Mtr_Export (kWh)</t>
  </si>
  <si>
    <t>Mtr_Import (kWh)</t>
  </si>
  <si>
    <t>Mtr_Net_Exp (KWh)</t>
  </si>
  <si>
    <t>Operational Capacity (MW)</t>
  </si>
  <si>
    <t>Bugt_Resource</t>
  </si>
  <si>
    <t>Bugt_Energy</t>
  </si>
  <si>
    <t>Bugt PR</t>
  </si>
  <si>
    <t>Bugt CUF</t>
  </si>
  <si>
    <t>Bugt_PA</t>
  </si>
  <si>
    <t>Bugt_EGA</t>
  </si>
  <si>
    <t>Expected Energy</t>
  </si>
  <si>
    <t>Actual Energy WPR</t>
  </si>
  <si>
    <t>RA (%)</t>
  </si>
  <si>
    <t>Mod Clean Dry (Num)</t>
  </si>
  <si>
    <t>Mod Clean Wet (Num)</t>
  </si>
  <si>
    <t>Line Loss(%)</t>
  </si>
  <si>
    <t>Reactive Power (%)</t>
  </si>
  <si>
    <t>Bugt Line loss (%) (Wind)</t>
  </si>
  <si>
    <t>Bugt Reactive Power (%) (Wind)</t>
  </si>
  <si>
    <t>Bugt Capacity</t>
  </si>
  <si>
    <t>CC*Bugt</t>
  </si>
  <si>
    <t>Finacial Year</t>
  </si>
  <si>
    <t>Start Month</t>
  </si>
  <si>
    <t>Calendor Year</t>
  </si>
  <si>
    <t>Contrcatual Year</t>
  </si>
  <si>
    <t>Operating Year</t>
  </si>
  <si>
    <t>G1 Inv1</t>
  </si>
  <si>
    <t>G1 Inv2</t>
  </si>
  <si>
    <t>G2 Inv3</t>
  </si>
  <si>
    <t>G2 Inv4</t>
  </si>
  <si>
    <t>G3 Inv5</t>
  </si>
  <si>
    <t>G3 Inv6</t>
  </si>
  <si>
    <t>G4 Inv7</t>
  </si>
  <si>
    <t>G4 Inv8</t>
  </si>
  <si>
    <t>G5 Inv9</t>
  </si>
  <si>
    <t>G5 Inv10</t>
  </si>
  <si>
    <t>IS1_Inv1_M1</t>
  </si>
  <si>
    <t>IS1_Inv1_M2</t>
  </si>
  <si>
    <t>IS1_Inv1_M3</t>
  </si>
  <si>
    <t>IS1_Inv1_M4</t>
  </si>
  <si>
    <t>IS1_Inv2_M1</t>
  </si>
  <si>
    <t>IS1_Inv2_M2</t>
  </si>
  <si>
    <t>IS1_Inv2_M3</t>
  </si>
  <si>
    <t>IS1_Inv2_M4</t>
  </si>
  <si>
    <t>IS2_Inv1</t>
  </si>
  <si>
    <t>IS1_Inv2</t>
  </si>
  <si>
    <t>FY2022-23</t>
  </si>
  <si>
    <t>Year_1</t>
  </si>
  <si>
    <t>Avg. SY New</t>
  </si>
  <si>
    <t>Max. SY</t>
  </si>
  <si>
    <t>Sunrise Time (POA&gt;20 W/m2)</t>
  </si>
  <si>
    <t>Sunset Time (POA&lt;20 W/m2)</t>
  </si>
  <si>
    <t>Total Generation Time</t>
  </si>
  <si>
    <t>Affceted Equipment</t>
  </si>
  <si>
    <t>DC Capacity Affceted (kW)</t>
  </si>
  <si>
    <t>Affected Equipmenet Location</t>
  </si>
  <si>
    <t>Fault Catergory</t>
  </si>
  <si>
    <t>Plant Equivalent Weightage</t>
  </si>
  <si>
    <t>Fault Code (As per HMI)</t>
  </si>
  <si>
    <t>Breakdown Description</t>
  </si>
  <si>
    <t>Fault Time</t>
  </si>
  <si>
    <t xml:space="preserve">Acknowledgemnet Time </t>
  </si>
  <si>
    <t>Work Start time on Fault</t>
  </si>
  <si>
    <t>Work Completiuon time on fualt</t>
  </si>
  <si>
    <t xml:space="preserve">Acknowdlegemnet time </t>
  </si>
  <si>
    <t>Response Time</t>
  </si>
  <si>
    <t>Resolution Time</t>
  </si>
  <si>
    <t>Action taken</t>
  </si>
  <si>
    <t>Status</t>
  </si>
  <si>
    <t>Plant Equivalent breakdown</t>
  </si>
  <si>
    <t>Lost POA (KWh/m2)</t>
  </si>
  <si>
    <t>Approxuimate Energy Loss (KWh)</t>
  </si>
  <si>
    <t>Year_4</t>
  </si>
  <si>
    <t>Outgoing_F5</t>
  </si>
  <si>
    <t>PLANT</t>
  </si>
  <si>
    <t>Grid System</t>
  </si>
  <si>
    <t>F-5  tripped due to earth fault .&amp; 20 MW SS Pole o.01B-Phase Jumper melt/Cut</t>
  </si>
  <si>
    <t>&amp; 20 MW SS Pole o.01B-Phase Jumper Binded with new conductior &amp; restarted VCB at substation and restored</t>
  </si>
  <si>
    <t>Close</t>
  </si>
  <si>
    <t>F-5  tripped due to earth fault .&amp; 20 MW SS B-Phase Jumpera and connector melt/Cut</t>
  </si>
  <si>
    <t>20 MW SS B-Phase Jumper and connector replaced with new connector &amp; restarted VCB at substation and plant restored</t>
  </si>
  <si>
    <t>F-5  tripped due to earth fault .&amp; 06 MW SS G#-Y-Phase Jumpera and connector melt/Cut</t>
  </si>
  <si>
    <t>G3 - INV 05 and 06 kept under shut down and restarted VCB at substation and plant restored</t>
  </si>
  <si>
    <t>F-5  tripped due to earth fault</t>
  </si>
  <si>
    <t xml:space="preserve">f-5 restored </t>
  </si>
  <si>
    <t>F-5  tripped due to earth fault .&amp; 06 MW SS G#-R-Phase Jumpera and connector melt/Cut</t>
  </si>
  <si>
    <t>F-5  tripped due to earth fault and G2 and G3 VCB tripped due to earth fault.</t>
  </si>
  <si>
    <t>f-5 restored and G2 AND G3 kept shut down for fault restoration</t>
  </si>
  <si>
    <t>Equipment</t>
  </si>
  <si>
    <t>Affected DC Capacity</t>
  </si>
  <si>
    <t>Fault Category Plant BD sheet</t>
  </si>
  <si>
    <t>Fault Category Tracker BD sheet</t>
  </si>
  <si>
    <t>Tracker Equipment</t>
  </si>
  <si>
    <t>Weightage of BD</t>
  </si>
  <si>
    <t>Capcity Bifurgation</t>
  </si>
  <si>
    <t>DC Capacity</t>
  </si>
  <si>
    <t>Entity</t>
  </si>
  <si>
    <t>Capcity</t>
  </si>
  <si>
    <t>% of Target</t>
  </si>
  <si>
    <t>INV-1</t>
  </si>
  <si>
    <t>Module</t>
  </si>
  <si>
    <t xml:space="preserve">MSAT100_PCB </t>
  </si>
  <si>
    <t>MSAT_Type1 (5*63)</t>
  </si>
  <si>
    <t>Open</t>
  </si>
  <si>
    <t>10 MW Seasonal Tilt</t>
  </si>
  <si>
    <t>INV-2</t>
  </si>
  <si>
    <t>String Cable</t>
  </si>
  <si>
    <t xml:space="preserve">MSAT200_PCB </t>
  </si>
  <si>
    <t>MSAT_Type2(4*63)</t>
  </si>
  <si>
    <t>10 MW New</t>
  </si>
  <si>
    <t>From</t>
  </si>
  <si>
    <t>To</t>
  </si>
  <si>
    <t>DC</t>
  </si>
  <si>
    <t>INV-3</t>
  </si>
  <si>
    <t xml:space="preserve">String Fuse </t>
  </si>
  <si>
    <t>Tilt Sensor</t>
  </si>
  <si>
    <t>MSAT_Type3(3*63)</t>
  </si>
  <si>
    <t>Total</t>
  </si>
  <si>
    <t>Day</t>
  </si>
  <si>
    <t>INV-4</t>
  </si>
  <si>
    <t>Inverter</t>
  </si>
  <si>
    <t>DC capacity</t>
  </si>
  <si>
    <t xml:space="preserve">strings </t>
  </si>
  <si>
    <t>watt</t>
  </si>
  <si>
    <t>Modules per string</t>
  </si>
  <si>
    <t>MTD</t>
  </si>
  <si>
    <t>INV-5</t>
  </si>
  <si>
    <t>SCB</t>
  </si>
  <si>
    <t>Inv1_CB1</t>
  </si>
  <si>
    <t>YTD</t>
  </si>
  <si>
    <t>INV-6</t>
  </si>
  <si>
    <t>InverterAC Cable</t>
  </si>
  <si>
    <t>Inv1_CB2</t>
  </si>
  <si>
    <t>PSEGPL2</t>
  </si>
  <si>
    <t>INV-7</t>
  </si>
  <si>
    <t>IDT</t>
  </si>
  <si>
    <t>Inv1_CB3</t>
  </si>
  <si>
    <t>INV-8</t>
  </si>
  <si>
    <t>IDT MV Cable</t>
  </si>
  <si>
    <t>Inv1_CB4</t>
  </si>
  <si>
    <t>MF Cap HCCB</t>
  </si>
  <si>
    <t>6MW</t>
  </si>
  <si>
    <t>INV-9</t>
  </si>
  <si>
    <t>ICOG</t>
  </si>
  <si>
    <t>Inv1_CB5</t>
  </si>
  <si>
    <t>MF Cap Pepsico</t>
  </si>
  <si>
    <t>4MW</t>
  </si>
  <si>
    <t>INV-10</t>
  </si>
  <si>
    <t>IC MV Panel</t>
  </si>
  <si>
    <t>Inv1_CB6</t>
  </si>
  <si>
    <t>MF Cap O2RE6</t>
  </si>
  <si>
    <t>Month Name</t>
  </si>
  <si>
    <t>Month Number</t>
  </si>
  <si>
    <t>Month</t>
  </si>
  <si>
    <t>CY</t>
  </si>
  <si>
    <t>FY</t>
  </si>
  <si>
    <t>No. of Days in Month</t>
  </si>
  <si>
    <t>Days Operated</t>
  </si>
  <si>
    <t>E Grid PSEGPL</t>
  </si>
  <si>
    <t>E Grid PSEGPL Daily</t>
  </si>
  <si>
    <t>E Grid PSEGPL MTD</t>
  </si>
  <si>
    <t>E Grid PSEGPL YTD</t>
  </si>
  <si>
    <t>E Grid PSEGPL2</t>
  </si>
  <si>
    <t>E Grid PSEGPL2 Daily</t>
  </si>
  <si>
    <t>E Grid PSEGPL2 MTD</t>
  </si>
  <si>
    <t>E Grid PSEGPL2 YTD</t>
  </si>
  <si>
    <t>INV-1_CB1</t>
  </si>
  <si>
    <t>Isolator</t>
  </si>
  <si>
    <t>CCU_Type2(4*63)</t>
  </si>
  <si>
    <t>Inv1_CB7</t>
  </si>
  <si>
    <t>MF Cap O2RE10</t>
  </si>
  <si>
    <t>April</t>
  </si>
  <si>
    <t>FY24</t>
  </si>
  <si>
    <t>INV-1_CB2</t>
  </si>
  <si>
    <t>Outgoing</t>
  </si>
  <si>
    <t>CCU_Type3(3*63)</t>
  </si>
  <si>
    <t>Inv1_CB8</t>
  </si>
  <si>
    <t>May</t>
  </si>
  <si>
    <t>INV-1_CB3</t>
  </si>
  <si>
    <t>Incomer MV Cable</t>
  </si>
  <si>
    <t>CCU_Type4(5*42)</t>
  </si>
  <si>
    <t>Inv2_CB1</t>
  </si>
  <si>
    <t>June</t>
  </si>
  <si>
    <t>INV-1_CB4</t>
  </si>
  <si>
    <t>Incomer MV Panel</t>
  </si>
  <si>
    <t>CCU_Type5(4*42)</t>
  </si>
  <si>
    <t>Inv2_CB2</t>
  </si>
  <si>
    <t>July</t>
  </si>
  <si>
    <t>INV-1_CB5</t>
  </si>
  <si>
    <t>Metering System Plant</t>
  </si>
  <si>
    <t>CCU_Type6(3*42)</t>
  </si>
  <si>
    <t>Inv2_CB3</t>
  </si>
  <si>
    <t>August</t>
  </si>
  <si>
    <t>INV-1_CB6</t>
  </si>
  <si>
    <t>Actuator Type1(1*63)</t>
  </si>
  <si>
    <t>Inv2_CB4</t>
  </si>
  <si>
    <t>September</t>
  </si>
  <si>
    <t>INV-1_CB7</t>
  </si>
  <si>
    <t>Metering System Grid</t>
  </si>
  <si>
    <t>Actuator Type2(1*42)</t>
  </si>
  <si>
    <t>Inv2_CB5</t>
  </si>
  <si>
    <t>October</t>
  </si>
  <si>
    <t>INV-1_CB8</t>
  </si>
  <si>
    <t>WMS</t>
  </si>
  <si>
    <t>RTC</t>
  </si>
  <si>
    <t>Inv2_CB6</t>
  </si>
  <si>
    <t>November</t>
  </si>
  <si>
    <t>INV-2_CB1</t>
  </si>
  <si>
    <t>MMS</t>
  </si>
  <si>
    <t>Gateway</t>
  </si>
  <si>
    <t>Inv2_CB7</t>
  </si>
  <si>
    <t>December</t>
  </si>
  <si>
    <t>INV-2_CB2</t>
  </si>
  <si>
    <t>Battery Charger_MCR</t>
  </si>
  <si>
    <t>Repeater</t>
  </si>
  <si>
    <t>Inv2_CB8</t>
  </si>
  <si>
    <t>January</t>
  </si>
  <si>
    <t>INV-2_CB3</t>
  </si>
  <si>
    <t>IC_UPS</t>
  </si>
  <si>
    <t>Switch</t>
  </si>
  <si>
    <t>Inv3_CB1</t>
  </si>
  <si>
    <t>February</t>
  </si>
  <si>
    <t>INV-2_CB4</t>
  </si>
  <si>
    <t>IC_Auxiliary Tranformer</t>
  </si>
  <si>
    <t>Inv3_CB2</t>
  </si>
  <si>
    <t>March</t>
  </si>
  <si>
    <t>INV-2_CB5</t>
  </si>
  <si>
    <t>IC_Auxiliary DB</t>
  </si>
  <si>
    <t>Inv3_CB3</t>
  </si>
  <si>
    <t>FY25</t>
  </si>
  <si>
    <t>INV-2_CB6</t>
  </si>
  <si>
    <t>IC_SCADA Panel</t>
  </si>
  <si>
    <t>Inv3_CB4</t>
  </si>
  <si>
    <t>INV-2_CB7</t>
  </si>
  <si>
    <t>MC4 Connector</t>
  </si>
  <si>
    <t>Inv3_CB5</t>
  </si>
  <si>
    <t>INV-2_CB8</t>
  </si>
  <si>
    <t>Y-Connector</t>
  </si>
  <si>
    <t>Inv3_CB6</t>
  </si>
  <si>
    <t>INV-3_CB1</t>
  </si>
  <si>
    <t>Inv3_CB7</t>
  </si>
  <si>
    <t>INV-3_CB2</t>
  </si>
  <si>
    <t>Inv3_CB8</t>
  </si>
  <si>
    <t>INV-3_CB3</t>
  </si>
  <si>
    <t>Inv4_CB1</t>
  </si>
  <si>
    <t>INV-3_CB4</t>
  </si>
  <si>
    <t>Inv4_CB2</t>
  </si>
  <si>
    <t>INV-3_CB5</t>
  </si>
  <si>
    <t>Inv4_CB3</t>
  </si>
  <si>
    <t>INV-3_CB6</t>
  </si>
  <si>
    <t>Inv4_CB4</t>
  </si>
  <si>
    <t>INV-3_CB7</t>
  </si>
  <si>
    <t>Inv4_CB5</t>
  </si>
  <si>
    <t>INV-3_CB8</t>
  </si>
  <si>
    <t>Inv4_CB6</t>
  </si>
  <si>
    <t>INV-4_CB1</t>
  </si>
  <si>
    <t>Inv4_CB7</t>
  </si>
  <si>
    <t>FY26</t>
  </si>
  <si>
    <t>INV-4_CB2</t>
  </si>
  <si>
    <t>Inv4_CB8</t>
  </si>
  <si>
    <t>INV-4_CB3</t>
  </si>
  <si>
    <t>Inv5_CB1</t>
  </si>
  <si>
    <t>INV-4_CB4</t>
  </si>
  <si>
    <t>Inv5_CB2</t>
  </si>
  <si>
    <t>INV-4_CB5</t>
  </si>
  <si>
    <t>Inv5_CB3</t>
  </si>
  <si>
    <t>INV-4_CB6</t>
  </si>
  <si>
    <t>Inv5_CB4</t>
  </si>
  <si>
    <t>INV-4_CB7</t>
  </si>
  <si>
    <t>Inv5_CB5</t>
  </si>
  <si>
    <t>INV-4_CB8</t>
  </si>
  <si>
    <t>Inv5_CB6</t>
  </si>
  <si>
    <t>INV-5_CB1</t>
  </si>
  <si>
    <t>Inv5_CB7</t>
  </si>
  <si>
    <t>INV-5_CB2</t>
  </si>
  <si>
    <t>Inv5_CB8</t>
  </si>
  <si>
    <t>INV-5_CB3</t>
  </si>
  <si>
    <t>Inv6_CB1</t>
  </si>
  <si>
    <t>INV-5_CB4</t>
  </si>
  <si>
    <t>Inv6_CB2</t>
  </si>
  <si>
    <t>INV-5_CB5</t>
  </si>
  <si>
    <t>Inv6_CB3</t>
  </si>
  <si>
    <t>INV-5_CB6</t>
  </si>
  <si>
    <t>Inv6_CB4</t>
  </si>
  <si>
    <t>INV-5_CB7</t>
  </si>
  <si>
    <t>Inv6_CB5</t>
  </si>
  <si>
    <t>INV-5_CB8</t>
  </si>
  <si>
    <t>Inv6_CB6</t>
  </si>
  <si>
    <t>INV-6_CB1</t>
  </si>
  <si>
    <t>Inv6_CB7</t>
  </si>
  <si>
    <t>INV-6_CB2</t>
  </si>
  <si>
    <t>Inv6_CB8</t>
  </si>
  <si>
    <t>INV-6_CB3</t>
  </si>
  <si>
    <t>Inv7_CB1</t>
  </si>
  <si>
    <t>INV-6_CB4</t>
  </si>
  <si>
    <t>Inv7_CB2</t>
  </si>
  <si>
    <t>INV-6_CB5</t>
  </si>
  <si>
    <t>Inv7_CB3</t>
  </si>
  <si>
    <t>INV-6_CB6</t>
  </si>
  <si>
    <t>Inv7_CB4</t>
  </si>
  <si>
    <t>INV-6_CB7</t>
  </si>
  <si>
    <t>Inv7_CB5</t>
  </si>
  <si>
    <t>INV-6_CB8</t>
  </si>
  <si>
    <t>Inv7_CB6</t>
  </si>
  <si>
    <t>INV-7_CB1</t>
  </si>
  <si>
    <t>Inv7_CB7</t>
  </si>
  <si>
    <t>INV-7_CB2</t>
  </si>
  <si>
    <t>Inv7_CB8</t>
  </si>
  <si>
    <t>INV-7_CB3</t>
  </si>
  <si>
    <t>Inv8_CB1</t>
  </si>
  <si>
    <t>INV-7_CB4</t>
  </si>
  <si>
    <t>Inv8_CB2</t>
  </si>
  <si>
    <t>INV-7_CB5</t>
  </si>
  <si>
    <t>Inv8_CB3</t>
  </si>
  <si>
    <t>INV-7_CB6</t>
  </si>
  <si>
    <t>Inv8_CB4</t>
  </si>
  <si>
    <t>INV-7_CB7</t>
  </si>
  <si>
    <t>Inv8_CB5</t>
  </si>
  <si>
    <t>INV-7_CB8</t>
  </si>
  <si>
    <t>Inv8_CB6</t>
  </si>
  <si>
    <t>INV-8_CB1</t>
  </si>
  <si>
    <t>Inv8_CB7</t>
  </si>
  <si>
    <t>INV-8_CB2</t>
  </si>
  <si>
    <t>Inv8_CB8</t>
  </si>
  <si>
    <t>INV-8_CB3</t>
  </si>
  <si>
    <t>Inv9_CB1</t>
  </si>
  <si>
    <t>INV-8_CB4</t>
  </si>
  <si>
    <t>Inv9_CB2</t>
  </si>
  <si>
    <t>INV-8_CB5</t>
  </si>
  <si>
    <t>Inv9_CB3</t>
  </si>
  <si>
    <t>INV-8_CB6</t>
  </si>
  <si>
    <t>Inv9_CB4</t>
  </si>
  <si>
    <t>INV-8_CB7</t>
  </si>
  <si>
    <t>Inv9_CB5</t>
  </si>
  <si>
    <t>INV-8_CB8</t>
  </si>
  <si>
    <t>Inv9_CB6</t>
  </si>
  <si>
    <t>INV-9_CB1</t>
  </si>
  <si>
    <t>Inv9_CB7</t>
  </si>
  <si>
    <t>INV-9_CB2</t>
  </si>
  <si>
    <t>Inv9_CB8</t>
  </si>
  <si>
    <t>INV-9_CB3</t>
  </si>
  <si>
    <t>Inv10_CB1</t>
  </si>
  <si>
    <t>INV-9_CB4</t>
  </si>
  <si>
    <t>Inv10_CB2</t>
  </si>
  <si>
    <t>INV-9_CB5</t>
  </si>
  <si>
    <t>Inv10_CB3</t>
  </si>
  <si>
    <t>INV-9_CB6</t>
  </si>
  <si>
    <t>Inv10_CB4</t>
  </si>
  <si>
    <t>INV-9_CB7</t>
  </si>
  <si>
    <t>Inv10_CB5</t>
  </si>
  <si>
    <t>INV-9_CB8</t>
  </si>
  <si>
    <t>Inv10_CB6</t>
  </si>
  <si>
    <t>INV-10_CB1</t>
  </si>
  <si>
    <t>Inv10_CB7</t>
  </si>
  <si>
    <t>INV-10_CB2</t>
  </si>
  <si>
    <t>Inv10_CB8</t>
  </si>
  <si>
    <t>INV-10_CB3</t>
  </si>
  <si>
    <t>INV-10_CB4</t>
  </si>
  <si>
    <t>INV-10_CB5</t>
  </si>
  <si>
    <t>INV-10_CB6</t>
  </si>
  <si>
    <t>INV-10_CB7</t>
  </si>
  <si>
    <t>INV-10_CB8</t>
  </si>
  <si>
    <t>IC1_IDT</t>
  </si>
  <si>
    <t>IC2_IDT</t>
  </si>
  <si>
    <t>IC3_IDT</t>
  </si>
  <si>
    <t>IC4_IDT</t>
  </si>
  <si>
    <t>IC5_IDT</t>
  </si>
  <si>
    <t>ICOG1_IC1</t>
  </si>
  <si>
    <t>ICOG2_IC2</t>
  </si>
  <si>
    <t>ICOG3_IC3</t>
  </si>
  <si>
    <t>ICOG4_IC4</t>
  </si>
  <si>
    <t>ICOG5_IC5</t>
  </si>
  <si>
    <t>Isolator1</t>
  </si>
  <si>
    <t>Isolator2</t>
  </si>
  <si>
    <t>Isolator3</t>
  </si>
  <si>
    <t>Isolator4</t>
  </si>
  <si>
    <t>Isolator5</t>
  </si>
  <si>
    <t>String_Type1(320Wp)</t>
  </si>
  <si>
    <t>String_Type2(325Wp)</t>
  </si>
  <si>
    <t>String_Type3(540Wp*29)</t>
  </si>
  <si>
    <t>String_Type4(545Wp*29)</t>
  </si>
  <si>
    <t>String_Type5(540Wp*58)</t>
  </si>
  <si>
    <t>String_Type6(545Wp*58)</t>
  </si>
  <si>
    <t>IS1_Inv1</t>
  </si>
  <si>
    <t>IS2_Inv2</t>
  </si>
  <si>
    <t>IS1_Inv1_M1_SCB1</t>
  </si>
  <si>
    <t>IS1_Inv1_M1_SCB2</t>
  </si>
  <si>
    <t>IS1_Inv1_M1_SCB3</t>
  </si>
  <si>
    <t>IS1_Inv1_M1_SCB4</t>
  </si>
  <si>
    <t>IS1_Inv1_M1_SCB5</t>
  </si>
  <si>
    <t>IS1_Inv1_M2_SCB1</t>
  </si>
  <si>
    <t>IS1_Inv1_M2_SCB2</t>
  </si>
  <si>
    <t>IS1_Inv1_M2_SCB3</t>
  </si>
  <si>
    <t>IS1_Inv1_M2_SCB4</t>
  </si>
  <si>
    <t>IS1_Inv1_M2_SCB5</t>
  </si>
  <si>
    <t>IS1_Inv1_M3_SCB1</t>
  </si>
  <si>
    <t>IS1_Inv1_M3_SCB2</t>
  </si>
  <si>
    <t>IS1_Inv1_M3_SCB3</t>
  </si>
  <si>
    <t>IS1_Inv1_M3_SCB4</t>
  </si>
  <si>
    <t>IS1_Inv1_M3_SCB5</t>
  </si>
  <si>
    <t>IS1_Inv1_M4_SCB1</t>
  </si>
  <si>
    <t>IS1_Inv1_M4_SCB2</t>
  </si>
  <si>
    <t>IS1_Inv1_M4_SCB3</t>
  </si>
  <si>
    <t>IS1_Inv1_M4_SCB4</t>
  </si>
  <si>
    <t>IS1_Inv1_M4_SCB5</t>
  </si>
  <si>
    <t>IS1_Inv2_M1_SCB1</t>
  </si>
  <si>
    <t>IS1_Inv2_M1_SCB2</t>
  </si>
  <si>
    <t>IS1_Inv2_M1_SCB3</t>
  </si>
  <si>
    <t>IS1_Inv2_M1_SCB4</t>
  </si>
  <si>
    <t>IS1_Inv2_M1_SCB5</t>
  </si>
  <si>
    <t>IS1_Inv2_M2_SCB1</t>
  </si>
  <si>
    <t>IS1_Inv2_M2_SCB2</t>
  </si>
  <si>
    <t>IS1_Inv2_M2_SCB3</t>
  </si>
  <si>
    <t>IS1_Inv2_M2_SCB4</t>
  </si>
  <si>
    <t>IS1_Inv2_M2_SCB5</t>
  </si>
  <si>
    <t>IS1_Inv2_M3_SCB1</t>
  </si>
  <si>
    <t>IS1_Inv2_M3_SCB2</t>
  </si>
  <si>
    <t>IS1_Inv2_M3_SCB3</t>
  </si>
  <si>
    <t>IS1_Inv2_M3_SCB4</t>
  </si>
  <si>
    <t>IS1_Inv2_M3_SCB5</t>
  </si>
  <si>
    <t>IS1_Inv2_M4_SCB1</t>
  </si>
  <si>
    <t>IS1_Inv2_M4_SCB2</t>
  </si>
  <si>
    <t>IS1_Inv2_M4_SCB3</t>
  </si>
  <si>
    <t>IS1_Inv2_M4_SCB4</t>
  </si>
  <si>
    <t>IS1_Inv2_M4_SCB5</t>
  </si>
  <si>
    <t>IS2_Inv1_SCB1</t>
  </si>
  <si>
    <t>IS2_Inv1_SCB2</t>
  </si>
  <si>
    <t>IS2_Inv1_SCB3</t>
  </si>
  <si>
    <t>IS2_Inv1_SCB4</t>
  </si>
  <si>
    <t>IS2_Inv1_SCB5</t>
  </si>
  <si>
    <t>IS2_Inv1_SCB6</t>
  </si>
  <si>
    <t>IS2_Inv2_SCB1</t>
  </si>
  <si>
    <t>IS2_Inv2_SCB2</t>
  </si>
  <si>
    <t>IS2_Inv2_SCB3</t>
  </si>
  <si>
    <t>IS2_Inv2_SCB4</t>
  </si>
  <si>
    <t>IS2_Inv2_SCB5</t>
  </si>
  <si>
    <t>IS2_Inv2_SCB6</t>
  </si>
  <si>
    <t>IS1_IDT</t>
  </si>
  <si>
    <t>IS2_IDT</t>
  </si>
  <si>
    <t>ICOG1_IS1</t>
  </si>
  <si>
    <t>ICOG2_IS2</t>
  </si>
  <si>
    <t>Outgoing_PSEGPL</t>
  </si>
  <si>
    <t>Outgoing_PEPSICO</t>
  </si>
  <si>
    <t>Outgoing_HCCB</t>
  </si>
  <si>
    <t>Outgoing_O2R6</t>
  </si>
  <si>
    <t>Outgoing_O2R10</t>
  </si>
  <si>
    <t>GHI</t>
  </si>
  <si>
    <t>POA</t>
  </si>
  <si>
    <t>WS</t>
  </si>
  <si>
    <t>Tamb</t>
  </si>
  <si>
    <t>Tmod</t>
  </si>
  <si>
    <t>Egrid (MWh)</t>
  </si>
  <si>
    <t>Bugt_Capacity</t>
  </si>
  <si>
    <t>PR</t>
  </si>
  <si>
    <t>Daily POA</t>
  </si>
  <si>
    <t>MTD POA</t>
  </si>
  <si>
    <t>YTD POA</t>
  </si>
  <si>
    <t>Daily Energy (MWh)</t>
  </si>
  <si>
    <t>MTD Energy (MWh)</t>
  </si>
  <si>
    <t>YTD Energy (MWh)</t>
  </si>
  <si>
    <t>Bugt CUF (%)</t>
  </si>
  <si>
    <t>Bugt CUF (%) MTD</t>
  </si>
  <si>
    <t>Bugt CUF (%)YTD</t>
  </si>
  <si>
    <t>Ave. Cap MTD</t>
  </si>
  <si>
    <t>Ave. Cap YTD</t>
  </si>
  <si>
    <t>CC Energy MTD</t>
  </si>
  <si>
    <t>WS MTD</t>
  </si>
  <si>
    <t>WS YTD</t>
  </si>
  <si>
    <t>Bugt PA</t>
  </si>
  <si>
    <t>Bugt EGA</t>
  </si>
  <si>
    <t>Bugt TA</t>
  </si>
  <si>
    <t>Bugt MA</t>
  </si>
  <si>
    <t>Bugt IGA</t>
  </si>
  <si>
    <t>Corelation</t>
  </si>
  <si>
    <t>Bugt Line loss</t>
  </si>
  <si>
    <t>Bugt Reactive Power</t>
  </si>
  <si>
    <t>CC*Bugt (MTD)</t>
  </si>
  <si>
    <t>CC*Bugt (YTD)</t>
  </si>
  <si>
    <t xml:space="preserve"> Capacity</t>
  </si>
  <si>
    <r>
      <rPr>
        <b/>
        <sz val="8"/>
        <rFont val="Arial"/>
        <family val="2"/>
      </rPr>
      <t xml:space="preserve">GlobHor
</t>
    </r>
    <r>
      <rPr>
        <sz val="8"/>
        <rFont val="Microsoft Sans Serif"/>
        <family val="2"/>
      </rPr>
      <t>kWh/m²</t>
    </r>
  </si>
  <si>
    <r>
      <rPr>
        <b/>
        <sz val="8"/>
        <rFont val="Arial"/>
        <family val="2"/>
      </rPr>
      <t xml:space="preserve">DiffHor
</t>
    </r>
    <r>
      <rPr>
        <sz val="8"/>
        <rFont val="Microsoft Sans Serif"/>
        <family val="2"/>
      </rPr>
      <t>kWh/m²</t>
    </r>
  </si>
  <si>
    <r>
      <rPr>
        <b/>
        <sz val="8"/>
        <rFont val="Arial"/>
        <family val="2"/>
      </rPr>
      <t xml:space="preserve">T_Amb
</t>
    </r>
    <r>
      <rPr>
        <sz val="8"/>
        <rFont val="Microsoft Sans Serif"/>
        <family val="2"/>
      </rPr>
      <t>°C</t>
    </r>
  </si>
  <si>
    <r>
      <rPr>
        <b/>
        <sz val="8"/>
        <rFont val="Arial"/>
        <family val="2"/>
      </rPr>
      <t xml:space="preserve">GlobInc
</t>
    </r>
    <r>
      <rPr>
        <sz val="8"/>
        <rFont val="Microsoft Sans Serif"/>
        <family val="2"/>
      </rPr>
      <t>kWh/m²</t>
    </r>
  </si>
  <si>
    <r>
      <rPr>
        <b/>
        <sz val="8"/>
        <rFont val="Arial"/>
        <family val="2"/>
      </rPr>
      <t xml:space="preserve">GlobEff
</t>
    </r>
    <r>
      <rPr>
        <sz val="8"/>
        <rFont val="Microsoft Sans Serif"/>
        <family val="2"/>
      </rPr>
      <t>kWh/m²</t>
    </r>
  </si>
  <si>
    <r>
      <rPr>
        <b/>
        <sz val="8"/>
        <rFont val="Arial"/>
        <family val="2"/>
      </rPr>
      <t xml:space="preserve">EArray
</t>
    </r>
    <r>
      <rPr>
        <sz val="8"/>
        <rFont val="Microsoft Sans Serif"/>
        <family val="2"/>
      </rPr>
      <t>MWh</t>
    </r>
  </si>
  <si>
    <r>
      <rPr>
        <b/>
        <sz val="8"/>
        <rFont val="Arial"/>
        <family val="2"/>
      </rPr>
      <t xml:space="preserve">E_Grid
</t>
    </r>
    <r>
      <rPr>
        <sz val="8"/>
        <rFont val="Microsoft Sans Serif"/>
        <family val="2"/>
      </rPr>
      <t>MWh</t>
    </r>
  </si>
  <si>
    <r>
      <rPr>
        <b/>
        <sz val="8"/>
        <rFont val="Arial"/>
        <family val="2"/>
      </rPr>
      <t xml:space="preserve">PR
</t>
    </r>
    <r>
      <rPr>
        <sz val="8"/>
        <rFont val="Microsoft Sans Serif"/>
        <family val="2"/>
      </rPr>
      <t>ratio</t>
    </r>
  </si>
  <si>
    <t>Target Enegy</t>
  </si>
  <si>
    <t>Daily POA Target</t>
  </si>
  <si>
    <t>GlobHor
kWh/m²</t>
  </si>
  <si>
    <t>DiffHor
kWh/m²</t>
  </si>
  <si>
    <t>T_Amb
°C</t>
  </si>
  <si>
    <t>GlobInc
kWh/m²</t>
  </si>
  <si>
    <t>GlobEff
kWh/m²</t>
  </si>
  <si>
    <t>EArray
MWh</t>
  </si>
  <si>
    <t>E_Grid
MWh</t>
  </si>
  <si>
    <r>
      <rPr>
        <b/>
        <sz val="8"/>
        <rFont val="Arial"/>
        <family val="2"/>
      </rPr>
      <t>January</t>
    </r>
  </si>
  <si>
    <t>Degradation</t>
  </si>
  <si>
    <r>
      <rPr>
        <b/>
        <sz val="8"/>
        <rFont val="Arial"/>
        <family val="2"/>
      </rPr>
      <t>February</t>
    </r>
  </si>
  <si>
    <t>Line Loss Addition</t>
  </si>
  <si>
    <r>
      <rPr>
        <b/>
        <sz val="8"/>
        <rFont val="Arial"/>
        <family val="2"/>
      </rPr>
      <t>March</t>
    </r>
  </si>
  <si>
    <r>
      <rPr>
        <b/>
        <sz val="8"/>
        <rFont val="Arial"/>
        <family val="2"/>
      </rPr>
      <t>April</t>
    </r>
  </si>
  <si>
    <r>
      <rPr>
        <b/>
        <sz val="8"/>
        <rFont val="Arial"/>
        <family val="2"/>
      </rPr>
      <t>May</t>
    </r>
  </si>
  <si>
    <r>
      <rPr>
        <b/>
        <sz val="8"/>
        <rFont val="Arial"/>
        <family val="2"/>
      </rPr>
      <t>June</t>
    </r>
  </si>
  <si>
    <r>
      <rPr>
        <b/>
        <sz val="8"/>
        <rFont val="Arial"/>
        <family val="2"/>
      </rPr>
      <t>July</t>
    </r>
  </si>
  <si>
    <r>
      <rPr>
        <b/>
        <sz val="8"/>
        <rFont val="Arial"/>
        <family val="2"/>
      </rPr>
      <t>August</t>
    </r>
  </si>
  <si>
    <r>
      <rPr>
        <b/>
        <sz val="8"/>
        <rFont val="Arial"/>
        <family val="2"/>
      </rPr>
      <t>September</t>
    </r>
  </si>
  <si>
    <r>
      <rPr>
        <b/>
        <sz val="8"/>
        <rFont val="Arial"/>
        <family val="2"/>
      </rPr>
      <t>October</t>
    </r>
  </si>
  <si>
    <r>
      <rPr>
        <b/>
        <sz val="8"/>
        <rFont val="Arial"/>
        <family val="2"/>
      </rPr>
      <t>November</t>
    </r>
  </si>
  <si>
    <r>
      <rPr>
        <b/>
        <sz val="8"/>
        <rFont val="Arial"/>
        <family val="2"/>
      </rPr>
      <t>December</t>
    </r>
  </si>
  <si>
    <r>
      <rPr>
        <b/>
        <sz val="8"/>
        <rFont val="Arial"/>
        <family val="2"/>
      </rPr>
      <t>Year</t>
    </r>
  </si>
  <si>
    <t>Total Days</t>
  </si>
  <si>
    <r>
      <rPr>
        <b/>
        <sz val="10"/>
        <color theme="0"/>
        <rFont val="Trebuchet MS"/>
        <family val="2"/>
      </rPr>
      <t xml:space="preserve">Target E_Grid daily
</t>
    </r>
    <r>
      <rPr>
        <sz val="10"/>
        <color theme="0"/>
        <rFont val="Trebuchet MS"/>
        <family val="2"/>
      </rPr>
      <t>MWh</t>
    </r>
  </si>
  <si>
    <r>
      <rPr>
        <b/>
        <sz val="10"/>
        <color theme="0"/>
        <rFont val="Trebuchet MS"/>
        <family val="2"/>
      </rPr>
      <t xml:space="preserve">Target E_Grid MTD
</t>
    </r>
    <r>
      <rPr>
        <sz val="10"/>
        <color theme="0"/>
        <rFont val="Trebuchet MS"/>
        <family val="2"/>
      </rPr>
      <t>MWh</t>
    </r>
  </si>
  <si>
    <r>
      <rPr>
        <b/>
        <sz val="10"/>
        <color theme="0"/>
        <rFont val="Trebuchet MS"/>
        <family val="2"/>
      </rPr>
      <t xml:space="preserve">Target E_Grid YTD
</t>
    </r>
    <r>
      <rPr>
        <sz val="10"/>
        <color theme="0"/>
        <rFont val="Trebuchet MS"/>
        <family val="2"/>
      </rPr>
      <t>MWh</t>
    </r>
  </si>
  <si>
    <t>Target POA Daily (KWh/m2)</t>
  </si>
  <si>
    <t>Target POA MTD (KWh/m2)</t>
  </si>
  <si>
    <t>Tareget POA YTD (KWh/m2)</t>
  </si>
  <si>
    <t>Target PR Daily (%)</t>
  </si>
  <si>
    <t>Target PR MTD (%)</t>
  </si>
  <si>
    <t>Target PR YTD (%)</t>
  </si>
  <si>
    <t>Target CUF Daily (%)</t>
  </si>
  <si>
    <t>Target CUF MTD (%)</t>
  </si>
  <si>
    <t>Target CUF YTD (%)</t>
  </si>
  <si>
    <t>DC Capcity</t>
  </si>
  <si>
    <t xml:space="preserve">Comisined DC </t>
  </si>
  <si>
    <t>Factor</t>
  </si>
  <si>
    <t>MTD DC Capcity</t>
  </si>
  <si>
    <t>YTD DC Capcity</t>
  </si>
  <si>
    <t>MTD Days</t>
  </si>
  <si>
    <t>YTD Days</t>
  </si>
  <si>
    <t>Year-2</t>
  </si>
  <si>
    <t>Year-3</t>
  </si>
  <si>
    <t>Plant DC Capcity (MW)</t>
  </si>
  <si>
    <t>PSEGPL_HCCB_33KV_Export Reading</t>
  </si>
  <si>
    <t>PSEGPL_HCCB_33KV_Import Reading</t>
  </si>
  <si>
    <t>PSEGPL_PEPSICO_33KV_Export Reading</t>
  </si>
  <si>
    <t>PSEGPL_PEPSICO_33KV_Import Reading</t>
  </si>
  <si>
    <t>O2R6_33 kV _Export_Reading</t>
  </si>
  <si>
    <t>O2R6_33 kV _Import_Reading</t>
  </si>
  <si>
    <t>O2R10_33 kV _Export_Reading</t>
  </si>
  <si>
    <t>O2R10_33 kV _Import_Reading</t>
  </si>
  <si>
    <t>33 kV F5 Export Reading_Gss End</t>
  </si>
  <si>
    <t>33 kV F5 Import Reading_GSS End2</t>
  </si>
  <si>
    <t>GHI(Wh/m2)</t>
  </si>
  <si>
    <t>POA(kWh/m2)_PSEGPL</t>
  </si>
  <si>
    <t>POA(kWh/m2)_O2R6</t>
  </si>
  <si>
    <t>Average POA</t>
  </si>
  <si>
    <t>Avg. Ambient Temp (POA&gt;20W/m2)_O2R6</t>
  </si>
  <si>
    <t>Avg. Module Temp (POA&gt;20W/m2)_O2R6</t>
  </si>
  <si>
    <t>Avg. Wind Speed (m/s)_o2R6</t>
  </si>
  <si>
    <t>Max. Wind Speed (m/s)_O2R6</t>
  </si>
  <si>
    <t>Rain Fall (mm)_O2R6</t>
  </si>
  <si>
    <t>Inverters Generation ( kWh)</t>
  </si>
  <si>
    <t>HCCB_Export (KWh)</t>
  </si>
  <si>
    <t>HCCB_Import (kWh)</t>
  </si>
  <si>
    <t>PEPSICO_Export (KWh)2</t>
  </si>
  <si>
    <t>PEPSICO_Import (KWh)</t>
  </si>
  <si>
    <t>O2R6_Export (KWh</t>
  </si>
  <si>
    <t>O2R6_Import (KWh)</t>
  </si>
  <si>
    <t>O2R10_Export (KWh)</t>
  </si>
  <si>
    <t>O2R10_Export (KWh)2</t>
  </si>
  <si>
    <t>Export  (kWh)</t>
  </si>
  <si>
    <t>Import (kWh)</t>
  </si>
  <si>
    <t>Net Export (kWh)</t>
  </si>
  <si>
    <t>Line Loss</t>
  </si>
  <si>
    <t>PSEGPL1_Export</t>
  </si>
  <si>
    <t>PSEGPL1_Import</t>
  </si>
  <si>
    <t>PSEGPL2_Export</t>
  </si>
  <si>
    <t>PSEGPL2_Import</t>
  </si>
  <si>
    <t> </t>
  </si>
  <si>
    <t>ICR 02 Irradiation  zero due to control supply Device breack down</t>
  </si>
  <si>
    <t>Fault Catrgory</t>
  </si>
  <si>
    <t>Breakdown Time</t>
  </si>
  <si>
    <t>Plant Equivalent BD (Hrs)</t>
  </si>
  <si>
    <t>Lost PoA(kWh/m2)</t>
  </si>
  <si>
    <t>PTW No.</t>
  </si>
  <si>
    <t>Job Card No.</t>
  </si>
  <si>
    <t>Column1</t>
  </si>
  <si>
    <t>IO-DSP Communication Anomaly</t>
  </si>
  <si>
    <t>Control card not comnicating with Internal Hardwear of Inverter</t>
  </si>
  <si>
    <t>Check all related circuit &amp;  SPD continuity &amp; AC/DC Breaker &amp; busbar , Rteplaced PA &amp; PD Card</t>
  </si>
  <si>
    <t>String positive cable cut</t>
  </si>
  <si>
    <t>Power Division</t>
  </si>
  <si>
    <t xml:space="preserve"> Inv 03 - SCB 02 R30S07   - string Positive cable cut observed.</t>
  </si>
  <si>
    <t xml:space="preserve"> Inv 03 - SCB 02 R30 S07 Positive cable cut observed so Positive cable changed .</t>
  </si>
  <si>
    <t xml:space="preserve"> Inv 03 - SCB 02 R30S11   - string Positive cable cut observed.</t>
  </si>
  <si>
    <t xml:space="preserve"> Inv 03 - SCB 02 R30 S11 Positive cable cut observed so Positive cable changed .</t>
  </si>
  <si>
    <t xml:space="preserve"> Inv 03 - SCB 02 R25S10   - string Positive cable cut observed.</t>
  </si>
  <si>
    <t xml:space="preserve"> Inv 03 - SCB 02 R25 S10 Positive cable cut observed so Positive cable changed</t>
  </si>
  <si>
    <t xml:space="preserve"> Inv 04 - SCB 04 R41S03   - string Positive cable cut observed.</t>
  </si>
  <si>
    <t xml:space="preserve"> Inv 04 - SCB 04 R40 S03 Positive cable cut observed so MC4 connector connect to  cable .</t>
  </si>
  <si>
    <t xml:space="preserve"> Inv 07 - SCB 01 R43S09   - string Positive cable cut observed.</t>
  </si>
  <si>
    <t>Inv 07 - SCB 01 R43 S09 Positive cable cut observed so Positive cable changed</t>
  </si>
  <si>
    <t xml:space="preserve"> Inv 08 - SCB 05 R44S26   - string Positive cable cut observed.</t>
  </si>
  <si>
    <t>Inv 08 - SCB 05 R44 S26 Positive cable cut observed so Positive cable changed</t>
  </si>
  <si>
    <t xml:space="preserve"> Inv 08 - SCB 05 R45S26   - string Positive cable cut observed</t>
  </si>
  <si>
    <t>Inv 08 - SCB 05 R45 S26 Positive cable cut observed so Positive cable changed</t>
  </si>
  <si>
    <t xml:space="preserve"> Inv 08 - SCB 05 R45S28   - string Positive cable cut observed</t>
  </si>
  <si>
    <t>Inv 08 - SCB 05 R45 S28 Positive cable cut observed so Positive cable changed</t>
  </si>
  <si>
    <t xml:space="preserve"> Inv 08 - SCB 05 R45S27   - string Positive cable cut observed5</t>
  </si>
  <si>
    <t>Inv 08 - SCB 05 R45 S27 Positive cable cut observed so Positive cable changed</t>
  </si>
  <si>
    <t xml:space="preserve"> Inv 08 - SCB 05 R43S30   - string Positive cable cut observedd</t>
  </si>
  <si>
    <t>Inv 08 - SCB 05 R43 S30 Positive cable cut observed so Positive cable changed</t>
  </si>
  <si>
    <t xml:space="preserve"> Inv 10 - SCB 06 R05S09   - string Positive cable cut observed</t>
  </si>
  <si>
    <t>Inv 10 - SCB 06 R05 S09 Positive cable cut observed so Positive cable changed</t>
  </si>
  <si>
    <t xml:space="preserve"> Inv 09 - SCB 06 R29S14   - string Positive cable cut observed</t>
  </si>
  <si>
    <t>Inv 09 - SCB 05 R29 S14 Positive cable cut observed so Positive cable changed</t>
  </si>
  <si>
    <t xml:space="preserve"> Inv 09 - SCB 02 R32S07   - string Positive cable cut observed</t>
  </si>
  <si>
    <t>Inv 09 - SCB 02 R32 S07 Positive cable cut observed so Positive cable changed</t>
  </si>
  <si>
    <t xml:space="preserve"> Inv 09 - SCB 02 R32S08   - string Positive cable cut observed</t>
  </si>
  <si>
    <t>Inv 09 - SCB 02 R32 S08 Positive cable cut observed so Positive cable changed</t>
  </si>
  <si>
    <t>IS2</t>
  </si>
  <si>
    <t>AC SPD Fault</t>
  </si>
  <si>
    <t xml:space="preserve"> AC SPD Side Fail due due volatage flucation</t>
  </si>
  <si>
    <t>WIP-ROW Issue -Labour not given permission for Restoration</t>
  </si>
  <si>
    <t>-</t>
  </si>
  <si>
    <t>Replace AC SPD with new one and restored.</t>
  </si>
  <si>
    <t>shut down</t>
  </si>
  <si>
    <t>ICOG and 7.8 isolator shut down for check meter r phase PT replacing work</t>
  </si>
  <si>
    <t>check meter R phase PT repaced .</t>
  </si>
  <si>
    <t>Earth fault</t>
  </si>
  <si>
    <t>OC/EF</t>
  </si>
  <si>
    <t>ICOG 01 tripped due to earth fault also jumper cut and melt on B phase of 6MW line</t>
  </si>
  <si>
    <t xml:space="preserve"> 06 MW SS Pole B-Phase Jumper Binded with new conductior &amp; restarted VCB </t>
  </si>
  <si>
    <t>ICOG 02 tripped due to earth fault also jumper cut and melt on B phase of 6MW line</t>
  </si>
  <si>
    <t>ICOG 03 tripped due to earth fault also jumper cut and melt on B phase of 6MW line</t>
  </si>
  <si>
    <t>IC2_IDT shut down for LV1 side busbar fitting work.</t>
  </si>
  <si>
    <t>IC2_IDT  LV1 side busbar fitting work done.</t>
  </si>
  <si>
    <t>CTRL CKT ERR</t>
  </si>
  <si>
    <t>UF 206:CTRL CKT ERR</t>
  </si>
  <si>
    <t>G2-INV 03 Tripped due to CTRL CIRCUIT ERR and GDFI card failed</t>
  </si>
  <si>
    <t>Replace GDFI Card  with new one and restored.</t>
  </si>
  <si>
    <t>over current and DC ground fault</t>
  </si>
  <si>
    <t>UF 213 : OVER TEMPERATURE and UF 160: GROUND SHORT</t>
  </si>
  <si>
    <t xml:space="preserve">G4 -INV 07 tripped due to DC over Current and DC ground short fault </t>
  </si>
  <si>
    <t>WIP</t>
  </si>
  <si>
    <t xml:space="preserve">G4 -INV 07 tripped on date 20-05-25 due to DC over Current and DC ground short fault </t>
  </si>
  <si>
    <t xml:space="preserve">UA 108 : DC GROUND SHORT </t>
  </si>
  <si>
    <t xml:space="preserve">G2-inv 03 tripped due to DC ground short  </t>
  </si>
  <si>
    <t>Identify fault &amp; restored inverter</t>
  </si>
  <si>
    <t xml:space="preserve"> DC ground fault</t>
  </si>
  <si>
    <t xml:space="preserve">G2 -INV 04 tripped due to DC over Current and DC ground short fault </t>
  </si>
  <si>
    <t>Inv 04 tripped due to DC Ground short fault  So Fault rectified reset and started inverter normally.</t>
  </si>
  <si>
    <t xml:space="preserve">over Temperature </t>
  </si>
  <si>
    <t>UF213:OVERTEMPERATURE</t>
  </si>
  <si>
    <t xml:space="preserve">G2 -INV 04 tripped due to OVER TEMPETURE </t>
  </si>
  <si>
    <t>Inv 04 tripped due to OVER temputure  so reset and started inverter normally.</t>
  </si>
  <si>
    <t>inv 03 scb 7</t>
  </si>
  <si>
    <t xml:space="preserve"> Inv 03 - SCB 07 R42S08   - string Positive cable cut observed</t>
  </si>
  <si>
    <t xml:space="preserve"> Inv 03 - SCB 07 R42S08   - string Positive cable cut observed so Positive cable changed</t>
  </si>
  <si>
    <t xml:space="preserve"> Inv 03 - SCB 07 R42S09   - string Positive cable cut observed</t>
  </si>
  <si>
    <t xml:space="preserve"> Inv 03 - SCB 07 R42S09   - string Positive cable cut observed so Positive cable changed</t>
  </si>
  <si>
    <t xml:space="preserve"> Inv 03 - SCB 07 R43S09   - string Positive cable cut observed</t>
  </si>
  <si>
    <t xml:space="preserve"> Inv 03 - SCB 07 R43S09   - string Positive cable cut observed so Positive cable changed</t>
  </si>
  <si>
    <t xml:space="preserve"> Inv 03 - SCB 07 R44S05   - string Positive cable cut observed</t>
  </si>
  <si>
    <t xml:space="preserve"> Inv 03 - SCB 07 R44S05   - string Positive cable cut observed so Positive cable changed</t>
  </si>
  <si>
    <t xml:space="preserve">UF 115 : DC  UNBALANCE </t>
  </si>
  <si>
    <t>G2 -INV 03 tripped due to DC Unbalance fault</t>
  </si>
  <si>
    <t>So all DC scbs checked  and all card connection we found loose connection in sensing cable so reconnected and restarted inveter normally</t>
  </si>
  <si>
    <t>DC ground  fault</t>
  </si>
  <si>
    <t>Inv 01 tripped due to  DC ground  short fault  .</t>
  </si>
  <si>
    <t>Fault rectified &amp; 5 AMP fuse replaced, reset &amp; started inverter</t>
  </si>
  <si>
    <t>Inv 06 tripped due to  DC ground  short fault  .</t>
  </si>
  <si>
    <t>Voltage under</t>
  </si>
  <si>
    <t>Y PHASE JUMPED</t>
  </si>
  <si>
    <t xml:space="preserve">G3 - ICOG &amp; isolator shut down for G3 isolator y phase jumper and luges burnt and melt </t>
  </si>
  <si>
    <t>work done</t>
  </si>
  <si>
    <t>close</t>
  </si>
  <si>
    <t>plant</t>
  </si>
  <si>
    <t>DC CIRCUIT ABINORMAL</t>
  </si>
  <si>
    <t>UF112:DCCIRCUIT ABNIMORAL</t>
  </si>
  <si>
    <t xml:space="preserve">G2-INV 03 tripped due to DC circuit abnormal </t>
  </si>
  <si>
    <t>G2-INV 04 shut down for parameter and resistance checking</t>
  </si>
  <si>
    <t>R PHASE JUMPED</t>
  </si>
  <si>
    <t xml:space="preserve">G3 - ICOG &amp; isolator shut down for G3 isolator R phase jumper and luges burnt and melt </t>
  </si>
  <si>
    <t>Earth fault and over current</t>
  </si>
  <si>
    <t xml:space="preserve">G3- isolator and VCB  shut down for earth fault restoration </t>
  </si>
  <si>
    <t>inv 07 scb 03</t>
  </si>
  <si>
    <t>Ground fault</t>
  </si>
  <si>
    <t xml:space="preserve"> Inv 07 - SCB 03 R43S12   - string Positive cable cut observed.</t>
  </si>
  <si>
    <t>so both cable changed</t>
  </si>
  <si>
    <t xml:space="preserve"> Inv 07 - SCB 03 R43S13   - string Positive cable cut observed.</t>
  </si>
  <si>
    <t xml:space="preserve"> Inv 07 - SCB 03 R43S15  - string Positive cable cut observed.</t>
  </si>
  <si>
    <t xml:space="preserve"> Inv 07 - SCB 03 R43S16   - string Positive cable cut observed.</t>
  </si>
  <si>
    <t xml:space="preserve"> Inv 07 - SCB 03 R43S17   - string Positive cable cut observed.</t>
  </si>
  <si>
    <t>inv 10 scb 02</t>
  </si>
  <si>
    <t>power division</t>
  </si>
  <si>
    <t xml:space="preserve"> Inv 10 - SCB 02 R15S05   - string Positive cable cut observed.</t>
  </si>
  <si>
    <t>string Positive cable cut observed so Positive cable changed</t>
  </si>
  <si>
    <t>inv 09 scb 08</t>
  </si>
  <si>
    <t xml:space="preserve"> Inv 09 - SCB 08 R21S01   - string Positive cable cut observed.</t>
  </si>
  <si>
    <t>inv 09 scb 05</t>
  </si>
  <si>
    <t xml:space="preserve"> Inv 09 - SCB 05 R30S12   - string Positive cable cut observed.</t>
  </si>
  <si>
    <t>inv 09 scb 03</t>
  </si>
  <si>
    <t xml:space="preserve"> Inv 09 - SCB 03 R25S01  - string Positive cable cut observed.</t>
  </si>
  <si>
    <t xml:space="preserve"> Inv 09 - SCB 03 R29S09  - string Positive cable cut observed.</t>
  </si>
  <si>
    <t>inv 06 scb 03</t>
  </si>
  <si>
    <t xml:space="preserve"> Inv 06 - SCB 03 R73S08  - string Positive cable cut observed.</t>
  </si>
  <si>
    <t xml:space="preserve"> Inv 06 - SCB 03 R73S09  - string Positive cable cut observed.</t>
  </si>
  <si>
    <t>inv 06 scb 05</t>
  </si>
  <si>
    <t xml:space="preserve"> Inv 06 - SCB 05 R82S02 - string Positive cable cut observed.</t>
  </si>
  <si>
    <t>inv 06 scb 06</t>
  </si>
  <si>
    <t xml:space="preserve"> Inv 06 - SCB 06 R88S02 - string Positive cable cut observed.</t>
  </si>
  <si>
    <t xml:space="preserve"> Inv 06 - SCB 06 R87S02 - string Positive cable cut observed.</t>
  </si>
  <si>
    <t>F-5  tripped due to earth fault and over current.</t>
  </si>
  <si>
    <t>CTRL,POW AC UV.</t>
  </si>
  <si>
    <t>UF308: CTRL,POW AC UV.</t>
  </si>
  <si>
    <t>Inv 05 tripped due to Control supply tripped</t>
  </si>
  <si>
    <t>Inv 05 tripped due to Control supply tripped So Fault rectified reset and started inverter normally.</t>
  </si>
  <si>
    <t>Inv 06 tripped due to Control supply tripped</t>
  </si>
  <si>
    <t>Inv 06 tripped due to Control supply tripped So Fault rectified reset and started inverter normally.</t>
  </si>
  <si>
    <t>Inv 07 tripped due to  DC ground  short fault  .</t>
  </si>
  <si>
    <t>Inv 7 tripped due to  DC ground  short fault So fault rectified and replaced string cable</t>
  </si>
  <si>
    <t>inv 07 scb 04</t>
  </si>
  <si>
    <t xml:space="preserve"> string Positive cable cut observed.</t>
  </si>
  <si>
    <t>inv 07 scb 05</t>
  </si>
  <si>
    <t>inv 03 scb 4</t>
  </si>
  <si>
    <t xml:space="preserve"> Inv 03 - SCB 04 R31S08 - string Positive cable cut observed.</t>
  </si>
  <si>
    <t xml:space="preserve"> Inv 03 - SCB 04 R33S11 - string Positive cable cut observed.</t>
  </si>
  <si>
    <t>inv 03 scb 6</t>
  </si>
  <si>
    <t xml:space="preserve"> Inv 03 - SCB 06 R42S03 - string Positive cable cut observed.</t>
  </si>
  <si>
    <t>inv 04 scb 02</t>
  </si>
  <si>
    <t xml:space="preserve"> Inv 04 - SCB 02 R45S07 - string Positive cable cut observed.</t>
  </si>
  <si>
    <t>Inv 04 tripped due to  DC ground  short fault  .</t>
  </si>
  <si>
    <t>inv 04 scb 03</t>
  </si>
  <si>
    <t xml:space="preserve"> Inv 04 - SCB 03 R44S10 - string Positive cable cut observed.</t>
  </si>
  <si>
    <t xml:space="preserve"> Inv 04 - SCB 03 R46S12 - string Positive cable cut observed.</t>
  </si>
  <si>
    <t xml:space="preserve"> Inv 04 - SCB 02 R39S08 - string Positive cable cut observed.</t>
  </si>
  <si>
    <t xml:space="preserve"> Inv 04 - SCB 02 R38S07 - string Positive cable cut observed.</t>
  </si>
  <si>
    <t>VCB tripped due to earth fault and over current.</t>
  </si>
  <si>
    <t xml:space="preserve">All busbar of ICOG Cleaned &amp; heated with hot gun wrap with HT tape &amp; Meggaring done </t>
  </si>
  <si>
    <t>Checked all CT &amp; PT of PSS inspection of TL Line &amp; IR Equipment and restored</t>
  </si>
  <si>
    <t>inv 06 scb 07</t>
  </si>
  <si>
    <t xml:space="preserve"> Inv 06 - SCB 07 R89S03 - string Positive cable cut observed.</t>
  </si>
  <si>
    <t xml:space="preserve"> Inv 06 - SCB 07 R89S02 - string Positive cable cut observed.</t>
  </si>
  <si>
    <t xml:space="preserve"> Inv 06 - SCB 05 R78S05 - string Positive cable cut observed.</t>
  </si>
  <si>
    <t>INV 05 SCB 07</t>
  </si>
  <si>
    <t xml:space="preserve"> Inv 05 - SCB 07 R65S04 - string Positive cable cut observed.</t>
  </si>
  <si>
    <t xml:space="preserve"> Inv 05 - SCB 07 R65S07 - string Positive cable cut observed.</t>
  </si>
  <si>
    <t>INV 05 SCB 06</t>
  </si>
  <si>
    <t xml:space="preserve"> Inv 05 - SCB 06 R62S12 - string Positive cable cut observed.</t>
  </si>
  <si>
    <t>INV 05 SCB 08</t>
  </si>
  <si>
    <t xml:space="preserve"> Inv 05 - SCB 08 R66S11 - string Positive cable cut observed.</t>
  </si>
  <si>
    <t xml:space="preserve"> Inv 05 - SCB 08 R66S13 - string Positive cable cut observed.</t>
  </si>
  <si>
    <t>INV 01 SCB 01</t>
  </si>
  <si>
    <t xml:space="preserve"> Inv 01 - SCB 01 R02S03 - string Positive cable cut observed.</t>
  </si>
  <si>
    <t xml:space="preserve"> Inv 01 - SCB 01 R03S02 - string Positive cable cut observed.</t>
  </si>
  <si>
    <t>INV 03 SCB 03</t>
  </si>
  <si>
    <t xml:space="preserve"> Inv 03 - SCB 03 R35S06 - string Positive cable cut observed.</t>
  </si>
  <si>
    <t xml:space="preserve"> Inv 03 - SCB 04 R34S13 - string Positive cable cut observed.</t>
  </si>
  <si>
    <t>INV 03 SCB 06</t>
  </si>
  <si>
    <t xml:space="preserve"> Inv 03 - SCB 06 R03612 - string Positive cable cut observed.</t>
  </si>
  <si>
    <t>INV 03 SCB 01</t>
  </si>
  <si>
    <t xml:space="preserve"> Inv 03 - SCB 01 R31S04 - string Positive cable cut observed.</t>
  </si>
  <si>
    <t>inv 02 scb 02</t>
  </si>
  <si>
    <t xml:space="preserve"> Inv 02 - SCB 02 R18S13 - string Positive cable cut observed.</t>
  </si>
  <si>
    <t>inv 02 scb05</t>
  </si>
  <si>
    <t xml:space="preserve"> Inv 02 - SCB 05 R21S11 - string Positive cable cut observed.</t>
  </si>
  <si>
    <t xml:space="preserve"> Inv 02 - SCB 05 R21S13 - string Positive cable cut observed.</t>
  </si>
  <si>
    <t>inv 02 scb 08</t>
  </si>
  <si>
    <t xml:space="preserve"> Inv 02 - SCB 08 R28S06 - string Positive cable cut observed.</t>
  </si>
  <si>
    <t>OC</t>
  </si>
  <si>
    <t>OC1 TRIP</t>
  </si>
  <si>
    <t>F-5  tripped due to  over current. And Check meter CT of Y phase failed</t>
  </si>
  <si>
    <t>fault rectified and restareted VCB at substation</t>
  </si>
  <si>
    <t>GFDI PRO</t>
  </si>
  <si>
    <t xml:space="preserve">IS1_Inv1_M4 TRIPPED due to GFDI fault </t>
  </si>
  <si>
    <t>Fault rectified and restatred inv normally</t>
  </si>
  <si>
    <t>inv01 scb 01</t>
  </si>
  <si>
    <t xml:space="preserve"> Inv 01 - SCB 01 R02S02 - string Positive cable cut observed.</t>
  </si>
  <si>
    <t xml:space="preserve"> Inv 01 - SCB 01 R03S01 - string Positive cable cut observed.</t>
  </si>
  <si>
    <t>F-5  tripped due to  over current. And 20 MW ss Y- phase jumpera melt and cut</t>
  </si>
  <si>
    <t>20 MW SS y-Phase Jumper and connector replaced with new connector &amp; restarted VCB at substation and plant restored</t>
  </si>
  <si>
    <t>F-5  tripped due to  over current. And 06 MW ss B- phase jumpera melt and cut</t>
  </si>
  <si>
    <t>G3 block kept under breackdown and 18 mw charged.</t>
  </si>
  <si>
    <t>G3-ICOG shut down for fault rectification</t>
  </si>
  <si>
    <t>06 MW SS B-Phase Jumper and connector replaced with new connector &amp; restarted VCB at substation and plant restored</t>
  </si>
  <si>
    <t>inv 07 scb 06</t>
  </si>
  <si>
    <t xml:space="preserve"> Inv 07 - SCB 06 R48S11 - string both cable cut observed.</t>
  </si>
  <si>
    <t>so both cable replaced</t>
  </si>
  <si>
    <t xml:space="preserve"> Inv 07 - SCB 06 R48S12 - string both cable cut observed.</t>
  </si>
  <si>
    <t>inv07 svb 07</t>
  </si>
  <si>
    <t xml:space="preserve"> Inv 07 - SCB 07 R51S06 - string both cable cut observed.</t>
  </si>
  <si>
    <t xml:space="preserve"> Inv 07 - SCB 07 R50S08 - string both cable cut observed.</t>
  </si>
  <si>
    <t xml:space="preserve"> Inv 07 - SCB 07 R50S09 - string both cable cut observed.</t>
  </si>
  <si>
    <t xml:space="preserve"> Inv 07 - SCB 05 R46S10 - string both cable cut observed.</t>
  </si>
  <si>
    <t>Inv 02 tripped due to  DC ground  short fault  .</t>
  </si>
  <si>
    <t>INV 01 SCB 03</t>
  </si>
  <si>
    <t xml:space="preserve"> Inv 01 - SCB 03 R06S07 - string both cable cut observed.</t>
  </si>
  <si>
    <t xml:space="preserve"> Inv 01 - SCB 03 R08S03 - string both cable cut observed.</t>
  </si>
  <si>
    <t>INV 02 SCB 02</t>
  </si>
  <si>
    <t xml:space="preserve"> Inv 02 - SCB 02 R11S13 - string both cable cut observed.</t>
  </si>
  <si>
    <t xml:space="preserve"> Inv 02 - SCB 02 R11S10 - string both cable cut observed.</t>
  </si>
  <si>
    <t>INV 02 SCB 06</t>
  </si>
  <si>
    <t xml:space="preserve"> Inv 02 - SCB 06 R26S04 - string both cable cut observed.</t>
  </si>
  <si>
    <t>inv 02 scb 07</t>
  </si>
  <si>
    <t xml:space="preserve"> Inv 02 - SCB 07 R24S11 - string both cable cut observed.</t>
  </si>
  <si>
    <t xml:space="preserve"> Inv 02 - SCB 07 R24S12 - string both cable cut observed.</t>
  </si>
  <si>
    <t xml:space="preserve"> Inv 02 - SCB 07 R26S11 - string both cable cut observed.</t>
  </si>
  <si>
    <t xml:space="preserve"> Inv 07 - SCB 03 R43S15 - string both cable cut observed.</t>
  </si>
  <si>
    <t xml:space="preserve"> Inv 07 - SCB 03 R44S17 - string both cable cut observed.</t>
  </si>
  <si>
    <t>ICR 02 U1 SCb 06</t>
  </si>
  <si>
    <t>ICR 02 INV 01 U1 SCB 06 Table No T84 MC4 connector Melt Observed</t>
  </si>
  <si>
    <t>replaced new one</t>
  </si>
  <si>
    <t>inv 01 u2 scb5</t>
  </si>
  <si>
    <t>ICR 01 INV 01 U2 SCB 03 Table No T144 MC4 connector Melt Observed</t>
  </si>
  <si>
    <t>inv 02 scb 01</t>
  </si>
  <si>
    <t xml:space="preserve"> Inv 02 - SCB 01 R09S04 - string both cable cut observed.</t>
  </si>
  <si>
    <t>Inv 09 tripped due to  DC ground  short fault  .</t>
  </si>
  <si>
    <t>INV 09 SCB 05</t>
  </si>
  <si>
    <t xml:space="preserve"> Inv 09 - SCB 05 R28S13- string both cable cut observed.</t>
  </si>
  <si>
    <t xml:space="preserve"> Inv 09 - SCB 05 R28S12- string both cable cut observed.</t>
  </si>
  <si>
    <t>INV 09 SCB 04</t>
  </si>
  <si>
    <t xml:space="preserve"> Inv 09 - SCB 04 R26S05- string both cable cut observed.</t>
  </si>
  <si>
    <t xml:space="preserve"> Inv 09 - SCB 04 R30S10- string both cable cut observed.</t>
  </si>
  <si>
    <t xml:space="preserve"> Inv 09 - SCB 04 R30S09- string both cable cut observed.</t>
  </si>
  <si>
    <t xml:space="preserve">F-5  tripped due to  over current. </t>
  </si>
  <si>
    <t>Fault rectified and restarted .</t>
  </si>
  <si>
    <t>ICOG3_IC3 shut down Fault rectification .</t>
  </si>
  <si>
    <t>open</t>
  </si>
  <si>
    <t xml:space="preserve"> Inv 02 - SCB 02 R16S11- string both cable cut observed.</t>
  </si>
  <si>
    <t xml:space="preserve"> Inv 02 - SCB 02 R16S14- string both cable cut observed.</t>
  </si>
  <si>
    <t>INV 02 SCB 03</t>
  </si>
  <si>
    <t xml:space="preserve"> Inv 02 - SCB 03 R18S02- string both cable cut observed.</t>
  </si>
  <si>
    <t xml:space="preserve"> Inv 02 - SCB 03 R18S03- string both cable cut observed.</t>
  </si>
  <si>
    <t xml:space="preserve"> Inv 02 - SCB 03 R18S08- string both cable cut observed.</t>
  </si>
  <si>
    <t xml:space="preserve"> Inv 02 - SCB 03 R17S02- string both cable cut observed.</t>
  </si>
  <si>
    <t>inv 09  scb 06</t>
  </si>
  <si>
    <t xml:space="preserve"> Inv 09 - SCB 06 R25S10 - string both cable cut observed.</t>
  </si>
  <si>
    <t xml:space="preserve"> Inv 09 - SCB 06 R25S11 - string both cable cut observed.</t>
  </si>
  <si>
    <t xml:space="preserve"> Inv 09 - SCB 06 R25S12 - string both cable cut observed.</t>
  </si>
  <si>
    <t xml:space="preserve"> Inv 09 - SCB 06 R24S09 - string positive cable cut observed.</t>
  </si>
  <si>
    <t>so positive cable replaced</t>
  </si>
  <si>
    <t>Item Consumed</t>
  </si>
  <si>
    <t>Qty Consumed</t>
  </si>
  <si>
    <t>Place of Consumption</t>
  </si>
  <si>
    <t>Ownership of Spare/Consumable</t>
  </si>
  <si>
    <t>Remarks for the day</t>
  </si>
  <si>
    <t>2024-2025</t>
  </si>
  <si>
    <t>Apr</t>
  </si>
  <si>
    <t>6sqmm string cable</t>
  </si>
  <si>
    <t>O2 Power</t>
  </si>
  <si>
    <t>PG connector</t>
  </si>
  <si>
    <t>O2RE VI</t>
  </si>
  <si>
    <t>2024-2026</t>
  </si>
  <si>
    <t>MC4 CONNECTOR</t>
  </si>
  <si>
    <t>15 AMPs \1000 v DC Fuses</t>
  </si>
  <si>
    <t>05 AMPs \1000 v DC Fuses</t>
  </si>
  <si>
    <t>Cycle Number</t>
  </si>
  <si>
    <t>Resources</t>
  </si>
  <si>
    <t>IS1_Inv1 Unit 1</t>
  </si>
  <si>
    <t>IS1_Inv1 Unit 2</t>
  </si>
  <si>
    <t>IS1_Inv1 Unit 3</t>
  </si>
  <si>
    <t>IS1_Inv1 Unit 4</t>
  </si>
  <si>
    <t>IS1_Inv2 Unit 1</t>
  </si>
  <si>
    <t>IS1_Inv2 Unit 2</t>
  </si>
  <si>
    <t>IS1_Inv2 Unit 3</t>
  </si>
  <si>
    <t>IS1_Inv2 Unit 4</t>
  </si>
  <si>
    <t>IS2_Inv1 Unit 1</t>
  </si>
  <si>
    <t>IS2_Inv2 Unit 1</t>
  </si>
  <si>
    <t>Total NO. Module cleaned</t>
  </si>
  <si>
    <t>Morning Start Time</t>
  </si>
  <si>
    <t>Morning End Time</t>
  </si>
  <si>
    <t>Evening Start Time</t>
  </si>
  <si>
    <t>Evening End time</t>
  </si>
  <si>
    <t>Brush/MOP Replcemnet</t>
  </si>
  <si>
    <t>Water Test Report</t>
  </si>
  <si>
    <t>G3 Inv7</t>
  </si>
  <si>
    <t>G3 Inv8</t>
  </si>
  <si>
    <t>G3 Inv9</t>
  </si>
  <si>
    <t>G3 Inv10</t>
  </si>
  <si>
    <t>Total Number of Table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</si>
</sst>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0.000"/>
    <numFmt numFmtId="165" formatCode="0.0"/>
    <numFmt numFmtId="166" formatCode="0.0%"/>
    <numFmt numFmtId="167" formatCode="[$-409]d/mmm/yy;@"/>
    <numFmt numFmtId="168" formatCode="h:mm;@"/>
    <numFmt numFmtId="169" formatCode="[$-F800]dddd\,\ mmmm\ dd\,\ yyyy"/>
    <numFmt numFmtId="170" formatCode="[$-409]mmm/yy;@"/>
    <numFmt numFmtId="171" formatCode="#,##0.0"/>
    <numFmt numFmtId="172" formatCode="[h]:mm:ss;@"/>
    <numFmt numFmtId="173" formatCode="0.0000%"/>
    <numFmt numFmtId="174" formatCode="dd/mmm/yyyy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name val="Arial"/>
      <family val="2"/>
    </font>
    <font>
      <sz val="8"/>
      <color rgb="FF000000"/>
      <name val="Microsoft Sans Serif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omic Sans MS"/>
      <family val="4"/>
    </font>
    <font>
      <sz val="8"/>
      <name val="Microsoft Sans Serif"/>
      <family val="2"/>
    </font>
    <font>
      <b/>
      <sz val="9"/>
      <color theme="0"/>
      <name val="Calibri"/>
      <family val="2"/>
      <scheme val="minor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Hadassah Friedlaender"/>
      <family val="1"/>
      <charset val="177"/>
    </font>
    <font>
      <b/>
      <sz val="10"/>
      <color theme="0"/>
      <name val="Hadassah Friedlaender"/>
      <family val="1"/>
      <charset val="177"/>
    </font>
    <font>
      <sz val="10"/>
      <name val="Hadassah Friedlaender"/>
      <family val="1"/>
      <charset val="177"/>
    </font>
    <font>
      <sz val="10"/>
      <color theme="1"/>
      <name val="Hadassah Friedlaender"/>
      <family val="1"/>
      <charset val="177"/>
    </font>
    <font>
      <b/>
      <sz val="10"/>
      <name val="Hadassah Friedlaender"/>
      <family val="1"/>
      <charset val="177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7"/>
      <color indexed="8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54832605975527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5" tint="0.3995483260597552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5544297616504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8" tint="0.3995483260597552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54832605975527"/>
        <bgColor indexed="64"/>
      </patternFill>
    </fill>
    <fill>
      <patternFill patternType="solid">
        <fgColor theme="7" tint="0.3995483260597552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theme="9" tint="0.59999389629810485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</fills>
  <borders count="7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39954832605975527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theme="5" tint="0.59996337778862885"/>
      </left>
      <right style="double">
        <color theme="5" tint="0.59996337778862885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theme="5" tint="0.59996337778862885"/>
      </left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/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 style="dotted">
        <color theme="5" tint="0.59996337778862885"/>
      </left>
      <right style="dotted">
        <color theme="5" tint="0.59996337778862885"/>
      </right>
      <top/>
      <bottom style="hair">
        <color auto="1"/>
      </bottom>
      <diagonal/>
    </border>
    <border>
      <left/>
      <right style="dotted">
        <color theme="5" tint="0.59996337778862885"/>
      </right>
      <top/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theme="5" tint="0.59996337778862885"/>
      </left>
      <right style="dotted">
        <color theme="5" tint="0.59996337778862885"/>
      </right>
      <top style="hair">
        <color auto="1"/>
      </top>
      <bottom/>
      <diagonal/>
    </border>
    <border>
      <left/>
      <right style="dotted">
        <color theme="5" tint="0.59996337778862885"/>
      </right>
      <top style="hair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indexed="64"/>
      </left>
      <right style="double">
        <color theme="5" tint="0.59996337778862885"/>
      </right>
      <top style="medium">
        <color indexed="64"/>
      </top>
      <bottom/>
      <diagonal/>
    </border>
    <border>
      <left style="double">
        <color theme="5" tint="0.59996337778862885"/>
      </left>
      <right style="double">
        <color theme="5" tint="0.59996337778862885"/>
      </right>
      <top style="medium">
        <color indexed="64"/>
      </top>
      <bottom/>
      <diagonal/>
    </border>
    <border>
      <left style="double">
        <color theme="5" tint="0.59996337778862885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medium">
        <color indexed="64"/>
      </right>
      <top style="hair">
        <color theme="5"/>
      </top>
      <bottom style="hair">
        <color theme="5"/>
      </bottom>
      <diagonal/>
    </border>
    <border>
      <left style="medium">
        <color indexed="64"/>
      </left>
      <right style="hair">
        <color theme="5"/>
      </right>
      <top style="hair">
        <color theme="5"/>
      </top>
      <bottom style="medium">
        <color indexed="64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medium">
        <color indexed="64"/>
      </bottom>
      <diagonal/>
    </border>
    <border>
      <left style="hair">
        <color theme="5"/>
      </left>
      <right style="medium">
        <color indexed="64"/>
      </right>
      <top style="hair">
        <color theme="5"/>
      </top>
      <bottom style="medium">
        <color indexed="64"/>
      </bottom>
      <diagonal/>
    </border>
    <border>
      <left style="medium">
        <color indexed="64"/>
      </left>
      <right style="hair">
        <color theme="5"/>
      </right>
      <top style="medium">
        <color indexed="64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medium">
        <color indexed="64"/>
      </top>
      <bottom style="hair">
        <color theme="5"/>
      </bottom>
      <diagonal/>
    </border>
    <border>
      <left style="hair">
        <color theme="5"/>
      </left>
      <right style="medium">
        <color indexed="64"/>
      </right>
      <top style="medium">
        <color indexed="64"/>
      </top>
      <bottom style="hair">
        <color theme="5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 style="thick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hair">
        <color theme="5"/>
      </top>
      <bottom style="hair">
        <color theme="5"/>
      </bottom>
      <diagonal/>
    </border>
    <border>
      <left/>
      <right/>
      <top style="hair">
        <color theme="5"/>
      </top>
      <bottom style="hair">
        <color theme="5"/>
      </bottom>
      <diagonal/>
    </border>
    <border>
      <left/>
      <right style="medium">
        <color auto="1"/>
      </right>
      <top style="hair">
        <color theme="5"/>
      </top>
      <bottom style="hair">
        <color theme="5"/>
      </bottom>
      <diagonal/>
    </border>
    <border>
      <left style="medium">
        <color auto="1"/>
      </left>
      <right style="double">
        <color theme="5" tint="0.59996337778862885"/>
      </right>
      <top/>
      <bottom style="medium">
        <color auto="1"/>
      </bottom>
      <diagonal/>
    </border>
    <border>
      <left/>
      <right/>
      <top style="hair">
        <color theme="5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theme="5"/>
      </right>
      <top style="medium">
        <color auto="1"/>
      </top>
      <bottom style="medium">
        <color auto="1"/>
      </bottom>
      <diagonal/>
    </border>
    <border>
      <left style="hair">
        <color theme="5"/>
      </left>
      <right style="hair">
        <color theme="5"/>
      </right>
      <top style="medium">
        <color auto="1"/>
      </top>
      <bottom style="medium">
        <color auto="1"/>
      </bottom>
      <diagonal/>
    </border>
    <border>
      <left style="hair">
        <color theme="5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8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8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8" tint="0.39997558519241921"/>
      </top>
      <bottom style="thin">
        <color theme="4" tint="0.39997558519241921"/>
      </bottom>
      <diagonal/>
    </border>
    <border>
      <left style="medium">
        <color indexed="64"/>
      </left>
      <right style="double">
        <color theme="5" tint="0.59996337778862885"/>
      </right>
      <top/>
      <bottom/>
      <diagonal/>
    </border>
    <border>
      <left style="double">
        <color theme="5" tint="0.59996337778862885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4038">
    <xf numFmtId="0" fontId="0" fillId="0" borderId="0"/>
    <xf numFmtId="9" fontId="3" fillId="0" borderId="0" applyFont="0" applyFill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17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17" fillId="29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26" fillId="0" borderId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6" fillId="0" borderId="0" applyNumberFormat="0" applyFill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2" fillId="0" borderId="5" applyNumberFormat="0" applyFill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7" fillId="2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17" fillId="2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17" fillId="31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11" fillId="19" borderId="3" applyNumberFormat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2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17" fillId="3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17" fillId="20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23" fillId="0" borderId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5" fillId="0" borderId="0" applyNumberFormat="0" applyFill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17" fillId="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19" fillId="0" borderId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43" fontId="3" fillId="0" borderId="0" applyFont="0" applyFill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17" fillId="28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7" fillId="31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169" fontId="3" fillId="0" borderId="0"/>
    <xf numFmtId="0" fontId="3" fillId="12" borderId="0" applyNumberFormat="0" applyBorder="0" applyAlignment="0" applyProtection="0"/>
    <xf numFmtId="0" fontId="3" fillId="0" borderId="0"/>
    <xf numFmtId="0" fontId="24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23" fillId="0" borderId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26" fillId="0" borderId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25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17" fillId="2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9" fontId="27" fillId="33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43" fontId="3" fillId="0" borderId="0" applyFont="0" applyFill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43" fontId="3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43" fontId="3" fillId="0" borderId="0" applyFont="0" applyFill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19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9" fillId="30" borderId="3" applyNumberForma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17" fillId="2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17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19" fillId="0" borderId="0"/>
    <xf numFmtId="0" fontId="3" fillId="18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9" fontId="26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25" fillId="21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17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10" fillId="19" borderId="4" applyNumberForma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26" fillId="0" borderId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2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23" fillId="0" borderId="0"/>
    <xf numFmtId="0" fontId="24" fillId="0" borderId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16" fillId="0" borderId="8" applyNumberFormat="0" applyFill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8" fillId="2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4" fillId="0" borderId="1" applyNumberFormat="0" applyFill="0" applyAlignment="0" applyProtection="0"/>
    <xf numFmtId="0" fontId="3" fillId="9" borderId="0" applyNumberFormat="0" applyBorder="0" applyAlignment="0" applyProtection="0"/>
    <xf numFmtId="0" fontId="5" fillId="0" borderId="2" applyNumberFormat="0" applyFill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13" fillId="35" borderId="6" applyNumberForma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17" fillId="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7" fillId="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17" fillId="32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17" fillId="3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6" fillId="0" borderId="15" applyNumberFormat="0" applyFill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26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17" fillId="22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26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9" fontId="23" fillId="0" borderId="0" applyFont="0" applyFill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26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14" fillId="0" borderId="0" applyNumberFormat="0" applyFill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7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9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26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43" fontId="3" fillId="0" borderId="0" applyFont="0" applyFill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4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0" borderId="0"/>
    <xf numFmtId="0" fontId="3" fillId="0" borderId="0"/>
    <xf numFmtId="0" fontId="3" fillId="16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9" borderId="0" applyNumberFormat="0" applyBorder="0" applyAlignment="0" applyProtection="0"/>
    <xf numFmtId="0" fontId="3" fillId="11" borderId="7" applyNumberFormat="0" applyFont="0" applyAlignment="0" applyProtection="0"/>
    <xf numFmtId="0" fontId="3" fillId="16" borderId="0" applyNumberFormat="0" applyBorder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1" borderId="7" applyNumberFormat="0" applyFont="0" applyAlignment="0" applyProtection="0"/>
    <xf numFmtId="0" fontId="3" fillId="5" borderId="0" applyNumberFormat="0" applyBorder="0" applyAlignment="0" applyProtection="0"/>
    <xf numFmtId="0" fontId="3" fillId="11" borderId="7" applyNumberFormat="0" applyFont="0" applyAlignment="0" applyProtection="0"/>
    <xf numFmtId="0" fontId="3" fillId="0" borderId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11" borderId="7" applyNumberFormat="0" applyFont="0" applyAlignment="0" applyProtection="0"/>
    <xf numFmtId="0" fontId="3" fillId="0" borderId="0"/>
    <xf numFmtId="0" fontId="3" fillId="9" borderId="0" applyNumberFormat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59"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/>
    <xf numFmtId="165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166" fontId="0" fillId="0" borderId="9" xfId="1" applyNumberFormat="1" applyFont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left" vertical="top" wrapText="1" indent="1"/>
    </xf>
    <xf numFmtId="0" fontId="0" fillId="8" borderId="9" xfId="0" applyFill="1" applyBorder="1" applyAlignment="1">
      <alignment horizontal="center" vertical="top" wrapText="1"/>
    </xf>
    <xf numFmtId="0" fontId="0" fillId="8" borderId="9" xfId="0" applyFill="1" applyBorder="1" applyAlignment="1">
      <alignment horizontal="center"/>
    </xf>
    <xf numFmtId="0" fontId="20" fillId="0" borderId="9" xfId="0" applyFont="1" applyBorder="1" applyAlignment="1">
      <alignment horizontal="center" vertical="top" wrapText="1"/>
    </xf>
    <xf numFmtId="165" fontId="21" fillId="0" borderId="9" xfId="0" applyNumberFormat="1" applyFont="1" applyBorder="1" applyAlignment="1">
      <alignment horizontal="center" vertical="top" shrinkToFit="1"/>
    </xf>
    <xf numFmtId="2" fontId="21" fillId="0" borderId="9" xfId="0" applyNumberFormat="1" applyFont="1" applyBorder="1" applyAlignment="1">
      <alignment horizontal="center" vertical="top" shrinkToFit="1"/>
    </xf>
    <xf numFmtId="1" fontId="21" fillId="0" borderId="9" xfId="0" applyNumberFormat="1" applyFont="1" applyBorder="1" applyAlignment="1">
      <alignment horizontal="center" vertical="top" shrinkToFit="1"/>
    </xf>
    <xf numFmtId="1" fontId="0" fillId="0" borderId="9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0" fontId="0" fillId="0" borderId="0" xfId="0" applyNumberFormat="1"/>
    <xf numFmtId="10" fontId="21" fillId="0" borderId="9" xfId="1" applyNumberFormat="1" applyFont="1" applyBorder="1" applyAlignment="1">
      <alignment horizontal="center" vertical="top" shrinkToFit="1"/>
    </xf>
    <xf numFmtId="2" fontId="0" fillId="0" borderId="9" xfId="0" applyNumberFormat="1" applyBorder="1"/>
    <xf numFmtId="166" fontId="0" fillId="0" borderId="9" xfId="1" applyNumberFormat="1" applyFont="1" applyBorder="1"/>
    <xf numFmtId="15" fontId="0" fillId="0" borderId="14" xfId="0" applyNumberFormat="1" applyBorder="1"/>
    <xf numFmtId="166" fontId="0" fillId="0" borderId="11" xfId="1" applyNumberFormat="1" applyFont="1" applyBorder="1" applyAlignment="1">
      <alignment horizontal="center"/>
    </xf>
    <xf numFmtId="0" fontId="29" fillId="23" borderId="17" xfId="0" applyFont="1" applyFill="1" applyBorder="1" applyAlignment="1">
      <alignment horizontal="center" vertical="center" wrapText="1"/>
    </xf>
    <xf numFmtId="0" fontId="29" fillId="23" borderId="13" xfId="0" applyFont="1" applyFill="1" applyBorder="1" applyAlignment="1">
      <alignment horizontal="center" vertical="center" wrapText="1"/>
    </xf>
    <xf numFmtId="0" fontId="30" fillId="23" borderId="13" xfId="0" applyFont="1" applyFill="1" applyBorder="1" applyAlignment="1">
      <alignment horizontal="center" vertical="center" wrapText="1"/>
    </xf>
    <xf numFmtId="0" fontId="29" fillId="23" borderId="18" xfId="0" applyFont="1" applyFill="1" applyBorder="1" applyAlignment="1">
      <alignment horizontal="center" vertical="center" wrapText="1"/>
    </xf>
    <xf numFmtId="0" fontId="29" fillId="23" borderId="16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17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3" fillId="24" borderId="9" xfId="0" applyFont="1" applyFill="1" applyBorder="1" applyAlignment="1">
      <alignment vertical="center"/>
    </xf>
    <xf numFmtId="0" fontId="13" fillId="24" borderId="9" xfId="0" applyFont="1" applyFill="1" applyBorder="1" applyAlignment="1">
      <alignment horizontal="center" vertical="center" wrapText="1"/>
    </xf>
    <xf numFmtId="1" fontId="0" fillId="12" borderId="9" xfId="0" applyNumberFormat="1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166" fontId="0" fillId="12" borderId="9" xfId="1" applyNumberFormat="1" applyFont="1" applyFill="1" applyBorder="1" applyAlignment="1">
      <alignment horizontal="center"/>
    </xf>
    <xf numFmtId="166" fontId="0" fillId="5" borderId="9" xfId="1" applyNumberFormat="1" applyFont="1" applyFill="1" applyBorder="1" applyAlignment="1">
      <alignment horizontal="center"/>
    </xf>
    <xf numFmtId="17" fontId="17" fillId="24" borderId="9" xfId="0" applyNumberFormat="1" applyFont="1" applyFill="1" applyBorder="1" applyAlignment="1">
      <alignment horizontal="center"/>
    </xf>
    <xf numFmtId="166" fontId="0" fillId="2" borderId="9" xfId="1" applyNumberFormat="1" applyFont="1" applyFill="1" applyBorder="1" applyAlignment="1">
      <alignment horizontal="center" vertical="center" wrapText="1"/>
    </xf>
    <xf numFmtId="0" fontId="13" fillId="24" borderId="9" xfId="0" applyFont="1" applyFill="1" applyBorder="1" applyAlignment="1">
      <alignment horizontal="center" vertical="center"/>
    </xf>
    <xf numFmtId="1" fontId="0" fillId="12" borderId="9" xfId="0" applyNumberFormat="1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166" fontId="0" fillId="12" borderId="9" xfId="1" applyNumberFormat="1" applyFont="1" applyFill="1" applyBorder="1" applyAlignment="1">
      <alignment horizontal="center" vertical="center"/>
    </xf>
    <xf numFmtId="166" fontId="0" fillId="5" borderId="9" xfId="1" applyNumberFormat="1" applyFont="1" applyFill="1" applyBorder="1" applyAlignment="1">
      <alignment horizontal="center" vertical="center"/>
    </xf>
    <xf numFmtId="10" fontId="0" fillId="5" borderId="9" xfId="1" applyNumberFormat="1" applyFont="1" applyFill="1" applyBorder="1" applyAlignment="1">
      <alignment horizontal="center" vertical="center"/>
    </xf>
    <xf numFmtId="0" fontId="0" fillId="3" borderId="0" xfId="0" applyFill="1"/>
    <xf numFmtId="0" fontId="20" fillId="0" borderId="0" xfId="0" applyFont="1" applyAlignment="1">
      <alignment horizontal="center" vertical="top" wrapText="1"/>
    </xf>
    <xf numFmtId="167" fontId="37" fillId="3" borderId="19" xfId="27311" applyNumberFormat="1" applyFont="1" applyFill="1" applyBorder="1" applyAlignment="1">
      <alignment horizontal="left" vertical="center"/>
    </xf>
    <xf numFmtId="0" fontId="0" fillId="27" borderId="0" xfId="0" applyFill="1" applyAlignment="1">
      <alignment vertical="center"/>
    </xf>
    <xf numFmtId="15" fontId="0" fillId="37" borderId="0" xfId="0" applyNumberFormat="1" applyFill="1" applyAlignment="1">
      <alignment horizontal="center" vertical="center"/>
    </xf>
    <xf numFmtId="0" fontId="29" fillId="23" borderId="9" xfId="0" applyFont="1" applyFill="1" applyBorder="1" applyAlignment="1">
      <alignment horizontal="center" vertical="center" wrapText="1"/>
    </xf>
    <xf numFmtId="167" fontId="29" fillId="23" borderId="9" xfId="0" applyNumberFormat="1" applyFont="1" applyFill="1" applyBorder="1" applyAlignment="1">
      <alignment horizontal="center" vertical="center" wrapText="1"/>
    </xf>
    <xf numFmtId="0" fontId="0" fillId="38" borderId="22" xfId="0" applyFill="1" applyBorder="1" applyAlignment="1">
      <alignment horizontal="center"/>
    </xf>
    <xf numFmtId="0" fontId="0" fillId="0" borderId="21" xfId="0" applyBorder="1" applyAlignment="1">
      <alignment horizontal="center"/>
    </xf>
    <xf numFmtId="167" fontId="38" fillId="38" borderId="21" xfId="0" applyNumberFormat="1" applyFont="1" applyFill="1" applyBorder="1" applyAlignment="1">
      <alignment horizontal="center"/>
    </xf>
    <xf numFmtId="0" fontId="0" fillId="38" borderId="24" xfId="0" applyFill="1" applyBorder="1" applyAlignment="1">
      <alignment horizontal="center"/>
    </xf>
    <xf numFmtId="167" fontId="38" fillId="38" borderId="23" xfId="0" applyNumberFormat="1" applyFont="1" applyFill="1" applyBorder="1" applyAlignment="1">
      <alignment horizontal="center"/>
    </xf>
    <xf numFmtId="0" fontId="0" fillId="38" borderId="9" xfId="0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0" fontId="39" fillId="23" borderId="12" xfId="0" applyFont="1" applyFill="1" applyBorder="1" applyAlignment="1">
      <alignment horizontal="center" vertical="center" wrapText="1"/>
    </xf>
    <xf numFmtId="0" fontId="39" fillId="23" borderId="20" xfId="0" applyFont="1" applyFill="1" applyBorder="1" applyAlignment="1">
      <alignment horizontal="center" vertical="center" wrapText="1"/>
    </xf>
    <xf numFmtId="167" fontId="39" fillId="23" borderId="12" xfId="0" applyNumberFormat="1" applyFont="1" applyFill="1" applyBorder="1" applyAlignment="1">
      <alignment horizontal="center" vertical="center" wrapText="1"/>
    </xf>
    <xf numFmtId="0" fontId="0" fillId="38" borderId="24" xfId="0" applyFill="1" applyBorder="1" applyAlignment="1">
      <alignment horizontal="left"/>
    </xf>
    <xf numFmtId="15" fontId="38" fillId="38" borderId="10" xfId="0" applyNumberFormat="1" applyFont="1" applyFill="1" applyBorder="1" applyAlignment="1">
      <alignment horizontal="center" vertical="center"/>
    </xf>
    <xf numFmtId="0" fontId="0" fillId="39" borderId="9" xfId="0" applyFill="1" applyBorder="1" applyAlignment="1">
      <alignment horizontal="center"/>
    </xf>
    <xf numFmtId="0" fontId="0" fillId="39" borderId="25" xfId="0" applyFill="1" applyBorder="1" applyAlignment="1">
      <alignment horizontal="center"/>
    </xf>
    <xf numFmtId="0" fontId="29" fillId="23" borderId="27" xfId="0" applyFont="1" applyFill="1" applyBorder="1" applyAlignment="1">
      <alignment horizontal="center" vertical="center" wrapText="1"/>
    </xf>
    <xf numFmtId="167" fontId="29" fillId="23" borderId="27" xfId="0" applyNumberFormat="1" applyFont="1" applyFill="1" applyBorder="1" applyAlignment="1">
      <alignment horizontal="center" vertical="center" wrapText="1"/>
    </xf>
    <xf numFmtId="0" fontId="29" fillId="23" borderId="28" xfId="0" applyFont="1" applyFill="1" applyBorder="1" applyAlignment="1">
      <alignment horizontal="center" vertical="center" wrapText="1"/>
    </xf>
    <xf numFmtId="0" fontId="0" fillId="38" borderId="26" xfId="0" applyFill="1" applyBorder="1" applyAlignment="1">
      <alignment horizontal="center"/>
    </xf>
    <xf numFmtId="0" fontId="0" fillId="0" borderId="26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165" fontId="0" fillId="38" borderId="26" xfId="0" applyNumberFormat="1" applyFill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15" fontId="38" fillId="38" borderId="26" xfId="0" applyNumberFormat="1" applyFont="1" applyFill="1" applyBorder="1" applyAlignment="1">
      <alignment horizontal="center" vertical="center"/>
    </xf>
    <xf numFmtId="165" fontId="41" fillId="0" borderId="30" xfId="0" applyNumberFormat="1" applyFont="1" applyBorder="1" applyAlignment="1">
      <alignment horizontal="center" vertical="top" shrinkToFit="1"/>
    </xf>
    <xf numFmtId="1" fontId="41" fillId="0" borderId="30" xfId="0" applyNumberFormat="1" applyFont="1" applyBorder="1" applyAlignment="1">
      <alignment horizontal="center" vertical="top" shrinkToFit="1"/>
    </xf>
    <xf numFmtId="165" fontId="41" fillId="0" borderId="31" xfId="0" applyNumberFormat="1" applyFont="1" applyBorder="1" applyAlignment="1">
      <alignment horizontal="center" vertical="top" shrinkToFit="1"/>
    </xf>
    <xf numFmtId="1" fontId="41" fillId="0" borderId="31" xfId="0" applyNumberFormat="1" applyFont="1" applyBorder="1" applyAlignment="1">
      <alignment horizontal="center" vertical="top" shrinkToFit="1"/>
    </xf>
    <xf numFmtId="165" fontId="41" fillId="0" borderId="32" xfId="0" applyNumberFormat="1" applyFont="1" applyBorder="1" applyAlignment="1">
      <alignment horizontal="center" vertical="top" shrinkToFit="1"/>
    </xf>
    <xf numFmtId="1" fontId="41" fillId="0" borderId="32" xfId="0" applyNumberFormat="1" applyFont="1" applyBorder="1" applyAlignment="1">
      <alignment horizontal="center" vertical="top" shrinkToFit="1"/>
    </xf>
    <xf numFmtId="0" fontId="17" fillId="0" borderId="0" xfId="0" applyFont="1"/>
    <xf numFmtId="0" fontId="0" fillId="38" borderId="34" xfId="0" applyFill="1" applyBorder="1" applyAlignment="1">
      <alignment horizontal="center"/>
    </xf>
    <xf numFmtId="20" fontId="0" fillId="38" borderId="34" xfId="0" applyNumberFormat="1" applyFill="1" applyBorder="1" applyAlignment="1">
      <alignment horizontal="center"/>
    </xf>
    <xf numFmtId="0" fontId="38" fillId="38" borderId="2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38" fillId="38" borderId="33" xfId="0" applyFont="1" applyFill="1" applyBorder="1" applyAlignment="1">
      <alignment horizontal="center"/>
    </xf>
    <xf numFmtId="10" fontId="0" fillId="0" borderId="0" xfId="1" applyNumberFormat="1" applyFont="1"/>
    <xf numFmtId="0" fontId="0" fillId="38" borderId="35" xfId="0" applyFill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17" fontId="0" fillId="0" borderId="9" xfId="0" applyNumberFormat="1" applyBorder="1" applyAlignment="1">
      <alignment horizontal="center"/>
    </xf>
    <xf numFmtId="0" fontId="34" fillId="36" borderId="39" xfId="0" applyFont="1" applyFill="1" applyBorder="1"/>
    <xf numFmtId="0" fontId="34" fillId="36" borderId="42" xfId="0" applyFont="1" applyFill="1" applyBorder="1"/>
    <xf numFmtId="0" fontId="34" fillId="36" borderId="36" xfId="0" applyFont="1" applyFill="1" applyBorder="1" applyAlignment="1">
      <alignment horizontal="center" vertical="center" wrapText="1"/>
    </xf>
    <xf numFmtId="0" fontId="34" fillId="36" borderId="37" xfId="0" applyFont="1" applyFill="1" applyBorder="1" applyAlignment="1">
      <alignment horizontal="center" vertical="center" wrapText="1"/>
    </xf>
    <xf numFmtId="0" fontId="34" fillId="36" borderId="38" xfId="0" applyFont="1" applyFill="1" applyBorder="1" applyAlignment="1">
      <alignment horizontal="center" vertical="center" wrapText="1"/>
    </xf>
    <xf numFmtId="0" fontId="36" fillId="3" borderId="40" xfId="0" applyFont="1" applyFill="1" applyBorder="1"/>
    <xf numFmtId="1" fontId="35" fillId="3" borderId="40" xfId="27311" applyNumberFormat="1" applyFont="1" applyFill="1" applyBorder="1" applyAlignment="1">
      <alignment horizontal="center" vertical="center"/>
    </xf>
    <xf numFmtId="10" fontId="36" fillId="3" borderId="40" xfId="25094" applyNumberFormat="1" applyFont="1" applyFill="1" applyBorder="1" applyAlignment="1">
      <alignment horizontal="center"/>
    </xf>
    <xf numFmtId="0" fontId="36" fillId="3" borderId="41" xfId="0" applyFont="1" applyFill="1" applyBorder="1"/>
    <xf numFmtId="1" fontId="36" fillId="3" borderId="40" xfId="0" applyNumberFormat="1" applyFont="1" applyFill="1" applyBorder="1" applyAlignment="1">
      <alignment horizontal="center"/>
    </xf>
    <xf numFmtId="166" fontId="35" fillId="3" borderId="40" xfId="1" applyNumberFormat="1" applyFont="1" applyFill="1" applyBorder="1" applyAlignment="1">
      <alignment horizontal="center" vertical="center"/>
    </xf>
    <xf numFmtId="166" fontId="36" fillId="3" borderId="40" xfId="1" applyNumberFormat="1" applyFont="1" applyFill="1" applyBorder="1" applyAlignment="1">
      <alignment horizontal="center"/>
    </xf>
    <xf numFmtId="1" fontId="35" fillId="3" borderId="40" xfId="1" applyNumberFormat="1" applyFont="1" applyFill="1" applyBorder="1" applyAlignment="1">
      <alignment horizontal="center" vertical="center"/>
    </xf>
    <xf numFmtId="166" fontId="35" fillId="3" borderId="40" xfId="25094" applyNumberFormat="1" applyFont="1" applyFill="1" applyBorder="1" applyAlignment="1">
      <alignment horizontal="center" vertical="center"/>
    </xf>
    <xf numFmtId="0" fontId="36" fillId="3" borderId="43" xfId="0" applyFont="1" applyFill="1" applyBorder="1"/>
    <xf numFmtId="166" fontId="36" fillId="3" borderId="43" xfId="1" applyNumberFormat="1" applyFont="1" applyFill="1" applyBorder="1" applyAlignment="1">
      <alignment horizontal="center"/>
    </xf>
    <xf numFmtId="0" fontId="36" fillId="3" borderId="46" xfId="0" applyFont="1" applyFill="1" applyBorder="1"/>
    <xf numFmtId="1" fontId="35" fillId="3" borderId="46" xfId="27311" applyNumberFormat="1" applyFont="1" applyFill="1" applyBorder="1" applyAlignment="1">
      <alignment horizontal="center" vertical="center"/>
    </xf>
    <xf numFmtId="0" fontId="36" fillId="3" borderId="47" xfId="0" applyFont="1" applyFill="1" applyBorder="1"/>
    <xf numFmtId="1" fontId="35" fillId="3" borderId="43" xfId="27311" applyNumberFormat="1" applyFont="1" applyFill="1" applyBorder="1" applyAlignment="1">
      <alignment horizontal="center" vertical="center"/>
    </xf>
    <xf numFmtId="1" fontId="36" fillId="3" borderId="43" xfId="0" applyNumberFormat="1" applyFont="1" applyFill="1" applyBorder="1" applyAlignment="1">
      <alignment horizontal="center"/>
    </xf>
    <xf numFmtId="166" fontId="35" fillId="3" borderId="46" xfId="1" applyNumberFormat="1" applyFont="1" applyFill="1" applyBorder="1" applyAlignment="1">
      <alignment horizontal="center" vertical="center"/>
    </xf>
    <xf numFmtId="166" fontId="36" fillId="3" borderId="46" xfId="1" applyNumberFormat="1" applyFont="1" applyFill="1" applyBorder="1" applyAlignment="1">
      <alignment horizontal="center"/>
    </xf>
    <xf numFmtId="166" fontId="35" fillId="3" borderId="43" xfId="1" applyNumberFormat="1" applyFont="1" applyFill="1" applyBorder="1" applyAlignment="1">
      <alignment horizontal="center" vertical="center"/>
    </xf>
    <xf numFmtId="165" fontId="35" fillId="3" borderId="46" xfId="1" applyNumberFormat="1" applyFont="1" applyFill="1" applyBorder="1" applyAlignment="1">
      <alignment horizontal="center" vertical="center"/>
    </xf>
    <xf numFmtId="171" fontId="36" fillId="3" borderId="46" xfId="0" applyNumberFormat="1" applyFont="1" applyFill="1" applyBorder="1" applyAlignment="1">
      <alignment horizontal="center"/>
    </xf>
    <xf numFmtId="1" fontId="35" fillId="3" borderId="43" xfId="1" applyNumberFormat="1" applyFont="1" applyFill="1" applyBorder="1" applyAlignment="1">
      <alignment horizontal="center" vertical="center"/>
    </xf>
    <xf numFmtId="166" fontId="35" fillId="3" borderId="46" xfId="25094" applyNumberFormat="1" applyFont="1" applyFill="1" applyBorder="1" applyAlignment="1">
      <alignment horizontal="center" vertical="center"/>
    </xf>
    <xf numFmtId="168" fontId="0" fillId="38" borderId="23" xfId="0" applyNumberFormat="1" applyFill="1" applyBorder="1" applyAlignment="1">
      <alignment horizontal="center" vertical="center"/>
    </xf>
    <xf numFmtId="0" fontId="42" fillId="0" borderId="0" xfId="0" applyFont="1"/>
    <xf numFmtId="9" fontId="42" fillId="0" borderId="0" xfId="0" applyNumberFormat="1" applyFont="1"/>
    <xf numFmtId="2" fontId="0" fillId="0" borderId="0" xfId="1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72" fontId="40" fillId="38" borderId="26" xfId="0" applyNumberFormat="1" applyFont="1" applyFill="1" applyBorder="1" applyAlignment="1">
      <alignment horizont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0" borderId="9" xfId="0" applyBorder="1" applyAlignment="1">
      <alignment vertical="center"/>
    </xf>
    <xf numFmtId="165" fontId="0" fillId="0" borderId="9" xfId="0" applyNumberFormat="1" applyBorder="1" applyAlignment="1">
      <alignment horizontal="center" vertical="center"/>
    </xf>
    <xf numFmtId="166" fontId="0" fillId="0" borderId="9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2" borderId="0" xfId="0" applyNumberFormat="1" applyFill="1" applyAlignment="1">
      <alignment horizontal="center"/>
    </xf>
    <xf numFmtId="0" fontId="0" fillId="38" borderId="51" xfId="0" applyFill="1" applyBorder="1" applyAlignment="1">
      <alignment horizontal="center"/>
    </xf>
    <xf numFmtId="15" fontId="40" fillId="3" borderId="12" xfId="0" applyNumberFormat="1" applyFont="1" applyFill="1" applyBorder="1" applyAlignment="1">
      <alignment horizontal="center" vertical="center"/>
    </xf>
    <xf numFmtId="0" fontId="0" fillId="38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168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38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38" borderId="12" xfId="0" applyFill="1" applyBorder="1" applyAlignment="1">
      <alignment horizontal="center" vertical="center" wrapText="1"/>
    </xf>
    <xf numFmtId="168" fontId="0" fillId="38" borderId="12" xfId="0" applyNumberFormat="1" applyFill="1" applyBorder="1" applyAlignment="1">
      <alignment horizontal="center" vertical="center"/>
    </xf>
    <xf numFmtId="168" fontId="0" fillId="0" borderId="53" xfId="0" applyNumberFormat="1" applyBorder="1" applyAlignment="1">
      <alignment horizontal="center"/>
    </xf>
    <xf numFmtId="165" fontId="0" fillId="0" borderId="53" xfId="0" applyNumberFormat="1" applyBorder="1" applyAlignment="1">
      <alignment horizontal="center"/>
    </xf>
    <xf numFmtId="168" fontId="40" fillId="38" borderId="26" xfId="0" applyNumberFormat="1" applyFont="1" applyFill="1" applyBorder="1" applyAlignment="1">
      <alignment horizontal="center"/>
    </xf>
    <xf numFmtId="2" fontId="0" fillId="0" borderId="52" xfId="0" applyNumberForma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3" xfId="0" applyBorder="1" applyAlignment="1">
      <alignment horizontal="center" vertical="center"/>
    </xf>
    <xf numFmtId="165" fontId="0" fillId="38" borderId="12" xfId="0" applyNumberFormat="1" applyFill="1" applyBorder="1" applyAlignment="1">
      <alignment horizontal="center"/>
    </xf>
    <xf numFmtId="0" fontId="29" fillId="23" borderId="0" xfId="0" applyFont="1" applyFill="1" applyAlignment="1">
      <alignment horizontal="center" vertical="center" wrapText="1"/>
    </xf>
    <xf numFmtId="0" fontId="29" fillId="23" borderId="54" xfId="0" applyFont="1" applyFill="1" applyBorder="1" applyAlignment="1">
      <alignment horizontal="center" vertical="center" wrapText="1"/>
    </xf>
    <xf numFmtId="0" fontId="0" fillId="38" borderId="48" xfId="0" applyFill="1" applyBorder="1" applyAlignment="1">
      <alignment horizontal="center"/>
    </xf>
    <xf numFmtId="167" fontId="29" fillId="23" borderId="0" xfId="0" applyNumberFormat="1" applyFont="1" applyFill="1" applyAlignment="1">
      <alignment horizontal="center" vertical="center" wrapText="1"/>
    </xf>
    <xf numFmtId="15" fontId="38" fillId="38" borderId="0" xfId="0" applyNumberFormat="1" applyFont="1" applyFill="1" applyAlignment="1">
      <alignment horizontal="center" vertical="center"/>
    </xf>
    <xf numFmtId="0" fontId="22" fillId="23" borderId="49" xfId="0" applyFont="1" applyFill="1" applyBorder="1" applyAlignment="1">
      <alignment horizontal="center" vertical="center" wrapText="1"/>
    </xf>
    <xf numFmtId="167" fontId="22" fillId="23" borderId="20" xfId="0" applyNumberFormat="1" applyFont="1" applyFill="1" applyBorder="1" applyAlignment="1">
      <alignment horizontal="center" vertical="center" wrapText="1"/>
    </xf>
    <xf numFmtId="0" fontId="22" fillId="23" borderId="20" xfId="0" applyFont="1" applyFill="1" applyBorder="1" applyAlignment="1">
      <alignment horizontal="center" vertical="center" wrapText="1"/>
    </xf>
    <xf numFmtId="0" fontId="22" fillId="23" borderId="20" xfId="0" applyFont="1" applyFill="1" applyBorder="1" applyAlignment="1">
      <alignment horizontal="center" wrapText="1"/>
    </xf>
    <xf numFmtId="164" fontId="0" fillId="0" borderId="20" xfId="0" applyNumberFormat="1" applyBorder="1" applyAlignment="1">
      <alignment horizontal="center" wrapText="1"/>
    </xf>
    <xf numFmtId="0" fontId="22" fillId="23" borderId="50" xfId="0" applyFont="1" applyFill="1" applyBorder="1" applyAlignment="1">
      <alignment horizontal="center" vertical="center" wrapText="1"/>
    </xf>
    <xf numFmtId="10" fontId="0" fillId="0" borderId="12" xfId="1" applyNumberFormat="1" applyFont="1" applyBorder="1" applyAlignment="1">
      <alignment horizontal="center"/>
    </xf>
    <xf numFmtId="1" fontId="0" fillId="38" borderId="26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 vertical="center"/>
    </xf>
    <xf numFmtId="10" fontId="0" fillId="0" borderId="12" xfId="1" applyNumberFormat="1" applyFon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7" fontId="40" fillId="3" borderId="12" xfId="0" applyNumberFormat="1" applyFont="1" applyFill="1" applyBorder="1" applyAlignment="1">
      <alignment horizontal="center" vertical="center"/>
    </xf>
    <xf numFmtId="9" fontId="0" fillId="0" borderId="0" xfId="0" applyNumberFormat="1"/>
    <xf numFmtId="1" fontId="0" fillId="0" borderId="0" xfId="0" applyNumberFormat="1"/>
    <xf numFmtId="43" fontId="0" fillId="0" borderId="0" xfId="34037" applyFont="1"/>
    <xf numFmtId="20" fontId="0" fillId="38" borderId="12" xfId="0" applyNumberFormat="1" applyFill="1" applyBorder="1" applyAlignment="1">
      <alignment horizontal="center" vertical="center"/>
    </xf>
    <xf numFmtId="20" fontId="0" fillId="38" borderId="12" xfId="0" applyNumberFormat="1" applyFill="1" applyBorder="1" applyAlignment="1">
      <alignment horizontal="center"/>
    </xf>
    <xf numFmtId="165" fontId="0" fillId="38" borderId="12" xfId="0" applyNumberFormat="1" applyFill="1" applyBorder="1" applyAlignment="1">
      <alignment horizontal="left"/>
    </xf>
    <xf numFmtId="0" fontId="36" fillId="3" borderId="39" xfId="0" applyFont="1" applyFill="1" applyBorder="1" applyAlignment="1">
      <alignment horizontal="center" vertical="center"/>
    </xf>
    <xf numFmtId="0" fontId="34" fillId="36" borderId="58" xfId="0" applyFont="1" applyFill="1" applyBorder="1"/>
    <xf numFmtId="170" fontId="35" fillId="3" borderId="59" xfId="27312" applyNumberFormat="1" applyFont="1" applyFill="1" applyBorder="1" applyAlignment="1">
      <alignment horizontal="left" vertical="center"/>
    </xf>
    <xf numFmtId="170" fontId="35" fillId="3" borderId="59" xfId="27312" applyNumberFormat="1" applyFont="1" applyFill="1" applyBorder="1" applyAlignment="1">
      <alignment vertical="center"/>
    </xf>
    <xf numFmtId="170" fontId="35" fillId="3" borderId="60" xfId="27312" applyNumberFormat="1" applyFont="1" applyFill="1" applyBorder="1" applyAlignment="1">
      <alignment vertical="center"/>
    </xf>
    <xf numFmtId="167" fontId="35" fillId="3" borderId="59" xfId="27312" applyNumberFormat="1" applyFont="1" applyFill="1" applyBorder="1" applyAlignment="1">
      <alignment horizontal="left" vertical="center"/>
    </xf>
    <xf numFmtId="1" fontId="35" fillId="3" borderId="59" xfId="27312" applyNumberFormat="1" applyFont="1" applyFill="1" applyBorder="1" applyAlignment="1">
      <alignment horizontal="left" vertical="center"/>
    </xf>
    <xf numFmtId="0" fontId="34" fillId="36" borderId="61" xfId="0" applyFont="1" applyFill="1" applyBorder="1"/>
    <xf numFmtId="167" fontId="35" fillId="3" borderId="62" xfId="27312" applyNumberFormat="1" applyFont="1" applyFill="1" applyBorder="1" applyAlignment="1">
      <alignment horizontal="left" vertical="center"/>
    </xf>
    <xf numFmtId="170" fontId="35" fillId="3" borderId="63" xfId="27312" applyNumberFormat="1" applyFont="1" applyFill="1" applyBorder="1" applyAlignment="1">
      <alignment vertical="center"/>
    </xf>
    <xf numFmtId="170" fontId="35" fillId="3" borderId="64" xfId="27312" applyNumberFormat="1" applyFont="1" applyFill="1" applyBorder="1" applyAlignment="1">
      <alignment vertical="center"/>
    </xf>
    <xf numFmtId="0" fontId="23" fillId="3" borderId="0" xfId="27311" applyFill="1" applyAlignment="1">
      <alignment horizontal="center"/>
    </xf>
    <xf numFmtId="0" fontId="23" fillId="3" borderId="0" xfId="27311" applyFill="1"/>
    <xf numFmtId="0" fontId="23" fillId="3" borderId="0" xfId="27311" applyFill="1" applyAlignment="1">
      <alignment horizontal="right"/>
    </xf>
    <xf numFmtId="0" fontId="34" fillId="36" borderId="65" xfId="0" applyFont="1" applyFill="1" applyBorder="1" applyAlignment="1">
      <alignment horizontal="center" vertical="center" wrapText="1"/>
    </xf>
    <xf numFmtId="0" fontId="34" fillId="36" borderId="66" xfId="0" applyFont="1" applyFill="1" applyBorder="1" applyAlignment="1">
      <alignment horizontal="center" vertical="center" wrapText="1"/>
    </xf>
    <xf numFmtId="0" fontId="34" fillId="36" borderId="67" xfId="0" applyFont="1" applyFill="1" applyBorder="1" applyAlignment="1">
      <alignment horizontal="center" vertical="center" wrapText="1"/>
    </xf>
    <xf numFmtId="166" fontId="0" fillId="0" borderId="0" xfId="0" applyNumberFormat="1"/>
    <xf numFmtId="166" fontId="0" fillId="0" borderId="0" xfId="0" applyNumberFormat="1" applyAlignment="1">
      <alignment vertical="center"/>
    </xf>
    <xf numFmtId="9" fontId="0" fillId="0" borderId="0" xfId="1" applyFont="1"/>
    <xf numFmtId="2" fontId="0" fillId="0" borderId="0" xfId="1" applyNumberFormat="1" applyFont="1"/>
    <xf numFmtId="2" fontId="0" fillId="0" borderId="0" xfId="0" applyNumberFormat="1" applyAlignment="1">
      <alignment vertical="center"/>
    </xf>
    <xf numFmtId="10" fontId="0" fillId="0" borderId="0" xfId="1" applyNumberFormat="1" applyFont="1" applyBorder="1"/>
    <xf numFmtId="173" fontId="0" fillId="0" borderId="0" xfId="0" applyNumberFormat="1"/>
    <xf numFmtId="0" fontId="17" fillId="40" borderId="0" xfId="0" applyFont="1" applyFill="1" applyAlignment="1">
      <alignment vertical="center"/>
    </xf>
    <xf numFmtId="0" fontId="17" fillId="40" borderId="0" xfId="0" applyFont="1" applyFill="1"/>
    <xf numFmtId="10" fontId="0" fillId="0" borderId="0" xfId="1" applyNumberFormat="1" applyFont="1" applyAlignment="1">
      <alignment vertical="center"/>
    </xf>
    <xf numFmtId="0" fontId="0" fillId="38" borderId="12" xfId="0" applyFill="1" applyBorder="1" applyAlignment="1">
      <alignment horizontal="center" wrapText="1"/>
    </xf>
    <xf numFmtId="174" fontId="0" fillId="0" borderId="0" xfId="0" applyNumberFormat="1" applyAlignment="1">
      <alignment vertical="center"/>
    </xf>
    <xf numFmtId="174" fontId="0" fillId="0" borderId="0" xfId="0" applyNumberFormat="1"/>
    <xf numFmtId="2" fontId="0" fillId="12" borderId="9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7" fontId="29" fillId="0" borderId="27" xfId="0" applyNumberFormat="1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9" fontId="13" fillId="0" borderId="27" xfId="1" applyFont="1" applyFill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2" fontId="0" fillId="0" borderId="0" xfId="1" applyNumberFormat="1" applyFont="1" applyFill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10" fontId="43" fillId="0" borderId="0" xfId="1" applyNumberFormat="1" applyFont="1" applyFill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0" fontId="13" fillId="0" borderId="68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" fontId="0" fillId="0" borderId="69" xfId="34037" applyNumberFormat="1" applyFont="1" applyFill="1" applyBorder="1" applyAlignment="1">
      <alignment horizontal="center" vertical="center"/>
    </xf>
    <xf numFmtId="1" fontId="0" fillId="0" borderId="70" xfId="34037" applyNumberFormat="1" applyFont="1" applyFill="1" applyBorder="1" applyAlignment="1">
      <alignment horizontal="center" vertical="center"/>
    </xf>
    <xf numFmtId="17" fontId="0" fillId="0" borderId="69" xfId="34037" applyNumberFormat="1" applyFont="1" applyFill="1" applyBorder="1" applyAlignment="1">
      <alignment horizontal="center" vertical="center"/>
    </xf>
    <xf numFmtId="0" fontId="0" fillId="0" borderId="69" xfId="34037" applyNumberFormat="1" applyFont="1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2" fontId="0" fillId="0" borderId="70" xfId="0" applyNumberFormat="1" applyBorder="1" applyAlignment="1">
      <alignment horizontal="center" vertical="center"/>
    </xf>
    <xf numFmtId="165" fontId="0" fillId="0" borderId="69" xfId="0" applyNumberFormat="1" applyBorder="1" applyAlignment="1">
      <alignment horizontal="center" vertical="center"/>
    </xf>
    <xf numFmtId="1" fontId="0" fillId="0" borderId="69" xfId="0" applyNumberFormat="1" applyBorder="1" applyAlignment="1">
      <alignment horizontal="center" vertical="center"/>
    </xf>
    <xf numFmtId="10" fontId="0" fillId="0" borderId="69" xfId="1" applyNumberFormat="1" applyFont="1" applyFill="1" applyBorder="1" applyAlignment="1">
      <alignment horizontal="center" vertical="center"/>
    </xf>
    <xf numFmtId="2" fontId="0" fillId="0" borderId="69" xfId="0" applyNumberFormat="1" applyBorder="1" applyAlignment="1">
      <alignment horizontal="center" vertical="center"/>
    </xf>
    <xf numFmtId="0" fontId="40" fillId="0" borderId="68" xfId="1" applyNumberFormat="1" applyFont="1" applyFill="1" applyBorder="1" applyAlignment="1">
      <alignment horizontal="center" vertical="center"/>
    </xf>
    <xf numFmtId="0" fontId="0" fillId="0" borderId="70" xfId="34037" applyNumberFormat="1" applyFont="1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65" fontId="0" fillId="0" borderId="70" xfId="0" applyNumberFormat="1" applyBorder="1" applyAlignment="1">
      <alignment horizontal="center" vertical="center"/>
    </xf>
    <xf numFmtId="1" fontId="0" fillId="0" borderId="70" xfId="0" applyNumberFormat="1" applyBorder="1" applyAlignment="1">
      <alignment horizontal="center" vertical="center"/>
    </xf>
    <xf numFmtId="10" fontId="0" fillId="0" borderId="70" xfId="1" applyNumberFormat="1" applyFont="1" applyFill="1" applyBorder="1" applyAlignment="1">
      <alignment horizontal="center" vertical="center"/>
    </xf>
    <xf numFmtId="1" fontId="40" fillId="0" borderId="68" xfId="1" applyNumberFormat="1" applyFont="1" applyFill="1" applyBorder="1" applyAlignment="1">
      <alignment horizontal="center" vertical="center"/>
    </xf>
    <xf numFmtId="1" fontId="0" fillId="0" borderId="68" xfId="1" applyNumberFormat="1" applyFont="1" applyFill="1" applyBorder="1" applyAlignment="1">
      <alignment horizontal="center" vertical="center"/>
    </xf>
    <xf numFmtId="0" fontId="13" fillId="41" borderId="70" xfId="0" applyFont="1" applyFill="1" applyBorder="1" applyAlignment="1">
      <alignment horizontal="center" vertical="center" wrapText="1"/>
    </xf>
    <xf numFmtId="0" fontId="13" fillId="41" borderId="73" xfId="0" applyFont="1" applyFill="1" applyBorder="1" applyAlignment="1">
      <alignment horizontal="center" vertical="center" wrapText="1"/>
    </xf>
    <xf numFmtId="0" fontId="40" fillId="42" borderId="71" xfId="1" applyNumberFormat="1" applyFont="1" applyFill="1" applyBorder="1" applyAlignment="1">
      <alignment horizontal="center" vertical="center"/>
    </xf>
    <xf numFmtId="1" fontId="40" fillId="42" borderId="74" xfId="1" applyNumberFormat="1" applyFont="1" applyFill="1" applyBorder="1" applyAlignment="1">
      <alignment horizontal="center" vertical="center"/>
    </xf>
    <xf numFmtId="0" fontId="40" fillId="0" borderId="71" xfId="1" applyNumberFormat="1" applyFont="1" applyBorder="1" applyAlignment="1">
      <alignment horizontal="center" vertical="center"/>
    </xf>
    <xf numFmtId="1" fontId="40" fillId="0" borderId="74" xfId="1" applyNumberFormat="1" applyFont="1" applyBorder="1" applyAlignment="1">
      <alignment horizontal="center" vertical="center"/>
    </xf>
    <xf numFmtId="1" fontId="40" fillId="42" borderId="71" xfId="1" applyNumberFormat="1" applyFont="1" applyFill="1" applyBorder="1" applyAlignment="1">
      <alignment horizontal="center" vertical="center"/>
    </xf>
    <xf numFmtId="1" fontId="40" fillId="0" borderId="71" xfId="1" applyNumberFormat="1" applyFont="1" applyBorder="1" applyAlignment="1">
      <alignment horizontal="center" vertical="center"/>
    </xf>
    <xf numFmtId="1" fontId="0" fillId="0" borderId="71" xfId="1" applyNumberFormat="1" applyFont="1" applyBorder="1" applyAlignment="1">
      <alignment horizontal="center" vertical="center"/>
    </xf>
    <xf numFmtId="1" fontId="0" fillId="0" borderId="74" xfId="1" applyNumberFormat="1" applyFont="1" applyBorder="1" applyAlignment="1">
      <alignment horizontal="center" vertical="center"/>
    </xf>
    <xf numFmtId="1" fontId="0" fillId="42" borderId="71" xfId="1" applyNumberFormat="1" applyFont="1" applyFill="1" applyBorder="1" applyAlignment="1">
      <alignment horizontal="center" vertical="center"/>
    </xf>
    <xf numFmtId="1" fontId="0" fillId="42" borderId="74" xfId="1" applyNumberFormat="1" applyFont="1" applyFill="1" applyBorder="1" applyAlignment="1">
      <alignment horizontal="center" vertical="center"/>
    </xf>
    <xf numFmtId="1" fontId="0" fillId="42" borderId="70" xfId="34037" applyNumberFormat="1" applyFont="1" applyFill="1" applyBorder="1" applyAlignment="1">
      <alignment horizontal="center" vertical="center"/>
    </xf>
    <xf numFmtId="1" fontId="0" fillId="42" borderId="72" xfId="34037" applyNumberFormat="1" applyFont="1" applyFill="1" applyBorder="1" applyAlignment="1">
      <alignment horizontal="center" vertical="center"/>
    </xf>
    <xf numFmtId="17" fontId="0" fillId="42" borderId="72" xfId="34037" applyNumberFormat="1" applyFont="1" applyFill="1" applyBorder="1" applyAlignment="1">
      <alignment horizontal="center" vertical="center"/>
    </xf>
    <xf numFmtId="0" fontId="0" fillId="42" borderId="72" xfId="34037" applyNumberFormat="1" applyFont="1" applyFill="1" applyBorder="1" applyAlignment="1">
      <alignment horizontal="center" vertical="center"/>
    </xf>
    <xf numFmtId="0" fontId="0" fillId="42" borderId="72" xfId="0" applyFill="1" applyBorder="1" applyAlignment="1">
      <alignment horizontal="center" vertical="center"/>
    </xf>
    <xf numFmtId="1" fontId="0" fillId="0" borderId="70" xfId="34037" applyNumberFormat="1" applyFont="1" applyBorder="1" applyAlignment="1">
      <alignment horizontal="center" vertical="center"/>
    </xf>
    <xf numFmtId="1" fontId="0" fillId="0" borderId="72" xfId="34037" applyNumberFormat="1" applyFont="1" applyBorder="1" applyAlignment="1">
      <alignment horizontal="center" vertical="center"/>
    </xf>
    <xf numFmtId="17" fontId="0" fillId="0" borderId="72" xfId="34037" applyNumberFormat="1" applyFont="1" applyBorder="1" applyAlignment="1">
      <alignment horizontal="center" vertical="center"/>
    </xf>
    <xf numFmtId="0" fontId="0" fillId="0" borderId="70" xfId="34037" applyNumberFormat="1" applyFont="1" applyBorder="1" applyAlignment="1">
      <alignment horizontal="center" vertical="center"/>
    </xf>
    <xf numFmtId="0" fontId="0" fillId="0" borderId="72" xfId="34037" applyNumberFormat="1" applyFont="1" applyBorder="1" applyAlignment="1">
      <alignment horizontal="center" vertical="center"/>
    </xf>
    <xf numFmtId="0" fontId="0" fillId="42" borderId="70" xfId="34037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42" borderId="70" xfId="0" applyFill="1" applyBorder="1" applyAlignment="1">
      <alignment horizontal="center" vertical="center"/>
    </xf>
    <xf numFmtId="17" fontId="0" fillId="0" borderId="70" xfId="34037" applyNumberFormat="1" applyFont="1" applyBorder="1" applyAlignment="1">
      <alignment horizontal="center" vertical="center"/>
    </xf>
    <xf numFmtId="17" fontId="0" fillId="43" borderId="0" xfId="0" applyNumberFormat="1" applyFill="1" applyAlignment="1">
      <alignment vertical="center"/>
    </xf>
    <xf numFmtId="17" fontId="17" fillId="24" borderId="9" xfId="0" applyNumberFormat="1" applyFont="1" applyFill="1" applyBorder="1" applyAlignment="1">
      <alignment horizontal="center" vertical="center"/>
    </xf>
    <xf numFmtId="1" fontId="17" fillId="44" borderId="25" xfId="0" applyNumberFormat="1" applyFont="1" applyFill="1" applyBorder="1" applyAlignment="1">
      <alignment horizontal="center" vertical="center"/>
    </xf>
    <xf numFmtId="10" fontId="36" fillId="3" borderId="9" xfId="25094" applyNumberFormat="1" applyFont="1" applyFill="1" applyBorder="1" applyAlignment="1">
      <alignment horizontal="center"/>
    </xf>
    <xf numFmtId="15" fontId="44" fillId="38" borderId="26" xfId="0" applyNumberFormat="1" applyFont="1" applyFill="1" applyBorder="1" applyAlignment="1">
      <alignment horizontal="center" vertical="center"/>
    </xf>
    <xf numFmtId="0" fontId="36" fillId="3" borderId="75" xfId="0" applyFont="1" applyFill="1" applyBorder="1"/>
    <xf numFmtId="167" fontId="37" fillId="3" borderId="76" xfId="27311" applyNumberFormat="1" applyFont="1" applyFill="1" applyBorder="1" applyAlignment="1">
      <alignment horizontal="left" vertical="center"/>
    </xf>
    <xf numFmtId="10" fontId="36" fillId="3" borderId="77" xfId="25094" applyNumberFormat="1" applyFont="1" applyFill="1" applyBorder="1" applyAlignment="1">
      <alignment horizontal="center"/>
    </xf>
    <xf numFmtId="10" fontId="36" fillId="3" borderId="40" xfId="1" applyNumberFormat="1" applyFont="1" applyFill="1" applyBorder="1" applyAlignment="1">
      <alignment horizontal="center"/>
    </xf>
    <xf numFmtId="10" fontId="35" fillId="3" borderId="40" xfId="25094" applyNumberFormat="1" applyFont="1" applyFill="1" applyBorder="1" applyAlignment="1">
      <alignment horizontal="center" vertical="center"/>
    </xf>
    <xf numFmtId="0" fontId="36" fillId="3" borderId="41" xfId="0" applyFont="1" applyFill="1" applyBorder="1" applyProtection="1">
      <protection locked="0"/>
    </xf>
    <xf numFmtId="0" fontId="36" fillId="3" borderId="44" xfId="0" applyFont="1" applyFill="1" applyBorder="1" applyProtection="1">
      <protection locked="0"/>
    </xf>
    <xf numFmtId="1" fontId="36" fillId="3" borderId="47" xfId="0" applyNumberFormat="1" applyFont="1" applyFill="1" applyBorder="1" applyProtection="1">
      <protection locked="0"/>
    </xf>
    <xf numFmtId="0" fontId="36" fillId="3" borderId="47" xfId="0" applyFont="1" applyFill="1" applyBorder="1" applyProtection="1">
      <protection locked="0"/>
    </xf>
    <xf numFmtId="0" fontId="36" fillId="3" borderId="41" xfId="0" applyFont="1" applyFill="1" applyBorder="1" applyAlignment="1" applyProtection="1">
      <alignment wrapText="1"/>
      <protection locked="0"/>
    </xf>
    <xf numFmtId="0" fontId="36" fillId="3" borderId="44" xfId="0" applyFont="1" applyFill="1" applyBorder="1" applyAlignment="1" applyProtection="1">
      <alignment wrapText="1"/>
      <protection locked="0"/>
    </xf>
    <xf numFmtId="0" fontId="36" fillId="3" borderId="47" xfId="0" applyFont="1" applyFill="1" applyBorder="1" applyAlignment="1" applyProtection="1">
      <alignment wrapText="1"/>
      <protection locked="0"/>
    </xf>
    <xf numFmtId="0" fontId="0" fillId="3" borderId="0" xfId="0" applyFill="1" applyProtection="1">
      <protection locked="0"/>
    </xf>
    <xf numFmtId="0" fontId="42" fillId="46" borderId="26" xfId="0" applyFont="1" applyFill="1" applyBorder="1"/>
    <xf numFmtId="0" fontId="42" fillId="47" borderId="26" xfId="0" applyFont="1" applyFill="1" applyBorder="1"/>
    <xf numFmtId="0" fontId="42" fillId="46" borderId="26" xfId="0" applyFont="1" applyFill="1" applyBorder="1" applyAlignment="1">
      <alignment horizontal="center"/>
    </xf>
    <xf numFmtId="0" fontId="42" fillId="45" borderId="26" xfId="0" applyFont="1" applyFill="1" applyBorder="1" applyAlignment="1">
      <alignment horizontal="center"/>
    </xf>
    <xf numFmtId="0" fontId="42" fillId="47" borderId="26" xfId="0" applyFont="1" applyFill="1" applyBorder="1" applyAlignment="1">
      <alignment horizontal="center"/>
    </xf>
    <xf numFmtId="20" fontId="45" fillId="45" borderId="26" xfId="0" applyNumberFormat="1" applyFont="1" applyFill="1" applyBorder="1" applyAlignment="1">
      <alignment horizontal="center"/>
    </xf>
    <xf numFmtId="0" fontId="42" fillId="45" borderId="12" xfId="0" applyFont="1" applyFill="1" applyBorder="1"/>
    <xf numFmtId="0" fontId="42" fillId="45" borderId="12" xfId="0" applyFont="1" applyFill="1" applyBorder="1" applyAlignment="1">
      <alignment wrapText="1"/>
    </xf>
    <xf numFmtId="0" fontId="42" fillId="45" borderId="78" xfId="0" applyFont="1" applyFill="1" applyBorder="1"/>
    <xf numFmtId="165" fontId="0" fillId="0" borderId="52" xfId="0" applyNumberFormat="1" applyBorder="1" applyAlignment="1">
      <alignment horizontal="center"/>
    </xf>
    <xf numFmtId="0" fontId="42" fillId="45" borderId="53" xfId="0" applyFont="1" applyFill="1" applyBorder="1"/>
    <xf numFmtId="0" fontId="0" fillId="0" borderId="12" xfId="0" applyBorder="1" applyAlignment="1">
      <alignment vertical="center"/>
    </xf>
    <xf numFmtId="20" fontId="0" fillId="0" borderId="12" xfId="0" applyNumberFormat="1" applyBorder="1" applyAlignment="1">
      <alignment horizontal="center" vertical="center"/>
    </xf>
    <xf numFmtId="0" fontId="0" fillId="38" borderId="12" xfId="0" applyFill="1" applyBorder="1" applyAlignment="1">
      <alignment horizontal="left"/>
    </xf>
    <xf numFmtId="164" fontId="42" fillId="47" borderId="26" xfId="0" applyNumberFormat="1" applyFont="1" applyFill="1" applyBorder="1" applyAlignment="1">
      <alignment horizontal="center" vertical="center"/>
    </xf>
    <xf numFmtId="0" fontId="42" fillId="47" borderId="26" xfId="0" applyFont="1" applyFill="1" applyBorder="1" applyAlignment="1">
      <alignment horizontal="center" vertical="center"/>
    </xf>
    <xf numFmtId="20" fontId="45" fillId="45" borderId="26" xfId="0" applyNumberFormat="1" applyFont="1" applyFill="1" applyBorder="1" applyAlignment="1">
      <alignment horizontal="center" vertical="center"/>
    </xf>
    <xf numFmtId="0" fontId="42" fillId="45" borderId="26" xfId="0" applyFont="1" applyFill="1" applyBorder="1" applyAlignment="1">
      <alignment horizontal="center" vertical="center"/>
    </xf>
    <xf numFmtId="15" fontId="0" fillId="0" borderId="0" xfId="0" applyNumberFormat="1"/>
    <xf numFmtId="20" fontId="40" fillId="38" borderId="26" xfId="0" applyNumberFormat="1" applyFont="1" applyFill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7" fontId="0" fillId="0" borderId="12" xfId="0" applyNumberFormat="1" applyBorder="1" applyAlignment="1">
      <alignment horizontal="center" vertical="center"/>
    </xf>
    <xf numFmtId="0" fontId="1" fillId="39" borderId="25" xfId="0" applyFont="1" applyFill="1" applyBorder="1" applyAlignment="1">
      <alignment horizontal="center"/>
    </xf>
    <xf numFmtId="0" fontId="1" fillId="39" borderId="9" xfId="0" applyFont="1" applyFill="1" applyBorder="1" applyAlignment="1">
      <alignment horizontal="center"/>
    </xf>
    <xf numFmtId="166" fontId="1" fillId="0" borderId="9" xfId="0" applyNumberFormat="1" applyFont="1" applyBorder="1" applyAlignment="1">
      <alignment horizontal="center"/>
    </xf>
    <xf numFmtId="2" fontId="0" fillId="0" borderId="52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166" fontId="0" fillId="0" borderId="12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" fontId="0" fillId="0" borderId="52" xfId="0" applyNumberFormat="1" applyBorder="1" applyAlignment="1">
      <alignment horizontal="center" vertical="center"/>
    </xf>
    <xf numFmtId="168" fontId="40" fillId="38" borderId="26" xfId="0" applyNumberFormat="1" applyFont="1" applyFill="1" applyBorder="1" applyAlignment="1">
      <alignment horizontal="center" vertical="center"/>
    </xf>
    <xf numFmtId="168" fontId="40" fillId="38" borderId="12" xfId="0" applyNumberFormat="1" applyFont="1" applyFill="1" applyBorder="1" applyAlignment="1">
      <alignment horizontal="center" vertical="center"/>
    </xf>
    <xf numFmtId="2" fontId="0" fillId="38" borderId="12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165" fontId="0" fillId="0" borderId="0" xfId="0" applyNumberFormat="1"/>
    <xf numFmtId="166" fontId="1" fillId="0" borderId="9" xfId="0" applyNumberFormat="1" applyFont="1" applyBorder="1"/>
    <xf numFmtId="166" fontId="1" fillId="0" borderId="11" xfId="0" applyNumberFormat="1" applyFont="1" applyBorder="1" applyAlignment="1">
      <alignment horizontal="center"/>
    </xf>
    <xf numFmtId="0" fontId="33" fillId="36" borderId="55" xfId="0" applyFont="1" applyFill="1" applyBorder="1" applyAlignment="1">
      <alignment horizontal="center" vertical="center"/>
    </xf>
    <xf numFmtId="0" fontId="33" fillId="36" borderId="56" xfId="0" applyFont="1" applyFill="1" applyBorder="1" applyAlignment="1">
      <alignment horizontal="center" vertical="center"/>
    </xf>
    <xf numFmtId="0" fontId="33" fillId="36" borderId="57" xfId="0" applyFont="1" applyFill="1" applyBorder="1" applyAlignment="1">
      <alignment horizontal="center" vertical="center"/>
    </xf>
    <xf numFmtId="167" fontId="35" fillId="3" borderId="43" xfId="27311" applyNumberFormat="1" applyFont="1" applyFill="1" applyBorder="1" applyAlignment="1">
      <alignment horizontal="left" vertical="center"/>
    </xf>
    <xf numFmtId="167" fontId="35" fillId="3" borderId="44" xfId="27311" applyNumberFormat="1" applyFont="1" applyFill="1" applyBorder="1" applyAlignment="1">
      <alignment horizontal="left" vertical="center"/>
    </xf>
    <xf numFmtId="0" fontId="33" fillId="36" borderId="36" xfId="0" applyFont="1" applyFill="1" applyBorder="1" applyAlignment="1">
      <alignment horizontal="center"/>
    </xf>
    <xf numFmtId="0" fontId="33" fillId="36" borderId="37" xfId="0" applyFont="1" applyFill="1" applyBorder="1" applyAlignment="1">
      <alignment horizontal="center"/>
    </xf>
    <xf numFmtId="0" fontId="33" fillId="36" borderId="38" xfId="0" applyFont="1" applyFill="1" applyBorder="1" applyAlignment="1">
      <alignment horizontal="center"/>
    </xf>
    <xf numFmtId="170" fontId="35" fillId="3" borderId="40" xfId="27311" applyNumberFormat="1" applyFont="1" applyFill="1" applyBorder="1" applyAlignment="1" applyProtection="1">
      <alignment horizontal="left" vertical="center"/>
      <protection locked="0"/>
    </xf>
    <xf numFmtId="170" fontId="35" fillId="3" borderId="41" xfId="27311" applyNumberFormat="1" applyFont="1" applyFill="1" applyBorder="1" applyAlignment="1" applyProtection="1">
      <alignment horizontal="left" vertical="center"/>
      <protection locked="0"/>
    </xf>
    <xf numFmtId="167" fontId="35" fillId="3" borderId="40" xfId="27311" applyNumberFormat="1" applyFont="1" applyFill="1" applyBorder="1" applyAlignment="1" applyProtection="1">
      <alignment horizontal="left" vertical="center"/>
      <protection locked="0"/>
    </xf>
    <xf numFmtId="167" fontId="35" fillId="3" borderId="41" xfId="27311" applyNumberFormat="1" applyFont="1" applyFill="1" applyBorder="1" applyAlignment="1" applyProtection="1">
      <alignment horizontal="left" vertical="center"/>
      <protection locked="0"/>
    </xf>
    <xf numFmtId="0" fontId="36" fillId="3" borderId="40" xfId="0" applyFont="1" applyFill="1" applyBorder="1" applyAlignment="1">
      <alignment horizontal="left"/>
    </xf>
    <xf numFmtId="0" fontId="36" fillId="3" borderId="41" xfId="0" applyFont="1" applyFill="1" applyBorder="1" applyAlignment="1">
      <alignment horizontal="left"/>
    </xf>
    <xf numFmtId="167" fontId="35" fillId="3" borderId="40" xfId="27311" applyNumberFormat="1" applyFont="1" applyFill="1" applyBorder="1" applyAlignment="1">
      <alignment horizontal="left" vertical="center"/>
    </xf>
    <xf numFmtId="167" fontId="35" fillId="3" borderId="41" xfId="27311" applyNumberFormat="1" applyFont="1" applyFill="1" applyBorder="1" applyAlignment="1">
      <alignment horizontal="left" vertical="center"/>
    </xf>
    <xf numFmtId="0" fontId="36" fillId="3" borderId="45" xfId="0" applyFont="1" applyFill="1" applyBorder="1" applyAlignment="1">
      <alignment horizontal="center" vertical="center"/>
    </xf>
    <xf numFmtId="0" fontId="36" fillId="3" borderId="39" xfId="0" applyFont="1" applyFill="1" applyBorder="1" applyAlignment="1">
      <alignment horizontal="center" vertical="center"/>
    </xf>
    <xf numFmtId="0" fontId="36" fillId="3" borderId="42" xfId="0" applyFont="1" applyFill="1" applyBorder="1" applyAlignment="1">
      <alignment horizontal="center" vertical="center"/>
    </xf>
    <xf numFmtId="0" fontId="32" fillId="34" borderId="9" xfId="0" applyFont="1" applyFill="1" applyBorder="1" applyAlignment="1">
      <alignment horizontal="center" vertical="center"/>
    </xf>
  </cellXfs>
  <cellStyles count="34038">
    <cellStyle name="20% - Accent1 10" xfId="609" xr:uid="{00000000-0005-0000-0000-000000000000}"/>
    <cellStyle name="20% - Accent1 10 2" xfId="6917" xr:uid="{00000000-0005-0000-0000-000001000000}"/>
    <cellStyle name="20% - Accent1 10 2 2" xfId="2498" xr:uid="{00000000-0005-0000-0000-000002000000}"/>
    <cellStyle name="20% - Accent1 10 3" xfId="1410" xr:uid="{00000000-0005-0000-0000-000003000000}"/>
    <cellStyle name="20% - Accent1 11" xfId="944" xr:uid="{00000000-0005-0000-0000-000004000000}"/>
    <cellStyle name="20% - Accent1 11 2" xfId="2691" xr:uid="{00000000-0005-0000-0000-000005000000}"/>
    <cellStyle name="20% - Accent1 12" xfId="32925" xr:uid="{00000000-0005-0000-0000-000006000000}"/>
    <cellStyle name="20% - Accent1 13" xfId="17235" xr:uid="{00000000-0005-0000-0000-000007000000}"/>
    <cellStyle name="20% - Accent1 2" xfId="17287" xr:uid="{00000000-0005-0000-0000-000008000000}"/>
    <cellStyle name="20% - Accent1 2 10" xfId="5846" xr:uid="{00000000-0005-0000-0000-000009000000}"/>
    <cellStyle name="20% - Accent1 2 10 2" xfId="6264" xr:uid="{00000000-0005-0000-0000-00000A000000}"/>
    <cellStyle name="20% - Accent1 2 11" xfId="4802" xr:uid="{00000000-0005-0000-0000-00000B000000}"/>
    <cellStyle name="20% - Accent1 2 2" xfId="17289" xr:uid="{00000000-0005-0000-0000-00000C000000}"/>
    <cellStyle name="20% - Accent1 2 2 10" xfId="118" xr:uid="{00000000-0005-0000-0000-00000D000000}"/>
    <cellStyle name="20% - Accent1 2 2 2" xfId="2404" xr:uid="{00000000-0005-0000-0000-00000E000000}"/>
    <cellStyle name="20% - Accent1 2 2 2 2" xfId="1432" xr:uid="{00000000-0005-0000-0000-00000F000000}"/>
    <cellStyle name="20% - Accent1 2 2 2 2 2" xfId="7881" xr:uid="{00000000-0005-0000-0000-000010000000}"/>
    <cellStyle name="20% - Accent1 2 2 2 2 2 2" xfId="2017" xr:uid="{00000000-0005-0000-0000-000011000000}"/>
    <cellStyle name="20% - Accent1 2 2 2 2 2 2 2" xfId="6904" xr:uid="{00000000-0005-0000-0000-000012000000}"/>
    <cellStyle name="20% - Accent1 2 2 2 2 2 2 2 2" xfId="776" xr:uid="{00000000-0005-0000-0000-000013000000}"/>
    <cellStyle name="20% - Accent1 2 2 2 2 2 2 2 2 2" xfId="6304" xr:uid="{00000000-0005-0000-0000-000014000000}"/>
    <cellStyle name="20% - Accent1 2 2 2 2 2 2 2 2 2 2" xfId="12126" xr:uid="{00000000-0005-0000-0000-000015000000}"/>
    <cellStyle name="20% - Accent1 2 2 2 2 2 2 2 2 2 2 2" xfId="1107" xr:uid="{00000000-0005-0000-0000-000016000000}"/>
    <cellStyle name="20% - Accent1 2 2 2 2 2 2 2 2 2 3" xfId="1829" xr:uid="{00000000-0005-0000-0000-000017000000}"/>
    <cellStyle name="20% - Accent1 2 2 2 2 2 2 2 2 3" xfId="7178" xr:uid="{00000000-0005-0000-0000-000018000000}"/>
    <cellStyle name="20% - Accent1 2 2 2 2 2 2 2 2 3 2" xfId="18843" xr:uid="{00000000-0005-0000-0000-000019000000}"/>
    <cellStyle name="20% - Accent1 2 2 2 2 2 2 2 2 4" xfId="7185" xr:uid="{00000000-0005-0000-0000-00001A000000}"/>
    <cellStyle name="20% - Accent1 2 2 2 2 2 2 2 3" xfId="17812" xr:uid="{00000000-0005-0000-0000-00001B000000}"/>
    <cellStyle name="20% - Accent1 2 2 2 2 2 2 2 3 2" xfId="19064" xr:uid="{00000000-0005-0000-0000-00001C000000}"/>
    <cellStyle name="20% - Accent1 2 2 2 2 2 2 2 3 2 2" xfId="13402" xr:uid="{00000000-0005-0000-0000-00001D000000}"/>
    <cellStyle name="20% - Accent1 2 2 2 2 2 2 2 3 3" xfId="5413" xr:uid="{00000000-0005-0000-0000-00001E000000}"/>
    <cellStyle name="20% - Accent1 2 2 2 2 2 2 2 4" xfId="33297" xr:uid="{00000000-0005-0000-0000-00001F000000}"/>
    <cellStyle name="20% - Accent1 2 2 2 2 2 2 2 4 2" xfId="16323" xr:uid="{00000000-0005-0000-0000-000020000000}"/>
    <cellStyle name="20% - Accent1 2 2 2 2 2 2 2 5" xfId="9016" xr:uid="{00000000-0005-0000-0000-000021000000}"/>
    <cellStyle name="20% - Accent1 2 2 2 2 2 2 3" xfId="2871" xr:uid="{00000000-0005-0000-0000-000022000000}"/>
    <cellStyle name="20% - Accent1 2 2 2 2 2 2 3 2" xfId="397" xr:uid="{00000000-0005-0000-0000-000023000000}"/>
    <cellStyle name="20% - Accent1 2 2 2 2 2 2 3 2 2" xfId="7192" xr:uid="{00000000-0005-0000-0000-000024000000}"/>
    <cellStyle name="20% - Accent1 2 2 2 2 2 2 3 2 2 2" xfId="13772" xr:uid="{00000000-0005-0000-0000-000025000000}"/>
    <cellStyle name="20% - Accent1 2 2 2 2 2 2 3 2 3" xfId="8581" xr:uid="{00000000-0005-0000-0000-000026000000}"/>
    <cellStyle name="20% - Accent1 2 2 2 2 2 2 3 3" xfId="70" xr:uid="{00000000-0005-0000-0000-000027000000}"/>
    <cellStyle name="20% - Accent1 2 2 2 2 2 2 3 3 2" xfId="10501" xr:uid="{00000000-0005-0000-0000-000028000000}"/>
    <cellStyle name="20% - Accent1 2 2 2 2 2 2 3 4" xfId="19" xr:uid="{00000000-0005-0000-0000-000029000000}"/>
    <cellStyle name="20% - Accent1 2 2 2 2 2 2 4" xfId="7380" xr:uid="{00000000-0005-0000-0000-00002A000000}"/>
    <cellStyle name="20% - Accent1 2 2 2 2 2 2 4 2" xfId="3368" xr:uid="{00000000-0005-0000-0000-00002B000000}"/>
    <cellStyle name="20% - Accent1 2 2 2 2 2 2 4 2 2" xfId="8675" xr:uid="{00000000-0005-0000-0000-00002C000000}"/>
    <cellStyle name="20% - Accent1 2 2 2 2 2 2 4 3" xfId="3389" xr:uid="{00000000-0005-0000-0000-00002D000000}"/>
    <cellStyle name="20% - Accent1 2 2 2 2 2 2 5" xfId="11117" xr:uid="{00000000-0005-0000-0000-00002E000000}"/>
    <cellStyle name="20% - Accent1 2 2 2 2 2 2 5 2" xfId="22809" xr:uid="{00000000-0005-0000-0000-00002F000000}"/>
    <cellStyle name="20% - Accent1 2 2 2 2 2 2 6" xfId="11121" xr:uid="{00000000-0005-0000-0000-000030000000}"/>
    <cellStyle name="20% - Accent1 2 2 2 2 2 3" xfId="2546" xr:uid="{00000000-0005-0000-0000-000031000000}"/>
    <cellStyle name="20% - Accent1 2 2 2 2 2 3 2" xfId="4487" xr:uid="{00000000-0005-0000-0000-000032000000}"/>
    <cellStyle name="20% - Accent1 2 2 2 2 2 3 2 2" xfId="3639" xr:uid="{00000000-0005-0000-0000-000033000000}"/>
    <cellStyle name="20% - Accent1 2 2 2 2 2 3 2 2 2" xfId="7218" xr:uid="{00000000-0005-0000-0000-000034000000}"/>
    <cellStyle name="20% - Accent1 2 2 2 2 2 3 2 2 2 2" xfId="3767" xr:uid="{00000000-0005-0000-0000-000035000000}"/>
    <cellStyle name="20% - Accent1 2 2 2 2 2 3 2 2 3" xfId="7228" xr:uid="{00000000-0005-0000-0000-000036000000}"/>
    <cellStyle name="20% - Accent1 2 2 2 2 2 3 2 3" xfId="5690" xr:uid="{00000000-0005-0000-0000-000037000000}"/>
    <cellStyle name="20% - Accent1 2 2 2 2 2 3 2 3 2" xfId="8406" xr:uid="{00000000-0005-0000-0000-000038000000}"/>
    <cellStyle name="20% - Accent1 2 2 2 2 2 3 2 4" xfId="1052" xr:uid="{00000000-0005-0000-0000-000039000000}"/>
    <cellStyle name="20% - Accent1 2 2 2 2 2 3 3" xfId="30988" xr:uid="{00000000-0005-0000-0000-00003A000000}"/>
    <cellStyle name="20% - Accent1 2 2 2 2 2 3 3 2" xfId="577" xr:uid="{00000000-0005-0000-0000-00003B000000}"/>
    <cellStyle name="20% - Accent1 2 2 2 2 2 3 3 2 2" xfId="20914" xr:uid="{00000000-0005-0000-0000-00003C000000}"/>
    <cellStyle name="20% - Accent1 2 2 2 2 2 3 3 3" xfId="5804" xr:uid="{00000000-0005-0000-0000-00003D000000}"/>
    <cellStyle name="20% - Accent1 2 2 2 2 2 3 4" xfId="11125" xr:uid="{00000000-0005-0000-0000-00003E000000}"/>
    <cellStyle name="20% - Accent1 2 2 2 2 2 3 4 2" xfId="307" xr:uid="{00000000-0005-0000-0000-00003F000000}"/>
    <cellStyle name="20% - Accent1 2 2 2 2 2 3 5" xfId="17000" xr:uid="{00000000-0005-0000-0000-000040000000}"/>
    <cellStyle name="20% - Accent1 2 2 2 2 2 4" xfId="222" xr:uid="{00000000-0005-0000-0000-000041000000}"/>
    <cellStyle name="20% - Accent1 2 2 2 2 2 4 2" xfId="4844" xr:uid="{00000000-0005-0000-0000-000042000000}"/>
    <cellStyle name="20% - Accent1 2 2 2 2 2 4 2 2" xfId="5187" xr:uid="{00000000-0005-0000-0000-000043000000}"/>
    <cellStyle name="20% - Accent1 2 2 2 2 2 4 2 2 2" xfId="9546" xr:uid="{00000000-0005-0000-0000-000044000000}"/>
    <cellStyle name="20% - Accent1 2 2 2 2 2 4 2 3" xfId="6218" xr:uid="{00000000-0005-0000-0000-000045000000}"/>
    <cellStyle name="20% - Accent1 2 2 2 2 2 4 3" xfId="2921" xr:uid="{00000000-0005-0000-0000-000046000000}"/>
    <cellStyle name="20% - Accent1 2 2 2 2 2 4 3 2" xfId="2994" xr:uid="{00000000-0005-0000-0000-000047000000}"/>
    <cellStyle name="20% - Accent1 2 2 2 2 2 4 4" xfId="5963" xr:uid="{00000000-0005-0000-0000-000048000000}"/>
    <cellStyle name="20% - Accent1 2 2 2 2 2 5" xfId="153" xr:uid="{00000000-0005-0000-0000-000049000000}"/>
    <cellStyle name="20% - Accent1 2 2 2 2 2 5 2" xfId="10201" xr:uid="{00000000-0005-0000-0000-00004A000000}"/>
    <cellStyle name="20% - Accent1 2 2 2 2 2 5 2 2" xfId="662" xr:uid="{00000000-0005-0000-0000-00004B000000}"/>
    <cellStyle name="20% - Accent1 2 2 2 2 2 5 3" xfId="12508" xr:uid="{00000000-0005-0000-0000-00004C000000}"/>
    <cellStyle name="20% - Accent1 2 2 2 2 2 6" xfId="245" xr:uid="{00000000-0005-0000-0000-00004D000000}"/>
    <cellStyle name="20% - Accent1 2 2 2 2 2 6 2" xfId="4076" xr:uid="{00000000-0005-0000-0000-00004E000000}"/>
    <cellStyle name="20% - Accent1 2 2 2 2 2 7" xfId="265" xr:uid="{00000000-0005-0000-0000-00004F000000}"/>
    <cellStyle name="20% - Accent1 2 2 2 2 3" xfId="6471" xr:uid="{00000000-0005-0000-0000-000050000000}"/>
    <cellStyle name="20% - Accent1 2 2 2 2 3 2" xfId="1024" xr:uid="{00000000-0005-0000-0000-000051000000}"/>
    <cellStyle name="20% - Accent1 2 2 2 2 3 2 2" xfId="4917" xr:uid="{00000000-0005-0000-0000-000052000000}"/>
    <cellStyle name="20% - Accent1 2 2 2 2 3 2 2 2" xfId="769" xr:uid="{00000000-0005-0000-0000-000053000000}"/>
    <cellStyle name="20% - Accent1 2 2 2 2 3 2 2 2 2" xfId="12576" xr:uid="{00000000-0005-0000-0000-000054000000}"/>
    <cellStyle name="20% - Accent1 2 2 2 2 3 2 2 2 2 2" xfId="14560" xr:uid="{00000000-0005-0000-0000-000055000000}"/>
    <cellStyle name="20% - Accent1 2 2 2 2 3 2 2 2 3" xfId="12584" xr:uid="{00000000-0005-0000-0000-000056000000}"/>
    <cellStyle name="20% - Accent1 2 2 2 2 3 2 2 3" xfId="122" xr:uid="{00000000-0005-0000-0000-000057000000}"/>
    <cellStyle name="20% - Accent1 2 2 2 2 3 2 2 3 2" xfId="12609" xr:uid="{00000000-0005-0000-0000-000058000000}"/>
    <cellStyle name="20% - Accent1 2 2 2 2 3 2 2 4" xfId="15673" xr:uid="{00000000-0005-0000-0000-000059000000}"/>
    <cellStyle name="20% - Accent1 2 2 2 2 3 2 3" xfId="31569" xr:uid="{00000000-0005-0000-0000-00005A000000}"/>
    <cellStyle name="20% - Accent1 2 2 2 2 3 2 3 2" xfId="27240" xr:uid="{00000000-0005-0000-0000-00005B000000}"/>
    <cellStyle name="20% - Accent1 2 2 2 2 3 2 3 2 2" xfId="7452" xr:uid="{00000000-0005-0000-0000-00005C000000}"/>
    <cellStyle name="20% - Accent1 2 2 2 2 3 2 3 3" xfId="26133" xr:uid="{00000000-0005-0000-0000-00005D000000}"/>
    <cellStyle name="20% - Accent1 2 2 2 2 3 2 4" xfId="9912" xr:uid="{00000000-0005-0000-0000-00005E000000}"/>
    <cellStyle name="20% - Accent1 2 2 2 2 3 2 4 2" xfId="27765" xr:uid="{00000000-0005-0000-0000-00005F000000}"/>
    <cellStyle name="20% - Accent1 2 2 2 2 3 2 5" xfId="2992" xr:uid="{00000000-0005-0000-0000-000060000000}"/>
    <cellStyle name="20% - Accent1 2 2 2 2 3 3" xfId="5219" xr:uid="{00000000-0005-0000-0000-000061000000}"/>
    <cellStyle name="20% - Accent1 2 2 2 2 3 3 2" xfId="9385" xr:uid="{00000000-0005-0000-0000-000062000000}"/>
    <cellStyle name="20% - Accent1 2 2 2 2 3 3 2 2" xfId="140" xr:uid="{00000000-0005-0000-0000-000063000000}"/>
    <cellStyle name="20% - Accent1 2 2 2 2 3 3 2 2 2" xfId="17548" xr:uid="{00000000-0005-0000-0000-000064000000}"/>
    <cellStyle name="20% - Accent1 2 2 2 2 3 3 2 3" xfId="5701" xr:uid="{00000000-0005-0000-0000-000065000000}"/>
    <cellStyle name="20% - Accent1 2 2 2 2 3 3 3" xfId="11161" xr:uid="{00000000-0005-0000-0000-000066000000}"/>
    <cellStyle name="20% - Accent1 2 2 2 2 3 3 3 2" xfId="152" xr:uid="{00000000-0005-0000-0000-000067000000}"/>
    <cellStyle name="20% - Accent1 2 2 2 2 3 3 4" xfId="10077" xr:uid="{00000000-0005-0000-0000-000068000000}"/>
    <cellStyle name="20% - Accent1 2 2 2 2 3 4" xfId="5224" xr:uid="{00000000-0005-0000-0000-000069000000}"/>
    <cellStyle name="20% - Accent1 2 2 2 2 3 4 2" xfId="7916" xr:uid="{00000000-0005-0000-0000-00006A000000}"/>
    <cellStyle name="20% - Accent1 2 2 2 2 3 4 2 2" xfId="365" xr:uid="{00000000-0005-0000-0000-00006B000000}"/>
    <cellStyle name="20% - Accent1 2 2 2 2 3 4 3" xfId="7739" xr:uid="{00000000-0005-0000-0000-00006C000000}"/>
    <cellStyle name="20% - Accent1 2 2 2 2 3 5" xfId="251" xr:uid="{00000000-0005-0000-0000-00006D000000}"/>
    <cellStyle name="20% - Accent1 2 2 2 2 3 5 2" xfId="12536" xr:uid="{00000000-0005-0000-0000-00006E000000}"/>
    <cellStyle name="20% - Accent1 2 2 2 2 3 6" xfId="128" xr:uid="{00000000-0005-0000-0000-00006F000000}"/>
    <cellStyle name="20% - Accent1 2 2 2 2 4" xfId="6475" xr:uid="{00000000-0005-0000-0000-000070000000}"/>
    <cellStyle name="20% - Accent1 2 2 2 2 4 2" xfId="165" xr:uid="{00000000-0005-0000-0000-000071000000}"/>
    <cellStyle name="20% - Accent1 2 2 2 2 4 2 2" xfId="1766" xr:uid="{00000000-0005-0000-0000-000072000000}"/>
    <cellStyle name="20% - Accent1 2 2 2 2 4 2 2 2" xfId="176" xr:uid="{00000000-0005-0000-0000-000073000000}"/>
    <cellStyle name="20% - Accent1 2 2 2 2 4 2 2 2 2" xfId="13788" xr:uid="{00000000-0005-0000-0000-000074000000}"/>
    <cellStyle name="20% - Accent1 2 2 2 2 4 2 2 3" xfId="1571" xr:uid="{00000000-0005-0000-0000-000075000000}"/>
    <cellStyle name="20% - Accent1 2 2 2 2 4 2 3" xfId="4236" xr:uid="{00000000-0005-0000-0000-000076000000}"/>
    <cellStyle name="20% - Accent1 2 2 2 2 4 2 3 2" xfId="1786" xr:uid="{00000000-0005-0000-0000-000077000000}"/>
    <cellStyle name="20% - Accent1 2 2 2 2 4 2 4" xfId="12615" xr:uid="{00000000-0005-0000-0000-000078000000}"/>
    <cellStyle name="20% - Accent1 2 2 2 2 4 3" xfId="455" xr:uid="{00000000-0005-0000-0000-000079000000}"/>
    <cellStyle name="20% - Accent1 2 2 2 2 4 3 2" xfId="2258" xr:uid="{00000000-0005-0000-0000-00007A000000}"/>
    <cellStyle name="20% - Accent1 2 2 2 2 4 3 2 2" xfId="187" xr:uid="{00000000-0005-0000-0000-00007B000000}"/>
    <cellStyle name="20% - Accent1 2 2 2 2 4 3 3" xfId="11176" xr:uid="{00000000-0005-0000-0000-00007C000000}"/>
    <cellStyle name="20% - Accent1 2 2 2 2 4 4" xfId="7259" xr:uid="{00000000-0005-0000-0000-00007D000000}"/>
    <cellStyle name="20% - Accent1 2 2 2 2 4 4 2" xfId="3521" xr:uid="{00000000-0005-0000-0000-00007E000000}"/>
    <cellStyle name="20% - Accent1 2 2 2 2 4 5" xfId="100" xr:uid="{00000000-0005-0000-0000-00007F000000}"/>
    <cellStyle name="20% - Accent1 2 2 2 2 5" xfId="23830" xr:uid="{00000000-0005-0000-0000-000080000000}"/>
    <cellStyle name="20% - Accent1 2 2 2 2 5 2" xfId="8452" xr:uid="{00000000-0005-0000-0000-000081000000}"/>
    <cellStyle name="20% - Accent1 2 2 2 2 5 2 2" xfId="3535" xr:uid="{00000000-0005-0000-0000-000082000000}"/>
    <cellStyle name="20% - Accent1 2 2 2 2 5 2 2 2" xfId="12397" xr:uid="{00000000-0005-0000-0000-000083000000}"/>
    <cellStyle name="20% - Accent1 2 2 2 2 5 2 3" xfId="11183" xr:uid="{00000000-0005-0000-0000-000084000000}"/>
    <cellStyle name="20% - Accent1 2 2 2 2 5 3" xfId="2757" xr:uid="{00000000-0005-0000-0000-000085000000}"/>
    <cellStyle name="20% - Accent1 2 2 2 2 5 3 2" xfId="11191" xr:uid="{00000000-0005-0000-0000-000086000000}"/>
    <cellStyle name="20% - Accent1 2 2 2 2 5 4" xfId="4354" xr:uid="{00000000-0005-0000-0000-000087000000}"/>
    <cellStyle name="20% - Accent1 2 2 2 2 6" xfId="33565" xr:uid="{00000000-0005-0000-0000-000088000000}"/>
    <cellStyle name="20% - Accent1 2 2 2 2 6 2" xfId="24395" xr:uid="{00000000-0005-0000-0000-000089000000}"/>
    <cellStyle name="20% - Accent1 2 2 2 2 6 2 2" xfId="3573" xr:uid="{00000000-0005-0000-0000-00008A000000}"/>
    <cellStyle name="20% - Accent1 2 2 2 2 6 3" xfId="909" xr:uid="{00000000-0005-0000-0000-00008B000000}"/>
    <cellStyle name="20% - Accent1 2 2 2 2 7" xfId="30708" xr:uid="{00000000-0005-0000-0000-00008C000000}"/>
    <cellStyle name="20% - Accent1 2 2 2 2 7 2" xfId="31785" xr:uid="{00000000-0005-0000-0000-00008D000000}"/>
    <cellStyle name="20% - Accent1 2 2 2 2 8" xfId="22" xr:uid="{00000000-0005-0000-0000-00008E000000}"/>
    <cellStyle name="20% - Accent1 2 2 2 3" xfId="3813" xr:uid="{00000000-0005-0000-0000-00008F000000}"/>
    <cellStyle name="20% - Accent1 2 2 2 3 2" xfId="22707" xr:uid="{00000000-0005-0000-0000-000090000000}"/>
    <cellStyle name="20% - Accent1 2 2 2 3 2 2" xfId="18605" xr:uid="{00000000-0005-0000-0000-000091000000}"/>
    <cellStyle name="20% - Accent1 2 2 2 3 2 2 2" xfId="9131" xr:uid="{00000000-0005-0000-0000-000092000000}"/>
    <cellStyle name="20% - Accent1 2 2 2 3 2 2 2 2" xfId="12681" xr:uid="{00000000-0005-0000-0000-000093000000}"/>
    <cellStyle name="20% - Accent1 2 2 2 3 2 2 2 2 2" xfId="12423" xr:uid="{00000000-0005-0000-0000-000094000000}"/>
    <cellStyle name="20% - Accent1 2 2 2 3 2 2 2 2 2 2" xfId="9371" xr:uid="{00000000-0005-0000-0000-000095000000}"/>
    <cellStyle name="20% - Accent1 2 2 2 3 2 2 2 2 3" xfId="8308" xr:uid="{00000000-0005-0000-0000-000096000000}"/>
    <cellStyle name="20% - Accent1 2 2 2 3 2 2 2 3" xfId="10979" xr:uid="{00000000-0005-0000-0000-000097000000}"/>
    <cellStyle name="20% - Accent1 2 2 2 3 2 2 2 3 2" xfId="8261" xr:uid="{00000000-0005-0000-0000-000098000000}"/>
    <cellStyle name="20% - Accent1 2 2 2 3 2 2 2 4" xfId="11021" xr:uid="{00000000-0005-0000-0000-000099000000}"/>
    <cellStyle name="20% - Accent1 2 2 2 3 2 2 3" xfId="9614" xr:uid="{00000000-0005-0000-0000-00009A000000}"/>
    <cellStyle name="20% - Accent1 2 2 2 3 2 2 3 2" xfId="10844" xr:uid="{00000000-0005-0000-0000-00009B000000}"/>
    <cellStyle name="20% - Accent1 2 2 2 3 2 2 3 2 2" xfId="8270" xr:uid="{00000000-0005-0000-0000-00009C000000}"/>
    <cellStyle name="20% - Accent1 2 2 2 3 2 2 3 3" xfId="1303" xr:uid="{00000000-0005-0000-0000-00009D000000}"/>
    <cellStyle name="20% - Accent1 2 2 2 3 2 2 4" xfId="11296" xr:uid="{00000000-0005-0000-0000-00009E000000}"/>
    <cellStyle name="20% - Accent1 2 2 2 3 2 2 4 2" xfId="18692" xr:uid="{00000000-0005-0000-0000-00009F000000}"/>
    <cellStyle name="20% - Accent1 2 2 2 3 2 2 5" xfId="8323" xr:uid="{00000000-0005-0000-0000-0000A0000000}"/>
    <cellStyle name="20% - Accent1 2 2 2 3 2 3" xfId="20598" xr:uid="{00000000-0005-0000-0000-0000A1000000}"/>
    <cellStyle name="20% - Accent1 2 2 2 3 2 3 2" xfId="9641" xr:uid="{00000000-0005-0000-0000-0000A2000000}"/>
    <cellStyle name="20% - Accent1 2 2 2 3 2 3 2 2" xfId="24777" xr:uid="{00000000-0005-0000-0000-0000A3000000}"/>
    <cellStyle name="20% - Accent1 2 2 2 3 2 3 2 2 2" xfId="12480" xr:uid="{00000000-0005-0000-0000-0000A4000000}"/>
    <cellStyle name="20% - Accent1 2 2 2 3 2 3 2 3" xfId="22534" xr:uid="{00000000-0005-0000-0000-0000A5000000}"/>
    <cellStyle name="20% - Accent1 2 2 2 3 2 3 3" xfId="11302" xr:uid="{00000000-0005-0000-0000-0000A6000000}"/>
    <cellStyle name="20% - Accent1 2 2 2 3 2 3 3 2" xfId="12806" xr:uid="{00000000-0005-0000-0000-0000A7000000}"/>
    <cellStyle name="20% - Accent1 2 2 2 3 2 3 4" xfId="11306" xr:uid="{00000000-0005-0000-0000-0000A8000000}"/>
    <cellStyle name="20% - Accent1 2 2 2 3 2 4" xfId="20625" xr:uid="{00000000-0005-0000-0000-0000A9000000}"/>
    <cellStyle name="20% - Accent1 2 2 2 3 2 4 2" xfId="5022" xr:uid="{00000000-0005-0000-0000-0000AA000000}"/>
    <cellStyle name="20% - Accent1 2 2 2 3 2 4 2 2" xfId="17221" xr:uid="{00000000-0005-0000-0000-0000AB000000}"/>
    <cellStyle name="20% - Accent1 2 2 2 3 2 4 3" xfId="16531" xr:uid="{00000000-0005-0000-0000-0000AC000000}"/>
    <cellStyle name="20% - Accent1 2 2 2 3 2 5" xfId="18860" xr:uid="{00000000-0005-0000-0000-0000AD000000}"/>
    <cellStyle name="20% - Accent1 2 2 2 3 2 5 2" xfId="14200" xr:uid="{00000000-0005-0000-0000-0000AE000000}"/>
    <cellStyle name="20% - Accent1 2 2 2 3 2 6" xfId="20634" xr:uid="{00000000-0005-0000-0000-0000AF000000}"/>
    <cellStyle name="20% - Accent1 2 2 2 3 3" xfId="22728" xr:uid="{00000000-0005-0000-0000-0000B0000000}"/>
    <cellStyle name="20% - Accent1 2 2 2 3 3 2" xfId="22729" xr:uid="{00000000-0005-0000-0000-0000B1000000}"/>
    <cellStyle name="20% - Accent1 2 2 2 3 3 2 2" xfId="9923" xr:uid="{00000000-0005-0000-0000-0000B2000000}"/>
    <cellStyle name="20% - Accent1 2 2 2 3 3 2 2 2" xfId="32978" xr:uid="{00000000-0005-0000-0000-0000B3000000}"/>
    <cellStyle name="20% - Accent1 2 2 2 3 3 2 2 2 2" xfId="14718" xr:uid="{00000000-0005-0000-0000-0000B4000000}"/>
    <cellStyle name="20% - Accent1 2 2 2 3 3 2 2 3" xfId="11453" xr:uid="{00000000-0005-0000-0000-0000B5000000}"/>
    <cellStyle name="20% - Accent1 2 2 2 3 3 2 3" xfId="11321" xr:uid="{00000000-0005-0000-0000-0000B6000000}"/>
    <cellStyle name="20% - Accent1 2 2 2 3 3 2 3 2" xfId="12955" xr:uid="{00000000-0005-0000-0000-0000B7000000}"/>
    <cellStyle name="20% - Accent1 2 2 2 3 3 2 4" xfId="10396" xr:uid="{00000000-0005-0000-0000-0000B8000000}"/>
    <cellStyle name="20% - Accent1 2 2 2 3 3 3" xfId="20644" xr:uid="{00000000-0005-0000-0000-0000B9000000}"/>
    <cellStyle name="20% - Accent1 2 2 2 3 3 3 2" xfId="11326" xr:uid="{00000000-0005-0000-0000-0000BA000000}"/>
    <cellStyle name="20% - Accent1 2 2 2 3 3 3 2 2" xfId="7222" xr:uid="{00000000-0005-0000-0000-0000BB000000}"/>
    <cellStyle name="20% - Accent1 2 2 2 3 3 3 3" xfId="11331" xr:uid="{00000000-0005-0000-0000-0000BC000000}"/>
    <cellStyle name="20% - Accent1 2 2 2 3 3 4" xfId="20667" xr:uid="{00000000-0005-0000-0000-0000BD000000}"/>
    <cellStyle name="20% - Accent1 2 2 2 3 3 4 2" xfId="5100" xr:uid="{00000000-0005-0000-0000-0000BE000000}"/>
    <cellStyle name="20% - Accent1 2 2 2 3 3 5" xfId="20680" xr:uid="{00000000-0005-0000-0000-0000BF000000}"/>
    <cellStyle name="20% - Accent1 2 2 2 3 4" xfId="22741" xr:uid="{00000000-0005-0000-0000-0000C0000000}"/>
    <cellStyle name="20% - Accent1 2 2 2 3 4 2" xfId="25873" xr:uid="{00000000-0005-0000-0000-0000C1000000}"/>
    <cellStyle name="20% - Accent1 2 2 2 3 4 2 2" xfId="2460" xr:uid="{00000000-0005-0000-0000-0000C2000000}"/>
    <cellStyle name="20% - Accent1 2 2 2 3 4 2 2 2" xfId="13033" xr:uid="{00000000-0005-0000-0000-0000C3000000}"/>
    <cellStyle name="20% - Accent1 2 2 2 3 4 2 3" xfId="4730" xr:uid="{00000000-0005-0000-0000-0000C4000000}"/>
    <cellStyle name="20% - Accent1 2 2 2 3 4 3" xfId="20684" xr:uid="{00000000-0005-0000-0000-0000C5000000}"/>
    <cellStyle name="20% - Accent1 2 2 2 3 4 3 2" xfId="11341" xr:uid="{00000000-0005-0000-0000-0000C6000000}"/>
    <cellStyle name="20% - Accent1 2 2 2 3 4 4" xfId="20707" xr:uid="{00000000-0005-0000-0000-0000C7000000}"/>
    <cellStyle name="20% - Accent1 2 2 2 3 5" xfId="10815" xr:uid="{00000000-0005-0000-0000-0000C8000000}"/>
    <cellStyle name="20% - Accent1 2 2 2 3 5 2" xfId="22748" xr:uid="{00000000-0005-0000-0000-0000C9000000}"/>
    <cellStyle name="20% - Accent1 2 2 2 3 5 2 2" xfId="11348" xr:uid="{00000000-0005-0000-0000-0000CA000000}"/>
    <cellStyle name="20% - Accent1 2 2 2 3 5 3" xfId="20713" xr:uid="{00000000-0005-0000-0000-0000CB000000}"/>
    <cellStyle name="20% - Accent1 2 2 2 3 6" xfId="14148" xr:uid="{00000000-0005-0000-0000-0000CC000000}"/>
    <cellStyle name="20% - Accent1 2 2 2 3 6 2" xfId="3957" xr:uid="{00000000-0005-0000-0000-0000CD000000}"/>
    <cellStyle name="20% - Accent1 2 2 2 3 7" xfId="8284" xr:uid="{00000000-0005-0000-0000-0000CE000000}"/>
    <cellStyle name="20% - Accent1 2 2 2 4" xfId="425" xr:uid="{00000000-0005-0000-0000-0000CF000000}"/>
    <cellStyle name="20% - Accent1 2 2 2 4 2" xfId="22781" xr:uid="{00000000-0005-0000-0000-0000D0000000}"/>
    <cellStyle name="20% - Accent1 2 2 2 4 2 2" xfId="17937" xr:uid="{00000000-0005-0000-0000-0000D1000000}"/>
    <cellStyle name="20% - Accent1 2 2 2 4 2 2 2" xfId="9777" xr:uid="{00000000-0005-0000-0000-0000D2000000}"/>
    <cellStyle name="20% - Accent1 2 2 2 4 2 2 2 2" xfId="30610" xr:uid="{00000000-0005-0000-0000-0000D3000000}"/>
    <cellStyle name="20% - Accent1 2 2 2 4 2 2 2 2 2" xfId="8638" xr:uid="{00000000-0005-0000-0000-0000D4000000}"/>
    <cellStyle name="20% - Accent1 2 2 2 4 2 2 2 3" xfId="12283" xr:uid="{00000000-0005-0000-0000-0000D5000000}"/>
    <cellStyle name="20% - Accent1 2 2 2 4 2 2 3" xfId="18876" xr:uid="{00000000-0005-0000-0000-0000D6000000}"/>
    <cellStyle name="20% - Accent1 2 2 2 4 2 2 3 2" xfId="12489" xr:uid="{00000000-0005-0000-0000-0000D7000000}"/>
    <cellStyle name="20% - Accent1 2 2 2 4 2 2 4" xfId="11382" xr:uid="{00000000-0005-0000-0000-0000D8000000}"/>
    <cellStyle name="20% - Accent1 2 2 2 4 2 3" xfId="20820" xr:uid="{00000000-0005-0000-0000-0000D9000000}"/>
    <cellStyle name="20% - Accent1 2 2 2 4 2 3 2" xfId="3794" xr:uid="{00000000-0005-0000-0000-0000DA000000}"/>
    <cellStyle name="20% - Accent1 2 2 2 4 2 3 2 2" xfId="26835" xr:uid="{00000000-0005-0000-0000-0000DB000000}"/>
    <cellStyle name="20% - Accent1 2 2 2 4 2 3 3" xfId="18400" xr:uid="{00000000-0005-0000-0000-0000DC000000}"/>
    <cellStyle name="20% - Accent1 2 2 2 4 2 4" xfId="20899" xr:uid="{00000000-0005-0000-0000-0000DD000000}"/>
    <cellStyle name="20% - Accent1 2 2 2 4 2 4 2" xfId="10069" xr:uid="{00000000-0005-0000-0000-0000DE000000}"/>
    <cellStyle name="20% - Accent1 2 2 2 4 2 5" xfId="20851" xr:uid="{00000000-0005-0000-0000-0000DF000000}"/>
    <cellStyle name="20% - Accent1 2 2 2 4 3" xfId="22783" xr:uid="{00000000-0005-0000-0000-0000E0000000}"/>
    <cellStyle name="20% - Accent1 2 2 2 4 3 2" xfId="22787" xr:uid="{00000000-0005-0000-0000-0000E1000000}"/>
    <cellStyle name="20% - Accent1 2 2 2 4 3 2 2" xfId="15465" xr:uid="{00000000-0005-0000-0000-0000E2000000}"/>
    <cellStyle name="20% - Accent1 2 2 2 4 3 2 2 2" xfId="13189" xr:uid="{00000000-0005-0000-0000-0000E3000000}"/>
    <cellStyle name="20% - Accent1 2 2 2 4 3 2 3" xfId="19538" xr:uid="{00000000-0005-0000-0000-0000E4000000}"/>
    <cellStyle name="20% - Accent1 2 2 2 4 3 3" xfId="20856" xr:uid="{00000000-0005-0000-0000-0000E5000000}"/>
    <cellStyle name="20% - Accent1 2 2 2 4 3 3 2" xfId="18789" xr:uid="{00000000-0005-0000-0000-0000E6000000}"/>
    <cellStyle name="20% - Accent1 2 2 2 4 3 4" xfId="20876" xr:uid="{00000000-0005-0000-0000-0000E7000000}"/>
    <cellStyle name="20% - Accent1 2 2 2 4 4" xfId="15197" xr:uid="{00000000-0005-0000-0000-0000E8000000}"/>
    <cellStyle name="20% - Accent1 2 2 2 4 4 2" xfId="22797" xr:uid="{00000000-0005-0000-0000-0000E9000000}"/>
    <cellStyle name="20% - Accent1 2 2 2 4 4 2 2" xfId="22192" xr:uid="{00000000-0005-0000-0000-0000EA000000}"/>
    <cellStyle name="20% - Accent1 2 2 2 4 4 3" xfId="20884" xr:uid="{00000000-0005-0000-0000-0000EB000000}"/>
    <cellStyle name="20% - Accent1 2 2 2 4 5" xfId="10458" xr:uid="{00000000-0005-0000-0000-0000EC000000}"/>
    <cellStyle name="20% - Accent1 2 2 2 4 5 2" xfId="4628" xr:uid="{00000000-0005-0000-0000-0000ED000000}"/>
    <cellStyle name="20% - Accent1 2 2 2 4 6" xfId="6572" xr:uid="{00000000-0005-0000-0000-0000EE000000}"/>
    <cellStyle name="20% - Accent1 2 2 2 5" xfId="917" xr:uid="{00000000-0005-0000-0000-0000EF000000}"/>
    <cellStyle name="20% - Accent1 2 2 2 5 2" xfId="22824" xr:uid="{00000000-0005-0000-0000-0000F0000000}"/>
    <cellStyle name="20% - Accent1 2 2 2 5 2 2" xfId="22826" xr:uid="{00000000-0005-0000-0000-0000F1000000}"/>
    <cellStyle name="20% - Accent1 2 2 2 5 2 2 2" xfId="11425" xr:uid="{00000000-0005-0000-0000-0000F2000000}"/>
    <cellStyle name="20% - Accent1 2 2 2 5 2 2 2 2" xfId="10672" xr:uid="{00000000-0005-0000-0000-0000F3000000}"/>
    <cellStyle name="20% - Accent1 2 2 2 5 2 2 3" xfId="14607" xr:uid="{00000000-0005-0000-0000-0000F4000000}"/>
    <cellStyle name="20% - Accent1 2 2 2 5 2 3" xfId="20997" xr:uid="{00000000-0005-0000-0000-0000F5000000}"/>
    <cellStyle name="20% - Accent1 2 2 2 5 2 3 2" xfId="11428" xr:uid="{00000000-0005-0000-0000-0000F6000000}"/>
    <cellStyle name="20% - Accent1 2 2 2 5 2 4" xfId="21024" xr:uid="{00000000-0005-0000-0000-0000F7000000}"/>
    <cellStyle name="20% - Accent1 2 2 2 5 3" xfId="18495" xr:uid="{00000000-0005-0000-0000-0000F8000000}"/>
    <cellStyle name="20% - Accent1 2 2 2 5 3 2" xfId="6330" xr:uid="{00000000-0005-0000-0000-0000F9000000}"/>
    <cellStyle name="20% - Accent1 2 2 2 5 3 2 2" xfId="18834" xr:uid="{00000000-0005-0000-0000-0000FA000000}"/>
    <cellStyle name="20% - Accent1 2 2 2 5 3 3" xfId="21031" xr:uid="{00000000-0005-0000-0000-0000FB000000}"/>
    <cellStyle name="20% - Accent1 2 2 2 5 4" xfId="22834" xr:uid="{00000000-0005-0000-0000-0000FC000000}"/>
    <cellStyle name="20% - Accent1 2 2 2 5 4 2" xfId="22837" xr:uid="{00000000-0005-0000-0000-0000FD000000}"/>
    <cellStyle name="20% - Accent1 2 2 2 5 5" xfId="26723" xr:uid="{00000000-0005-0000-0000-0000FE000000}"/>
    <cellStyle name="20% - Accent1 2 2 2 6" xfId="1987" xr:uid="{00000000-0005-0000-0000-0000FF000000}"/>
    <cellStyle name="20% - Accent1 2 2 2 6 2" xfId="20070" xr:uid="{00000000-0005-0000-0000-000000010000}"/>
    <cellStyle name="20% - Accent1 2 2 2 6 2 2" xfId="20073" xr:uid="{00000000-0005-0000-0000-000001010000}"/>
    <cellStyle name="20% - Accent1 2 2 2 6 2 2 2" xfId="11440" xr:uid="{00000000-0005-0000-0000-000002010000}"/>
    <cellStyle name="20% - Accent1 2 2 2 6 2 3" xfId="21090" xr:uid="{00000000-0005-0000-0000-000003010000}"/>
    <cellStyle name="20% - Accent1 2 2 2 6 3" xfId="20083" xr:uid="{00000000-0005-0000-0000-000004010000}"/>
    <cellStyle name="20% - Accent1 2 2 2 6 3 2" xfId="22842" xr:uid="{00000000-0005-0000-0000-000005010000}"/>
    <cellStyle name="20% - Accent1 2 2 2 6 4" xfId="22845" xr:uid="{00000000-0005-0000-0000-000006010000}"/>
    <cellStyle name="20% - Accent1 2 2 2 7" xfId="3511" xr:uid="{00000000-0005-0000-0000-000007010000}"/>
    <cellStyle name="20% - Accent1 2 2 2 7 2" xfId="19751" xr:uid="{00000000-0005-0000-0000-000008010000}"/>
    <cellStyle name="20% - Accent1 2 2 2 7 2 2" xfId="22851" xr:uid="{00000000-0005-0000-0000-000009010000}"/>
    <cellStyle name="20% - Accent1 2 2 2 7 3" xfId="22853" xr:uid="{00000000-0005-0000-0000-00000A010000}"/>
    <cellStyle name="20% - Accent1 2 2 2 8" xfId="5175" xr:uid="{00000000-0005-0000-0000-00000B010000}"/>
    <cellStyle name="20% - Accent1 2 2 2 8 2" xfId="22867" xr:uid="{00000000-0005-0000-0000-00000C010000}"/>
    <cellStyle name="20% - Accent1 2 2 2 9" xfId="26720" xr:uid="{00000000-0005-0000-0000-00000D010000}"/>
    <cellStyle name="20% - Accent1 2 2 3" xfId="25896" xr:uid="{00000000-0005-0000-0000-00000E010000}"/>
    <cellStyle name="20% - Accent1 2 2 3 2" xfId="2830" xr:uid="{00000000-0005-0000-0000-00000F010000}"/>
    <cellStyle name="20% - Accent1 2 2 3 2 2" xfId="310" xr:uid="{00000000-0005-0000-0000-000010010000}"/>
    <cellStyle name="20% - Accent1 2 2 3 2 2 2" xfId="773" xr:uid="{00000000-0005-0000-0000-000011010000}"/>
    <cellStyle name="20% - Accent1 2 2 3 2 2 2 2" xfId="4002" xr:uid="{00000000-0005-0000-0000-000012010000}"/>
    <cellStyle name="20% - Accent1 2 2 3 2 2 2 2 2" xfId="17417" xr:uid="{00000000-0005-0000-0000-000013010000}"/>
    <cellStyle name="20% - Accent1 2 2 3 2 2 2 2 2 2" xfId="10907" xr:uid="{00000000-0005-0000-0000-000014010000}"/>
    <cellStyle name="20% - Accent1 2 2 3 2 2 2 2 2 2 2" xfId="1282" xr:uid="{00000000-0005-0000-0000-000015010000}"/>
    <cellStyle name="20% - Accent1 2 2 3 2 2 2 2 2 3" xfId="25517" xr:uid="{00000000-0005-0000-0000-000016010000}"/>
    <cellStyle name="20% - Accent1 2 2 3 2 2 2 2 3" xfId="19174" xr:uid="{00000000-0005-0000-0000-000017010000}"/>
    <cellStyle name="20% - Accent1 2 2 3 2 2 2 2 3 2" xfId="9498" xr:uid="{00000000-0005-0000-0000-000018010000}"/>
    <cellStyle name="20% - Accent1 2 2 3 2 2 2 2 4" xfId="22960" xr:uid="{00000000-0005-0000-0000-000019010000}"/>
    <cellStyle name="20% - Accent1 2 2 3 2 2 2 3" xfId="33985" xr:uid="{00000000-0005-0000-0000-00001A010000}"/>
    <cellStyle name="20% - Accent1 2 2 3 2 2 2 3 2" xfId="19179" xr:uid="{00000000-0005-0000-0000-00001B010000}"/>
    <cellStyle name="20% - Accent1 2 2 3 2 2 2 3 2 2" xfId="9513" xr:uid="{00000000-0005-0000-0000-00001C010000}"/>
    <cellStyle name="20% - Accent1 2 2 3 2 2 2 3 3" xfId="25659" xr:uid="{00000000-0005-0000-0000-00001D010000}"/>
    <cellStyle name="20% - Accent1 2 2 3 2 2 2 4" xfId="15480" xr:uid="{00000000-0005-0000-0000-00001E010000}"/>
    <cellStyle name="20% - Accent1 2 2 3 2 2 2 4 2" xfId="16785" xr:uid="{00000000-0005-0000-0000-00001F010000}"/>
    <cellStyle name="20% - Accent1 2 2 3 2 2 2 5" xfId="15486" xr:uid="{00000000-0005-0000-0000-000020010000}"/>
    <cellStyle name="20% - Accent1 2 2 3 2 2 3" xfId="484" xr:uid="{00000000-0005-0000-0000-000021010000}"/>
    <cellStyle name="20% - Accent1 2 2 3 2 2 3 2" xfId="15491" xr:uid="{00000000-0005-0000-0000-000022010000}"/>
    <cellStyle name="20% - Accent1 2 2 3 2 2 3 2 2" xfId="19183" xr:uid="{00000000-0005-0000-0000-000023010000}"/>
    <cellStyle name="20% - Accent1 2 2 3 2 2 3 2 2 2" xfId="12515" xr:uid="{00000000-0005-0000-0000-000024010000}"/>
    <cellStyle name="20% - Accent1 2 2 3 2 2 3 2 3" xfId="10495" xr:uid="{00000000-0005-0000-0000-000025010000}"/>
    <cellStyle name="20% - Accent1 2 2 3 2 2 3 3" xfId="12653" xr:uid="{00000000-0005-0000-0000-000026010000}"/>
    <cellStyle name="20% - Accent1 2 2 3 2 2 3 3 2" xfId="1439" xr:uid="{00000000-0005-0000-0000-000027010000}"/>
    <cellStyle name="20% - Accent1 2 2 3 2 2 3 4" xfId="11510" xr:uid="{00000000-0005-0000-0000-000028010000}"/>
    <cellStyle name="20% - Accent1 2 2 3 2 2 4" xfId="2013" xr:uid="{00000000-0005-0000-0000-000029010000}"/>
    <cellStyle name="20% - Accent1 2 2 3 2 2 4 2" xfId="15509" xr:uid="{00000000-0005-0000-0000-00002A010000}"/>
    <cellStyle name="20% - Accent1 2 2 3 2 2 4 2 2" xfId="3951" xr:uid="{00000000-0005-0000-0000-00002B010000}"/>
    <cellStyle name="20% - Accent1 2 2 3 2 2 4 3" xfId="11515" xr:uid="{00000000-0005-0000-0000-00002C010000}"/>
    <cellStyle name="20% - Accent1 2 2 3 2 2 5" xfId="383" xr:uid="{00000000-0005-0000-0000-00002D010000}"/>
    <cellStyle name="20% - Accent1 2 2 3 2 2 5 2" xfId="4572" xr:uid="{00000000-0005-0000-0000-00002E010000}"/>
    <cellStyle name="20% - Accent1 2 2 3 2 2 6" xfId="1598" xr:uid="{00000000-0005-0000-0000-00002F010000}"/>
    <cellStyle name="20% - Accent1 2 2 3 2 3" xfId="6486" xr:uid="{00000000-0005-0000-0000-000030010000}"/>
    <cellStyle name="20% - Accent1 2 2 3 2 3 2" xfId="396" xr:uid="{00000000-0005-0000-0000-000031010000}"/>
    <cellStyle name="20% - Accent1 2 2 3 2 3 2 2" xfId="10947" xr:uid="{00000000-0005-0000-0000-000032010000}"/>
    <cellStyle name="20% - Accent1 2 2 3 2 3 2 2 2" xfId="5129" xr:uid="{00000000-0005-0000-0000-000033010000}"/>
    <cellStyle name="20% - Accent1 2 2 3 2 3 2 2 2 2" xfId="9713" xr:uid="{00000000-0005-0000-0000-000034010000}"/>
    <cellStyle name="20% - Accent1 2 2 3 2 3 2 2 3" xfId="5830" xr:uid="{00000000-0005-0000-0000-000035010000}"/>
    <cellStyle name="20% - Accent1 2 2 3 2 3 2 3" xfId="12256" xr:uid="{00000000-0005-0000-0000-000036010000}"/>
    <cellStyle name="20% - Accent1 2 2 3 2 3 2 3 2" xfId="3845" xr:uid="{00000000-0005-0000-0000-000037010000}"/>
    <cellStyle name="20% - Accent1 2 2 3 2 3 2 4" xfId="15522" xr:uid="{00000000-0005-0000-0000-000038010000}"/>
    <cellStyle name="20% - Accent1 2 2 3 2 3 3" xfId="11009" xr:uid="{00000000-0005-0000-0000-000039010000}"/>
    <cellStyle name="20% - Accent1 2 2 3 2 3 3 2" xfId="11522" xr:uid="{00000000-0005-0000-0000-00003A010000}"/>
    <cellStyle name="20% - Accent1 2 2 3 2 3 3 2 2" xfId="513" xr:uid="{00000000-0005-0000-0000-00003B010000}"/>
    <cellStyle name="20% - Accent1 2 2 3 2 3 3 3" xfId="11527" xr:uid="{00000000-0005-0000-0000-00003C010000}"/>
    <cellStyle name="20% - Accent1 2 2 3 2 3 4" xfId="400" xr:uid="{00000000-0005-0000-0000-00003D010000}"/>
    <cellStyle name="20% - Accent1 2 2 3 2 3 4 2" xfId="4088" xr:uid="{00000000-0005-0000-0000-00003E010000}"/>
    <cellStyle name="20% - Accent1 2 2 3 2 3 5" xfId="510" xr:uid="{00000000-0005-0000-0000-00003F010000}"/>
    <cellStyle name="20% - Accent1 2 2 3 2 4" xfId="414" xr:uid="{00000000-0005-0000-0000-000040010000}"/>
    <cellStyle name="20% - Accent1 2 2 3 2 4 2" xfId="830" xr:uid="{00000000-0005-0000-0000-000041010000}"/>
    <cellStyle name="20% - Accent1 2 2 3 2 4 2 2" xfId="19298" xr:uid="{00000000-0005-0000-0000-000042010000}"/>
    <cellStyle name="20% - Accent1 2 2 3 2 4 2 2 2" xfId="2553" xr:uid="{00000000-0005-0000-0000-000043010000}"/>
    <cellStyle name="20% - Accent1 2 2 3 2 4 2 3" xfId="19305" xr:uid="{00000000-0005-0000-0000-000044010000}"/>
    <cellStyle name="20% - Accent1 2 2 3 2 4 3" xfId="834" xr:uid="{00000000-0005-0000-0000-000045010000}"/>
    <cellStyle name="20% - Accent1 2 2 3 2 4 3 2" xfId="11540" xr:uid="{00000000-0005-0000-0000-000046010000}"/>
    <cellStyle name="20% - Accent1 2 2 3 2 4 4" xfId="496" xr:uid="{00000000-0005-0000-0000-000047010000}"/>
    <cellStyle name="20% - Accent1 2 2 3 2 5" xfId="168" xr:uid="{00000000-0005-0000-0000-000048010000}"/>
    <cellStyle name="20% - Accent1 2 2 3 2 5 2" xfId="3027" xr:uid="{00000000-0005-0000-0000-000049010000}"/>
    <cellStyle name="20% - Accent1 2 2 3 2 5 2 2" xfId="23481" xr:uid="{00000000-0005-0000-0000-00004A010000}"/>
    <cellStyle name="20% - Accent1 2 2 3 2 5 3" xfId="8759" xr:uid="{00000000-0005-0000-0000-00004B010000}"/>
    <cellStyle name="20% - Accent1 2 2 3 2 6" xfId="30740" xr:uid="{00000000-0005-0000-0000-00004C010000}"/>
    <cellStyle name="20% - Accent1 2 2 3 2 6 2" xfId="574" xr:uid="{00000000-0005-0000-0000-00004D010000}"/>
    <cellStyle name="20% - Accent1 2 2 3 2 7" xfId="382" xr:uid="{00000000-0005-0000-0000-00004E010000}"/>
    <cellStyle name="20% - Accent1 2 2 3 3" xfId="366" xr:uid="{00000000-0005-0000-0000-00004F010000}"/>
    <cellStyle name="20% - Accent1 2 2 3 3 2" xfId="2703" xr:uid="{00000000-0005-0000-0000-000050010000}"/>
    <cellStyle name="20% - Accent1 2 2 3 3 2 2" xfId="9486" xr:uid="{00000000-0005-0000-0000-000051010000}"/>
    <cellStyle name="20% - Accent1 2 2 3 3 2 2 2" xfId="3953" xr:uid="{00000000-0005-0000-0000-000052010000}"/>
    <cellStyle name="20% - Accent1 2 2 3 3 2 2 2 2" xfId="23125" xr:uid="{00000000-0005-0000-0000-000053010000}"/>
    <cellStyle name="20% - Accent1 2 2 3 3 2 2 2 2 2" xfId="10678" xr:uid="{00000000-0005-0000-0000-000054010000}"/>
    <cellStyle name="20% - Accent1 2 2 3 3 2 2 2 3" xfId="20414" xr:uid="{00000000-0005-0000-0000-000055010000}"/>
    <cellStyle name="20% - Accent1 2 2 3 3 2 2 3" xfId="4221" xr:uid="{00000000-0005-0000-0000-000056010000}"/>
    <cellStyle name="20% - Accent1 2 2 3 3 2 2 3 2" xfId="12172" xr:uid="{00000000-0005-0000-0000-000057010000}"/>
    <cellStyle name="20% - Accent1 2 2 3 3 2 2 4" xfId="11573" xr:uid="{00000000-0005-0000-0000-000058010000}"/>
    <cellStyle name="20% - Accent1 2 2 3 3 2 3" xfId="8556" xr:uid="{00000000-0005-0000-0000-000059010000}"/>
    <cellStyle name="20% - Accent1 2 2 3 3 2 3 2" xfId="4685" xr:uid="{00000000-0005-0000-0000-00005A010000}"/>
    <cellStyle name="20% - Accent1 2 2 3 3 2 3 2 2" xfId="8256" xr:uid="{00000000-0005-0000-0000-00005B010000}"/>
    <cellStyle name="20% - Accent1 2 2 3 3 2 3 3" xfId="11575" xr:uid="{00000000-0005-0000-0000-00005C010000}"/>
    <cellStyle name="20% - Accent1 2 2 3 3 2 4" xfId="1517" xr:uid="{00000000-0005-0000-0000-00005D010000}"/>
    <cellStyle name="20% - Accent1 2 2 3 3 2 4 2" xfId="15569" xr:uid="{00000000-0005-0000-0000-00005E010000}"/>
    <cellStyle name="20% - Accent1 2 2 3 3 2 5" xfId="21270" xr:uid="{00000000-0005-0000-0000-00005F010000}"/>
    <cellStyle name="20% - Accent1 2 2 3 3 3" xfId="2728" xr:uid="{00000000-0005-0000-0000-000060010000}"/>
    <cellStyle name="20% - Accent1 2 2 3 3 3 2" xfId="2740" xr:uid="{00000000-0005-0000-0000-000061010000}"/>
    <cellStyle name="20% - Accent1 2 2 3 3 3 2 2" xfId="4255" xr:uid="{00000000-0005-0000-0000-000062010000}"/>
    <cellStyle name="20% - Accent1 2 2 3 3 3 2 2 2" xfId="13616" xr:uid="{00000000-0005-0000-0000-000063010000}"/>
    <cellStyle name="20% - Accent1 2 2 3 3 3 2 3" xfId="11580" xr:uid="{00000000-0005-0000-0000-000064010000}"/>
    <cellStyle name="20% - Accent1 2 2 3 3 3 3" xfId="21279" xr:uid="{00000000-0005-0000-0000-000065010000}"/>
    <cellStyle name="20% - Accent1 2 2 3 3 3 3 2" xfId="14267" xr:uid="{00000000-0005-0000-0000-000066010000}"/>
    <cellStyle name="20% - Accent1 2 2 3 3 3 4" xfId="21297" xr:uid="{00000000-0005-0000-0000-000067010000}"/>
    <cellStyle name="20% - Accent1 2 2 3 3 4" xfId="10917" xr:uid="{00000000-0005-0000-0000-000068010000}"/>
    <cellStyle name="20% - Accent1 2 2 3 3 4 2" xfId="22957" xr:uid="{00000000-0005-0000-0000-000069010000}"/>
    <cellStyle name="20% - Accent1 2 2 3 3 4 2 2" xfId="20033" xr:uid="{00000000-0005-0000-0000-00006A010000}"/>
    <cellStyle name="20% - Accent1 2 2 3 3 4 3" xfId="10411" xr:uid="{00000000-0005-0000-0000-00006B010000}"/>
    <cellStyle name="20% - Accent1 2 2 3 3 5" xfId="10470" xr:uid="{00000000-0005-0000-0000-00006C010000}"/>
    <cellStyle name="20% - Accent1 2 2 3 3 5 2" xfId="22962" xr:uid="{00000000-0005-0000-0000-00006D010000}"/>
    <cellStyle name="20% - Accent1 2 2 3 3 6" xfId="7012" xr:uid="{00000000-0005-0000-0000-00006E010000}"/>
    <cellStyle name="20% - Accent1 2 2 3 4" xfId="3249" xr:uid="{00000000-0005-0000-0000-00006F010000}"/>
    <cellStyle name="20% - Accent1 2 2 3 4 2" xfId="2760" xr:uid="{00000000-0005-0000-0000-000070010000}"/>
    <cellStyle name="20% - Accent1 2 2 3 4 2 2" xfId="3251" xr:uid="{00000000-0005-0000-0000-000071010000}"/>
    <cellStyle name="20% - Accent1 2 2 3 4 2 2 2" xfId="4473" xr:uid="{00000000-0005-0000-0000-000072010000}"/>
    <cellStyle name="20% - Accent1 2 2 3 4 2 2 2 2" xfId="13720" xr:uid="{00000000-0005-0000-0000-000073010000}"/>
    <cellStyle name="20% - Accent1 2 2 3 4 2 2 3" xfId="11602" xr:uid="{00000000-0005-0000-0000-000074010000}"/>
    <cellStyle name="20% - Accent1 2 2 3 4 2 3" xfId="17542" xr:uid="{00000000-0005-0000-0000-000075010000}"/>
    <cellStyle name="20% - Accent1 2 2 3 4 2 3 2" xfId="11606" xr:uid="{00000000-0005-0000-0000-000076010000}"/>
    <cellStyle name="20% - Accent1 2 2 3 4 2 4" xfId="21420" xr:uid="{00000000-0005-0000-0000-000077010000}"/>
    <cellStyle name="20% - Accent1 2 2 3 4 3" xfId="3598" xr:uid="{00000000-0005-0000-0000-000078010000}"/>
    <cellStyle name="20% - Accent1 2 2 3 4 3 2" xfId="17549" xr:uid="{00000000-0005-0000-0000-000079010000}"/>
    <cellStyle name="20% - Accent1 2 2 3 4 3 2 2" xfId="16966" xr:uid="{00000000-0005-0000-0000-00007A010000}"/>
    <cellStyle name="20% - Accent1 2 2 3 4 3 3" xfId="21428" xr:uid="{00000000-0005-0000-0000-00007B010000}"/>
    <cellStyle name="20% - Accent1 2 2 3 4 4" xfId="23010" xr:uid="{00000000-0005-0000-0000-00007C010000}"/>
    <cellStyle name="20% - Accent1 2 2 3 4 4 2" xfId="23017" xr:uid="{00000000-0005-0000-0000-00007D010000}"/>
    <cellStyle name="20% - Accent1 2 2 3 4 5" xfId="23020" xr:uid="{00000000-0005-0000-0000-00007E010000}"/>
    <cellStyle name="20% - Accent1 2 2 3 5" xfId="8765" xr:uid="{00000000-0005-0000-0000-00007F010000}"/>
    <cellStyle name="20% - Accent1 2 2 3 5 2" xfId="2780" xr:uid="{00000000-0005-0000-0000-000080010000}"/>
    <cellStyle name="20% - Accent1 2 2 3 5 2 2" xfId="18960" xr:uid="{00000000-0005-0000-0000-000081010000}"/>
    <cellStyle name="20% - Accent1 2 2 3 5 2 2 2" xfId="11611" xr:uid="{00000000-0005-0000-0000-000082010000}"/>
    <cellStyle name="20% - Accent1 2 2 3 5 2 3" xfId="19152" xr:uid="{00000000-0005-0000-0000-000083010000}"/>
    <cellStyle name="20% - Accent1 2 2 3 5 3" xfId="14091" xr:uid="{00000000-0005-0000-0000-000084010000}"/>
    <cellStyle name="20% - Accent1 2 2 3 5 3 2" xfId="19593" xr:uid="{00000000-0005-0000-0000-000085010000}"/>
    <cellStyle name="20% - Accent1 2 2 3 5 4" xfId="6681" xr:uid="{00000000-0005-0000-0000-000086010000}"/>
    <cellStyle name="20% - Accent1 2 2 3 6" xfId="4492" xr:uid="{00000000-0005-0000-0000-000087010000}"/>
    <cellStyle name="20% - Accent1 2 2 3 6 2" xfId="20090" xr:uid="{00000000-0005-0000-0000-000088010000}"/>
    <cellStyle name="20% - Accent1 2 2 3 6 2 2" xfId="19224" xr:uid="{00000000-0005-0000-0000-000089010000}"/>
    <cellStyle name="20% - Accent1 2 2 3 6 3" xfId="14095" xr:uid="{00000000-0005-0000-0000-00008A010000}"/>
    <cellStyle name="20% - Accent1 2 2 3 7" xfId="4821" xr:uid="{00000000-0005-0000-0000-00008B010000}"/>
    <cellStyle name="20% - Accent1 2 2 3 7 2" xfId="23073" xr:uid="{00000000-0005-0000-0000-00008C010000}"/>
    <cellStyle name="20% - Accent1 2 2 3 8" xfId="5388" xr:uid="{00000000-0005-0000-0000-00008D010000}"/>
    <cellStyle name="20% - Accent1 2 2 4" xfId="28363" xr:uid="{00000000-0005-0000-0000-00008E010000}"/>
    <cellStyle name="20% - Accent1 2 2 4 2" xfId="25624" xr:uid="{00000000-0005-0000-0000-00008F010000}"/>
    <cellStyle name="20% - Accent1 2 2 4 2 2" xfId="22763" xr:uid="{00000000-0005-0000-0000-000090010000}"/>
    <cellStyle name="20% - Accent1 2 2 4 2 2 2" xfId="1064" xr:uid="{00000000-0005-0000-0000-000091010000}"/>
    <cellStyle name="20% - Accent1 2 2 4 2 2 2 2" xfId="15711" xr:uid="{00000000-0005-0000-0000-000092010000}"/>
    <cellStyle name="20% - Accent1 2 2 4 2 2 2 2 2" xfId="5049" xr:uid="{00000000-0005-0000-0000-000093010000}"/>
    <cellStyle name="20% - Accent1 2 2 4 2 2 2 2 2 2" xfId="8067" xr:uid="{00000000-0005-0000-0000-000094010000}"/>
    <cellStyle name="20% - Accent1 2 2 4 2 2 2 2 3" xfId="22070" xr:uid="{00000000-0005-0000-0000-000095010000}"/>
    <cellStyle name="20% - Accent1 2 2 4 2 2 2 3" xfId="15721" xr:uid="{00000000-0005-0000-0000-000096010000}"/>
    <cellStyle name="20% - Accent1 2 2 4 2 2 2 3 2" xfId="6012" xr:uid="{00000000-0005-0000-0000-000097010000}"/>
    <cellStyle name="20% - Accent1 2 2 4 2 2 2 4" xfId="11675" xr:uid="{00000000-0005-0000-0000-000098010000}"/>
    <cellStyle name="20% - Accent1 2 2 4 2 2 3" xfId="1071" xr:uid="{00000000-0005-0000-0000-000099010000}"/>
    <cellStyle name="20% - Accent1 2 2 4 2 2 3 2" xfId="26613" xr:uid="{00000000-0005-0000-0000-00009A010000}"/>
    <cellStyle name="20% - Accent1 2 2 4 2 2 3 2 2" xfId="15777" xr:uid="{00000000-0005-0000-0000-00009B010000}"/>
    <cellStyle name="20% - Accent1 2 2 4 2 2 3 3" xfId="26626" xr:uid="{00000000-0005-0000-0000-00009C010000}"/>
    <cellStyle name="20% - Accent1 2 2 4 2 2 4" xfId="1081" xr:uid="{00000000-0005-0000-0000-00009D010000}"/>
    <cellStyle name="20% - Accent1 2 2 4 2 2 4 2" xfId="30038" xr:uid="{00000000-0005-0000-0000-00009E010000}"/>
    <cellStyle name="20% - Accent1 2 2 4 2 2 5" xfId="1686" xr:uid="{00000000-0005-0000-0000-00009F010000}"/>
    <cellStyle name="20% - Accent1 2 2 4 2 3" xfId="27449" xr:uid="{00000000-0005-0000-0000-0000A0010000}"/>
    <cellStyle name="20% - Accent1 2 2 4 2 3 2" xfId="1096" xr:uid="{00000000-0005-0000-0000-0000A1010000}"/>
    <cellStyle name="20% - Accent1 2 2 4 2 3 2 2" xfId="30162" xr:uid="{00000000-0005-0000-0000-0000A2010000}"/>
    <cellStyle name="20% - Accent1 2 2 4 2 3 2 2 2" xfId="16111" xr:uid="{00000000-0005-0000-0000-0000A3010000}"/>
    <cellStyle name="20% - Accent1 2 2 4 2 3 2 3" xfId="15754" xr:uid="{00000000-0005-0000-0000-0000A4010000}"/>
    <cellStyle name="20% - Accent1 2 2 4 2 3 3" xfId="1111" xr:uid="{00000000-0005-0000-0000-0000A5010000}"/>
    <cellStyle name="20% - Accent1 2 2 4 2 3 3 2" xfId="29031" xr:uid="{00000000-0005-0000-0000-0000A6010000}"/>
    <cellStyle name="20% - Accent1 2 2 4 2 3 4" xfId="1755" xr:uid="{00000000-0005-0000-0000-0000A7010000}"/>
    <cellStyle name="20% - Accent1 2 2 4 2 4" xfId="1185" xr:uid="{00000000-0005-0000-0000-0000A8010000}"/>
    <cellStyle name="20% - Accent1 2 2 4 2 4 2" xfId="2412" xr:uid="{00000000-0005-0000-0000-0000A9010000}"/>
    <cellStyle name="20% - Accent1 2 2 4 2 4 2 2" xfId="9524" xr:uid="{00000000-0005-0000-0000-0000AA010000}"/>
    <cellStyle name="20% - Accent1 2 2 4 2 4 3" xfId="1780" xr:uid="{00000000-0005-0000-0000-0000AB010000}"/>
    <cellStyle name="20% - Accent1 2 2 4 2 5" xfId="5283" xr:uid="{00000000-0005-0000-0000-0000AC010000}"/>
    <cellStyle name="20% - Accent1 2 2 4 2 5 2" xfId="15348" xr:uid="{00000000-0005-0000-0000-0000AD010000}"/>
    <cellStyle name="20% - Accent1 2 2 4 2 6" xfId="1818" xr:uid="{00000000-0005-0000-0000-0000AE010000}"/>
    <cellStyle name="20% - Accent1 2 2 4 3" xfId="22777" xr:uid="{00000000-0005-0000-0000-0000AF010000}"/>
    <cellStyle name="20% - Accent1 2 2 4 3 2" xfId="22511" xr:uid="{00000000-0005-0000-0000-0000B0010000}"/>
    <cellStyle name="20% - Accent1 2 2 4 3 2 2" xfId="18620" xr:uid="{00000000-0005-0000-0000-0000B1010000}"/>
    <cellStyle name="20% - Accent1 2 2 4 3 2 2 2" xfId="16997" xr:uid="{00000000-0005-0000-0000-0000B2010000}"/>
    <cellStyle name="20% - Accent1 2 2 4 3 2 2 2 2" xfId="13892" xr:uid="{00000000-0005-0000-0000-0000B3010000}"/>
    <cellStyle name="20% - Accent1 2 2 4 3 2 2 3" xfId="11704" xr:uid="{00000000-0005-0000-0000-0000B4010000}"/>
    <cellStyle name="20% - Accent1 2 2 4 3 2 3" xfId="19434" xr:uid="{00000000-0005-0000-0000-0000B5010000}"/>
    <cellStyle name="20% - Accent1 2 2 4 3 2 3 2" xfId="21728" xr:uid="{00000000-0005-0000-0000-0000B6010000}"/>
    <cellStyle name="20% - Accent1 2 2 4 3 2 4" xfId="21630" xr:uid="{00000000-0005-0000-0000-0000B7010000}"/>
    <cellStyle name="20% - Accent1 2 2 4 3 3" xfId="8724" xr:uid="{00000000-0005-0000-0000-0000B8010000}"/>
    <cellStyle name="20% - Accent1 2 2 4 3 3 2" xfId="23147" xr:uid="{00000000-0005-0000-0000-0000B9010000}"/>
    <cellStyle name="20% - Accent1 2 2 4 3 3 2 2" xfId="15794" xr:uid="{00000000-0005-0000-0000-0000BA010000}"/>
    <cellStyle name="20% - Accent1 2 2 4 3 3 3" xfId="21647" xr:uid="{00000000-0005-0000-0000-0000BB010000}"/>
    <cellStyle name="20% - Accent1 2 2 4 3 4" xfId="10674" xr:uid="{00000000-0005-0000-0000-0000BC010000}"/>
    <cellStyle name="20% - Accent1 2 2 4 3 4 2" xfId="23152" xr:uid="{00000000-0005-0000-0000-0000BD010000}"/>
    <cellStyle name="20% - Accent1 2 2 4 3 5" xfId="13659" xr:uid="{00000000-0005-0000-0000-0000BE010000}"/>
    <cellStyle name="20% - Accent1 2 2 4 4" xfId="27896" xr:uid="{00000000-0005-0000-0000-0000BF010000}"/>
    <cellStyle name="20% - Accent1 2 2 4 4 2" xfId="18820" xr:uid="{00000000-0005-0000-0000-0000C0010000}"/>
    <cellStyle name="20% - Accent1 2 2 4 4 2 2" xfId="18827" xr:uid="{00000000-0005-0000-0000-0000C1010000}"/>
    <cellStyle name="20% - Accent1 2 2 4 4 2 2 2" xfId="23887" xr:uid="{00000000-0005-0000-0000-0000C2010000}"/>
    <cellStyle name="20% - Accent1 2 2 4 4 2 3" xfId="21707" xr:uid="{00000000-0005-0000-0000-0000C3010000}"/>
    <cellStyle name="20% - Accent1 2 2 4 4 3" xfId="9432" xr:uid="{00000000-0005-0000-0000-0000C4010000}"/>
    <cellStyle name="20% - Accent1 2 2 4 4 3 2" xfId="23179" xr:uid="{00000000-0005-0000-0000-0000C5010000}"/>
    <cellStyle name="20% - Accent1 2 2 4 4 4" xfId="18517" xr:uid="{00000000-0005-0000-0000-0000C6010000}"/>
    <cellStyle name="20% - Accent1 2 2 4 5" xfId="30249" xr:uid="{00000000-0005-0000-0000-0000C7010000}"/>
    <cellStyle name="20% - Accent1 2 2 4 5 2" xfId="12983" xr:uid="{00000000-0005-0000-0000-0000C8010000}"/>
    <cellStyle name="20% - Accent1 2 2 4 5 2 2" xfId="23199" xr:uid="{00000000-0005-0000-0000-0000C9010000}"/>
    <cellStyle name="20% - Accent1 2 2 4 5 3" xfId="18917" xr:uid="{00000000-0005-0000-0000-0000CA010000}"/>
    <cellStyle name="20% - Accent1 2 2 4 6" xfId="1377" xr:uid="{00000000-0005-0000-0000-0000CB010000}"/>
    <cellStyle name="20% - Accent1 2 2 4 6 2" xfId="18923" xr:uid="{00000000-0005-0000-0000-0000CC010000}"/>
    <cellStyle name="20% - Accent1 2 2 4 7" xfId="3295" xr:uid="{00000000-0005-0000-0000-0000CD010000}"/>
    <cellStyle name="20% - Accent1 2 2 5" xfId="20245" xr:uid="{00000000-0005-0000-0000-0000CE010000}"/>
    <cellStyle name="20% - Accent1 2 2 5 2" xfId="1244" xr:uid="{00000000-0005-0000-0000-0000CF010000}"/>
    <cellStyle name="20% - Accent1 2 2 5 2 2" xfId="5181" xr:uid="{00000000-0005-0000-0000-0000D0010000}"/>
    <cellStyle name="20% - Accent1 2 2 5 2 2 2" xfId="9040" xr:uid="{00000000-0005-0000-0000-0000D1010000}"/>
    <cellStyle name="20% - Accent1 2 2 5 2 2 2 2" xfId="19351" xr:uid="{00000000-0005-0000-0000-0000D2010000}"/>
    <cellStyle name="20% - Accent1 2 2 5 2 2 2 2 2" xfId="3401" xr:uid="{00000000-0005-0000-0000-0000D3010000}"/>
    <cellStyle name="20% - Accent1 2 2 5 2 2 2 3" xfId="15846" xr:uid="{00000000-0005-0000-0000-0000D4010000}"/>
    <cellStyle name="20% - Accent1 2 2 5 2 2 3" xfId="1323" xr:uid="{00000000-0005-0000-0000-0000D5010000}"/>
    <cellStyle name="20% - Accent1 2 2 5 2 2 3 2" xfId="15851" xr:uid="{00000000-0005-0000-0000-0000D6010000}"/>
    <cellStyle name="20% - Accent1 2 2 5 2 2 4" xfId="1655" xr:uid="{00000000-0005-0000-0000-0000D7010000}"/>
    <cellStyle name="20% - Accent1 2 2 5 2 3" xfId="8180" xr:uid="{00000000-0005-0000-0000-0000D8010000}"/>
    <cellStyle name="20% - Accent1 2 2 5 2 3 2" xfId="15332" xr:uid="{00000000-0005-0000-0000-0000D9010000}"/>
    <cellStyle name="20% - Accent1 2 2 5 2 3 2 2" xfId="14419" xr:uid="{00000000-0005-0000-0000-0000DA010000}"/>
    <cellStyle name="20% - Accent1 2 2 5 2 3 3" xfId="2029" xr:uid="{00000000-0005-0000-0000-0000DB010000}"/>
    <cellStyle name="20% - Accent1 2 2 5 2 4" xfId="7142" xr:uid="{00000000-0005-0000-0000-0000DC010000}"/>
    <cellStyle name="20% - Accent1 2 2 5 2 4 2" xfId="7086" xr:uid="{00000000-0005-0000-0000-0000DD010000}"/>
    <cellStyle name="20% - Accent1 2 2 5 2 5" xfId="3282" xr:uid="{00000000-0005-0000-0000-0000DE010000}"/>
    <cellStyle name="20% - Accent1 2 2 5 3" xfId="20761" xr:uid="{00000000-0005-0000-0000-0000DF010000}"/>
    <cellStyle name="20% - Accent1 2 2 5 3 2" xfId="22679" xr:uid="{00000000-0005-0000-0000-0000E0010000}"/>
    <cellStyle name="20% - Accent1 2 2 5 3 2 2" xfId="19028" xr:uid="{00000000-0005-0000-0000-0000E1010000}"/>
    <cellStyle name="20% - Accent1 2 2 5 3 2 2 2" xfId="5135" xr:uid="{00000000-0005-0000-0000-0000E2010000}"/>
    <cellStyle name="20% - Accent1 2 2 5 3 2 3" xfId="21780" xr:uid="{00000000-0005-0000-0000-0000E3010000}"/>
    <cellStyle name="20% - Accent1 2 2 5 3 3" xfId="8737" xr:uid="{00000000-0005-0000-0000-0000E4010000}"/>
    <cellStyle name="20% - Accent1 2 2 5 3 3 2" xfId="23241" xr:uid="{00000000-0005-0000-0000-0000E5010000}"/>
    <cellStyle name="20% - Accent1 2 2 5 3 4" xfId="18559" xr:uid="{00000000-0005-0000-0000-0000E6010000}"/>
    <cellStyle name="20% - Accent1 2 2 5 4" xfId="1122" xr:uid="{00000000-0005-0000-0000-0000E7010000}"/>
    <cellStyle name="20% - Accent1 2 2 5 4 2" xfId="19085" xr:uid="{00000000-0005-0000-0000-0000E8010000}"/>
    <cellStyle name="20% - Accent1 2 2 5 4 2 2" xfId="23250" xr:uid="{00000000-0005-0000-0000-0000E9010000}"/>
    <cellStyle name="20% - Accent1 2 2 5 4 3" xfId="19098" xr:uid="{00000000-0005-0000-0000-0000EA010000}"/>
    <cellStyle name="20% - Accent1 2 2 5 5" xfId="1706" xr:uid="{00000000-0005-0000-0000-0000EB010000}"/>
    <cellStyle name="20% - Accent1 2 2 5 5 2" xfId="19118" xr:uid="{00000000-0005-0000-0000-0000EC010000}"/>
    <cellStyle name="20% - Accent1 2 2 5 6" xfId="3805" xr:uid="{00000000-0005-0000-0000-0000ED010000}"/>
    <cellStyle name="20% - Accent1 2 2 6" xfId="28785" xr:uid="{00000000-0005-0000-0000-0000EE010000}"/>
    <cellStyle name="20% - Accent1 2 2 6 2" xfId="20800" xr:uid="{00000000-0005-0000-0000-0000EF010000}"/>
    <cellStyle name="20% - Accent1 2 2 6 2 2" xfId="6794" xr:uid="{00000000-0005-0000-0000-0000F0010000}"/>
    <cellStyle name="20% - Accent1 2 2 6 2 2 2" xfId="9456" xr:uid="{00000000-0005-0000-0000-0000F1010000}"/>
    <cellStyle name="20% - Accent1 2 2 6 2 2 2 2" xfId="15929" xr:uid="{00000000-0005-0000-0000-0000F2010000}"/>
    <cellStyle name="20% - Accent1 2 2 6 2 2 3" xfId="13701" xr:uid="{00000000-0005-0000-0000-0000F3010000}"/>
    <cellStyle name="20% - Accent1 2 2 6 2 3" xfId="8354" xr:uid="{00000000-0005-0000-0000-0000F4010000}"/>
    <cellStyle name="20% - Accent1 2 2 6 2 3 2" xfId="13710" xr:uid="{00000000-0005-0000-0000-0000F5010000}"/>
    <cellStyle name="20% - Accent1 2 2 6 2 4" xfId="3313" xr:uid="{00000000-0005-0000-0000-0000F6010000}"/>
    <cellStyle name="20% - Accent1 2 2 6 3" xfId="2235" xr:uid="{00000000-0005-0000-0000-0000F7010000}"/>
    <cellStyle name="20% - Accent1 2 2 6 3 2" xfId="17400" xr:uid="{00000000-0005-0000-0000-0000F8010000}"/>
    <cellStyle name="20% - Accent1 2 2 6 3 2 2" xfId="22986" xr:uid="{00000000-0005-0000-0000-0000F9010000}"/>
    <cellStyle name="20% - Accent1 2 2 6 3 3" xfId="17413" xr:uid="{00000000-0005-0000-0000-0000FA010000}"/>
    <cellStyle name="20% - Accent1 2 2 6 4" xfId="1878" xr:uid="{00000000-0005-0000-0000-0000FB010000}"/>
    <cellStyle name="20% - Accent1 2 2 6 4 2" xfId="17447" xr:uid="{00000000-0005-0000-0000-0000FC010000}"/>
    <cellStyle name="20% - Accent1 2 2 6 5" xfId="1746" xr:uid="{00000000-0005-0000-0000-0000FD010000}"/>
    <cellStyle name="20% - Accent1 2 2 7" xfId="27308" xr:uid="{00000000-0005-0000-0000-0000FE010000}"/>
    <cellStyle name="20% - Accent1 2 2 7 2" xfId="8976" xr:uid="{00000000-0005-0000-0000-0000FF010000}"/>
    <cellStyle name="20% - Accent1 2 2 7 2 2" xfId="21115" xr:uid="{00000000-0005-0000-0000-000000020000}"/>
    <cellStyle name="20% - Accent1 2 2 7 2 2 2" xfId="13398" xr:uid="{00000000-0005-0000-0000-000001020000}"/>
    <cellStyle name="20% - Accent1 2 2 7 2 3" xfId="2307" xr:uid="{00000000-0005-0000-0000-000002020000}"/>
    <cellStyle name="20% - Accent1 2 2 7 3" xfId="5241" xr:uid="{00000000-0005-0000-0000-000003020000}"/>
    <cellStyle name="20% - Accent1 2 2 7 3 2" xfId="17842" xr:uid="{00000000-0005-0000-0000-000004020000}"/>
    <cellStyle name="20% - Accent1 2 2 7 4" xfId="5245" xr:uid="{00000000-0005-0000-0000-000005020000}"/>
    <cellStyle name="20% - Accent1 2 2 8" xfId="2339" xr:uid="{00000000-0005-0000-0000-000006020000}"/>
    <cellStyle name="20% - Accent1 2 2 8 2" xfId="3736" xr:uid="{00000000-0005-0000-0000-000007020000}"/>
    <cellStyle name="20% - Accent1 2 2 8 2 2" xfId="8542" xr:uid="{00000000-0005-0000-0000-000008020000}"/>
    <cellStyle name="20% - Accent1 2 2 8 3" xfId="5253" xr:uid="{00000000-0005-0000-0000-000009020000}"/>
    <cellStyle name="20% - Accent1 2 2 9" xfId="1821" xr:uid="{00000000-0005-0000-0000-00000A020000}"/>
    <cellStyle name="20% - Accent1 2 2 9 2" xfId="5836" xr:uid="{00000000-0005-0000-0000-00000B020000}"/>
    <cellStyle name="20% - Accent1 2 3" xfId="3612" xr:uid="{00000000-0005-0000-0000-00000C020000}"/>
    <cellStyle name="20% - Accent1 2 3 2" xfId="3032" xr:uid="{00000000-0005-0000-0000-00000D020000}"/>
    <cellStyle name="20% - Accent1 2 3 2 2" xfId="3278" xr:uid="{00000000-0005-0000-0000-00000E020000}"/>
    <cellStyle name="20% - Accent1 2 3 2 2 2" xfId="33276" xr:uid="{00000000-0005-0000-0000-00000F020000}"/>
    <cellStyle name="20% - Accent1 2 3 2 2 2 2" xfId="8522" xr:uid="{00000000-0005-0000-0000-000010020000}"/>
    <cellStyle name="20% - Accent1 2 3 2 2 2 2 2" xfId="5190" xr:uid="{00000000-0005-0000-0000-000011020000}"/>
    <cellStyle name="20% - Accent1 2 3 2 2 2 2 2 2" xfId="15521" xr:uid="{00000000-0005-0000-0000-000012020000}"/>
    <cellStyle name="20% - Accent1 2 3 2 2 2 2 2 2 2" xfId="10838" xr:uid="{00000000-0005-0000-0000-000013020000}"/>
    <cellStyle name="20% - Accent1 2 3 2 2 2 2 2 2 2 2" xfId="13876" xr:uid="{00000000-0005-0000-0000-000014020000}"/>
    <cellStyle name="20% - Accent1 2 3 2 2 2 2 2 2 3" xfId="8258" xr:uid="{00000000-0005-0000-0000-000015020000}"/>
    <cellStyle name="20% - Accent1 2 3 2 2 2 2 2 3" xfId="6747" xr:uid="{00000000-0005-0000-0000-000016020000}"/>
    <cellStyle name="20% - Accent1 2 3 2 2 2 2 2 3 2" xfId="8264" xr:uid="{00000000-0005-0000-0000-000017020000}"/>
    <cellStyle name="20% - Accent1 2 3 2 2 2 2 2 4" xfId="850" xr:uid="{00000000-0005-0000-0000-000018020000}"/>
    <cellStyle name="20% - Accent1 2 3 2 2 2 2 3" xfId="30760" xr:uid="{00000000-0005-0000-0000-000019020000}"/>
    <cellStyle name="20% - Accent1 2 3 2 2 2 2 3 2" xfId="3051" xr:uid="{00000000-0005-0000-0000-00001A020000}"/>
    <cellStyle name="20% - Accent1 2 3 2 2 2 2 3 2 2" xfId="8273" xr:uid="{00000000-0005-0000-0000-00001B020000}"/>
    <cellStyle name="20% - Accent1 2 3 2 2 2 2 3 3" xfId="1398" xr:uid="{00000000-0005-0000-0000-00001C020000}"/>
    <cellStyle name="20% - Accent1 2 3 2 2 2 2 4" xfId="27415" xr:uid="{00000000-0005-0000-0000-00001D020000}"/>
    <cellStyle name="20% - Accent1 2 3 2 2 2 2 4 2" xfId="2565" xr:uid="{00000000-0005-0000-0000-00001E020000}"/>
    <cellStyle name="20% - Accent1 2 3 2 2 2 2 5" xfId="27053" xr:uid="{00000000-0005-0000-0000-00001F020000}"/>
    <cellStyle name="20% - Accent1 2 3 2 2 2 3" xfId="9166" xr:uid="{00000000-0005-0000-0000-000020020000}"/>
    <cellStyle name="20% - Accent1 2 3 2 2 2 3 2" xfId="26551" xr:uid="{00000000-0005-0000-0000-000021020000}"/>
    <cellStyle name="20% - Accent1 2 3 2 2 2 3 2 2" xfId="3058" xr:uid="{00000000-0005-0000-0000-000022020000}"/>
    <cellStyle name="20% - Accent1 2 3 2 2 2 3 2 2 2" xfId="8289" xr:uid="{00000000-0005-0000-0000-000023020000}"/>
    <cellStyle name="20% - Accent1 2 3 2 2 2 3 2 3" xfId="6199" xr:uid="{00000000-0005-0000-0000-000024020000}"/>
    <cellStyle name="20% - Accent1 2 3 2 2 2 3 3" xfId="11171" xr:uid="{00000000-0005-0000-0000-000025020000}"/>
    <cellStyle name="20% - Accent1 2 3 2 2 2 3 3 2" xfId="685" xr:uid="{00000000-0005-0000-0000-000026020000}"/>
    <cellStyle name="20% - Accent1 2 3 2 2 2 3 4" xfId="12296" xr:uid="{00000000-0005-0000-0000-000027020000}"/>
    <cellStyle name="20% - Accent1 2 3 2 2 2 4" xfId="9194" xr:uid="{00000000-0005-0000-0000-000028020000}"/>
    <cellStyle name="20% - Accent1 2 3 2 2 2 4 2" xfId="11179" xr:uid="{00000000-0005-0000-0000-000029020000}"/>
    <cellStyle name="20% - Accent1 2 3 2 2 2 4 2 2" xfId="689" xr:uid="{00000000-0005-0000-0000-00002A020000}"/>
    <cellStyle name="20% - Accent1 2 3 2 2 2 4 3" xfId="11894" xr:uid="{00000000-0005-0000-0000-00002B020000}"/>
    <cellStyle name="20% - Accent1 2 3 2 2 2 5" xfId="2880" xr:uid="{00000000-0005-0000-0000-00002C020000}"/>
    <cellStyle name="20% - Accent1 2 3 2 2 2 5 2" xfId="27880" xr:uid="{00000000-0005-0000-0000-00002D020000}"/>
    <cellStyle name="20% - Accent1 2 3 2 2 2 6" xfId="1293" xr:uid="{00000000-0005-0000-0000-00002E020000}"/>
    <cellStyle name="20% - Accent1 2 3 2 2 3" xfId="10300" xr:uid="{00000000-0005-0000-0000-00002F020000}"/>
    <cellStyle name="20% - Accent1 2 3 2 2 3 2" xfId="9202" xr:uid="{00000000-0005-0000-0000-000030020000}"/>
    <cellStyle name="20% - Accent1 2 3 2 2 3 2 2" xfId="29762" xr:uid="{00000000-0005-0000-0000-000031020000}"/>
    <cellStyle name="20% - Accent1 2 3 2 2 3 2 2 2" xfId="3201" xr:uid="{00000000-0005-0000-0000-000032020000}"/>
    <cellStyle name="20% - Accent1 2 3 2 2 3 2 2 2 2" xfId="8416" xr:uid="{00000000-0005-0000-0000-000033020000}"/>
    <cellStyle name="20% - Accent1 2 3 2 2 3 2 2 3" xfId="1558" xr:uid="{00000000-0005-0000-0000-000034020000}"/>
    <cellStyle name="20% - Accent1 2 3 2 2 3 2 3" xfId="11316" xr:uid="{00000000-0005-0000-0000-000035020000}"/>
    <cellStyle name="20% - Accent1 2 3 2 2 3 2 3 2" xfId="340" xr:uid="{00000000-0005-0000-0000-000036020000}"/>
    <cellStyle name="20% - Accent1 2 3 2 2 3 2 4" xfId="22661" xr:uid="{00000000-0005-0000-0000-000037020000}"/>
    <cellStyle name="20% - Accent1 2 3 2 2 3 3" xfId="7635" xr:uid="{00000000-0005-0000-0000-000038020000}"/>
    <cellStyle name="20% - Accent1 2 3 2 2 3 3 2" xfId="11335" xr:uid="{00000000-0005-0000-0000-000039020000}"/>
    <cellStyle name="20% - Accent1 2 3 2 2 3 3 2 2" xfId="2312" xr:uid="{00000000-0005-0000-0000-00003A020000}"/>
    <cellStyle name="20% - Accent1 2 3 2 2 3 3 3" xfId="11900" xr:uid="{00000000-0005-0000-0000-00003B020000}"/>
    <cellStyle name="20% - Accent1 2 3 2 2 3 4" xfId="127" xr:uid="{00000000-0005-0000-0000-00003C020000}"/>
    <cellStyle name="20% - Accent1 2 3 2 2 3 4 2" xfId="31789" xr:uid="{00000000-0005-0000-0000-00003D020000}"/>
    <cellStyle name="20% - Accent1 2 3 2 2 3 5" xfId="4485" xr:uid="{00000000-0005-0000-0000-00003E020000}"/>
    <cellStyle name="20% - Accent1 2 3 2 2 4" xfId="25391" xr:uid="{00000000-0005-0000-0000-00003F020000}"/>
    <cellStyle name="20% - Accent1 2 3 2 2 4 2" xfId="5975" xr:uid="{00000000-0005-0000-0000-000040020000}"/>
    <cellStyle name="20% - Accent1 2 3 2 2 4 2 2" xfId="5270" xr:uid="{00000000-0005-0000-0000-000041020000}"/>
    <cellStyle name="20% - Accent1 2 3 2 2 4 2 2 2" xfId="1139" xr:uid="{00000000-0005-0000-0000-000042020000}"/>
    <cellStyle name="20% - Accent1 2 3 2 2 4 2 3" xfId="11911" xr:uid="{00000000-0005-0000-0000-000043020000}"/>
    <cellStyle name="20% - Accent1 2 3 2 2 4 3" xfId="1639" xr:uid="{00000000-0005-0000-0000-000044020000}"/>
    <cellStyle name="20% - Accent1 2 3 2 2 4 3 2" xfId="5279" xr:uid="{00000000-0005-0000-0000-000045020000}"/>
    <cellStyle name="20% - Accent1 2 3 2 2 4 4" xfId="1649" xr:uid="{00000000-0005-0000-0000-000046020000}"/>
    <cellStyle name="20% - Accent1 2 3 2 2 5" xfId="10481" xr:uid="{00000000-0005-0000-0000-000047020000}"/>
    <cellStyle name="20% - Accent1 2 3 2 2 5 2" xfId="2139" xr:uid="{00000000-0005-0000-0000-000048020000}"/>
    <cellStyle name="20% - Accent1 2 3 2 2 5 2 2" xfId="11918" xr:uid="{00000000-0005-0000-0000-000049020000}"/>
    <cellStyle name="20% - Accent1 2 3 2 2 5 3" xfId="1121" xr:uid="{00000000-0005-0000-0000-00004A020000}"/>
    <cellStyle name="20% - Accent1 2 3 2 2 6" xfId="26545" xr:uid="{00000000-0005-0000-0000-00004B020000}"/>
    <cellStyle name="20% - Accent1 2 3 2 2 6 2" xfId="232" xr:uid="{00000000-0005-0000-0000-00004C020000}"/>
    <cellStyle name="20% - Accent1 2 3 2 2 7" xfId="26552" xr:uid="{00000000-0005-0000-0000-00004D020000}"/>
    <cellStyle name="20% - Accent1 2 3 2 3" xfId="723" xr:uid="{00000000-0005-0000-0000-00004E020000}"/>
    <cellStyle name="20% - Accent1 2 3 2 3 2" xfId="25026" xr:uid="{00000000-0005-0000-0000-00004F020000}"/>
    <cellStyle name="20% - Accent1 2 3 2 3 2 2" xfId="25596" xr:uid="{00000000-0005-0000-0000-000050020000}"/>
    <cellStyle name="20% - Accent1 2 3 2 3 2 2 2" xfId="11517" xr:uid="{00000000-0005-0000-0000-000051020000}"/>
    <cellStyle name="20% - Accent1 2 3 2 3 2 2 2 2" xfId="4118" xr:uid="{00000000-0005-0000-0000-000052020000}"/>
    <cellStyle name="20% - Accent1 2 3 2 3 2 2 2 2 2" xfId="28962" xr:uid="{00000000-0005-0000-0000-000053020000}"/>
    <cellStyle name="20% - Accent1 2 3 2 3 2 2 2 3" xfId="3675" xr:uid="{00000000-0005-0000-0000-000054020000}"/>
    <cellStyle name="20% - Accent1 2 3 2 3 2 2 3" xfId="21681" xr:uid="{00000000-0005-0000-0000-000055020000}"/>
    <cellStyle name="20% - Accent1 2 3 2 3 2 2 3 2" xfId="732" xr:uid="{00000000-0005-0000-0000-000056020000}"/>
    <cellStyle name="20% - Accent1 2 3 2 3 2 2 4" xfId="10787" xr:uid="{00000000-0005-0000-0000-000057020000}"/>
    <cellStyle name="20% - Accent1 2 3 2 3 2 3" xfId="22016" xr:uid="{00000000-0005-0000-0000-000058020000}"/>
    <cellStyle name="20% - Accent1 2 3 2 3 2 3 2" xfId="27481" xr:uid="{00000000-0005-0000-0000-000059020000}"/>
    <cellStyle name="20% - Accent1 2 3 2 3 2 3 2 2" xfId="1532" xr:uid="{00000000-0005-0000-0000-00005A020000}"/>
    <cellStyle name="20% - Accent1 2 3 2 3 2 3 3" xfId="11969" xr:uid="{00000000-0005-0000-0000-00005B020000}"/>
    <cellStyle name="20% - Accent1 2 3 2 3 2 4" xfId="22028" xr:uid="{00000000-0005-0000-0000-00005C020000}"/>
    <cellStyle name="20% - Accent1 2 3 2 3 2 4 2" xfId="21725" xr:uid="{00000000-0005-0000-0000-00005D020000}"/>
    <cellStyle name="20% - Accent1 2 3 2 3 2 5" xfId="22031" xr:uid="{00000000-0005-0000-0000-00005E020000}"/>
    <cellStyle name="20% - Accent1 2 3 2 3 3" xfId="25043" xr:uid="{00000000-0005-0000-0000-00005F020000}"/>
    <cellStyle name="20% - Accent1 2 3 2 3 3 2" xfId="25044" xr:uid="{00000000-0005-0000-0000-000060020000}"/>
    <cellStyle name="20% - Accent1 2 3 2 3 3 2 2" xfId="11579" xr:uid="{00000000-0005-0000-0000-000061020000}"/>
    <cellStyle name="20% - Accent1 2 3 2 3 3 2 2 2" xfId="290" xr:uid="{00000000-0005-0000-0000-000062020000}"/>
    <cellStyle name="20% - Accent1 2 3 2 3 3 2 3" xfId="11978" xr:uid="{00000000-0005-0000-0000-000063020000}"/>
    <cellStyle name="20% - Accent1 2 3 2 3 3 3" xfId="22032" xr:uid="{00000000-0005-0000-0000-000064020000}"/>
    <cellStyle name="20% - Accent1 2 3 2 3 3 3 2" xfId="11981" xr:uid="{00000000-0005-0000-0000-000065020000}"/>
    <cellStyle name="20% - Accent1 2 3 2 3 3 4" xfId="22050" xr:uid="{00000000-0005-0000-0000-000066020000}"/>
    <cellStyle name="20% - Accent1 2 3 2 3 4" xfId="25057" xr:uid="{00000000-0005-0000-0000-000067020000}"/>
    <cellStyle name="20% - Accent1 2 3 2 3 4 2" xfId="25059" xr:uid="{00000000-0005-0000-0000-000068020000}"/>
    <cellStyle name="20% - Accent1 2 3 2 3 4 2 2" xfId="11983" xr:uid="{00000000-0005-0000-0000-000069020000}"/>
    <cellStyle name="20% - Accent1 2 3 2 3 4 3" xfId="22057" xr:uid="{00000000-0005-0000-0000-00006A020000}"/>
    <cellStyle name="20% - Accent1 2 3 2 3 5" xfId="12589" xr:uid="{00000000-0005-0000-0000-00006B020000}"/>
    <cellStyle name="20% - Accent1 2 3 2 3 5 2" xfId="25065" xr:uid="{00000000-0005-0000-0000-00006C020000}"/>
    <cellStyle name="20% - Accent1 2 3 2 3 6" xfId="14626" xr:uid="{00000000-0005-0000-0000-00006D020000}"/>
    <cellStyle name="20% - Accent1 2 3 2 4" xfId="28465" xr:uid="{00000000-0005-0000-0000-00006E020000}"/>
    <cellStyle name="20% - Accent1 2 3 2 4 2" xfId="25106" xr:uid="{00000000-0005-0000-0000-00006F020000}"/>
    <cellStyle name="20% - Accent1 2 3 2 4 2 2" xfId="25107" xr:uid="{00000000-0005-0000-0000-000070020000}"/>
    <cellStyle name="20% - Accent1 2 3 2 4 2 2 2" xfId="11685" xr:uid="{00000000-0005-0000-0000-000071020000}"/>
    <cellStyle name="20% - Accent1 2 3 2 4 2 2 2 2" xfId="1382" xr:uid="{00000000-0005-0000-0000-000072020000}"/>
    <cellStyle name="20% - Accent1 2 3 2 4 2 2 3" xfId="29814" xr:uid="{00000000-0005-0000-0000-000073020000}"/>
    <cellStyle name="20% - Accent1 2 3 2 4 2 3" xfId="22130" xr:uid="{00000000-0005-0000-0000-000074020000}"/>
    <cellStyle name="20% - Accent1 2 3 2 4 2 3 2" xfId="12021" xr:uid="{00000000-0005-0000-0000-000075020000}"/>
    <cellStyle name="20% - Accent1 2 3 2 4 2 4" xfId="22148" xr:uid="{00000000-0005-0000-0000-000076020000}"/>
    <cellStyle name="20% - Accent1 2 3 2 4 3" xfId="25116" xr:uid="{00000000-0005-0000-0000-000077020000}"/>
    <cellStyle name="20% - Accent1 2 3 2 4 3 2" xfId="25121" xr:uid="{00000000-0005-0000-0000-000078020000}"/>
    <cellStyle name="20% - Accent1 2 3 2 4 3 2 2" xfId="29332" xr:uid="{00000000-0005-0000-0000-000079020000}"/>
    <cellStyle name="20% - Accent1 2 3 2 4 3 3" xfId="22155" xr:uid="{00000000-0005-0000-0000-00007A020000}"/>
    <cellStyle name="20% - Accent1 2 3 2 4 4" xfId="25132" xr:uid="{00000000-0005-0000-0000-00007B020000}"/>
    <cellStyle name="20% - Accent1 2 3 2 4 4 2" xfId="25134" xr:uid="{00000000-0005-0000-0000-00007C020000}"/>
    <cellStyle name="20% - Accent1 2 3 2 4 5" xfId="25135" xr:uid="{00000000-0005-0000-0000-00007D020000}"/>
    <cellStyle name="20% - Accent1 2 3 2 5" xfId="471" xr:uid="{00000000-0005-0000-0000-00007E020000}"/>
    <cellStyle name="20% - Accent1 2 3 2 5 2" xfId="25172" xr:uid="{00000000-0005-0000-0000-00007F020000}"/>
    <cellStyle name="20% - Accent1 2 3 2 5 2 2" xfId="25178" xr:uid="{00000000-0005-0000-0000-000080020000}"/>
    <cellStyle name="20% - Accent1 2 3 2 5 2 2 2" xfId="33777" xr:uid="{00000000-0005-0000-0000-000081020000}"/>
    <cellStyle name="20% - Accent1 2 3 2 5 2 3" xfId="11228" xr:uid="{00000000-0005-0000-0000-000082020000}"/>
    <cellStyle name="20% - Accent1 2 3 2 5 3" xfId="25188" xr:uid="{00000000-0005-0000-0000-000083020000}"/>
    <cellStyle name="20% - Accent1 2 3 2 5 3 2" xfId="2212" xr:uid="{00000000-0005-0000-0000-000084020000}"/>
    <cellStyle name="20% - Accent1 2 3 2 5 4" xfId="25192" xr:uid="{00000000-0005-0000-0000-000085020000}"/>
    <cellStyle name="20% - Accent1 2 3 2 6" xfId="3259" xr:uid="{00000000-0005-0000-0000-000086020000}"/>
    <cellStyle name="20% - Accent1 2 3 2 6 2" xfId="20267" xr:uid="{00000000-0005-0000-0000-000087020000}"/>
    <cellStyle name="20% - Accent1 2 3 2 6 2 2" xfId="25218" xr:uid="{00000000-0005-0000-0000-000088020000}"/>
    <cellStyle name="20% - Accent1 2 3 2 6 3" xfId="25227" xr:uid="{00000000-0005-0000-0000-000089020000}"/>
    <cellStyle name="20% - Accent1 2 3 2 7" xfId="3309" xr:uid="{00000000-0005-0000-0000-00008A020000}"/>
    <cellStyle name="20% - Accent1 2 3 2 7 2" xfId="25239" xr:uid="{00000000-0005-0000-0000-00008B020000}"/>
    <cellStyle name="20% - Accent1 2 3 2 8" xfId="29878" xr:uid="{00000000-0005-0000-0000-00008C020000}"/>
    <cellStyle name="20% - Accent1 2 3 3" xfId="849" xr:uid="{00000000-0005-0000-0000-00008D020000}"/>
    <cellStyle name="20% - Accent1 2 3 3 2" xfId="436" xr:uid="{00000000-0005-0000-0000-00008E020000}"/>
    <cellStyle name="20% - Accent1 2 3 3 2 2" xfId="10385" xr:uid="{00000000-0005-0000-0000-00008F020000}"/>
    <cellStyle name="20% - Accent1 2 3 3 2 2 2" xfId="29631" xr:uid="{00000000-0005-0000-0000-000090020000}"/>
    <cellStyle name="20% - Accent1 2 3 3 2 2 2 2" xfId="16072" xr:uid="{00000000-0005-0000-0000-000091020000}"/>
    <cellStyle name="20% - Accent1 2 3 3 2 2 2 2 2" xfId="19467" xr:uid="{00000000-0005-0000-0000-000092020000}"/>
    <cellStyle name="20% - Accent1 2 3 3 2 2 2 2 2 2" xfId="5755" xr:uid="{00000000-0005-0000-0000-000093020000}"/>
    <cellStyle name="20% - Accent1 2 3 3 2 2 2 2 3" xfId="26188" xr:uid="{00000000-0005-0000-0000-000094020000}"/>
    <cellStyle name="20% - Accent1 2 3 3 2 2 2 3" xfId="5567" xr:uid="{00000000-0005-0000-0000-000095020000}"/>
    <cellStyle name="20% - Accent1 2 3 3 2 2 2 3 2" xfId="16150" xr:uid="{00000000-0005-0000-0000-000096020000}"/>
    <cellStyle name="20% - Accent1 2 3 3 2 2 2 4" xfId="16092" xr:uid="{00000000-0005-0000-0000-000097020000}"/>
    <cellStyle name="20% - Accent1 2 3 3 2 2 3" xfId="4697" xr:uid="{00000000-0005-0000-0000-000098020000}"/>
    <cellStyle name="20% - Accent1 2 3 3 2 2 3 2" xfId="11907" xr:uid="{00000000-0005-0000-0000-000099020000}"/>
    <cellStyle name="20% - Accent1 2 3 3 2 2 3 2 2" xfId="21654" xr:uid="{00000000-0005-0000-0000-00009A020000}"/>
    <cellStyle name="20% - Accent1 2 3 3 2 2 3 3" xfId="12098" xr:uid="{00000000-0005-0000-0000-00009B020000}"/>
    <cellStyle name="20% - Accent1 2 3 3 2 2 4" xfId="4706" xr:uid="{00000000-0005-0000-0000-00009C020000}"/>
    <cellStyle name="20% - Accent1 2 3 3 2 2 4 2" xfId="12101" xr:uid="{00000000-0005-0000-0000-00009D020000}"/>
    <cellStyle name="20% - Accent1 2 3 3 2 2 5" xfId="808" xr:uid="{00000000-0005-0000-0000-00009E020000}"/>
    <cellStyle name="20% - Accent1 2 3 3 2 3" xfId="10386" xr:uid="{00000000-0005-0000-0000-00009F020000}"/>
    <cellStyle name="20% - Accent1 2 3 3 2 3 2" xfId="21690" xr:uid="{00000000-0005-0000-0000-0000A0020000}"/>
    <cellStyle name="20% - Accent1 2 3 3 2 3 2 2" xfId="13914" xr:uid="{00000000-0005-0000-0000-0000A1020000}"/>
    <cellStyle name="20% - Accent1 2 3 3 2 3 2 2 2" xfId="818" xr:uid="{00000000-0005-0000-0000-0000A2020000}"/>
    <cellStyle name="20% - Accent1 2 3 3 2 3 2 3" xfId="13843" xr:uid="{00000000-0005-0000-0000-0000A3020000}"/>
    <cellStyle name="20% - Accent1 2 3 3 2 3 3" xfId="4715" xr:uid="{00000000-0005-0000-0000-0000A4020000}"/>
    <cellStyle name="20% - Accent1 2 3 3 2 3 3 2" xfId="5617" xr:uid="{00000000-0005-0000-0000-0000A5020000}"/>
    <cellStyle name="20% - Accent1 2 3 3 2 3 4" xfId="433" xr:uid="{00000000-0005-0000-0000-0000A6020000}"/>
    <cellStyle name="20% - Accent1 2 3 3 2 4" xfId="6777" xr:uid="{00000000-0005-0000-0000-0000A7020000}"/>
    <cellStyle name="20% - Accent1 2 3 3 2 4 2" xfId="9013" xr:uid="{00000000-0005-0000-0000-0000A8020000}"/>
    <cellStyle name="20% - Accent1 2 3 3 2 4 2 2" xfId="12108" xr:uid="{00000000-0005-0000-0000-0000A9020000}"/>
    <cellStyle name="20% - Accent1 2 3 3 2 4 3" xfId="5873" xr:uid="{00000000-0005-0000-0000-0000AA020000}"/>
    <cellStyle name="20% - Accent1 2 3 3 2 5" xfId="827" xr:uid="{00000000-0005-0000-0000-0000AB020000}"/>
    <cellStyle name="20% - Accent1 2 3 3 2 5 2" xfId="274" xr:uid="{00000000-0005-0000-0000-0000AC020000}"/>
    <cellStyle name="20% - Accent1 2 3 3 2 6" xfId="832" xr:uid="{00000000-0005-0000-0000-0000AD020000}"/>
    <cellStyle name="20% - Accent1 2 3 3 3" xfId="631" xr:uid="{00000000-0005-0000-0000-0000AE020000}"/>
    <cellStyle name="20% - Accent1 2 3 3 3 2" xfId="10616" xr:uid="{00000000-0005-0000-0000-0000AF020000}"/>
    <cellStyle name="20% - Accent1 2 3 3 3 2 2" xfId="11407" xr:uid="{00000000-0005-0000-0000-0000B0020000}"/>
    <cellStyle name="20% - Accent1 2 3 3 3 2 2 2" xfId="7230" xr:uid="{00000000-0005-0000-0000-0000B1020000}"/>
    <cellStyle name="20% - Accent1 2 3 3 3 2 2 2 2" xfId="9657" xr:uid="{00000000-0005-0000-0000-0000B2020000}"/>
    <cellStyle name="20% - Accent1 2 3 3 3 2 2 3" xfId="7238" xr:uid="{00000000-0005-0000-0000-0000B3020000}"/>
    <cellStyle name="20% - Accent1 2 3 3 3 2 3" xfId="22335" xr:uid="{00000000-0005-0000-0000-0000B4020000}"/>
    <cellStyle name="20% - Accent1 2 3 3 3 2 3 2" xfId="5831" xr:uid="{00000000-0005-0000-0000-0000B5020000}"/>
    <cellStyle name="20% - Accent1 2 3 3 3 2 4" xfId="22344" xr:uid="{00000000-0005-0000-0000-0000B6020000}"/>
    <cellStyle name="20% - Accent1 2 3 3 3 3" xfId="10620" xr:uid="{00000000-0005-0000-0000-0000B7020000}"/>
    <cellStyle name="20% - Accent1 2 3 3 3 3 2" xfId="25316" xr:uid="{00000000-0005-0000-0000-0000B8020000}"/>
    <cellStyle name="20% - Accent1 2 3 3 3 3 2 2" xfId="7258" xr:uid="{00000000-0005-0000-0000-0000B9020000}"/>
    <cellStyle name="20% - Accent1 2 3 3 3 3 3" xfId="22356" xr:uid="{00000000-0005-0000-0000-0000BA020000}"/>
    <cellStyle name="20% - Accent1 2 3 3 3 4" xfId="25328" xr:uid="{00000000-0005-0000-0000-0000BB020000}"/>
    <cellStyle name="20% - Accent1 2 3 3 3 4 2" xfId="25793" xr:uid="{00000000-0005-0000-0000-0000BC020000}"/>
    <cellStyle name="20% - Accent1 2 3 3 3 5" xfId="21662" xr:uid="{00000000-0005-0000-0000-0000BD020000}"/>
    <cellStyle name="20% - Accent1 2 3 3 4" xfId="8786" xr:uid="{00000000-0005-0000-0000-0000BE020000}"/>
    <cellStyle name="20% - Accent1 2 3 3 4 2" xfId="10116" xr:uid="{00000000-0005-0000-0000-0000BF020000}"/>
    <cellStyle name="20% - Accent1 2 3 3 4 2 2" xfId="24522" xr:uid="{00000000-0005-0000-0000-0000C0020000}"/>
    <cellStyle name="20% - Accent1 2 3 3 4 2 2 2" xfId="7468" xr:uid="{00000000-0005-0000-0000-0000C1020000}"/>
    <cellStyle name="20% - Accent1 2 3 3 4 2 3" xfId="22432" xr:uid="{00000000-0005-0000-0000-0000C2020000}"/>
    <cellStyle name="20% - Accent1 2 3 3 4 3" xfId="25395" xr:uid="{00000000-0005-0000-0000-0000C3020000}"/>
    <cellStyle name="20% - Accent1 2 3 3 4 3 2" xfId="25400" xr:uid="{00000000-0005-0000-0000-0000C4020000}"/>
    <cellStyle name="20% - Accent1 2 3 3 4 4" xfId="25405" xr:uid="{00000000-0005-0000-0000-0000C5020000}"/>
    <cellStyle name="20% - Accent1 2 3 3 5" xfId="11956" xr:uid="{00000000-0005-0000-0000-0000C6020000}"/>
    <cellStyle name="20% - Accent1 2 3 3 5 2" xfId="25429" xr:uid="{00000000-0005-0000-0000-0000C7020000}"/>
    <cellStyle name="20% - Accent1 2 3 3 5 2 2" xfId="25431" xr:uid="{00000000-0005-0000-0000-0000C8020000}"/>
    <cellStyle name="20% - Accent1 2 3 3 5 3" xfId="5658" xr:uid="{00000000-0005-0000-0000-0000C9020000}"/>
    <cellStyle name="20% - Accent1 2 3 3 6" xfId="1880" xr:uid="{00000000-0005-0000-0000-0000CA020000}"/>
    <cellStyle name="20% - Accent1 2 3 3 6 2" xfId="25460" xr:uid="{00000000-0005-0000-0000-0000CB020000}"/>
    <cellStyle name="20% - Accent1 2 3 3 7" xfId="3314" xr:uid="{00000000-0005-0000-0000-0000CC020000}"/>
    <cellStyle name="20% - Accent1 2 3 4" xfId="2364" xr:uid="{00000000-0005-0000-0000-0000CD020000}"/>
    <cellStyle name="20% - Accent1 2 3 4 2" xfId="9278" xr:uid="{00000000-0005-0000-0000-0000CE020000}"/>
    <cellStyle name="20% - Accent1 2 3 4 2 2" xfId="2191" xr:uid="{00000000-0005-0000-0000-0000CF020000}"/>
    <cellStyle name="20% - Accent1 2 3 4 2 2 2" xfId="4937" xr:uid="{00000000-0005-0000-0000-0000D0020000}"/>
    <cellStyle name="20% - Accent1 2 3 4 2 2 2 2" xfId="16176" xr:uid="{00000000-0005-0000-0000-0000D1020000}"/>
    <cellStyle name="20% - Accent1 2 3 4 2 2 2 2 2" xfId="7503" xr:uid="{00000000-0005-0000-0000-0000D2020000}"/>
    <cellStyle name="20% - Accent1 2 3 4 2 2 2 3" xfId="16180" xr:uid="{00000000-0005-0000-0000-0000D3020000}"/>
    <cellStyle name="20% - Accent1 2 3 4 2 2 3" xfId="4774" xr:uid="{00000000-0005-0000-0000-0000D4020000}"/>
    <cellStyle name="20% - Accent1 2 3 4 2 2 3 2" xfId="12153" xr:uid="{00000000-0005-0000-0000-0000D5020000}"/>
    <cellStyle name="20% - Accent1 2 3 4 2 2 4" xfId="12630" xr:uid="{00000000-0005-0000-0000-0000D6020000}"/>
    <cellStyle name="20% - Accent1 2 3 4 2 3" xfId="4544" xr:uid="{00000000-0005-0000-0000-0000D7020000}"/>
    <cellStyle name="20% - Accent1 2 3 4 2 3 2" xfId="2720" xr:uid="{00000000-0005-0000-0000-0000D8020000}"/>
    <cellStyle name="20% - Accent1 2 3 4 2 3 2 2" xfId="21465" xr:uid="{00000000-0005-0000-0000-0000D9020000}"/>
    <cellStyle name="20% - Accent1 2 3 4 2 3 3" xfId="634" xr:uid="{00000000-0005-0000-0000-0000DA020000}"/>
    <cellStyle name="20% - Accent1 2 3 4 2 4" xfId="3207" xr:uid="{00000000-0005-0000-0000-0000DB020000}"/>
    <cellStyle name="20% - Accent1 2 3 4 2 4 2" xfId="353" xr:uid="{00000000-0005-0000-0000-0000DC020000}"/>
    <cellStyle name="20% - Accent1 2 3 4 2 5" xfId="2443" xr:uid="{00000000-0005-0000-0000-0000DD020000}"/>
    <cellStyle name="20% - Accent1 2 3 4 3" xfId="9282" xr:uid="{00000000-0005-0000-0000-0000DE020000}"/>
    <cellStyle name="20% - Accent1 2 3 4 3 2" xfId="19389" xr:uid="{00000000-0005-0000-0000-0000DF020000}"/>
    <cellStyle name="20% - Accent1 2 3 4 3 2 2" xfId="25491" xr:uid="{00000000-0005-0000-0000-0000E0020000}"/>
    <cellStyle name="20% - Accent1 2 3 4 3 2 2 2" xfId="8299" xr:uid="{00000000-0005-0000-0000-0000E1020000}"/>
    <cellStyle name="20% - Accent1 2 3 4 3 2 3" xfId="22549" xr:uid="{00000000-0005-0000-0000-0000E2020000}"/>
    <cellStyle name="20% - Accent1 2 3 4 3 3" xfId="8750" xr:uid="{00000000-0005-0000-0000-0000E3020000}"/>
    <cellStyle name="20% - Accent1 2 3 4 3 3 2" xfId="25508" xr:uid="{00000000-0005-0000-0000-0000E4020000}"/>
    <cellStyle name="20% - Accent1 2 3 4 3 4" xfId="11286" xr:uid="{00000000-0005-0000-0000-0000E5020000}"/>
    <cellStyle name="20% - Accent1 2 3 4 4" xfId="32369" xr:uid="{00000000-0005-0000-0000-0000E6020000}"/>
    <cellStyle name="20% - Accent1 2 3 4 4 2" xfId="19496" xr:uid="{00000000-0005-0000-0000-0000E7020000}"/>
    <cellStyle name="20% - Accent1 2 3 4 4 2 2" xfId="25540" xr:uid="{00000000-0005-0000-0000-0000E8020000}"/>
    <cellStyle name="20% - Accent1 2 3 4 4 3" xfId="11292" xr:uid="{00000000-0005-0000-0000-0000E9020000}"/>
    <cellStyle name="20% - Accent1 2 3 4 5" xfId="2303" xr:uid="{00000000-0005-0000-0000-0000EA020000}"/>
    <cellStyle name="20% - Accent1 2 3 4 5 2" xfId="19554" xr:uid="{00000000-0005-0000-0000-0000EB020000}"/>
    <cellStyle name="20% - Accent1 2 3 4 6" xfId="2577" xr:uid="{00000000-0005-0000-0000-0000EC020000}"/>
    <cellStyle name="20% - Accent1 2 3 5" xfId="2606" xr:uid="{00000000-0005-0000-0000-0000ED020000}"/>
    <cellStyle name="20% - Accent1 2 3 5 2" xfId="9289" xr:uid="{00000000-0005-0000-0000-0000EE020000}"/>
    <cellStyle name="20% - Accent1 2 3 5 2 2" xfId="2613" xr:uid="{00000000-0005-0000-0000-0000EF020000}"/>
    <cellStyle name="20% - Accent1 2 3 5 2 2 2" xfId="8139" xr:uid="{00000000-0005-0000-0000-0000F0020000}"/>
    <cellStyle name="20% - Accent1 2 3 5 2 2 2 2" xfId="10479" xr:uid="{00000000-0005-0000-0000-0000F1020000}"/>
    <cellStyle name="20% - Accent1 2 3 5 2 2 3" xfId="2472" xr:uid="{00000000-0005-0000-0000-0000F2020000}"/>
    <cellStyle name="20% - Accent1 2 3 5 2 3" xfId="2649" xr:uid="{00000000-0005-0000-0000-0000F3020000}"/>
    <cellStyle name="20% - Accent1 2 3 5 2 3 2" xfId="8163" xr:uid="{00000000-0005-0000-0000-0000F4020000}"/>
    <cellStyle name="20% - Accent1 2 3 5 2 4" xfId="3340" xr:uid="{00000000-0005-0000-0000-0000F5020000}"/>
    <cellStyle name="20% - Accent1 2 3 5 3" xfId="2690" xr:uid="{00000000-0005-0000-0000-0000F6020000}"/>
    <cellStyle name="20% - Accent1 2 3 5 3 2" xfId="19635" xr:uid="{00000000-0005-0000-0000-0000F7020000}"/>
    <cellStyle name="20% - Accent1 2 3 5 3 2 2" xfId="23704" xr:uid="{00000000-0005-0000-0000-0000F8020000}"/>
    <cellStyle name="20% - Accent1 2 3 5 3 3" xfId="19651" xr:uid="{00000000-0005-0000-0000-0000F9020000}"/>
    <cellStyle name="20% - Accent1 2 3 5 4" xfId="1438" xr:uid="{00000000-0005-0000-0000-0000FA020000}"/>
    <cellStyle name="20% - Accent1 2 3 5 4 2" xfId="15215" xr:uid="{00000000-0005-0000-0000-0000FB020000}"/>
    <cellStyle name="20% - Accent1 2 3 5 5" xfId="923" xr:uid="{00000000-0005-0000-0000-0000FC020000}"/>
    <cellStyle name="20% - Accent1 2 3 6" xfId="6550" xr:uid="{00000000-0005-0000-0000-0000FD020000}"/>
    <cellStyle name="20% - Accent1 2 3 6 2" xfId="32244" xr:uid="{00000000-0005-0000-0000-0000FE020000}"/>
    <cellStyle name="20% - Accent1 2 3 6 2 2" xfId="12368" xr:uid="{00000000-0005-0000-0000-0000FF020000}"/>
    <cellStyle name="20% - Accent1 2 3 6 2 2 2" xfId="13745" xr:uid="{00000000-0005-0000-0000-000000030000}"/>
    <cellStyle name="20% - Accent1 2 3 6 2 3" xfId="2751" xr:uid="{00000000-0005-0000-0000-000001030000}"/>
    <cellStyle name="20% - Accent1 2 3 6 3" xfId="2789" xr:uid="{00000000-0005-0000-0000-000002030000}"/>
    <cellStyle name="20% - Accent1 2 3 6 3 2" xfId="19260" xr:uid="{00000000-0005-0000-0000-000003030000}"/>
    <cellStyle name="20% - Accent1 2 3 6 4" xfId="1896" xr:uid="{00000000-0005-0000-0000-000004030000}"/>
    <cellStyle name="20% - Accent1 2 3 7" xfId="24660" xr:uid="{00000000-0005-0000-0000-000005030000}"/>
    <cellStyle name="20% - Accent1 2 3 7 2" xfId="10319" xr:uid="{00000000-0005-0000-0000-000006030000}"/>
    <cellStyle name="20% - Accent1 2 3 7 2 2" xfId="2817" xr:uid="{00000000-0005-0000-0000-000007030000}"/>
    <cellStyle name="20% - Accent1 2 3 7 3" xfId="13457" xr:uid="{00000000-0005-0000-0000-000008030000}"/>
    <cellStyle name="20% - Accent1 2 3 8" xfId="15261" xr:uid="{00000000-0005-0000-0000-000009030000}"/>
    <cellStyle name="20% - Accent1 2 3 8 2" xfId="10329" xr:uid="{00000000-0005-0000-0000-00000A030000}"/>
    <cellStyle name="20% - Accent1 2 3 9" xfId="10083" xr:uid="{00000000-0005-0000-0000-00000B030000}"/>
    <cellStyle name="20% - Accent1 2 4" xfId="4592" xr:uid="{00000000-0005-0000-0000-00000C030000}"/>
    <cellStyle name="20% - Accent1 2 4 2" xfId="1399" xr:uid="{00000000-0005-0000-0000-00000D030000}"/>
    <cellStyle name="20% - Accent1 2 4 2 2" xfId="317" xr:uid="{00000000-0005-0000-0000-00000E030000}"/>
    <cellStyle name="20% - Accent1 2 4 2 2 2" xfId="1426" xr:uid="{00000000-0005-0000-0000-00000F030000}"/>
    <cellStyle name="20% - Accent1 2 4 2 2 2 2" xfId="2561" xr:uid="{00000000-0005-0000-0000-000010030000}"/>
    <cellStyle name="20% - Accent1 2 4 2 2 2 2 2" xfId="10862" xr:uid="{00000000-0005-0000-0000-000011030000}"/>
    <cellStyle name="20% - Accent1 2 4 2 2 2 2 2 2" xfId="6914" xr:uid="{00000000-0005-0000-0000-000012030000}"/>
    <cellStyle name="20% - Accent1 2 4 2 2 2 2 2 2 2" xfId="5382" xr:uid="{00000000-0005-0000-0000-000013030000}"/>
    <cellStyle name="20% - Accent1 2 4 2 2 2 2 2 3" xfId="10820" xr:uid="{00000000-0005-0000-0000-000014030000}"/>
    <cellStyle name="20% - Accent1 2 4 2 2 2 2 3" xfId="10873" xr:uid="{00000000-0005-0000-0000-000015030000}"/>
    <cellStyle name="20% - Accent1 2 4 2 2 2 2 3 2" xfId="6594" xr:uid="{00000000-0005-0000-0000-000016030000}"/>
    <cellStyle name="20% - Accent1 2 4 2 2 2 2 4" xfId="23856" xr:uid="{00000000-0005-0000-0000-000017030000}"/>
    <cellStyle name="20% - Accent1 2 4 2 2 2 3" xfId="2567" xr:uid="{00000000-0005-0000-0000-000018030000}"/>
    <cellStyle name="20% - Accent1 2 4 2 2 2 3 2" xfId="12820" xr:uid="{00000000-0005-0000-0000-000019030000}"/>
    <cellStyle name="20% - Accent1 2 4 2 2 2 3 2 2" xfId="6929" xr:uid="{00000000-0005-0000-0000-00001A030000}"/>
    <cellStyle name="20% - Accent1 2 4 2 2 2 3 3" xfId="12224" xr:uid="{00000000-0005-0000-0000-00001B030000}"/>
    <cellStyle name="20% - Accent1 2 4 2 2 2 4" xfId="958" xr:uid="{00000000-0005-0000-0000-00001C030000}"/>
    <cellStyle name="20% - Accent1 2 4 2 2 2 4 2" xfId="12234" xr:uid="{00000000-0005-0000-0000-00001D030000}"/>
    <cellStyle name="20% - Accent1 2 4 2 2 2 5" xfId="2299" xr:uid="{00000000-0005-0000-0000-00001E030000}"/>
    <cellStyle name="20% - Accent1 2 4 2 2 3" xfId="2581" xr:uid="{00000000-0005-0000-0000-00001F030000}"/>
    <cellStyle name="20% - Accent1 2 4 2 2 3 2" xfId="961" xr:uid="{00000000-0005-0000-0000-000020030000}"/>
    <cellStyle name="20% - Accent1 2 4 2 2 3 2 2" xfId="10927" xr:uid="{00000000-0005-0000-0000-000021030000}"/>
    <cellStyle name="20% - Accent1 2 4 2 2 3 2 2 2" xfId="967" xr:uid="{00000000-0005-0000-0000-000022030000}"/>
    <cellStyle name="20% - Accent1 2 4 2 2 3 2 3" xfId="12240" xr:uid="{00000000-0005-0000-0000-000023030000}"/>
    <cellStyle name="20% - Accent1 2 4 2 2 3 3" xfId="974" xr:uid="{00000000-0005-0000-0000-000024030000}"/>
    <cellStyle name="20% - Accent1 2 4 2 2 3 3 2" xfId="27258" xr:uid="{00000000-0005-0000-0000-000025030000}"/>
    <cellStyle name="20% - Accent1 2 4 2 2 3 4" xfId="989" xr:uid="{00000000-0005-0000-0000-000026030000}"/>
    <cellStyle name="20% - Accent1 2 4 2 2 4" xfId="10534" xr:uid="{00000000-0005-0000-0000-000027030000}"/>
    <cellStyle name="20% - Accent1 2 4 2 2 4 2" xfId="997" xr:uid="{00000000-0005-0000-0000-000028030000}"/>
    <cellStyle name="20% - Accent1 2 4 2 2 4 2 2" xfId="12249" xr:uid="{00000000-0005-0000-0000-000029030000}"/>
    <cellStyle name="20% - Accent1 2 4 2 2 4 3" xfId="7784" xr:uid="{00000000-0005-0000-0000-00002A030000}"/>
    <cellStyle name="20% - Accent1 2 4 2 2 5" xfId="2605" xr:uid="{00000000-0005-0000-0000-00002B030000}"/>
    <cellStyle name="20% - Accent1 2 4 2 2 5 2" xfId="1010" xr:uid="{00000000-0005-0000-0000-00002C030000}"/>
    <cellStyle name="20% - Accent1 2 4 2 2 6" xfId="1023" xr:uid="{00000000-0005-0000-0000-00002D030000}"/>
    <cellStyle name="20% - Accent1 2 4 2 3" xfId="3118" xr:uid="{00000000-0005-0000-0000-00002E030000}"/>
    <cellStyle name="20% - Accent1 2 4 2 3 2" xfId="24600" xr:uid="{00000000-0005-0000-0000-00002F030000}"/>
    <cellStyle name="20% - Accent1 2 4 2 3 2 2" xfId="27096" xr:uid="{00000000-0005-0000-0000-000030030000}"/>
    <cellStyle name="20% - Accent1 2 4 2 3 2 2 2" xfId="6049" xr:uid="{00000000-0005-0000-0000-000031030000}"/>
    <cellStyle name="20% - Accent1 2 4 2 3 2 2 2 2" xfId="6004" xr:uid="{00000000-0005-0000-0000-000032030000}"/>
    <cellStyle name="20% - Accent1 2 4 2 3 2 2 3" xfId="6066" xr:uid="{00000000-0005-0000-0000-000033030000}"/>
    <cellStyle name="20% - Accent1 2 4 2 3 2 3" xfId="20564" xr:uid="{00000000-0005-0000-0000-000034030000}"/>
    <cellStyle name="20% - Accent1 2 4 2 3 2 3 2" xfId="8487" xr:uid="{00000000-0005-0000-0000-000035030000}"/>
    <cellStyle name="20% - Accent1 2 4 2 3 2 4" xfId="20573" xr:uid="{00000000-0005-0000-0000-000036030000}"/>
    <cellStyle name="20% - Accent1 2 4 2 3 3" xfId="3871" xr:uid="{00000000-0005-0000-0000-000037030000}"/>
    <cellStyle name="20% - Accent1 2 4 2 3 3 2" xfId="1480" xr:uid="{00000000-0005-0000-0000-000038030000}"/>
    <cellStyle name="20% - Accent1 2 4 2 3 3 2 2" xfId="28620" xr:uid="{00000000-0005-0000-0000-000039030000}"/>
    <cellStyle name="20% - Accent1 2 4 2 3 3 3" xfId="1578" xr:uid="{00000000-0005-0000-0000-00003A030000}"/>
    <cellStyle name="20% - Accent1 2 4 2 3 4" xfId="12638" xr:uid="{00000000-0005-0000-0000-00003B030000}"/>
    <cellStyle name="20% - Accent1 2 4 2 3 4 2" xfId="18087" xr:uid="{00000000-0005-0000-0000-00003C030000}"/>
    <cellStyle name="20% - Accent1 2 4 2 3 5" xfId="14713" xr:uid="{00000000-0005-0000-0000-00003D030000}"/>
    <cellStyle name="20% - Accent1 2 4 2 4" xfId="1125" xr:uid="{00000000-0005-0000-0000-00003E030000}"/>
    <cellStyle name="20% - Accent1 2 4 2 4 2" xfId="27961" xr:uid="{00000000-0005-0000-0000-00003F030000}"/>
    <cellStyle name="20% - Accent1 2 4 2 4 2 2" xfId="14798" xr:uid="{00000000-0005-0000-0000-000040030000}"/>
    <cellStyle name="20% - Accent1 2 4 2 4 2 2 2" xfId="6114" xr:uid="{00000000-0005-0000-0000-000041030000}"/>
    <cellStyle name="20% - Accent1 2 4 2 4 2 3" xfId="14823" xr:uid="{00000000-0005-0000-0000-000042030000}"/>
    <cellStyle name="20% - Accent1 2 4 2 4 3" xfId="14915" xr:uid="{00000000-0005-0000-0000-000043030000}"/>
    <cellStyle name="20% - Accent1 2 4 2 4 3 2" xfId="5390" xr:uid="{00000000-0005-0000-0000-000044030000}"/>
    <cellStyle name="20% - Accent1 2 4 2 4 4" xfId="14230" xr:uid="{00000000-0005-0000-0000-000045030000}"/>
    <cellStyle name="20% - Accent1 2 4 2 5" xfId="1707" xr:uid="{00000000-0005-0000-0000-000046030000}"/>
    <cellStyle name="20% - Accent1 2 4 2 5 2" xfId="32821" xr:uid="{00000000-0005-0000-0000-000047030000}"/>
    <cellStyle name="20% - Accent1 2 4 2 5 2 2" xfId="14932" xr:uid="{00000000-0005-0000-0000-000048030000}"/>
    <cellStyle name="20% - Accent1 2 4 2 5 3" xfId="9909" xr:uid="{00000000-0005-0000-0000-000049030000}"/>
    <cellStyle name="20% - Accent1 2 4 2 6" xfId="5106" xr:uid="{00000000-0005-0000-0000-00004A030000}"/>
    <cellStyle name="20% - Accent1 2 4 2 6 2" xfId="25077" xr:uid="{00000000-0005-0000-0000-00004B030000}"/>
    <cellStyle name="20% - Accent1 2 4 2 7" xfId="3320" xr:uid="{00000000-0005-0000-0000-00004C030000}"/>
    <cellStyle name="20% - Accent1 2 4 3" xfId="10840" xr:uid="{00000000-0005-0000-0000-00004D030000}"/>
    <cellStyle name="20% - Accent1 2 4 3 2" xfId="1117" xr:uid="{00000000-0005-0000-0000-00004E030000}"/>
    <cellStyle name="20% - Accent1 2 4 3 2 2" xfId="2935" xr:uid="{00000000-0005-0000-0000-00004F030000}"/>
    <cellStyle name="20% - Accent1 2 4 3 2 2 2" xfId="2941" xr:uid="{00000000-0005-0000-0000-000050030000}"/>
    <cellStyle name="20% - Accent1 2 4 3 2 2 2 2" xfId="6136" xr:uid="{00000000-0005-0000-0000-000051030000}"/>
    <cellStyle name="20% - Accent1 2 4 3 2 2 2 2 2" xfId="8072" xr:uid="{00000000-0005-0000-0000-000052030000}"/>
    <cellStyle name="20% - Accent1 2 4 3 2 2 2 3" xfId="12305" xr:uid="{00000000-0005-0000-0000-000053030000}"/>
    <cellStyle name="20% - Accent1 2 4 3 2 2 3" xfId="2947" xr:uid="{00000000-0005-0000-0000-000054030000}"/>
    <cellStyle name="20% - Accent1 2 4 3 2 2 3 2" xfId="12313" xr:uid="{00000000-0005-0000-0000-000055030000}"/>
    <cellStyle name="20% - Accent1 2 4 3 2 2 4" xfId="4366" xr:uid="{00000000-0005-0000-0000-000056030000}"/>
    <cellStyle name="20% - Accent1 2 4 3 2 3" xfId="2959" xr:uid="{00000000-0005-0000-0000-000057030000}"/>
    <cellStyle name="20% - Accent1 2 4 3 2 3 2" xfId="1132" xr:uid="{00000000-0005-0000-0000-000058030000}"/>
    <cellStyle name="20% - Accent1 2 4 3 2 3 2 2" xfId="12072" xr:uid="{00000000-0005-0000-0000-000059030000}"/>
    <cellStyle name="20% - Accent1 2 4 3 2 3 3" xfId="4960" xr:uid="{00000000-0005-0000-0000-00005A030000}"/>
    <cellStyle name="20% - Accent1 2 4 3 2 4" xfId="2964" xr:uid="{00000000-0005-0000-0000-00005B030000}"/>
    <cellStyle name="20% - Accent1 2 4 3 2 4 2" xfId="1134" xr:uid="{00000000-0005-0000-0000-00005C030000}"/>
    <cellStyle name="20% - Accent1 2 4 3 2 5" xfId="1181" xr:uid="{00000000-0005-0000-0000-00005D030000}"/>
    <cellStyle name="20% - Accent1 2 4 3 3" xfId="1138" xr:uid="{00000000-0005-0000-0000-00005E030000}"/>
    <cellStyle name="20% - Accent1 2 4 3 3 2" xfId="9373" xr:uid="{00000000-0005-0000-0000-00005F030000}"/>
    <cellStyle name="20% - Accent1 2 4 3 3 2 2" xfId="13057" xr:uid="{00000000-0005-0000-0000-000060030000}"/>
    <cellStyle name="20% - Accent1 2 4 3 3 2 2 2" xfId="6194" xr:uid="{00000000-0005-0000-0000-000061030000}"/>
    <cellStyle name="20% - Accent1 2 4 3 3 2 3" xfId="20779" xr:uid="{00000000-0005-0000-0000-000062030000}"/>
    <cellStyle name="20% - Accent1 2 4 3 3 3" xfId="14923" xr:uid="{00000000-0005-0000-0000-000063030000}"/>
    <cellStyle name="20% - Accent1 2 4 3 3 3 2" xfId="7023" xr:uid="{00000000-0005-0000-0000-000064030000}"/>
    <cellStyle name="20% - Accent1 2 4 3 3 4" xfId="3932" xr:uid="{00000000-0005-0000-0000-000065030000}"/>
    <cellStyle name="20% - Accent1 2 4 3 4" xfId="1724" xr:uid="{00000000-0005-0000-0000-000066030000}"/>
    <cellStyle name="20% - Accent1 2 4 3 4 2" xfId="29854" xr:uid="{00000000-0005-0000-0000-000067030000}"/>
    <cellStyle name="20% - Accent1 2 4 3 4 2 2" xfId="15054" xr:uid="{00000000-0005-0000-0000-000068030000}"/>
    <cellStyle name="20% - Accent1 2 4 3 4 3" xfId="3937" xr:uid="{00000000-0005-0000-0000-000069030000}"/>
    <cellStyle name="20% - Accent1 2 4 3 5" xfId="2310" xr:uid="{00000000-0005-0000-0000-00006A030000}"/>
    <cellStyle name="20% - Accent1 2 4 3 5 2" xfId="22550" xr:uid="{00000000-0005-0000-0000-00006B030000}"/>
    <cellStyle name="20% - Accent1 2 4 3 6" xfId="1190" xr:uid="{00000000-0005-0000-0000-00006C030000}"/>
    <cellStyle name="20% - Accent1 2 4 4" xfId="27973" xr:uid="{00000000-0005-0000-0000-00006D030000}"/>
    <cellStyle name="20% - Accent1 2 4 4 2" xfId="13472" xr:uid="{00000000-0005-0000-0000-00006E030000}"/>
    <cellStyle name="20% - Accent1 2 4 4 2 2" xfId="21112" xr:uid="{00000000-0005-0000-0000-00006F030000}"/>
    <cellStyle name="20% - Accent1 2 4 4 2 2 2" xfId="3161" xr:uid="{00000000-0005-0000-0000-000070030000}"/>
    <cellStyle name="20% - Accent1 2 4 4 2 2 2 2" xfId="29215" xr:uid="{00000000-0005-0000-0000-000071030000}"/>
    <cellStyle name="20% - Accent1 2 4 4 2 2 3" xfId="2375" xr:uid="{00000000-0005-0000-0000-000072030000}"/>
    <cellStyle name="20% - Accent1 2 4 4 2 3" xfId="3166" xr:uid="{00000000-0005-0000-0000-000073030000}"/>
    <cellStyle name="20% - Accent1 2 4 4 2 3 2" xfId="2889" xr:uid="{00000000-0005-0000-0000-000074030000}"/>
    <cellStyle name="20% - Accent1 2 4 4 2 4" xfId="2893" xr:uid="{00000000-0005-0000-0000-000075030000}"/>
    <cellStyle name="20% - Accent1 2 4 4 3" xfId="9806" xr:uid="{00000000-0005-0000-0000-000076030000}"/>
    <cellStyle name="20% - Accent1 2 4 4 3 2" xfId="24675" xr:uid="{00000000-0005-0000-0000-000077030000}"/>
    <cellStyle name="20% - Accent1 2 4 4 3 2 2" xfId="26989" xr:uid="{00000000-0005-0000-0000-000078030000}"/>
    <cellStyle name="20% - Accent1 2 4 4 3 3" xfId="12555" xr:uid="{00000000-0005-0000-0000-000079030000}"/>
    <cellStyle name="20% - Accent1 2 4 4 4" xfId="10485" xr:uid="{00000000-0005-0000-0000-00007A030000}"/>
    <cellStyle name="20% - Accent1 2 4 4 4 2" xfId="19887" xr:uid="{00000000-0005-0000-0000-00007B030000}"/>
    <cellStyle name="20% - Accent1 2 4 4 5" xfId="2937" xr:uid="{00000000-0005-0000-0000-00007C030000}"/>
    <cellStyle name="20% - Accent1 2 4 5" xfId="25546" xr:uid="{00000000-0005-0000-0000-00007D030000}"/>
    <cellStyle name="20% - Accent1 2 4 5 2" xfId="13488" xr:uid="{00000000-0005-0000-0000-00007E030000}"/>
    <cellStyle name="20% - Accent1 2 4 5 2 2" xfId="5997" xr:uid="{00000000-0005-0000-0000-00007F030000}"/>
    <cellStyle name="20% - Accent1 2 4 5 2 2 2" xfId="8599" xr:uid="{00000000-0005-0000-0000-000080030000}"/>
    <cellStyle name="20% - Accent1 2 4 5 2 3" xfId="2980" xr:uid="{00000000-0005-0000-0000-000081030000}"/>
    <cellStyle name="20% - Accent1 2 4 5 3" xfId="31191" xr:uid="{00000000-0005-0000-0000-000082030000}"/>
    <cellStyle name="20% - Accent1 2 4 5 3 2" xfId="19938" xr:uid="{00000000-0005-0000-0000-000083030000}"/>
    <cellStyle name="20% - Accent1 2 4 5 4" xfId="19504" xr:uid="{00000000-0005-0000-0000-000084030000}"/>
    <cellStyle name="20% - Accent1 2 4 6" xfId="27652" xr:uid="{00000000-0005-0000-0000-000085030000}"/>
    <cellStyle name="20% - Accent1 2 4 6 2" xfId="3021" xr:uid="{00000000-0005-0000-0000-000086030000}"/>
    <cellStyle name="20% - Accent1 2 4 6 2 2" xfId="3023" xr:uid="{00000000-0005-0000-0000-000087030000}"/>
    <cellStyle name="20% - Accent1 2 4 6 3" xfId="19506" xr:uid="{00000000-0005-0000-0000-000088030000}"/>
    <cellStyle name="20% - Accent1 2 4 7" xfId="17294" xr:uid="{00000000-0005-0000-0000-000089030000}"/>
    <cellStyle name="20% - Accent1 2 4 7 2" xfId="10333" xr:uid="{00000000-0005-0000-0000-00008A030000}"/>
    <cellStyle name="20% - Accent1 2 4 8" xfId="24854" xr:uid="{00000000-0005-0000-0000-00008B030000}"/>
    <cellStyle name="20% - Accent1 2 5" xfId="7993" xr:uid="{00000000-0005-0000-0000-00008C030000}"/>
    <cellStyle name="20% - Accent1 2 5 2" xfId="17861" xr:uid="{00000000-0005-0000-0000-00008D030000}"/>
    <cellStyle name="20% - Accent1 2 5 2 2" xfId="17863" xr:uid="{00000000-0005-0000-0000-00008E030000}"/>
    <cellStyle name="20% - Accent1 2 5 2 2 2" xfId="6385" xr:uid="{00000000-0005-0000-0000-00008F030000}"/>
    <cellStyle name="20% - Accent1 2 5 2 2 2 2" xfId="9634" xr:uid="{00000000-0005-0000-0000-000090030000}"/>
    <cellStyle name="20% - Accent1 2 5 2 2 2 2 2" xfId="31148" xr:uid="{00000000-0005-0000-0000-000091030000}"/>
    <cellStyle name="20% - Accent1 2 5 2 2 2 2 2 2" xfId="9215" xr:uid="{00000000-0005-0000-0000-000092030000}"/>
    <cellStyle name="20% - Accent1 2 5 2 2 2 2 3" xfId="31158" xr:uid="{00000000-0005-0000-0000-000093030000}"/>
    <cellStyle name="20% - Accent1 2 5 2 2 2 3" xfId="9636" xr:uid="{00000000-0005-0000-0000-000094030000}"/>
    <cellStyle name="20% - Accent1 2 5 2 2 2 3 2" xfId="31163" xr:uid="{00000000-0005-0000-0000-000095030000}"/>
    <cellStyle name="20% - Accent1 2 5 2 2 2 4" xfId="440" xr:uid="{00000000-0005-0000-0000-000096030000}"/>
    <cellStyle name="20% - Accent1 2 5 2 2 3" xfId="1233" xr:uid="{00000000-0005-0000-0000-000097030000}"/>
    <cellStyle name="20% - Accent1 2 5 2 2 3 2" xfId="1240" xr:uid="{00000000-0005-0000-0000-000098030000}"/>
    <cellStyle name="20% - Accent1 2 5 2 2 3 2 2" xfId="6310" xr:uid="{00000000-0005-0000-0000-000099030000}"/>
    <cellStyle name="20% - Accent1 2 5 2 2 3 3" xfId="603" xr:uid="{00000000-0005-0000-0000-00009A030000}"/>
    <cellStyle name="20% - Accent1 2 5 2 2 4" xfId="1254" xr:uid="{00000000-0005-0000-0000-00009B030000}"/>
    <cellStyle name="20% - Accent1 2 5 2 2 4 2" xfId="1259" xr:uid="{00000000-0005-0000-0000-00009C030000}"/>
    <cellStyle name="20% - Accent1 2 5 2 2 5" xfId="12670" xr:uid="{00000000-0005-0000-0000-00009D030000}"/>
    <cellStyle name="20% - Accent1 2 5 2 3" xfId="6388" xr:uid="{00000000-0005-0000-0000-00009E030000}"/>
    <cellStyle name="20% - Accent1 2 5 2 3 2" xfId="884" xr:uid="{00000000-0005-0000-0000-00009F030000}"/>
    <cellStyle name="20% - Accent1 2 5 2 3 2 2" xfId="26388" xr:uid="{00000000-0005-0000-0000-0000A0030000}"/>
    <cellStyle name="20% - Accent1 2 5 2 3 2 2 2" xfId="6347" xr:uid="{00000000-0005-0000-0000-0000A1030000}"/>
    <cellStyle name="20% - Accent1 2 5 2 3 2 3" xfId="7658" xr:uid="{00000000-0005-0000-0000-0000A2030000}"/>
    <cellStyle name="20% - Accent1 2 5 2 3 3" xfId="14938" xr:uid="{00000000-0005-0000-0000-0000A3030000}"/>
    <cellStyle name="20% - Accent1 2 5 2 3 3 2" xfId="26409" xr:uid="{00000000-0005-0000-0000-0000A4030000}"/>
    <cellStyle name="20% - Accent1 2 5 2 3 4" xfId="33495" xr:uid="{00000000-0005-0000-0000-0000A5030000}"/>
    <cellStyle name="20% - Accent1 2 5 2 4" xfId="1441" xr:uid="{00000000-0005-0000-0000-0000A6030000}"/>
    <cellStyle name="20% - Accent1 2 5 2 4 2" xfId="1461" xr:uid="{00000000-0005-0000-0000-0000A7030000}"/>
    <cellStyle name="20% - Accent1 2 5 2 4 2 2" xfId="28710" xr:uid="{00000000-0005-0000-0000-0000A8030000}"/>
    <cellStyle name="20% - Accent1 2 5 2 4 3" xfId="1305" xr:uid="{00000000-0005-0000-0000-0000A9030000}"/>
    <cellStyle name="20% - Accent1 2 5 2 5" xfId="1327" xr:uid="{00000000-0005-0000-0000-0000AA030000}"/>
    <cellStyle name="20% - Accent1 2 5 2 5 2" xfId="8594" xr:uid="{00000000-0005-0000-0000-0000AB030000}"/>
    <cellStyle name="20% - Accent1 2 5 2 6" xfId="404" xr:uid="{00000000-0005-0000-0000-0000AC030000}"/>
    <cellStyle name="20% - Accent1 2 5 3" xfId="22260" xr:uid="{00000000-0005-0000-0000-0000AD030000}"/>
    <cellStyle name="20% - Accent1 2 5 3 2" xfId="1690" xr:uid="{00000000-0005-0000-0000-0000AE030000}"/>
    <cellStyle name="20% - Accent1 2 5 3 2 2" xfId="1912" xr:uid="{00000000-0005-0000-0000-0000AF030000}"/>
    <cellStyle name="20% - Accent1 2 5 3 2 2 2" xfId="9696" xr:uid="{00000000-0005-0000-0000-0000B0030000}"/>
    <cellStyle name="20% - Accent1 2 5 3 2 2 2 2" xfId="31503" xr:uid="{00000000-0005-0000-0000-0000B1030000}"/>
    <cellStyle name="20% - Accent1 2 5 3 2 2 3" xfId="13387" xr:uid="{00000000-0005-0000-0000-0000B2030000}"/>
    <cellStyle name="20% - Accent1 2 5 3 2 3" xfId="1955" xr:uid="{00000000-0005-0000-0000-0000B3030000}"/>
    <cellStyle name="20% - Accent1 2 5 3 2 3 2" xfId="13410" xr:uid="{00000000-0005-0000-0000-0000B4030000}"/>
    <cellStyle name="20% - Accent1 2 5 3 2 4" xfId="1368" xr:uid="{00000000-0005-0000-0000-0000B5030000}"/>
    <cellStyle name="20% - Accent1 2 5 3 3" xfId="1387" xr:uid="{00000000-0005-0000-0000-0000B6030000}"/>
    <cellStyle name="20% - Accent1 2 5 3 3 2" xfId="1443" xr:uid="{00000000-0005-0000-0000-0000B7030000}"/>
    <cellStyle name="20% - Accent1 2 5 3 3 2 2" xfId="18853" xr:uid="{00000000-0005-0000-0000-0000B8030000}"/>
    <cellStyle name="20% - Accent1 2 5 3 3 3" xfId="1710" xr:uid="{00000000-0005-0000-0000-0000B9030000}"/>
    <cellStyle name="20% - Accent1 2 5 3 4" xfId="6123" xr:uid="{00000000-0005-0000-0000-0000BA030000}"/>
    <cellStyle name="20% - Accent1 2 5 3 4 2" xfId="1727" xr:uid="{00000000-0005-0000-0000-0000BB030000}"/>
    <cellStyle name="20% - Accent1 2 5 3 5" xfId="6125" xr:uid="{00000000-0005-0000-0000-0000BC030000}"/>
    <cellStyle name="20% - Accent1 2 5 4" xfId="7605" xr:uid="{00000000-0005-0000-0000-0000BD030000}"/>
    <cellStyle name="20% - Accent1 2 5 4 2" xfId="3080" xr:uid="{00000000-0005-0000-0000-0000BE030000}"/>
    <cellStyle name="20% - Accent1 2 5 4 2 2" xfId="3086" xr:uid="{00000000-0005-0000-0000-0000BF030000}"/>
    <cellStyle name="20% - Accent1 2 5 4 2 2 2" xfId="5211" xr:uid="{00000000-0005-0000-0000-0000C0030000}"/>
    <cellStyle name="20% - Accent1 2 5 4 2 3" xfId="3958" xr:uid="{00000000-0005-0000-0000-0000C1030000}"/>
    <cellStyle name="20% - Accent1 2 5 4 3" xfId="3112" xr:uid="{00000000-0005-0000-0000-0000C2030000}"/>
    <cellStyle name="20% - Accent1 2 5 4 3 2" xfId="7115" xr:uid="{00000000-0005-0000-0000-0000C3030000}"/>
    <cellStyle name="20% - Accent1 2 5 4 4" xfId="4940" xr:uid="{00000000-0005-0000-0000-0000C4030000}"/>
    <cellStyle name="20% - Accent1 2 5 5" xfId="18650" xr:uid="{00000000-0005-0000-0000-0000C5030000}"/>
    <cellStyle name="20% - Accent1 2 5 5 2" xfId="3169" xr:uid="{00000000-0005-0000-0000-0000C6030000}"/>
    <cellStyle name="20% - Accent1 2 5 5 2 2" xfId="3172" xr:uid="{00000000-0005-0000-0000-0000C7030000}"/>
    <cellStyle name="20% - Accent1 2 5 5 3" xfId="19516" xr:uid="{00000000-0005-0000-0000-0000C8030000}"/>
    <cellStyle name="20% - Accent1 2 5 6" xfId="5984" xr:uid="{00000000-0005-0000-0000-0000C9030000}"/>
    <cellStyle name="20% - Accent1 2 5 6 2" xfId="3198" xr:uid="{00000000-0005-0000-0000-0000CA030000}"/>
    <cellStyle name="20% - Accent1 2 5 7" xfId="10335" xr:uid="{00000000-0005-0000-0000-0000CB030000}"/>
    <cellStyle name="20% - Accent1 2 6" xfId="15038" xr:uid="{00000000-0005-0000-0000-0000CC030000}"/>
    <cellStyle name="20% - Accent1 2 6 2" xfId="17874" xr:uid="{00000000-0005-0000-0000-0000CD030000}"/>
    <cellStyle name="20% - Accent1 2 6 2 2" xfId="6406" xr:uid="{00000000-0005-0000-0000-0000CE030000}"/>
    <cellStyle name="20% - Accent1 2 6 2 2 2" xfId="9267" xr:uid="{00000000-0005-0000-0000-0000CF030000}"/>
    <cellStyle name="20% - Accent1 2 6 2 2 2 2" xfId="6064" xr:uid="{00000000-0005-0000-0000-0000D0030000}"/>
    <cellStyle name="20% - Accent1 2 6 2 2 2 2 2" xfId="29048" xr:uid="{00000000-0005-0000-0000-0000D1030000}"/>
    <cellStyle name="20% - Accent1 2 6 2 2 2 3" xfId="6981" xr:uid="{00000000-0005-0000-0000-0000D2030000}"/>
    <cellStyle name="20% - Accent1 2 6 2 2 3" xfId="9270" xr:uid="{00000000-0005-0000-0000-0000D3030000}"/>
    <cellStyle name="20% - Accent1 2 6 2 2 3 2" xfId="7884" xr:uid="{00000000-0005-0000-0000-0000D4030000}"/>
    <cellStyle name="20% - Accent1 2 6 2 2 4" xfId="23236" xr:uid="{00000000-0005-0000-0000-0000D5030000}"/>
    <cellStyle name="20% - Accent1 2 6 2 3" xfId="571" xr:uid="{00000000-0005-0000-0000-0000D6030000}"/>
    <cellStyle name="20% - Accent1 2 6 2 3 2" xfId="9276" xr:uid="{00000000-0005-0000-0000-0000D7030000}"/>
    <cellStyle name="20% - Accent1 2 6 2 3 2 2" xfId="20087" xr:uid="{00000000-0005-0000-0000-0000D8030000}"/>
    <cellStyle name="20% - Accent1 2 6 2 3 3" xfId="1469" xr:uid="{00000000-0005-0000-0000-0000D9030000}"/>
    <cellStyle name="20% - Accent1 2 6 2 4" xfId="1473" xr:uid="{00000000-0005-0000-0000-0000DA030000}"/>
    <cellStyle name="20% - Accent1 2 6 2 4 2" xfId="9280" xr:uid="{00000000-0005-0000-0000-0000DB030000}"/>
    <cellStyle name="20% - Accent1 2 6 2 5" xfId="2004" xr:uid="{00000000-0005-0000-0000-0000DC030000}"/>
    <cellStyle name="20% - Accent1 2 6 3" xfId="6407" xr:uid="{00000000-0005-0000-0000-0000DD030000}"/>
    <cellStyle name="20% - Accent1 2 6 3 2" xfId="13099" xr:uid="{00000000-0005-0000-0000-0000DE030000}"/>
    <cellStyle name="20% - Accent1 2 6 3 2 2" xfId="4230" xr:uid="{00000000-0005-0000-0000-0000DF030000}"/>
    <cellStyle name="20% - Accent1 2 6 3 2 2 2" xfId="3211" xr:uid="{00000000-0005-0000-0000-0000E0030000}"/>
    <cellStyle name="20% - Accent1 2 6 3 2 3" xfId="1822" xr:uid="{00000000-0005-0000-0000-0000E1030000}"/>
    <cellStyle name="20% - Accent1 2 6 3 3" xfId="1510" xr:uid="{00000000-0005-0000-0000-0000E2030000}"/>
    <cellStyle name="20% - Accent1 2 6 3 3 2" xfId="3792" xr:uid="{00000000-0005-0000-0000-0000E3030000}"/>
    <cellStyle name="20% - Accent1 2 6 3 4" xfId="6131" xr:uid="{00000000-0005-0000-0000-0000E4030000}"/>
    <cellStyle name="20% - Accent1 2 6 4" xfId="4856" xr:uid="{00000000-0005-0000-0000-0000E5030000}"/>
    <cellStyle name="20% - Accent1 2 6 4 2" xfId="3225" xr:uid="{00000000-0005-0000-0000-0000E6030000}"/>
    <cellStyle name="20% - Accent1 2 6 4 2 2" xfId="1541" xr:uid="{00000000-0005-0000-0000-0000E7030000}"/>
    <cellStyle name="20% - Accent1 2 6 4 3" xfId="3232" xr:uid="{00000000-0005-0000-0000-0000E8030000}"/>
    <cellStyle name="20% - Accent1 2 6 5" xfId="18659" xr:uid="{00000000-0005-0000-0000-0000E9030000}"/>
    <cellStyle name="20% - Accent1 2 6 5 2" xfId="3236" xr:uid="{00000000-0005-0000-0000-0000EA030000}"/>
    <cellStyle name="20% - Accent1 2 6 6" xfId="6743" xr:uid="{00000000-0005-0000-0000-0000EB030000}"/>
    <cellStyle name="20% - Accent1 2 7" xfId="5981" xr:uid="{00000000-0005-0000-0000-0000EC030000}"/>
    <cellStyle name="20% - Accent1 2 7 2" xfId="5611" xr:uid="{00000000-0005-0000-0000-0000ED030000}"/>
    <cellStyle name="20% - Accent1 2 7 2 2" xfId="545" xr:uid="{00000000-0005-0000-0000-0000EE030000}"/>
    <cellStyle name="20% - Accent1 2 7 2 2 2" xfId="9309" xr:uid="{00000000-0005-0000-0000-0000EF030000}"/>
    <cellStyle name="20% - Accent1 2 7 2 2 2 2" xfId="12659" xr:uid="{00000000-0005-0000-0000-0000F0030000}"/>
    <cellStyle name="20% - Accent1 2 7 2 2 3" xfId="9311" xr:uid="{00000000-0005-0000-0000-0000F1030000}"/>
    <cellStyle name="20% - Accent1 2 7 2 3" xfId="347" xr:uid="{00000000-0005-0000-0000-0000F2030000}"/>
    <cellStyle name="20% - Accent1 2 7 2 3 2" xfId="741" xr:uid="{00000000-0005-0000-0000-0000F3030000}"/>
    <cellStyle name="20% - Accent1 2 7 2 4" xfId="2111" xr:uid="{00000000-0005-0000-0000-0000F4030000}"/>
    <cellStyle name="20% - Accent1 2 7 3" xfId="2399" xr:uid="{00000000-0005-0000-0000-0000F5030000}"/>
    <cellStyle name="20% - Accent1 2 7 3 2" xfId="659" xr:uid="{00000000-0005-0000-0000-0000F6030000}"/>
    <cellStyle name="20% - Accent1 2 7 3 2 2" xfId="16707" xr:uid="{00000000-0005-0000-0000-0000F7030000}"/>
    <cellStyle name="20% - Accent1 2 7 3 3" xfId="597" xr:uid="{00000000-0005-0000-0000-0000F8030000}"/>
    <cellStyle name="20% - Accent1 2 7 4" xfId="10676" xr:uid="{00000000-0005-0000-0000-0000F9030000}"/>
    <cellStyle name="20% - Accent1 2 7 4 2" xfId="3432" xr:uid="{00000000-0005-0000-0000-0000FA030000}"/>
    <cellStyle name="20% - Accent1 2 7 5" xfId="30938" xr:uid="{00000000-0005-0000-0000-0000FB030000}"/>
    <cellStyle name="20% - Accent1 2 8" xfId="1815" xr:uid="{00000000-0005-0000-0000-0000FC030000}"/>
    <cellStyle name="20% - Accent1 2 8 2" xfId="4176" xr:uid="{00000000-0005-0000-0000-0000FD030000}"/>
    <cellStyle name="20% - Accent1 2 8 2 2" xfId="727" xr:uid="{00000000-0005-0000-0000-0000FE030000}"/>
    <cellStyle name="20% - Accent1 2 8 2 2 2" xfId="9330" xr:uid="{00000000-0005-0000-0000-0000FF030000}"/>
    <cellStyle name="20% - Accent1 2 8 2 3" xfId="731" xr:uid="{00000000-0005-0000-0000-000000040000}"/>
    <cellStyle name="20% - Accent1 2 8 3" xfId="12438" xr:uid="{00000000-0005-0000-0000-000001040000}"/>
    <cellStyle name="20% - Accent1 2 8 3 2" xfId="6746" xr:uid="{00000000-0005-0000-0000-000002040000}"/>
    <cellStyle name="20% - Accent1 2 8 4" xfId="1561" xr:uid="{00000000-0005-0000-0000-000003040000}"/>
    <cellStyle name="20% - Accent1 2 9" xfId="1027" xr:uid="{00000000-0005-0000-0000-000004040000}"/>
    <cellStyle name="20% - Accent1 2 9 2" xfId="1565" xr:uid="{00000000-0005-0000-0000-000005040000}"/>
    <cellStyle name="20% - Accent1 2 9 2 2" xfId="8449" xr:uid="{00000000-0005-0000-0000-000006040000}"/>
    <cellStyle name="20% - Accent1 2 9 3" xfId="1573" xr:uid="{00000000-0005-0000-0000-000007040000}"/>
    <cellStyle name="20% - Accent1 3" xfId="7717" xr:uid="{00000000-0005-0000-0000-000008040000}"/>
    <cellStyle name="20% - Accent1 3 10" xfId="4564" xr:uid="{00000000-0005-0000-0000-000009040000}"/>
    <cellStyle name="20% - Accent1 3 2" xfId="7345" xr:uid="{00000000-0005-0000-0000-00000A040000}"/>
    <cellStyle name="20% - Accent1 3 2 2" xfId="2207" xr:uid="{00000000-0005-0000-0000-00000B040000}"/>
    <cellStyle name="20% - Accent1 3 2 2 2" xfId="3576" xr:uid="{00000000-0005-0000-0000-00000C040000}"/>
    <cellStyle name="20% - Accent1 3 2 2 2 2" xfId="1063" xr:uid="{00000000-0005-0000-0000-00000D040000}"/>
    <cellStyle name="20% - Accent1 3 2 2 2 2 2" xfId="889" xr:uid="{00000000-0005-0000-0000-00000E040000}"/>
    <cellStyle name="20% - Accent1 3 2 2 2 2 2 2" xfId="17317" xr:uid="{00000000-0005-0000-0000-00000F040000}"/>
    <cellStyle name="20% - Accent1 3 2 2 2 2 2 2 2" xfId="8835" xr:uid="{00000000-0005-0000-0000-000010040000}"/>
    <cellStyle name="20% - Accent1 3 2 2 2 2 2 2 2 2" xfId="12521" xr:uid="{00000000-0005-0000-0000-000011040000}"/>
    <cellStyle name="20% - Accent1 3 2 2 2 2 2 2 2 2 2" xfId="6141" xr:uid="{00000000-0005-0000-0000-000012040000}"/>
    <cellStyle name="20% - Accent1 3 2 2 2 2 2 2 2 3" xfId="8429" xr:uid="{00000000-0005-0000-0000-000013040000}"/>
    <cellStyle name="20% - Accent1 3 2 2 2 2 2 2 3" xfId="30510" xr:uid="{00000000-0005-0000-0000-000014040000}"/>
    <cellStyle name="20% - Accent1 3 2 2 2 2 2 2 3 2" xfId="7577" xr:uid="{00000000-0005-0000-0000-000015040000}"/>
    <cellStyle name="20% - Accent1 3 2 2 2 2 2 2 4" xfId="1600" xr:uid="{00000000-0005-0000-0000-000016040000}"/>
    <cellStyle name="20% - Accent1 3 2 2 2 2 2 3" xfId="17322" xr:uid="{00000000-0005-0000-0000-000017040000}"/>
    <cellStyle name="20% - Accent1 3 2 2 2 2 2 3 2" xfId="1623" xr:uid="{00000000-0005-0000-0000-000018040000}"/>
    <cellStyle name="20% - Accent1 3 2 2 2 2 2 3 2 2" xfId="14213" xr:uid="{00000000-0005-0000-0000-000019040000}"/>
    <cellStyle name="20% - Accent1 3 2 2 2 2 2 3 3" xfId="1634" xr:uid="{00000000-0005-0000-0000-00001A040000}"/>
    <cellStyle name="20% - Accent1 3 2 2 2 2 2 4" xfId="12734" xr:uid="{00000000-0005-0000-0000-00001B040000}"/>
    <cellStyle name="20% - Accent1 3 2 2 2 2 2 4 2" xfId="9721" xr:uid="{00000000-0005-0000-0000-00001C040000}"/>
    <cellStyle name="20% - Accent1 3 2 2 2 2 2 5" xfId="12750" xr:uid="{00000000-0005-0000-0000-00001D040000}"/>
    <cellStyle name="20% - Accent1 3 2 2 2 2 3" xfId="5852" xr:uid="{00000000-0005-0000-0000-00001E040000}"/>
    <cellStyle name="20% - Accent1 3 2 2 2 2 3 2" xfId="13798" xr:uid="{00000000-0005-0000-0000-00001F040000}"/>
    <cellStyle name="20% - Accent1 3 2 2 2 2 3 2 2" xfId="1277" xr:uid="{00000000-0005-0000-0000-000020040000}"/>
    <cellStyle name="20% - Accent1 3 2 2 2 2 3 2 2 2" xfId="8654" xr:uid="{00000000-0005-0000-0000-000021040000}"/>
    <cellStyle name="20% - Accent1 3 2 2 2 2 3 2 3" xfId="8718" xr:uid="{00000000-0005-0000-0000-000022040000}"/>
    <cellStyle name="20% - Accent1 3 2 2 2 2 3 3" xfId="12765" xr:uid="{00000000-0005-0000-0000-000023040000}"/>
    <cellStyle name="20% - Accent1 3 2 2 2 2 3 3 2" xfId="1651" xr:uid="{00000000-0005-0000-0000-000024040000}"/>
    <cellStyle name="20% - Accent1 3 2 2 2 2 3 4" xfId="16546" xr:uid="{00000000-0005-0000-0000-000025040000}"/>
    <cellStyle name="20% - Accent1 3 2 2 2 2 4" xfId="7623" xr:uid="{00000000-0005-0000-0000-000026040000}"/>
    <cellStyle name="20% - Accent1 3 2 2 2 2 4 2" xfId="27002" xr:uid="{00000000-0005-0000-0000-000027040000}"/>
    <cellStyle name="20% - Accent1 3 2 2 2 2 4 2 2" xfId="4506" xr:uid="{00000000-0005-0000-0000-000028040000}"/>
    <cellStyle name="20% - Accent1 3 2 2 2 2 4 3" xfId="16595" xr:uid="{00000000-0005-0000-0000-000029040000}"/>
    <cellStyle name="20% - Accent1 3 2 2 2 2 5" xfId="4521" xr:uid="{00000000-0005-0000-0000-00002A040000}"/>
    <cellStyle name="20% - Accent1 3 2 2 2 2 5 2" xfId="29464" xr:uid="{00000000-0005-0000-0000-00002B040000}"/>
    <cellStyle name="20% - Accent1 3 2 2 2 2 6" xfId="10664" xr:uid="{00000000-0005-0000-0000-00002C040000}"/>
    <cellStyle name="20% - Accent1 3 2 2 2 3" xfId="6336" xr:uid="{00000000-0005-0000-0000-00002D040000}"/>
    <cellStyle name="20% - Accent1 3 2 2 2 3 2" xfId="1077" xr:uid="{00000000-0005-0000-0000-00002E040000}"/>
    <cellStyle name="20% - Accent1 3 2 2 2 3 2 2" xfId="21385" xr:uid="{00000000-0005-0000-0000-00002F040000}"/>
    <cellStyle name="20% - Accent1 3 2 2 2 3 2 2 2" xfId="170" xr:uid="{00000000-0005-0000-0000-000030040000}"/>
    <cellStyle name="20% - Accent1 3 2 2 2 3 2 2 2 2" xfId="2766" xr:uid="{00000000-0005-0000-0000-000031040000}"/>
    <cellStyle name="20% - Accent1 3 2 2 2 3 2 2 3" xfId="30" xr:uid="{00000000-0005-0000-0000-000032040000}"/>
    <cellStyle name="20% - Accent1 3 2 2 2 3 2 3" xfId="12827" xr:uid="{00000000-0005-0000-0000-000033040000}"/>
    <cellStyle name="20% - Accent1 3 2 2 2 3 2 3 2" xfId="5176" xr:uid="{00000000-0005-0000-0000-000034040000}"/>
    <cellStyle name="20% - Accent1 3 2 2 2 3 2 4" xfId="28334" xr:uid="{00000000-0005-0000-0000-000035040000}"/>
    <cellStyle name="20% - Accent1 3 2 2 2 3 3" xfId="1206" xr:uid="{00000000-0005-0000-0000-000036040000}"/>
    <cellStyle name="20% - Accent1 3 2 2 2 3 3 2" xfId="2528" xr:uid="{00000000-0005-0000-0000-000037040000}"/>
    <cellStyle name="20% - Accent1 3 2 2 2 3 3 2 2" xfId="9451" xr:uid="{00000000-0005-0000-0000-000038040000}"/>
    <cellStyle name="20% - Accent1 3 2 2 2 3 3 3" xfId="1670" xr:uid="{00000000-0005-0000-0000-000039040000}"/>
    <cellStyle name="20% - Accent1 3 2 2 2 3 4" xfId="4558" xr:uid="{00000000-0005-0000-0000-00003A040000}"/>
    <cellStyle name="20% - Accent1 3 2 2 2 3 4 2" xfId="4560" xr:uid="{00000000-0005-0000-0000-00003B040000}"/>
    <cellStyle name="20% - Accent1 3 2 2 2 3 5" xfId="10646" xr:uid="{00000000-0005-0000-0000-00003C040000}"/>
    <cellStyle name="20% - Accent1 3 2 2 2 4" xfId="1079" xr:uid="{00000000-0005-0000-0000-00003D040000}"/>
    <cellStyle name="20% - Accent1 3 2 2 2 4 2" xfId="1207" xr:uid="{00000000-0005-0000-0000-00003E040000}"/>
    <cellStyle name="20% - Accent1 3 2 2 2 4 2 2" xfId="2369" xr:uid="{00000000-0005-0000-0000-00003F040000}"/>
    <cellStyle name="20% - Accent1 3 2 2 2 4 2 2 2" xfId="955" xr:uid="{00000000-0005-0000-0000-000040040000}"/>
    <cellStyle name="20% - Accent1 3 2 2 2 4 2 3" xfId="12857" xr:uid="{00000000-0005-0000-0000-000041040000}"/>
    <cellStyle name="20% - Accent1 3 2 2 2 4 3" xfId="1340" xr:uid="{00000000-0005-0000-0000-000042040000}"/>
    <cellStyle name="20% - Accent1 3 2 2 2 4 3 2" xfId="3493" xr:uid="{00000000-0005-0000-0000-000043040000}"/>
    <cellStyle name="20% - Accent1 3 2 2 2 4 4" xfId="7639" xr:uid="{00000000-0005-0000-0000-000044040000}"/>
    <cellStyle name="20% - Accent1 3 2 2 2 5" xfId="1682" xr:uid="{00000000-0005-0000-0000-000045040000}"/>
    <cellStyle name="20% - Accent1 3 2 2 2 5 2" xfId="4459" xr:uid="{00000000-0005-0000-0000-000046040000}"/>
    <cellStyle name="20% - Accent1 3 2 2 2 5 2 2" xfId="12888" xr:uid="{00000000-0005-0000-0000-000047040000}"/>
    <cellStyle name="20% - Accent1 3 2 2 2 5 3" xfId="670" xr:uid="{00000000-0005-0000-0000-000048040000}"/>
    <cellStyle name="20% - Accent1 3 2 2 2 6" xfId="30833" xr:uid="{00000000-0005-0000-0000-000049040000}"/>
    <cellStyle name="20% - Accent1 3 2 2 2 6 2" xfId="21404" xr:uid="{00000000-0005-0000-0000-00004A040000}"/>
    <cellStyle name="20% - Accent1 3 2 2 2 7" xfId="30835" xr:uid="{00000000-0005-0000-0000-00004B040000}"/>
    <cellStyle name="20% - Accent1 3 2 2 3" xfId="8582" xr:uid="{00000000-0005-0000-0000-00004C040000}"/>
    <cellStyle name="20% - Accent1 3 2 2 3 2" xfId="6534" xr:uid="{00000000-0005-0000-0000-00004D040000}"/>
    <cellStyle name="20% - Accent1 3 2 2 3 2 2" xfId="1104" xr:uid="{00000000-0005-0000-0000-00004E040000}"/>
    <cellStyle name="20% - Accent1 3 2 2 3 2 2 2" xfId="17805" xr:uid="{00000000-0005-0000-0000-00004F040000}"/>
    <cellStyle name="20% - Accent1 3 2 2 3 2 2 2 2" xfId="10638" xr:uid="{00000000-0005-0000-0000-000050040000}"/>
    <cellStyle name="20% - Accent1 3 2 2 3 2 2 2 2 2" xfId="2066" xr:uid="{00000000-0005-0000-0000-000051040000}"/>
    <cellStyle name="20% - Accent1 3 2 2 3 2 2 2 3" xfId="1694" xr:uid="{00000000-0005-0000-0000-000052040000}"/>
    <cellStyle name="20% - Accent1 3 2 2 3 2 2 3" xfId="3608" xr:uid="{00000000-0005-0000-0000-000053040000}"/>
    <cellStyle name="20% - Accent1 3 2 2 3 2 2 3 2" xfId="1700" xr:uid="{00000000-0005-0000-0000-000054040000}"/>
    <cellStyle name="20% - Accent1 3 2 2 3 2 2 4" xfId="18540" xr:uid="{00000000-0005-0000-0000-000055040000}"/>
    <cellStyle name="20% - Accent1 3 2 2 3 2 3" xfId="1701" xr:uid="{00000000-0005-0000-0000-000056040000}"/>
    <cellStyle name="20% - Accent1 3 2 2 3 2 3 2" xfId="12960" xr:uid="{00000000-0005-0000-0000-000057040000}"/>
    <cellStyle name="20% - Accent1 3 2 2 3 2 3 2 2" xfId="7505" xr:uid="{00000000-0005-0000-0000-000058040000}"/>
    <cellStyle name="20% - Accent1 3 2 2 3 2 3 3" xfId="1716" xr:uid="{00000000-0005-0000-0000-000059040000}"/>
    <cellStyle name="20% - Accent1 3 2 2 3 2 4" xfId="7714" xr:uid="{00000000-0005-0000-0000-00005A040000}"/>
    <cellStyle name="20% - Accent1 3 2 2 3 2 4 2" xfId="12968" xr:uid="{00000000-0005-0000-0000-00005B040000}"/>
    <cellStyle name="20% - Accent1 3 2 2 3 2 5" xfId="10721" xr:uid="{00000000-0005-0000-0000-00005C040000}"/>
    <cellStyle name="20% - Accent1 3 2 2 3 3" xfId="1110" xr:uid="{00000000-0005-0000-0000-00005D040000}"/>
    <cellStyle name="20% - Accent1 3 2 2 3 3 2" xfId="1720" xr:uid="{00000000-0005-0000-0000-00005E040000}"/>
    <cellStyle name="20% - Accent1 3 2 2 3 3 2 2" xfId="29204" xr:uid="{00000000-0005-0000-0000-00005F040000}"/>
    <cellStyle name="20% - Accent1 3 2 2 3 3 2 2 2" xfId="26" xr:uid="{00000000-0005-0000-0000-000060040000}"/>
    <cellStyle name="20% - Accent1 3 2 2 3 3 2 3" xfId="2854" xr:uid="{00000000-0005-0000-0000-000061040000}"/>
    <cellStyle name="20% - Accent1 3 2 2 3 3 3" xfId="5857" xr:uid="{00000000-0005-0000-0000-000062040000}"/>
    <cellStyle name="20% - Accent1 3 2 2 3 3 3 2" xfId="1751" xr:uid="{00000000-0005-0000-0000-000063040000}"/>
    <cellStyle name="20% - Accent1 3 2 2 3 3 4" xfId="7723" xr:uid="{00000000-0005-0000-0000-000064040000}"/>
    <cellStyle name="20% - Accent1 3 2 2 3 4" xfId="21898" xr:uid="{00000000-0005-0000-0000-000065040000}"/>
    <cellStyle name="20% - Accent1 3 2 2 3 4 2" xfId="23883" xr:uid="{00000000-0005-0000-0000-000066040000}"/>
    <cellStyle name="20% - Accent1 3 2 2 3 4 2 2" xfId="29241" xr:uid="{00000000-0005-0000-0000-000067040000}"/>
    <cellStyle name="20% - Accent1 3 2 2 3 4 3" xfId="23890" xr:uid="{00000000-0005-0000-0000-000068040000}"/>
    <cellStyle name="20% - Accent1 3 2 2 3 5" xfId="23891" xr:uid="{00000000-0005-0000-0000-000069040000}"/>
    <cellStyle name="20% - Accent1 3 2 2 3 5 2" xfId="2985" xr:uid="{00000000-0005-0000-0000-00006A040000}"/>
    <cellStyle name="20% - Accent1 3 2 2 3 6" xfId="23893" xr:uid="{00000000-0005-0000-0000-00006B040000}"/>
    <cellStyle name="20% - Accent1 3 2 2 4" xfId="1112" xr:uid="{00000000-0005-0000-0000-00006C040000}"/>
    <cellStyle name="20% - Accent1 3 2 2 4 2" xfId="6739" xr:uid="{00000000-0005-0000-0000-00006D040000}"/>
    <cellStyle name="20% - Accent1 3 2 2 4 2 2" xfId="1772" xr:uid="{00000000-0005-0000-0000-00006E040000}"/>
    <cellStyle name="20% - Accent1 3 2 2 4 2 2 2" xfId="33734" xr:uid="{00000000-0005-0000-0000-00006F040000}"/>
    <cellStyle name="20% - Accent1 3 2 2 4 2 2 2 2" xfId="27357" xr:uid="{00000000-0005-0000-0000-000070040000}"/>
    <cellStyle name="20% - Accent1 3 2 2 4 2 2 3" xfId="3045" xr:uid="{00000000-0005-0000-0000-000071040000}"/>
    <cellStyle name="20% - Accent1 3 2 2 4 2 3" xfId="1775" xr:uid="{00000000-0005-0000-0000-000072040000}"/>
    <cellStyle name="20% - Accent1 3 2 2 4 2 3 2" xfId="13041" xr:uid="{00000000-0005-0000-0000-000073040000}"/>
    <cellStyle name="20% - Accent1 3 2 2 4 2 4" xfId="8492" xr:uid="{00000000-0005-0000-0000-000074040000}"/>
    <cellStyle name="20% - Accent1 3 2 2 4 3" xfId="11780" xr:uid="{00000000-0005-0000-0000-000075040000}"/>
    <cellStyle name="20% - Accent1 3 2 2 4 3 2" xfId="6740" xr:uid="{00000000-0005-0000-0000-000076040000}"/>
    <cellStyle name="20% - Accent1 3 2 2 4 3 2 2" xfId="13046" xr:uid="{00000000-0005-0000-0000-000077040000}"/>
    <cellStyle name="20% - Accent1 3 2 2 4 3 3" xfId="1788" xr:uid="{00000000-0005-0000-0000-000078040000}"/>
    <cellStyle name="20% - Accent1 3 2 2 4 4" xfId="23898" xr:uid="{00000000-0005-0000-0000-000079040000}"/>
    <cellStyle name="20% - Accent1 3 2 2 4 4 2" xfId="1789" xr:uid="{00000000-0005-0000-0000-00007A040000}"/>
    <cellStyle name="20% - Accent1 3 2 2 4 5" xfId="13565" xr:uid="{00000000-0005-0000-0000-00007B040000}"/>
    <cellStyle name="20% - Accent1 3 2 2 5" xfId="1113" xr:uid="{00000000-0005-0000-0000-00007C040000}"/>
    <cellStyle name="20% - Accent1 3 2 2 5 2" xfId="5814" xr:uid="{00000000-0005-0000-0000-00007D040000}"/>
    <cellStyle name="20% - Accent1 3 2 2 5 2 2" xfId="1451" xr:uid="{00000000-0005-0000-0000-00007E040000}"/>
    <cellStyle name="20% - Accent1 3 2 2 5 2 2 2" xfId="33695" xr:uid="{00000000-0005-0000-0000-00007F040000}"/>
    <cellStyle name="20% - Accent1 3 2 2 5 2 3" xfId="1802" xr:uid="{00000000-0005-0000-0000-000080040000}"/>
    <cellStyle name="20% - Accent1 3 2 2 5 3" xfId="2067" xr:uid="{00000000-0005-0000-0000-000081040000}"/>
    <cellStyle name="20% - Accent1 3 2 2 5 3 2" xfId="1807" xr:uid="{00000000-0005-0000-0000-000082040000}"/>
    <cellStyle name="20% - Accent1 3 2 2 5 4" xfId="5988" xr:uid="{00000000-0005-0000-0000-000083040000}"/>
    <cellStyle name="20% - Accent1 3 2 2 6" xfId="2357" xr:uid="{00000000-0005-0000-0000-000084040000}"/>
    <cellStyle name="20% - Accent1 3 2 2 6 2" xfId="12525" xr:uid="{00000000-0005-0000-0000-000085040000}"/>
    <cellStyle name="20% - Accent1 3 2 2 6 2 2" xfId="2732" xr:uid="{00000000-0005-0000-0000-000086040000}"/>
    <cellStyle name="20% - Accent1 3 2 2 6 3" xfId="2594" xr:uid="{00000000-0005-0000-0000-000087040000}"/>
    <cellStyle name="20% - Accent1 3 2 2 7" xfId="14455" xr:uid="{00000000-0005-0000-0000-000088040000}"/>
    <cellStyle name="20% - Accent1 3 2 2 7 2" xfId="189" xr:uid="{00000000-0005-0000-0000-000089040000}"/>
    <cellStyle name="20% - Accent1 3 2 2 8" xfId="10994" xr:uid="{00000000-0005-0000-0000-00008A040000}"/>
    <cellStyle name="20% - Accent1 3 2 3" xfId="1841" xr:uid="{00000000-0005-0000-0000-00008B040000}"/>
    <cellStyle name="20% - Accent1 3 2 3 2" xfId="10499" xr:uid="{00000000-0005-0000-0000-00008C040000}"/>
    <cellStyle name="20% - Accent1 3 2 3 2 2" xfId="1179" xr:uid="{00000000-0005-0000-0000-00008D040000}"/>
    <cellStyle name="20% - Accent1 3 2 3 2 2 2" xfId="4229" xr:uid="{00000000-0005-0000-0000-00008E040000}"/>
    <cellStyle name="20% - Accent1 3 2 3 2 2 2 2" xfId="4550" xr:uid="{00000000-0005-0000-0000-00008F040000}"/>
    <cellStyle name="20% - Accent1 3 2 3 2 2 2 2 2" xfId="7720" xr:uid="{00000000-0005-0000-0000-000090040000}"/>
    <cellStyle name="20% - Accent1 3 2 3 2 2 2 2 2 2" xfId="3969" xr:uid="{00000000-0005-0000-0000-000091040000}"/>
    <cellStyle name="20% - Accent1 3 2 3 2 2 2 2 3" xfId="21640" xr:uid="{00000000-0005-0000-0000-000092040000}"/>
    <cellStyle name="20% - Accent1 3 2 3 2 2 2 3" xfId="16451" xr:uid="{00000000-0005-0000-0000-000093040000}"/>
    <cellStyle name="20% - Accent1 3 2 3 2 2 2 3 2" xfId="10299" xr:uid="{00000000-0005-0000-0000-000094040000}"/>
    <cellStyle name="20% - Accent1 3 2 3 2 2 2 4" xfId="22135" xr:uid="{00000000-0005-0000-0000-000095040000}"/>
    <cellStyle name="20% - Accent1 3 2 3 2 2 3" xfId="1842" xr:uid="{00000000-0005-0000-0000-000096040000}"/>
    <cellStyle name="20% - Accent1 3 2 3 2 2 3 2" xfId="13136" xr:uid="{00000000-0005-0000-0000-000097040000}"/>
    <cellStyle name="20% - Accent1 3 2 3 2 2 3 2 2" xfId="980" xr:uid="{00000000-0005-0000-0000-000098040000}"/>
    <cellStyle name="20% - Accent1 3 2 3 2 2 3 3" xfId="32209" xr:uid="{00000000-0005-0000-0000-000099040000}"/>
    <cellStyle name="20% - Accent1 3 2 3 2 2 4" xfId="4677" xr:uid="{00000000-0005-0000-0000-00009A040000}"/>
    <cellStyle name="20% - Accent1 3 2 3 2 2 4 2" xfId="13146" xr:uid="{00000000-0005-0000-0000-00009B040000}"/>
    <cellStyle name="20% - Accent1 3 2 3 2 2 5" xfId="10811" xr:uid="{00000000-0005-0000-0000-00009C040000}"/>
    <cellStyle name="20% - Accent1 3 2 3 2 3" xfId="4842" xr:uid="{00000000-0005-0000-0000-00009D040000}"/>
    <cellStyle name="20% - Accent1 3 2 3 2 3 2" xfId="4853" xr:uid="{00000000-0005-0000-0000-00009E040000}"/>
    <cellStyle name="20% - Accent1 3 2 3 2 3 2 2" xfId="21286" xr:uid="{00000000-0005-0000-0000-00009F040000}"/>
    <cellStyle name="20% - Accent1 3 2 3 2 3 2 2 2" xfId="4737" xr:uid="{00000000-0005-0000-0000-0000A0040000}"/>
    <cellStyle name="20% - Accent1 3 2 3 2 3 2 3" xfId="30867" xr:uid="{00000000-0005-0000-0000-0000A1040000}"/>
    <cellStyle name="20% - Accent1 3 2 3 2 3 3" xfId="4865" xr:uid="{00000000-0005-0000-0000-0000A2040000}"/>
    <cellStyle name="20% - Accent1 3 2 3 2 3 3 2" xfId="4870" xr:uid="{00000000-0005-0000-0000-0000A3040000}"/>
    <cellStyle name="20% - Accent1 3 2 3 2 3 4" xfId="4832" xr:uid="{00000000-0005-0000-0000-0000A4040000}"/>
    <cellStyle name="20% - Accent1 3 2 3 2 4" xfId="2925" xr:uid="{00000000-0005-0000-0000-0000A5040000}"/>
    <cellStyle name="20% - Accent1 3 2 3 2 4 2" xfId="1952" xr:uid="{00000000-0005-0000-0000-0000A6040000}"/>
    <cellStyle name="20% - Accent1 3 2 3 2 4 2 2" xfId="13304" xr:uid="{00000000-0005-0000-0000-0000A7040000}"/>
    <cellStyle name="20% - Accent1 3 2 3 2 4 3" xfId="1502" xr:uid="{00000000-0005-0000-0000-0000A8040000}"/>
    <cellStyle name="20% - Accent1 3 2 3 2 5" xfId="2932" xr:uid="{00000000-0005-0000-0000-0000A9040000}"/>
    <cellStyle name="20% - Accent1 3 2 3 2 5 2" xfId="1863" xr:uid="{00000000-0005-0000-0000-0000AA040000}"/>
    <cellStyle name="20% - Accent1 3 2 3 2 6" xfId="5054" xr:uid="{00000000-0005-0000-0000-0000AB040000}"/>
    <cellStyle name="20% - Accent1 3 2 3 3" xfId="547" xr:uid="{00000000-0005-0000-0000-0000AC040000}"/>
    <cellStyle name="20% - Accent1 3 2 3 3 2" xfId="1189" xr:uid="{00000000-0005-0000-0000-0000AD040000}"/>
    <cellStyle name="20% - Accent1 3 2 3 3 2 2" xfId="2236" xr:uid="{00000000-0005-0000-0000-0000AE040000}"/>
    <cellStyle name="20% - Accent1 3 2 3 3 2 2 2" xfId="21412" xr:uid="{00000000-0005-0000-0000-0000AF040000}"/>
    <cellStyle name="20% - Accent1 3 2 3 3 2 2 2 2" xfId="20078" xr:uid="{00000000-0005-0000-0000-0000B0040000}"/>
    <cellStyle name="20% - Accent1 3 2 3 3 2 2 3" xfId="6255" xr:uid="{00000000-0005-0000-0000-0000B1040000}"/>
    <cellStyle name="20% - Accent1 3 2 3 3 2 3" xfId="1877" xr:uid="{00000000-0005-0000-0000-0000B2040000}"/>
    <cellStyle name="20% - Accent1 3 2 3 3 2 3 2" xfId="13586" xr:uid="{00000000-0005-0000-0000-0000B3040000}"/>
    <cellStyle name="20% - Accent1 3 2 3 3 2 4" xfId="4721" xr:uid="{00000000-0005-0000-0000-0000B4040000}"/>
    <cellStyle name="20% - Accent1 3 2 3 3 3" xfId="3413" xr:uid="{00000000-0005-0000-0000-0000B5040000}"/>
    <cellStyle name="20% - Accent1 3 2 3 3 3 2" xfId="4872" xr:uid="{00000000-0005-0000-0000-0000B6040000}"/>
    <cellStyle name="20% - Accent1 3 2 3 3 3 2 2" xfId="13679" xr:uid="{00000000-0005-0000-0000-0000B7040000}"/>
    <cellStyle name="20% - Accent1 3 2 3 3 3 3" xfId="4876" xr:uid="{00000000-0005-0000-0000-0000B8040000}"/>
    <cellStyle name="20% - Accent1 3 2 3 3 4" xfId="23902" xr:uid="{00000000-0005-0000-0000-0000B9040000}"/>
    <cellStyle name="20% - Accent1 3 2 3 3 4 2" xfId="23910" xr:uid="{00000000-0005-0000-0000-0000BA040000}"/>
    <cellStyle name="20% - Accent1 3 2 3 3 5" xfId="23913" xr:uid="{00000000-0005-0000-0000-0000BB040000}"/>
    <cellStyle name="20% - Accent1 3 2 3 4" xfId="24931" xr:uid="{00000000-0005-0000-0000-0000BC040000}"/>
    <cellStyle name="20% - Accent1 3 2 3 4 2" xfId="11953" xr:uid="{00000000-0005-0000-0000-0000BD040000}"/>
    <cellStyle name="20% - Accent1 3 2 3 4 2 2" xfId="2790" xr:uid="{00000000-0005-0000-0000-0000BE040000}"/>
    <cellStyle name="20% - Accent1 3 2 3 4 2 2 2" xfId="13827" xr:uid="{00000000-0005-0000-0000-0000BF040000}"/>
    <cellStyle name="20% - Accent1 3 2 3 4 2 3" xfId="1895" xr:uid="{00000000-0005-0000-0000-0000C0040000}"/>
    <cellStyle name="20% - Accent1 3 2 3 4 3" xfId="3446" xr:uid="{00000000-0005-0000-0000-0000C1040000}"/>
    <cellStyle name="20% - Accent1 3 2 3 4 3 2" xfId="4891" xr:uid="{00000000-0005-0000-0000-0000C2040000}"/>
    <cellStyle name="20% - Accent1 3 2 3 4 4" xfId="23915" xr:uid="{00000000-0005-0000-0000-0000C3040000}"/>
    <cellStyle name="20% - Accent1 3 2 3 5" xfId="24940" xr:uid="{00000000-0005-0000-0000-0000C4040000}"/>
    <cellStyle name="20% - Accent1 3 2 3 5 2" xfId="1903" xr:uid="{00000000-0005-0000-0000-0000C5040000}"/>
    <cellStyle name="20% - Accent1 3 2 3 5 2 2" xfId="3034" xr:uid="{00000000-0005-0000-0000-0000C6040000}"/>
    <cellStyle name="20% - Accent1 3 2 3 5 3" xfId="4912" xr:uid="{00000000-0005-0000-0000-0000C7040000}"/>
    <cellStyle name="20% - Accent1 3 2 3 6" xfId="747" xr:uid="{00000000-0005-0000-0000-0000C8040000}"/>
    <cellStyle name="20% - Accent1 3 2 3 6 2" xfId="1905" xr:uid="{00000000-0005-0000-0000-0000C9040000}"/>
    <cellStyle name="20% - Accent1 3 2 3 7" xfId="3343" xr:uid="{00000000-0005-0000-0000-0000CA040000}"/>
    <cellStyle name="20% - Accent1 3 2 4" xfId="3455" xr:uid="{00000000-0005-0000-0000-0000CB040000}"/>
    <cellStyle name="20% - Accent1 3 2 4 2" xfId="1343" xr:uid="{00000000-0005-0000-0000-0000CC040000}"/>
    <cellStyle name="20% - Accent1 3 2 4 2 2" xfId="3853" xr:uid="{00000000-0005-0000-0000-0000CD040000}"/>
    <cellStyle name="20% - Accent1 3 2 4 2 2 2" xfId="5188" xr:uid="{00000000-0005-0000-0000-0000CE040000}"/>
    <cellStyle name="20% - Accent1 3 2 4 2 2 2 2" xfId="27413" xr:uid="{00000000-0005-0000-0000-0000CF040000}"/>
    <cellStyle name="20% - Accent1 3 2 4 2 2 2 2 2" xfId="11339" xr:uid="{00000000-0005-0000-0000-0000D0040000}"/>
    <cellStyle name="20% - Accent1 3 2 4 2 2 2 3" xfId="27052" xr:uid="{00000000-0005-0000-0000-0000D1040000}"/>
    <cellStyle name="20% - Accent1 3 2 4 2 2 3" xfId="5202" xr:uid="{00000000-0005-0000-0000-0000D2040000}"/>
    <cellStyle name="20% - Accent1 3 2 4 2 2 3 2" xfId="15546" xr:uid="{00000000-0005-0000-0000-0000D3040000}"/>
    <cellStyle name="20% - Accent1 3 2 4 2 2 4" xfId="5229" xr:uid="{00000000-0005-0000-0000-0000D4040000}"/>
    <cellStyle name="20% - Accent1 3 2 4 2 3" xfId="5233" xr:uid="{00000000-0005-0000-0000-0000D5040000}"/>
    <cellStyle name="20% - Accent1 3 2 4 2 3 2" xfId="5134" xr:uid="{00000000-0005-0000-0000-0000D6040000}"/>
    <cellStyle name="20% - Accent1 3 2 4 2 3 2 2" xfId="21821" xr:uid="{00000000-0005-0000-0000-0000D7040000}"/>
    <cellStyle name="20% - Accent1 3 2 4 2 3 3" xfId="5146" xr:uid="{00000000-0005-0000-0000-0000D8040000}"/>
    <cellStyle name="20% - Accent1 3 2 4 2 4" xfId="7432" xr:uid="{00000000-0005-0000-0000-0000D9040000}"/>
    <cellStyle name="20% - Accent1 3 2 4 2 4 2" xfId="5148" xr:uid="{00000000-0005-0000-0000-0000DA040000}"/>
    <cellStyle name="20% - Accent1 3 2 4 2 5" xfId="4943" xr:uid="{00000000-0005-0000-0000-0000DB040000}"/>
    <cellStyle name="20% - Accent1 3 2 4 3" xfId="557" xr:uid="{00000000-0005-0000-0000-0000DC040000}"/>
    <cellStyle name="20% - Accent1 3 2 4 3 2" xfId="20515" xr:uid="{00000000-0005-0000-0000-0000DD040000}"/>
    <cellStyle name="20% - Accent1 3 2 4 3 2 2" xfId="18593" xr:uid="{00000000-0005-0000-0000-0000DE040000}"/>
    <cellStyle name="20% - Accent1 3 2 4 3 2 2 2" xfId="25002" xr:uid="{00000000-0005-0000-0000-0000DF040000}"/>
    <cellStyle name="20% - Accent1 3 2 4 3 2 3" xfId="20553" xr:uid="{00000000-0005-0000-0000-0000E0040000}"/>
    <cellStyle name="20% - Accent1 3 2 4 3 3" xfId="5097" xr:uid="{00000000-0005-0000-0000-0000E1040000}"/>
    <cellStyle name="20% - Accent1 3 2 4 3 3 2" xfId="20600" xr:uid="{00000000-0005-0000-0000-0000E2040000}"/>
    <cellStyle name="20% - Accent1 3 2 4 3 4" xfId="23918" xr:uid="{00000000-0005-0000-0000-0000E3040000}"/>
    <cellStyle name="20% - Accent1 3 2 4 4" xfId="24962" xr:uid="{00000000-0005-0000-0000-0000E4040000}"/>
    <cellStyle name="20% - Accent1 3 2 4 4 2" xfId="20749" xr:uid="{00000000-0005-0000-0000-0000E5040000}"/>
    <cellStyle name="20% - Accent1 3 2 4 4 2 2" xfId="20752" xr:uid="{00000000-0005-0000-0000-0000E6040000}"/>
    <cellStyle name="20% - Accent1 3 2 4 4 3" xfId="20818" xr:uid="{00000000-0005-0000-0000-0000E7040000}"/>
    <cellStyle name="20% - Accent1 3 2 4 5" xfId="474" xr:uid="{00000000-0005-0000-0000-0000E8040000}"/>
    <cellStyle name="20% - Accent1 3 2 4 5 2" xfId="20943" xr:uid="{00000000-0005-0000-0000-0000E9040000}"/>
    <cellStyle name="20% - Accent1 3 2 4 6" xfId="1936" xr:uid="{00000000-0005-0000-0000-0000EA040000}"/>
    <cellStyle name="20% - Accent1 3 2 5" xfId="1947" xr:uid="{00000000-0005-0000-0000-0000EB040000}"/>
    <cellStyle name="20% - Accent1 3 2 5 2" xfId="1359" xr:uid="{00000000-0005-0000-0000-0000EC040000}"/>
    <cellStyle name="20% - Accent1 3 2 5 2 2" xfId="24388" xr:uid="{00000000-0005-0000-0000-0000ED040000}"/>
    <cellStyle name="20% - Accent1 3 2 5 2 2 2" xfId="364" xr:uid="{00000000-0005-0000-0000-0000EE040000}"/>
    <cellStyle name="20% - Accent1 3 2 5 2 2 2 2" xfId="16091" xr:uid="{00000000-0005-0000-0000-0000EF040000}"/>
    <cellStyle name="20% - Accent1 3 2 5 2 2 3" xfId="957" xr:uid="{00000000-0005-0000-0000-0000F0040000}"/>
    <cellStyle name="20% - Accent1 3 2 5 2 3" xfId="3524" xr:uid="{00000000-0005-0000-0000-0000F1040000}"/>
    <cellStyle name="20% - Accent1 3 2 5 2 3 2" xfId="10474" xr:uid="{00000000-0005-0000-0000-0000F2040000}"/>
    <cellStyle name="20% - Accent1 3 2 5 2 4" xfId="11257" xr:uid="{00000000-0005-0000-0000-0000F3040000}"/>
    <cellStyle name="20% - Accent1 3 2 5 3" xfId="25340" xr:uid="{00000000-0005-0000-0000-0000F4040000}"/>
    <cellStyle name="20% - Accent1 3 2 5 3 2" xfId="9459" xr:uid="{00000000-0005-0000-0000-0000F5040000}"/>
    <cellStyle name="20% - Accent1 3 2 5 3 2 2" xfId="29208" xr:uid="{00000000-0005-0000-0000-0000F6040000}"/>
    <cellStyle name="20% - Accent1 3 2 5 3 3" xfId="21258" xr:uid="{00000000-0005-0000-0000-0000F7040000}"/>
    <cellStyle name="20% - Accent1 3 2 5 4" xfId="11112" xr:uid="{00000000-0005-0000-0000-0000F8040000}"/>
    <cellStyle name="20% - Accent1 3 2 5 4 2" xfId="21348" xr:uid="{00000000-0005-0000-0000-0000F9040000}"/>
    <cellStyle name="20% - Accent1 3 2 5 5" xfId="6810" xr:uid="{00000000-0005-0000-0000-0000FA040000}"/>
    <cellStyle name="20% - Accent1 3 2 6" xfId="5053" xr:uid="{00000000-0005-0000-0000-0000FB040000}"/>
    <cellStyle name="20% - Accent1 3 2 6 2" xfId="576" xr:uid="{00000000-0005-0000-0000-0000FC040000}"/>
    <cellStyle name="20% - Accent1 3 2 6 2 2" xfId="2858" xr:uid="{00000000-0005-0000-0000-0000FD040000}"/>
    <cellStyle name="20% - Accent1 3 2 6 2 2 2" xfId="16251" xr:uid="{00000000-0005-0000-0000-0000FE040000}"/>
    <cellStyle name="20% - Accent1 3 2 6 2 3" xfId="5011" xr:uid="{00000000-0005-0000-0000-0000FF040000}"/>
    <cellStyle name="20% - Accent1 3 2 6 3" xfId="661" xr:uid="{00000000-0005-0000-0000-000000050000}"/>
    <cellStyle name="20% - Accent1 3 2 6 3 2" xfId="21594" xr:uid="{00000000-0005-0000-0000-000001050000}"/>
    <cellStyle name="20% - Accent1 3 2 6 4" xfId="6086" xr:uid="{00000000-0005-0000-0000-000002050000}"/>
    <cellStyle name="20% - Accent1 3 2 7" xfId="3292" xr:uid="{00000000-0005-0000-0000-000003050000}"/>
    <cellStyle name="20% - Accent1 3 2 7 2" xfId="10901" xr:uid="{00000000-0005-0000-0000-000004050000}"/>
    <cellStyle name="20% - Accent1 3 2 7 2 2" xfId="3094" xr:uid="{00000000-0005-0000-0000-000005050000}"/>
    <cellStyle name="20% - Accent1 3 2 7 3" xfId="10903" xr:uid="{00000000-0005-0000-0000-000006050000}"/>
    <cellStyle name="20% - Accent1 3 2 8" xfId="693" xr:uid="{00000000-0005-0000-0000-000007050000}"/>
    <cellStyle name="20% - Accent1 3 2 8 2" xfId="11049" xr:uid="{00000000-0005-0000-0000-000008050000}"/>
    <cellStyle name="20% - Accent1 3 2 9" xfId="25739" xr:uid="{00000000-0005-0000-0000-000009050000}"/>
    <cellStyle name="20% - Accent1 3 3" xfId="1238" xr:uid="{00000000-0005-0000-0000-00000A050000}"/>
    <cellStyle name="20% - Accent1 3 3 2" xfId="6198" xr:uid="{00000000-0005-0000-0000-00000B050000}"/>
    <cellStyle name="20% - Accent1 3 3 2 2" xfId="8677" xr:uid="{00000000-0005-0000-0000-00000C050000}"/>
    <cellStyle name="20% - Accent1 3 3 2 2 2" xfId="666" xr:uid="{00000000-0005-0000-0000-00000D050000}"/>
    <cellStyle name="20% - Accent1 3 3 2 2 2 2" xfId="1300" xr:uid="{00000000-0005-0000-0000-00000E050000}"/>
    <cellStyle name="20% - Accent1 3 3 2 2 2 2 2" xfId="3959" xr:uid="{00000000-0005-0000-0000-00000F050000}"/>
    <cellStyle name="20% - Accent1 3 3 2 2 2 2 2 2" xfId="3398" xr:uid="{00000000-0005-0000-0000-000010050000}"/>
    <cellStyle name="20% - Accent1 3 3 2 2 2 2 2 2 2" xfId="11703" xr:uid="{00000000-0005-0000-0000-000011050000}"/>
    <cellStyle name="20% - Accent1 3 3 2 2 2 2 2 3" xfId="1978" xr:uid="{00000000-0005-0000-0000-000012050000}"/>
    <cellStyle name="20% - Accent1 3 3 2 2 2 2 3" xfId="3964" xr:uid="{00000000-0005-0000-0000-000013050000}"/>
    <cellStyle name="20% - Accent1 3 3 2 2 2 2 3 2" xfId="1985" xr:uid="{00000000-0005-0000-0000-000014050000}"/>
    <cellStyle name="20% - Accent1 3 3 2 2 2 2 4" xfId="14403" xr:uid="{00000000-0005-0000-0000-000015050000}"/>
    <cellStyle name="20% - Accent1 3 3 2 2 2 3" xfId="369" xr:uid="{00000000-0005-0000-0000-000016050000}"/>
    <cellStyle name="20% - Accent1 3 3 2 2 2 3 2" xfId="13528" xr:uid="{00000000-0005-0000-0000-000017050000}"/>
    <cellStyle name="20% - Accent1 3 3 2 2 2 3 2 2" xfId="1986" xr:uid="{00000000-0005-0000-0000-000018050000}"/>
    <cellStyle name="20% - Accent1 3 3 2 2 2 3 3" xfId="14337" xr:uid="{00000000-0005-0000-0000-000019050000}"/>
    <cellStyle name="20% - Accent1 3 3 2 2 2 4" xfId="4852" xr:uid="{00000000-0005-0000-0000-00001A050000}"/>
    <cellStyle name="20% - Accent1 3 3 2 2 2 4 2" xfId="13536" xr:uid="{00000000-0005-0000-0000-00001B050000}"/>
    <cellStyle name="20% - Accent1 3 3 2 2 2 5" xfId="7400" xr:uid="{00000000-0005-0000-0000-00001C050000}"/>
    <cellStyle name="20% - Accent1 3 3 2 2 3" xfId="1318" xr:uid="{00000000-0005-0000-0000-00001D050000}"/>
    <cellStyle name="20% - Accent1 3 3 2 2 3 2" xfId="1991" xr:uid="{00000000-0005-0000-0000-00001E050000}"/>
    <cellStyle name="20% - Accent1 3 3 2 2 3 2 2" xfId="13544" xr:uid="{00000000-0005-0000-0000-00001F050000}"/>
    <cellStyle name="20% - Accent1 3 3 2 2 3 2 2 2" xfId="1994" xr:uid="{00000000-0005-0000-0000-000020050000}"/>
    <cellStyle name="20% - Accent1 3 3 2 2 3 2 3" xfId="7167" xr:uid="{00000000-0005-0000-0000-000021050000}"/>
    <cellStyle name="20% - Accent1 3 3 2 2 3 3" xfId="1999" xr:uid="{00000000-0005-0000-0000-000022050000}"/>
    <cellStyle name="20% - Accent1 3 3 2 2 3 3 2" xfId="4732" xr:uid="{00000000-0005-0000-0000-000023050000}"/>
    <cellStyle name="20% - Accent1 3 3 2 2 3 4" xfId="1953" xr:uid="{00000000-0005-0000-0000-000024050000}"/>
    <cellStyle name="20% - Accent1 3 3 2 2 4" xfId="7609" xr:uid="{00000000-0005-0000-0000-000025050000}"/>
    <cellStyle name="20% - Accent1 3 3 2 2 4 2" xfId="217" xr:uid="{00000000-0005-0000-0000-000026050000}"/>
    <cellStyle name="20% - Accent1 3 3 2 2 4 2 2" xfId="15313" xr:uid="{00000000-0005-0000-0000-000027050000}"/>
    <cellStyle name="20% - Accent1 3 3 2 2 4 3" xfId="18151" xr:uid="{00000000-0005-0000-0000-000028050000}"/>
    <cellStyle name="20% - Accent1 3 3 2 2 5" xfId="8078" xr:uid="{00000000-0005-0000-0000-000029050000}"/>
    <cellStyle name="20% - Accent1 3 3 2 2 5 2" xfId="2011" xr:uid="{00000000-0005-0000-0000-00002A050000}"/>
    <cellStyle name="20% - Accent1 3 3 2 2 6" xfId="12353" xr:uid="{00000000-0005-0000-0000-00002B050000}"/>
    <cellStyle name="20% - Accent1 3 3 2 3" xfId="5178" xr:uid="{00000000-0005-0000-0000-00002C050000}"/>
    <cellStyle name="20% - Accent1 3 3 2 3 2" xfId="1336" xr:uid="{00000000-0005-0000-0000-00002D050000}"/>
    <cellStyle name="20% - Accent1 3 3 2 3 2 2" xfId="695" xr:uid="{00000000-0005-0000-0000-00002E050000}"/>
    <cellStyle name="20% - Accent1 3 3 2 3 2 2 2" xfId="13619" xr:uid="{00000000-0005-0000-0000-00002F050000}"/>
    <cellStyle name="20% - Accent1 3 3 2 3 2 2 2 2" xfId="442" xr:uid="{00000000-0005-0000-0000-000030050000}"/>
    <cellStyle name="20% - Accent1 3 3 2 3 2 2 3" xfId="8106" xr:uid="{00000000-0005-0000-0000-000031050000}"/>
    <cellStyle name="20% - Accent1 3 3 2 3 2 3" xfId="2564" xr:uid="{00000000-0005-0000-0000-000032050000}"/>
    <cellStyle name="20% - Accent1 3 3 2 3 2 3 2" xfId="13626" xr:uid="{00000000-0005-0000-0000-000033050000}"/>
    <cellStyle name="20% - Accent1 3 3 2 3 2 4" xfId="6382" xr:uid="{00000000-0005-0000-0000-000034050000}"/>
    <cellStyle name="20% - Accent1 3 3 2 3 3" xfId="2028" xr:uid="{00000000-0005-0000-0000-000035050000}"/>
    <cellStyle name="20% - Accent1 3 3 2 3 3 2" xfId="2030" xr:uid="{00000000-0005-0000-0000-000036050000}"/>
    <cellStyle name="20% - Accent1 3 3 2 3 3 2 2" xfId="13635" xr:uid="{00000000-0005-0000-0000-000037050000}"/>
    <cellStyle name="20% - Accent1 3 3 2 3 3 3" xfId="11087" xr:uid="{00000000-0005-0000-0000-000038050000}"/>
    <cellStyle name="20% - Accent1 3 3 2 3 4" xfId="24248" xr:uid="{00000000-0005-0000-0000-000039050000}"/>
    <cellStyle name="20% - Accent1 3 3 2 3 4 2" xfId="24249" xr:uid="{00000000-0005-0000-0000-00003A050000}"/>
    <cellStyle name="20% - Accent1 3 3 2 3 5" xfId="24255" xr:uid="{00000000-0005-0000-0000-00003B050000}"/>
    <cellStyle name="20% - Accent1 3 3 2 4" xfId="413" xr:uid="{00000000-0005-0000-0000-00003C050000}"/>
    <cellStyle name="20% - Accent1 3 3 2 4 2" xfId="6824" xr:uid="{00000000-0005-0000-0000-00003D050000}"/>
    <cellStyle name="20% - Accent1 3 3 2 4 2 2" xfId="4349" xr:uid="{00000000-0005-0000-0000-00003E050000}"/>
    <cellStyle name="20% - Accent1 3 3 2 4 2 2 2" xfId="32652" xr:uid="{00000000-0005-0000-0000-00003F050000}"/>
    <cellStyle name="20% - Accent1 3 3 2 4 2 3" xfId="372" xr:uid="{00000000-0005-0000-0000-000040050000}"/>
    <cellStyle name="20% - Accent1 3 3 2 4 3" xfId="2078" xr:uid="{00000000-0005-0000-0000-000041050000}"/>
    <cellStyle name="20% - Accent1 3 3 2 4 3 2" xfId="123" xr:uid="{00000000-0005-0000-0000-000042050000}"/>
    <cellStyle name="20% - Accent1 3 3 2 4 4" xfId="24261" xr:uid="{00000000-0005-0000-0000-000043050000}"/>
    <cellStyle name="20% - Accent1 3 3 2 5" xfId="2041" xr:uid="{00000000-0005-0000-0000-000044050000}"/>
    <cellStyle name="20% - Accent1 3 3 2 5 2" xfId="2091" xr:uid="{00000000-0005-0000-0000-000045050000}"/>
    <cellStyle name="20% - Accent1 3 3 2 5 2 2" xfId="481" xr:uid="{00000000-0005-0000-0000-000046050000}"/>
    <cellStyle name="20% - Accent1 3 3 2 5 3" xfId="9127" xr:uid="{00000000-0005-0000-0000-000047050000}"/>
    <cellStyle name="20% - Accent1 3 3 2 6" xfId="2052" xr:uid="{00000000-0005-0000-0000-000048050000}"/>
    <cellStyle name="20% - Accent1 3 3 2 6 2" xfId="30292" xr:uid="{00000000-0005-0000-0000-000049050000}"/>
    <cellStyle name="20% - Accent1 3 3 2 7" xfId="3351" xr:uid="{00000000-0005-0000-0000-00004A050000}"/>
    <cellStyle name="20% - Accent1 3 3 3" xfId="601" xr:uid="{00000000-0005-0000-0000-00004B050000}"/>
    <cellStyle name="20% - Accent1 3 3 3 2" xfId="4823" xr:uid="{00000000-0005-0000-0000-00004C050000}"/>
    <cellStyle name="20% - Accent1 3 3 3 2 2" xfId="1400" xr:uid="{00000000-0005-0000-0000-00004D050000}"/>
    <cellStyle name="20% - Accent1 3 3 3 2 2 2" xfId="1450" xr:uid="{00000000-0005-0000-0000-00004E050000}"/>
    <cellStyle name="20% - Accent1 3 3 3 2 2 2 2" xfId="17957" xr:uid="{00000000-0005-0000-0000-00004F050000}"/>
    <cellStyle name="20% - Accent1 3 3 3 2 2 2 2 2" xfId="20889" xr:uid="{00000000-0005-0000-0000-000050050000}"/>
    <cellStyle name="20% - Accent1 3 3 3 2 2 2 3" xfId="4275" xr:uid="{00000000-0005-0000-0000-000051050000}"/>
    <cellStyle name="20% - Accent1 3 3 3 2 2 3" xfId="376" xr:uid="{00000000-0005-0000-0000-000052050000}"/>
    <cellStyle name="20% - Accent1 3 3 3 2 2 3 2" xfId="13726" xr:uid="{00000000-0005-0000-0000-000053050000}"/>
    <cellStyle name="20% - Accent1 3 3 3 2 2 4" xfId="5130" xr:uid="{00000000-0005-0000-0000-000054050000}"/>
    <cellStyle name="20% - Accent1 3 3 3 2 3" xfId="5019" xr:uid="{00000000-0005-0000-0000-000055050000}"/>
    <cellStyle name="20% - Accent1 3 3 3 2 3 2" xfId="5032" xr:uid="{00000000-0005-0000-0000-000056050000}"/>
    <cellStyle name="20% - Accent1 3 3 3 2 3 2 2" xfId="13733" xr:uid="{00000000-0005-0000-0000-000057050000}"/>
    <cellStyle name="20% - Accent1 3 3 3 2 3 3" xfId="5039" xr:uid="{00000000-0005-0000-0000-000058050000}"/>
    <cellStyle name="20% - Accent1 3 3 3 2 4" xfId="3141" xr:uid="{00000000-0005-0000-0000-000059050000}"/>
    <cellStyle name="20% - Accent1 3 3 3 2 4 2" xfId="488" xr:uid="{00000000-0005-0000-0000-00005A050000}"/>
    <cellStyle name="20% - Accent1 3 3 3 2 5" xfId="5048" xr:uid="{00000000-0005-0000-0000-00005B050000}"/>
    <cellStyle name="20% - Accent1 3 3 3 3" xfId="1405" xr:uid="{00000000-0005-0000-0000-00005C050000}"/>
    <cellStyle name="20% - Accent1 3 3 3 3 2" xfId="2071" xr:uid="{00000000-0005-0000-0000-00005D050000}"/>
    <cellStyle name="20% - Accent1 3 3 3 3 2 2" xfId="3949" xr:uid="{00000000-0005-0000-0000-00005E050000}"/>
    <cellStyle name="20% - Accent1 3 3 3 3 2 2 2" xfId="18020" xr:uid="{00000000-0005-0000-0000-00005F050000}"/>
    <cellStyle name="20% - Accent1 3 3 3 3 2 3" xfId="3966" xr:uid="{00000000-0005-0000-0000-000060050000}"/>
    <cellStyle name="20% - Accent1 3 3 3 3 3" xfId="3453" xr:uid="{00000000-0005-0000-0000-000061050000}"/>
    <cellStyle name="20% - Accent1 3 3 3 3 3 2" xfId="3508" xr:uid="{00000000-0005-0000-0000-000062050000}"/>
    <cellStyle name="20% - Accent1 3 3 3 3 4" xfId="24273" xr:uid="{00000000-0005-0000-0000-000063050000}"/>
    <cellStyle name="20% - Accent1 3 3 3 4" xfId="25195" xr:uid="{00000000-0005-0000-0000-000064050000}"/>
    <cellStyle name="20% - Accent1 3 3 3 4 2" xfId="2121" xr:uid="{00000000-0005-0000-0000-000065050000}"/>
    <cellStyle name="20% - Accent1 3 3 3 4 2 2" xfId="4471" xr:uid="{00000000-0005-0000-0000-000066050000}"/>
    <cellStyle name="20% - Accent1 3 3 3 4 3" xfId="5073" xr:uid="{00000000-0005-0000-0000-000067050000}"/>
    <cellStyle name="20% - Accent1 3 3 3 5" xfId="5359" xr:uid="{00000000-0005-0000-0000-000068050000}"/>
    <cellStyle name="20% - Accent1 3 3 3 5 2" xfId="2079" xr:uid="{00000000-0005-0000-0000-000069050000}"/>
    <cellStyle name="20% - Accent1 3 3 3 6" xfId="2096" xr:uid="{00000000-0005-0000-0000-00006A050000}"/>
    <cellStyle name="20% - Accent1 3 3 4" xfId="1123" xr:uid="{00000000-0005-0000-0000-00006B050000}"/>
    <cellStyle name="20% - Accent1 3 3 4 2" xfId="9348" xr:uid="{00000000-0005-0000-0000-00006C050000}"/>
    <cellStyle name="20% - Accent1 3 3 4 2 2" xfId="2101" xr:uid="{00000000-0005-0000-0000-00006D050000}"/>
    <cellStyle name="20% - Accent1 3 3 4 2 2 2" xfId="1840" xr:uid="{00000000-0005-0000-0000-00006E050000}"/>
    <cellStyle name="20% - Accent1 3 3 4 2 2 2 2" xfId="23859" xr:uid="{00000000-0005-0000-0000-00006F050000}"/>
    <cellStyle name="20% - Accent1 3 3 4 2 2 3" xfId="2105" xr:uid="{00000000-0005-0000-0000-000070050000}"/>
    <cellStyle name="20% - Accent1 3 3 4 2 3" xfId="5094" xr:uid="{00000000-0005-0000-0000-000071050000}"/>
    <cellStyle name="20% - Accent1 3 3 4 2 3 2" xfId="5105" xr:uid="{00000000-0005-0000-0000-000072050000}"/>
    <cellStyle name="20% - Accent1 3 3 4 2 4" xfId="5112" xr:uid="{00000000-0005-0000-0000-000073050000}"/>
    <cellStyle name="20% - Accent1 3 3 4 3" xfId="503" xr:uid="{00000000-0005-0000-0000-000074050000}"/>
    <cellStyle name="20% - Accent1 3 3 4 3 2" xfId="21970" xr:uid="{00000000-0005-0000-0000-000075050000}"/>
    <cellStyle name="20% - Accent1 3 3 4 3 2 2" xfId="21975" xr:uid="{00000000-0005-0000-0000-000076050000}"/>
    <cellStyle name="20% - Accent1 3 3 4 3 3" xfId="5121" xr:uid="{00000000-0005-0000-0000-000077050000}"/>
    <cellStyle name="20% - Accent1 3 3 4 4" xfId="512" xr:uid="{00000000-0005-0000-0000-000078050000}"/>
    <cellStyle name="20% - Accent1 3 3 4 4 2" xfId="22101" xr:uid="{00000000-0005-0000-0000-000079050000}"/>
    <cellStyle name="20% - Accent1 3 3 4 5" xfId="1196" xr:uid="{00000000-0005-0000-0000-00007A050000}"/>
    <cellStyle name="20% - Accent1 3 3 5" xfId="18664" xr:uid="{00000000-0005-0000-0000-00007B050000}"/>
    <cellStyle name="20% - Accent1 3 3 5 2" xfId="623" xr:uid="{00000000-0005-0000-0000-00007C050000}"/>
    <cellStyle name="20% - Accent1 3 3 5 2 2" xfId="2122" xr:uid="{00000000-0005-0000-0000-00007D050000}"/>
    <cellStyle name="20% - Accent1 3 3 5 2 2 2" xfId="1831" xr:uid="{00000000-0005-0000-0000-00007E050000}"/>
    <cellStyle name="20% - Accent1 3 3 5 2 3" xfId="5141" xr:uid="{00000000-0005-0000-0000-00007F050000}"/>
    <cellStyle name="20% - Accent1 3 3 5 3" xfId="1212" xr:uid="{00000000-0005-0000-0000-000080050000}"/>
    <cellStyle name="20% - Accent1 3 3 5 3 2" xfId="22266" xr:uid="{00000000-0005-0000-0000-000081050000}"/>
    <cellStyle name="20% - Accent1 3 3 5 4" xfId="6871" xr:uid="{00000000-0005-0000-0000-000082050000}"/>
    <cellStyle name="20% - Accent1 3 3 6" xfId="4401" xr:uid="{00000000-0005-0000-0000-000083050000}"/>
    <cellStyle name="20% - Accent1 3 3 6 2" xfId="2129" xr:uid="{00000000-0005-0000-0000-000084050000}"/>
    <cellStyle name="20% - Accent1 3 3 6 2 2" xfId="2136" xr:uid="{00000000-0005-0000-0000-000085050000}"/>
    <cellStyle name="20% - Accent1 3 3 6 3" xfId="734" xr:uid="{00000000-0005-0000-0000-000086050000}"/>
    <cellStyle name="20% - Accent1 3 3 7" xfId="17384" xr:uid="{00000000-0005-0000-0000-000087050000}"/>
    <cellStyle name="20% - Accent1 3 3 7 2" xfId="10937" xr:uid="{00000000-0005-0000-0000-000088050000}"/>
    <cellStyle name="20% - Accent1 3 3 8" xfId="10509" xr:uid="{00000000-0005-0000-0000-000089050000}"/>
    <cellStyle name="20% - Accent1 3 4" xfId="10295" xr:uid="{00000000-0005-0000-0000-00008A050000}"/>
    <cellStyle name="20% - Accent1 3 4 2" xfId="1265" xr:uid="{00000000-0005-0000-0000-00008B050000}"/>
    <cellStyle name="20% - Accent1 3 4 2 2" xfId="3311" xr:uid="{00000000-0005-0000-0000-00008C050000}"/>
    <cellStyle name="20% - Accent1 3 4 2 2 2" xfId="4403" xr:uid="{00000000-0005-0000-0000-00008D050000}"/>
    <cellStyle name="20% - Accent1 3 4 2 2 2 2" xfId="3823" xr:uid="{00000000-0005-0000-0000-00008E050000}"/>
    <cellStyle name="20% - Accent1 3 4 2 2 2 2 2" xfId="13894" xr:uid="{00000000-0005-0000-0000-00008F050000}"/>
    <cellStyle name="20% - Accent1 3 4 2 2 2 2 2 2" xfId="844" xr:uid="{00000000-0005-0000-0000-000090050000}"/>
    <cellStyle name="20% - Accent1 3 4 2 2 2 2 3" xfId="7241" xr:uid="{00000000-0005-0000-0000-000091050000}"/>
    <cellStyle name="20% - Accent1 3 4 2 2 2 3" xfId="2145" xr:uid="{00000000-0005-0000-0000-000092050000}"/>
    <cellStyle name="20% - Accent1 3 4 2 2 2 3 2" xfId="26863" xr:uid="{00000000-0005-0000-0000-000093050000}"/>
    <cellStyle name="20% - Accent1 3 4 2 2 2 4" xfId="5029" xr:uid="{00000000-0005-0000-0000-000094050000}"/>
    <cellStyle name="20% - Accent1 3 4 2 2 3" xfId="4416" xr:uid="{00000000-0005-0000-0000-000095050000}"/>
    <cellStyle name="20% - Accent1 3 4 2 2 3 2" xfId="2153" xr:uid="{00000000-0005-0000-0000-000096050000}"/>
    <cellStyle name="20% - Accent1 3 4 2 2 3 2 2" xfId="29099" xr:uid="{00000000-0005-0000-0000-000097050000}"/>
    <cellStyle name="20% - Accent1 3 4 2 2 3 3" xfId="2163" xr:uid="{00000000-0005-0000-0000-000098050000}"/>
    <cellStyle name="20% - Accent1 3 4 2 2 4" xfId="285" xr:uid="{00000000-0005-0000-0000-000099050000}"/>
    <cellStyle name="20% - Accent1 3 4 2 2 4 2" xfId="258" xr:uid="{00000000-0005-0000-0000-00009A050000}"/>
    <cellStyle name="20% - Accent1 3 4 2 2 5" xfId="639" xr:uid="{00000000-0005-0000-0000-00009B050000}"/>
    <cellStyle name="20% - Accent1 3 4 2 3" xfId="1500" xr:uid="{00000000-0005-0000-0000-00009C050000}"/>
    <cellStyle name="20% - Accent1 3 4 2 3 2" xfId="4446" xr:uid="{00000000-0005-0000-0000-00009D050000}"/>
    <cellStyle name="20% - Accent1 3 4 2 3 2 2" xfId="36" xr:uid="{00000000-0005-0000-0000-00009E050000}"/>
    <cellStyle name="20% - Accent1 3 4 2 3 2 2 2" xfId="7470" xr:uid="{00000000-0005-0000-0000-00009F050000}"/>
    <cellStyle name="20% - Accent1 3 4 2 3 2 3" xfId="182" xr:uid="{00000000-0005-0000-0000-0000A0050000}"/>
    <cellStyle name="20% - Accent1 3 4 2 3 3" xfId="14964" xr:uid="{00000000-0005-0000-0000-0000A1050000}"/>
    <cellStyle name="20% - Accent1 3 4 2 3 3 2" xfId="2185" xr:uid="{00000000-0005-0000-0000-0000A2050000}"/>
    <cellStyle name="20% - Accent1 3 4 2 3 4" xfId="24400" xr:uid="{00000000-0005-0000-0000-0000A3050000}"/>
    <cellStyle name="20% - Accent1 3 4 2 4" xfId="3844" xr:uid="{00000000-0005-0000-0000-0000A4050000}"/>
    <cellStyle name="20% - Accent1 3 4 2 4 2" xfId="2199" xr:uid="{00000000-0005-0000-0000-0000A5050000}"/>
    <cellStyle name="20% - Accent1 3 4 2 4 2 2" xfId="6216" xr:uid="{00000000-0005-0000-0000-0000A6050000}"/>
    <cellStyle name="20% - Accent1 3 4 2 4 3" xfId="14021" xr:uid="{00000000-0005-0000-0000-0000A7050000}"/>
    <cellStyle name="20% - Accent1 3 4 2 5" xfId="5573" xr:uid="{00000000-0005-0000-0000-0000A8050000}"/>
    <cellStyle name="20% - Accent1 3 4 2 5 2" xfId="8239" xr:uid="{00000000-0005-0000-0000-0000A9050000}"/>
    <cellStyle name="20% - Accent1 3 4 2 6" xfId="2221" xr:uid="{00000000-0005-0000-0000-0000AA050000}"/>
    <cellStyle name="20% - Accent1 3 4 3" xfId="2233" xr:uid="{00000000-0005-0000-0000-0000AB050000}"/>
    <cellStyle name="20% - Accent1 3 4 3 2" xfId="1537" xr:uid="{00000000-0005-0000-0000-0000AC050000}"/>
    <cellStyle name="20% - Accent1 3 4 3 2 2" xfId="2237" xr:uid="{00000000-0005-0000-0000-0000AD050000}"/>
    <cellStyle name="20% - Accent1 3 4 3 2 2 2" xfId="2248" xr:uid="{00000000-0005-0000-0000-0000AE050000}"/>
    <cellStyle name="20% - Accent1 3 4 3 2 2 2 2" xfId="13937" xr:uid="{00000000-0005-0000-0000-0000AF050000}"/>
    <cellStyle name="20% - Accent1 3 4 3 2 2 3" xfId="54" xr:uid="{00000000-0005-0000-0000-0000B0050000}"/>
    <cellStyle name="20% - Accent1 3 4 3 2 3" xfId="8440" xr:uid="{00000000-0005-0000-0000-0000B1050000}"/>
    <cellStyle name="20% - Accent1 3 4 3 2 3 2" xfId="244" xr:uid="{00000000-0005-0000-0000-0000B2050000}"/>
    <cellStyle name="20% - Accent1 3 4 3 2 4" xfId="8445" xr:uid="{00000000-0005-0000-0000-0000B3050000}"/>
    <cellStyle name="20% - Accent1 3 4 3 3" xfId="226" xr:uid="{00000000-0005-0000-0000-0000B4050000}"/>
    <cellStyle name="20% - Accent1 3 4 3 3 2" xfId="25093" xr:uid="{00000000-0005-0000-0000-0000B5050000}"/>
    <cellStyle name="20% - Accent1 3 4 3 3 2 2" xfId="2356" xr:uid="{00000000-0005-0000-0000-0000B6050000}"/>
    <cellStyle name="20% - Accent1 3 4 3 3 3" xfId="19074" xr:uid="{00000000-0005-0000-0000-0000B7050000}"/>
    <cellStyle name="20% - Accent1 3 4 3 4" xfId="5585" xr:uid="{00000000-0005-0000-0000-0000B8050000}"/>
    <cellStyle name="20% - Accent1 3 4 3 4 2" xfId="2545" xr:uid="{00000000-0005-0000-0000-0000B9050000}"/>
    <cellStyle name="20% - Accent1 3 4 3 5" xfId="1352" xr:uid="{00000000-0005-0000-0000-0000BA050000}"/>
    <cellStyle name="20% - Accent1 3 4 4" xfId="1723" xr:uid="{00000000-0005-0000-0000-0000BB050000}"/>
    <cellStyle name="20% - Accent1 3 4 4 2" xfId="295" xr:uid="{00000000-0005-0000-0000-0000BC050000}"/>
    <cellStyle name="20% - Accent1 3 4 4 2 2" xfId="13518" xr:uid="{00000000-0005-0000-0000-0000BD050000}"/>
    <cellStyle name="20% - Accent1 3 4 4 2 2 2" xfId="2267" xr:uid="{00000000-0005-0000-0000-0000BE050000}"/>
    <cellStyle name="20% - Accent1 3 4 4 2 3" xfId="14295" xr:uid="{00000000-0005-0000-0000-0000BF050000}"/>
    <cellStyle name="20% - Accent1 3 4 4 3" xfId="540" xr:uid="{00000000-0005-0000-0000-0000C0050000}"/>
    <cellStyle name="20% - Accent1 3 4 4 3 2" xfId="18594" xr:uid="{00000000-0005-0000-0000-0000C1050000}"/>
    <cellStyle name="20% - Accent1 3 4 4 4" xfId="546" xr:uid="{00000000-0005-0000-0000-0000C2050000}"/>
    <cellStyle name="20% - Accent1 3 4 5" xfId="22975" xr:uid="{00000000-0005-0000-0000-0000C3050000}"/>
    <cellStyle name="20% - Accent1 3 4 5 2" xfId="2272" xr:uid="{00000000-0005-0000-0000-0000C4050000}"/>
    <cellStyle name="20% - Accent1 3 4 5 2 2" xfId="14315" xr:uid="{00000000-0005-0000-0000-0000C5050000}"/>
    <cellStyle name="20% - Accent1 3 4 5 3" xfId="19521" xr:uid="{00000000-0005-0000-0000-0000C6050000}"/>
    <cellStyle name="20% - Accent1 3 4 6" xfId="17975" xr:uid="{00000000-0005-0000-0000-0000C7050000}"/>
    <cellStyle name="20% - Accent1 3 4 6 2" xfId="738" xr:uid="{00000000-0005-0000-0000-0000C8050000}"/>
    <cellStyle name="20% - Accent1 3 4 7" xfId="10345" xr:uid="{00000000-0005-0000-0000-0000C9050000}"/>
    <cellStyle name="20% - Accent1 3 5" xfId="9192" xr:uid="{00000000-0005-0000-0000-0000CA050000}"/>
    <cellStyle name="20% - Accent1 3 5 2" xfId="9129" xr:uid="{00000000-0005-0000-0000-0000CB050000}"/>
    <cellStyle name="20% - Accent1 3 5 2 2" xfId="6426" xr:uid="{00000000-0005-0000-0000-0000CC050000}"/>
    <cellStyle name="20% - Accent1 3 5 2 2 2" xfId="10713" xr:uid="{00000000-0005-0000-0000-0000CD050000}"/>
    <cellStyle name="20% - Accent1 3 5 2 2 2 2" xfId="11961" xr:uid="{00000000-0005-0000-0000-0000CE050000}"/>
    <cellStyle name="20% - Accent1 3 5 2 2 2 2 2" xfId="19091" xr:uid="{00000000-0005-0000-0000-0000CF050000}"/>
    <cellStyle name="20% - Accent1 3 5 2 2 2 3" xfId="3572" xr:uid="{00000000-0005-0000-0000-0000D0050000}"/>
    <cellStyle name="20% - Accent1 3 5 2 2 3" xfId="5624" xr:uid="{00000000-0005-0000-0000-0000D1050000}"/>
    <cellStyle name="20% - Accent1 3 5 2 2 3 2" xfId="14569" xr:uid="{00000000-0005-0000-0000-0000D2050000}"/>
    <cellStyle name="20% - Accent1 3 5 2 2 4" xfId="448" xr:uid="{00000000-0005-0000-0000-0000D3050000}"/>
    <cellStyle name="20% - Accent1 3 5 2 3" xfId="2306" xr:uid="{00000000-0005-0000-0000-0000D4050000}"/>
    <cellStyle name="20% - Accent1 3 5 2 3 2" xfId="1989" xr:uid="{00000000-0005-0000-0000-0000D5050000}"/>
    <cellStyle name="20% - Accent1 3 5 2 3 2 2" xfId="2308" xr:uid="{00000000-0005-0000-0000-0000D6050000}"/>
    <cellStyle name="20% - Accent1 3 5 2 3 3" xfId="2319" xr:uid="{00000000-0005-0000-0000-0000D7050000}"/>
    <cellStyle name="20% - Accent1 3 5 2 4" xfId="5589" xr:uid="{00000000-0005-0000-0000-0000D8050000}"/>
    <cellStyle name="20% - Accent1 3 5 2 4 2" xfId="4494" xr:uid="{00000000-0005-0000-0000-0000D9050000}"/>
    <cellStyle name="20% - Accent1 3 5 2 5" xfId="2331" xr:uid="{00000000-0005-0000-0000-0000DA050000}"/>
    <cellStyle name="20% - Accent1 3 5 3" xfId="6430" xr:uid="{00000000-0005-0000-0000-0000DB050000}"/>
    <cellStyle name="20% - Accent1 3 5 3 2" xfId="1587" xr:uid="{00000000-0005-0000-0000-0000DC050000}"/>
    <cellStyle name="20% - Accent1 3 5 3 2 2" xfId="6073" xr:uid="{00000000-0005-0000-0000-0000DD050000}"/>
    <cellStyle name="20% - Accent1 3 5 3 2 2 2" xfId="9149" xr:uid="{00000000-0005-0000-0000-0000DE050000}"/>
    <cellStyle name="20% - Accent1 3 5 3 2 3" xfId="6081" xr:uid="{00000000-0005-0000-0000-0000DF050000}"/>
    <cellStyle name="20% - Accent1 3 5 3 3" xfId="81" xr:uid="{00000000-0005-0000-0000-0000E0050000}"/>
    <cellStyle name="20% - Accent1 3 5 3 3 2" xfId="6098" xr:uid="{00000000-0005-0000-0000-0000E1050000}"/>
    <cellStyle name="20% - Accent1 3 5 3 4" xfId="7581" xr:uid="{00000000-0005-0000-0000-0000E2050000}"/>
    <cellStyle name="20% - Accent1 3 5 4" xfId="7698" xr:uid="{00000000-0005-0000-0000-0000E3050000}"/>
    <cellStyle name="20% - Accent1 3 5 4 2" xfId="2381" xr:uid="{00000000-0005-0000-0000-0000E4050000}"/>
    <cellStyle name="20% - Accent1 3 5 4 2 2" xfId="14338" xr:uid="{00000000-0005-0000-0000-0000E5050000}"/>
    <cellStyle name="20% - Accent1 3 5 4 3" xfId="678" xr:uid="{00000000-0005-0000-0000-0000E6050000}"/>
    <cellStyle name="20% - Accent1 3 5 5" xfId="21361" xr:uid="{00000000-0005-0000-0000-0000E7050000}"/>
    <cellStyle name="20% - Accent1 3 5 5 2" xfId="2392" xr:uid="{00000000-0005-0000-0000-0000E8050000}"/>
    <cellStyle name="20% - Accent1 3 5 6" xfId="7975" xr:uid="{00000000-0005-0000-0000-0000E9050000}"/>
    <cellStyle name="20% - Accent1 3 6" xfId="4897" xr:uid="{00000000-0005-0000-0000-0000EA050000}"/>
    <cellStyle name="20% - Accent1 3 6 2" xfId="6439" xr:uid="{00000000-0005-0000-0000-0000EB050000}"/>
    <cellStyle name="20% - Accent1 3 6 2 2" xfId="13705" xr:uid="{00000000-0005-0000-0000-0000EC050000}"/>
    <cellStyle name="20% - Accent1 3 6 2 2 2" xfId="29970" xr:uid="{00000000-0005-0000-0000-0000ED050000}"/>
    <cellStyle name="20% - Accent1 3 6 2 2 2 2" xfId="4297" xr:uid="{00000000-0005-0000-0000-0000EE050000}"/>
    <cellStyle name="20% - Accent1 3 6 2 2 3" xfId="2346" xr:uid="{00000000-0005-0000-0000-0000EF050000}"/>
    <cellStyle name="20% - Accent1 3 6 2 3" xfId="2350" xr:uid="{00000000-0005-0000-0000-0000F0050000}"/>
    <cellStyle name="20% - Accent1 3 6 2 3 2" xfId="9346" xr:uid="{00000000-0005-0000-0000-0000F1050000}"/>
    <cellStyle name="20% - Accent1 3 6 2 4" xfId="2363" xr:uid="{00000000-0005-0000-0000-0000F2050000}"/>
    <cellStyle name="20% - Accent1 3 6 3" xfId="2402" xr:uid="{00000000-0005-0000-0000-0000F3050000}"/>
    <cellStyle name="20% - Accent1 3 6 3 2" xfId="2367" xr:uid="{00000000-0005-0000-0000-0000F4050000}"/>
    <cellStyle name="20% - Accent1 3 6 3 2 2" xfId="7841" xr:uid="{00000000-0005-0000-0000-0000F5050000}"/>
    <cellStyle name="20% - Accent1 3 6 3 3" xfId="174" xr:uid="{00000000-0005-0000-0000-0000F6050000}"/>
    <cellStyle name="20% - Accent1 3 6 4" xfId="4873" xr:uid="{00000000-0005-0000-0000-0000F7050000}"/>
    <cellStyle name="20% - Accent1 3 6 4 2" xfId="2396" xr:uid="{00000000-0005-0000-0000-0000F8050000}"/>
    <cellStyle name="20% - Accent1 3 6 5" xfId="4877" xr:uid="{00000000-0005-0000-0000-0000F9050000}"/>
    <cellStyle name="20% - Accent1 3 7" xfId="2040" xr:uid="{00000000-0005-0000-0000-0000FA050000}"/>
    <cellStyle name="20% - Accent1 3 7 2" xfId="2726" xr:uid="{00000000-0005-0000-0000-0000FB050000}"/>
    <cellStyle name="20% - Accent1 3 7 2 2" xfId="2738" xr:uid="{00000000-0005-0000-0000-0000FC050000}"/>
    <cellStyle name="20% - Accent1 3 7 2 2 2" xfId="9358" xr:uid="{00000000-0005-0000-0000-0000FD050000}"/>
    <cellStyle name="20% - Accent1 3 7 2 3" xfId="788" xr:uid="{00000000-0005-0000-0000-0000FE050000}"/>
    <cellStyle name="20% - Accent1 3 7 3" xfId="2744" xr:uid="{00000000-0005-0000-0000-0000FF050000}"/>
    <cellStyle name="20% - Accent1 3 7 3 2" xfId="691" xr:uid="{00000000-0005-0000-0000-000000060000}"/>
    <cellStyle name="20% - Accent1 3 7 4" xfId="1970" xr:uid="{00000000-0005-0000-0000-000001060000}"/>
    <cellStyle name="20% - Accent1 3 8" xfId="9086" xr:uid="{00000000-0005-0000-0000-000002060000}"/>
    <cellStyle name="20% - Accent1 3 8 2" xfId="2773" xr:uid="{00000000-0005-0000-0000-000003060000}"/>
    <cellStyle name="20% - Accent1 3 8 2 2" xfId="876" xr:uid="{00000000-0005-0000-0000-000004060000}"/>
    <cellStyle name="20% - Accent1 3 8 3" xfId="4460" xr:uid="{00000000-0005-0000-0000-000005060000}"/>
    <cellStyle name="20% - Accent1 3 9" xfId="23983" xr:uid="{00000000-0005-0000-0000-000006060000}"/>
    <cellStyle name="20% - Accent1 3 9 2" xfId="1855" xr:uid="{00000000-0005-0000-0000-000007060000}"/>
    <cellStyle name="20% - Accent1 4" xfId="26930" xr:uid="{00000000-0005-0000-0000-000008060000}"/>
    <cellStyle name="20% - Accent1 4 2" xfId="12849" xr:uid="{00000000-0005-0000-0000-000009060000}"/>
    <cellStyle name="20% - Accent1 4 2 2" xfId="6758" xr:uid="{00000000-0005-0000-0000-00000A060000}"/>
    <cellStyle name="20% - Accent1 4 2 2 2" xfId="23405" xr:uid="{00000000-0005-0000-0000-00000B060000}"/>
    <cellStyle name="20% - Accent1 4 2 2 2 2" xfId="18505" xr:uid="{00000000-0005-0000-0000-00000C060000}"/>
    <cellStyle name="20% - Accent1 4 2 2 2 2 2" xfId="18251" xr:uid="{00000000-0005-0000-0000-00000D060000}"/>
    <cellStyle name="20% - Accent1 4 2 2 2 2 2 2" xfId="9029" xr:uid="{00000000-0005-0000-0000-00000E060000}"/>
    <cellStyle name="20% - Accent1 4 2 2 2 2 2 2 2" xfId="8421" xr:uid="{00000000-0005-0000-0000-00000F060000}"/>
    <cellStyle name="20% - Accent1 4 2 2 2 2 2 2 2 2" xfId="4829" xr:uid="{00000000-0005-0000-0000-000010060000}"/>
    <cellStyle name="20% - Accent1 4 2 2 2 2 2 2 3" xfId="10729" xr:uid="{00000000-0005-0000-0000-000011060000}"/>
    <cellStyle name="20% - Accent1 4 2 2 2 2 2 3" xfId="25217" xr:uid="{00000000-0005-0000-0000-000012060000}"/>
    <cellStyle name="20% - Accent1 4 2 2 2 2 2 3 2" xfId="2390" xr:uid="{00000000-0005-0000-0000-000013060000}"/>
    <cellStyle name="20% - Accent1 4 2 2 2 2 2 4" xfId="22203" xr:uid="{00000000-0005-0000-0000-000014060000}"/>
    <cellStyle name="20% - Accent1 4 2 2 2 2 3" xfId="13939" xr:uid="{00000000-0005-0000-0000-000015060000}"/>
    <cellStyle name="20% - Accent1 4 2 2 2 2 3 2" xfId="9083" xr:uid="{00000000-0005-0000-0000-000016060000}"/>
    <cellStyle name="20% - Accent1 4 2 2 2 2 3 2 2" xfId="2395" xr:uid="{00000000-0005-0000-0000-000017060000}"/>
    <cellStyle name="20% - Accent1 4 2 2 2 2 3 3" xfId="25228" xr:uid="{00000000-0005-0000-0000-000018060000}"/>
    <cellStyle name="20% - Accent1 4 2 2 2 2 4" xfId="22828" xr:uid="{00000000-0005-0000-0000-000019060000}"/>
    <cellStyle name="20% - Accent1 4 2 2 2 2 4 2" xfId="8038" xr:uid="{00000000-0005-0000-0000-00001A060000}"/>
    <cellStyle name="20% - Accent1 4 2 2 2 2 5" xfId="5760" xr:uid="{00000000-0005-0000-0000-00001B060000}"/>
    <cellStyle name="20% - Accent1 4 2 2 2 3" xfId="25909" xr:uid="{00000000-0005-0000-0000-00001C060000}"/>
    <cellStyle name="20% - Accent1 4 2 2 2 3 2" xfId="9939" xr:uid="{00000000-0005-0000-0000-00001D060000}"/>
    <cellStyle name="20% - Accent1 4 2 2 2 3 2 2" xfId="9092" xr:uid="{00000000-0005-0000-0000-00001E060000}"/>
    <cellStyle name="20% - Accent1 4 2 2 2 3 2 2 2" xfId="761" xr:uid="{00000000-0005-0000-0000-00001F060000}"/>
    <cellStyle name="20% - Accent1 4 2 2 2 3 2 3" xfId="25242" xr:uid="{00000000-0005-0000-0000-000020060000}"/>
    <cellStyle name="20% - Accent1 4 2 2 2 3 3" xfId="1823" xr:uid="{00000000-0005-0000-0000-000021060000}"/>
    <cellStyle name="20% - Accent1 4 2 2 2 3 3 2" xfId="2621" xr:uid="{00000000-0005-0000-0000-000022060000}"/>
    <cellStyle name="20% - Accent1 4 2 2 2 3 4" xfId="24695" xr:uid="{00000000-0005-0000-0000-000023060000}"/>
    <cellStyle name="20% - Accent1 4 2 2 2 4" xfId="1833" xr:uid="{00000000-0005-0000-0000-000024060000}"/>
    <cellStyle name="20% - Accent1 4 2 2 2 4 2" xfId="192" xr:uid="{00000000-0005-0000-0000-000025060000}"/>
    <cellStyle name="20% - Accent1 4 2 2 2 4 2 2" xfId="33624" xr:uid="{00000000-0005-0000-0000-000026060000}"/>
    <cellStyle name="20% - Accent1 4 2 2 2 4 3" xfId="898" xr:uid="{00000000-0005-0000-0000-000027060000}"/>
    <cellStyle name="20% - Accent1 4 2 2 2 5" xfId="1838" xr:uid="{00000000-0005-0000-0000-000028060000}"/>
    <cellStyle name="20% - Accent1 4 2 2 2 5 2" xfId="714" xr:uid="{00000000-0005-0000-0000-000029060000}"/>
    <cellStyle name="20% - Accent1 4 2 2 2 6" xfId="8962" xr:uid="{00000000-0005-0000-0000-00002A060000}"/>
    <cellStyle name="20% - Accent1 4 2 2 3" xfId="2407" xr:uid="{00000000-0005-0000-0000-00002B060000}"/>
    <cellStyle name="20% - Accent1 4 2 2 3 2" xfId="21292" xr:uid="{00000000-0005-0000-0000-00002C060000}"/>
    <cellStyle name="20% - Accent1 4 2 2 3 2 2" xfId="2631" xr:uid="{00000000-0005-0000-0000-00002D060000}"/>
    <cellStyle name="20% - Accent1 4 2 2 3 2 2 2" xfId="4938" xr:uid="{00000000-0005-0000-0000-00002E060000}"/>
    <cellStyle name="20% - Accent1 4 2 2 3 2 2 2 2" xfId="13002" xr:uid="{00000000-0005-0000-0000-00002F060000}"/>
    <cellStyle name="20% - Accent1 4 2 2 3 2 2 3" xfId="25466" xr:uid="{00000000-0005-0000-0000-000030060000}"/>
    <cellStyle name="20% - Accent1 4 2 2 3 2 3" xfId="839" xr:uid="{00000000-0005-0000-0000-000031060000}"/>
    <cellStyle name="20% - Accent1 4 2 2 3 2 3 2" xfId="5092" xr:uid="{00000000-0005-0000-0000-000032060000}"/>
    <cellStyle name="20% - Accent1 4 2 2 3 2 4" xfId="23228" xr:uid="{00000000-0005-0000-0000-000033060000}"/>
    <cellStyle name="20% - Accent1 4 2 2 3 3" xfId="324" xr:uid="{00000000-0005-0000-0000-000034060000}"/>
    <cellStyle name="20% - Accent1 4 2 2 3 3 2" xfId="1909" xr:uid="{00000000-0005-0000-0000-000035060000}"/>
    <cellStyle name="20% - Accent1 4 2 2 3 3 2 2" xfId="8778" xr:uid="{00000000-0005-0000-0000-000036060000}"/>
    <cellStyle name="20% - Accent1 4 2 2 3 3 3" xfId="2417" xr:uid="{00000000-0005-0000-0000-000037060000}"/>
    <cellStyle name="20% - Accent1 4 2 2 3 4" xfId="1287" xr:uid="{00000000-0005-0000-0000-000038060000}"/>
    <cellStyle name="20% - Accent1 4 2 2 3 4 2" xfId="22230" xr:uid="{00000000-0005-0000-0000-000039060000}"/>
    <cellStyle name="20% - Accent1 4 2 2 3 5" xfId="6056" xr:uid="{00000000-0005-0000-0000-00003A060000}"/>
    <cellStyle name="20% - Accent1 4 2 2 4" xfId="2420" xr:uid="{00000000-0005-0000-0000-00003B060000}"/>
    <cellStyle name="20% - Accent1 4 2 2 4 2" xfId="11231" xr:uid="{00000000-0005-0000-0000-00003C060000}"/>
    <cellStyle name="20% - Accent1 4 2 2 4 2 2" xfId="2979" xr:uid="{00000000-0005-0000-0000-00003D060000}"/>
    <cellStyle name="20% - Accent1 4 2 2 4 2 2 2" xfId="2430" xr:uid="{00000000-0005-0000-0000-00003E060000}"/>
    <cellStyle name="20% - Accent1 4 2 2 4 2 3" xfId="3709" xr:uid="{00000000-0005-0000-0000-00003F060000}"/>
    <cellStyle name="20% - Accent1 4 2 2 4 3" xfId="1942" xr:uid="{00000000-0005-0000-0000-000040060000}"/>
    <cellStyle name="20% - Accent1 4 2 2 4 3 2" xfId="2437" xr:uid="{00000000-0005-0000-0000-000041060000}"/>
    <cellStyle name="20% - Accent1 4 2 2 4 4" xfId="24835" xr:uid="{00000000-0005-0000-0000-000042060000}"/>
    <cellStyle name="20% - Accent1 4 2 2 5" xfId="2440" xr:uid="{00000000-0005-0000-0000-000043060000}"/>
    <cellStyle name="20% - Accent1 4 2 2 5 2" xfId="1961" xr:uid="{00000000-0005-0000-0000-000044060000}"/>
    <cellStyle name="20% - Accent1 4 2 2 5 2 2" xfId="16928" xr:uid="{00000000-0005-0000-0000-000045060000}"/>
    <cellStyle name="20% - Accent1 4 2 2 5 3" xfId="2448" xr:uid="{00000000-0005-0000-0000-000046060000}"/>
    <cellStyle name="20% - Accent1 4 2 2 6" xfId="2464" xr:uid="{00000000-0005-0000-0000-000047060000}"/>
    <cellStyle name="20% - Accent1 4 2 2 6 2" xfId="2475" xr:uid="{00000000-0005-0000-0000-000048060000}"/>
    <cellStyle name="20% - Accent1 4 2 2 7" xfId="3358" xr:uid="{00000000-0005-0000-0000-000049060000}"/>
    <cellStyle name="20% - Accent1 4 2 3" xfId="19040" xr:uid="{00000000-0005-0000-0000-00004A060000}"/>
    <cellStyle name="20% - Accent1 4 2 3 2" xfId="2492" xr:uid="{00000000-0005-0000-0000-00004B060000}"/>
    <cellStyle name="20% - Accent1 4 2 3 2 2" xfId="26912" xr:uid="{00000000-0005-0000-0000-00004C060000}"/>
    <cellStyle name="20% - Accent1 4 2 3 2 2 2" xfId="2656" xr:uid="{00000000-0005-0000-0000-00004D060000}"/>
    <cellStyle name="20% - Accent1 4 2 3 2 2 2 2" xfId="9179" xr:uid="{00000000-0005-0000-0000-00004E060000}"/>
    <cellStyle name="20% - Accent1 4 2 3 2 2 2 2 2" xfId="4729" xr:uid="{00000000-0005-0000-0000-00004F060000}"/>
    <cellStyle name="20% - Accent1 4 2 3 2 2 2 3" xfId="5196" xr:uid="{00000000-0005-0000-0000-000050060000}"/>
    <cellStyle name="20% - Accent1 4 2 3 2 2 3" xfId="2051" xr:uid="{00000000-0005-0000-0000-000051060000}"/>
    <cellStyle name="20% - Accent1 4 2 3 2 2 3 2" xfId="1733" xr:uid="{00000000-0005-0000-0000-000052060000}"/>
    <cellStyle name="20% - Accent1 4 2 3 2 2 4" xfId="18928" xr:uid="{00000000-0005-0000-0000-000053060000}"/>
    <cellStyle name="20% - Accent1 4 2 3 2 3" xfId="4069" xr:uid="{00000000-0005-0000-0000-000054060000}"/>
    <cellStyle name="20% - Accent1 4 2 3 2 3 2" xfId="5896" xr:uid="{00000000-0005-0000-0000-000055060000}"/>
    <cellStyle name="20% - Accent1 4 2 3 2 3 2 2" xfId="4615" xr:uid="{00000000-0005-0000-0000-000056060000}"/>
    <cellStyle name="20% - Accent1 4 2 3 2 3 3" xfId="5901" xr:uid="{00000000-0005-0000-0000-000057060000}"/>
    <cellStyle name="20% - Accent1 4 2 3 2 4" xfId="4071" xr:uid="{00000000-0005-0000-0000-000058060000}"/>
    <cellStyle name="20% - Accent1 4 2 3 2 4 2" xfId="5910" xr:uid="{00000000-0005-0000-0000-000059060000}"/>
    <cellStyle name="20% - Accent1 4 2 3 2 5" xfId="4883" xr:uid="{00000000-0005-0000-0000-00005A060000}"/>
    <cellStyle name="20% - Accent1 4 2 3 3" xfId="2502" xr:uid="{00000000-0005-0000-0000-00005B060000}"/>
    <cellStyle name="20% - Accent1 4 2 3 3 2" xfId="6863" xr:uid="{00000000-0005-0000-0000-00005C060000}"/>
    <cellStyle name="20% - Accent1 4 2 3 3 2 2" xfId="2093" xr:uid="{00000000-0005-0000-0000-00005D060000}"/>
    <cellStyle name="20% - Accent1 4 2 3 3 2 2 2" xfId="1526" xr:uid="{00000000-0005-0000-0000-00005E060000}"/>
    <cellStyle name="20% - Accent1 4 2 3 3 2 3" xfId="2506" xr:uid="{00000000-0005-0000-0000-00005F060000}"/>
    <cellStyle name="20% - Accent1 4 2 3 3 3" xfId="4075" xr:uid="{00000000-0005-0000-0000-000060060000}"/>
    <cellStyle name="20% - Accent1 4 2 3 3 3 2" xfId="5921" xr:uid="{00000000-0005-0000-0000-000061060000}"/>
    <cellStyle name="20% - Accent1 4 2 3 3 4" xfId="4902" xr:uid="{00000000-0005-0000-0000-000062060000}"/>
    <cellStyle name="20% - Accent1 4 2 3 4" xfId="30805" xr:uid="{00000000-0005-0000-0000-000063060000}"/>
    <cellStyle name="20% - Accent1 4 2 3 4 2" xfId="9097" xr:uid="{00000000-0005-0000-0000-000064060000}"/>
    <cellStyle name="20% - Accent1 4 2 3 4 2 2" xfId="2510" xr:uid="{00000000-0005-0000-0000-000065060000}"/>
    <cellStyle name="20% - Accent1 4 2 3 4 3" xfId="4921" xr:uid="{00000000-0005-0000-0000-000066060000}"/>
    <cellStyle name="20% - Accent1 4 2 3 5" xfId="2511" xr:uid="{00000000-0005-0000-0000-000067060000}"/>
    <cellStyle name="20% - Accent1 4 2 3 5 2" xfId="4602" xr:uid="{00000000-0005-0000-0000-000068060000}"/>
    <cellStyle name="20% - Accent1 4 2 3 6" xfId="8272" xr:uid="{00000000-0005-0000-0000-000069060000}"/>
    <cellStyle name="20% - Accent1 4 2 4" xfId="1408" xr:uid="{00000000-0005-0000-0000-00006A060000}"/>
    <cellStyle name="20% - Accent1 4 2 4 2" xfId="32007" xr:uid="{00000000-0005-0000-0000-00006B060000}"/>
    <cellStyle name="20% - Accent1 4 2 4 2 2" xfId="2208" xr:uid="{00000000-0005-0000-0000-00006C060000}"/>
    <cellStyle name="20% - Accent1 4 2 4 2 2 2" xfId="3950" xr:uid="{00000000-0005-0000-0000-00006D060000}"/>
    <cellStyle name="20% - Accent1 4 2 4 2 2 2 2" xfId="11829" xr:uid="{00000000-0005-0000-0000-00006E060000}"/>
    <cellStyle name="20% - Accent1 4 2 4 2 2 3" xfId="3971" xr:uid="{00000000-0005-0000-0000-00006F060000}"/>
    <cellStyle name="20% - Accent1 4 2 4 2 3" xfId="4204" xr:uid="{00000000-0005-0000-0000-000070060000}"/>
    <cellStyle name="20% - Accent1 4 2 4 2 3 2" xfId="19303" xr:uid="{00000000-0005-0000-0000-000071060000}"/>
    <cellStyle name="20% - Accent1 4 2 4 2 4" xfId="7981" xr:uid="{00000000-0005-0000-0000-000072060000}"/>
    <cellStyle name="20% - Accent1 4 2 4 3" xfId="30357" xr:uid="{00000000-0005-0000-0000-000073060000}"/>
    <cellStyle name="20% - Accent1 4 2 4 3 2" xfId="23424" xr:uid="{00000000-0005-0000-0000-000074060000}"/>
    <cellStyle name="20% - Accent1 4 2 4 3 2 2" xfId="29010" xr:uid="{00000000-0005-0000-0000-000075060000}"/>
    <cellStyle name="20% - Accent1 4 2 4 3 3" xfId="26512" xr:uid="{00000000-0005-0000-0000-000076060000}"/>
    <cellStyle name="20% - Accent1 4 2 4 4" xfId="2551" xr:uid="{00000000-0005-0000-0000-000077060000}"/>
    <cellStyle name="20% - Accent1 4 2 4 4 2" xfId="19346" xr:uid="{00000000-0005-0000-0000-000078060000}"/>
    <cellStyle name="20% - Accent1 4 2 4 5" xfId="3" xr:uid="{00000000-0005-0000-0000-000079060000}"/>
    <cellStyle name="20% - Accent1 4 2 5" xfId="1418" xr:uid="{00000000-0005-0000-0000-00007A060000}"/>
    <cellStyle name="20% - Accent1 4 2 5 2" xfId="6274" xr:uid="{00000000-0005-0000-0000-00007B060000}"/>
    <cellStyle name="20% - Accent1 4 2 5 2 2" xfId="2431" xr:uid="{00000000-0005-0000-0000-00007C060000}"/>
    <cellStyle name="20% - Accent1 4 2 5 2 2 2" xfId="10964" xr:uid="{00000000-0005-0000-0000-00007D060000}"/>
    <cellStyle name="20% - Accent1 4 2 5 2 3" xfId="4213" xr:uid="{00000000-0005-0000-0000-00007E060000}"/>
    <cellStyle name="20% - Accent1 4 2 5 3" xfId="8640" xr:uid="{00000000-0005-0000-0000-00007F060000}"/>
    <cellStyle name="20% - Accent1 4 2 5 3 2" xfId="24021" xr:uid="{00000000-0005-0000-0000-000080060000}"/>
    <cellStyle name="20% - Accent1 4 2 5 4" xfId="6968" xr:uid="{00000000-0005-0000-0000-000081060000}"/>
    <cellStyle name="20% - Accent1 4 2 6" xfId="30366" xr:uid="{00000000-0005-0000-0000-000082060000}"/>
    <cellStyle name="20% - Accent1 4 2 6 2" xfId="962" xr:uid="{00000000-0005-0000-0000-000083060000}"/>
    <cellStyle name="20% - Accent1 4 2 6 2 2" xfId="2598" xr:uid="{00000000-0005-0000-0000-000084060000}"/>
    <cellStyle name="20% - Accent1 4 2 6 3" xfId="979" xr:uid="{00000000-0005-0000-0000-000085060000}"/>
    <cellStyle name="20% - Accent1 4 2 7" xfId="994" xr:uid="{00000000-0005-0000-0000-000086060000}"/>
    <cellStyle name="20% - Accent1 4 2 7 2" xfId="12510" xr:uid="{00000000-0005-0000-0000-000087060000}"/>
    <cellStyle name="20% - Accent1 4 2 8" xfId="2600" xr:uid="{00000000-0005-0000-0000-000088060000}"/>
    <cellStyle name="20% - Accent1 4 3" xfId="12855" xr:uid="{00000000-0005-0000-0000-000089060000}"/>
    <cellStyle name="20% - Accent1 4 3 2" xfId="2610" xr:uid="{00000000-0005-0000-0000-00008A060000}"/>
    <cellStyle name="20% - Accent1 4 3 2 2" xfId="3331" xr:uid="{00000000-0005-0000-0000-00008B060000}"/>
    <cellStyle name="20% - Accent1 4 3 2 2 2" xfId="27578" xr:uid="{00000000-0005-0000-0000-00008C060000}"/>
    <cellStyle name="20% - Accent1 4 3 2 2 2 2" xfId="7165" xr:uid="{00000000-0005-0000-0000-00008D060000}"/>
    <cellStyle name="20% - Accent1 4 3 2 2 2 2 2" xfId="8703" xr:uid="{00000000-0005-0000-0000-00008E060000}"/>
    <cellStyle name="20% - Accent1 4 3 2 2 2 2 2 2" xfId="12595" xr:uid="{00000000-0005-0000-0000-00008F060000}"/>
    <cellStyle name="20% - Accent1 4 3 2 2 2 2 3" xfId="11280" xr:uid="{00000000-0005-0000-0000-000090060000}"/>
    <cellStyle name="20% - Accent1 4 3 2 2 2 3" xfId="2453" xr:uid="{00000000-0005-0000-0000-000091060000}"/>
    <cellStyle name="20% - Accent1 4 3 2 2 2 3 2" xfId="8709" xr:uid="{00000000-0005-0000-0000-000092060000}"/>
    <cellStyle name="20% - Accent1 4 3 2 2 2 4" xfId="5891" xr:uid="{00000000-0005-0000-0000-000093060000}"/>
    <cellStyle name="20% - Accent1 4 3 2 2 3" xfId="2469" xr:uid="{00000000-0005-0000-0000-000094060000}"/>
    <cellStyle name="20% - Accent1 4 3 2 2 3 2" xfId="2481" xr:uid="{00000000-0005-0000-0000-000095060000}"/>
    <cellStyle name="20% - Accent1 4 3 2 2 3 2 2" xfId="7651" xr:uid="{00000000-0005-0000-0000-000096060000}"/>
    <cellStyle name="20% - Accent1 4 3 2 2 3 3" xfId="2632" xr:uid="{00000000-0005-0000-0000-000097060000}"/>
    <cellStyle name="20% - Accent1 4 3 2 2 4" xfId="105" xr:uid="{00000000-0005-0000-0000-000098060000}"/>
    <cellStyle name="20% - Accent1 4 3 2 2 4 2" xfId="2640" xr:uid="{00000000-0005-0000-0000-000099060000}"/>
    <cellStyle name="20% - Accent1 4 3 2 2 5" xfId="10424" xr:uid="{00000000-0005-0000-0000-00009A060000}"/>
    <cellStyle name="20% - Accent1 4 3 2 3" xfId="10993" xr:uid="{00000000-0005-0000-0000-00009B060000}"/>
    <cellStyle name="20% - Accent1 4 3 2 3 2" xfId="2513" xr:uid="{00000000-0005-0000-0000-00009C060000}"/>
    <cellStyle name="20% - Accent1 4 3 2 3 2 2" xfId="2517" xr:uid="{00000000-0005-0000-0000-00009D060000}"/>
    <cellStyle name="20% - Accent1 4 3 2 3 2 2 2" xfId="31244" xr:uid="{00000000-0005-0000-0000-00009E060000}"/>
    <cellStyle name="20% - Accent1 4 3 2 3 2 3" xfId="2657" xr:uid="{00000000-0005-0000-0000-00009F060000}"/>
    <cellStyle name="20% - Accent1 4 3 2 3 3" xfId="2525" xr:uid="{00000000-0005-0000-0000-0000A0060000}"/>
    <cellStyle name="20% - Accent1 4 3 2 3 3 2" xfId="2663" xr:uid="{00000000-0005-0000-0000-0000A1060000}"/>
    <cellStyle name="20% - Accent1 4 3 2 3 4" xfId="10826" xr:uid="{00000000-0005-0000-0000-0000A2060000}"/>
    <cellStyle name="20% - Accent1 4 3 2 4" xfId="2671" xr:uid="{00000000-0005-0000-0000-0000A3060000}"/>
    <cellStyle name="20% - Accent1 4 3 2 4 2" xfId="12889" xr:uid="{00000000-0005-0000-0000-0000A4060000}"/>
    <cellStyle name="20% - Accent1 4 3 2 4 2 2" xfId="1631" xr:uid="{00000000-0005-0000-0000-0000A5060000}"/>
    <cellStyle name="20% - Accent1 4 3 2 4 3" xfId="2672" xr:uid="{00000000-0005-0000-0000-0000A6060000}"/>
    <cellStyle name="20% - Accent1 4 3 2 5" xfId="2677" xr:uid="{00000000-0005-0000-0000-0000A7060000}"/>
    <cellStyle name="20% - Accent1 4 3 2 5 2" xfId="515" xr:uid="{00000000-0005-0000-0000-0000A8060000}"/>
    <cellStyle name="20% - Accent1 4 3 2 6" xfId="2681" xr:uid="{00000000-0005-0000-0000-0000A9060000}"/>
    <cellStyle name="20% - Accent1 4 3 3" xfId="2687" xr:uid="{00000000-0005-0000-0000-0000AA060000}"/>
    <cellStyle name="20% - Accent1 4 3 3 2" xfId="3347" xr:uid="{00000000-0005-0000-0000-0000AB060000}"/>
    <cellStyle name="20% - Accent1 4 3 3 2 2" xfId="2679" xr:uid="{00000000-0005-0000-0000-0000AC060000}"/>
    <cellStyle name="20% - Accent1 4 3 3 2 2 2" xfId="520" xr:uid="{00000000-0005-0000-0000-0000AD060000}"/>
    <cellStyle name="20% - Accent1 4 3 3 2 2 2 2" xfId="7952" xr:uid="{00000000-0005-0000-0000-0000AE060000}"/>
    <cellStyle name="20% - Accent1 4 3 3 2 2 3" xfId="1474" xr:uid="{00000000-0005-0000-0000-0000AF060000}"/>
    <cellStyle name="20% - Accent1 4 3 3 2 3" xfId="4250" xr:uid="{00000000-0005-0000-0000-0000B0060000}"/>
    <cellStyle name="20% - Accent1 4 3 3 2 3 2" xfId="1511" xr:uid="{00000000-0005-0000-0000-0000B1060000}"/>
    <cellStyle name="20% - Accent1 4 3 3 2 4" xfId="5066" xr:uid="{00000000-0005-0000-0000-0000B2060000}"/>
    <cellStyle name="20% - Accent1 4 3 3 3" xfId="1505" xr:uid="{00000000-0005-0000-0000-0000B3060000}"/>
    <cellStyle name="20% - Accent1 4 3 3 3 2" xfId="2695" xr:uid="{00000000-0005-0000-0000-0000B4060000}"/>
    <cellStyle name="20% - Accent1 4 3 3 3 2 2" xfId="1901" xr:uid="{00000000-0005-0000-0000-0000B5060000}"/>
    <cellStyle name="20% - Accent1 4 3 3 3 3" xfId="5081" xr:uid="{00000000-0005-0000-0000-0000B6060000}"/>
    <cellStyle name="20% - Accent1 4 3 3 4" xfId="2697" xr:uid="{00000000-0005-0000-0000-0000B7060000}"/>
    <cellStyle name="20% - Accent1 4 3 3 4 2" xfId="199" xr:uid="{00000000-0005-0000-0000-0000B8060000}"/>
    <cellStyle name="20% - Accent1 4 3 3 5" xfId="5569" xr:uid="{00000000-0005-0000-0000-0000B9060000}"/>
    <cellStyle name="20% - Accent1 4 3 4" xfId="1435" xr:uid="{00000000-0005-0000-0000-0000BA060000}"/>
    <cellStyle name="20% - Accent1 4 3 4 2" xfId="30373" xr:uid="{00000000-0005-0000-0000-0000BB060000}"/>
    <cellStyle name="20% - Accent1 4 3 4 2 2" xfId="2018" xr:uid="{00000000-0005-0000-0000-0000BC060000}"/>
    <cellStyle name="20% - Accent1 4 3 4 2 2 2" xfId="2351" xr:uid="{00000000-0005-0000-0000-0000BD060000}"/>
    <cellStyle name="20% - Accent1 4 3 4 2 3" xfId="5125" xr:uid="{00000000-0005-0000-0000-0000BE060000}"/>
    <cellStyle name="20% - Accent1 4 3 4 3" xfId="8643" xr:uid="{00000000-0005-0000-0000-0000BF060000}"/>
    <cellStyle name="20% - Accent1 4 3 4 3 2" xfId="24701" xr:uid="{00000000-0005-0000-0000-0000C0060000}"/>
    <cellStyle name="20% - Accent1 4 3 4 4" xfId="162" xr:uid="{00000000-0005-0000-0000-0000C1060000}"/>
    <cellStyle name="20% - Accent1 4 3 5" xfId="22388" xr:uid="{00000000-0005-0000-0000-0000C2060000}"/>
    <cellStyle name="20% - Accent1 4 3 5 2" xfId="219" xr:uid="{00000000-0005-0000-0000-0000C3060000}"/>
    <cellStyle name="20% - Accent1 4 3 5 2 2" xfId="636" xr:uid="{00000000-0005-0000-0000-0000C4060000}"/>
    <cellStyle name="20% - Accent1 4 3 5 3" xfId="1028" xr:uid="{00000000-0005-0000-0000-0000C5060000}"/>
    <cellStyle name="20% - Accent1 4 3 6" xfId="2244" xr:uid="{00000000-0005-0000-0000-0000C6060000}"/>
    <cellStyle name="20% - Accent1 4 3 6 2" xfId="812" xr:uid="{00000000-0005-0000-0000-0000C7060000}"/>
    <cellStyle name="20% - Accent1 4 3 7" xfId="10352" xr:uid="{00000000-0005-0000-0000-0000C8060000}"/>
    <cellStyle name="20% - Accent1 4 4" xfId="2698" xr:uid="{00000000-0005-0000-0000-0000C9060000}"/>
    <cellStyle name="20% - Accent1 4 4 2" xfId="2699" xr:uid="{00000000-0005-0000-0000-0000CA060000}"/>
    <cellStyle name="20% - Accent1 4 4 2 2" xfId="3353" xr:uid="{00000000-0005-0000-0000-0000CB060000}"/>
    <cellStyle name="20% - Accent1 4 4 2 2 2" xfId="2701" xr:uid="{00000000-0005-0000-0000-0000CC060000}"/>
    <cellStyle name="20% - Accent1 4 4 2 2 2 2" xfId="28714" xr:uid="{00000000-0005-0000-0000-0000CD060000}"/>
    <cellStyle name="20% - Accent1 4 4 2 2 2 2 2" xfId="12761" xr:uid="{00000000-0005-0000-0000-0000CE060000}"/>
    <cellStyle name="20% - Accent1 4 4 2 2 2 3" xfId="2722" xr:uid="{00000000-0005-0000-0000-0000CF060000}"/>
    <cellStyle name="20% - Accent1 4 4 2 2 3" xfId="2725" xr:uid="{00000000-0005-0000-0000-0000D0060000}"/>
    <cellStyle name="20% - Accent1 4 4 2 2 3 2" xfId="2737" xr:uid="{00000000-0005-0000-0000-0000D1060000}"/>
    <cellStyle name="20% - Accent1 4 4 2 2 4" xfId="2743" xr:uid="{00000000-0005-0000-0000-0000D2060000}"/>
    <cellStyle name="20% - Accent1 4 4 2 3" xfId="2750" xr:uid="{00000000-0005-0000-0000-0000D3060000}"/>
    <cellStyle name="20% - Accent1 4 4 2 3 2" xfId="2758" xr:uid="{00000000-0005-0000-0000-0000D4060000}"/>
    <cellStyle name="20% - Accent1 4 4 2 3 2 2" xfId="24546" xr:uid="{00000000-0005-0000-0000-0000D5060000}"/>
    <cellStyle name="20% - Accent1 4 4 2 3 3" xfId="2772" xr:uid="{00000000-0005-0000-0000-0000D6060000}"/>
    <cellStyle name="20% - Accent1 4 4 2 4" xfId="5612" xr:uid="{00000000-0005-0000-0000-0000D7060000}"/>
    <cellStyle name="20% - Accent1 4 4 2 4 2" xfId="2778" xr:uid="{00000000-0005-0000-0000-0000D8060000}"/>
    <cellStyle name="20% - Accent1 4 4 2 5" xfId="2022" xr:uid="{00000000-0005-0000-0000-0000D9060000}"/>
    <cellStyle name="20% - Accent1 4 4 3" xfId="7929" xr:uid="{00000000-0005-0000-0000-0000DA060000}"/>
    <cellStyle name="20% - Accent1 4 4 3 2" xfId="1388" xr:uid="{00000000-0005-0000-0000-0000DB060000}"/>
    <cellStyle name="20% - Accent1 4 4 3 2 2" xfId="22508" xr:uid="{00000000-0005-0000-0000-0000DC060000}"/>
    <cellStyle name="20% - Accent1 4 4 3 2 2 2" xfId="2797" xr:uid="{00000000-0005-0000-0000-0000DD060000}"/>
    <cellStyle name="20% - Accent1 4 4 3 2 3" xfId="8722" xr:uid="{00000000-0005-0000-0000-0000DE060000}"/>
    <cellStyle name="20% - Accent1 4 4 3 3" xfId="2806" xr:uid="{00000000-0005-0000-0000-0000DF060000}"/>
    <cellStyle name="20% - Accent1 4 4 3 3 2" xfId="6783" xr:uid="{00000000-0005-0000-0000-0000E0060000}"/>
    <cellStyle name="20% - Accent1 4 4 3 4" xfId="2810" xr:uid="{00000000-0005-0000-0000-0000E1060000}"/>
    <cellStyle name="20% - Accent1 4 4 4" xfId="18521" xr:uid="{00000000-0005-0000-0000-0000E2060000}"/>
    <cellStyle name="20% - Accent1 4 4 4 2" xfId="312" xr:uid="{00000000-0005-0000-0000-0000E3060000}"/>
    <cellStyle name="20% - Accent1 4 4 4 2 2" xfId="14381" xr:uid="{00000000-0005-0000-0000-0000E4060000}"/>
    <cellStyle name="20% - Accent1 4 4 4 3" xfId="229" xr:uid="{00000000-0005-0000-0000-0000E5060000}"/>
    <cellStyle name="20% - Accent1 4 4 5" xfId="23000" xr:uid="{00000000-0005-0000-0000-0000E6060000}"/>
    <cellStyle name="20% - Accent1 4 4 5 2" xfId="887" xr:uid="{00000000-0005-0000-0000-0000E7060000}"/>
    <cellStyle name="20% - Accent1 4 4 6" xfId="4192" xr:uid="{00000000-0005-0000-0000-0000E8060000}"/>
    <cellStyle name="20% - Accent1 4 5" xfId="4910" xr:uid="{00000000-0005-0000-0000-0000E9060000}"/>
    <cellStyle name="20% - Accent1 4 5 2" xfId="4861" xr:uid="{00000000-0005-0000-0000-0000EA060000}"/>
    <cellStyle name="20% - Accent1 4 5 2 2" xfId="2816" xr:uid="{00000000-0005-0000-0000-0000EB060000}"/>
    <cellStyle name="20% - Accent1 4 5 2 2 2" xfId="2819" xr:uid="{00000000-0005-0000-0000-0000EC060000}"/>
    <cellStyle name="20% - Accent1 4 5 2 2 2 2" xfId="11401" xr:uid="{00000000-0005-0000-0000-0000ED060000}"/>
    <cellStyle name="20% - Accent1 4 5 2 2 3" xfId="14323" xr:uid="{00000000-0005-0000-0000-0000EE060000}"/>
    <cellStyle name="20% - Accent1 4 5 2 3" xfId="2833" xr:uid="{00000000-0005-0000-0000-0000EF060000}"/>
    <cellStyle name="20% - Accent1 4 5 2 3 2" xfId="3563" xr:uid="{00000000-0005-0000-0000-0000F0060000}"/>
    <cellStyle name="20% - Accent1 4 5 2 4" xfId="2834" xr:uid="{00000000-0005-0000-0000-0000F1060000}"/>
    <cellStyle name="20% - Accent1 4 5 3" xfId="2842" xr:uid="{00000000-0005-0000-0000-0000F2060000}"/>
    <cellStyle name="20% - Accent1 4 5 3 2" xfId="2850" xr:uid="{00000000-0005-0000-0000-0000F3060000}"/>
    <cellStyle name="20% - Accent1 4 5 3 2 2" xfId="6106" xr:uid="{00000000-0005-0000-0000-0000F4060000}"/>
    <cellStyle name="20% - Accent1 4 5 3 3" xfId="2852" xr:uid="{00000000-0005-0000-0000-0000F5060000}"/>
    <cellStyle name="20% - Accent1 4 5 4" xfId="498" xr:uid="{00000000-0005-0000-0000-0000F6060000}"/>
    <cellStyle name="20% - Accent1 4 5 4 2" xfId="1931" xr:uid="{00000000-0005-0000-0000-0000F7060000}"/>
    <cellStyle name="20% - Accent1 4 5 5" xfId="1090" xr:uid="{00000000-0005-0000-0000-0000F8060000}"/>
    <cellStyle name="20% - Accent1 4 6" xfId="2049" xr:uid="{00000000-0005-0000-0000-0000F9060000}"/>
    <cellStyle name="20% - Accent1 4 6 2" xfId="2856" xr:uid="{00000000-0005-0000-0000-0000FA060000}"/>
    <cellStyle name="20% - Accent1 4 6 2 2" xfId="2860" xr:uid="{00000000-0005-0000-0000-0000FB060000}"/>
    <cellStyle name="20% - Accent1 4 6 2 2 2" xfId="9370" xr:uid="{00000000-0005-0000-0000-0000FC060000}"/>
    <cellStyle name="20% - Accent1 4 6 2 3" xfId="1447" xr:uid="{00000000-0005-0000-0000-0000FD060000}"/>
    <cellStyle name="20% - Accent1 4 6 3" xfId="2861" xr:uid="{00000000-0005-0000-0000-0000FE060000}"/>
    <cellStyle name="20% - Accent1 4 6 3 2" xfId="2866" xr:uid="{00000000-0005-0000-0000-0000FF060000}"/>
    <cellStyle name="20% - Accent1 4 6 4" xfId="5687" xr:uid="{00000000-0005-0000-0000-000000070000}"/>
    <cellStyle name="20% - Accent1 4 7" xfId="9095" xr:uid="{00000000-0005-0000-0000-000001070000}"/>
    <cellStyle name="20% - Accent1 4 7 2" xfId="8723" xr:uid="{00000000-0005-0000-0000-000002070000}"/>
    <cellStyle name="20% - Accent1 4 7 2 2" xfId="11490" xr:uid="{00000000-0005-0000-0000-000003070000}"/>
    <cellStyle name="20% - Accent1 4 7 3" xfId="2868" xr:uid="{00000000-0005-0000-0000-000004070000}"/>
    <cellStyle name="20% - Accent1 4 8" xfId="23991" xr:uid="{00000000-0005-0000-0000-000005070000}"/>
    <cellStyle name="20% - Accent1 4 8 2" xfId="2869" xr:uid="{00000000-0005-0000-0000-000006070000}"/>
    <cellStyle name="20% - Accent1 4 9" xfId="14507" xr:uid="{00000000-0005-0000-0000-000007070000}"/>
    <cellStyle name="20% - Accent1 5" xfId="26934" xr:uid="{00000000-0005-0000-0000-000008070000}"/>
    <cellStyle name="20% - Accent1 5 2" xfId="12865" xr:uid="{00000000-0005-0000-0000-000009070000}"/>
    <cellStyle name="20% - Accent1 5 2 2" xfId="1296" xr:uid="{00000000-0005-0000-0000-00000A070000}"/>
    <cellStyle name="20% - Accent1 5 2 2 2" xfId="11523" xr:uid="{00000000-0005-0000-0000-00000B070000}"/>
    <cellStyle name="20% - Accent1 5 2 2 2 2" xfId="28814" xr:uid="{00000000-0005-0000-0000-00000C070000}"/>
    <cellStyle name="20% - Accent1 5 2 2 2 2 2" xfId="5982" xr:uid="{00000000-0005-0000-0000-00000D070000}"/>
    <cellStyle name="20% - Accent1 5 2 2 2 2 2 2" xfId="2875" xr:uid="{00000000-0005-0000-0000-00000E070000}"/>
    <cellStyle name="20% - Accent1 5 2 2 2 2 2 2 2" xfId="10096" xr:uid="{00000000-0005-0000-0000-00000F070000}"/>
    <cellStyle name="20% - Accent1 5 2 2 2 2 2 3" xfId="14624" xr:uid="{00000000-0005-0000-0000-000010070000}"/>
    <cellStyle name="20% - Accent1 5 2 2 2 2 3" xfId="10336" xr:uid="{00000000-0005-0000-0000-000011070000}"/>
    <cellStyle name="20% - Accent1 5 2 2 2 2 3 2" xfId="536" xr:uid="{00000000-0005-0000-0000-000012070000}"/>
    <cellStyle name="20% - Accent1 5 2 2 2 2 4" xfId="22630" xr:uid="{00000000-0005-0000-0000-000013070000}"/>
    <cellStyle name="20% - Accent1 5 2 2 2 3" xfId="2374" xr:uid="{00000000-0005-0000-0000-000014070000}"/>
    <cellStyle name="20% - Accent1 5 2 2 2 3 2" xfId="6744" xr:uid="{00000000-0005-0000-0000-000015070000}"/>
    <cellStyle name="20% - Accent1 5 2 2 2 3 2 2" xfId="2879" xr:uid="{00000000-0005-0000-0000-000016070000}"/>
    <cellStyle name="20% - Accent1 5 2 2 2 3 3" xfId="790" xr:uid="{00000000-0005-0000-0000-000017070000}"/>
    <cellStyle name="20% - Accent1 5 2 2 2 4" xfId="1967" xr:uid="{00000000-0005-0000-0000-000018070000}"/>
    <cellStyle name="20% - Accent1 5 2 2 2 4 2" xfId="20753" xr:uid="{00000000-0005-0000-0000-000019070000}"/>
    <cellStyle name="20% - Accent1 5 2 2 2 5" xfId="1972" xr:uid="{00000000-0005-0000-0000-00001A070000}"/>
    <cellStyle name="20% - Accent1 5 2 2 3" xfId="11528" xr:uid="{00000000-0005-0000-0000-00001B070000}"/>
    <cellStyle name="20% - Accent1 5 2 2 3 2" xfId="2887" xr:uid="{00000000-0005-0000-0000-00001C070000}"/>
    <cellStyle name="20% - Accent1 5 2 2 3 2 2" xfId="7976" xr:uid="{00000000-0005-0000-0000-00001D070000}"/>
    <cellStyle name="20% - Accent1 5 2 2 3 2 2 2" xfId="15621" xr:uid="{00000000-0005-0000-0000-00001E070000}"/>
    <cellStyle name="20% - Accent1 5 2 2 3 2 3" xfId="831" xr:uid="{00000000-0005-0000-0000-00001F070000}"/>
    <cellStyle name="20% - Accent1 5 2 2 3 3" xfId="11903" xr:uid="{00000000-0005-0000-0000-000020070000}"/>
    <cellStyle name="20% - Accent1 5 2 2 3 3 2" xfId="879" xr:uid="{00000000-0005-0000-0000-000021070000}"/>
    <cellStyle name="20% - Accent1 5 2 2 3 4" xfId="25071" xr:uid="{00000000-0005-0000-0000-000022070000}"/>
    <cellStyle name="20% - Accent1 5 2 2 4" xfId="2892" xr:uid="{00000000-0005-0000-0000-000023070000}"/>
    <cellStyle name="20% - Accent1 5 2 2 4 2" xfId="2897" xr:uid="{00000000-0005-0000-0000-000024070000}"/>
    <cellStyle name="20% - Accent1 5 2 2 4 2 2" xfId="901" xr:uid="{00000000-0005-0000-0000-000025070000}"/>
    <cellStyle name="20% - Accent1 5 2 2 4 3" xfId="1856" xr:uid="{00000000-0005-0000-0000-000026070000}"/>
    <cellStyle name="20% - Accent1 5 2 2 5" xfId="2707" xr:uid="{00000000-0005-0000-0000-000027070000}"/>
    <cellStyle name="20% - Accent1 5 2 2 5 2" xfId="2714" xr:uid="{00000000-0005-0000-0000-000028070000}"/>
    <cellStyle name="20% - Accent1 5 2 2 6" xfId="19019" xr:uid="{00000000-0005-0000-0000-000029070000}"/>
    <cellStyle name="20% - Accent1 5 2 3" xfId="24529" xr:uid="{00000000-0005-0000-0000-00002A070000}"/>
    <cellStyle name="20% - Accent1 5 2 3 2" xfId="4089" xr:uid="{00000000-0005-0000-0000-00002B070000}"/>
    <cellStyle name="20% - Accent1 5 2 3 2 2" xfId="2915" xr:uid="{00000000-0005-0000-0000-00002C070000}"/>
    <cellStyle name="20% - Accent1 5 2 3 2 2 2" xfId="1215" xr:uid="{00000000-0005-0000-0000-00002D070000}"/>
    <cellStyle name="20% - Accent1 5 2 3 2 2 2 2" xfId="501" xr:uid="{00000000-0005-0000-0000-00002E070000}"/>
    <cellStyle name="20% - Accent1 5 2 3 2 2 3" xfId="5016" xr:uid="{00000000-0005-0000-0000-00002F070000}"/>
    <cellStyle name="20% - Accent1 5 2 3 2 3" xfId="4573" xr:uid="{00000000-0005-0000-0000-000030070000}"/>
    <cellStyle name="20% - Accent1 5 2 3 2 3 2" xfId="6790" xr:uid="{00000000-0005-0000-0000-000031070000}"/>
    <cellStyle name="20% - Accent1 5 2 3 2 4" xfId="4577" xr:uid="{00000000-0005-0000-0000-000032070000}"/>
    <cellStyle name="20% - Accent1 5 2 3 3" xfId="8667" xr:uid="{00000000-0005-0000-0000-000033070000}"/>
    <cellStyle name="20% - Accent1 5 2 3 3 2" xfId="3622" xr:uid="{00000000-0005-0000-0000-000034070000}"/>
    <cellStyle name="20% - Accent1 5 2 3 3 2 2" xfId="5937" xr:uid="{00000000-0005-0000-0000-000035070000}"/>
    <cellStyle name="20% - Accent1 5 2 3 3 3" xfId="4587" xr:uid="{00000000-0005-0000-0000-000036070000}"/>
    <cellStyle name="20% - Accent1 5 2 3 4" xfId="8668" xr:uid="{00000000-0005-0000-0000-000037070000}"/>
    <cellStyle name="20% - Accent1 5 2 3 4 2" xfId="4723" xr:uid="{00000000-0005-0000-0000-000038070000}"/>
    <cellStyle name="20% - Accent1 5 2 3 5" xfId="2763" xr:uid="{00000000-0005-0000-0000-000039070000}"/>
    <cellStyle name="20% - Accent1 5 2 4" xfId="1448" xr:uid="{00000000-0005-0000-0000-00003A070000}"/>
    <cellStyle name="20% - Accent1 5 2 4 2" xfId="30388" xr:uid="{00000000-0005-0000-0000-00003B070000}"/>
    <cellStyle name="20% - Accent1 5 2 4 2 2" xfId="752" xr:uid="{00000000-0005-0000-0000-00003C070000}"/>
    <cellStyle name="20% - Accent1 5 2 4 2 2 2" xfId="7896" xr:uid="{00000000-0005-0000-0000-00003D070000}"/>
    <cellStyle name="20% - Accent1 5 2 4 2 3" xfId="4322" xr:uid="{00000000-0005-0000-0000-00003E070000}"/>
    <cellStyle name="20% - Accent1 5 2 4 3" xfId="10752" xr:uid="{00000000-0005-0000-0000-00003F070000}"/>
    <cellStyle name="20% - Accent1 5 2 4 3 2" xfId="18257" xr:uid="{00000000-0005-0000-0000-000040070000}"/>
    <cellStyle name="20% - Accent1 5 2 4 4" xfId="5169" xr:uid="{00000000-0005-0000-0000-000041070000}"/>
    <cellStyle name="20% - Accent1 5 2 5" xfId="14512" xr:uid="{00000000-0005-0000-0000-000042070000}"/>
    <cellStyle name="20% - Accent1 5 2 5 2" xfId="2940" xr:uid="{00000000-0005-0000-0000-000043070000}"/>
    <cellStyle name="20% - Accent1 5 2 5 2 2" xfId="30640" xr:uid="{00000000-0005-0000-0000-000044070000}"/>
    <cellStyle name="20% - Accent1 5 2 5 3" xfId="2946" xr:uid="{00000000-0005-0000-0000-000045070000}"/>
    <cellStyle name="20% - Accent1 5 2 6" xfId="2954" xr:uid="{00000000-0005-0000-0000-000046070000}"/>
    <cellStyle name="20% - Accent1 5 2 6 2" xfId="1133" xr:uid="{00000000-0005-0000-0000-000047070000}"/>
    <cellStyle name="20% - Accent1 5 2 7" xfId="2961" xr:uid="{00000000-0005-0000-0000-000048070000}"/>
    <cellStyle name="20% - Accent1 5 3" xfId="2064" xr:uid="{00000000-0005-0000-0000-000049070000}"/>
    <cellStyle name="20% - Accent1 5 3 2" xfId="7351" xr:uid="{00000000-0005-0000-0000-00004A070000}"/>
    <cellStyle name="20% - Accent1 5 3 2 2" xfId="11541" xr:uid="{00000000-0005-0000-0000-00004B070000}"/>
    <cellStyle name="20% - Accent1 5 3 2 2 2" xfId="16083" xr:uid="{00000000-0005-0000-0000-00004C070000}"/>
    <cellStyle name="20% - Accent1 5 3 2 2 2 2" xfId="1657" xr:uid="{00000000-0005-0000-0000-00004D070000}"/>
    <cellStyle name="20% - Accent1 5 3 2 2 2 2 2" xfId="31376" xr:uid="{00000000-0005-0000-0000-00004E070000}"/>
    <cellStyle name="20% - Accent1 5 3 2 2 2 3" xfId="2009" xr:uid="{00000000-0005-0000-0000-00004F070000}"/>
    <cellStyle name="20% - Accent1 5 3 2 2 3" xfId="2974" xr:uid="{00000000-0005-0000-0000-000050070000}"/>
    <cellStyle name="20% - Accent1 5 3 2 2 3 2" xfId="2035" xr:uid="{00000000-0005-0000-0000-000051070000}"/>
    <cellStyle name="20% - Accent1 5 3 2 2 4" xfId="2975" xr:uid="{00000000-0005-0000-0000-000052070000}"/>
    <cellStyle name="20% - Accent1 5 3 2 3" xfId="19313" xr:uid="{00000000-0005-0000-0000-000053070000}"/>
    <cellStyle name="20% - Accent1 5 3 2 3 2" xfId="8471" xr:uid="{00000000-0005-0000-0000-000054070000}"/>
    <cellStyle name="20% - Accent1 5 3 2 3 2 2" xfId="2063" xr:uid="{00000000-0005-0000-0000-000055070000}"/>
    <cellStyle name="20% - Accent1 5 3 2 3 3" xfId="2988" xr:uid="{00000000-0005-0000-0000-000056070000}"/>
    <cellStyle name="20% - Accent1 5 3 2 4" xfId="2989" xr:uid="{00000000-0005-0000-0000-000057070000}"/>
    <cellStyle name="20% - Accent1 5 3 2 4 2" xfId="2995" xr:uid="{00000000-0005-0000-0000-000058070000}"/>
    <cellStyle name="20% - Accent1 5 3 2 5" xfId="2793" xr:uid="{00000000-0005-0000-0000-000059070000}"/>
    <cellStyle name="20% - Accent1 5 3 3" xfId="3005" xr:uid="{00000000-0005-0000-0000-00005A070000}"/>
    <cellStyle name="20% - Accent1 5 3 3 2" xfId="16517" xr:uid="{00000000-0005-0000-0000-00005B070000}"/>
    <cellStyle name="20% - Accent1 5 3 3 2 2" xfId="3007" xr:uid="{00000000-0005-0000-0000-00005C070000}"/>
    <cellStyle name="20% - Accent1 5 3 3 2 2 2" xfId="289" xr:uid="{00000000-0005-0000-0000-00005D070000}"/>
    <cellStyle name="20% - Accent1 5 3 3 2 3" xfId="4718" xr:uid="{00000000-0005-0000-0000-00005E070000}"/>
    <cellStyle name="20% - Accent1 5 3 3 3" xfId="4922" xr:uid="{00000000-0005-0000-0000-00005F070000}"/>
    <cellStyle name="20% - Accent1 5 3 3 3 2" xfId="3008" xr:uid="{00000000-0005-0000-0000-000060070000}"/>
    <cellStyle name="20% - Accent1 5 3 3 4" xfId="3012" xr:uid="{00000000-0005-0000-0000-000061070000}"/>
    <cellStyle name="20% - Accent1 5 3 4" xfId="30391" xr:uid="{00000000-0005-0000-0000-000062070000}"/>
    <cellStyle name="20% - Accent1 5 3 4 2" xfId="585" xr:uid="{00000000-0005-0000-0000-000063070000}"/>
    <cellStyle name="20% - Accent1 5 3 4 2 2" xfId="648" xr:uid="{00000000-0005-0000-0000-000064070000}"/>
    <cellStyle name="20% - Accent1 5 3 4 3" xfId="3004" xr:uid="{00000000-0005-0000-0000-000065070000}"/>
    <cellStyle name="20% - Accent1 5 3 5" xfId="10171" xr:uid="{00000000-0005-0000-0000-000066070000}"/>
    <cellStyle name="20% - Accent1 5 3 5 2" xfId="1145" xr:uid="{00000000-0005-0000-0000-000067070000}"/>
    <cellStyle name="20% - Accent1 5 3 6" xfId="1021" xr:uid="{00000000-0005-0000-0000-000068070000}"/>
    <cellStyle name="20% - Accent1 5 4" xfId="3014" xr:uid="{00000000-0005-0000-0000-000069070000}"/>
    <cellStyle name="20% - Accent1 5 4 2" xfId="3018" xr:uid="{00000000-0005-0000-0000-00006A070000}"/>
    <cellStyle name="20% - Accent1 5 4 2 2" xfId="25552" xr:uid="{00000000-0005-0000-0000-00006B070000}"/>
    <cellStyle name="20% - Accent1 5 4 2 2 2" xfId="3028" xr:uid="{00000000-0005-0000-0000-00006C070000}"/>
    <cellStyle name="20% - Accent1 5 4 2 2 2 2" xfId="109" xr:uid="{00000000-0005-0000-0000-00006D070000}"/>
    <cellStyle name="20% - Accent1 5 4 2 2 3" xfId="3029" xr:uid="{00000000-0005-0000-0000-00006E070000}"/>
    <cellStyle name="20% - Accent1 5 4 2 3" xfId="3256" xr:uid="{00000000-0005-0000-0000-00006F070000}"/>
    <cellStyle name="20% - Accent1 5 4 2 3 2" xfId="1577" xr:uid="{00000000-0005-0000-0000-000070070000}"/>
    <cellStyle name="20% - Accent1 5 4 2 4" xfId="7299" xr:uid="{00000000-0005-0000-0000-000071070000}"/>
    <cellStyle name="20% - Accent1 5 4 3" xfId="3033" xr:uid="{00000000-0005-0000-0000-000072070000}"/>
    <cellStyle name="20% - Accent1 5 4 3 2" xfId="3042" xr:uid="{00000000-0005-0000-0000-000073070000}"/>
    <cellStyle name="20% - Accent1 5 4 3 2 2" xfId="31654" xr:uid="{00000000-0005-0000-0000-000074070000}"/>
    <cellStyle name="20% - Accent1 5 4 3 3" xfId="3611" xr:uid="{00000000-0005-0000-0000-000075070000}"/>
    <cellStyle name="20% - Accent1 5 4 4" xfId="439" xr:uid="{00000000-0005-0000-0000-000076070000}"/>
    <cellStyle name="20% - Accent1 5 4 4 2" xfId="7344" xr:uid="{00000000-0005-0000-0000-000077070000}"/>
    <cellStyle name="20% - Accent1 5 4 5" xfId="1176" xr:uid="{00000000-0005-0000-0000-000078070000}"/>
    <cellStyle name="20% - Accent1 5 5" xfId="7441" xr:uid="{00000000-0005-0000-0000-000079070000}"/>
    <cellStyle name="20% - Accent1 5 5 2" xfId="3053" xr:uid="{00000000-0005-0000-0000-00007A070000}"/>
    <cellStyle name="20% - Accent1 5 5 2 2" xfId="7355" xr:uid="{00000000-0005-0000-0000-00007B070000}"/>
    <cellStyle name="20% - Accent1 5 5 2 2 2" xfId="32643" xr:uid="{00000000-0005-0000-0000-00007C070000}"/>
    <cellStyle name="20% - Accent1 5 5 2 3" xfId="3054" xr:uid="{00000000-0005-0000-0000-00007D070000}"/>
    <cellStyle name="20% - Accent1 5 5 3" xfId="4509" xr:uid="{00000000-0005-0000-0000-00007E070000}"/>
    <cellStyle name="20% - Accent1 5 5 3 2" xfId="7359" xr:uid="{00000000-0005-0000-0000-00007F070000}"/>
    <cellStyle name="20% - Accent1 5 5 4" xfId="4510" xr:uid="{00000000-0005-0000-0000-000080070000}"/>
    <cellStyle name="20% - Accent1 5 6" xfId="1223" xr:uid="{00000000-0005-0000-0000-000081070000}"/>
    <cellStyle name="20% - Accent1 5 6 2" xfId="703" xr:uid="{00000000-0005-0000-0000-000082070000}"/>
    <cellStyle name="20% - Accent1 5 6 2 2" xfId="7369" xr:uid="{00000000-0005-0000-0000-000083070000}"/>
    <cellStyle name="20% - Accent1 5 6 3" xfId="4518" xr:uid="{00000000-0005-0000-0000-000084070000}"/>
    <cellStyle name="20% - Accent1 5 7" xfId="10709" xr:uid="{00000000-0005-0000-0000-000085070000}"/>
    <cellStyle name="20% - Accent1 5 7 2" xfId="2929" xr:uid="{00000000-0005-0000-0000-000086070000}"/>
    <cellStyle name="20% - Accent1 5 8" xfId="543" xr:uid="{00000000-0005-0000-0000-000087070000}"/>
    <cellStyle name="20% - Accent1 6" xfId="18283" xr:uid="{00000000-0005-0000-0000-000088070000}"/>
    <cellStyle name="20% - Accent1 6 2" xfId="4563" xr:uid="{00000000-0005-0000-0000-000089070000}"/>
    <cellStyle name="20% - Accent1 6 2 2" xfId="3078" xr:uid="{00000000-0005-0000-0000-00008A070000}"/>
    <cellStyle name="20% - Accent1 6 2 2 2" xfId="14266" xr:uid="{00000000-0005-0000-0000-00008B070000}"/>
    <cellStyle name="20% - Accent1 6 2 2 2 2" xfId="7787" xr:uid="{00000000-0005-0000-0000-00008C070000}"/>
    <cellStyle name="20% - Accent1 6 2 2 2 2 2" xfId="27734" xr:uid="{00000000-0005-0000-0000-00008D070000}"/>
    <cellStyle name="20% - Accent1 6 2 2 2 2 2 2" xfId="4635" xr:uid="{00000000-0005-0000-0000-00008E070000}"/>
    <cellStyle name="20% - Accent1 6 2 2 2 2 3" xfId="14109" xr:uid="{00000000-0005-0000-0000-00008F070000}"/>
    <cellStyle name="20% - Accent1 6 2 2 2 3" xfId="3097" xr:uid="{00000000-0005-0000-0000-000090070000}"/>
    <cellStyle name="20% - Accent1 6 2 2 2 3 2" xfId="658" xr:uid="{00000000-0005-0000-0000-000091070000}"/>
    <cellStyle name="20% - Accent1 6 2 2 2 4" xfId="3100" xr:uid="{00000000-0005-0000-0000-000092070000}"/>
    <cellStyle name="20% - Accent1 6 2 2 3" xfId="10094" xr:uid="{00000000-0005-0000-0000-000093070000}"/>
    <cellStyle name="20% - Accent1 6 2 2 3 2" xfId="27319" xr:uid="{00000000-0005-0000-0000-000094070000}"/>
    <cellStyle name="20% - Accent1 6 2 2 3 2 2" xfId="3101" xr:uid="{00000000-0005-0000-0000-000095070000}"/>
    <cellStyle name="20% - Accent1 6 2 2 3 3" xfId="3107" xr:uid="{00000000-0005-0000-0000-000096070000}"/>
    <cellStyle name="20% - Accent1 6 2 2 4" xfId="1851" xr:uid="{00000000-0005-0000-0000-000097070000}"/>
    <cellStyle name="20% - Accent1 6 2 2 4 2" xfId="3108" xr:uid="{00000000-0005-0000-0000-000098070000}"/>
    <cellStyle name="20% - Accent1 6 2 2 5" xfId="2824" xr:uid="{00000000-0005-0000-0000-000099070000}"/>
    <cellStyle name="20% - Accent1 6 2 3" xfId="3110" xr:uid="{00000000-0005-0000-0000-00009A070000}"/>
    <cellStyle name="20% - Accent1 6 2 3 2" xfId="8535" xr:uid="{00000000-0005-0000-0000-00009B070000}"/>
    <cellStyle name="20% - Accent1 6 2 3 2 2" xfId="7271" xr:uid="{00000000-0005-0000-0000-00009C070000}"/>
    <cellStyle name="20% - Accent1 6 2 3 2 2 2" xfId="6028" xr:uid="{00000000-0005-0000-0000-00009D070000}"/>
    <cellStyle name="20% - Accent1 6 2 3 2 3" xfId="7274" xr:uid="{00000000-0005-0000-0000-00009E070000}"/>
    <cellStyle name="20% - Accent1 6 2 3 3" xfId="13288" xr:uid="{00000000-0005-0000-0000-00009F070000}"/>
    <cellStyle name="20% - Accent1 6 2 3 3 2" xfId="24869" xr:uid="{00000000-0005-0000-0000-0000A0070000}"/>
    <cellStyle name="20% - Accent1 6 2 3 4" xfId="3128" xr:uid="{00000000-0005-0000-0000-0000A1070000}"/>
    <cellStyle name="20% - Accent1 6 2 4" xfId="9822" xr:uid="{00000000-0005-0000-0000-0000A2070000}"/>
    <cellStyle name="20% - Accent1 6 2 4 2" xfId="3133" xr:uid="{00000000-0005-0000-0000-0000A3070000}"/>
    <cellStyle name="20% - Accent1 6 2 4 2 2" xfId="8320" xr:uid="{00000000-0005-0000-0000-0000A4070000}"/>
    <cellStyle name="20% - Accent1 6 2 4 3" xfId="3146" xr:uid="{00000000-0005-0000-0000-0000A5070000}"/>
    <cellStyle name="20% - Accent1 6 2 5" xfId="3149" xr:uid="{00000000-0005-0000-0000-0000A6070000}"/>
    <cellStyle name="20% - Accent1 6 2 5 2" xfId="3158" xr:uid="{00000000-0005-0000-0000-0000A7070000}"/>
    <cellStyle name="20% - Accent1 6 2 6" xfId="14678" xr:uid="{00000000-0005-0000-0000-0000A8070000}"/>
    <cellStyle name="20% - Accent1 6 3" xfId="3167" xr:uid="{00000000-0005-0000-0000-0000A9070000}"/>
    <cellStyle name="20% - Accent1 6 3 2" xfId="4144" xr:uid="{00000000-0005-0000-0000-0000AA070000}"/>
    <cellStyle name="20% - Accent1 6 3 2 2" xfId="20040" xr:uid="{00000000-0005-0000-0000-0000AB070000}"/>
    <cellStyle name="20% - Accent1 6 3 2 2 2" xfId="21873" xr:uid="{00000000-0005-0000-0000-0000AC070000}"/>
    <cellStyle name="20% - Accent1 6 3 2 2 2 2" xfId="3180" xr:uid="{00000000-0005-0000-0000-0000AD070000}"/>
    <cellStyle name="20% - Accent1 6 3 2 2 3" xfId="8794" xr:uid="{00000000-0005-0000-0000-0000AE070000}"/>
    <cellStyle name="20% - Accent1 6 3 2 3" xfId="21878" xr:uid="{00000000-0005-0000-0000-0000AF070000}"/>
    <cellStyle name="20% - Accent1 6 3 2 3 2" xfId="3183" xr:uid="{00000000-0005-0000-0000-0000B0070000}"/>
    <cellStyle name="20% - Accent1 6 3 2 4" xfId="5368" xr:uid="{00000000-0005-0000-0000-0000B1070000}"/>
    <cellStyle name="20% - Accent1 6 3 3" xfId="3186" xr:uid="{00000000-0005-0000-0000-0000B2070000}"/>
    <cellStyle name="20% - Accent1 6 3 3 2" xfId="16558" xr:uid="{00000000-0005-0000-0000-0000B3070000}"/>
    <cellStyle name="20% - Accent1 6 3 3 2 2" xfId="9539" xr:uid="{00000000-0005-0000-0000-0000B4070000}"/>
    <cellStyle name="20% - Accent1 6 3 3 3" xfId="5375" xr:uid="{00000000-0005-0000-0000-0000B5070000}"/>
    <cellStyle name="20% - Accent1 6 3 4" xfId="319" xr:uid="{00000000-0005-0000-0000-0000B6070000}"/>
    <cellStyle name="20% - Accent1 6 3 4 2" xfId="912" xr:uid="{00000000-0005-0000-0000-0000B7070000}"/>
    <cellStyle name="20% - Accent1 6 3 5" xfId="2906" xr:uid="{00000000-0005-0000-0000-0000B8070000}"/>
    <cellStyle name="20% - Accent1 6 4" xfId="5442" xr:uid="{00000000-0005-0000-0000-0000B9070000}"/>
    <cellStyle name="20% - Accent1 6 4 2" xfId="3194" xr:uid="{00000000-0005-0000-0000-0000BA070000}"/>
    <cellStyle name="20% - Accent1 6 4 2 2" xfId="28027" xr:uid="{00000000-0005-0000-0000-0000BB070000}"/>
    <cellStyle name="20% - Accent1 6 4 2 2 2" xfId="3199" xr:uid="{00000000-0005-0000-0000-0000BC070000}"/>
    <cellStyle name="20% - Accent1 6 4 2 3" xfId="5385" xr:uid="{00000000-0005-0000-0000-0000BD070000}"/>
    <cellStyle name="20% - Accent1 6 4 3" xfId="4007" xr:uid="{00000000-0005-0000-0000-0000BE070000}"/>
    <cellStyle name="20% - Accent1 6 4 3 2" xfId="7392" xr:uid="{00000000-0005-0000-0000-0000BF070000}"/>
    <cellStyle name="20% - Accent1 6 4 4" xfId="1118" xr:uid="{00000000-0005-0000-0000-0000C0070000}"/>
    <cellStyle name="20% - Accent1 6 5" xfId="1385" xr:uid="{00000000-0005-0000-0000-0000C1070000}"/>
    <cellStyle name="20% - Accent1 6 5 2" xfId="4009" xr:uid="{00000000-0005-0000-0000-0000C2070000}"/>
    <cellStyle name="20% - Accent1 6 5 2 2" xfId="7404" xr:uid="{00000000-0005-0000-0000-0000C3070000}"/>
    <cellStyle name="20% - Accent1 6 5 3" xfId="4528" xr:uid="{00000000-0005-0000-0000-0000C4070000}"/>
    <cellStyle name="20% - Accent1 6 6" xfId="24015" xr:uid="{00000000-0005-0000-0000-0000C5070000}"/>
    <cellStyle name="20% - Accent1 6 6 2" xfId="3220" xr:uid="{00000000-0005-0000-0000-0000C6070000}"/>
    <cellStyle name="20% - Accent1 6 7" xfId="716" xr:uid="{00000000-0005-0000-0000-0000C7070000}"/>
    <cellStyle name="20% - Accent1 7" xfId="4846" xr:uid="{00000000-0005-0000-0000-0000C8070000}"/>
    <cellStyle name="20% - Accent1 7 2" xfId="4854" xr:uid="{00000000-0005-0000-0000-0000C9070000}"/>
    <cellStyle name="20% - Accent1 7 2 2" xfId="3221" xr:uid="{00000000-0005-0000-0000-0000CA070000}"/>
    <cellStyle name="20% - Accent1 7 2 2 2" xfId="7563" xr:uid="{00000000-0005-0000-0000-0000CB070000}"/>
    <cellStyle name="20% - Accent1 7 2 2 2 2" xfId="1092" xr:uid="{00000000-0005-0000-0000-0000CC070000}"/>
    <cellStyle name="20% - Accent1 7 2 2 2 2 2" xfId="1100" xr:uid="{00000000-0005-0000-0000-0000CD070000}"/>
    <cellStyle name="20% - Accent1 7 2 2 2 3" xfId="1109" xr:uid="{00000000-0005-0000-0000-0000CE070000}"/>
    <cellStyle name="20% - Accent1 7 2 2 3" xfId="1607" xr:uid="{00000000-0005-0000-0000-0000CF070000}"/>
    <cellStyle name="20% - Accent1 7 2 2 3 2" xfId="2710" xr:uid="{00000000-0005-0000-0000-0000D0070000}"/>
    <cellStyle name="20% - Accent1 7 2 2 4" xfId="1389" xr:uid="{00000000-0005-0000-0000-0000D1070000}"/>
    <cellStyle name="20% - Accent1 7 2 3" xfId="3226" xr:uid="{00000000-0005-0000-0000-0000D2070000}"/>
    <cellStyle name="20% - Accent1 7 2 3 2" xfId="1283" xr:uid="{00000000-0005-0000-0000-0000D3070000}"/>
    <cellStyle name="20% - Accent1 7 2 3 2 2" xfId="3712" xr:uid="{00000000-0005-0000-0000-0000D4070000}"/>
    <cellStyle name="20% - Accent1 7 2 3 3" xfId="1193" xr:uid="{00000000-0005-0000-0000-0000D5070000}"/>
    <cellStyle name="20% - Accent1 7 2 4" xfId="6480" xr:uid="{00000000-0005-0000-0000-0000D6070000}"/>
    <cellStyle name="20% - Accent1 7 2 4 2" xfId="6485" xr:uid="{00000000-0005-0000-0000-0000D7070000}"/>
    <cellStyle name="20% - Accent1 7 2 5" xfId="27723" xr:uid="{00000000-0005-0000-0000-0000D8070000}"/>
    <cellStyle name="20% - Accent1 7 3" xfId="4867" xr:uid="{00000000-0005-0000-0000-0000D9070000}"/>
    <cellStyle name="20% - Accent1 7 3 2" xfId="5669" xr:uid="{00000000-0005-0000-0000-0000DA070000}"/>
    <cellStyle name="20% - Accent1 7 3 2 2" xfId="23955" xr:uid="{00000000-0005-0000-0000-0000DB070000}"/>
    <cellStyle name="20% - Accent1 7 3 2 2 2" xfId="25648" xr:uid="{00000000-0005-0000-0000-0000DC070000}"/>
    <cellStyle name="20% - Accent1 7 3 2 3" xfId="24593" xr:uid="{00000000-0005-0000-0000-0000DD070000}"/>
    <cellStyle name="20% - Accent1 7 3 3" xfId="3237" xr:uid="{00000000-0005-0000-0000-0000DE070000}"/>
    <cellStyle name="20% - Accent1 7 3 3 2" xfId="16588" xr:uid="{00000000-0005-0000-0000-0000DF070000}"/>
    <cellStyle name="20% - Accent1 7 3 4" xfId="6492" xr:uid="{00000000-0005-0000-0000-0000E0070000}"/>
    <cellStyle name="20% - Accent1 7 4" xfId="4835" xr:uid="{00000000-0005-0000-0000-0000E1070000}"/>
    <cellStyle name="20% - Accent1 7 4 2" xfId="4012" xr:uid="{00000000-0005-0000-0000-0000E2070000}"/>
    <cellStyle name="20% - Accent1 7 4 2 2" xfId="24991" xr:uid="{00000000-0005-0000-0000-0000E3070000}"/>
    <cellStyle name="20% - Accent1 7 4 3" xfId="3239" xr:uid="{00000000-0005-0000-0000-0000E4070000}"/>
    <cellStyle name="20% - Accent1 7 5" xfId="24017" xr:uid="{00000000-0005-0000-0000-0000E5070000}"/>
    <cellStyle name="20% - Accent1 7 5 2" xfId="24918" xr:uid="{00000000-0005-0000-0000-0000E6070000}"/>
    <cellStyle name="20% - Accent1 7 6" xfId="719" xr:uid="{00000000-0005-0000-0000-0000E7070000}"/>
    <cellStyle name="20% - Accent1 8" xfId="2922" xr:uid="{00000000-0005-0000-0000-0000E8070000}"/>
    <cellStyle name="20% - Accent1 8 2" xfId="10015" xr:uid="{00000000-0005-0000-0000-0000E9070000}"/>
    <cellStyle name="20% - Accent1 8 2 2" xfId="12736" xr:uid="{00000000-0005-0000-0000-0000EA070000}"/>
    <cellStyle name="20% - Accent1 8 2 2 2" xfId="2214" xr:uid="{00000000-0005-0000-0000-0000EB070000}"/>
    <cellStyle name="20% - Accent1 8 2 2 2 2" xfId="2220" xr:uid="{00000000-0005-0000-0000-0000EC070000}"/>
    <cellStyle name="20% - Accent1 8 2 2 3" xfId="2227" xr:uid="{00000000-0005-0000-0000-0000ED070000}"/>
    <cellStyle name="20% - Accent1 8 2 3" xfId="7537" xr:uid="{00000000-0005-0000-0000-0000EE070000}"/>
    <cellStyle name="20% - Accent1 8 2 3 2" xfId="1356" xr:uid="{00000000-0005-0000-0000-0000EF070000}"/>
    <cellStyle name="20% - Accent1 8 2 4" xfId="4264" xr:uid="{00000000-0005-0000-0000-0000F0070000}"/>
    <cellStyle name="20% - Accent1 8 3" xfId="1429" xr:uid="{00000000-0005-0000-0000-0000F1070000}"/>
    <cellStyle name="20% - Accent1 8 3 2" xfId="14606" xr:uid="{00000000-0005-0000-0000-0000F2070000}"/>
    <cellStyle name="20% - Accent1 8 3 2 2" xfId="26824" xr:uid="{00000000-0005-0000-0000-0000F3070000}"/>
    <cellStyle name="20% - Accent1 8 3 3" xfId="6874" xr:uid="{00000000-0005-0000-0000-0000F4070000}"/>
    <cellStyle name="20% - Accent1 8 4" xfId="2586" xr:uid="{00000000-0005-0000-0000-0000F5070000}"/>
    <cellStyle name="20% - Accent1 8 4 2" xfId="371" xr:uid="{00000000-0005-0000-0000-0000F6070000}"/>
    <cellStyle name="20% - Accent1 8 5" xfId="950" xr:uid="{00000000-0005-0000-0000-0000F7070000}"/>
    <cellStyle name="20% - Accent1 9" xfId="3090" xr:uid="{00000000-0005-0000-0000-0000F8070000}"/>
    <cellStyle name="20% - Accent1 9 2" xfId="1562" xr:uid="{00000000-0005-0000-0000-0000F9070000}"/>
    <cellStyle name="20% - Accent1 9 2 2" xfId="8529" xr:uid="{00000000-0005-0000-0000-0000FA070000}"/>
    <cellStyle name="20% - Accent1 9 2 2 2" xfId="2025" xr:uid="{00000000-0005-0000-0000-0000FB070000}"/>
    <cellStyle name="20% - Accent1 9 2 3" xfId="18600" xr:uid="{00000000-0005-0000-0000-0000FC070000}"/>
    <cellStyle name="20% - Accent1 9 3" xfId="42" xr:uid="{00000000-0005-0000-0000-0000FD070000}"/>
    <cellStyle name="20% - Accent1 9 3 2" xfId="221" xr:uid="{00000000-0005-0000-0000-0000FE070000}"/>
    <cellStyle name="20% - Accent1 9 4" xfId="426" xr:uid="{00000000-0005-0000-0000-0000FF070000}"/>
    <cellStyle name="20% - Accent2 10" xfId="7004" xr:uid="{00000000-0005-0000-0000-000000080000}"/>
    <cellStyle name="20% - Accent2 10 2" xfId="5789" xr:uid="{00000000-0005-0000-0000-000001080000}"/>
    <cellStyle name="20% - Accent2 10 2 2" xfId="8919" xr:uid="{00000000-0005-0000-0000-000002080000}"/>
    <cellStyle name="20% - Accent2 10 3" xfId="8922" xr:uid="{00000000-0005-0000-0000-000003080000}"/>
    <cellStyle name="20% - Accent2 11" xfId="7749" xr:uid="{00000000-0005-0000-0000-000004080000}"/>
    <cellStyle name="20% - Accent2 11 2" xfId="7758" xr:uid="{00000000-0005-0000-0000-000005080000}"/>
    <cellStyle name="20% - Accent2 12" xfId="3724" xr:uid="{00000000-0005-0000-0000-000006080000}"/>
    <cellStyle name="20% - Accent2 13" xfId="3245" xr:uid="{00000000-0005-0000-0000-000007080000}"/>
    <cellStyle name="20% - Accent2 2" xfId="17297" xr:uid="{00000000-0005-0000-0000-000008080000}"/>
    <cellStyle name="20% - Accent2 2 10" xfId="33153" xr:uid="{00000000-0005-0000-0000-000009080000}"/>
    <cellStyle name="20% - Accent2 2 10 2" xfId="1824" xr:uid="{00000000-0005-0000-0000-00000A080000}"/>
    <cellStyle name="20% - Accent2 2 11" xfId="27838" xr:uid="{00000000-0005-0000-0000-00000B080000}"/>
    <cellStyle name="20% - Accent2 2 2" xfId="7360" xr:uid="{00000000-0005-0000-0000-00000C080000}"/>
    <cellStyle name="20% - Accent2 2 2 10" xfId="349" xr:uid="{00000000-0005-0000-0000-00000D080000}"/>
    <cellStyle name="20% - Accent2 2 2 2" xfId="554" xr:uid="{00000000-0005-0000-0000-00000E080000}"/>
    <cellStyle name="20% - Accent2 2 2 2 2" xfId="3250" xr:uid="{00000000-0005-0000-0000-00000F080000}"/>
    <cellStyle name="20% - Accent2 2 2 2 2 2" xfId="7175" xr:uid="{00000000-0005-0000-0000-000010080000}"/>
    <cellStyle name="20% - Accent2 2 2 2 2 2 2" xfId="3269" xr:uid="{00000000-0005-0000-0000-000011080000}"/>
    <cellStyle name="20% - Accent2 2 2 2 2 2 2 2" xfId="23143" xr:uid="{00000000-0005-0000-0000-000012080000}"/>
    <cellStyle name="20% - Accent2 2 2 2 2 2 2 2 2" xfId="7431" xr:uid="{00000000-0005-0000-0000-000013080000}"/>
    <cellStyle name="20% - Accent2 2 2 2 2 2 2 2 2 2" xfId="16636" xr:uid="{00000000-0005-0000-0000-000014080000}"/>
    <cellStyle name="20% - Accent2 2 2 2 2 2 2 2 2 2 2" xfId="8456" xr:uid="{00000000-0005-0000-0000-000015080000}"/>
    <cellStyle name="20% - Accent2 2 2 2 2 2 2 2 2 2 2 2" xfId="2094" xr:uid="{00000000-0005-0000-0000-000016080000}"/>
    <cellStyle name="20% - Accent2 2 2 2 2 2 2 2 2 2 3" xfId="3419" xr:uid="{00000000-0005-0000-0000-000017080000}"/>
    <cellStyle name="20% - Accent2 2 2 2 2 2 2 2 2 3" xfId="12760" xr:uid="{00000000-0005-0000-0000-000018080000}"/>
    <cellStyle name="20% - Accent2 2 2 2 2 2 2 2 2 3 2" xfId="4513" xr:uid="{00000000-0005-0000-0000-000019080000}"/>
    <cellStyle name="20% - Accent2 2 2 2 2 2 2 2 2 4" xfId="5418" xr:uid="{00000000-0005-0000-0000-00001A080000}"/>
    <cellStyle name="20% - Accent2 2 2 2 2 2 2 2 3" xfId="4283" xr:uid="{00000000-0005-0000-0000-00001B080000}"/>
    <cellStyle name="20% - Accent2 2 2 2 2 2 2 2 3 2" xfId="12768" xr:uid="{00000000-0005-0000-0000-00001C080000}"/>
    <cellStyle name="20% - Accent2 2 2 2 2 2 2 2 3 2 2" xfId="3281" xr:uid="{00000000-0005-0000-0000-00001D080000}"/>
    <cellStyle name="20% - Accent2 2 2 2 2 2 2 2 3 3" xfId="5426" xr:uid="{00000000-0005-0000-0000-00001E080000}"/>
    <cellStyle name="20% - Accent2 2 2 2 2 2 2 2 4" xfId="4287" xr:uid="{00000000-0005-0000-0000-00001F080000}"/>
    <cellStyle name="20% - Accent2 2 2 2 2 2 2 2 4 2" xfId="3288" xr:uid="{00000000-0005-0000-0000-000020080000}"/>
    <cellStyle name="20% - Accent2 2 2 2 2 2 2 2 5" xfId="26652" xr:uid="{00000000-0005-0000-0000-000021080000}"/>
    <cellStyle name="20% - Accent2 2 2 2 2 2 2 3" xfId="18641" xr:uid="{00000000-0005-0000-0000-000022080000}"/>
    <cellStyle name="20% - Accent2 2 2 2 2 2 2 3 2" xfId="762" xr:uid="{00000000-0005-0000-0000-000023080000}"/>
    <cellStyle name="20% - Accent2 2 2 2 2 2 2 3 2 2" xfId="12790" xr:uid="{00000000-0005-0000-0000-000024080000}"/>
    <cellStyle name="20% - Accent2 2 2 2 2 2 2 3 2 2 2" xfId="7330" xr:uid="{00000000-0005-0000-0000-000025080000}"/>
    <cellStyle name="20% - Accent2 2 2 2 2 2 2 3 2 3" xfId="5500" xr:uid="{00000000-0005-0000-0000-000026080000}"/>
    <cellStyle name="20% - Accent2 2 2 2 2 2 2 3 3" xfId="1763" xr:uid="{00000000-0005-0000-0000-000027080000}"/>
    <cellStyle name="20% - Accent2 2 2 2 2 2 2 3 3 2" xfId="3312" xr:uid="{00000000-0005-0000-0000-000028080000}"/>
    <cellStyle name="20% - Accent2 2 2 2 2 2 2 3 4" xfId="6433" xr:uid="{00000000-0005-0000-0000-000029080000}"/>
    <cellStyle name="20% - Accent2 2 2 2 2 2 2 4" xfId="18655" xr:uid="{00000000-0005-0000-0000-00002A080000}"/>
    <cellStyle name="20% - Accent2 2 2 2 2 2 2 4 2" xfId="568" xr:uid="{00000000-0005-0000-0000-00002B080000}"/>
    <cellStyle name="20% - Accent2 2 2 2 2 2 2 4 2 2" xfId="3319" xr:uid="{00000000-0005-0000-0000-00002C080000}"/>
    <cellStyle name="20% - Accent2 2 2 2 2 2 2 4 3" xfId="6446" xr:uid="{00000000-0005-0000-0000-00002D080000}"/>
    <cellStyle name="20% - Accent2 2 2 2 2 2 2 5" xfId="18660" xr:uid="{00000000-0005-0000-0000-00002E080000}"/>
    <cellStyle name="20% - Accent2 2 2 2 2 2 2 5 2" xfId="22714" xr:uid="{00000000-0005-0000-0000-00002F080000}"/>
    <cellStyle name="20% - Accent2 2 2 2 2 2 2 6" xfId="9173" xr:uid="{00000000-0005-0000-0000-000030080000}"/>
    <cellStyle name="20% - Accent2 2 2 2 2 2 3" xfId="2870" xr:uid="{00000000-0005-0000-0000-000031080000}"/>
    <cellStyle name="20% - Accent2 2 2 2 2 2 3 2" xfId="18667" xr:uid="{00000000-0005-0000-0000-000032080000}"/>
    <cellStyle name="20% - Accent2 2 2 2 2 2 3 2 2" xfId="10339" xr:uid="{00000000-0005-0000-0000-000033080000}"/>
    <cellStyle name="20% - Accent2 2 2 2 2 2 3 2 2 2" xfId="7203" xr:uid="{00000000-0005-0000-0000-000034080000}"/>
    <cellStyle name="20% - Accent2 2 2 2 2 2 3 2 2 2 2" xfId="8193" xr:uid="{00000000-0005-0000-0000-000035080000}"/>
    <cellStyle name="20% - Accent2 2 2 2 2 2 3 2 2 3" xfId="5707" xr:uid="{00000000-0005-0000-0000-000036080000}"/>
    <cellStyle name="20% - Accent2 2 2 2 2 2 3 2 3" xfId="3264" xr:uid="{00000000-0005-0000-0000-000037080000}"/>
    <cellStyle name="20% - Accent2 2 2 2 2 2 3 2 3 2" xfId="11499" xr:uid="{00000000-0005-0000-0000-000038080000}"/>
    <cellStyle name="20% - Accent2 2 2 2 2 2 3 2 4" xfId="6528" xr:uid="{00000000-0005-0000-0000-000039080000}"/>
    <cellStyle name="20% - Accent2 2 2 2 2 2 3 3" xfId="18670" xr:uid="{00000000-0005-0000-0000-00003A080000}"/>
    <cellStyle name="20% - Accent2 2 2 2 2 2 3 3 2" xfId="612" xr:uid="{00000000-0005-0000-0000-00003B080000}"/>
    <cellStyle name="20% - Accent2 2 2 2 2 2 3 3 2 2" xfId="3350" xr:uid="{00000000-0005-0000-0000-00003C080000}"/>
    <cellStyle name="20% - Accent2 2 2 2 2 2 3 3 3" xfId="3548" xr:uid="{00000000-0005-0000-0000-00003D080000}"/>
    <cellStyle name="20% - Accent2 2 2 2 2 2 3 4" xfId="18673" xr:uid="{00000000-0005-0000-0000-00003E080000}"/>
    <cellStyle name="20% - Accent2 2 2 2 2 2 3 4 2" xfId="19838" xr:uid="{00000000-0005-0000-0000-00003F080000}"/>
    <cellStyle name="20% - Accent2 2 2 2 2 2 3 5" xfId="19005" xr:uid="{00000000-0005-0000-0000-000040080000}"/>
    <cellStyle name="20% - Accent2 2 2 2 2 2 4" xfId="2885" xr:uid="{00000000-0005-0000-0000-000041080000}"/>
    <cellStyle name="20% - Accent2 2 2 2 2 2 4 2" xfId="18680" xr:uid="{00000000-0005-0000-0000-000042080000}"/>
    <cellStyle name="20% - Accent2 2 2 2 2 2 4 2 2" xfId="15231" xr:uid="{00000000-0005-0000-0000-000043080000}"/>
    <cellStyle name="20% - Accent2 2 2 2 2 2 4 2 2 2" xfId="15668" xr:uid="{00000000-0005-0000-0000-000044080000}"/>
    <cellStyle name="20% - Accent2 2 2 2 2 2 4 2 3" xfId="26102" xr:uid="{00000000-0005-0000-0000-000045080000}"/>
    <cellStyle name="20% - Accent2 2 2 2 2 2 4 3" xfId="17933" xr:uid="{00000000-0005-0000-0000-000046080000}"/>
    <cellStyle name="20% - Accent2 2 2 2 2 2 4 3 2" xfId="15243" xr:uid="{00000000-0005-0000-0000-000047080000}"/>
    <cellStyle name="20% - Accent2 2 2 2 2 2 4 4" xfId="6410" xr:uid="{00000000-0005-0000-0000-000048080000}"/>
    <cellStyle name="20% - Accent2 2 2 2 2 2 5" xfId="27337" xr:uid="{00000000-0005-0000-0000-000049080000}"/>
    <cellStyle name="20% - Accent2 2 2 2 2 2 5 2" xfId="18684" xr:uid="{00000000-0005-0000-0000-00004A080000}"/>
    <cellStyle name="20% - Accent2 2 2 2 2 2 5 2 2" xfId="15277" xr:uid="{00000000-0005-0000-0000-00004B080000}"/>
    <cellStyle name="20% - Accent2 2 2 2 2 2 5 3" xfId="963" xr:uid="{00000000-0005-0000-0000-00004C080000}"/>
    <cellStyle name="20% - Accent2 2 2 2 2 2 6" xfId="2708" xr:uid="{00000000-0005-0000-0000-00004D080000}"/>
    <cellStyle name="20% - Accent2 2 2 2 2 2 6 2" xfId="2457" xr:uid="{00000000-0005-0000-0000-00004E080000}"/>
    <cellStyle name="20% - Accent2 2 2 2 2 2 7" xfId="4383" xr:uid="{00000000-0005-0000-0000-00004F080000}"/>
    <cellStyle name="20% - Accent2 2 2 2 2 3" xfId="6582" xr:uid="{00000000-0005-0000-0000-000050080000}"/>
    <cellStyle name="20% - Accent2 2 2 2 2 3 2" xfId="3369" xr:uid="{00000000-0005-0000-0000-000051080000}"/>
    <cellStyle name="20% - Accent2 2 2 2 2 3 2 2" xfId="18697" xr:uid="{00000000-0005-0000-0000-000052080000}"/>
    <cellStyle name="20% - Accent2 2 2 2 2 3 2 2 2" xfId="905" xr:uid="{00000000-0005-0000-0000-000053080000}"/>
    <cellStyle name="20% - Accent2 2 2 2 2 3 2 2 2 2" xfId="12963" xr:uid="{00000000-0005-0000-0000-000054080000}"/>
    <cellStyle name="20% - Accent2 2 2 2 2 3 2 2 2 2 2" xfId="8570" xr:uid="{00000000-0005-0000-0000-000055080000}"/>
    <cellStyle name="20% - Accent2 2 2 2 2 3 2 2 2 3" xfId="6643" xr:uid="{00000000-0005-0000-0000-000056080000}"/>
    <cellStyle name="20% - Accent2 2 2 2 2 3 2 2 3" xfId="13527" xr:uid="{00000000-0005-0000-0000-000057080000}"/>
    <cellStyle name="20% - Accent2 2 2 2 2 3 2 2 3 2" xfId="4998" xr:uid="{00000000-0005-0000-0000-000058080000}"/>
    <cellStyle name="20% - Accent2 2 2 2 2 3 2 2 4" xfId="14336" xr:uid="{00000000-0005-0000-0000-000059080000}"/>
    <cellStyle name="20% - Accent2 2 2 2 2 3 2 3" xfId="8732" xr:uid="{00000000-0005-0000-0000-00005A080000}"/>
    <cellStyle name="20% - Accent2 2 2 2 2 3 2 3 2" xfId="919" xr:uid="{00000000-0005-0000-0000-00005B080000}"/>
    <cellStyle name="20% - Accent2 2 2 2 2 3 2 3 2 2" xfId="6698" xr:uid="{00000000-0005-0000-0000-00005C080000}"/>
    <cellStyle name="20% - Accent2 2 2 2 2 3 2 3 3" xfId="13535" xr:uid="{00000000-0005-0000-0000-00005D080000}"/>
    <cellStyle name="20% - Accent2 2 2 2 2 3 2 4" xfId="5293" xr:uid="{00000000-0005-0000-0000-00005E080000}"/>
    <cellStyle name="20% - Accent2 2 2 2 2 3 2 4 2" xfId="926" xr:uid="{00000000-0005-0000-0000-00005F080000}"/>
    <cellStyle name="20% - Accent2 2 2 2 2 3 2 5" xfId="5299" xr:uid="{00000000-0005-0000-0000-000060080000}"/>
    <cellStyle name="20% - Accent2 2 2 2 2 3 3" xfId="2909" xr:uid="{00000000-0005-0000-0000-000061080000}"/>
    <cellStyle name="20% - Accent2 2 2 2 2 3 3 2" xfId="18712" xr:uid="{00000000-0005-0000-0000-000062080000}"/>
    <cellStyle name="20% - Accent2 2 2 2 2 3 3 2 2" xfId="941" xr:uid="{00000000-0005-0000-0000-000063080000}"/>
    <cellStyle name="20% - Accent2 2 2 2 2 3 3 2 2 2" xfId="3705" xr:uid="{00000000-0005-0000-0000-000064080000}"/>
    <cellStyle name="20% - Accent2 2 2 2 2 3 3 2 3" xfId="4733" xr:uid="{00000000-0005-0000-0000-000065080000}"/>
    <cellStyle name="20% - Accent2 2 2 2 2 3 3 3" xfId="18718" xr:uid="{00000000-0005-0000-0000-000066080000}"/>
    <cellStyle name="20% - Accent2 2 2 2 2 3 3 3 2" xfId="194" xr:uid="{00000000-0005-0000-0000-000067080000}"/>
    <cellStyle name="20% - Accent2 2 2 2 2 3 3 4" xfId="5307" xr:uid="{00000000-0005-0000-0000-000068080000}"/>
    <cellStyle name="20% - Accent2 2 2 2 2 3 4" xfId="936" xr:uid="{00000000-0005-0000-0000-000069080000}"/>
    <cellStyle name="20% - Accent2 2 2 2 2 3 4 2" xfId="3380" xr:uid="{00000000-0005-0000-0000-00006A080000}"/>
    <cellStyle name="20% - Accent2 2 2 2 2 3 4 2 2" xfId="9699" xr:uid="{00000000-0005-0000-0000-00006B080000}"/>
    <cellStyle name="20% - Accent2 2 2 2 2 3 4 3" xfId="3475" xr:uid="{00000000-0005-0000-0000-00006C080000}"/>
    <cellStyle name="20% - Accent2 2 2 2 2 3 5" xfId="2918" xr:uid="{00000000-0005-0000-0000-00006D080000}"/>
    <cellStyle name="20% - Accent2 2 2 2 2 3 5 2" xfId="1925" xr:uid="{00000000-0005-0000-0000-00006E080000}"/>
    <cellStyle name="20% - Accent2 2 2 2 2 3 6" xfId="3442" xr:uid="{00000000-0005-0000-0000-00006F080000}"/>
    <cellStyle name="20% - Accent2 2 2 2 2 4" xfId="3384" xr:uid="{00000000-0005-0000-0000-000070080000}"/>
    <cellStyle name="20% - Accent2 2 2 2 2 4 2" xfId="4843" xr:uid="{00000000-0005-0000-0000-000071080000}"/>
    <cellStyle name="20% - Accent2 2 2 2 2 4 2 2" xfId="18734" xr:uid="{00000000-0005-0000-0000-000072080000}"/>
    <cellStyle name="20% - Accent2 2 2 2 2 4 2 2 2" xfId="3417" xr:uid="{00000000-0005-0000-0000-000073080000}"/>
    <cellStyle name="20% - Accent2 2 2 2 2 4 2 2 2 2" xfId="5000" xr:uid="{00000000-0005-0000-0000-000074080000}"/>
    <cellStyle name="20% - Accent2 2 2 2 2 4 2 2 3" xfId="13627" xr:uid="{00000000-0005-0000-0000-000075080000}"/>
    <cellStyle name="20% - Accent2 2 2 2 2 4 2 3" xfId="18737" xr:uid="{00000000-0005-0000-0000-000076080000}"/>
    <cellStyle name="20% - Accent2 2 2 2 2 4 2 3 2" xfId="97" xr:uid="{00000000-0005-0000-0000-000077080000}"/>
    <cellStyle name="20% - Accent2 2 2 2 2 4 2 4" xfId="9573" xr:uid="{00000000-0005-0000-0000-000078080000}"/>
    <cellStyle name="20% - Accent2 2 2 2 2 4 3" xfId="7113" xr:uid="{00000000-0005-0000-0000-000079080000}"/>
    <cellStyle name="20% - Accent2 2 2 2 2 4 3 2" xfId="24047" xr:uid="{00000000-0005-0000-0000-00007A080000}"/>
    <cellStyle name="20% - Accent2 2 2 2 2 4 3 2 2" xfId="3405" xr:uid="{00000000-0005-0000-0000-00007B080000}"/>
    <cellStyle name="20% - Accent2 2 2 2 2 4 3 3" xfId="3406" xr:uid="{00000000-0005-0000-0000-00007C080000}"/>
    <cellStyle name="20% - Accent2 2 2 2 2 4 4" xfId="20097" xr:uid="{00000000-0005-0000-0000-00007D080000}"/>
    <cellStyle name="20% - Accent2 2 2 2 2 4 4 2" xfId="6152" xr:uid="{00000000-0005-0000-0000-00007E080000}"/>
    <cellStyle name="20% - Accent2 2 2 2 2 4 5" xfId="20102" xr:uid="{00000000-0005-0000-0000-00007F080000}"/>
    <cellStyle name="20% - Accent2 2 2 2 2 5" xfId="17234" xr:uid="{00000000-0005-0000-0000-000080080000}"/>
    <cellStyle name="20% - Accent2 2 2 2 2 5 2" xfId="19527" xr:uid="{00000000-0005-0000-0000-000081080000}"/>
    <cellStyle name="20% - Accent2 2 2 2 2 5 2 2" xfId="13131" xr:uid="{00000000-0005-0000-0000-000082080000}"/>
    <cellStyle name="20% - Accent2 2 2 2 2 5 2 2 2" xfId="16226" xr:uid="{00000000-0005-0000-0000-000083080000}"/>
    <cellStyle name="20% - Accent2 2 2 2 2 5 2 3" xfId="14966" xr:uid="{00000000-0005-0000-0000-000084080000}"/>
    <cellStyle name="20% - Accent2 2 2 2 2 5 3" xfId="20106" xr:uid="{00000000-0005-0000-0000-000085080000}"/>
    <cellStyle name="20% - Accent2 2 2 2 2 5 3 2" xfId="28765" xr:uid="{00000000-0005-0000-0000-000086080000}"/>
    <cellStyle name="20% - Accent2 2 2 2 2 5 4" xfId="20113" xr:uid="{00000000-0005-0000-0000-000087080000}"/>
    <cellStyle name="20% - Accent2 2 2 2 2 6" xfId="8904" xr:uid="{00000000-0005-0000-0000-000088080000}"/>
    <cellStyle name="20% - Accent2 2 2 2 2 6 2" xfId="31990" xr:uid="{00000000-0005-0000-0000-000089080000}"/>
    <cellStyle name="20% - Accent2 2 2 2 2 6 2 2" xfId="8485" xr:uid="{00000000-0005-0000-0000-00008A080000}"/>
    <cellStyle name="20% - Accent2 2 2 2 2 6 3" xfId="20118" xr:uid="{00000000-0005-0000-0000-00008B080000}"/>
    <cellStyle name="20% - Accent2 2 2 2 2 7" xfId="12717" xr:uid="{00000000-0005-0000-0000-00008C080000}"/>
    <cellStyle name="20% - Accent2 2 2 2 2 7 2" xfId="5269" xr:uid="{00000000-0005-0000-0000-00008D080000}"/>
    <cellStyle name="20% - Accent2 2 2 2 2 8" xfId="14359" xr:uid="{00000000-0005-0000-0000-00008E080000}"/>
    <cellStyle name="20% - Accent2 2 2 2 3" xfId="461" xr:uid="{00000000-0005-0000-0000-00008F080000}"/>
    <cellStyle name="20% - Accent2 2 2 2 3 2" xfId="12664" xr:uid="{00000000-0005-0000-0000-000090080000}"/>
    <cellStyle name="20% - Accent2 2 2 2 3 2 2" xfId="3425" xr:uid="{00000000-0005-0000-0000-000091080000}"/>
    <cellStyle name="20% - Accent2 2 2 2 3 2 2 2" xfId="3433" xr:uid="{00000000-0005-0000-0000-000092080000}"/>
    <cellStyle name="20% - Accent2 2 2 2 3 2 2 2 2" xfId="3013" xr:uid="{00000000-0005-0000-0000-000093080000}"/>
    <cellStyle name="20% - Accent2 2 2 2 3 2 2 2 2 2" xfId="14796" xr:uid="{00000000-0005-0000-0000-000094080000}"/>
    <cellStyle name="20% - Accent2 2 2 2 3 2 2 2 2 2 2" xfId="25209" xr:uid="{00000000-0005-0000-0000-000095080000}"/>
    <cellStyle name="20% - Accent2 2 2 2 3 2 2 2 2 3" xfId="14819" xr:uid="{00000000-0005-0000-0000-000096080000}"/>
    <cellStyle name="20% - Accent2 2 2 2 3 2 2 2 3" xfId="4740" xr:uid="{00000000-0005-0000-0000-000097080000}"/>
    <cellStyle name="20% - Accent2 2 2 2 3 2 2 2 3 2" xfId="9579" xr:uid="{00000000-0005-0000-0000-000098080000}"/>
    <cellStyle name="20% - Accent2 2 2 2 3 2 2 2 4" xfId="198" xr:uid="{00000000-0005-0000-0000-000099080000}"/>
    <cellStyle name="20% - Accent2 2 2 2 3 2 2 3" xfId="8465" xr:uid="{00000000-0005-0000-0000-00009A080000}"/>
    <cellStyle name="20% - Accent2 2 2 2 3 2 2 3 2" xfId="7246" xr:uid="{00000000-0005-0000-0000-00009B080000}"/>
    <cellStyle name="20% - Accent2 2 2 2 3 2 2 3 2 2" xfId="14928" xr:uid="{00000000-0005-0000-0000-00009C080000}"/>
    <cellStyle name="20% - Accent2 2 2 2 3 2 2 3 3" xfId="1147" xr:uid="{00000000-0005-0000-0000-00009D080000}"/>
    <cellStyle name="20% - Accent2 2 2 2 3 2 2 4" xfId="4990" xr:uid="{00000000-0005-0000-0000-00009E080000}"/>
    <cellStyle name="20% - Accent2 2 2 2 3 2 2 4 2" xfId="31690" xr:uid="{00000000-0005-0000-0000-00009F080000}"/>
    <cellStyle name="20% - Accent2 2 2 2 3 2 2 5" xfId="10167" xr:uid="{00000000-0005-0000-0000-0000A0080000}"/>
    <cellStyle name="20% - Accent2 2 2 2 3 2 3" xfId="2971" xr:uid="{00000000-0005-0000-0000-0000A1080000}"/>
    <cellStyle name="20% - Accent2 2 2 2 3 2 3 2" xfId="3438" xr:uid="{00000000-0005-0000-0000-0000A2080000}"/>
    <cellStyle name="20% - Accent2 2 2 2 3 2 3 2 2" xfId="2709" xr:uid="{00000000-0005-0000-0000-0000A3080000}"/>
    <cellStyle name="20% - Accent2 2 2 2 3 2 3 2 2 2" xfId="15236" xr:uid="{00000000-0005-0000-0000-0000A4080000}"/>
    <cellStyle name="20% - Accent2 2 2 2 3 2 3 2 3" xfId="4382" xr:uid="{00000000-0005-0000-0000-0000A5080000}"/>
    <cellStyle name="20% - Accent2 2 2 2 3 2 3 3" xfId="9872" xr:uid="{00000000-0005-0000-0000-0000A6080000}"/>
    <cellStyle name="20% - Accent2 2 2 2 3 2 3 3 2" xfId="3441" xr:uid="{00000000-0005-0000-0000-0000A7080000}"/>
    <cellStyle name="20% - Accent2 2 2 2 3 2 3 4" xfId="9875" xr:uid="{00000000-0005-0000-0000-0000A8080000}"/>
    <cellStyle name="20% - Accent2 2 2 2 3 2 4" xfId="2983" xr:uid="{00000000-0005-0000-0000-0000A9080000}"/>
    <cellStyle name="20% - Accent2 2 2 2 3 2 4 2" xfId="6676" xr:uid="{00000000-0005-0000-0000-0000AA080000}"/>
    <cellStyle name="20% - Accent2 2 2 2 3 2 4 2 2" xfId="15924" xr:uid="{00000000-0005-0000-0000-0000AB080000}"/>
    <cellStyle name="20% - Accent2 2 2 2 3 2 4 3" xfId="20239" xr:uid="{00000000-0005-0000-0000-0000AC080000}"/>
    <cellStyle name="20% - Accent2 2 2 2 3 2 5" xfId="2990" xr:uid="{00000000-0005-0000-0000-0000AD080000}"/>
    <cellStyle name="20% - Accent2 2 2 2 3 2 5 2" xfId="2365" xr:uid="{00000000-0005-0000-0000-0000AE080000}"/>
    <cellStyle name="20% - Accent2 2 2 2 3 2 6" xfId="15922" xr:uid="{00000000-0005-0000-0000-0000AF080000}"/>
    <cellStyle name="20% - Accent2 2 2 2 3 3" xfId="2247" xr:uid="{00000000-0005-0000-0000-0000B0080000}"/>
    <cellStyle name="20% - Accent2 2 2 2 3 3 2" xfId="2251" xr:uid="{00000000-0005-0000-0000-0000B1080000}"/>
    <cellStyle name="20% - Accent2 2 2 2 3 3 2 2" xfId="2423" xr:uid="{00000000-0005-0000-0000-0000B2080000}"/>
    <cellStyle name="20% - Accent2 2 2 2 3 3 2 2 2" xfId="1488" xr:uid="{00000000-0005-0000-0000-0000B3080000}"/>
    <cellStyle name="20% - Accent2 2 2 2 3 3 2 2 2 2" xfId="9921" xr:uid="{00000000-0005-0000-0000-0000B4080000}"/>
    <cellStyle name="20% - Accent2 2 2 2 3 3 2 2 3" xfId="13727" xr:uid="{00000000-0005-0000-0000-0000B5080000}"/>
    <cellStyle name="20% - Accent2 2 2 2 3 3 2 3" xfId="9892" xr:uid="{00000000-0005-0000-0000-0000B6080000}"/>
    <cellStyle name="20% - Accent2 2 2 2 3 3 2 3 2" xfId="84" xr:uid="{00000000-0005-0000-0000-0000B7080000}"/>
    <cellStyle name="20% - Accent2 2 2 2 3 3 2 4" xfId="12201" xr:uid="{00000000-0005-0000-0000-0000B8080000}"/>
    <cellStyle name="20% - Accent2 2 2 2 3 3 3" xfId="7731" xr:uid="{00000000-0005-0000-0000-0000B9080000}"/>
    <cellStyle name="20% - Accent2 2 2 2 3 3 3 2" xfId="4429" xr:uid="{00000000-0005-0000-0000-0000BA080000}"/>
    <cellStyle name="20% - Accent2 2 2 2 3 3 3 2 2" xfId="3450" xr:uid="{00000000-0005-0000-0000-0000BB080000}"/>
    <cellStyle name="20% - Accent2 2 2 2 3 3 3 3" xfId="24575" xr:uid="{00000000-0005-0000-0000-0000BC080000}"/>
    <cellStyle name="20% - Accent2 2 2 2 3 3 4" xfId="7735" xr:uid="{00000000-0005-0000-0000-0000BD080000}"/>
    <cellStyle name="20% - Accent2 2 2 2 3 3 4 2" xfId="3454" xr:uid="{00000000-0005-0000-0000-0000BE080000}"/>
    <cellStyle name="20% - Accent2 2 2 2 3 3 5" xfId="5838" xr:uid="{00000000-0005-0000-0000-0000BF080000}"/>
    <cellStyle name="20% - Accent2 2 2 2 3 4" xfId="11965" xr:uid="{00000000-0005-0000-0000-0000C0080000}"/>
    <cellStyle name="20% - Accent2 2 2 2 3 4 2" xfId="4942" xr:uid="{00000000-0005-0000-0000-0000C1080000}"/>
    <cellStyle name="20% - Accent2 2 2 2 3 4 2 2" xfId="9737" xr:uid="{00000000-0005-0000-0000-0000C2080000}"/>
    <cellStyle name="20% - Accent2 2 2 2 3 4 2 2 2" xfId="1540" xr:uid="{00000000-0005-0000-0000-0000C3080000}"/>
    <cellStyle name="20% - Accent2 2 2 2 3 4 2 3" xfId="9903" xr:uid="{00000000-0005-0000-0000-0000C4080000}"/>
    <cellStyle name="20% - Accent2 2 2 2 3 4 3" xfId="20124" xr:uid="{00000000-0005-0000-0000-0000C5080000}"/>
    <cellStyle name="20% - Accent2 2 2 2 3 4 3 2" xfId="1602" xr:uid="{00000000-0005-0000-0000-0000C6080000}"/>
    <cellStyle name="20% - Accent2 2 2 2 3 4 4" xfId="20133" xr:uid="{00000000-0005-0000-0000-0000C7080000}"/>
    <cellStyle name="20% - Accent2 2 2 2 3 5" xfId="5797" xr:uid="{00000000-0005-0000-0000-0000C8080000}"/>
    <cellStyle name="20% - Accent2 2 2 2 3 5 2" xfId="26509" xr:uid="{00000000-0005-0000-0000-0000C9080000}"/>
    <cellStyle name="20% - Accent2 2 2 2 3 5 2 2" xfId="9781" xr:uid="{00000000-0005-0000-0000-0000CA080000}"/>
    <cellStyle name="20% - Accent2 2 2 2 3 5 3" xfId="20142" xr:uid="{00000000-0005-0000-0000-0000CB080000}"/>
    <cellStyle name="20% - Accent2 2 2 2 3 6" xfId="12724" xr:uid="{00000000-0005-0000-0000-0000CC080000}"/>
    <cellStyle name="20% - Accent2 2 2 2 3 6 2" xfId="26514" xr:uid="{00000000-0005-0000-0000-0000CD080000}"/>
    <cellStyle name="20% - Accent2 2 2 2 3 7" xfId="14755" xr:uid="{00000000-0005-0000-0000-0000CE080000}"/>
    <cellStyle name="20% - Accent2 2 2 2 4" xfId="770" xr:uid="{00000000-0005-0000-0000-0000CF080000}"/>
    <cellStyle name="20% - Accent2 2 2 2 4 2" xfId="3458" xr:uid="{00000000-0005-0000-0000-0000D0080000}"/>
    <cellStyle name="20% - Accent2 2 2 2 4 2 2" xfId="1768" xr:uid="{00000000-0005-0000-0000-0000D1080000}"/>
    <cellStyle name="20% - Accent2 2 2 2 4 2 2 2" xfId="3462" xr:uid="{00000000-0005-0000-0000-0000D2080000}"/>
    <cellStyle name="20% - Accent2 2 2 2 4 2 2 2 2" xfId="2527" xr:uid="{00000000-0005-0000-0000-0000D3080000}"/>
    <cellStyle name="20% - Accent2 2 2 2 4 2 2 2 2 2" xfId="16983" xr:uid="{00000000-0005-0000-0000-0000D4080000}"/>
    <cellStyle name="20% - Accent2 2 2 2 4 2 2 2 3" xfId="22895" xr:uid="{00000000-0005-0000-0000-0000D5080000}"/>
    <cellStyle name="20% - Accent2 2 2 2 4 2 2 3" xfId="10380" xr:uid="{00000000-0005-0000-0000-0000D6080000}"/>
    <cellStyle name="20% - Accent2 2 2 2 4 2 2 3 2" xfId="3464" xr:uid="{00000000-0005-0000-0000-0000D7080000}"/>
    <cellStyle name="20% - Accent2 2 2 2 4 2 2 4" xfId="11146" xr:uid="{00000000-0005-0000-0000-0000D8080000}"/>
    <cellStyle name="20% - Accent2 2 2 2 4 2 3" xfId="8637" xr:uid="{00000000-0005-0000-0000-0000D9080000}"/>
    <cellStyle name="20% - Accent2 2 2 2 4 2 3 2" xfId="3479" xr:uid="{00000000-0005-0000-0000-0000DA080000}"/>
    <cellStyle name="20% - Accent2 2 2 2 4 2 3 2 2" xfId="3487" xr:uid="{00000000-0005-0000-0000-0000DB080000}"/>
    <cellStyle name="20% - Accent2 2 2 2 4 2 3 3" xfId="26549" xr:uid="{00000000-0005-0000-0000-0000DC080000}"/>
    <cellStyle name="20% - Accent2 2 2 2 4 2 4" xfId="4245" xr:uid="{00000000-0005-0000-0000-0000DD080000}"/>
    <cellStyle name="20% - Accent2 2 2 2 4 2 4 2" xfId="3498" xr:uid="{00000000-0005-0000-0000-0000DE080000}"/>
    <cellStyle name="20% - Accent2 2 2 2 4 2 5" xfId="3030" xr:uid="{00000000-0005-0000-0000-0000DF080000}"/>
    <cellStyle name="20% - Accent2 2 2 2 4 3" xfId="1591" xr:uid="{00000000-0005-0000-0000-0000E0080000}"/>
    <cellStyle name="20% - Accent2 2 2 2 4 3 2" xfId="9709" xr:uid="{00000000-0005-0000-0000-0000E1080000}"/>
    <cellStyle name="20% - Accent2 2 2 2 4 3 2 2" xfId="18050" xr:uid="{00000000-0005-0000-0000-0000E2080000}"/>
    <cellStyle name="20% - Accent2 2 2 2 4 3 2 2 2" xfId="224" xr:uid="{00000000-0005-0000-0000-0000E3080000}"/>
    <cellStyle name="20% - Accent2 2 2 2 4 3 2 3" xfId="29760" xr:uid="{00000000-0005-0000-0000-0000E4080000}"/>
    <cellStyle name="20% - Accent2 2 2 2 4 3 3" xfId="7754" xr:uid="{00000000-0005-0000-0000-0000E5080000}"/>
    <cellStyle name="20% - Accent2 2 2 2 4 3 3 2" xfId="6554" xr:uid="{00000000-0005-0000-0000-0000E6080000}"/>
    <cellStyle name="20% - Accent2 2 2 2 4 3 4" xfId="3048" xr:uid="{00000000-0005-0000-0000-0000E7080000}"/>
    <cellStyle name="20% - Accent2 2 2 2 4 4" xfId="4993" xr:uid="{00000000-0005-0000-0000-0000E8080000}"/>
    <cellStyle name="20% - Accent2 2 2 2 4 4 2" xfId="3517" xr:uid="{00000000-0005-0000-0000-0000E9080000}"/>
    <cellStyle name="20% - Accent2 2 2 2 4 4 2 2" xfId="4480" xr:uid="{00000000-0005-0000-0000-0000EA080000}"/>
    <cellStyle name="20% - Accent2 2 2 2 4 4 3" xfId="20152" xr:uid="{00000000-0005-0000-0000-0000EB080000}"/>
    <cellStyle name="20% - Accent2 2 2 2 4 5" xfId="12740" xr:uid="{00000000-0005-0000-0000-0000EC080000}"/>
    <cellStyle name="20% - Accent2 2 2 2 4 5 2" xfId="26517" xr:uid="{00000000-0005-0000-0000-0000ED080000}"/>
    <cellStyle name="20% - Accent2 2 2 2 4 6" xfId="12746" xr:uid="{00000000-0005-0000-0000-0000EE080000}"/>
    <cellStyle name="20% - Accent2 2 2 2 5" xfId="271" xr:uid="{00000000-0005-0000-0000-0000EF080000}"/>
    <cellStyle name="20% - Accent2 2 2 2 5 2" xfId="3531" xr:uid="{00000000-0005-0000-0000-0000F0080000}"/>
    <cellStyle name="20% - Accent2 2 2 2 5 2 2" xfId="3533" xr:uid="{00000000-0005-0000-0000-0000F1080000}"/>
    <cellStyle name="20% - Accent2 2 2 2 5 2 2 2" xfId="21050" xr:uid="{00000000-0005-0000-0000-0000F2080000}"/>
    <cellStyle name="20% - Accent2 2 2 2 5 2 2 2 2" xfId="3545" xr:uid="{00000000-0005-0000-0000-0000F3080000}"/>
    <cellStyle name="20% - Accent2 2 2 2 5 2 2 3" xfId="27420" xr:uid="{00000000-0005-0000-0000-0000F4080000}"/>
    <cellStyle name="20% - Accent2 2 2 2 5 2 3" xfId="4277" xr:uid="{00000000-0005-0000-0000-0000F5080000}"/>
    <cellStyle name="20% - Accent2 2 2 2 5 2 3 2" xfId="27476" xr:uid="{00000000-0005-0000-0000-0000F6080000}"/>
    <cellStyle name="20% - Accent2 2 2 2 5 2 4" xfId="3056" xr:uid="{00000000-0005-0000-0000-0000F7080000}"/>
    <cellStyle name="20% - Accent2 2 2 2 5 3" xfId="1593" xr:uid="{00000000-0005-0000-0000-0000F8080000}"/>
    <cellStyle name="20% - Accent2 2 2 2 5 3 2" xfId="3553" xr:uid="{00000000-0005-0000-0000-0000F9080000}"/>
    <cellStyle name="20% - Accent2 2 2 2 5 3 2 2" xfId="12587" xr:uid="{00000000-0005-0000-0000-0000FA080000}"/>
    <cellStyle name="20% - Accent2 2 2 2 5 3 3" xfId="3068" xr:uid="{00000000-0005-0000-0000-0000FB080000}"/>
    <cellStyle name="20% - Accent2 2 2 2 5 4" xfId="5003" xr:uid="{00000000-0005-0000-0000-0000FC080000}"/>
    <cellStyle name="20% - Accent2 2 2 2 5 4 2" xfId="5012" xr:uid="{00000000-0005-0000-0000-0000FD080000}"/>
    <cellStyle name="20% - Accent2 2 2 2 5 5" xfId="12752" xr:uid="{00000000-0005-0000-0000-0000FE080000}"/>
    <cellStyle name="20% - Accent2 2 2 2 6" xfId="3562" xr:uid="{00000000-0005-0000-0000-0000FF080000}"/>
    <cellStyle name="20% - Accent2 2 2 2 6 2" xfId="3566" xr:uid="{00000000-0005-0000-0000-000000090000}"/>
    <cellStyle name="20% - Accent2 2 2 2 6 2 2" xfId="3568" xr:uid="{00000000-0005-0000-0000-000001090000}"/>
    <cellStyle name="20% - Accent2 2 2 2 6 2 2 2" xfId="14682" xr:uid="{00000000-0005-0000-0000-000002090000}"/>
    <cellStyle name="20% - Accent2 2 2 2 6 2 3" xfId="7393" xr:uid="{00000000-0005-0000-0000-000003090000}"/>
    <cellStyle name="20% - Accent2 2 2 2 6 3" xfId="2548" xr:uid="{00000000-0005-0000-0000-000004090000}"/>
    <cellStyle name="20% - Accent2 2 2 2 6 3 2" xfId="3577" xr:uid="{00000000-0005-0000-0000-000005090000}"/>
    <cellStyle name="20% - Accent2 2 2 2 6 4" xfId="4044" xr:uid="{00000000-0005-0000-0000-000006090000}"/>
    <cellStyle name="20% - Accent2 2 2 2 7" xfId="3584" xr:uid="{00000000-0005-0000-0000-000007090000}"/>
    <cellStyle name="20% - Accent2 2 2 2 7 2" xfId="18904" xr:uid="{00000000-0005-0000-0000-000008090000}"/>
    <cellStyle name="20% - Accent2 2 2 2 7 2 2" xfId="1183" xr:uid="{00000000-0005-0000-0000-000009090000}"/>
    <cellStyle name="20% - Accent2 2 2 2 7 3" xfId="674" xr:uid="{00000000-0005-0000-0000-00000A090000}"/>
    <cellStyle name="20% - Accent2 2 2 2 8" xfId="7186" xr:uid="{00000000-0005-0000-0000-00000B090000}"/>
    <cellStyle name="20% - Accent2 2 2 2 8 2" xfId="3594" xr:uid="{00000000-0005-0000-0000-00000C090000}"/>
    <cellStyle name="20% - Accent2 2 2 2 9" xfId="3596" xr:uid="{00000000-0005-0000-0000-00000D090000}"/>
    <cellStyle name="20% - Accent2 2 2 3" xfId="4837" xr:uid="{00000000-0005-0000-0000-00000E090000}"/>
    <cellStyle name="20% - Accent2 2 2 3 2" xfId="3601" xr:uid="{00000000-0005-0000-0000-00000F090000}"/>
    <cellStyle name="20% - Accent2 2 2 3 2 2" xfId="3628" xr:uid="{00000000-0005-0000-0000-000010090000}"/>
    <cellStyle name="20% - Accent2 2 2 3 2 2 2" xfId="3629" xr:uid="{00000000-0005-0000-0000-000011090000}"/>
    <cellStyle name="20% - Accent2 2 2 3 2 2 2 2" xfId="6703" xr:uid="{00000000-0005-0000-0000-000012090000}"/>
    <cellStyle name="20% - Accent2 2 2 3 2 2 2 2 2" xfId="3631" xr:uid="{00000000-0005-0000-0000-000013090000}"/>
    <cellStyle name="20% - Accent2 2 2 3 2 2 2 2 2 2" xfId="17342" xr:uid="{00000000-0005-0000-0000-000014090000}"/>
    <cellStyle name="20% - Accent2 2 2 3 2 2 2 2 2 2 2" xfId="11162" xr:uid="{00000000-0005-0000-0000-000015090000}"/>
    <cellStyle name="20% - Accent2 2 2 3 2 2 2 2 2 3" xfId="4056" xr:uid="{00000000-0005-0000-0000-000016090000}"/>
    <cellStyle name="20% - Accent2 2 2 3 2 2 2 2 3" xfId="3126" xr:uid="{00000000-0005-0000-0000-000017090000}"/>
    <cellStyle name="20% - Accent2 2 2 3 2 2 2 2 3 2" xfId="3637" xr:uid="{00000000-0005-0000-0000-000018090000}"/>
    <cellStyle name="20% - Accent2 2 2 3 2 2 2 2 4" xfId="2411" xr:uid="{00000000-0005-0000-0000-000019090000}"/>
    <cellStyle name="20% - Accent2 2 2 3 2 2 2 3" xfId="21150" xr:uid="{00000000-0005-0000-0000-00001A090000}"/>
    <cellStyle name="20% - Accent2 2 2 3 2 2 2 3 2" xfId="3642" xr:uid="{00000000-0005-0000-0000-00001B090000}"/>
    <cellStyle name="20% - Accent2 2 2 3 2 2 2 3 2 2" xfId="3591" xr:uid="{00000000-0005-0000-0000-00001C090000}"/>
    <cellStyle name="20% - Accent2 2 2 3 2 2 2 3 3" xfId="1770" xr:uid="{00000000-0005-0000-0000-00001D090000}"/>
    <cellStyle name="20% - Accent2 2 2 3 2 2 2 4" xfId="21984" xr:uid="{00000000-0005-0000-0000-00001E090000}"/>
    <cellStyle name="20% - Accent2 2 2 3 2 2 2 4 2" xfId="8528" xr:uid="{00000000-0005-0000-0000-00001F090000}"/>
    <cellStyle name="20% - Accent2 2 2 3 2 2 2 5" xfId="427" xr:uid="{00000000-0005-0000-0000-000020090000}"/>
    <cellStyle name="20% - Accent2 2 2 3 2 2 3" xfId="3088" xr:uid="{00000000-0005-0000-0000-000021090000}"/>
    <cellStyle name="20% - Accent2 2 2 3 2 2 3 2" xfId="19042" xr:uid="{00000000-0005-0000-0000-000022090000}"/>
    <cellStyle name="20% - Accent2 2 2 3 2 2 3 2 2" xfId="13509" xr:uid="{00000000-0005-0000-0000-000023090000}"/>
    <cellStyle name="20% - Accent2 2 2 3 2 2 3 2 2 2" xfId="3666" xr:uid="{00000000-0005-0000-0000-000024090000}"/>
    <cellStyle name="20% - Accent2 2 2 3 2 2 3 2 3" xfId="13516" xr:uid="{00000000-0005-0000-0000-000025090000}"/>
    <cellStyle name="20% - Accent2 2 2 3 2 2 3 3" xfId="25960" xr:uid="{00000000-0005-0000-0000-000026090000}"/>
    <cellStyle name="20% - Accent2 2 2 3 2 2 3 3 2" xfId="13525" xr:uid="{00000000-0005-0000-0000-000027090000}"/>
    <cellStyle name="20% - Accent2 2 2 3 2 2 3 4" xfId="1487" xr:uid="{00000000-0005-0000-0000-000028090000}"/>
    <cellStyle name="20% - Accent2 2 2 3 2 2 4" xfId="1848" xr:uid="{00000000-0005-0000-0000-000029090000}"/>
    <cellStyle name="20% - Accent2 2 2 3 2 2 4 2" xfId="19048" xr:uid="{00000000-0005-0000-0000-00002A090000}"/>
    <cellStyle name="20% - Accent2 2 2 3 2 2 4 2 2" xfId="17339" xr:uid="{00000000-0005-0000-0000-00002B090000}"/>
    <cellStyle name="20% - Accent2 2 2 3 2 2 4 3" xfId="8980" xr:uid="{00000000-0005-0000-0000-00002C090000}"/>
    <cellStyle name="20% - Accent2 2 2 3 2 2 5" xfId="1976" xr:uid="{00000000-0005-0000-0000-00002D090000}"/>
    <cellStyle name="20% - Accent2 2 2 3 2 2 5 2" xfId="8987" xr:uid="{00000000-0005-0000-0000-00002E090000}"/>
    <cellStyle name="20% - Accent2 2 2 3 2 2 6" xfId="3451" xr:uid="{00000000-0005-0000-0000-00002F090000}"/>
    <cellStyle name="20% - Accent2 2 2 3 2 3" xfId="306" xr:uid="{00000000-0005-0000-0000-000030090000}"/>
    <cellStyle name="20% - Accent2 2 2 3 2 3 2" xfId="3680" xr:uid="{00000000-0005-0000-0000-000031090000}"/>
    <cellStyle name="20% - Accent2 2 2 3 2 3 2 2" xfId="22722" xr:uid="{00000000-0005-0000-0000-000032090000}"/>
    <cellStyle name="20% - Accent2 2 2 3 2 3 2 2 2" xfId="3392" xr:uid="{00000000-0005-0000-0000-000033090000}"/>
    <cellStyle name="20% - Accent2 2 2 3 2 3 2 2 2 2" xfId="5350" xr:uid="{00000000-0005-0000-0000-000034090000}"/>
    <cellStyle name="20% - Accent2 2 2 3 2 3 2 2 3" xfId="26862" xr:uid="{00000000-0005-0000-0000-000035090000}"/>
    <cellStyle name="20% - Accent2 2 2 3 2 3 2 3" xfId="20675" xr:uid="{00000000-0005-0000-0000-000036090000}"/>
    <cellStyle name="20% - Accent2 2 2 3 2 3 2 3 2" xfId="415" xr:uid="{00000000-0005-0000-0000-000037090000}"/>
    <cellStyle name="20% - Accent2 2 2 3 2 3 2 4" xfId="5655" xr:uid="{00000000-0005-0000-0000-000038090000}"/>
    <cellStyle name="20% - Accent2 2 2 3 2 3 3" xfId="13481" xr:uid="{00000000-0005-0000-0000-000039090000}"/>
    <cellStyle name="20% - Accent2 2 2 3 2 3 3 2" xfId="28195" xr:uid="{00000000-0005-0000-0000-00003A090000}"/>
    <cellStyle name="20% - Accent2 2 2 3 2 3 3 2 2" xfId="13549" xr:uid="{00000000-0005-0000-0000-00003B090000}"/>
    <cellStyle name="20% - Accent2 2 2 3 2 3 3 3" xfId="3136" xr:uid="{00000000-0005-0000-0000-00003C090000}"/>
    <cellStyle name="20% - Accent2 2 2 3 2 3 4" xfId="1992" xr:uid="{00000000-0005-0000-0000-00003D090000}"/>
    <cellStyle name="20% - Accent2 2 2 3 2 3 4 2" xfId="3127" xr:uid="{00000000-0005-0000-0000-00003E090000}"/>
    <cellStyle name="20% - Accent2 2 2 3 2 3 5" xfId="3131" xr:uid="{00000000-0005-0000-0000-00003F090000}"/>
    <cellStyle name="20% - Accent2 2 2 3 2 4" xfId="3691" xr:uid="{00000000-0005-0000-0000-000040090000}"/>
    <cellStyle name="20% - Accent2 2 2 3 2 4 2" xfId="12948" xr:uid="{00000000-0005-0000-0000-000041090000}"/>
    <cellStyle name="20% - Accent2 2 2 3 2 4 2 2" xfId="19059" xr:uid="{00000000-0005-0000-0000-000042090000}"/>
    <cellStyle name="20% - Accent2 2 2 3 2 4 2 2 2" xfId="1812" xr:uid="{00000000-0005-0000-0000-000043090000}"/>
    <cellStyle name="20% - Accent2 2 2 3 2 4 2 3" xfId="29905" xr:uid="{00000000-0005-0000-0000-000044090000}"/>
    <cellStyle name="20% - Accent2 2 2 3 2 4 3" xfId="20183" xr:uid="{00000000-0005-0000-0000-000045090000}"/>
    <cellStyle name="20% - Accent2 2 2 3 2 4 3 2" xfId="3203" xr:uid="{00000000-0005-0000-0000-000046090000}"/>
    <cellStyle name="20% - Accent2 2 2 3 2 4 4" xfId="20189" xr:uid="{00000000-0005-0000-0000-000047090000}"/>
    <cellStyle name="20% - Accent2 2 2 3 2 5" xfId="16630" xr:uid="{00000000-0005-0000-0000-000048090000}"/>
    <cellStyle name="20% - Accent2 2 2 3 2 5 2" xfId="26522" xr:uid="{00000000-0005-0000-0000-000049090000}"/>
    <cellStyle name="20% - Accent2 2 2 3 2 5 2 2" xfId="13665" xr:uid="{00000000-0005-0000-0000-00004A090000}"/>
    <cellStyle name="20% - Accent2 2 2 3 2 5 3" xfId="16814" xr:uid="{00000000-0005-0000-0000-00004B090000}"/>
    <cellStyle name="20% - Accent2 2 2 3 2 6" xfId="16633" xr:uid="{00000000-0005-0000-0000-00004C090000}"/>
    <cellStyle name="20% - Accent2 2 2 3 2 6 2" xfId="26527" xr:uid="{00000000-0005-0000-0000-00004D090000}"/>
    <cellStyle name="20% - Accent2 2 2 3 2 7" xfId="12763" xr:uid="{00000000-0005-0000-0000-00004E090000}"/>
    <cellStyle name="20% - Accent2 2 2 3 3" xfId="3696" xr:uid="{00000000-0005-0000-0000-00004F090000}"/>
    <cellStyle name="20% - Accent2 2 2 3 3 2" xfId="3700" xr:uid="{00000000-0005-0000-0000-000050090000}"/>
    <cellStyle name="20% - Accent2 2 2 3 3 2 2" xfId="3701" xr:uid="{00000000-0005-0000-0000-000051090000}"/>
    <cellStyle name="20% - Accent2 2 2 3 3 2 2 2" xfId="15566" xr:uid="{00000000-0005-0000-0000-000052090000}"/>
    <cellStyle name="20% - Accent2 2 2 3 3 2 2 2 2" xfId="3711" xr:uid="{00000000-0005-0000-0000-000053090000}"/>
    <cellStyle name="20% - Accent2 2 2 3 3 2 2 2 2 2" xfId="11478" xr:uid="{00000000-0005-0000-0000-000054090000}"/>
    <cellStyle name="20% - Accent2 2 2 3 3 2 2 2 3" xfId="6832" xr:uid="{00000000-0005-0000-0000-000055090000}"/>
    <cellStyle name="20% - Accent2 2 2 3 3 2 2 3" xfId="15985" xr:uid="{00000000-0005-0000-0000-000056090000}"/>
    <cellStyle name="20% - Accent2 2 2 3 3 2 2 3 2" xfId="2794" xr:uid="{00000000-0005-0000-0000-000057090000}"/>
    <cellStyle name="20% - Accent2 2 2 3 3 2 2 4" xfId="14765" xr:uid="{00000000-0005-0000-0000-000058090000}"/>
    <cellStyle name="20% - Accent2 2 2 3 3 2 3" xfId="3174" xr:uid="{00000000-0005-0000-0000-000059090000}"/>
    <cellStyle name="20% - Accent2 2 2 3 3 2 3 2" xfId="5062" xr:uid="{00000000-0005-0000-0000-00005A090000}"/>
    <cellStyle name="20% - Accent2 2 2 3 3 2 3 2 2" xfId="13621" xr:uid="{00000000-0005-0000-0000-00005B090000}"/>
    <cellStyle name="20% - Accent2 2 2 3 3 2 3 3" xfId="16003" xr:uid="{00000000-0005-0000-0000-00005C090000}"/>
    <cellStyle name="20% - Accent2 2 2 3 3 2 4" xfId="1860" xr:uid="{00000000-0005-0000-0000-00005D090000}"/>
    <cellStyle name="20% - Accent2 2 2 3 3 2 4 2" xfId="22611" xr:uid="{00000000-0005-0000-0000-00005E090000}"/>
    <cellStyle name="20% - Accent2 2 2 3 3 2 5" xfId="3184" xr:uid="{00000000-0005-0000-0000-00005F090000}"/>
    <cellStyle name="20% - Accent2 2 2 3 3 3" xfId="2266" xr:uid="{00000000-0005-0000-0000-000060090000}"/>
    <cellStyle name="20% - Accent2 2 2 3 3 3 2" xfId="2268" xr:uid="{00000000-0005-0000-0000-000061090000}"/>
    <cellStyle name="20% - Accent2 2 2 3 3 3 2 2" xfId="5114" xr:uid="{00000000-0005-0000-0000-000062090000}"/>
    <cellStyle name="20% - Accent2 2 2 3 3 3 2 2 2" xfId="3277" xr:uid="{00000000-0005-0000-0000-000063090000}"/>
    <cellStyle name="20% - Accent2 2 2 3 3 3 2 3" xfId="16022" xr:uid="{00000000-0005-0000-0000-000064090000}"/>
    <cellStyle name="20% - Accent2 2 2 3 3 3 3" xfId="7775" xr:uid="{00000000-0005-0000-0000-000065090000}"/>
    <cellStyle name="20% - Accent2 2 2 3 3 3 3 2" xfId="3726" xr:uid="{00000000-0005-0000-0000-000066090000}"/>
    <cellStyle name="20% - Accent2 2 2 3 3 3 4" xfId="3190" xr:uid="{00000000-0005-0000-0000-000067090000}"/>
    <cellStyle name="20% - Accent2 2 2 3 3 4" xfId="4185" xr:uid="{00000000-0005-0000-0000-000068090000}"/>
    <cellStyle name="20% - Accent2 2 2 3 3 4 2" xfId="5099" xr:uid="{00000000-0005-0000-0000-000069090000}"/>
    <cellStyle name="20% - Accent2 2 2 3 3 4 2 2" xfId="10277" xr:uid="{00000000-0005-0000-0000-00006A090000}"/>
    <cellStyle name="20% - Accent2 2 2 3 3 4 3" xfId="20204" xr:uid="{00000000-0005-0000-0000-00006B090000}"/>
    <cellStyle name="20% - Accent2 2 2 3 3 5" xfId="16638" xr:uid="{00000000-0005-0000-0000-00006C090000}"/>
    <cellStyle name="20% - Accent2 2 2 3 3 5 2" xfId="26531" xr:uid="{00000000-0005-0000-0000-00006D090000}"/>
    <cellStyle name="20% - Accent2 2 2 3 3 6" xfId="12772" xr:uid="{00000000-0005-0000-0000-00006E090000}"/>
    <cellStyle name="20% - Accent2 2 2 3 4" xfId="8861" xr:uid="{00000000-0005-0000-0000-00006F090000}"/>
    <cellStyle name="20% - Accent2 2 2 3 4 2" xfId="3737" xr:uid="{00000000-0005-0000-0000-000070090000}"/>
    <cellStyle name="20% - Accent2 2 2 3 4 2 2" xfId="2458" xr:uid="{00000000-0005-0000-0000-000071090000}"/>
    <cellStyle name="20% - Accent2 2 2 3 4 2 2 2" xfId="2625" xr:uid="{00000000-0005-0000-0000-000072090000}"/>
    <cellStyle name="20% - Accent2 2 2 3 4 2 2 2 2" xfId="3740" xr:uid="{00000000-0005-0000-0000-000073090000}"/>
    <cellStyle name="20% - Accent2 2 2 3 4 2 2 3" xfId="16074" xr:uid="{00000000-0005-0000-0000-000074090000}"/>
    <cellStyle name="20% - Accent2 2 2 3 4 2 3" xfId="32736" xr:uid="{00000000-0005-0000-0000-000075090000}"/>
    <cellStyle name="20% - Accent2 2 2 3 4 2 3 2" xfId="3741" xr:uid="{00000000-0005-0000-0000-000076090000}"/>
    <cellStyle name="20% - Accent2 2 2 3 4 2 4" xfId="13395" xr:uid="{00000000-0005-0000-0000-000077090000}"/>
    <cellStyle name="20% - Accent2 2 2 3 4 3" xfId="2270" xr:uid="{00000000-0005-0000-0000-000078090000}"/>
    <cellStyle name="20% - Accent2 2 2 3 4 3 2" xfId="2638" xr:uid="{00000000-0005-0000-0000-000079090000}"/>
    <cellStyle name="20% - Accent2 2 2 3 4 3 2 2" xfId="3997" xr:uid="{00000000-0005-0000-0000-00007A090000}"/>
    <cellStyle name="20% - Accent2 2 2 3 4 3 3" xfId="3217" xr:uid="{00000000-0005-0000-0000-00007B090000}"/>
    <cellStyle name="20% - Accent2 2 2 3 4 4" xfId="4218" xr:uid="{00000000-0005-0000-0000-00007C090000}"/>
    <cellStyle name="20% - Accent2 2 2 3 4 4 2" xfId="5143" xr:uid="{00000000-0005-0000-0000-00007D090000}"/>
    <cellStyle name="20% - Accent2 2 2 3 4 5" xfId="12783" xr:uid="{00000000-0005-0000-0000-00007E090000}"/>
    <cellStyle name="20% - Accent2 2 2 3 5" xfId="8865" xr:uid="{00000000-0005-0000-0000-00007F090000}"/>
    <cellStyle name="20% - Accent2 2 2 3 5 2" xfId="3745" xr:uid="{00000000-0005-0000-0000-000080090000}"/>
    <cellStyle name="20% - Accent2 2 2 3 5 2 2" xfId="6500" xr:uid="{00000000-0005-0000-0000-000081090000}"/>
    <cellStyle name="20% - Accent2 2 2 3 5 2 2 2" xfId="3274" xr:uid="{00000000-0005-0000-0000-000082090000}"/>
    <cellStyle name="20% - Accent2 2 2 3 5 2 3" xfId="3477" xr:uid="{00000000-0005-0000-0000-000083090000}"/>
    <cellStyle name="20% - Accent2 2 2 3 5 3" xfId="3747" xr:uid="{00000000-0005-0000-0000-000084090000}"/>
    <cellStyle name="20% - Accent2 2 2 3 5 3 2" xfId="6701" xr:uid="{00000000-0005-0000-0000-000085090000}"/>
    <cellStyle name="20% - Accent2 2 2 3 5 4" xfId="3759" xr:uid="{00000000-0005-0000-0000-000086090000}"/>
    <cellStyle name="20% - Accent2 2 2 3 6" xfId="3764" xr:uid="{00000000-0005-0000-0000-000087090000}"/>
    <cellStyle name="20% - Accent2 2 2 3 6 2" xfId="3765" xr:uid="{00000000-0005-0000-0000-000088090000}"/>
    <cellStyle name="20% - Accent2 2 2 3 6 2 2" xfId="6598" xr:uid="{00000000-0005-0000-0000-000089090000}"/>
    <cellStyle name="20% - Accent2 2 2 3 6 3" xfId="3772" xr:uid="{00000000-0005-0000-0000-00008A090000}"/>
    <cellStyle name="20% - Accent2 2 2 3 7" xfId="3777" xr:uid="{00000000-0005-0000-0000-00008B090000}"/>
    <cellStyle name="20% - Accent2 2 2 3 7 2" xfId="3780" xr:uid="{00000000-0005-0000-0000-00008C090000}"/>
    <cellStyle name="20% - Accent2 2 2 3 8" xfId="6545" xr:uid="{00000000-0005-0000-0000-00008D090000}"/>
    <cellStyle name="20% - Accent2 2 2 4" xfId="27326" xr:uid="{00000000-0005-0000-0000-00008E090000}"/>
    <cellStyle name="20% - Accent2 2 2 4 2" xfId="1459" xr:uid="{00000000-0005-0000-0000-00008F090000}"/>
    <cellStyle name="20% - Accent2 2 2 4 2 2" xfId="3785" xr:uid="{00000000-0005-0000-0000-000090090000}"/>
    <cellStyle name="20% - Accent2 2 2 4 2 2 2" xfId="302" xr:uid="{00000000-0005-0000-0000-000091090000}"/>
    <cellStyle name="20% - Accent2 2 2 4 2 2 2 2" xfId="17407" xr:uid="{00000000-0005-0000-0000-000092090000}"/>
    <cellStyle name="20% - Accent2 2 2 4 2 2 2 2 2" xfId="3790" xr:uid="{00000000-0005-0000-0000-000093090000}"/>
    <cellStyle name="20% - Accent2 2 2 4 2 2 2 2 2 2" xfId="5568" xr:uid="{00000000-0005-0000-0000-000094090000}"/>
    <cellStyle name="20% - Accent2 2 2 4 2 2 2 2 3" xfId="7102" xr:uid="{00000000-0005-0000-0000-000095090000}"/>
    <cellStyle name="20% - Accent2 2 2 4 2 2 2 3" xfId="19166" xr:uid="{00000000-0005-0000-0000-000096090000}"/>
    <cellStyle name="20% - Accent2 2 2 4 2 2 2 3 2" xfId="3798" xr:uid="{00000000-0005-0000-0000-000097090000}"/>
    <cellStyle name="20% - Accent2 2 2 4 2 2 2 4" xfId="175" xr:uid="{00000000-0005-0000-0000-000098090000}"/>
    <cellStyle name="20% - Accent2 2 2 4 2 2 3" xfId="1082" xr:uid="{00000000-0005-0000-0000-000099090000}"/>
    <cellStyle name="20% - Accent2 2 2 4 2 2 3 2" xfId="19169" xr:uid="{00000000-0005-0000-0000-00009A090000}"/>
    <cellStyle name="20% - Accent2 2 2 4 2 2 3 2 2" xfId="13399" xr:uid="{00000000-0005-0000-0000-00009B090000}"/>
    <cellStyle name="20% - Accent2 2 2 4 2 2 3 3" xfId="3615" xr:uid="{00000000-0005-0000-0000-00009C090000}"/>
    <cellStyle name="20% - Accent2 2 2 4 2 2 4" xfId="1615" xr:uid="{00000000-0005-0000-0000-00009D090000}"/>
    <cellStyle name="20% - Accent2 2 2 4 2 2 4 2" xfId="16773" xr:uid="{00000000-0005-0000-0000-00009E090000}"/>
    <cellStyle name="20% - Accent2 2 2 4 2 2 5" xfId="23098" xr:uid="{00000000-0005-0000-0000-00009F090000}"/>
    <cellStyle name="20% - Accent2 2 2 4 2 3" xfId="8290" xr:uid="{00000000-0005-0000-0000-0000A0090000}"/>
    <cellStyle name="20% - Accent2 2 2 4 2 3 2" xfId="1172" xr:uid="{00000000-0005-0000-0000-0000A1090000}"/>
    <cellStyle name="20% - Accent2 2 2 4 2 3 2 2" xfId="19176" xr:uid="{00000000-0005-0000-0000-0000A2090000}"/>
    <cellStyle name="20% - Accent2 2 2 4 2 3 2 2 2" xfId="11271" xr:uid="{00000000-0005-0000-0000-0000A3090000}"/>
    <cellStyle name="20% - Accent2 2 2 4 2 3 2 3" xfId="22958" xr:uid="{00000000-0005-0000-0000-0000A4090000}"/>
    <cellStyle name="20% - Accent2 2 2 4 2 3 3" xfId="1773" xr:uid="{00000000-0005-0000-0000-0000A5090000}"/>
    <cellStyle name="20% - Accent2 2 2 4 2 3 3 2" xfId="25658" xr:uid="{00000000-0005-0000-0000-0000A6090000}"/>
    <cellStyle name="20% - Accent2 2 2 4 2 3 4" xfId="1776" xr:uid="{00000000-0005-0000-0000-0000A7090000}"/>
    <cellStyle name="20% - Accent2 2 2 4 2 4" xfId="8202" xr:uid="{00000000-0005-0000-0000-0000A8090000}"/>
    <cellStyle name="20% - Accent2 2 2 4 2 4 2" xfId="1756" xr:uid="{00000000-0005-0000-0000-0000A9090000}"/>
    <cellStyle name="20% - Accent2 2 2 4 2 4 2 2" xfId="10496" xr:uid="{00000000-0005-0000-0000-0000AA090000}"/>
    <cellStyle name="20% - Accent2 2 2 4 2 4 3" xfId="20225" xr:uid="{00000000-0005-0000-0000-0000AB090000}"/>
    <cellStyle name="20% - Accent2 2 2 4 2 5" xfId="16648" xr:uid="{00000000-0005-0000-0000-0000AC090000}"/>
    <cellStyle name="20% - Accent2 2 2 4 2 5 2" xfId="19459" xr:uid="{00000000-0005-0000-0000-0000AD090000}"/>
    <cellStyle name="20% - Accent2 2 2 4 2 6" xfId="12792" xr:uid="{00000000-0005-0000-0000-0000AE090000}"/>
    <cellStyle name="20% - Accent2 2 2 4 3" xfId="6958" xr:uid="{00000000-0005-0000-0000-0000AF090000}"/>
    <cellStyle name="20% - Accent2 2 2 4 3 2" xfId="3835" xr:uid="{00000000-0005-0000-0000-0000B0090000}"/>
    <cellStyle name="20% - Accent2 2 2 4 3 2 2" xfId="1279" xr:uid="{00000000-0005-0000-0000-0000B1090000}"/>
    <cellStyle name="20% - Accent2 2 2 4 3 2 2 2" xfId="13885" xr:uid="{00000000-0005-0000-0000-0000B2090000}"/>
    <cellStyle name="20% - Accent2 2 2 4 3 2 2 2 2" xfId="3840" xr:uid="{00000000-0005-0000-0000-0000B3090000}"/>
    <cellStyle name="20% - Accent2 2 2 4 3 2 2 3" xfId="16136" xr:uid="{00000000-0005-0000-0000-0000B4090000}"/>
    <cellStyle name="20% - Accent2 2 2 4 3 2 3" xfId="1332" xr:uid="{00000000-0005-0000-0000-0000B5090000}"/>
    <cellStyle name="20% - Accent2 2 2 4 3 2 3 2" xfId="3854" xr:uid="{00000000-0005-0000-0000-0000B6090000}"/>
    <cellStyle name="20% - Accent2 2 2 4 3 2 4" xfId="5957" xr:uid="{00000000-0005-0000-0000-0000B7090000}"/>
    <cellStyle name="20% - Accent2 2 2 4 3 3" xfId="7588" xr:uid="{00000000-0005-0000-0000-0000B8090000}"/>
    <cellStyle name="20% - Accent2 2 2 4 3 3 2" xfId="1393" xr:uid="{00000000-0005-0000-0000-0000B9090000}"/>
    <cellStyle name="20% - Accent2 2 2 4 3 3 2 2" xfId="5829" xr:uid="{00000000-0005-0000-0000-0000BA090000}"/>
    <cellStyle name="20% - Accent2 2 2 4 3 3 3" xfId="1453" xr:uid="{00000000-0005-0000-0000-0000BB090000}"/>
    <cellStyle name="20% - Accent2 2 2 4 3 4" xfId="3645" xr:uid="{00000000-0005-0000-0000-0000BC090000}"/>
    <cellStyle name="20% - Accent2 2 2 4 3 4 2" xfId="1793" xr:uid="{00000000-0005-0000-0000-0000BD090000}"/>
    <cellStyle name="20% - Accent2 2 2 4 3 5" xfId="12798" xr:uid="{00000000-0005-0000-0000-0000BE090000}"/>
    <cellStyle name="20% - Accent2 2 2 4 4" xfId="8867" xr:uid="{00000000-0005-0000-0000-0000BF090000}"/>
    <cellStyle name="20% - Accent2 2 2 4 4 2" xfId="10133" xr:uid="{00000000-0005-0000-0000-0000C0090000}"/>
    <cellStyle name="20% - Accent2 2 2 4 4 2 2" xfId="1478" xr:uid="{00000000-0005-0000-0000-0000C1090000}"/>
    <cellStyle name="20% - Accent2 2 2 4 4 2 2 2" xfId="3873" xr:uid="{00000000-0005-0000-0000-0000C2090000}"/>
    <cellStyle name="20% - Accent2 2 2 4 4 2 3" xfId="1499" xr:uid="{00000000-0005-0000-0000-0000C3090000}"/>
    <cellStyle name="20% - Accent2 2 2 4 4 3" xfId="3879" xr:uid="{00000000-0005-0000-0000-0000C4090000}"/>
    <cellStyle name="20% - Accent2 2 2 4 4 3 2" xfId="1534" xr:uid="{00000000-0005-0000-0000-0000C5090000}"/>
    <cellStyle name="20% - Accent2 2 2 4 4 4" xfId="3656" xr:uid="{00000000-0005-0000-0000-0000C6090000}"/>
    <cellStyle name="20% - Accent2 2 2 4 5" xfId="3880" xr:uid="{00000000-0005-0000-0000-0000C7090000}"/>
    <cellStyle name="20% - Accent2 2 2 4 5 2" xfId="3886" xr:uid="{00000000-0005-0000-0000-0000C8090000}"/>
    <cellStyle name="20% - Accent2 2 2 4 5 2 2" xfId="4274" xr:uid="{00000000-0005-0000-0000-0000C9090000}"/>
    <cellStyle name="20% - Accent2 2 2 4 5 3" xfId="3890" xr:uid="{00000000-0005-0000-0000-0000CA090000}"/>
    <cellStyle name="20% - Accent2 2 2 4 6" xfId="3899" xr:uid="{00000000-0005-0000-0000-0000CB090000}"/>
    <cellStyle name="20% - Accent2 2 2 4 6 2" xfId="3902" xr:uid="{00000000-0005-0000-0000-0000CC090000}"/>
    <cellStyle name="20% - Accent2 2 2 4 7" xfId="3905" xr:uid="{00000000-0005-0000-0000-0000CD090000}"/>
    <cellStyle name="20% - Accent2 2 2 5" xfId="1463" xr:uid="{00000000-0005-0000-0000-0000CE090000}"/>
    <cellStyle name="20% - Accent2 2 2 5 2" xfId="1468" xr:uid="{00000000-0005-0000-0000-0000CF090000}"/>
    <cellStyle name="20% - Accent2 2 2 5 2 2" xfId="1272" xr:uid="{00000000-0005-0000-0000-0000D0090000}"/>
    <cellStyle name="20% - Accent2 2 2 5 2 2 2" xfId="2189" xr:uid="{00000000-0005-0000-0000-0000D1090000}"/>
    <cellStyle name="20% - Accent2 2 2 5 2 2 2 2" xfId="23749" xr:uid="{00000000-0005-0000-0000-0000D2090000}"/>
    <cellStyle name="20% - Accent2 2 2 5 2 2 2 2 2" xfId="6665" xr:uid="{00000000-0005-0000-0000-0000D3090000}"/>
    <cellStyle name="20% - Accent2 2 2 5 2 2 2 3" xfId="526" xr:uid="{00000000-0005-0000-0000-0000D4090000}"/>
    <cellStyle name="20% - Accent2 2 2 5 2 2 3" xfId="4068" xr:uid="{00000000-0005-0000-0000-0000D5090000}"/>
    <cellStyle name="20% - Accent2 2 2 5 2 2 3 2" xfId="1008" xr:uid="{00000000-0005-0000-0000-0000D6090000}"/>
    <cellStyle name="20% - Accent2 2 2 5 2 2 4" xfId="2232" xr:uid="{00000000-0005-0000-0000-0000D7090000}"/>
    <cellStyle name="20% - Accent2 2 2 5 2 3" xfId="3913" xr:uid="{00000000-0005-0000-0000-0000D8090000}"/>
    <cellStyle name="20% - Accent2 2 2 5 2 3 2" xfId="336" xr:uid="{00000000-0005-0000-0000-0000D9090000}"/>
    <cellStyle name="20% - Accent2 2 2 5 2 3 2 2" xfId="20416" xr:uid="{00000000-0005-0000-0000-0000DA090000}"/>
    <cellStyle name="20% - Accent2 2 2 5 2 3 3" xfId="1894" xr:uid="{00000000-0005-0000-0000-0000DB090000}"/>
    <cellStyle name="20% - Accent2 2 2 5 2 4" xfId="3660" xr:uid="{00000000-0005-0000-0000-0000DC090000}"/>
    <cellStyle name="20% - Accent2 2 2 5 2 4 2" xfId="11755" xr:uid="{00000000-0005-0000-0000-0000DD090000}"/>
    <cellStyle name="20% - Accent2 2 2 5 2 5" xfId="12803" xr:uid="{00000000-0005-0000-0000-0000DE090000}"/>
    <cellStyle name="20% - Accent2 2 2 5 3" xfId="3914" xr:uid="{00000000-0005-0000-0000-0000DF090000}"/>
    <cellStyle name="20% - Accent2 2 2 5 3 2" xfId="3918" xr:uid="{00000000-0005-0000-0000-0000E0090000}"/>
    <cellStyle name="20% - Accent2 2 2 5 3 2 2" xfId="2325" xr:uid="{00000000-0005-0000-0000-0000E1090000}"/>
    <cellStyle name="20% - Accent2 2 2 5 3 2 2 2" xfId="3922" xr:uid="{00000000-0005-0000-0000-0000E2090000}"/>
    <cellStyle name="20% - Accent2 2 2 5 3 2 3" xfId="2332" xr:uid="{00000000-0005-0000-0000-0000E3090000}"/>
    <cellStyle name="20% - Accent2 2 2 5 3 3" xfId="3926" xr:uid="{00000000-0005-0000-0000-0000E4090000}"/>
    <cellStyle name="20% - Accent2 2 2 5 3 3 2" xfId="10176" xr:uid="{00000000-0005-0000-0000-0000E5090000}"/>
    <cellStyle name="20% - Accent2 2 2 5 3 4" xfId="3670" xr:uid="{00000000-0005-0000-0000-0000E6090000}"/>
    <cellStyle name="20% - Accent2 2 2 5 4" xfId="9915" xr:uid="{00000000-0005-0000-0000-0000E7090000}"/>
    <cellStyle name="20% - Accent2 2 2 5 4 2" xfId="10549" xr:uid="{00000000-0005-0000-0000-0000E8090000}"/>
    <cellStyle name="20% - Accent2 2 2 5 4 2 2" xfId="7021" xr:uid="{00000000-0005-0000-0000-0000E9090000}"/>
    <cellStyle name="20% - Accent2 2 2 5 4 3" xfId="3930" xr:uid="{00000000-0005-0000-0000-0000EA090000}"/>
    <cellStyle name="20% - Accent2 2 2 5 5" xfId="9927" xr:uid="{00000000-0005-0000-0000-0000EB090000}"/>
    <cellStyle name="20% - Accent2 2 2 5 5 2" xfId="3935" xr:uid="{00000000-0005-0000-0000-0000EC090000}"/>
    <cellStyle name="20% - Accent2 2 2 5 6" xfId="9935" xr:uid="{00000000-0005-0000-0000-0000ED090000}"/>
    <cellStyle name="20% - Accent2 2 2 6" xfId="1743" xr:uid="{00000000-0005-0000-0000-0000EE090000}"/>
    <cellStyle name="20% - Accent2 2 2 6 2" xfId="3946" xr:uid="{00000000-0005-0000-0000-0000EF090000}"/>
    <cellStyle name="20% - Accent2 2 2 6 2 2" xfId="3947" xr:uid="{00000000-0005-0000-0000-0000F0090000}"/>
    <cellStyle name="20% - Accent2 2 2 6 2 2 2" xfId="3308" xr:uid="{00000000-0005-0000-0000-0000F1090000}"/>
    <cellStyle name="20% - Accent2 2 2 6 2 2 2 2" xfId="17779" xr:uid="{00000000-0005-0000-0000-0000F2090000}"/>
    <cellStyle name="20% - Accent2 2 2 6 2 2 3" xfId="2027" xr:uid="{00000000-0005-0000-0000-0000F3090000}"/>
    <cellStyle name="20% - Accent2 2 2 6 2 3" xfId="402" xr:uid="{00000000-0005-0000-0000-0000F4090000}"/>
    <cellStyle name="20% - Accent2 2 2 6 2 3 2" xfId="2813" xr:uid="{00000000-0005-0000-0000-0000F5090000}"/>
    <cellStyle name="20% - Accent2 2 2 6 2 4" xfId="2718" xr:uid="{00000000-0005-0000-0000-0000F6090000}"/>
    <cellStyle name="20% - Accent2 2 2 6 3" xfId="4364" xr:uid="{00000000-0005-0000-0000-0000F7090000}"/>
    <cellStyle name="20% - Accent2 2 2 6 3 2" xfId="17103" xr:uid="{00000000-0005-0000-0000-0000F8090000}"/>
    <cellStyle name="20% - Accent2 2 2 6 3 2 2" xfId="2839" xr:uid="{00000000-0005-0000-0000-0000F9090000}"/>
    <cellStyle name="20% - Accent2 2 2 6 3 3" xfId="13669" xr:uid="{00000000-0005-0000-0000-0000FA090000}"/>
    <cellStyle name="20% - Accent2 2 2 6 4" xfId="9946" xr:uid="{00000000-0005-0000-0000-0000FB090000}"/>
    <cellStyle name="20% - Accent2 2 2 6 4 2" xfId="11319" xr:uid="{00000000-0005-0000-0000-0000FC090000}"/>
    <cellStyle name="20% - Accent2 2 2 6 5" xfId="10142" xr:uid="{00000000-0005-0000-0000-0000FD090000}"/>
    <cellStyle name="20% - Accent2 2 2 7" xfId="3974" xr:uid="{00000000-0005-0000-0000-0000FE090000}"/>
    <cellStyle name="20% - Accent2 2 2 7 2" xfId="3976" xr:uid="{00000000-0005-0000-0000-0000FF090000}"/>
    <cellStyle name="20% - Accent2 2 2 7 2 2" xfId="3977" xr:uid="{00000000-0005-0000-0000-0000000A0000}"/>
    <cellStyle name="20% - Accent2 2 2 7 2 2 2" xfId="6597" xr:uid="{00000000-0005-0000-0000-0000010A0000}"/>
    <cellStyle name="20% - Accent2 2 2 7 2 3" xfId="3980" xr:uid="{00000000-0005-0000-0000-0000020A0000}"/>
    <cellStyle name="20% - Accent2 2 2 7 3" xfId="5402" xr:uid="{00000000-0005-0000-0000-0000030A0000}"/>
    <cellStyle name="20% - Accent2 2 2 7 3 2" xfId="15875" xr:uid="{00000000-0005-0000-0000-0000040A0000}"/>
    <cellStyle name="20% - Accent2 2 2 7 4" xfId="15881" xr:uid="{00000000-0005-0000-0000-0000050A0000}"/>
    <cellStyle name="20% - Accent2 2 2 8" xfId="3981" xr:uid="{00000000-0005-0000-0000-0000060A0000}"/>
    <cellStyle name="20% - Accent2 2 2 8 2" xfId="973" xr:uid="{00000000-0005-0000-0000-0000070A0000}"/>
    <cellStyle name="20% - Accent2 2 2 8 2 2" xfId="8651" xr:uid="{00000000-0005-0000-0000-0000080A0000}"/>
    <cellStyle name="20% - Accent2 2 2 8 3" xfId="15891" xr:uid="{00000000-0005-0000-0000-0000090A0000}"/>
    <cellStyle name="20% - Accent2 2 2 9" xfId="3984" xr:uid="{00000000-0005-0000-0000-00000A0A0000}"/>
    <cellStyle name="20% - Accent2 2 2 9 2" xfId="6856" xr:uid="{00000000-0005-0000-0000-00000B0A0000}"/>
    <cellStyle name="20% - Accent2 2 3" xfId="1165" xr:uid="{00000000-0005-0000-0000-00000C0A0000}"/>
    <cellStyle name="20% - Accent2 2 3 2" xfId="1559" xr:uid="{00000000-0005-0000-0000-00000D0A0000}"/>
    <cellStyle name="20% - Accent2 2 3 2 2" xfId="1229" xr:uid="{00000000-0005-0000-0000-00000E0A0000}"/>
    <cellStyle name="20% - Accent2 2 3 2 2 2" xfId="3985" xr:uid="{00000000-0005-0000-0000-00000F0A0000}"/>
    <cellStyle name="20% - Accent2 2 3 2 2 2 2" xfId="4000" xr:uid="{00000000-0005-0000-0000-0000100A0000}"/>
    <cellStyle name="20% - Accent2 2 3 2 2 2 2 2" xfId="25502" xr:uid="{00000000-0005-0000-0000-0000110A0000}"/>
    <cellStyle name="20% - Accent2 2 3 2 2 2 2 2 2" xfId="17534" xr:uid="{00000000-0005-0000-0000-0000120A0000}"/>
    <cellStyle name="20% - Accent2 2 3 2 2 2 2 2 2 2" xfId="25010" xr:uid="{00000000-0005-0000-0000-0000130A0000}"/>
    <cellStyle name="20% - Accent2 2 3 2 2 2 2 2 2 2 2" xfId="11255" xr:uid="{00000000-0005-0000-0000-0000140A0000}"/>
    <cellStyle name="20% - Accent2 2 3 2 2 2 2 2 2 3" xfId="28590" xr:uid="{00000000-0005-0000-0000-0000150A0000}"/>
    <cellStyle name="20% - Accent2 2 3 2 2 2 2 2 3" xfId="7354" xr:uid="{00000000-0005-0000-0000-0000160A0000}"/>
    <cellStyle name="20% - Accent2 2 3 2 2 2 2 2 3 2" xfId="29896" xr:uid="{00000000-0005-0000-0000-0000170A0000}"/>
    <cellStyle name="20% - Accent2 2 3 2 2 2 2 2 4" xfId="3055" xr:uid="{00000000-0005-0000-0000-0000180A0000}"/>
    <cellStyle name="20% - Accent2 2 3 2 2 2 2 3" xfId="19412" xr:uid="{00000000-0005-0000-0000-0000190A0000}"/>
    <cellStyle name="20% - Accent2 2 3 2 2 2 2 3 2" xfId="4651" xr:uid="{00000000-0005-0000-0000-00001A0A0000}"/>
    <cellStyle name="20% - Accent2 2 3 2 2 2 2 3 2 2" xfId="4010" xr:uid="{00000000-0005-0000-0000-00001B0A0000}"/>
    <cellStyle name="20% - Accent2 2 3 2 2 2 2 3 3" xfId="7358" xr:uid="{00000000-0005-0000-0000-00001C0A0000}"/>
    <cellStyle name="20% - Accent2 2 3 2 2 2 2 4" xfId="19420" xr:uid="{00000000-0005-0000-0000-00001D0A0000}"/>
    <cellStyle name="20% - Accent2 2 3 2 2 2 2 4 2" xfId="5465" xr:uid="{00000000-0005-0000-0000-00001E0A0000}"/>
    <cellStyle name="20% - Accent2 2 3 2 2 2 2 5" xfId="5469" xr:uid="{00000000-0005-0000-0000-00001F0A0000}"/>
    <cellStyle name="20% - Accent2 2 3 2 2 2 3" xfId="4019" xr:uid="{00000000-0005-0000-0000-0000200A0000}"/>
    <cellStyle name="20% - Accent2 2 3 2 2 2 3 2" xfId="19427" xr:uid="{00000000-0005-0000-0000-0000210A0000}"/>
    <cellStyle name="20% - Accent2 2 3 2 2 2 3 2 2" xfId="3850" xr:uid="{00000000-0005-0000-0000-0000220A0000}"/>
    <cellStyle name="20% - Accent2 2 3 2 2 2 3 2 2 2" xfId="31122" xr:uid="{00000000-0005-0000-0000-0000230A0000}"/>
    <cellStyle name="20% - Accent2 2 3 2 2 2 3 2 3" xfId="7370" xr:uid="{00000000-0005-0000-0000-0000240A0000}"/>
    <cellStyle name="20% - Accent2 2 3 2 2 2 3 3" xfId="19437" xr:uid="{00000000-0005-0000-0000-0000250A0000}"/>
    <cellStyle name="20% - Accent2 2 3 2 2 2 3 3 2" xfId="952" xr:uid="{00000000-0005-0000-0000-0000260A0000}"/>
    <cellStyle name="20% - Accent2 2 3 2 2 2 3 4" xfId="30225" xr:uid="{00000000-0005-0000-0000-0000270A0000}"/>
    <cellStyle name="20% - Accent2 2 3 2 2 2 4" xfId="4021" xr:uid="{00000000-0005-0000-0000-0000280A0000}"/>
    <cellStyle name="20% - Accent2 2 3 2 2 2 4 2" xfId="19442" xr:uid="{00000000-0005-0000-0000-0000290A0000}"/>
    <cellStyle name="20% - Accent2 2 3 2 2 2 4 2 2" xfId="3938" xr:uid="{00000000-0005-0000-0000-00002A0A0000}"/>
    <cellStyle name="20% - Accent2 2 3 2 2 2 4 3" xfId="8882" xr:uid="{00000000-0005-0000-0000-00002B0A0000}"/>
    <cellStyle name="20% - Accent2 2 3 2 2 2 5" xfId="3896" xr:uid="{00000000-0005-0000-0000-00002C0A0000}"/>
    <cellStyle name="20% - Accent2 2 3 2 2 2 5 2" xfId="16627" xr:uid="{00000000-0005-0000-0000-00002D0A0000}"/>
    <cellStyle name="20% - Accent2 2 3 2 2 2 6" xfId="3488" xr:uid="{00000000-0005-0000-0000-00002E0A0000}"/>
    <cellStyle name="20% - Accent2 2 3 2 2 3" xfId="4023" xr:uid="{00000000-0005-0000-0000-00002F0A0000}"/>
    <cellStyle name="20% - Accent2 2 3 2 2 3 2" xfId="4036" xr:uid="{00000000-0005-0000-0000-0000300A0000}"/>
    <cellStyle name="20% - Accent2 2 3 2 2 3 2 2" xfId="4039" xr:uid="{00000000-0005-0000-0000-0000310A0000}"/>
    <cellStyle name="20% - Accent2 2 3 2 2 3 2 2 2" xfId="4905" xr:uid="{00000000-0005-0000-0000-0000320A0000}"/>
    <cellStyle name="20% - Accent2 2 3 2 2 3 2 2 2 2" xfId="4041" xr:uid="{00000000-0005-0000-0000-0000330A0000}"/>
    <cellStyle name="20% - Accent2 2 3 2 2 3 2 2 3" xfId="8710" xr:uid="{00000000-0005-0000-0000-0000340A0000}"/>
    <cellStyle name="20% - Accent2 2 3 2 2 3 2 3" xfId="24125" xr:uid="{00000000-0005-0000-0000-0000350A0000}"/>
    <cellStyle name="20% - Accent2 2 3 2 2 3 2 3 2" xfId="558" xr:uid="{00000000-0005-0000-0000-0000360A0000}"/>
    <cellStyle name="20% - Accent2 2 3 2 2 3 2 4" xfId="6043" xr:uid="{00000000-0005-0000-0000-0000370A0000}"/>
    <cellStyle name="20% - Accent2 2 3 2 2 3 3" xfId="4064" xr:uid="{00000000-0005-0000-0000-0000380A0000}"/>
    <cellStyle name="20% - Accent2 2 3 2 2 3 3 2" xfId="16143" xr:uid="{00000000-0005-0000-0000-0000390A0000}"/>
    <cellStyle name="20% - Accent2 2 3 2 2 3 3 2 2" xfId="2645" xr:uid="{00000000-0005-0000-0000-00003A0A0000}"/>
    <cellStyle name="20% - Accent2 2 3 2 2 3 3 3" xfId="14128" xr:uid="{00000000-0005-0000-0000-00003B0A0000}"/>
    <cellStyle name="20% - Accent2 2 3 2 2 3 4" xfId="4066" xr:uid="{00000000-0005-0000-0000-00003C0A0000}"/>
    <cellStyle name="20% - Accent2 2 3 2 2 3 4 2" xfId="13466" xr:uid="{00000000-0005-0000-0000-00003D0A0000}"/>
    <cellStyle name="20% - Accent2 2 3 2 2 3 5" xfId="1825" xr:uid="{00000000-0005-0000-0000-00003E0A0000}"/>
    <cellStyle name="20% - Accent2 2 3 2 2 4" xfId="3091" xr:uid="{00000000-0005-0000-0000-00003F0A0000}"/>
    <cellStyle name="20% - Accent2 2 3 2 2 4 2" xfId="6089" xr:uid="{00000000-0005-0000-0000-0000400A0000}"/>
    <cellStyle name="20% - Accent2 2 3 2 2 4 2 2" xfId="29723" xr:uid="{00000000-0005-0000-0000-0000410A0000}"/>
    <cellStyle name="20% - Accent2 2 3 2 2 4 2 2 2" xfId="2832" xr:uid="{00000000-0005-0000-0000-0000420A0000}"/>
    <cellStyle name="20% - Accent2 2 3 2 2 4 2 3" xfId="11469" xr:uid="{00000000-0005-0000-0000-0000430A0000}"/>
    <cellStyle name="20% - Accent2 2 3 2 2 4 3" xfId="20274" xr:uid="{00000000-0005-0000-0000-0000440A0000}"/>
    <cellStyle name="20% - Accent2 2 3 2 2 4 3 2" xfId="14136" xr:uid="{00000000-0005-0000-0000-0000450A0000}"/>
    <cellStyle name="20% - Accent2 2 3 2 2 4 4" xfId="20287" xr:uid="{00000000-0005-0000-0000-0000460A0000}"/>
    <cellStyle name="20% - Accent2 2 3 2 2 5" xfId="8956" xr:uid="{00000000-0005-0000-0000-0000470A0000}"/>
    <cellStyle name="20% - Accent2 2 3 2 2 5 2" xfId="24717" xr:uid="{00000000-0005-0000-0000-0000480A0000}"/>
    <cellStyle name="20% - Accent2 2 3 2 2 5 2 2" xfId="3916" xr:uid="{00000000-0005-0000-0000-0000490A0000}"/>
    <cellStyle name="20% - Accent2 2 3 2 2 5 3" xfId="18647" xr:uid="{00000000-0005-0000-0000-00004A0A0000}"/>
    <cellStyle name="20% - Accent2 2 3 2 2 6" xfId="12816" xr:uid="{00000000-0005-0000-0000-00004B0A0000}"/>
    <cellStyle name="20% - Accent2 2 3 2 2 6 2" xfId="16394" xr:uid="{00000000-0005-0000-0000-00004C0A0000}"/>
    <cellStyle name="20% - Accent2 2 3 2 2 7" xfId="12824" xr:uid="{00000000-0005-0000-0000-00004D0A0000}"/>
    <cellStyle name="20% - Accent2 2 3 2 3" xfId="6939" xr:uid="{00000000-0005-0000-0000-00004E0A0000}"/>
    <cellStyle name="20% - Accent2 2 3 2 3 2" xfId="1680" xr:uid="{00000000-0005-0000-0000-00004F0A0000}"/>
    <cellStyle name="20% - Accent2 2 3 2 3 2 2" xfId="4817" xr:uid="{00000000-0005-0000-0000-0000500A0000}"/>
    <cellStyle name="20% - Accent2 2 3 2 3 2 2 2" xfId="25987" xr:uid="{00000000-0005-0000-0000-0000510A0000}"/>
    <cellStyle name="20% - Accent2 2 3 2 3 2 2 2 2" xfId="3474" xr:uid="{00000000-0005-0000-0000-0000520A0000}"/>
    <cellStyle name="20% - Accent2 2 3 2 3 2 2 2 2 2" xfId="25282" xr:uid="{00000000-0005-0000-0000-0000530A0000}"/>
    <cellStyle name="20% - Accent2 2 3 2 3 2 2 2 3" xfId="4580" xr:uid="{00000000-0005-0000-0000-0000540A0000}"/>
    <cellStyle name="20% - Accent2 2 3 2 3 2 2 3" xfId="19512" xr:uid="{00000000-0005-0000-0000-0000550A0000}"/>
    <cellStyle name="20% - Accent2 2 3 2 3 2 2 3 2" xfId="4093" xr:uid="{00000000-0005-0000-0000-0000560A0000}"/>
    <cellStyle name="20% - Accent2 2 3 2 3 2 2 4" xfId="5488" xr:uid="{00000000-0005-0000-0000-0000570A0000}"/>
    <cellStyle name="20% - Accent2 2 3 2 3 2 3" xfId="5517" xr:uid="{00000000-0005-0000-0000-0000580A0000}"/>
    <cellStyle name="20% - Accent2 2 3 2 3 2 3 2" xfId="19518" xr:uid="{00000000-0005-0000-0000-0000590A0000}"/>
    <cellStyle name="20% - Accent2 2 3 2 3 2 3 2 2" xfId="6808" xr:uid="{00000000-0005-0000-0000-00005A0A0000}"/>
    <cellStyle name="20% - Accent2 2 3 2 3 2 3 3" xfId="3427" xr:uid="{00000000-0005-0000-0000-00005B0A0000}"/>
    <cellStyle name="20% - Accent2 2 3 2 3 2 4" xfId="5519" xr:uid="{00000000-0005-0000-0000-00005C0A0000}"/>
    <cellStyle name="20% - Accent2 2 3 2 3 2 4 2" xfId="6186" xr:uid="{00000000-0005-0000-0000-00005D0A0000}"/>
    <cellStyle name="20% - Accent2 2 3 2 3 2 5" xfId="4101" xr:uid="{00000000-0005-0000-0000-00005E0A0000}"/>
    <cellStyle name="20% - Accent2 2 3 2 3 3" xfId="33" xr:uid="{00000000-0005-0000-0000-00005F0A0000}"/>
    <cellStyle name="20% - Accent2 2 3 2 3 3 2" xfId="2335" xr:uid="{00000000-0005-0000-0000-0000600A0000}"/>
    <cellStyle name="20% - Accent2 2 3 2 3 3 2 2" xfId="19531" xr:uid="{00000000-0005-0000-0000-0000610A0000}"/>
    <cellStyle name="20% - Accent2 2 3 2 3 3 2 2 2" xfId="1948" xr:uid="{00000000-0005-0000-0000-0000620A0000}"/>
    <cellStyle name="20% - Accent2 2 3 2 3 3 2 3" xfId="5482" xr:uid="{00000000-0005-0000-0000-0000630A0000}"/>
    <cellStyle name="20% - Accent2 2 3 2 3 3 3" xfId="7875" xr:uid="{00000000-0005-0000-0000-0000640A0000}"/>
    <cellStyle name="20% - Accent2 2 3 2 3 3 3 2" xfId="10782" xr:uid="{00000000-0005-0000-0000-0000650A0000}"/>
    <cellStyle name="20% - Accent2 2 3 2 3 3 4" xfId="4104" xr:uid="{00000000-0005-0000-0000-0000660A0000}"/>
    <cellStyle name="20% - Accent2 2 3 2 3 4" xfId="5579" xr:uid="{00000000-0005-0000-0000-0000670A0000}"/>
    <cellStyle name="20% - Accent2 2 3 2 3 4 2" xfId="4085" xr:uid="{00000000-0005-0000-0000-0000680A0000}"/>
    <cellStyle name="20% - Accent2 2 3 2 3 4 2 2" xfId="11641" xr:uid="{00000000-0005-0000-0000-0000690A0000}"/>
    <cellStyle name="20% - Accent2 2 3 2 3 4 3" xfId="20299" xr:uid="{00000000-0005-0000-0000-00006A0A0000}"/>
    <cellStyle name="20% - Accent2 2 3 2 3 5" xfId="14726" xr:uid="{00000000-0005-0000-0000-00006B0A0000}"/>
    <cellStyle name="20% - Accent2 2 3 2 3 5 2" xfId="7282" xr:uid="{00000000-0005-0000-0000-00006C0A0000}"/>
    <cellStyle name="20% - Accent2 2 3 2 3 6" xfId="14735" xr:uid="{00000000-0005-0000-0000-00006D0A0000}"/>
    <cellStyle name="20% - Accent2 2 3 2 4" xfId="8006" xr:uid="{00000000-0005-0000-0000-00006E0A0000}"/>
    <cellStyle name="20% - Accent2 2 3 2 4 2" xfId="4106" xr:uid="{00000000-0005-0000-0000-00006F0A0000}"/>
    <cellStyle name="20% - Accent2 2 3 2 4 2 2" xfId="3944" xr:uid="{00000000-0005-0000-0000-0000700A0000}"/>
    <cellStyle name="20% - Accent2 2 3 2 4 2 2 2" xfId="19563" xr:uid="{00000000-0005-0000-0000-0000710A0000}"/>
    <cellStyle name="20% - Accent2 2 3 2 4 2 2 2 2" xfId="2410" xr:uid="{00000000-0005-0000-0000-0000720A0000}"/>
    <cellStyle name="20% - Accent2 2 3 2 4 2 2 3" xfId="10860" xr:uid="{00000000-0005-0000-0000-0000730A0000}"/>
    <cellStyle name="20% - Accent2 2 3 2 4 2 3" xfId="5533" xr:uid="{00000000-0005-0000-0000-0000740A0000}"/>
    <cellStyle name="20% - Accent2 2 3 2 4 2 3 2" xfId="4110" xr:uid="{00000000-0005-0000-0000-0000750A0000}"/>
    <cellStyle name="20% - Accent2 2 3 2 4 2 4" xfId="4116" xr:uid="{00000000-0005-0000-0000-0000760A0000}"/>
    <cellStyle name="20% - Accent2 2 3 2 4 3" xfId="2337" xr:uid="{00000000-0005-0000-0000-0000770A0000}"/>
    <cellStyle name="20% - Accent2 2 3 2 4 3 2" xfId="4119" xr:uid="{00000000-0005-0000-0000-0000780A0000}"/>
    <cellStyle name="20% - Accent2 2 3 2 4 3 2 2" xfId="4953" xr:uid="{00000000-0005-0000-0000-0000790A0000}"/>
    <cellStyle name="20% - Accent2 2 3 2 4 3 3" xfId="4122" xr:uid="{00000000-0005-0000-0000-00007A0A0000}"/>
    <cellStyle name="20% - Accent2 2 3 2 4 4" xfId="4125" xr:uid="{00000000-0005-0000-0000-00007B0A0000}"/>
    <cellStyle name="20% - Accent2 2 3 2 4 4 2" xfId="4129" xr:uid="{00000000-0005-0000-0000-00007C0A0000}"/>
    <cellStyle name="20% - Accent2 2 3 2 4 5" xfId="14743" xr:uid="{00000000-0005-0000-0000-00007D0A0000}"/>
    <cellStyle name="20% - Accent2 2 3 2 5" xfId="46" xr:uid="{00000000-0005-0000-0000-00007E0A0000}"/>
    <cellStyle name="20% - Accent2 2 3 2 5 2" xfId="4134" xr:uid="{00000000-0005-0000-0000-00007F0A0000}"/>
    <cellStyle name="20% - Accent2 2 3 2 5 2 2" xfId="4136" xr:uid="{00000000-0005-0000-0000-0000800A0000}"/>
    <cellStyle name="20% - Accent2 2 3 2 5 2 2 2" xfId="12252" xr:uid="{00000000-0005-0000-0000-0000810A0000}"/>
    <cellStyle name="20% - Accent2 2 3 2 5 2 3" xfId="4140" xr:uid="{00000000-0005-0000-0000-0000820A0000}"/>
    <cellStyle name="20% - Accent2 2 3 2 5 3" xfId="4146" xr:uid="{00000000-0005-0000-0000-0000830A0000}"/>
    <cellStyle name="20% - Accent2 2 3 2 5 3 2" xfId="4151" xr:uid="{00000000-0005-0000-0000-0000840A0000}"/>
    <cellStyle name="20% - Accent2 2 3 2 5 4" xfId="1246" xr:uid="{00000000-0005-0000-0000-0000850A0000}"/>
    <cellStyle name="20% - Accent2 2 3 2 6" xfId="1921" xr:uid="{00000000-0005-0000-0000-0000860A0000}"/>
    <cellStyle name="20% - Accent2 2 3 2 6 2" xfId="4154" xr:uid="{00000000-0005-0000-0000-0000870A0000}"/>
    <cellStyle name="20% - Accent2 2 3 2 6 2 2" xfId="14623" xr:uid="{00000000-0005-0000-0000-0000880A0000}"/>
    <cellStyle name="20% - Accent2 2 3 2 6 3" xfId="5250" xr:uid="{00000000-0005-0000-0000-0000890A0000}"/>
    <cellStyle name="20% - Accent2 2 3 2 7" xfId="4163" xr:uid="{00000000-0005-0000-0000-00008A0A0000}"/>
    <cellStyle name="20% - Accent2 2 3 2 7 2" xfId="4170" xr:uid="{00000000-0005-0000-0000-00008B0A0000}"/>
    <cellStyle name="20% - Accent2 2 3 2 8" xfId="4173" xr:uid="{00000000-0005-0000-0000-00008C0A0000}"/>
    <cellStyle name="20% - Accent2 2 3 3" xfId="2589" xr:uid="{00000000-0005-0000-0000-00008D0A0000}"/>
    <cellStyle name="20% - Accent2 2 3 3 2" xfId="491" xr:uid="{00000000-0005-0000-0000-00008E0A0000}"/>
    <cellStyle name="20% - Accent2 2 3 3 2 2" xfId="4179" xr:uid="{00000000-0005-0000-0000-00008F0A0000}"/>
    <cellStyle name="20% - Accent2 2 3 3 2 2 2" xfId="2076" xr:uid="{00000000-0005-0000-0000-0000900A0000}"/>
    <cellStyle name="20% - Accent2 2 3 3 2 2 2 2" xfId="6128" xr:uid="{00000000-0005-0000-0000-0000910A0000}"/>
    <cellStyle name="20% - Accent2 2 3 3 2 2 2 2 2" xfId="4181" xr:uid="{00000000-0005-0000-0000-0000920A0000}"/>
    <cellStyle name="20% - Accent2 2 3 3 2 2 2 2 2 2" xfId="4700" xr:uid="{00000000-0005-0000-0000-0000930A0000}"/>
    <cellStyle name="20% - Accent2 2 3 3 2 2 2 2 3" xfId="4187" xr:uid="{00000000-0005-0000-0000-0000940A0000}"/>
    <cellStyle name="20% - Accent2 2 3 3 2 2 2 3" xfId="4201" xr:uid="{00000000-0005-0000-0000-0000950A0000}"/>
    <cellStyle name="20% - Accent2 2 3 3 2 2 2 3 2" xfId="4216" xr:uid="{00000000-0005-0000-0000-0000960A0000}"/>
    <cellStyle name="20% - Accent2 2 3 3 2 2 2 4" xfId="4975" xr:uid="{00000000-0005-0000-0000-0000970A0000}"/>
    <cellStyle name="20% - Accent2 2 3 3 2 2 3" xfId="6354" xr:uid="{00000000-0005-0000-0000-0000980A0000}"/>
    <cellStyle name="20% - Accent2 2 3 3 2 2 3 2" xfId="5619" xr:uid="{00000000-0005-0000-0000-0000990A0000}"/>
    <cellStyle name="20% - Accent2 2 3 3 2 2 3 2 2" xfId="13898" xr:uid="{00000000-0005-0000-0000-00009A0A0000}"/>
    <cellStyle name="20% - Accent2 2 3 3 2 2 3 3" xfId="4224" xr:uid="{00000000-0005-0000-0000-00009B0A0000}"/>
    <cellStyle name="20% - Accent2 2 3 3 2 2 4" xfId="20447" xr:uid="{00000000-0005-0000-0000-00009C0A0000}"/>
    <cellStyle name="20% - Accent2 2 3 3 2 2 4 2" xfId="4227" xr:uid="{00000000-0005-0000-0000-00009D0A0000}"/>
    <cellStyle name="20% - Accent2 2 3 3 2 2 5" xfId="4232" xr:uid="{00000000-0005-0000-0000-00009E0A0000}"/>
    <cellStyle name="20% - Accent2 2 3 3 2 3" xfId="5868" xr:uid="{00000000-0005-0000-0000-00009F0A0000}"/>
    <cellStyle name="20% - Accent2 2 3 3 2 3 2" xfId="25560" xr:uid="{00000000-0005-0000-0000-0000A00A0000}"/>
    <cellStyle name="20% - Accent2 2 3 3 2 3 2 2" xfId="4242" xr:uid="{00000000-0005-0000-0000-0000A10A0000}"/>
    <cellStyle name="20% - Accent2 2 3 3 2 3 2 2 2" xfId="12769" xr:uid="{00000000-0005-0000-0000-0000A20A0000}"/>
    <cellStyle name="20% - Accent2 2 3 3 2 3 2 3" xfId="7053" xr:uid="{00000000-0005-0000-0000-0000A30A0000}"/>
    <cellStyle name="20% - Accent2 2 3 3 2 3 3" xfId="20453" xr:uid="{00000000-0005-0000-0000-0000A40A0000}"/>
    <cellStyle name="20% - Accent2 2 3 3 2 3 3 2" xfId="3336" xr:uid="{00000000-0005-0000-0000-0000A50A0000}"/>
    <cellStyle name="20% - Accent2 2 3 3 2 3 4" xfId="4248" xr:uid="{00000000-0005-0000-0000-0000A60A0000}"/>
    <cellStyle name="20% - Accent2 2 3 3 2 4" xfId="5877" xr:uid="{00000000-0005-0000-0000-0000A70A0000}"/>
    <cellStyle name="20% - Accent2 2 3 3 2 4 2" xfId="20460" xr:uid="{00000000-0005-0000-0000-0000A80A0000}"/>
    <cellStyle name="20% - Accent2 2 3 3 2 4 2 2" xfId="12062" xr:uid="{00000000-0005-0000-0000-0000A90A0000}"/>
    <cellStyle name="20% - Accent2 2 3 3 2 4 3" xfId="22062" xr:uid="{00000000-0005-0000-0000-0000AA0A0000}"/>
    <cellStyle name="20% - Accent2 2 3 3 2 5" xfId="16668" xr:uid="{00000000-0005-0000-0000-0000AB0A0000}"/>
    <cellStyle name="20% - Accent2 2 3 3 2 5 2" xfId="26829" xr:uid="{00000000-0005-0000-0000-0000AC0A0000}"/>
    <cellStyle name="20% - Accent2 2 3 3 2 6" xfId="7206" xr:uid="{00000000-0005-0000-0000-0000AD0A0000}"/>
    <cellStyle name="20% - Accent2 2 3 3 3" xfId="71" xr:uid="{00000000-0005-0000-0000-0000AE0A0000}"/>
    <cellStyle name="20% - Accent2 2 3 3 3 2" xfId="4253" xr:uid="{00000000-0005-0000-0000-0000AF0A0000}"/>
    <cellStyle name="20% - Accent2 2 3 3 3 2 2" xfId="20473" xr:uid="{00000000-0005-0000-0000-0000B00A0000}"/>
    <cellStyle name="20% - Accent2 2 3 3 3 2 2 2" xfId="15376" xr:uid="{00000000-0005-0000-0000-0000B10A0000}"/>
    <cellStyle name="20% - Accent2 2 3 3 3 2 2 2 2" xfId="5822" xr:uid="{00000000-0005-0000-0000-0000B20A0000}"/>
    <cellStyle name="20% - Accent2 2 3 3 3 2 2 3" xfId="16302" xr:uid="{00000000-0005-0000-0000-0000B30A0000}"/>
    <cellStyle name="20% - Accent2 2 3 3 3 2 3" xfId="20477" xr:uid="{00000000-0005-0000-0000-0000B40A0000}"/>
    <cellStyle name="20% - Accent2 2 3 3 3 2 3 2" xfId="4265" xr:uid="{00000000-0005-0000-0000-0000B50A0000}"/>
    <cellStyle name="20% - Accent2 2 3 3 3 2 4" xfId="4270" xr:uid="{00000000-0005-0000-0000-0000B60A0000}"/>
    <cellStyle name="20% - Accent2 2 3 3 3 3" xfId="5884" xr:uid="{00000000-0005-0000-0000-0000B70A0000}"/>
    <cellStyle name="20% - Accent2 2 3 3 3 3 2" xfId="20481" xr:uid="{00000000-0005-0000-0000-0000B80A0000}"/>
    <cellStyle name="20% - Accent2 2 3 3 3 3 2 2" xfId="3884" xr:uid="{00000000-0005-0000-0000-0000B90A0000}"/>
    <cellStyle name="20% - Accent2 2 3 3 3 3 3" xfId="4285" xr:uid="{00000000-0005-0000-0000-0000BA0A0000}"/>
    <cellStyle name="20% - Accent2 2 3 3 3 4" xfId="7290" xr:uid="{00000000-0005-0000-0000-0000BB0A0000}"/>
    <cellStyle name="20% - Accent2 2 3 3 3 4 2" xfId="743" xr:uid="{00000000-0005-0000-0000-0000BC0A0000}"/>
    <cellStyle name="20% - Accent2 2 3 3 3 5" xfId="12833" xr:uid="{00000000-0005-0000-0000-0000BD0A0000}"/>
    <cellStyle name="20% - Accent2 2 3 3 4" xfId="8878" xr:uid="{00000000-0005-0000-0000-0000BE0A0000}"/>
    <cellStyle name="20% - Accent2 2 3 3 4 2" xfId="3788" xr:uid="{00000000-0005-0000-0000-0000BF0A0000}"/>
    <cellStyle name="20% - Accent2 2 3 3 4 2 2" xfId="20500" xr:uid="{00000000-0005-0000-0000-0000C00A0000}"/>
    <cellStyle name="20% - Accent2 2 3 3 4 2 2 2" xfId="4290" xr:uid="{00000000-0005-0000-0000-0000C10A0000}"/>
    <cellStyle name="20% - Accent2 2 3 3 4 2 3" xfId="4293" xr:uid="{00000000-0005-0000-0000-0000C20A0000}"/>
    <cellStyle name="20% - Accent2 2 3 3 4 3" xfId="7292" xr:uid="{00000000-0005-0000-0000-0000C30A0000}"/>
    <cellStyle name="20% - Accent2 2 3 3 4 3 2" xfId="3261" xr:uid="{00000000-0005-0000-0000-0000C40A0000}"/>
    <cellStyle name="20% - Accent2 2 3 3 4 4" xfId="8692" xr:uid="{00000000-0005-0000-0000-0000C50A0000}"/>
    <cellStyle name="20% - Accent2 2 3 3 5" xfId="4295" xr:uid="{00000000-0005-0000-0000-0000C60A0000}"/>
    <cellStyle name="20% - Accent2 2 3 3 5 2" xfId="3801" xr:uid="{00000000-0005-0000-0000-0000C70A0000}"/>
    <cellStyle name="20% - Accent2 2 3 3 5 2 2" xfId="22570" xr:uid="{00000000-0005-0000-0000-0000C80A0000}"/>
    <cellStyle name="20% - Accent2 2 3 3 5 3" xfId="3623" xr:uid="{00000000-0005-0000-0000-0000C90A0000}"/>
    <cellStyle name="20% - Accent2 2 3 3 6" xfId="4305" xr:uid="{00000000-0005-0000-0000-0000CA0A0000}"/>
    <cellStyle name="20% - Accent2 2 3 3 6 2" xfId="3808" xr:uid="{00000000-0005-0000-0000-0000CB0A0000}"/>
    <cellStyle name="20% - Accent2 2 3 3 7" xfId="4311" xr:uid="{00000000-0005-0000-0000-0000CC0A0000}"/>
    <cellStyle name="20% - Accent2 2 3 4" xfId="11357" xr:uid="{00000000-0005-0000-0000-0000CD0A0000}"/>
    <cellStyle name="20% - Accent2 2 3 4 2" xfId="7264" xr:uid="{00000000-0005-0000-0000-0000CE0A0000}"/>
    <cellStyle name="20% - Accent2 2 3 4 2 2" xfId="4317" xr:uid="{00000000-0005-0000-0000-0000CF0A0000}"/>
    <cellStyle name="20% - Accent2 2 3 4 2 2 2" xfId="20568" xr:uid="{00000000-0005-0000-0000-0000D00A0000}"/>
    <cellStyle name="20% - Accent2 2 3 4 2 2 2 2" xfId="16036" xr:uid="{00000000-0005-0000-0000-0000D10A0000}"/>
    <cellStyle name="20% - Accent2 2 3 4 2 2 2 2 2" xfId="6499" xr:uid="{00000000-0005-0000-0000-0000D20A0000}"/>
    <cellStyle name="20% - Accent2 2 3 4 2 2 2 3" xfId="4319" xr:uid="{00000000-0005-0000-0000-0000D30A0000}"/>
    <cellStyle name="20% - Accent2 2 3 4 2 2 3" xfId="20571" xr:uid="{00000000-0005-0000-0000-0000D40A0000}"/>
    <cellStyle name="20% - Accent2 2 3 4 2 2 3 2" xfId="4329" xr:uid="{00000000-0005-0000-0000-0000D50A0000}"/>
    <cellStyle name="20% - Accent2 2 3 4 2 2 4" xfId="10793" xr:uid="{00000000-0005-0000-0000-0000D60A0000}"/>
    <cellStyle name="20% - Accent2 2 3 4 2 3" xfId="4342" xr:uid="{00000000-0005-0000-0000-0000D70A0000}"/>
    <cellStyle name="20% - Accent2 2 3 4 2 3 2" xfId="20576" xr:uid="{00000000-0005-0000-0000-0000D80A0000}"/>
    <cellStyle name="20% - Accent2 2 3 4 2 3 2 2" xfId="22071" xr:uid="{00000000-0005-0000-0000-0000D90A0000}"/>
    <cellStyle name="20% - Accent2 2 3 4 2 3 3" xfId="4347" xr:uid="{00000000-0005-0000-0000-0000DA0A0000}"/>
    <cellStyle name="20% - Accent2 2 3 4 2 4" xfId="7312" xr:uid="{00000000-0005-0000-0000-0000DB0A0000}"/>
    <cellStyle name="20% - Accent2 2 3 4 2 4 2" xfId="1616" xr:uid="{00000000-0005-0000-0000-0000DC0A0000}"/>
    <cellStyle name="20% - Accent2 2 3 4 2 5" xfId="12842" xr:uid="{00000000-0005-0000-0000-0000DD0A0000}"/>
    <cellStyle name="20% - Accent2 2 3 4 3" xfId="24" xr:uid="{00000000-0005-0000-0000-0000DE0A0000}"/>
    <cellStyle name="20% - Accent2 2 3 4 3 2" xfId="7378" xr:uid="{00000000-0005-0000-0000-0000DF0A0000}"/>
    <cellStyle name="20% - Accent2 2 3 4 3 2 2" xfId="20587" xr:uid="{00000000-0005-0000-0000-0000E00A0000}"/>
    <cellStyle name="20% - Accent2 2 3 4 3 2 2 2" xfId="14313" xr:uid="{00000000-0005-0000-0000-0000E10A0000}"/>
    <cellStyle name="20% - Accent2 2 3 4 3 2 3" xfId="4370" xr:uid="{00000000-0005-0000-0000-0000E20A0000}"/>
    <cellStyle name="20% - Accent2 2 3 4 3 3" xfId="7314" xr:uid="{00000000-0005-0000-0000-0000E30A0000}"/>
    <cellStyle name="20% - Accent2 2 3 4 3 3 2" xfId="915" xr:uid="{00000000-0005-0000-0000-0000E40A0000}"/>
    <cellStyle name="20% - Accent2 2 3 4 3 4" xfId="416" xr:uid="{00000000-0005-0000-0000-0000E50A0000}"/>
    <cellStyle name="20% - Accent2 2 3 4 4" xfId="4386" xr:uid="{00000000-0005-0000-0000-0000E60A0000}"/>
    <cellStyle name="20% - Accent2 2 3 4 4 2" xfId="3811" xr:uid="{00000000-0005-0000-0000-0000E70A0000}"/>
    <cellStyle name="20% - Accent2 2 3 4 4 2 2" xfId="4389" xr:uid="{00000000-0005-0000-0000-0000E80A0000}"/>
    <cellStyle name="20% - Accent2 2 3 4 4 3" xfId="130" xr:uid="{00000000-0005-0000-0000-0000E90A0000}"/>
    <cellStyle name="20% - Accent2 2 3 4 5" xfId="4397" xr:uid="{00000000-0005-0000-0000-0000EA0A0000}"/>
    <cellStyle name="20% - Accent2 2 3 4 5 2" xfId="13112" xr:uid="{00000000-0005-0000-0000-0000EB0A0000}"/>
    <cellStyle name="20% - Accent2 2 3 4 6" xfId="4410" xr:uid="{00000000-0005-0000-0000-0000EC0A0000}"/>
    <cellStyle name="20% - Accent2 2 3 5" xfId="12558" xr:uid="{00000000-0005-0000-0000-0000ED0A0000}"/>
    <cellStyle name="20% - Accent2 2 3 5 2" xfId="77" xr:uid="{00000000-0005-0000-0000-0000EE0A0000}"/>
    <cellStyle name="20% - Accent2 2 3 5 2 2" xfId="4419" xr:uid="{00000000-0005-0000-0000-0000EF0A0000}"/>
    <cellStyle name="20% - Accent2 2 3 5 2 2 2" xfId="20629" xr:uid="{00000000-0005-0000-0000-0000F00A0000}"/>
    <cellStyle name="20% - Accent2 2 3 5 2 2 2 2" xfId="4421" xr:uid="{00000000-0005-0000-0000-0000F10A0000}"/>
    <cellStyle name="20% - Accent2 2 3 5 2 2 3" xfId="753" xr:uid="{00000000-0005-0000-0000-0000F20A0000}"/>
    <cellStyle name="20% - Accent2 2 3 5 2 3" xfId="7324" xr:uid="{00000000-0005-0000-0000-0000F30A0000}"/>
    <cellStyle name="20% - Accent2 2 3 5 2 3 2" xfId="4422" xr:uid="{00000000-0005-0000-0000-0000F40A0000}"/>
    <cellStyle name="20% - Accent2 2 3 5 2 4" xfId="3683" xr:uid="{00000000-0005-0000-0000-0000F50A0000}"/>
    <cellStyle name="20% - Accent2 2 3 5 3" xfId="1871" xr:uid="{00000000-0005-0000-0000-0000F60A0000}"/>
    <cellStyle name="20% - Accent2 2 3 5 3 2" xfId="4434" xr:uid="{00000000-0005-0000-0000-0000F70A0000}"/>
    <cellStyle name="20% - Accent2 2 3 5 3 2 2" xfId="4438" xr:uid="{00000000-0005-0000-0000-0000F80A0000}"/>
    <cellStyle name="20% - Accent2 2 3 5 3 3" xfId="4440" xr:uid="{00000000-0005-0000-0000-0000F90A0000}"/>
    <cellStyle name="20% - Accent2 2 3 5 4" xfId="9960" xr:uid="{00000000-0005-0000-0000-0000FA0A0000}"/>
    <cellStyle name="20% - Accent2 2 3 5 4 2" xfId="3833" xr:uid="{00000000-0005-0000-0000-0000FB0A0000}"/>
    <cellStyle name="20% - Accent2 2 3 5 5" xfId="9965" xr:uid="{00000000-0005-0000-0000-0000FC0A0000}"/>
    <cellStyle name="20% - Accent2 2 3 6" xfId="5507" xr:uid="{00000000-0005-0000-0000-0000FD0A0000}"/>
    <cellStyle name="20% - Accent2 2 3 6 2" xfId="4452" xr:uid="{00000000-0005-0000-0000-0000FE0A0000}"/>
    <cellStyle name="20% - Accent2 2 3 6 2 2" xfId="4454" xr:uid="{00000000-0005-0000-0000-0000FF0A0000}"/>
    <cellStyle name="20% - Accent2 2 3 6 2 2 2" xfId="4928" xr:uid="{00000000-0005-0000-0000-0000000B0000}"/>
    <cellStyle name="20% - Accent2 2 3 6 2 3" xfId="4466" xr:uid="{00000000-0005-0000-0000-0000010B0000}"/>
    <cellStyle name="20% - Accent2 2 3 6 3" xfId="4468" xr:uid="{00000000-0005-0000-0000-0000020B0000}"/>
    <cellStyle name="20% - Accent2 2 3 6 3 2" xfId="10324" xr:uid="{00000000-0005-0000-0000-0000030B0000}"/>
    <cellStyle name="20% - Accent2 2 3 6 4" xfId="10154" xr:uid="{00000000-0005-0000-0000-0000040B0000}"/>
    <cellStyle name="20% - Accent2 2 3 7" xfId="8607" xr:uid="{00000000-0005-0000-0000-0000050B0000}"/>
    <cellStyle name="20% - Accent2 2 3 7 2" xfId="8614" xr:uid="{00000000-0005-0000-0000-0000060B0000}"/>
    <cellStyle name="20% - Accent2 2 3 7 2 2" xfId="12678" xr:uid="{00000000-0005-0000-0000-0000070B0000}"/>
    <cellStyle name="20% - Accent2 2 3 7 3" xfId="15899" xr:uid="{00000000-0005-0000-0000-0000080B0000}"/>
    <cellStyle name="20% - Accent2 2 3 8" xfId="12885" xr:uid="{00000000-0005-0000-0000-0000090B0000}"/>
    <cellStyle name="20% - Accent2 2 3 8 2" xfId="32" xr:uid="{00000000-0005-0000-0000-00000A0B0000}"/>
    <cellStyle name="20% - Accent2 2 3 9" xfId="8413" xr:uid="{00000000-0005-0000-0000-00000B0B0000}"/>
    <cellStyle name="20% - Accent2 2 4" xfId="10309" xr:uid="{00000000-0005-0000-0000-00000C0B0000}"/>
    <cellStyle name="20% - Accent2 2 4 2" xfId="4496" xr:uid="{00000000-0005-0000-0000-00000D0B0000}"/>
    <cellStyle name="20% - Accent2 2 4 2 2" xfId="1980" xr:uid="{00000000-0005-0000-0000-00000E0B0000}"/>
    <cellStyle name="20% - Accent2 2 4 2 2 2" xfId="4500" xr:uid="{00000000-0005-0000-0000-00000F0B0000}"/>
    <cellStyle name="20% - Accent2 2 4 2 2 2 2" xfId="7621" xr:uid="{00000000-0005-0000-0000-0000100B0000}"/>
    <cellStyle name="20% - Accent2 2 4 2 2 2 2 2" xfId="26559" xr:uid="{00000000-0005-0000-0000-0000110B0000}"/>
    <cellStyle name="20% - Accent2 2 4 2 2 2 2 2 2" xfId="4505" xr:uid="{00000000-0005-0000-0000-0000120B0000}"/>
    <cellStyle name="20% - Accent2 2 4 2 2 2 2 2 2 2" xfId="14581" xr:uid="{00000000-0005-0000-0000-0000130B0000}"/>
    <cellStyle name="20% - Accent2 2 4 2 2 2 2 2 3" xfId="8383" xr:uid="{00000000-0005-0000-0000-0000140B0000}"/>
    <cellStyle name="20% - Accent2 2 4 2 2 2 2 3" xfId="24775" xr:uid="{00000000-0005-0000-0000-0000150B0000}"/>
    <cellStyle name="20% - Accent2 2 4 2 2 2 2 3 2" xfId="6101" xr:uid="{00000000-0005-0000-0000-0000160B0000}"/>
    <cellStyle name="20% - Accent2 2 4 2 2 2 2 4" xfId="11201" xr:uid="{00000000-0005-0000-0000-0000170B0000}"/>
    <cellStyle name="20% - Accent2 2 4 2 2 2 3" xfId="4519" xr:uid="{00000000-0005-0000-0000-0000180B0000}"/>
    <cellStyle name="20% - Accent2 2 4 2 2 2 3 2" xfId="10869" xr:uid="{00000000-0005-0000-0000-0000190B0000}"/>
    <cellStyle name="20% - Accent2 2 4 2 2 2 3 2 2" xfId="4527" xr:uid="{00000000-0005-0000-0000-00001A0B0000}"/>
    <cellStyle name="20% - Accent2 2 4 2 2 2 3 3" xfId="12805" xr:uid="{00000000-0005-0000-0000-00001B0B0000}"/>
    <cellStyle name="20% - Accent2 2 4 2 2 2 4" xfId="5150" xr:uid="{00000000-0005-0000-0000-00001C0B0000}"/>
    <cellStyle name="20% - Accent2 2 4 2 2 2 4 2" xfId="12808" xr:uid="{00000000-0005-0000-0000-00001D0B0000}"/>
    <cellStyle name="20% - Accent2 2 4 2 2 2 5" xfId="4548" xr:uid="{00000000-0005-0000-0000-00001E0B0000}"/>
    <cellStyle name="20% - Accent2 2 4 2 2 3" xfId="4553" xr:uid="{00000000-0005-0000-0000-00001F0B0000}"/>
    <cellStyle name="20% - Accent2 2 4 2 2 3 2" xfId="4556" xr:uid="{00000000-0005-0000-0000-0000200B0000}"/>
    <cellStyle name="20% - Accent2 2 4 2 2 3 2 2" xfId="7500" xr:uid="{00000000-0005-0000-0000-0000210B0000}"/>
    <cellStyle name="20% - Accent2 2 4 2 2 3 2 2 2" xfId="4562" xr:uid="{00000000-0005-0000-0000-0000220B0000}"/>
    <cellStyle name="20% - Accent2 2 4 2 2 3 2 3" xfId="17224" xr:uid="{00000000-0005-0000-0000-0000230B0000}"/>
    <cellStyle name="20% - Accent2 2 4 2 2 3 3" xfId="12838" xr:uid="{00000000-0005-0000-0000-0000240B0000}"/>
    <cellStyle name="20% - Accent2 2 4 2 2 3 3 2" xfId="12845" xr:uid="{00000000-0005-0000-0000-0000250B0000}"/>
    <cellStyle name="20% - Accent2 2 4 2 2 3 4" xfId="4568" xr:uid="{00000000-0005-0000-0000-0000260B0000}"/>
    <cellStyle name="20% - Accent2 2 4 2 2 4" xfId="3119" xr:uid="{00000000-0005-0000-0000-0000270B0000}"/>
    <cellStyle name="20% - Accent2 2 4 2 2 4 2" xfId="7636" xr:uid="{00000000-0005-0000-0000-0000280B0000}"/>
    <cellStyle name="20% - Accent2 2 4 2 2 4 2 2" xfId="18879" xr:uid="{00000000-0005-0000-0000-0000290B0000}"/>
    <cellStyle name="20% - Accent2 2 4 2 2 4 3" xfId="12448" xr:uid="{00000000-0005-0000-0000-00002A0B0000}"/>
    <cellStyle name="20% - Accent2 2 4 2 2 5" xfId="12848" xr:uid="{00000000-0005-0000-0000-00002B0B0000}"/>
    <cellStyle name="20% - Accent2 2 4 2 2 5 2" xfId="6757" xr:uid="{00000000-0005-0000-0000-00002C0B0000}"/>
    <cellStyle name="20% - Accent2 2 4 2 2 6" xfId="12854" xr:uid="{00000000-0005-0000-0000-00002D0B0000}"/>
    <cellStyle name="20% - Accent2 2 4 2 3" xfId="2275" xr:uid="{00000000-0005-0000-0000-00002E0B0000}"/>
    <cellStyle name="20% - Accent2 2 4 2 3 2" xfId="4598" xr:uid="{00000000-0005-0000-0000-00002F0B0000}"/>
    <cellStyle name="20% - Accent2 2 4 2 3 2 2" xfId="7712" xr:uid="{00000000-0005-0000-0000-0000300B0000}"/>
    <cellStyle name="20% - Accent2 2 4 2 3 2 2 2" xfId="12970" xr:uid="{00000000-0005-0000-0000-0000310B0000}"/>
    <cellStyle name="20% - Accent2 2 4 2 3 2 2 2 2" xfId="9189" xr:uid="{00000000-0005-0000-0000-0000320B0000}"/>
    <cellStyle name="20% - Accent2 2 4 2 3 2 2 3" xfId="7219" xr:uid="{00000000-0005-0000-0000-0000330B0000}"/>
    <cellStyle name="20% - Accent2 2 4 2 3 2 3" xfId="10719" xr:uid="{00000000-0005-0000-0000-0000340B0000}"/>
    <cellStyle name="20% - Accent2 2 4 2 3 2 3 2" xfId="12976" xr:uid="{00000000-0005-0000-0000-0000350B0000}"/>
    <cellStyle name="20% - Accent2 2 4 2 3 2 4" xfId="4606" xr:uid="{00000000-0005-0000-0000-0000360B0000}"/>
    <cellStyle name="20% - Accent2 2 4 2 3 3" xfId="14997" xr:uid="{00000000-0005-0000-0000-0000370B0000}"/>
    <cellStyle name="20% - Accent2 2 4 2 3 3 2" xfId="7721" xr:uid="{00000000-0005-0000-0000-0000380B0000}"/>
    <cellStyle name="20% - Accent2 2 4 2 3 3 2 2" xfId="23579" xr:uid="{00000000-0005-0000-0000-0000390B0000}"/>
    <cellStyle name="20% - Accent2 2 4 2 3 3 3" xfId="4612" xr:uid="{00000000-0005-0000-0000-00003A0B0000}"/>
    <cellStyle name="20% - Accent2 2 4 2 3 4" xfId="4614" xr:uid="{00000000-0005-0000-0000-00003B0B0000}"/>
    <cellStyle name="20% - Accent2 2 4 2 3 4 2" xfId="2424" xr:uid="{00000000-0005-0000-0000-00003C0B0000}"/>
    <cellStyle name="20% - Accent2 2 4 2 3 5" xfId="12864" xr:uid="{00000000-0005-0000-0000-00003D0B0000}"/>
    <cellStyle name="20% - Accent2 2 4 2 4" xfId="12173" xr:uid="{00000000-0005-0000-0000-00003E0B0000}"/>
    <cellStyle name="20% - Accent2 2 4 2 4 2" xfId="4619" xr:uid="{00000000-0005-0000-0000-00003F0B0000}"/>
    <cellStyle name="20% - Accent2 2 4 2 4 2 2" xfId="8491" xr:uid="{00000000-0005-0000-0000-0000400B0000}"/>
    <cellStyle name="20% - Accent2 2 4 2 4 2 2 2" xfId="24146" xr:uid="{00000000-0005-0000-0000-0000410B0000}"/>
    <cellStyle name="20% - Accent2 2 4 2 4 2 3" xfId="4621" xr:uid="{00000000-0005-0000-0000-0000420B0000}"/>
    <cellStyle name="20% - Accent2 2 4 2 4 3" xfId="4623" xr:uid="{00000000-0005-0000-0000-0000430B0000}"/>
    <cellStyle name="20% - Accent2 2 4 2 4 3 2" xfId="4629" xr:uid="{00000000-0005-0000-0000-0000440B0000}"/>
    <cellStyle name="20% - Accent2 2 4 2 4 4" xfId="4632" xr:uid="{00000000-0005-0000-0000-0000450B0000}"/>
    <cellStyle name="20% - Accent2 2 4 2 5" xfId="4325" xr:uid="{00000000-0005-0000-0000-0000460B0000}"/>
    <cellStyle name="20% - Accent2 2 4 2 5 2" xfId="4637" xr:uid="{00000000-0005-0000-0000-0000470B0000}"/>
    <cellStyle name="20% - Accent2 2 4 2 5 2 2" xfId="4643" xr:uid="{00000000-0005-0000-0000-0000480B0000}"/>
    <cellStyle name="20% - Accent2 2 4 2 5 3" xfId="4646" xr:uid="{00000000-0005-0000-0000-0000490B0000}"/>
    <cellStyle name="20% - Accent2 2 4 2 6" xfId="4334" xr:uid="{00000000-0005-0000-0000-00004A0B0000}"/>
    <cellStyle name="20% - Accent2 2 4 2 6 2" xfId="4652" xr:uid="{00000000-0005-0000-0000-00004B0B0000}"/>
    <cellStyle name="20% - Accent2 2 4 2 7" xfId="4655" xr:uid="{00000000-0005-0000-0000-00004C0B0000}"/>
    <cellStyle name="20% - Accent2 2 4 3" xfId="5470" xr:uid="{00000000-0005-0000-0000-00004D0B0000}"/>
    <cellStyle name="20% - Accent2 2 4 3 2" xfId="578" xr:uid="{00000000-0005-0000-0000-00004E0B0000}"/>
    <cellStyle name="20% - Accent2 2 4 3 2 2" xfId="4660" xr:uid="{00000000-0005-0000-0000-00004F0B0000}"/>
    <cellStyle name="20% - Accent2 2 4 3 2 2 2" xfId="4673" xr:uid="{00000000-0005-0000-0000-0000500B0000}"/>
    <cellStyle name="20% - Accent2 2 4 3 2 2 2 2" xfId="13148" xr:uid="{00000000-0005-0000-0000-0000510B0000}"/>
    <cellStyle name="20% - Accent2 2 4 3 2 2 2 2 2" xfId="4680" xr:uid="{00000000-0005-0000-0000-0000520B0000}"/>
    <cellStyle name="20% - Accent2 2 4 3 2 2 2 3" xfId="26834" xr:uid="{00000000-0005-0000-0000-0000530B0000}"/>
    <cellStyle name="20% - Accent2 2 4 3 2 2 3" xfId="20717" xr:uid="{00000000-0005-0000-0000-0000540B0000}"/>
    <cellStyle name="20% - Accent2 2 4 3 2 2 3 2" xfId="12495" xr:uid="{00000000-0005-0000-0000-0000550B0000}"/>
    <cellStyle name="20% - Accent2 2 4 3 2 2 4" xfId="26376" xr:uid="{00000000-0005-0000-0000-0000560B0000}"/>
    <cellStyle name="20% - Accent2 2 4 3 2 3" xfId="4693" xr:uid="{00000000-0005-0000-0000-0000570B0000}"/>
    <cellStyle name="20% - Accent2 2 4 3 2 3 2" xfId="20726" xr:uid="{00000000-0005-0000-0000-0000580B0000}"/>
    <cellStyle name="20% - Accent2 2 4 3 2 3 2 2" xfId="6815" xr:uid="{00000000-0005-0000-0000-0000590B0000}"/>
    <cellStyle name="20% - Accent2 2 4 3 2 3 3" xfId="12387" xr:uid="{00000000-0005-0000-0000-00005A0B0000}"/>
    <cellStyle name="20% - Accent2 2 4 3 2 4" xfId="7372" xr:uid="{00000000-0005-0000-0000-00005B0B0000}"/>
    <cellStyle name="20% - Accent2 2 4 3 2 4 2" xfId="12391" xr:uid="{00000000-0005-0000-0000-00005C0B0000}"/>
    <cellStyle name="20% - Accent2 2 4 3 2 5" xfId="12872" xr:uid="{00000000-0005-0000-0000-00005D0B0000}"/>
    <cellStyle name="20% - Accent2 2 4 3 3" xfId="12180" xr:uid="{00000000-0005-0000-0000-00005E0B0000}"/>
    <cellStyle name="20% - Accent2 2 4 3 3 2" xfId="4719" xr:uid="{00000000-0005-0000-0000-00005F0B0000}"/>
    <cellStyle name="20% - Accent2 2 4 3 3 2 2" xfId="20739" xr:uid="{00000000-0005-0000-0000-0000600B0000}"/>
    <cellStyle name="20% - Accent2 2 4 3 3 2 2 2" xfId="13197" xr:uid="{00000000-0005-0000-0000-0000610B0000}"/>
    <cellStyle name="20% - Accent2 2 4 3 3 2 3" xfId="4724" xr:uid="{00000000-0005-0000-0000-0000620B0000}"/>
    <cellStyle name="20% - Accent2 2 4 3 3 3" xfId="7382" xr:uid="{00000000-0005-0000-0000-0000630B0000}"/>
    <cellStyle name="20% - Accent2 2 4 3 3 3 2" xfId="5592" xr:uid="{00000000-0005-0000-0000-0000640B0000}"/>
    <cellStyle name="20% - Accent2 2 4 3 3 4" xfId="4893" xr:uid="{00000000-0005-0000-0000-0000650B0000}"/>
    <cellStyle name="20% - Accent2 2 4 3 4" xfId="4345" xr:uid="{00000000-0005-0000-0000-0000660B0000}"/>
    <cellStyle name="20% - Accent2 2 4 3 4 2" xfId="5960" xr:uid="{00000000-0005-0000-0000-0000670B0000}"/>
    <cellStyle name="20% - Accent2 2 4 3 4 2 2" xfId="4741" xr:uid="{00000000-0005-0000-0000-0000680B0000}"/>
    <cellStyle name="20% - Accent2 2 4 3 4 3" xfId="3847" xr:uid="{00000000-0005-0000-0000-0000690B0000}"/>
    <cellStyle name="20% - Accent2 2 4 3 5" xfId="4350" xr:uid="{00000000-0005-0000-0000-00006A0B0000}"/>
    <cellStyle name="20% - Accent2 2 4 3 5 2" xfId="3860" xr:uid="{00000000-0005-0000-0000-00006B0B0000}"/>
    <cellStyle name="20% - Accent2 2 4 3 6" xfId="4746" xr:uid="{00000000-0005-0000-0000-00006C0B0000}"/>
    <cellStyle name="20% - Accent2 2 4 4" xfId="11589" xr:uid="{00000000-0005-0000-0000-00006D0B0000}"/>
    <cellStyle name="20% - Accent2 2 4 4 2" xfId="1883" xr:uid="{00000000-0005-0000-0000-00006E0B0000}"/>
    <cellStyle name="20% - Accent2 2 4 4 2 2" xfId="4754" xr:uid="{00000000-0005-0000-0000-00006F0B0000}"/>
    <cellStyle name="20% - Accent2 2 4 4 2 2 2" xfId="20784" xr:uid="{00000000-0005-0000-0000-0000700B0000}"/>
    <cellStyle name="20% - Accent2 2 4 4 2 2 2 2" xfId="12416" xr:uid="{00000000-0005-0000-0000-0000710B0000}"/>
    <cellStyle name="20% - Accent2 2 4 4 2 2 3" xfId="4758" xr:uid="{00000000-0005-0000-0000-0000720B0000}"/>
    <cellStyle name="20% - Accent2 2 4 4 2 3" xfId="4764" xr:uid="{00000000-0005-0000-0000-0000730B0000}"/>
    <cellStyle name="20% - Accent2 2 4 4 2 3 2" xfId="4767" xr:uid="{00000000-0005-0000-0000-0000740B0000}"/>
    <cellStyle name="20% - Accent2 2 4 4 2 4" xfId="4516" xr:uid="{00000000-0005-0000-0000-0000750B0000}"/>
    <cellStyle name="20% - Accent2 2 4 4 3" xfId="1066" xr:uid="{00000000-0005-0000-0000-0000760B0000}"/>
    <cellStyle name="20% - Accent2 2 4 4 3 2" xfId="4776" xr:uid="{00000000-0005-0000-0000-0000770B0000}"/>
    <cellStyle name="20% - Accent2 2 4 4 3 2 2" xfId="9144" xr:uid="{00000000-0005-0000-0000-0000780B0000}"/>
    <cellStyle name="20% - Accent2 2 4 4 3 3" xfId="4781" xr:uid="{00000000-0005-0000-0000-0000790B0000}"/>
    <cellStyle name="20% - Accent2 2 4 4 4" xfId="1619" xr:uid="{00000000-0005-0000-0000-00007A0B0000}"/>
    <cellStyle name="20% - Accent2 2 4 4 4 2" xfId="3865" xr:uid="{00000000-0005-0000-0000-00007B0B0000}"/>
    <cellStyle name="20% - Accent2 2 4 4 5" xfId="2239" xr:uid="{00000000-0005-0000-0000-00007C0B0000}"/>
    <cellStyle name="20% - Accent2 2 4 5" xfId="18703" xr:uid="{00000000-0005-0000-0000-00007D0B0000}"/>
    <cellStyle name="20% - Accent2 2 4 5 2" xfId="4789" xr:uid="{00000000-0005-0000-0000-00007E0B0000}"/>
    <cellStyle name="20% - Accent2 2 4 5 2 2" xfId="8560" xr:uid="{00000000-0005-0000-0000-00007F0B0000}"/>
    <cellStyle name="20% - Accent2 2 4 5 2 2 2" xfId="9545" xr:uid="{00000000-0005-0000-0000-0000800B0000}"/>
    <cellStyle name="20% - Accent2 2 4 5 2 3" xfId="4797" xr:uid="{00000000-0005-0000-0000-0000810B0000}"/>
    <cellStyle name="20% - Accent2 2 4 5 3" xfId="19034" xr:uid="{00000000-0005-0000-0000-0000820B0000}"/>
    <cellStyle name="20% - Accent2 2 4 5 3 2" xfId="4799" xr:uid="{00000000-0005-0000-0000-0000830B0000}"/>
    <cellStyle name="20% - Accent2 2 4 5 4" xfId="1643" xr:uid="{00000000-0005-0000-0000-0000840B0000}"/>
    <cellStyle name="20% - Accent2 2 4 6" xfId="5539" xr:uid="{00000000-0005-0000-0000-0000850B0000}"/>
    <cellStyle name="20% - Accent2 2 4 6 2" xfId="4807" xr:uid="{00000000-0005-0000-0000-0000860B0000}"/>
    <cellStyle name="20% - Accent2 2 4 6 2 2" xfId="4809" xr:uid="{00000000-0005-0000-0000-0000870B0000}"/>
    <cellStyle name="20% - Accent2 2 4 6 3" xfId="31393" xr:uid="{00000000-0005-0000-0000-0000880B0000}"/>
    <cellStyle name="20% - Accent2 2 4 7" xfId="8628" xr:uid="{00000000-0005-0000-0000-0000890B0000}"/>
    <cellStyle name="20% - Accent2 2 4 7 2" xfId="4814" xr:uid="{00000000-0005-0000-0000-00008A0B0000}"/>
    <cellStyle name="20% - Accent2 2 4 8" xfId="21061" xr:uid="{00000000-0005-0000-0000-00008B0B0000}"/>
    <cellStyle name="20% - Accent2 2 5" xfId="15046" xr:uid="{00000000-0005-0000-0000-00008C0B0000}"/>
    <cellStyle name="20% - Accent2 2 5 2" xfId="18232" xr:uid="{00000000-0005-0000-0000-00008D0B0000}"/>
    <cellStyle name="20% - Accent2 2 5 2 2" xfId="8912" xr:uid="{00000000-0005-0000-0000-00008E0B0000}"/>
    <cellStyle name="20% - Accent2 2 5 2 2 2" xfId="4840" xr:uid="{00000000-0005-0000-0000-00008F0B0000}"/>
    <cellStyle name="20% - Accent2 2 5 2 2 2 2" xfId="4850" xr:uid="{00000000-0005-0000-0000-0000900B0000}"/>
    <cellStyle name="20% - Accent2 2 5 2 2 2 2 2" xfId="13537" xr:uid="{00000000-0005-0000-0000-0000910B0000}"/>
    <cellStyle name="20% - Accent2 2 5 2 2 2 2 2 2" xfId="4662" xr:uid="{00000000-0005-0000-0000-0000920B0000}"/>
    <cellStyle name="20% - Accent2 2 5 2 2 2 2 3" xfId="8254" xr:uid="{00000000-0005-0000-0000-0000930B0000}"/>
    <cellStyle name="20% - Accent2 2 5 2 2 2 3" xfId="4862" xr:uid="{00000000-0005-0000-0000-0000940B0000}"/>
    <cellStyle name="20% - Accent2 2 5 2 2 2 3 2" xfId="23972" xr:uid="{00000000-0005-0000-0000-0000950B0000}"/>
    <cellStyle name="20% - Accent2 2 5 2 2 2 4" xfId="4827" xr:uid="{00000000-0005-0000-0000-0000960B0000}"/>
    <cellStyle name="20% - Accent2 2 5 2 2 3" xfId="2923" xr:uid="{00000000-0005-0000-0000-0000970B0000}"/>
    <cellStyle name="20% - Accent2 2 5 2 2 3 2" xfId="13848" xr:uid="{00000000-0005-0000-0000-0000980B0000}"/>
    <cellStyle name="20% - Accent2 2 5 2 2 3 2 2" xfId="13555" xr:uid="{00000000-0005-0000-0000-0000990B0000}"/>
    <cellStyle name="20% - Accent2 2 5 2 2 3 3" xfId="9402" xr:uid="{00000000-0005-0000-0000-00009A0B0000}"/>
    <cellStyle name="20% - Accent2 2 5 2 2 4" xfId="2930" xr:uid="{00000000-0005-0000-0000-00009B0B0000}"/>
    <cellStyle name="20% - Accent2 2 5 2 2 4 2" xfId="13853" xr:uid="{00000000-0005-0000-0000-00009C0B0000}"/>
    <cellStyle name="20% - Accent2 2 5 2 2 5" xfId="12892" xr:uid="{00000000-0005-0000-0000-00009D0B0000}"/>
    <cellStyle name="20% - Accent2 2 5 2 3" xfId="23974" xr:uid="{00000000-0005-0000-0000-00009E0B0000}"/>
    <cellStyle name="20% - Accent2 2 5 2 3 2" xfId="3411" xr:uid="{00000000-0005-0000-0000-00009F0B0000}"/>
    <cellStyle name="20% - Accent2 2 5 2 3 2 2" xfId="6380" xr:uid="{00000000-0005-0000-0000-0000A00B0000}"/>
    <cellStyle name="20% - Accent2 2 5 2 3 2 2 2" xfId="13632" xr:uid="{00000000-0005-0000-0000-0000A10B0000}"/>
    <cellStyle name="20% - Accent2 2 5 2 3 2 3" xfId="6389" xr:uid="{00000000-0005-0000-0000-0000A20B0000}"/>
    <cellStyle name="20% - Accent2 2 5 2 3 3" xfId="2942" xr:uid="{00000000-0005-0000-0000-0000A30B0000}"/>
    <cellStyle name="20% - Accent2 2 5 2 3 3 2" xfId="13864" xr:uid="{00000000-0005-0000-0000-0000A40B0000}"/>
    <cellStyle name="20% - Accent2 2 5 2 3 4" xfId="5979" xr:uid="{00000000-0005-0000-0000-0000A50B0000}"/>
    <cellStyle name="20% - Accent2 2 5 2 4" xfId="4357" xr:uid="{00000000-0005-0000-0000-0000A60B0000}"/>
    <cellStyle name="20% - Accent2 2 5 2 4 2" xfId="3444" xr:uid="{00000000-0005-0000-0000-0000A70B0000}"/>
    <cellStyle name="20% - Accent2 2 5 2 4 2 2" xfId="6420" xr:uid="{00000000-0005-0000-0000-0000A80B0000}"/>
    <cellStyle name="20% - Accent2 2 5 2 4 3" xfId="4895" xr:uid="{00000000-0005-0000-0000-0000A90B0000}"/>
    <cellStyle name="20% - Accent2 2 5 2 5" xfId="4373" xr:uid="{00000000-0005-0000-0000-0000AA0B0000}"/>
    <cellStyle name="20% - Accent2 2 5 2 5 2" xfId="10462" xr:uid="{00000000-0005-0000-0000-0000AB0B0000}"/>
    <cellStyle name="20% - Accent2 2 5 2 6" xfId="4923" xr:uid="{00000000-0005-0000-0000-0000AC0B0000}"/>
    <cellStyle name="20% - Accent2 2 5 3" xfId="6521" xr:uid="{00000000-0005-0000-0000-0000AD0B0000}"/>
    <cellStyle name="20% - Accent2 2 5 3 2" xfId="23980" xr:uid="{00000000-0005-0000-0000-0000AE0B0000}"/>
    <cellStyle name="20% - Accent2 2 5 3 2 2" xfId="5234" xr:uid="{00000000-0005-0000-0000-0000AF0B0000}"/>
    <cellStyle name="20% - Accent2 2 5 3 2 2 2" xfId="20730" xr:uid="{00000000-0005-0000-0000-0000B00B0000}"/>
    <cellStyle name="20% - Accent2 2 5 3 2 2 2 2" xfId="13732" xr:uid="{00000000-0005-0000-0000-0000B10B0000}"/>
    <cellStyle name="20% - Accent2 2 5 3 2 2 3" xfId="20741" xr:uid="{00000000-0005-0000-0000-0000B20B0000}"/>
    <cellStyle name="20% - Accent2 2 5 3 2 3" xfId="7433" xr:uid="{00000000-0005-0000-0000-0000B30B0000}"/>
    <cellStyle name="20% - Accent2 2 5 3 2 3 2" xfId="18866" xr:uid="{00000000-0005-0000-0000-0000B40B0000}"/>
    <cellStyle name="20% - Accent2 2 5 3 2 4" xfId="8351" xr:uid="{00000000-0005-0000-0000-0000B50B0000}"/>
    <cellStyle name="20% - Accent2 2 5 3 3" xfId="4950" xr:uid="{00000000-0005-0000-0000-0000B60B0000}"/>
    <cellStyle name="20% - Accent2 2 5 3 3 2" xfId="4819" xr:uid="{00000000-0005-0000-0000-0000B70B0000}"/>
    <cellStyle name="20% - Accent2 2 5 3 3 2 2" xfId="6516" xr:uid="{00000000-0005-0000-0000-0000B80B0000}"/>
    <cellStyle name="20% - Accent2 2 5 3 3 3" xfId="4970" xr:uid="{00000000-0005-0000-0000-0000B90B0000}"/>
    <cellStyle name="20% - Accent2 2 5 3 4" xfId="6369" xr:uid="{00000000-0005-0000-0000-0000BA0B0000}"/>
    <cellStyle name="20% - Accent2 2 5 3 4 2" xfId="4225" xr:uid="{00000000-0005-0000-0000-0000BB0B0000}"/>
    <cellStyle name="20% - Accent2 2 5 3 5" xfId="4979" xr:uid="{00000000-0005-0000-0000-0000BC0B0000}"/>
    <cellStyle name="20% - Accent2 2 5 4" xfId="7847" xr:uid="{00000000-0005-0000-0000-0000BD0B0000}"/>
    <cellStyle name="20% - Accent2 2 5 4 2" xfId="4989" xr:uid="{00000000-0005-0000-0000-0000BE0B0000}"/>
    <cellStyle name="20% - Accent2 2 5 4 2 2" xfId="3522" xr:uid="{00000000-0005-0000-0000-0000BF0B0000}"/>
    <cellStyle name="20% - Accent2 2 5 4 2 2 2" xfId="21333" xr:uid="{00000000-0005-0000-0000-0000C00B0000}"/>
    <cellStyle name="20% - Accent2 2 5 4 2 3" xfId="7232" xr:uid="{00000000-0005-0000-0000-0000C10B0000}"/>
    <cellStyle name="20% - Accent2 2 5 4 3" xfId="10168" xr:uid="{00000000-0005-0000-0000-0000C20B0000}"/>
    <cellStyle name="20% - Accent2 2 5 4 3 2" xfId="4208" xr:uid="{00000000-0005-0000-0000-0000C30B0000}"/>
    <cellStyle name="20% - Accent2 2 5 4 4" xfId="10173" xr:uid="{00000000-0005-0000-0000-0000C40B0000}"/>
    <cellStyle name="20% - Accent2 2 5 5" xfId="18705" xr:uid="{00000000-0005-0000-0000-0000C50B0000}"/>
    <cellStyle name="20% - Accent2 2 5 5 2" xfId="9876" xr:uid="{00000000-0005-0000-0000-0000C60B0000}"/>
    <cellStyle name="20% - Accent2 2 5 5 2 2" xfId="5009" xr:uid="{00000000-0005-0000-0000-0000C70B0000}"/>
    <cellStyle name="20% - Accent2 2 5 5 3" xfId="10179" xr:uid="{00000000-0005-0000-0000-0000C80B0000}"/>
    <cellStyle name="20% - Accent2 2 5 6" xfId="1214" xr:uid="{00000000-0005-0000-0000-0000C90B0000}"/>
    <cellStyle name="20% - Accent2 2 5 6 2" xfId="4053" xr:uid="{00000000-0005-0000-0000-0000CA0B0000}"/>
    <cellStyle name="20% - Accent2 2 5 7" xfId="5015" xr:uid="{00000000-0005-0000-0000-0000CB0B0000}"/>
    <cellStyle name="20% - Accent2 2 6" xfId="4972" xr:uid="{00000000-0005-0000-0000-0000CC0B0000}"/>
    <cellStyle name="20% - Accent2 2 6 2" xfId="13510" xr:uid="{00000000-0005-0000-0000-0000CD0B0000}"/>
    <cellStyle name="20% - Accent2 2 6 2 2" xfId="3692" xr:uid="{00000000-0005-0000-0000-0000CE0B0000}"/>
    <cellStyle name="20% - Accent2 2 6 2 2 2" xfId="9398" xr:uid="{00000000-0005-0000-0000-0000CF0B0000}"/>
    <cellStyle name="20% - Accent2 2 6 2 2 2 2" xfId="5026" xr:uid="{00000000-0005-0000-0000-0000D00B0000}"/>
    <cellStyle name="20% - Accent2 2 6 2 2 2 2 2" xfId="17652" xr:uid="{00000000-0005-0000-0000-0000D10B0000}"/>
    <cellStyle name="20% - Accent2 2 6 2 2 2 3" xfId="5035" xr:uid="{00000000-0005-0000-0000-0000D20B0000}"/>
    <cellStyle name="20% - Accent2 2 6 2 2 3" xfId="3137" xr:uid="{00000000-0005-0000-0000-0000D30B0000}"/>
    <cellStyle name="20% - Accent2 2 6 2 2 3 2" xfId="13087" xr:uid="{00000000-0005-0000-0000-0000D40B0000}"/>
    <cellStyle name="20% - Accent2 2 6 2 2 4" xfId="5045" xr:uid="{00000000-0005-0000-0000-0000D50B0000}"/>
    <cellStyle name="20% - Accent2 2 6 2 3" xfId="2799" xr:uid="{00000000-0005-0000-0000-0000D60B0000}"/>
    <cellStyle name="20% - Accent2 2 6 2 3 2" xfId="9413" xr:uid="{00000000-0005-0000-0000-0000D70B0000}"/>
    <cellStyle name="20% - Accent2 2 6 2 3 2 2" xfId="3505" xr:uid="{00000000-0005-0000-0000-0000D80B0000}"/>
    <cellStyle name="20% - Accent2 2 6 2 3 3" xfId="5056" xr:uid="{00000000-0005-0000-0000-0000D90B0000}"/>
    <cellStyle name="20% - Accent2 2 6 2 4" xfId="4391" xr:uid="{00000000-0005-0000-0000-0000DA0B0000}"/>
    <cellStyle name="20% - Accent2 2 6 2 4 2" xfId="5070" xr:uid="{00000000-0005-0000-0000-0000DB0B0000}"/>
    <cellStyle name="20% - Accent2 2 6 2 5" xfId="5084" xr:uid="{00000000-0005-0000-0000-0000DC0B0000}"/>
    <cellStyle name="20% - Accent2 2 6 3" xfId="13521" xr:uid="{00000000-0005-0000-0000-0000DD0B0000}"/>
    <cellStyle name="20% - Accent2 2 6 3 2" xfId="4182" xr:uid="{00000000-0005-0000-0000-0000DE0B0000}"/>
    <cellStyle name="20% - Accent2 2 6 3 2 2" xfId="9422" xr:uid="{00000000-0005-0000-0000-0000DF0B0000}"/>
    <cellStyle name="20% - Accent2 2 6 3 2 2 2" xfId="22094" xr:uid="{00000000-0005-0000-0000-0000E00B0000}"/>
    <cellStyle name="20% - Accent2 2 6 3 2 3" xfId="5108" xr:uid="{00000000-0005-0000-0000-0000E10B0000}"/>
    <cellStyle name="20% - Accent2 2 6 3 3" xfId="4193" xr:uid="{00000000-0005-0000-0000-0000E20B0000}"/>
    <cellStyle name="20% - Accent2 2 6 3 3 2" xfId="5118" xr:uid="{00000000-0005-0000-0000-0000E30B0000}"/>
    <cellStyle name="20% - Accent2 2 6 3 4" xfId="3989" xr:uid="{00000000-0005-0000-0000-0000E40B0000}"/>
    <cellStyle name="20% - Accent2 2 6 4" xfId="14297" xr:uid="{00000000-0005-0000-0000-0000E50B0000}"/>
    <cellStyle name="20% - Accent2 2 6 4 2" xfId="12203" xr:uid="{00000000-0005-0000-0000-0000E60B0000}"/>
    <cellStyle name="20% - Accent2 2 6 4 2 2" xfId="5138" xr:uid="{00000000-0005-0000-0000-0000E70B0000}"/>
    <cellStyle name="20% - Accent2 2 6 4 3" xfId="10191" xr:uid="{00000000-0005-0000-0000-0000E80B0000}"/>
    <cellStyle name="20% - Accent2 2 6 5" xfId="5434" xr:uid="{00000000-0005-0000-0000-0000E90B0000}"/>
    <cellStyle name="20% - Accent2 2 6 5 2" xfId="3761" xr:uid="{00000000-0005-0000-0000-0000EA0B0000}"/>
    <cellStyle name="20% - Accent2 2 6 6" xfId="6789" xr:uid="{00000000-0005-0000-0000-0000EB0B0000}"/>
    <cellStyle name="20% - Accent2 2 7" xfId="6294" xr:uid="{00000000-0005-0000-0000-0000EC0B0000}"/>
    <cellStyle name="20% - Accent2 2 7 2" xfId="18591" xr:uid="{00000000-0005-0000-0000-0000ED0B0000}"/>
    <cellStyle name="20% - Accent2 2 7 2 2" xfId="8120" xr:uid="{00000000-0005-0000-0000-0000EE0B0000}"/>
    <cellStyle name="20% - Accent2 2 7 2 2 2" xfId="9439" xr:uid="{00000000-0005-0000-0000-0000EF0B0000}"/>
    <cellStyle name="20% - Accent2 2 7 2 2 2 2" xfId="13485" xr:uid="{00000000-0005-0000-0000-0000F00B0000}"/>
    <cellStyle name="20% - Accent2 2 7 2 2 3" xfId="1781" xr:uid="{00000000-0005-0000-0000-0000F10B0000}"/>
    <cellStyle name="20% - Accent2 2 7 2 3" xfId="1759" xr:uid="{00000000-0005-0000-0000-0000F20B0000}"/>
    <cellStyle name="20% - Accent2 2 7 2 3 2" xfId="9176" xr:uid="{00000000-0005-0000-0000-0000F30B0000}"/>
    <cellStyle name="20% - Accent2 2 7 2 4" xfId="2254" xr:uid="{00000000-0005-0000-0000-0000F40B0000}"/>
    <cellStyle name="20% - Accent2 2 7 3" xfId="14302" xr:uid="{00000000-0005-0000-0000-0000F50B0000}"/>
    <cellStyle name="20% - Accent2 2 7 3 2" xfId="3650" xr:uid="{00000000-0005-0000-0000-0000F60B0000}"/>
    <cellStyle name="20% - Accent2 2 7 3 2 2" xfId="16809" xr:uid="{00000000-0005-0000-0000-0000F70B0000}"/>
    <cellStyle name="20% - Accent2 2 7 3 3" xfId="1795" xr:uid="{00000000-0005-0000-0000-0000F80B0000}"/>
    <cellStyle name="20% - Accent2 2 7 4" xfId="5454" xr:uid="{00000000-0005-0000-0000-0000F90B0000}"/>
    <cellStyle name="20% - Accent2 2 7 4 2" xfId="14445" xr:uid="{00000000-0005-0000-0000-0000FA0B0000}"/>
    <cellStyle name="20% - Accent2 2 7 5" xfId="20950" xr:uid="{00000000-0005-0000-0000-0000FB0B0000}"/>
    <cellStyle name="20% - Accent2 2 8" xfId="8618" xr:uid="{00000000-0005-0000-0000-0000FC0B0000}"/>
    <cellStyle name="20% - Accent2 2 8 2" xfId="14307" xr:uid="{00000000-0005-0000-0000-0000FD0B0000}"/>
    <cellStyle name="20% - Accent2 2 8 2 2" xfId="3662" xr:uid="{00000000-0005-0000-0000-0000FE0B0000}"/>
    <cellStyle name="20% - Accent2 2 8 2 2 2" xfId="1888" xr:uid="{00000000-0005-0000-0000-0000FF0B0000}"/>
    <cellStyle name="20% - Accent2 2 8 2 3" xfId="3270" xr:uid="{00000000-0005-0000-0000-0000000C0000}"/>
    <cellStyle name="20% - Accent2 2 8 3" xfId="4530" xr:uid="{00000000-0005-0000-0000-0000010C0000}"/>
    <cellStyle name="20% - Accent2 2 8 3 2" xfId="3674" xr:uid="{00000000-0005-0000-0000-0000020C0000}"/>
    <cellStyle name="20% - Accent2 2 8 4" xfId="5154" xr:uid="{00000000-0005-0000-0000-0000030C0000}"/>
    <cellStyle name="20% - Accent2 2 9" xfId="5165" xr:uid="{00000000-0005-0000-0000-0000040C0000}"/>
    <cellStyle name="20% - Accent2 2 9 2" xfId="10421" xr:uid="{00000000-0005-0000-0000-0000050C0000}"/>
    <cellStyle name="20% - Accent2 2 9 2 2" xfId="8926" xr:uid="{00000000-0005-0000-0000-0000060C0000}"/>
    <cellStyle name="20% - Accent2 2 9 3" xfId="11359" xr:uid="{00000000-0005-0000-0000-0000070C0000}"/>
    <cellStyle name="20% - Accent2 3" xfId="5185" xr:uid="{00000000-0005-0000-0000-0000080C0000}"/>
    <cellStyle name="20% - Accent2 3 10" xfId="7169" xr:uid="{00000000-0005-0000-0000-0000090C0000}"/>
    <cellStyle name="20% - Accent2 3 2" xfId="5862" xr:uid="{00000000-0005-0000-0000-00000A0C0000}"/>
    <cellStyle name="20% - Accent2 3 2 2" xfId="1344" xr:uid="{00000000-0005-0000-0000-00000B0C0000}"/>
    <cellStyle name="20% - Accent2 3 2 2 2" xfId="3851" xr:uid="{00000000-0005-0000-0000-00000C0C0000}"/>
    <cellStyle name="20% - Accent2 3 2 2 2 2" xfId="10998" xr:uid="{00000000-0005-0000-0000-00000D0C0000}"/>
    <cellStyle name="20% - Accent2 3 2 2 2 2 2" xfId="5189" xr:uid="{00000000-0005-0000-0000-00000E0C0000}"/>
    <cellStyle name="20% - Accent2 3 2 2 2 2 2 2" xfId="20530" xr:uid="{00000000-0005-0000-0000-00000F0C0000}"/>
    <cellStyle name="20% - Accent2 3 2 2 2 2 2 2 2" xfId="24576" xr:uid="{00000000-0005-0000-0000-0000100C0000}"/>
    <cellStyle name="20% - Accent2 3 2 2 2 2 2 2 2 2" xfId="5531" xr:uid="{00000000-0005-0000-0000-0000110C0000}"/>
    <cellStyle name="20% - Accent2 3 2 2 2 2 2 2 2 2 2" xfId="4997" xr:uid="{00000000-0005-0000-0000-0000120C0000}"/>
    <cellStyle name="20% - Accent2 3 2 2 2 2 2 2 2 3" xfId="11733" xr:uid="{00000000-0005-0000-0000-0000130C0000}"/>
    <cellStyle name="20% - Accent2 3 2 2 2 2 2 2 3" xfId="14812" xr:uid="{00000000-0005-0000-0000-0000140C0000}"/>
    <cellStyle name="20% - Accent2 3 2 2 2 2 2 2 3 2" xfId="4503" xr:uid="{00000000-0005-0000-0000-0000150C0000}"/>
    <cellStyle name="20% - Accent2 3 2 2 2 2 2 2 4" xfId="5157" xr:uid="{00000000-0005-0000-0000-0000160C0000}"/>
    <cellStyle name="20% - Accent2 3 2 2 2 2 2 3" xfId="20538" xr:uid="{00000000-0005-0000-0000-0000170C0000}"/>
    <cellStyle name="20% - Accent2 3 2 2 2 2 2 3 2" xfId="5167" xr:uid="{00000000-0005-0000-0000-0000180C0000}"/>
    <cellStyle name="20% - Accent2 3 2 2 2 2 2 3 2 2" xfId="5731" xr:uid="{00000000-0005-0000-0000-0000190C0000}"/>
    <cellStyle name="20% - Accent2 3 2 2 2 2 2 3 3" xfId="5170" xr:uid="{00000000-0005-0000-0000-00001A0C0000}"/>
    <cellStyle name="20% - Accent2 3 2 2 2 2 2 4" xfId="20541" xr:uid="{00000000-0005-0000-0000-00001B0C0000}"/>
    <cellStyle name="20% - Accent2 3 2 2 2 2 2 4 2" xfId="4360" xr:uid="{00000000-0005-0000-0000-00001C0C0000}"/>
    <cellStyle name="20% - Accent2 3 2 2 2 2 2 5" xfId="20548" xr:uid="{00000000-0005-0000-0000-00001D0C0000}"/>
    <cellStyle name="20% - Accent2 3 2 2 2 2 3" xfId="5168" xr:uid="{00000000-0005-0000-0000-00001E0C0000}"/>
    <cellStyle name="20% - Accent2 3 2 2 2 2 3 2" xfId="19829" xr:uid="{00000000-0005-0000-0000-00001F0C0000}"/>
    <cellStyle name="20% - Accent2 3 2 2 2 2 3 2 2" xfId="3418" xr:uid="{00000000-0005-0000-0000-0000200C0000}"/>
    <cellStyle name="20% - Accent2 3 2 2 2 2 3 2 2 2" xfId="4362" xr:uid="{00000000-0005-0000-0000-0000210C0000}"/>
    <cellStyle name="20% - Accent2 3 2 2 2 2 3 2 3" xfId="464" xr:uid="{00000000-0005-0000-0000-0000220C0000}"/>
    <cellStyle name="20% - Accent2 3 2 2 2 2 3 3" xfId="27977" xr:uid="{00000000-0005-0000-0000-0000230C0000}"/>
    <cellStyle name="20% - Accent2 3 2 2 2 2 3 3 2" xfId="5198" xr:uid="{00000000-0005-0000-0000-0000240C0000}"/>
    <cellStyle name="20% - Accent2 3 2 2 2 2 3 4" xfId="20581" xr:uid="{00000000-0005-0000-0000-0000250C0000}"/>
    <cellStyle name="20% - Accent2 3 2 2 2 2 4" xfId="7493" xr:uid="{00000000-0005-0000-0000-0000260C0000}"/>
    <cellStyle name="20% - Accent2 3 2 2 2 2 4 2" xfId="10661" xr:uid="{00000000-0005-0000-0000-0000270C0000}"/>
    <cellStyle name="20% - Accent2 3 2 2 2 2 4 2 2" xfId="7498" xr:uid="{00000000-0005-0000-0000-0000280C0000}"/>
    <cellStyle name="20% - Accent2 3 2 2 2 2 4 3" xfId="25833" xr:uid="{00000000-0005-0000-0000-0000290C0000}"/>
    <cellStyle name="20% - Accent2 3 2 2 2 2 5" xfId="6854" xr:uid="{00000000-0005-0000-0000-00002A0C0000}"/>
    <cellStyle name="20% - Accent2 3 2 2 2 2 5 2" xfId="21573" xr:uid="{00000000-0005-0000-0000-00002B0C0000}"/>
    <cellStyle name="20% - Accent2 3 2 2 2 2 6" xfId="13620" xr:uid="{00000000-0005-0000-0000-00002C0C0000}"/>
    <cellStyle name="20% - Accent2 3 2 2 2 3" xfId="31231" xr:uid="{00000000-0005-0000-0000-00002D0C0000}"/>
    <cellStyle name="20% - Accent2 3 2 2 2 3 2" xfId="2950" xr:uid="{00000000-0005-0000-0000-00002E0C0000}"/>
    <cellStyle name="20% - Accent2 3 2 2 2 3 2 2" xfId="24155" xr:uid="{00000000-0005-0000-0000-00002F0C0000}"/>
    <cellStyle name="20% - Accent2 3 2 2 2 3 2 2 2" xfId="21986" xr:uid="{00000000-0005-0000-0000-0000300C0000}"/>
    <cellStyle name="20% - Accent2 3 2 2 2 3 2 2 2 2" xfId="20933" xr:uid="{00000000-0005-0000-0000-0000310C0000}"/>
    <cellStyle name="20% - Accent2 3 2 2 2 3 2 2 3" xfId="21994" xr:uid="{00000000-0005-0000-0000-0000320C0000}"/>
    <cellStyle name="20% - Accent2 3 2 2 2 3 2 3" xfId="20608" xr:uid="{00000000-0005-0000-0000-0000330C0000}"/>
    <cellStyle name="20% - Accent2 3 2 2 2 3 2 3 2" xfId="21998" xr:uid="{00000000-0005-0000-0000-0000340C0000}"/>
    <cellStyle name="20% - Accent2 3 2 2 2 3 2 4" xfId="20614" xr:uid="{00000000-0005-0000-0000-0000350C0000}"/>
    <cellStyle name="20% - Accent2 3 2 2 2 3 3" xfId="4365" xr:uid="{00000000-0005-0000-0000-0000360C0000}"/>
    <cellStyle name="20% - Accent2 3 2 2 2 3 3 2" xfId="14842" xr:uid="{00000000-0005-0000-0000-0000370C0000}"/>
    <cellStyle name="20% - Accent2 3 2 2 2 3 3 2 2" xfId="17008" xr:uid="{00000000-0005-0000-0000-0000380C0000}"/>
    <cellStyle name="20% - Accent2 3 2 2 2 3 3 3" xfId="14852" xr:uid="{00000000-0005-0000-0000-0000390C0000}"/>
    <cellStyle name="20% - Accent2 3 2 2 2 3 4" xfId="7524" xr:uid="{00000000-0005-0000-0000-00003A0C0000}"/>
    <cellStyle name="20% - Accent2 3 2 2 2 3 4 2" xfId="7529" xr:uid="{00000000-0005-0000-0000-00003B0C0000}"/>
    <cellStyle name="20% - Accent2 3 2 2 2 3 5" xfId="11714" xr:uid="{00000000-0005-0000-0000-00003C0C0000}"/>
    <cellStyle name="20% - Accent2 3 2 2 2 4" xfId="5215" xr:uid="{00000000-0005-0000-0000-00003D0C0000}"/>
    <cellStyle name="20% - Accent2 3 2 2 2 4 2" xfId="4959" xr:uid="{00000000-0005-0000-0000-00003E0C0000}"/>
    <cellStyle name="20% - Accent2 3 2 2 2 4 2 2" xfId="27154" xr:uid="{00000000-0005-0000-0000-00003F0C0000}"/>
    <cellStyle name="20% - Accent2 3 2 2 2 4 2 2 2" xfId="22117" xr:uid="{00000000-0005-0000-0000-0000400C0000}"/>
    <cellStyle name="20% - Accent2 3 2 2 2 4 2 3" xfId="20662" xr:uid="{00000000-0005-0000-0000-0000410C0000}"/>
    <cellStyle name="20% - Accent2 3 2 2 2 4 3" xfId="9388" xr:uid="{00000000-0005-0000-0000-0000420C0000}"/>
    <cellStyle name="20% - Accent2 3 2 2 2 4 3 2" xfId="14960" xr:uid="{00000000-0005-0000-0000-0000430C0000}"/>
    <cellStyle name="20% - Accent2 3 2 2 2 4 4" xfId="23274" xr:uid="{00000000-0005-0000-0000-0000440C0000}"/>
    <cellStyle name="20% - Accent2 3 2 2 2 5" xfId="5594" xr:uid="{00000000-0005-0000-0000-0000450C0000}"/>
    <cellStyle name="20% - Accent2 3 2 2 2 5 2" xfId="6071" xr:uid="{00000000-0005-0000-0000-0000460C0000}"/>
    <cellStyle name="20% - Accent2 3 2 2 2 5 2 2" xfId="20699" xr:uid="{00000000-0005-0000-0000-0000470C0000}"/>
    <cellStyle name="20% - Accent2 3 2 2 2 5 3" xfId="21191" xr:uid="{00000000-0005-0000-0000-0000480C0000}"/>
    <cellStyle name="20% - Accent2 3 2 2 2 6" xfId="5602" xr:uid="{00000000-0005-0000-0000-0000490C0000}"/>
    <cellStyle name="20% - Accent2 3 2 2 2 6 2" xfId="6097" xr:uid="{00000000-0005-0000-0000-00004A0C0000}"/>
    <cellStyle name="20% - Accent2 3 2 2 2 7" xfId="5606" xr:uid="{00000000-0005-0000-0000-00004B0C0000}"/>
    <cellStyle name="20% - Accent2 3 2 2 3" xfId="5232" xr:uid="{00000000-0005-0000-0000-00004C0C0000}"/>
    <cellStyle name="20% - Accent2 3 2 2 3 2" xfId="27915" xr:uid="{00000000-0005-0000-0000-00004D0C0000}"/>
    <cellStyle name="20% - Accent2 3 2 2 3 2 2" xfId="3003" xr:uid="{00000000-0005-0000-0000-00004E0C0000}"/>
    <cellStyle name="20% - Accent2 3 2 2 3 2 2 2" xfId="20754" xr:uid="{00000000-0005-0000-0000-00004F0C0000}"/>
    <cellStyle name="20% - Accent2 3 2 2 3 2 2 2 2" xfId="5237" xr:uid="{00000000-0005-0000-0000-0000500C0000}"/>
    <cellStyle name="20% - Accent2 3 2 2 3 2 2 2 2 2" xfId="4424" xr:uid="{00000000-0005-0000-0000-0000510C0000}"/>
    <cellStyle name="20% - Accent2 3 2 2 3 2 2 2 3" xfId="3208" xr:uid="{00000000-0005-0000-0000-0000520C0000}"/>
    <cellStyle name="20% - Accent2 3 2 2 3 2 2 3" xfId="5238" xr:uid="{00000000-0005-0000-0000-0000530C0000}"/>
    <cellStyle name="20% - Accent2 3 2 2 3 2 2 3 2" xfId="5242" xr:uid="{00000000-0005-0000-0000-0000540C0000}"/>
    <cellStyle name="20% - Accent2 3 2 2 3 2 2 4" xfId="20763" xr:uid="{00000000-0005-0000-0000-0000550C0000}"/>
    <cellStyle name="20% - Accent2 3 2 2 3 2 3" xfId="5248" xr:uid="{00000000-0005-0000-0000-0000560C0000}"/>
    <cellStyle name="20% - Accent2 3 2 2 3 2 3 2" xfId="20789" xr:uid="{00000000-0005-0000-0000-0000570C0000}"/>
    <cellStyle name="20% - Accent2 3 2 2 3 2 3 2 2" xfId="5249" xr:uid="{00000000-0005-0000-0000-0000580C0000}"/>
    <cellStyle name="20% - Accent2 3 2 2 3 2 3 3" xfId="20797" xr:uid="{00000000-0005-0000-0000-0000590C0000}"/>
    <cellStyle name="20% - Accent2 3 2 2 3 2 4" xfId="5623" xr:uid="{00000000-0005-0000-0000-00005A0C0000}"/>
    <cellStyle name="20% - Accent2 3 2 2 3 2 4 2" xfId="7590" xr:uid="{00000000-0005-0000-0000-00005B0C0000}"/>
    <cellStyle name="20% - Accent2 3 2 2 3 2 5" xfId="13630" xr:uid="{00000000-0005-0000-0000-00005C0C0000}"/>
    <cellStyle name="20% - Accent2 3 2 2 3 3" xfId="24105" xr:uid="{00000000-0005-0000-0000-00005D0C0000}"/>
    <cellStyle name="20% - Accent2 3 2 2 3 3 2" xfId="1159" xr:uid="{00000000-0005-0000-0000-00005E0C0000}"/>
    <cellStyle name="20% - Accent2 3 2 2 3 3 2 2" xfId="20837" xr:uid="{00000000-0005-0000-0000-00005F0C0000}"/>
    <cellStyle name="20% - Accent2 3 2 2 3 3 2 2 2" xfId="22305" xr:uid="{00000000-0005-0000-0000-0000600C0000}"/>
    <cellStyle name="20% - Accent2 3 2 2 3 3 2 3" xfId="13461" xr:uid="{00000000-0005-0000-0000-0000610C0000}"/>
    <cellStyle name="20% - Accent2 3 2 2 3 3 3" xfId="29746" xr:uid="{00000000-0005-0000-0000-0000620C0000}"/>
    <cellStyle name="20% - Accent2 3 2 2 3 3 3 2" xfId="15074" xr:uid="{00000000-0005-0000-0000-0000630C0000}"/>
    <cellStyle name="20% - Accent2 3 2 2 3 3 4" xfId="5642" xr:uid="{00000000-0005-0000-0000-0000640C0000}"/>
    <cellStyle name="20% - Accent2 3 2 2 3 4" xfId="13127" xr:uid="{00000000-0005-0000-0000-0000650C0000}"/>
    <cellStyle name="20% - Accent2 3 2 2 3 4 2" xfId="26145" xr:uid="{00000000-0005-0000-0000-0000660C0000}"/>
    <cellStyle name="20% - Accent2 3 2 2 3 4 2 2" xfId="20871" xr:uid="{00000000-0005-0000-0000-0000670C0000}"/>
    <cellStyle name="20% - Accent2 3 2 2 3 4 3" xfId="22914" xr:uid="{00000000-0005-0000-0000-0000680C0000}"/>
    <cellStyle name="20% - Accent2 3 2 2 3 5" xfId="26155" xr:uid="{00000000-0005-0000-0000-0000690C0000}"/>
    <cellStyle name="20% - Accent2 3 2 2 3 5 2" xfId="6115" xr:uid="{00000000-0005-0000-0000-00006A0C0000}"/>
    <cellStyle name="20% - Accent2 3 2 2 3 6" xfId="26162" xr:uid="{00000000-0005-0000-0000-00006B0C0000}"/>
    <cellStyle name="20% - Accent2 3 2 2 4" xfId="665" xr:uid="{00000000-0005-0000-0000-00006C0C0000}"/>
    <cellStyle name="20% - Accent2 3 2 2 4 2" xfId="12714" xr:uid="{00000000-0005-0000-0000-00006D0C0000}"/>
    <cellStyle name="20% - Accent2 3 2 2 4 2 2" xfId="5267" xr:uid="{00000000-0005-0000-0000-00006E0C0000}"/>
    <cellStyle name="20% - Accent2 3 2 2 4 2 2 2" xfId="20963" xr:uid="{00000000-0005-0000-0000-00006F0C0000}"/>
    <cellStyle name="20% - Accent2 3 2 2 4 2 2 2 2" xfId="5273" xr:uid="{00000000-0005-0000-0000-0000700C0000}"/>
    <cellStyle name="20% - Accent2 3 2 2 4 2 2 3" xfId="6947" xr:uid="{00000000-0005-0000-0000-0000710C0000}"/>
    <cellStyle name="20% - Accent2 3 2 2 4 2 3" xfId="9560" xr:uid="{00000000-0005-0000-0000-0000720C0000}"/>
    <cellStyle name="20% - Accent2 3 2 2 4 2 3 2" xfId="20983" xr:uid="{00000000-0005-0000-0000-0000730C0000}"/>
    <cellStyle name="20% - Accent2 3 2 2 4 2 4" xfId="11166" xr:uid="{00000000-0005-0000-0000-0000740C0000}"/>
    <cellStyle name="20% - Accent2 3 2 2 4 3" xfId="18024" xr:uid="{00000000-0005-0000-0000-0000750C0000}"/>
    <cellStyle name="20% - Accent2 3 2 2 4 3 2" xfId="5277" xr:uid="{00000000-0005-0000-0000-0000760C0000}"/>
    <cellStyle name="20% - Accent2 3 2 2 4 3 2 2" xfId="21016" xr:uid="{00000000-0005-0000-0000-0000770C0000}"/>
    <cellStyle name="20% - Accent2 3 2 2 4 3 3" xfId="2627" xr:uid="{00000000-0005-0000-0000-0000780C0000}"/>
    <cellStyle name="20% - Accent2 3 2 2 4 4" xfId="26163" xr:uid="{00000000-0005-0000-0000-0000790C0000}"/>
    <cellStyle name="20% - Accent2 3 2 2 4 4 2" xfId="19069" xr:uid="{00000000-0005-0000-0000-00007A0C0000}"/>
    <cellStyle name="20% - Accent2 3 2 2 4 5" xfId="26171" xr:uid="{00000000-0005-0000-0000-00007B0C0000}"/>
    <cellStyle name="20% - Accent2 3 2 2 5" xfId="1313" xr:uid="{00000000-0005-0000-0000-00007C0C0000}"/>
    <cellStyle name="20% - Accent2 3 2 2 5 2" xfId="14760" xr:uid="{00000000-0005-0000-0000-00007D0C0000}"/>
    <cellStyle name="20% - Accent2 3 2 2 5 2 2" xfId="5291" xr:uid="{00000000-0005-0000-0000-00007E0C0000}"/>
    <cellStyle name="20% - Accent2 3 2 2 5 2 2 2" xfId="21072" xr:uid="{00000000-0005-0000-0000-00007F0C0000}"/>
    <cellStyle name="20% - Accent2 3 2 2 5 2 3" xfId="5297" xr:uid="{00000000-0005-0000-0000-0000800C0000}"/>
    <cellStyle name="20% - Accent2 3 2 2 5 3" xfId="5301" xr:uid="{00000000-0005-0000-0000-0000810C0000}"/>
    <cellStyle name="20% - Accent2 3 2 2 5 3 2" xfId="5304" xr:uid="{00000000-0005-0000-0000-0000820C0000}"/>
    <cellStyle name="20% - Accent2 3 2 2 5 4" xfId="27015" xr:uid="{00000000-0005-0000-0000-0000830C0000}"/>
    <cellStyle name="20% - Accent2 3 2 2 6" xfId="1325" xr:uid="{00000000-0005-0000-0000-0000840C0000}"/>
    <cellStyle name="20% - Accent2 3 2 2 6 2" xfId="5316" xr:uid="{00000000-0005-0000-0000-0000850C0000}"/>
    <cellStyle name="20% - Accent2 3 2 2 6 2 2" xfId="5323" xr:uid="{00000000-0005-0000-0000-0000860C0000}"/>
    <cellStyle name="20% - Accent2 3 2 2 6 3" xfId="5326" xr:uid="{00000000-0005-0000-0000-0000870C0000}"/>
    <cellStyle name="20% - Accent2 3 2 2 7" xfId="3373" xr:uid="{00000000-0005-0000-0000-0000880C0000}"/>
    <cellStyle name="20% - Accent2 3 2 2 7 2" xfId="5339" xr:uid="{00000000-0005-0000-0000-0000890C0000}"/>
    <cellStyle name="20% - Accent2 3 2 2 8" xfId="5346" xr:uid="{00000000-0005-0000-0000-00008A0C0000}"/>
    <cellStyle name="20% - Accent2 3 2 3" xfId="6619" xr:uid="{00000000-0005-0000-0000-00008B0C0000}"/>
    <cellStyle name="20% - Accent2 3 2 3 2" xfId="1918" xr:uid="{00000000-0005-0000-0000-00008C0C0000}"/>
    <cellStyle name="20% - Accent2 3 2 3 2 2" xfId="17028" xr:uid="{00000000-0005-0000-0000-00008D0C0000}"/>
    <cellStyle name="20% - Accent2 3 2 3 2 2 2" xfId="3148" xr:uid="{00000000-0005-0000-0000-00008E0C0000}"/>
    <cellStyle name="20% - Accent2 3 2 3 2 2 2 2" xfId="21201" xr:uid="{00000000-0005-0000-0000-00008F0C0000}"/>
    <cellStyle name="20% - Accent2 3 2 3 2 2 2 2 2" xfId="3144" xr:uid="{00000000-0005-0000-0000-0000900C0000}"/>
    <cellStyle name="20% - Accent2 3 2 3 2 2 2 2 2 2" xfId="5351" xr:uid="{00000000-0005-0000-0000-0000910C0000}"/>
    <cellStyle name="20% - Accent2 3 2 3 2 2 2 2 3" xfId="6990" xr:uid="{00000000-0005-0000-0000-0000920C0000}"/>
    <cellStyle name="20% - Accent2 3 2 3 2 2 2 3" xfId="21205" xr:uid="{00000000-0005-0000-0000-0000930C0000}"/>
    <cellStyle name="20% - Accent2 3 2 3 2 2 2 3 2" xfId="4464" xr:uid="{00000000-0005-0000-0000-0000940C0000}"/>
    <cellStyle name="20% - Accent2 3 2 3 2 2 2 4" xfId="21207" xr:uid="{00000000-0005-0000-0000-0000950C0000}"/>
    <cellStyle name="20% - Accent2 3 2 3 2 2 3" xfId="5365" xr:uid="{00000000-0005-0000-0000-0000960C0000}"/>
    <cellStyle name="20% - Accent2 3 2 3 2 2 3 2" xfId="21228" xr:uid="{00000000-0005-0000-0000-0000970C0000}"/>
    <cellStyle name="20% - Accent2 3 2 3 2 2 3 2 2" xfId="1058" xr:uid="{00000000-0005-0000-0000-0000980C0000}"/>
    <cellStyle name="20% - Accent2 3 2 3 2 2 3 3" xfId="21237" xr:uid="{00000000-0005-0000-0000-0000990C0000}"/>
    <cellStyle name="20% - Accent2 3 2 3 2 2 4" xfId="7644" xr:uid="{00000000-0005-0000-0000-00009A0C0000}"/>
    <cellStyle name="20% - Accent2 3 2 3 2 2 4 2" xfId="21244" xr:uid="{00000000-0005-0000-0000-00009B0C0000}"/>
    <cellStyle name="20% - Accent2 3 2 3 2 2 5" xfId="10954" xr:uid="{00000000-0005-0000-0000-00009C0C0000}"/>
    <cellStyle name="20% - Accent2 3 2 3 2 3" xfId="24135" xr:uid="{00000000-0005-0000-0000-00009D0C0000}"/>
    <cellStyle name="20% - Accent2 3 2 3 2 3 2" xfId="7820" xr:uid="{00000000-0005-0000-0000-00009E0C0000}"/>
    <cellStyle name="20% - Accent2 3 2 3 2 3 2 2" xfId="21267" xr:uid="{00000000-0005-0000-0000-00009F0C0000}"/>
    <cellStyle name="20% - Accent2 3 2 3 2 3 2 2 2" xfId="22703" xr:uid="{00000000-0005-0000-0000-0000A00C0000}"/>
    <cellStyle name="20% - Accent2 3 2 3 2 3 2 3" xfId="21845" xr:uid="{00000000-0005-0000-0000-0000A10C0000}"/>
    <cellStyle name="20% - Accent2 3 2 3 2 3 3" xfId="7823" xr:uid="{00000000-0005-0000-0000-0000A20C0000}"/>
    <cellStyle name="20% - Accent2 3 2 3 2 3 3 2" xfId="15665" xr:uid="{00000000-0005-0000-0000-0000A30C0000}"/>
    <cellStyle name="20% - Accent2 3 2 3 2 3 4" xfId="7654" xr:uid="{00000000-0005-0000-0000-0000A40C0000}"/>
    <cellStyle name="20% - Accent2 3 2 3 2 4" xfId="5392" xr:uid="{00000000-0005-0000-0000-0000A50C0000}"/>
    <cellStyle name="20% - Accent2 3 2 3 2 4 2" xfId="7827" xr:uid="{00000000-0005-0000-0000-0000A60C0000}"/>
    <cellStyle name="20% - Accent2 3 2 3 2 4 2 2" xfId="21288" xr:uid="{00000000-0005-0000-0000-0000A70C0000}"/>
    <cellStyle name="20% - Accent2 3 2 3 2 4 3" xfId="22970" xr:uid="{00000000-0005-0000-0000-0000A80C0000}"/>
    <cellStyle name="20% - Accent2 3 2 3 2 5" xfId="10093" xr:uid="{00000000-0005-0000-0000-0000A90C0000}"/>
    <cellStyle name="20% - Accent2 3 2 3 2 5 2" xfId="10007" xr:uid="{00000000-0005-0000-0000-0000AA0C0000}"/>
    <cellStyle name="20% - Accent2 3 2 3 2 6" xfId="5697" xr:uid="{00000000-0005-0000-0000-0000AB0C0000}"/>
    <cellStyle name="20% - Accent2 3 2 3 3" xfId="1926" xr:uid="{00000000-0005-0000-0000-0000AC0C0000}"/>
    <cellStyle name="20% - Accent2 3 2 3 3 2" xfId="24147" xr:uid="{00000000-0005-0000-0000-0000AD0C0000}"/>
    <cellStyle name="20% - Accent2 3 2 3 3 2 2" xfId="5397" xr:uid="{00000000-0005-0000-0000-0000AE0C0000}"/>
    <cellStyle name="20% - Accent2 3 2 3 3 2 2 2" xfId="21363" xr:uid="{00000000-0005-0000-0000-0000AF0C0000}"/>
    <cellStyle name="20% - Accent2 3 2 3 3 2 2 2 2" xfId="5398" xr:uid="{00000000-0005-0000-0000-0000B00C0000}"/>
    <cellStyle name="20% - Accent2 3 2 3 3 2 2 3" xfId="17888" xr:uid="{00000000-0005-0000-0000-0000B10C0000}"/>
    <cellStyle name="20% - Accent2 3 2 3 3 2 3" xfId="7492" xr:uid="{00000000-0005-0000-0000-0000B20C0000}"/>
    <cellStyle name="20% - Accent2 3 2 3 3 2 3 2" xfId="21383" xr:uid="{00000000-0005-0000-0000-0000B30C0000}"/>
    <cellStyle name="20% - Accent2 3 2 3 3 2 4" xfId="5801" xr:uid="{00000000-0005-0000-0000-0000B40C0000}"/>
    <cellStyle name="20% - Accent2 3 2 3 3 3" xfId="5406" xr:uid="{00000000-0005-0000-0000-0000B50C0000}"/>
    <cellStyle name="20% - Accent2 3 2 3 3 3 2" xfId="6178" xr:uid="{00000000-0005-0000-0000-0000B60C0000}"/>
    <cellStyle name="20% - Accent2 3 2 3 3 3 2 2" xfId="21410" xr:uid="{00000000-0005-0000-0000-0000B70C0000}"/>
    <cellStyle name="20% - Accent2 3 2 3 3 3 3" xfId="7843" xr:uid="{00000000-0005-0000-0000-0000B80C0000}"/>
    <cellStyle name="20% - Accent2 3 2 3 3 4" xfId="29978" xr:uid="{00000000-0005-0000-0000-0000B90C0000}"/>
    <cellStyle name="20% - Accent2 3 2 3 3 4 2" xfId="26172" xr:uid="{00000000-0005-0000-0000-0000BA0C0000}"/>
    <cellStyle name="20% - Accent2 3 2 3 3 5" xfId="16661" xr:uid="{00000000-0005-0000-0000-0000BB0C0000}"/>
    <cellStyle name="20% - Accent2 3 2 3 4" xfId="27822" xr:uid="{00000000-0005-0000-0000-0000BC0C0000}"/>
    <cellStyle name="20% - Accent2 3 2 3 4 2" xfId="16606" xr:uid="{00000000-0005-0000-0000-0000BD0C0000}"/>
    <cellStyle name="20% - Accent2 3 2 3 4 2 2" xfId="5410" xr:uid="{00000000-0005-0000-0000-0000BE0C0000}"/>
    <cellStyle name="20% - Accent2 3 2 3 4 2 2 2" xfId="21494" xr:uid="{00000000-0005-0000-0000-0000BF0C0000}"/>
    <cellStyle name="20% - Accent2 3 2 3 4 2 3" xfId="5416" xr:uid="{00000000-0005-0000-0000-0000C00C0000}"/>
    <cellStyle name="20% - Accent2 3 2 3 4 3" xfId="5417" xr:uid="{00000000-0005-0000-0000-0000C10C0000}"/>
    <cellStyle name="20% - Accent2 3 2 3 4 3 2" xfId="2926" xr:uid="{00000000-0005-0000-0000-0000C20C0000}"/>
    <cellStyle name="20% - Accent2 3 2 3 4 4" xfId="16670" xr:uid="{00000000-0005-0000-0000-0000C30C0000}"/>
    <cellStyle name="20% - Accent2 3 2 3 5" xfId="5422" xr:uid="{00000000-0005-0000-0000-0000C40C0000}"/>
    <cellStyle name="20% - Accent2 3 2 3 5 2" xfId="5425" xr:uid="{00000000-0005-0000-0000-0000C50C0000}"/>
    <cellStyle name="20% - Accent2 3 2 3 5 2 2" xfId="5427" xr:uid="{00000000-0005-0000-0000-0000C60C0000}"/>
    <cellStyle name="20% - Accent2 3 2 3 5 3" xfId="5430" xr:uid="{00000000-0005-0000-0000-0000C70C0000}"/>
    <cellStyle name="20% - Accent2 3 2 3 6" xfId="5437" xr:uid="{00000000-0005-0000-0000-0000C80C0000}"/>
    <cellStyle name="20% - Accent2 3 2 3 6 2" xfId="5448" xr:uid="{00000000-0005-0000-0000-0000C90C0000}"/>
    <cellStyle name="20% - Accent2 3 2 3 7" xfId="5458" xr:uid="{00000000-0005-0000-0000-0000CA0C0000}"/>
    <cellStyle name="20% - Accent2 3 2 4" xfId="27347" xr:uid="{00000000-0005-0000-0000-0000CB0C0000}"/>
    <cellStyle name="20% - Accent2 3 2 4 2" xfId="1928" xr:uid="{00000000-0005-0000-0000-0000CC0C0000}"/>
    <cellStyle name="20% - Accent2 3 2 4 2 2" xfId="24167" xr:uid="{00000000-0005-0000-0000-0000CD0C0000}"/>
    <cellStyle name="20% - Accent2 3 2 4 2 2 2" xfId="5462" xr:uid="{00000000-0005-0000-0000-0000CE0C0000}"/>
    <cellStyle name="20% - Accent2 3 2 4 2 2 2 2" xfId="19422" xr:uid="{00000000-0005-0000-0000-0000CF0C0000}"/>
    <cellStyle name="20% - Accent2 3 2 4 2 2 2 2 2" xfId="5463" xr:uid="{00000000-0005-0000-0000-0000D00C0000}"/>
    <cellStyle name="20% - Accent2 3 2 4 2 2 2 3" xfId="21595" xr:uid="{00000000-0005-0000-0000-0000D10C0000}"/>
    <cellStyle name="20% - Accent2 3 2 4 2 2 3" xfId="5474" xr:uid="{00000000-0005-0000-0000-0000D20C0000}"/>
    <cellStyle name="20% - Accent2 3 2 4 2 2 3 2" xfId="21604" xr:uid="{00000000-0005-0000-0000-0000D30C0000}"/>
    <cellStyle name="20% - Accent2 3 2 4 2 2 4" xfId="7729" xr:uid="{00000000-0005-0000-0000-0000D40C0000}"/>
    <cellStyle name="20% - Accent2 3 2 4 2 3" xfId="5476" xr:uid="{00000000-0005-0000-0000-0000D50C0000}"/>
    <cellStyle name="20% - Accent2 3 2 4 2 3 2" xfId="7852" xr:uid="{00000000-0005-0000-0000-0000D60C0000}"/>
    <cellStyle name="20% - Accent2 3 2 4 2 3 2 2" xfId="26186" xr:uid="{00000000-0005-0000-0000-0000D70C0000}"/>
    <cellStyle name="20% - Accent2 3 2 4 2 3 3" xfId="7858" xr:uid="{00000000-0005-0000-0000-0000D80C0000}"/>
    <cellStyle name="20% - Accent2 3 2 4 2 4" xfId="5484" xr:uid="{00000000-0005-0000-0000-0000D90C0000}"/>
    <cellStyle name="20% - Accent2 3 2 4 2 4 2" xfId="7860" xr:uid="{00000000-0005-0000-0000-0000DA0C0000}"/>
    <cellStyle name="20% - Accent2 3 2 4 2 5" xfId="7864" xr:uid="{00000000-0005-0000-0000-0000DB0C0000}"/>
    <cellStyle name="20% - Accent2 3 2 4 3" xfId="1929" xr:uid="{00000000-0005-0000-0000-0000DC0C0000}"/>
    <cellStyle name="20% - Accent2 3 2 4 3 2" xfId="9082" xr:uid="{00000000-0005-0000-0000-0000DD0C0000}"/>
    <cellStyle name="20% - Accent2 3 2 4 3 2 2" xfId="5487" xr:uid="{00000000-0005-0000-0000-0000DE0C0000}"/>
    <cellStyle name="20% - Accent2 3 2 4 3 2 2 2" xfId="21696" xr:uid="{00000000-0005-0000-0000-0000DF0C0000}"/>
    <cellStyle name="20% - Accent2 3 2 4 3 2 3" xfId="5496" xr:uid="{00000000-0005-0000-0000-0000E00C0000}"/>
    <cellStyle name="20% - Accent2 3 2 4 3 3" xfId="5498" xr:uid="{00000000-0005-0000-0000-0000E10C0000}"/>
    <cellStyle name="20% - Accent2 3 2 4 3 3 2" xfId="7866" xr:uid="{00000000-0005-0000-0000-0000E20C0000}"/>
    <cellStyle name="20% - Accent2 3 2 4 3 4" xfId="16674" xr:uid="{00000000-0005-0000-0000-0000E30C0000}"/>
    <cellStyle name="20% - Accent2 3 2 4 4" xfId="9344" xr:uid="{00000000-0005-0000-0000-0000E40C0000}"/>
    <cellStyle name="20% - Accent2 3 2 4 4 2" xfId="5499" xr:uid="{00000000-0005-0000-0000-0000E50C0000}"/>
    <cellStyle name="20% - Accent2 3 2 4 4 2 2" xfId="18565" xr:uid="{00000000-0005-0000-0000-0000E60C0000}"/>
    <cellStyle name="20% - Accent2 3 2 4 4 3" xfId="7868" xr:uid="{00000000-0005-0000-0000-0000E70C0000}"/>
    <cellStyle name="20% - Accent2 3 2 4 5" xfId="5503" xr:uid="{00000000-0005-0000-0000-0000E80C0000}"/>
    <cellStyle name="20% - Accent2 3 2 4 5 2" xfId="315" xr:uid="{00000000-0005-0000-0000-0000E90C0000}"/>
    <cellStyle name="20% - Accent2 3 2 4 6" xfId="5509" xr:uid="{00000000-0005-0000-0000-0000EA0C0000}"/>
    <cellStyle name="20% - Accent2 3 2 5" xfId="477" xr:uid="{00000000-0005-0000-0000-0000EB0C0000}"/>
    <cellStyle name="20% - Accent2 3 2 5 2" xfId="1935" xr:uid="{00000000-0005-0000-0000-0000EC0C0000}"/>
    <cellStyle name="20% - Accent2 3 2 5 2 2" xfId="5514" xr:uid="{00000000-0005-0000-0000-0000ED0C0000}"/>
    <cellStyle name="20% - Accent2 3 2 5 2 2 2" xfId="12696" xr:uid="{00000000-0005-0000-0000-0000EE0C0000}"/>
    <cellStyle name="20% - Accent2 3 2 5 2 2 2 2" xfId="4976" xr:uid="{00000000-0005-0000-0000-0000EF0C0000}"/>
    <cellStyle name="20% - Accent2 3 2 5 2 2 3" xfId="12700" xr:uid="{00000000-0005-0000-0000-0000F00C0000}"/>
    <cellStyle name="20% - Accent2 3 2 5 2 3" xfId="5287" xr:uid="{00000000-0005-0000-0000-0000F10C0000}"/>
    <cellStyle name="20% - Accent2 3 2 5 2 3 2" xfId="12704" xr:uid="{00000000-0005-0000-0000-0000F20C0000}"/>
    <cellStyle name="20% - Accent2 3 2 5 2 4" xfId="25095" xr:uid="{00000000-0005-0000-0000-0000F30C0000}"/>
    <cellStyle name="20% - Accent2 3 2 5 3" xfId="5528" xr:uid="{00000000-0005-0000-0000-0000F40C0000}"/>
    <cellStyle name="20% - Accent2 3 2 5 3 2" xfId="5532" xr:uid="{00000000-0005-0000-0000-0000F50C0000}"/>
    <cellStyle name="20% - Accent2 3 2 5 3 2 2" xfId="9416" xr:uid="{00000000-0005-0000-0000-0000F60C0000}"/>
    <cellStyle name="20% - Accent2 3 2 5 3 3" xfId="7878" xr:uid="{00000000-0005-0000-0000-0000F70C0000}"/>
    <cellStyle name="20% - Accent2 3 2 5 4" xfId="10004" xr:uid="{00000000-0005-0000-0000-0000F80C0000}"/>
    <cellStyle name="20% - Accent2 3 2 5 4 2" xfId="6345" xr:uid="{00000000-0005-0000-0000-0000F90C0000}"/>
    <cellStyle name="20% - Accent2 3 2 5 5" xfId="11114" xr:uid="{00000000-0005-0000-0000-0000FA0C0000}"/>
    <cellStyle name="20% - Accent2 3 2 6" xfId="1941" xr:uid="{00000000-0005-0000-0000-0000FB0C0000}"/>
    <cellStyle name="20% - Accent2 3 2 6 2" xfId="5542" xr:uid="{00000000-0005-0000-0000-0000FC0C0000}"/>
    <cellStyle name="20% - Accent2 3 2 6 2 2" xfId="4786" xr:uid="{00000000-0005-0000-0000-0000FD0C0000}"/>
    <cellStyle name="20% - Accent2 3 2 6 2 2 2" xfId="33691" xr:uid="{00000000-0005-0000-0000-0000FE0C0000}"/>
    <cellStyle name="20% - Accent2 3 2 6 2 3" xfId="7889" xr:uid="{00000000-0005-0000-0000-0000FF0C0000}"/>
    <cellStyle name="20% - Accent2 3 2 6 3" xfId="4332" xr:uid="{00000000-0005-0000-0000-0000000D0000}"/>
    <cellStyle name="20% - Accent2 3 2 6 3 2" xfId="10521" xr:uid="{00000000-0005-0000-0000-0000010D0000}"/>
    <cellStyle name="20% - Accent2 3 2 6 4" xfId="24184" xr:uid="{00000000-0005-0000-0000-0000020D0000}"/>
    <cellStyle name="20% - Accent2 3 2 7" xfId="5547" xr:uid="{00000000-0005-0000-0000-0000030D0000}"/>
    <cellStyle name="20% - Accent2 3 2 7 2" xfId="5548" xr:uid="{00000000-0005-0000-0000-0000040D0000}"/>
    <cellStyle name="20% - Accent2 3 2 7 2 2" xfId="5549" xr:uid="{00000000-0005-0000-0000-0000050D0000}"/>
    <cellStyle name="20% - Accent2 3 2 7 3" xfId="15945" xr:uid="{00000000-0005-0000-0000-0000060D0000}"/>
    <cellStyle name="20% - Accent2 3 2 8" xfId="5558" xr:uid="{00000000-0005-0000-0000-0000070D0000}"/>
    <cellStyle name="20% - Accent2 3 2 8 2" xfId="1522" xr:uid="{00000000-0005-0000-0000-0000080D0000}"/>
    <cellStyle name="20% - Accent2 3 2 9" xfId="5559" xr:uid="{00000000-0005-0000-0000-0000090D0000}"/>
    <cellStyle name="20% - Accent2 3 3" xfId="1954" xr:uid="{00000000-0005-0000-0000-00000A0D0000}"/>
    <cellStyle name="20% - Accent2 3 3 2" xfId="2837" xr:uid="{00000000-0005-0000-0000-00000B0D0000}"/>
    <cellStyle name="20% - Accent2 3 3 2 2" xfId="2228" xr:uid="{00000000-0005-0000-0000-00000C0D0000}"/>
    <cellStyle name="20% - Accent2 3 3 2 2 2" xfId="11050" xr:uid="{00000000-0005-0000-0000-00000D0D0000}"/>
    <cellStyle name="20% - Accent2 3 3 2 2 2 2" xfId="948" xr:uid="{00000000-0005-0000-0000-00000E0D0000}"/>
    <cellStyle name="20% - Accent2 3 3 2 2 2 2 2" xfId="21981" xr:uid="{00000000-0005-0000-0000-00000F0D0000}"/>
    <cellStyle name="20% - Accent2 3 3 2 2 2 2 2 2" xfId="5230" xr:uid="{00000000-0005-0000-0000-0000100D0000}"/>
    <cellStyle name="20% - Accent2 3 3 2 2 2 2 2 2 2" xfId="9391" xr:uid="{00000000-0005-0000-0000-0000110D0000}"/>
    <cellStyle name="20% - Accent2 3 3 2 2 2 2 2 3" xfId="18011" xr:uid="{00000000-0005-0000-0000-0000120D0000}"/>
    <cellStyle name="20% - Accent2 3 3 2 2 2 2 3" xfId="5560" xr:uid="{00000000-0005-0000-0000-0000130D0000}"/>
    <cellStyle name="20% - Accent2 3 3 2 2 2 2 3 2" xfId="700" xr:uid="{00000000-0005-0000-0000-0000140D0000}"/>
    <cellStyle name="20% - Accent2 3 3 2 2 2 2 4" xfId="9026" xr:uid="{00000000-0005-0000-0000-0000150D0000}"/>
    <cellStyle name="20% - Accent2 3 3 2 2 2 3" xfId="5566" xr:uid="{00000000-0005-0000-0000-0000160D0000}"/>
    <cellStyle name="20% - Accent2 3 3 2 2 2 3 2" xfId="21995" xr:uid="{00000000-0005-0000-0000-0000170D0000}"/>
    <cellStyle name="20% - Accent2 3 3 2 2 2 3 2 2" xfId="1973" xr:uid="{00000000-0005-0000-0000-0000180D0000}"/>
    <cellStyle name="20% - Accent2 3 3 2 2 2 3 3" xfId="5570" xr:uid="{00000000-0005-0000-0000-0000190D0000}"/>
    <cellStyle name="20% - Accent2 3 3 2 2 2 4" xfId="7819" xr:uid="{00000000-0005-0000-0000-00001A0D0000}"/>
    <cellStyle name="20% - Accent2 3 3 2 2 2 4 2" xfId="21999" xr:uid="{00000000-0005-0000-0000-00001B0D0000}"/>
    <cellStyle name="20% - Accent2 3 3 2 2 2 5" xfId="9803" xr:uid="{00000000-0005-0000-0000-00001C0D0000}"/>
    <cellStyle name="20% - Accent2 3 3 2 2 3" xfId="9654" xr:uid="{00000000-0005-0000-0000-00001D0D0000}"/>
    <cellStyle name="20% - Accent2 3 3 2 2 3 2" xfId="937" xr:uid="{00000000-0005-0000-0000-00001E0D0000}"/>
    <cellStyle name="20% - Accent2 3 3 2 2 3 2 2" xfId="22024" xr:uid="{00000000-0005-0000-0000-00001F0D0000}"/>
    <cellStyle name="20% - Accent2 3 3 2 2 3 2 2 2" xfId="14276" xr:uid="{00000000-0005-0000-0000-0000200D0000}"/>
    <cellStyle name="20% - Accent2 3 3 2 2 3 2 3" xfId="5586" xr:uid="{00000000-0005-0000-0000-0000210D0000}"/>
    <cellStyle name="20% - Accent2 3 3 2 2 3 3" xfId="5588" xr:uid="{00000000-0005-0000-0000-0000220D0000}"/>
    <cellStyle name="20% - Accent2 3 3 2 2 3 3 2" xfId="17017" xr:uid="{00000000-0005-0000-0000-0000230D0000}"/>
    <cellStyle name="20% - Accent2 3 3 2 2 3 4" xfId="7826" xr:uid="{00000000-0005-0000-0000-0000240D0000}"/>
    <cellStyle name="20% - Accent2 3 3 2 2 4" xfId="10642" xr:uid="{00000000-0005-0000-0000-0000250D0000}"/>
    <cellStyle name="20% - Accent2 3 3 2 2 4 2" xfId="5599" xr:uid="{00000000-0005-0000-0000-0000260D0000}"/>
    <cellStyle name="20% - Accent2 3 3 2 2 4 2 2" xfId="22045" xr:uid="{00000000-0005-0000-0000-0000270D0000}"/>
    <cellStyle name="20% - Accent2 3 3 2 2 4 3" xfId="23102" xr:uid="{00000000-0005-0000-0000-0000280D0000}"/>
    <cellStyle name="20% - Accent2 3 3 2 2 5" xfId="5779" xr:uid="{00000000-0005-0000-0000-0000290D0000}"/>
    <cellStyle name="20% - Accent2 3 3 2 2 5 2" xfId="6102" xr:uid="{00000000-0005-0000-0000-00002A0D0000}"/>
    <cellStyle name="20% - Accent2 3 3 2 2 6" xfId="5792" xr:uid="{00000000-0005-0000-0000-00002B0D0000}"/>
    <cellStyle name="20% - Accent2 3 3 2 3" xfId="1554" xr:uid="{00000000-0005-0000-0000-00002C0D0000}"/>
    <cellStyle name="20% - Accent2 3 3 2 3 2" xfId="3910" xr:uid="{00000000-0005-0000-0000-00002D0D0000}"/>
    <cellStyle name="20% - Accent2 3 3 2 3 2 2" xfId="5608" xr:uid="{00000000-0005-0000-0000-00002E0D0000}"/>
    <cellStyle name="20% - Accent2 3 3 2 3 2 2 2" xfId="22108" xr:uid="{00000000-0005-0000-0000-00002F0D0000}"/>
    <cellStyle name="20% - Accent2 3 3 2 3 2 2 2 2" xfId="203" xr:uid="{00000000-0005-0000-0000-0000300D0000}"/>
    <cellStyle name="20% - Accent2 3 3 2 3 2 2 3" xfId="2783" xr:uid="{00000000-0005-0000-0000-0000310D0000}"/>
    <cellStyle name="20% - Accent2 3 3 2 3 2 3" xfId="6127" xr:uid="{00000000-0005-0000-0000-0000320D0000}"/>
    <cellStyle name="20% - Accent2 3 3 2 3 2 3 2" xfId="22120" xr:uid="{00000000-0005-0000-0000-0000330D0000}"/>
    <cellStyle name="20% - Accent2 3 3 2 3 2 4" xfId="6177" xr:uid="{00000000-0005-0000-0000-0000340D0000}"/>
    <cellStyle name="20% - Accent2 3 3 2 3 3" xfId="5614" xr:uid="{00000000-0005-0000-0000-0000350D0000}"/>
    <cellStyle name="20% - Accent2 3 3 2 3 3 2" xfId="5615" xr:uid="{00000000-0005-0000-0000-0000360D0000}"/>
    <cellStyle name="20% - Accent2 3 3 2 3 3 2 2" xfId="24883" xr:uid="{00000000-0005-0000-0000-0000370D0000}"/>
    <cellStyle name="20% - Accent2 3 3 2 3 3 3" xfId="5618" xr:uid="{00000000-0005-0000-0000-0000380D0000}"/>
    <cellStyle name="20% - Accent2 3 3 2 3 4" xfId="11799" xr:uid="{00000000-0005-0000-0000-0000390D0000}"/>
    <cellStyle name="20% - Accent2 3 3 2 3 4 2" xfId="26365" xr:uid="{00000000-0005-0000-0000-00003A0D0000}"/>
    <cellStyle name="20% - Accent2 3 3 2 3 5" xfId="30109" xr:uid="{00000000-0005-0000-0000-00003B0D0000}"/>
    <cellStyle name="20% - Accent2 3 3 2 4" xfId="1395" xr:uid="{00000000-0005-0000-0000-00003C0D0000}"/>
    <cellStyle name="20% - Accent2 3 3 2 4 2" xfId="29791" xr:uid="{00000000-0005-0000-0000-00003D0D0000}"/>
    <cellStyle name="20% - Accent2 3 3 2 4 2 2" xfId="5631" xr:uid="{00000000-0005-0000-0000-00003E0D0000}"/>
    <cellStyle name="20% - Accent2 3 3 2 4 2 2 2" xfId="24346" xr:uid="{00000000-0005-0000-0000-00003F0D0000}"/>
    <cellStyle name="20% - Accent2 3 3 2 4 2 3" xfId="5634" xr:uid="{00000000-0005-0000-0000-0000400D0000}"/>
    <cellStyle name="20% - Accent2 3 3 2 4 3" xfId="5635" xr:uid="{00000000-0005-0000-0000-0000410D0000}"/>
    <cellStyle name="20% - Accent2 3 3 2 4 3 2" xfId="5639" xr:uid="{00000000-0005-0000-0000-0000420D0000}"/>
    <cellStyle name="20% - Accent2 3 3 2 4 4" xfId="26368" xr:uid="{00000000-0005-0000-0000-0000430D0000}"/>
    <cellStyle name="20% - Accent2 3 3 2 5" xfId="5645" xr:uid="{00000000-0005-0000-0000-0000440D0000}"/>
    <cellStyle name="20% - Accent2 3 3 2 5 2" xfId="5648" xr:uid="{00000000-0005-0000-0000-0000450D0000}"/>
    <cellStyle name="20% - Accent2 3 3 2 5 2 2" xfId="5653" xr:uid="{00000000-0005-0000-0000-0000460D0000}"/>
    <cellStyle name="20% - Accent2 3 3 2 5 3" xfId="5659" xr:uid="{00000000-0005-0000-0000-0000470D0000}"/>
    <cellStyle name="20% - Accent2 3 3 2 6" xfId="5662" xr:uid="{00000000-0005-0000-0000-0000480D0000}"/>
    <cellStyle name="20% - Accent2 3 3 2 6 2" xfId="5671" xr:uid="{00000000-0005-0000-0000-0000490D0000}"/>
    <cellStyle name="20% - Accent2 3 3 2 7" xfId="18464" xr:uid="{00000000-0005-0000-0000-00004A0D0000}"/>
    <cellStyle name="20% - Accent2 3 3 3" xfId="8097" xr:uid="{00000000-0005-0000-0000-00004B0D0000}"/>
    <cellStyle name="20% - Accent2 3 3 3 2" xfId="1556" xr:uid="{00000000-0005-0000-0000-00004C0D0000}"/>
    <cellStyle name="20% - Accent2 3 3 3 2 2" xfId="11069" xr:uid="{00000000-0005-0000-0000-00004D0D0000}"/>
    <cellStyle name="20% - Accent2 3 3 3 2 2 2" xfId="22644" xr:uid="{00000000-0005-0000-0000-00004E0D0000}"/>
    <cellStyle name="20% - Accent2 3 3 3 2 2 2 2" xfId="22284" xr:uid="{00000000-0005-0000-0000-00004F0D0000}"/>
    <cellStyle name="20% - Accent2 3 3 3 2 2 2 2 2" xfId="1740" xr:uid="{00000000-0005-0000-0000-0000500D0000}"/>
    <cellStyle name="20% - Accent2 3 3 3 2 2 2 3" xfId="2999" xr:uid="{00000000-0005-0000-0000-0000510D0000}"/>
    <cellStyle name="20% - Accent2 3 3 3 2 2 3" xfId="21167" xr:uid="{00000000-0005-0000-0000-0000520D0000}"/>
    <cellStyle name="20% - Accent2 3 3 3 2 2 3 2" xfId="22316" xr:uid="{00000000-0005-0000-0000-0000530D0000}"/>
    <cellStyle name="20% - Accent2 3 3 3 2 2 4" xfId="7851" xr:uid="{00000000-0005-0000-0000-0000540D0000}"/>
    <cellStyle name="20% - Accent2 3 3 3 2 3" xfId="7545" xr:uid="{00000000-0005-0000-0000-0000550D0000}"/>
    <cellStyle name="20% - Accent2 3 3 3 2 3 2" xfId="21174" xr:uid="{00000000-0005-0000-0000-0000560D0000}"/>
    <cellStyle name="20% - Accent2 3 3 3 2 3 2 2" xfId="22743" xr:uid="{00000000-0005-0000-0000-0000570D0000}"/>
    <cellStyle name="20% - Accent2 3 3 3 2 3 3" xfId="7905" xr:uid="{00000000-0005-0000-0000-0000580D0000}"/>
    <cellStyle name="20% - Accent2 3 3 3 2 4" xfId="7557" xr:uid="{00000000-0005-0000-0000-0000590D0000}"/>
    <cellStyle name="20% - Accent2 3 3 3 2 4 2" xfId="7910" xr:uid="{00000000-0005-0000-0000-00005A0D0000}"/>
    <cellStyle name="20% - Accent2 3 3 3 2 5" xfId="7920" xr:uid="{00000000-0005-0000-0000-00005B0D0000}"/>
    <cellStyle name="20% - Accent2 3 3 3 3" xfId="1563" xr:uid="{00000000-0005-0000-0000-00005C0D0000}"/>
    <cellStyle name="20% - Accent2 3 3 3 3 2" xfId="5699" xr:uid="{00000000-0005-0000-0000-00005D0D0000}"/>
    <cellStyle name="20% - Accent2 3 3 3 3 2 2" xfId="21182" xr:uid="{00000000-0005-0000-0000-00005E0D0000}"/>
    <cellStyle name="20% - Accent2 3 3 3 3 2 2 2" xfId="22421" xr:uid="{00000000-0005-0000-0000-00005F0D0000}"/>
    <cellStyle name="20% - Accent2 3 3 3 3 2 3" xfId="379" xr:uid="{00000000-0005-0000-0000-0000600D0000}"/>
    <cellStyle name="20% - Accent2 3 3 3 3 3" xfId="7582" xr:uid="{00000000-0005-0000-0000-0000610D0000}"/>
    <cellStyle name="20% - Accent2 3 3 3 3 3 2" xfId="7923" xr:uid="{00000000-0005-0000-0000-0000620D0000}"/>
    <cellStyle name="20% - Accent2 3 3 3 3 4" xfId="7925" xr:uid="{00000000-0005-0000-0000-0000630D0000}"/>
    <cellStyle name="20% - Accent2 3 3 3 4" xfId="5702" xr:uid="{00000000-0005-0000-0000-0000640D0000}"/>
    <cellStyle name="20% - Accent2 3 3 3 4 2" xfId="5705" xr:uid="{00000000-0005-0000-0000-0000650D0000}"/>
    <cellStyle name="20% - Accent2 3 3 3 4 2 2" xfId="5708" xr:uid="{00000000-0005-0000-0000-0000660D0000}"/>
    <cellStyle name="20% - Accent2 3 3 3 4 3" xfId="7931" xr:uid="{00000000-0005-0000-0000-0000670D0000}"/>
    <cellStyle name="20% - Accent2 3 3 3 5" xfId="5709" xr:uid="{00000000-0005-0000-0000-0000680D0000}"/>
    <cellStyle name="20% - Accent2 3 3 3 5 2" xfId="5711" xr:uid="{00000000-0005-0000-0000-0000690D0000}"/>
    <cellStyle name="20% - Accent2 3 3 3 6" xfId="5713" xr:uid="{00000000-0005-0000-0000-00006A0D0000}"/>
    <cellStyle name="20% - Accent2 3 3 4" xfId="11988" xr:uid="{00000000-0005-0000-0000-00006B0D0000}"/>
    <cellStyle name="20% - Accent2 3 3 4 2" xfId="1575" xr:uid="{00000000-0005-0000-0000-00006C0D0000}"/>
    <cellStyle name="20% - Accent2 3 3 4 2 2" xfId="9079" xr:uid="{00000000-0005-0000-0000-00006D0D0000}"/>
    <cellStyle name="20% - Accent2 3 3 4 2 2 2" xfId="21225" xr:uid="{00000000-0005-0000-0000-00006E0D0000}"/>
    <cellStyle name="20% - Accent2 3 3 4 2 2 2 2" xfId="22535" xr:uid="{00000000-0005-0000-0000-00006F0D0000}"/>
    <cellStyle name="20% - Accent2 3 3 4 2 2 3" xfId="5715" xr:uid="{00000000-0005-0000-0000-0000700D0000}"/>
    <cellStyle name="20% - Accent2 3 3 4 2 3" xfId="9050" xr:uid="{00000000-0005-0000-0000-0000710D0000}"/>
    <cellStyle name="20% - Accent2 3 3 4 2 3 2" xfId="7934" xr:uid="{00000000-0005-0000-0000-0000720D0000}"/>
    <cellStyle name="20% - Accent2 3 3 4 2 4" xfId="9067" xr:uid="{00000000-0005-0000-0000-0000730D0000}"/>
    <cellStyle name="20% - Accent2 3 3 4 3" xfId="5716" xr:uid="{00000000-0005-0000-0000-0000740D0000}"/>
    <cellStyle name="20% - Accent2 3 3 4 3 2" xfId="9087" xr:uid="{00000000-0005-0000-0000-0000750D0000}"/>
    <cellStyle name="20% - Accent2 3 3 4 3 2 2" xfId="5718" xr:uid="{00000000-0005-0000-0000-0000760D0000}"/>
    <cellStyle name="20% - Accent2 3 3 4 3 3" xfId="9102" xr:uid="{00000000-0005-0000-0000-0000770D0000}"/>
    <cellStyle name="20% - Accent2 3 3 4 4" xfId="5719" xr:uid="{00000000-0005-0000-0000-0000780D0000}"/>
    <cellStyle name="20% - Accent2 3 3 4 4 2" xfId="9122" xr:uid="{00000000-0005-0000-0000-0000790D0000}"/>
    <cellStyle name="20% - Accent2 3 3 4 5" xfId="2288" xr:uid="{00000000-0005-0000-0000-00007A0D0000}"/>
    <cellStyle name="20% - Accent2 3 3 5" xfId="18709" xr:uid="{00000000-0005-0000-0000-00007B0D0000}"/>
    <cellStyle name="20% - Accent2 3 3 5 2" xfId="5721" xr:uid="{00000000-0005-0000-0000-00007C0D0000}"/>
    <cellStyle name="20% - Accent2 3 3 5 2 2" xfId="11037" xr:uid="{00000000-0005-0000-0000-00007D0D0000}"/>
    <cellStyle name="20% - Accent2 3 3 5 2 2 2" xfId="12809" xr:uid="{00000000-0005-0000-0000-00007E0D0000}"/>
    <cellStyle name="20% - Accent2 3 3 5 2 3" xfId="9575" xr:uid="{00000000-0005-0000-0000-00007F0D0000}"/>
    <cellStyle name="20% - Accent2 3 3 5 3" xfId="5726" xr:uid="{00000000-0005-0000-0000-0000800D0000}"/>
    <cellStyle name="20% - Accent2 3 3 5 3 2" xfId="11056" xr:uid="{00000000-0005-0000-0000-0000810D0000}"/>
    <cellStyle name="20% - Accent2 3 3 5 4" xfId="10022" xr:uid="{00000000-0005-0000-0000-0000820D0000}"/>
    <cellStyle name="20% - Accent2 3 3 6" xfId="5736" xr:uid="{00000000-0005-0000-0000-0000830D0000}"/>
    <cellStyle name="20% - Accent2 3 3 6 2" xfId="5739" xr:uid="{00000000-0005-0000-0000-0000840D0000}"/>
    <cellStyle name="20% - Accent2 3 3 6 2 2" xfId="11061" xr:uid="{00000000-0005-0000-0000-0000850D0000}"/>
    <cellStyle name="20% - Accent2 3 3 6 3" xfId="13422" xr:uid="{00000000-0005-0000-0000-0000860D0000}"/>
    <cellStyle name="20% - Accent2 3 3 7" xfId="5745" xr:uid="{00000000-0005-0000-0000-0000870D0000}"/>
    <cellStyle name="20% - Accent2 3 3 7 2" xfId="5748" xr:uid="{00000000-0005-0000-0000-0000880D0000}"/>
    <cellStyle name="20% - Accent2 3 3 8" xfId="24864" xr:uid="{00000000-0005-0000-0000-0000890D0000}"/>
    <cellStyle name="20% - Accent2 3 4" xfId="13723" xr:uid="{00000000-0005-0000-0000-00008A0D0000}"/>
    <cellStyle name="20% - Accent2 3 4 2" xfId="7039" xr:uid="{00000000-0005-0000-0000-00008B0D0000}"/>
    <cellStyle name="20% - Accent2 3 4 2 2" xfId="1965" xr:uid="{00000000-0005-0000-0000-00008C0D0000}"/>
    <cellStyle name="20% - Accent2 3 4 2 2 2" xfId="12518" xr:uid="{00000000-0005-0000-0000-00008D0D0000}"/>
    <cellStyle name="20% - Accent2 3 4 2 2 2 2" xfId="20354" xr:uid="{00000000-0005-0000-0000-00008E0D0000}"/>
    <cellStyle name="20% - Accent2 3 4 2 2 2 2 2" xfId="8040" xr:uid="{00000000-0005-0000-0000-00008F0D0000}"/>
    <cellStyle name="20% - Accent2 3 4 2 2 2 2 2 2" xfId="58" xr:uid="{00000000-0005-0000-0000-0000900D0000}"/>
    <cellStyle name="20% - Accent2 3 4 2 2 2 2 3" xfId="14870" xr:uid="{00000000-0005-0000-0000-0000910D0000}"/>
    <cellStyle name="20% - Accent2 3 4 2 2 2 3" xfId="5759" xr:uid="{00000000-0005-0000-0000-0000920D0000}"/>
    <cellStyle name="20% - Accent2 3 4 2 2 2 3 2" xfId="29374" xr:uid="{00000000-0005-0000-0000-0000930D0000}"/>
    <cellStyle name="20% - Accent2 3 4 2 2 2 4" xfId="5764" xr:uid="{00000000-0005-0000-0000-0000940D0000}"/>
    <cellStyle name="20% - Accent2 3 4 2 2 3" xfId="5767" xr:uid="{00000000-0005-0000-0000-0000950D0000}"/>
    <cellStyle name="20% - Accent2 3 4 2 2 3 2" xfId="5768" xr:uid="{00000000-0005-0000-0000-0000960D0000}"/>
    <cellStyle name="20% - Accent2 3 4 2 2 3 2 2" xfId="5553" xr:uid="{00000000-0005-0000-0000-0000970D0000}"/>
    <cellStyle name="20% - Accent2 3 4 2 2 3 3" xfId="5775" xr:uid="{00000000-0005-0000-0000-0000980D0000}"/>
    <cellStyle name="20% - Accent2 3 4 2 2 4" xfId="5776" xr:uid="{00000000-0005-0000-0000-0000990D0000}"/>
    <cellStyle name="20% - Accent2 3 4 2 2 4 2" xfId="5784" xr:uid="{00000000-0005-0000-0000-00009A0D0000}"/>
    <cellStyle name="20% - Accent2 3 4 2 2 5" xfId="5786" xr:uid="{00000000-0005-0000-0000-00009B0D0000}"/>
    <cellStyle name="20% - Accent2 3 4 2 3" xfId="13821" xr:uid="{00000000-0005-0000-0000-00009C0D0000}"/>
    <cellStyle name="20% - Accent2 3 4 2 3 2" xfId="6765" xr:uid="{00000000-0005-0000-0000-00009D0D0000}"/>
    <cellStyle name="20% - Accent2 3 4 2 3 2 2" xfId="23221" xr:uid="{00000000-0005-0000-0000-00009E0D0000}"/>
    <cellStyle name="20% - Accent2 3 4 2 3 2 2 2" xfId="17256" xr:uid="{00000000-0005-0000-0000-00009F0D0000}"/>
    <cellStyle name="20% - Accent2 3 4 2 3 2 3" xfId="13984" xr:uid="{00000000-0005-0000-0000-0000A00D0000}"/>
    <cellStyle name="20% - Accent2 3 4 2 3 3" xfId="5798" xr:uid="{00000000-0005-0000-0000-0000A10D0000}"/>
    <cellStyle name="20% - Accent2 3 4 2 3 3 2" xfId="5799" xr:uid="{00000000-0005-0000-0000-0000A20D0000}"/>
    <cellStyle name="20% - Accent2 3 4 2 3 4" xfId="26446" xr:uid="{00000000-0005-0000-0000-0000A30D0000}"/>
    <cellStyle name="20% - Accent2 3 4 2 4" xfId="5802" xr:uid="{00000000-0005-0000-0000-0000A40D0000}"/>
    <cellStyle name="20% - Accent2 3 4 2 4 2" xfId="5808" xr:uid="{00000000-0005-0000-0000-0000A50D0000}"/>
    <cellStyle name="20% - Accent2 3 4 2 4 2 2" xfId="25585" xr:uid="{00000000-0005-0000-0000-0000A60D0000}"/>
    <cellStyle name="20% - Accent2 3 4 2 4 3" xfId="6509" xr:uid="{00000000-0005-0000-0000-0000A70D0000}"/>
    <cellStyle name="20% - Accent2 3 4 2 5" xfId="5812" xr:uid="{00000000-0005-0000-0000-0000A80D0000}"/>
    <cellStyle name="20% - Accent2 3 4 2 5 2" xfId="5815" xr:uid="{00000000-0005-0000-0000-0000A90D0000}"/>
    <cellStyle name="20% - Accent2 3 4 2 6" xfId="5820" xr:uid="{00000000-0005-0000-0000-0000AA0D0000}"/>
    <cellStyle name="20% - Accent2 3 4 3" xfId="1226" xr:uid="{00000000-0005-0000-0000-0000AB0D0000}"/>
    <cellStyle name="20% - Accent2 3 4 3 2" xfId="92" xr:uid="{00000000-0005-0000-0000-0000AC0D0000}"/>
    <cellStyle name="20% - Accent2 3 4 3 2 2" xfId="10279" xr:uid="{00000000-0005-0000-0000-0000AD0D0000}"/>
    <cellStyle name="20% - Accent2 3 4 3 2 2 2" xfId="14035" xr:uid="{00000000-0005-0000-0000-0000AE0D0000}"/>
    <cellStyle name="20% - Accent2 3 4 3 2 2 2 2" xfId="15303" xr:uid="{00000000-0005-0000-0000-0000AF0D0000}"/>
    <cellStyle name="20% - Accent2 3 4 3 2 2 3" xfId="28629" xr:uid="{00000000-0005-0000-0000-0000B00D0000}"/>
    <cellStyle name="20% - Accent2 3 4 3 2 3" xfId="10288" xr:uid="{00000000-0005-0000-0000-0000B10D0000}"/>
    <cellStyle name="20% - Accent2 3 4 3 2 3 2" xfId="14057" xr:uid="{00000000-0005-0000-0000-0000B20D0000}"/>
    <cellStyle name="20% - Accent2 3 4 3 2 4" xfId="10294" xr:uid="{00000000-0005-0000-0000-0000B30D0000}"/>
    <cellStyle name="20% - Accent2 3 4 3 3" xfId="5834" xr:uid="{00000000-0005-0000-0000-0000B40D0000}"/>
    <cellStyle name="20% - Accent2 3 4 3 3 2" xfId="5839" xr:uid="{00000000-0005-0000-0000-0000B50D0000}"/>
    <cellStyle name="20% - Accent2 3 4 3 3 2 2" xfId="5840" xr:uid="{00000000-0005-0000-0000-0000B60D0000}"/>
    <cellStyle name="20% - Accent2 3 4 3 3 3" xfId="7955" xr:uid="{00000000-0005-0000-0000-0000B70D0000}"/>
    <cellStyle name="20% - Accent2 3 4 3 4" xfId="5843" xr:uid="{00000000-0005-0000-0000-0000B80D0000}"/>
    <cellStyle name="20% - Accent2 3 4 3 4 2" xfId="5851" xr:uid="{00000000-0005-0000-0000-0000B90D0000}"/>
    <cellStyle name="20% - Accent2 3 4 3 5" xfId="5853" xr:uid="{00000000-0005-0000-0000-0000BA0D0000}"/>
    <cellStyle name="20% - Accent2 3 4 4" xfId="12120" xr:uid="{00000000-0005-0000-0000-0000BB0D0000}"/>
    <cellStyle name="20% - Accent2 3 4 4 2" xfId="11792" xr:uid="{00000000-0005-0000-0000-0000BC0D0000}"/>
    <cellStyle name="20% - Accent2 3 4 4 2 2" xfId="14439" xr:uid="{00000000-0005-0000-0000-0000BD0D0000}"/>
    <cellStyle name="20% - Accent2 3 4 4 2 2 2" xfId="9570" xr:uid="{00000000-0005-0000-0000-0000BE0D0000}"/>
    <cellStyle name="20% - Accent2 3 4 4 2 3" xfId="10725" xr:uid="{00000000-0005-0000-0000-0000BF0D0000}"/>
    <cellStyle name="20% - Accent2 3 4 4 3" xfId="11800" xr:uid="{00000000-0005-0000-0000-0000C00D0000}"/>
    <cellStyle name="20% - Accent2 3 4 4 3 2" xfId="5864" xr:uid="{00000000-0005-0000-0000-0000C10D0000}"/>
    <cellStyle name="20% - Accent2 3 4 4 4" xfId="13269" xr:uid="{00000000-0005-0000-0000-0000C20D0000}"/>
    <cellStyle name="20% - Accent2 3 4 5" xfId="18715" xr:uid="{00000000-0005-0000-0000-0000C30D0000}"/>
    <cellStyle name="20% - Accent2 3 4 5 2" xfId="11835" xr:uid="{00000000-0005-0000-0000-0000C40D0000}"/>
    <cellStyle name="20% - Accent2 3 4 5 2 2" xfId="14986" xr:uid="{00000000-0005-0000-0000-0000C50D0000}"/>
    <cellStyle name="20% - Accent2 3 4 5 3" xfId="11843" xr:uid="{00000000-0005-0000-0000-0000C60D0000}"/>
    <cellStyle name="20% - Accent2 3 4 6" xfId="8401" xr:uid="{00000000-0005-0000-0000-0000C70D0000}"/>
    <cellStyle name="20% - Accent2 3 4 6 2" xfId="11857" xr:uid="{00000000-0005-0000-0000-0000C80D0000}"/>
    <cellStyle name="20% - Accent2 3 4 7" xfId="5887" xr:uid="{00000000-0005-0000-0000-0000C90D0000}"/>
    <cellStyle name="20% - Accent2 3 5" xfId="7808" xr:uid="{00000000-0005-0000-0000-0000CA0D0000}"/>
    <cellStyle name="20% - Accent2 3 5 2" xfId="9788" xr:uid="{00000000-0005-0000-0000-0000CB0D0000}"/>
    <cellStyle name="20% - Accent2 3 5 2 2" xfId="19902" xr:uid="{00000000-0005-0000-0000-0000CC0D0000}"/>
    <cellStyle name="20% - Accent2 3 5 2 2 2" xfId="17546" xr:uid="{00000000-0005-0000-0000-0000CD0D0000}"/>
    <cellStyle name="20% - Accent2 3 5 2 2 2 2" xfId="9271" xr:uid="{00000000-0005-0000-0000-0000CE0D0000}"/>
    <cellStyle name="20% - Accent2 3 5 2 2 2 2 2" xfId="26421" xr:uid="{00000000-0005-0000-0000-0000CF0D0000}"/>
    <cellStyle name="20% - Accent2 3 5 2 2 2 3" xfId="5897" xr:uid="{00000000-0005-0000-0000-0000D00D0000}"/>
    <cellStyle name="20% - Accent2 3 5 2 2 3" xfId="13560" xr:uid="{00000000-0005-0000-0000-0000D10D0000}"/>
    <cellStyle name="20% - Accent2 3 5 2 2 3 2" xfId="5904" xr:uid="{00000000-0005-0000-0000-0000D20D0000}"/>
    <cellStyle name="20% - Accent2 3 5 2 2 4" xfId="4881" xr:uid="{00000000-0005-0000-0000-0000D30D0000}"/>
    <cellStyle name="20% - Accent2 3 5 2 3" xfId="4359" xr:uid="{00000000-0005-0000-0000-0000D40D0000}"/>
    <cellStyle name="20% - Accent2 3 5 2 3 2" xfId="4074" xr:uid="{00000000-0005-0000-0000-0000D50D0000}"/>
    <cellStyle name="20% - Accent2 3 5 2 3 2 2" xfId="5915" xr:uid="{00000000-0005-0000-0000-0000D60D0000}"/>
    <cellStyle name="20% - Accent2 3 5 2 3 3" xfId="4900" xr:uid="{00000000-0005-0000-0000-0000D70D0000}"/>
    <cellStyle name="20% - Accent2 3 5 2 4" xfId="4379" xr:uid="{00000000-0005-0000-0000-0000D80D0000}"/>
    <cellStyle name="20% - Accent2 3 5 2 4 2" xfId="29202" xr:uid="{00000000-0005-0000-0000-0000D90D0000}"/>
    <cellStyle name="20% - Accent2 3 5 2 5" xfId="4932" xr:uid="{00000000-0005-0000-0000-0000DA0D0000}"/>
    <cellStyle name="20% - Accent2 3 5 3" xfId="2414" xr:uid="{00000000-0005-0000-0000-0000DB0D0000}"/>
    <cellStyle name="20% - Accent2 3 5 3 2" xfId="4957" xr:uid="{00000000-0005-0000-0000-0000DC0D0000}"/>
    <cellStyle name="20% - Accent2 3 5 3 2 2" xfId="7477" xr:uid="{00000000-0005-0000-0000-0000DD0D0000}"/>
    <cellStyle name="20% - Accent2 3 5 3 2 2 2" xfId="23639" xr:uid="{00000000-0005-0000-0000-0000DE0D0000}"/>
    <cellStyle name="20% - Accent2 3 5 3 2 3" xfId="7983" xr:uid="{00000000-0005-0000-0000-0000DF0D0000}"/>
    <cellStyle name="20% - Accent2 3 5 3 3" xfId="765" xr:uid="{00000000-0005-0000-0000-0000E00D0000}"/>
    <cellStyle name="20% - Accent2 3 5 3 3 2" xfId="25208" xr:uid="{00000000-0005-0000-0000-0000E10D0000}"/>
    <cellStyle name="20% - Accent2 3 5 3 4" xfId="4984" xr:uid="{00000000-0005-0000-0000-0000E20D0000}"/>
    <cellStyle name="20% - Accent2 3 5 4" xfId="5928" xr:uid="{00000000-0005-0000-0000-0000E30D0000}"/>
    <cellStyle name="20% - Accent2 3 5 4 2" xfId="11147" xr:uid="{00000000-0005-0000-0000-0000E40D0000}"/>
    <cellStyle name="20% - Accent2 3 5 4 2 2" xfId="8613" xr:uid="{00000000-0005-0000-0000-0000E50D0000}"/>
    <cellStyle name="20% - Accent2 3 5 4 3" xfId="12059" xr:uid="{00000000-0005-0000-0000-0000E60D0000}"/>
    <cellStyle name="20% - Accent2 3 5 5" xfId="5931" xr:uid="{00000000-0005-0000-0000-0000E70D0000}"/>
    <cellStyle name="20% - Accent2 3 5 5 2" xfId="11169" xr:uid="{00000000-0005-0000-0000-0000E80D0000}"/>
    <cellStyle name="20% - Accent2 3 5 6" xfId="5936" xr:uid="{00000000-0005-0000-0000-0000E90D0000}"/>
    <cellStyle name="20% - Accent2 3 6" xfId="6053" xr:uid="{00000000-0005-0000-0000-0000EA0D0000}"/>
    <cellStyle name="20% - Accent2 3 6 2" xfId="13531" xr:uid="{00000000-0005-0000-0000-0000EB0D0000}"/>
    <cellStyle name="20% - Accent2 3 6 2 2" xfId="3102" xr:uid="{00000000-0005-0000-0000-0000EC0D0000}"/>
    <cellStyle name="20% - Accent2 3 6 2 2 2" xfId="9466" xr:uid="{00000000-0005-0000-0000-0000ED0D0000}"/>
    <cellStyle name="20% - Accent2 3 6 2 2 2 2" xfId="1513" xr:uid="{00000000-0005-0000-0000-0000EE0D0000}"/>
    <cellStyle name="20% - Accent2 3 6 2 2 3" xfId="5063" xr:uid="{00000000-0005-0000-0000-0000EF0D0000}"/>
    <cellStyle name="20% - Accent2 3 6 2 3" xfId="4394" xr:uid="{00000000-0005-0000-0000-0000F00D0000}"/>
    <cellStyle name="20% - Accent2 3 6 2 3 2" xfId="5079" xr:uid="{00000000-0005-0000-0000-0000F10D0000}"/>
    <cellStyle name="20% - Accent2 3 6 2 4" xfId="5087" xr:uid="{00000000-0005-0000-0000-0000F20D0000}"/>
    <cellStyle name="20% - Accent2 3 6 3" xfId="14318" xr:uid="{00000000-0005-0000-0000-0000F30D0000}"/>
    <cellStyle name="20% - Accent2 3 6 3 2" xfId="4197" xr:uid="{00000000-0005-0000-0000-0000F40D0000}"/>
    <cellStyle name="20% - Accent2 3 6 3 2 2" xfId="8684" xr:uid="{00000000-0005-0000-0000-0000F50D0000}"/>
    <cellStyle name="20% - Accent2 3 6 3 3" xfId="3992" xr:uid="{00000000-0005-0000-0000-0000F60D0000}"/>
    <cellStyle name="20% - Accent2 3 6 4" xfId="4965" xr:uid="{00000000-0005-0000-0000-0000F70D0000}"/>
    <cellStyle name="20% - Accent2 3 6 4 2" xfId="11313" xr:uid="{00000000-0005-0000-0000-0000F80D0000}"/>
    <cellStyle name="20% - Accent2 3 6 5" xfId="5941" xr:uid="{00000000-0005-0000-0000-0000F90D0000}"/>
    <cellStyle name="20% - Accent2 3 7" xfId="9112" xr:uid="{00000000-0005-0000-0000-0000FA0D0000}"/>
    <cellStyle name="20% - Accent2 3 7 2" xfId="14321" xr:uid="{00000000-0005-0000-0000-0000FB0D0000}"/>
    <cellStyle name="20% - Accent2 3 7 2 2" xfId="3394" xr:uid="{00000000-0005-0000-0000-0000FC0D0000}"/>
    <cellStyle name="20% - Accent2 3 7 2 2 2" xfId="2802" xr:uid="{00000000-0005-0000-0000-0000FD0D0000}"/>
    <cellStyle name="20% - Accent2 3 7 2 3" xfId="2252" xr:uid="{00000000-0005-0000-0000-0000FE0D0000}"/>
    <cellStyle name="20% - Accent2 3 7 3" xfId="2529" xr:uid="{00000000-0005-0000-0000-0000FF0D0000}"/>
    <cellStyle name="20% - Accent2 3 7 3 2" xfId="1799" xr:uid="{00000000-0005-0000-0000-0000000E0000}"/>
    <cellStyle name="20% - Accent2 3 7 4" xfId="1047" xr:uid="{00000000-0005-0000-0000-0000010E0000}"/>
    <cellStyle name="20% - Accent2 3 8" xfId="22770" xr:uid="{00000000-0005-0000-0000-0000020E0000}"/>
    <cellStyle name="20% - Accent2 3 8 2" xfId="5950" xr:uid="{00000000-0005-0000-0000-0000030E0000}"/>
    <cellStyle name="20% - Accent2 3 8 2 2" xfId="3686" xr:uid="{00000000-0005-0000-0000-0000040E0000}"/>
    <cellStyle name="20% - Accent2 3 8 3" xfId="3465" xr:uid="{00000000-0005-0000-0000-0000050E0000}"/>
    <cellStyle name="20% - Accent2 3 9" xfId="5953" xr:uid="{00000000-0005-0000-0000-0000060E0000}"/>
    <cellStyle name="20% - Accent2 3 9 2" xfId="10433" xr:uid="{00000000-0005-0000-0000-0000070E0000}"/>
    <cellStyle name="20% - Accent2 4" xfId="26939" xr:uid="{00000000-0005-0000-0000-0000080E0000}"/>
    <cellStyle name="20% - Accent2 4 2" xfId="12873" xr:uid="{00000000-0005-0000-0000-0000090E0000}"/>
    <cellStyle name="20% - Accent2 4 2 2" xfId="15764" xr:uid="{00000000-0005-0000-0000-00000A0E0000}"/>
    <cellStyle name="20% - Accent2 4 2 2 2" xfId="2104" xr:uid="{00000000-0005-0000-0000-00000B0E0000}"/>
    <cellStyle name="20% - Accent2 4 2 2 2 2" xfId="25323" xr:uid="{00000000-0005-0000-0000-00000C0E0000}"/>
    <cellStyle name="20% - Accent2 4 2 2 2 2 2" xfId="9681" xr:uid="{00000000-0005-0000-0000-00000D0E0000}"/>
    <cellStyle name="20% - Accent2 4 2 2 2 2 2 2" xfId="23433" xr:uid="{00000000-0005-0000-0000-00000E0E0000}"/>
    <cellStyle name="20% - Accent2 4 2 2 2 2 2 2 2" xfId="11126" xr:uid="{00000000-0005-0000-0000-00000F0E0000}"/>
    <cellStyle name="20% - Accent2 4 2 2 2 2 2 2 2 2" xfId="2060" xr:uid="{00000000-0005-0000-0000-0000100E0000}"/>
    <cellStyle name="20% - Accent2 4 2 2 2 2 2 2 3" xfId="17002" xr:uid="{00000000-0005-0000-0000-0000110E0000}"/>
    <cellStyle name="20% - Accent2 4 2 2 2 2 2 3" xfId="16632" xr:uid="{00000000-0005-0000-0000-0000120E0000}"/>
    <cellStyle name="20% - Accent2 4 2 2 2 2 2 3 2" xfId="5962" xr:uid="{00000000-0005-0000-0000-0000130E0000}"/>
    <cellStyle name="20% - Accent2 4 2 2 2 2 2 4" xfId="23436" xr:uid="{00000000-0005-0000-0000-0000140E0000}"/>
    <cellStyle name="20% - Accent2 4 2 2 2 2 3" xfId="9374" xr:uid="{00000000-0005-0000-0000-0000150E0000}"/>
    <cellStyle name="20% - Accent2 4 2 2 2 2 3 2" xfId="19982" xr:uid="{00000000-0005-0000-0000-0000160E0000}"/>
    <cellStyle name="20% - Accent2 4 2 2 2 2 3 2 2" xfId="10076" xr:uid="{00000000-0005-0000-0000-0000170E0000}"/>
    <cellStyle name="20% - Accent2 4 2 2 2 2 3 3" xfId="23455" xr:uid="{00000000-0005-0000-0000-0000180E0000}"/>
    <cellStyle name="20% - Accent2 4 2 2 2 2 4" xfId="11298" xr:uid="{00000000-0005-0000-0000-0000190E0000}"/>
    <cellStyle name="20% - Accent2 4 2 2 2 2 4 2" xfId="20897" xr:uid="{00000000-0005-0000-0000-00001A0E0000}"/>
    <cellStyle name="20% - Accent2 4 2 2 2 2 5" xfId="24000" xr:uid="{00000000-0005-0000-0000-00001B0E0000}"/>
    <cellStyle name="20% - Accent2 4 2 2 2 3" xfId="22919" xr:uid="{00000000-0005-0000-0000-00001C0E0000}"/>
    <cellStyle name="20% - Accent2 4 2 2 2 3 2" xfId="9377" xr:uid="{00000000-0005-0000-0000-00001D0E0000}"/>
    <cellStyle name="20% - Accent2 4 2 2 2 3 2 2" xfId="23512" xr:uid="{00000000-0005-0000-0000-00001E0E0000}"/>
    <cellStyle name="20% - Accent2 4 2 2 2 3 2 2 2" xfId="11307" xr:uid="{00000000-0005-0000-0000-00001F0E0000}"/>
    <cellStyle name="20% - Accent2 4 2 2 2 3 2 3" xfId="23523" xr:uid="{00000000-0005-0000-0000-0000200E0000}"/>
    <cellStyle name="20% - Accent2 4 2 2 2 3 3" xfId="27853" xr:uid="{00000000-0005-0000-0000-0000210E0000}"/>
    <cellStyle name="20% - Accent2 4 2 2 2 3 3 2" xfId="23542" xr:uid="{00000000-0005-0000-0000-0000220E0000}"/>
    <cellStyle name="20% - Accent2 4 2 2 2 3 4" xfId="5989" xr:uid="{00000000-0005-0000-0000-0000230E0000}"/>
    <cellStyle name="20% - Accent2 4 2 2 2 4" xfId="5992" xr:uid="{00000000-0005-0000-0000-0000240E0000}"/>
    <cellStyle name="20% - Accent2 4 2 2 2 4 2" xfId="5993" xr:uid="{00000000-0005-0000-0000-0000250E0000}"/>
    <cellStyle name="20% - Accent2 4 2 2 2 4 2 2" xfId="7016" xr:uid="{00000000-0005-0000-0000-0000260E0000}"/>
    <cellStyle name="20% - Accent2 4 2 2 2 4 3" xfId="15498" xr:uid="{00000000-0005-0000-0000-0000270E0000}"/>
    <cellStyle name="20% - Accent2 4 2 2 2 5" xfId="5994" xr:uid="{00000000-0005-0000-0000-0000280E0000}"/>
    <cellStyle name="20% - Accent2 4 2 2 2 5 2" xfId="7473" xr:uid="{00000000-0005-0000-0000-0000290E0000}"/>
    <cellStyle name="20% - Accent2 4 2 2 2 6" xfId="5996" xr:uid="{00000000-0005-0000-0000-00002A0E0000}"/>
    <cellStyle name="20% - Accent2 4 2 2 3" xfId="2110" xr:uid="{00000000-0005-0000-0000-00002B0E0000}"/>
    <cellStyle name="20% - Accent2 4 2 2 3 2" xfId="19701" xr:uid="{00000000-0005-0000-0000-00002C0E0000}"/>
    <cellStyle name="20% - Accent2 4 2 2 3 2 2" xfId="13834" xr:uid="{00000000-0005-0000-0000-00002D0E0000}"/>
    <cellStyle name="20% - Accent2 4 2 2 3 2 2 2" xfId="23683" xr:uid="{00000000-0005-0000-0000-00002E0E0000}"/>
    <cellStyle name="20% - Accent2 4 2 2 3 2 2 2 2" xfId="11511" xr:uid="{00000000-0005-0000-0000-00002F0E0000}"/>
    <cellStyle name="20% - Accent2 4 2 2 3 2 2 3" xfId="23694" xr:uid="{00000000-0005-0000-0000-0000300E0000}"/>
    <cellStyle name="20% - Accent2 4 2 2 3 2 3" xfId="28059" xr:uid="{00000000-0005-0000-0000-0000310E0000}"/>
    <cellStyle name="20% - Accent2 4 2 2 3 2 3 2" xfId="23716" xr:uid="{00000000-0005-0000-0000-0000320E0000}"/>
    <cellStyle name="20% - Accent2 4 2 2 3 2 4" xfId="8363" xr:uid="{00000000-0005-0000-0000-0000330E0000}"/>
    <cellStyle name="20% - Accent2 4 2 2 3 3" xfId="6010" xr:uid="{00000000-0005-0000-0000-0000340E0000}"/>
    <cellStyle name="20% - Accent2 4 2 2 3 3 2" xfId="6011" xr:uid="{00000000-0005-0000-0000-0000350E0000}"/>
    <cellStyle name="20% - Accent2 4 2 2 3 3 2 2" xfId="23754" xr:uid="{00000000-0005-0000-0000-0000360E0000}"/>
    <cellStyle name="20% - Accent2 4 2 2 3 3 3" xfId="6013" xr:uid="{00000000-0005-0000-0000-0000370E0000}"/>
    <cellStyle name="20% - Accent2 4 2 2 3 4" xfId="19996" xr:uid="{00000000-0005-0000-0000-0000380E0000}"/>
    <cellStyle name="20% - Accent2 4 2 2 3 4 2" xfId="6018" xr:uid="{00000000-0005-0000-0000-0000390E0000}"/>
    <cellStyle name="20% - Accent2 4 2 2 3 5" xfId="8457" xr:uid="{00000000-0005-0000-0000-00003A0E0000}"/>
    <cellStyle name="20% - Accent2 4 2 2 4" xfId="4874" xr:uid="{00000000-0005-0000-0000-00003B0E0000}"/>
    <cellStyle name="20% - Accent2 4 2 2 4 2" xfId="15265" xr:uid="{00000000-0005-0000-0000-00003C0E0000}"/>
    <cellStyle name="20% - Accent2 4 2 2 4 2 2" xfId="15266" xr:uid="{00000000-0005-0000-0000-00003D0E0000}"/>
    <cellStyle name="20% - Accent2 4 2 2 4 2 2 2" xfId="23837" xr:uid="{00000000-0005-0000-0000-00003E0E0000}"/>
    <cellStyle name="20% - Accent2 4 2 2 4 2 3" xfId="12573" xr:uid="{00000000-0005-0000-0000-00003F0E0000}"/>
    <cellStyle name="20% - Accent2 4 2 2 4 3" xfId="15269" xr:uid="{00000000-0005-0000-0000-0000400E0000}"/>
    <cellStyle name="20% - Accent2 4 2 2 4 3 2" xfId="12603" xr:uid="{00000000-0005-0000-0000-0000410E0000}"/>
    <cellStyle name="20% - Accent2 4 2 2 4 4" xfId="6591" xr:uid="{00000000-0005-0000-0000-0000420E0000}"/>
    <cellStyle name="20% - Accent2 4 2 2 5" xfId="6037" xr:uid="{00000000-0005-0000-0000-0000430E0000}"/>
    <cellStyle name="20% - Accent2 4 2 2 5 2" xfId="15281" xr:uid="{00000000-0005-0000-0000-0000440E0000}"/>
    <cellStyle name="20% - Accent2 4 2 2 5 2 2" xfId="6040" xr:uid="{00000000-0005-0000-0000-0000450E0000}"/>
    <cellStyle name="20% - Accent2 4 2 2 5 3" xfId="6606" xr:uid="{00000000-0005-0000-0000-0000460E0000}"/>
    <cellStyle name="20% - Accent2 4 2 2 6" xfId="6614" xr:uid="{00000000-0005-0000-0000-0000470E0000}"/>
    <cellStyle name="20% - Accent2 4 2 2 6 2" xfId="6626" xr:uid="{00000000-0005-0000-0000-0000480E0000}"/>
    <cellStyle name="20% - Accent2 4 2 2 7" xfId="6045" xr:uid="{00000000-0005-0000-0000-0000490E0000}"/>
    <cellStyle name="20% - Accent2 4 2 3" xfId="6193" xr:uid="{00000000-0005-0000-0000-00004A0E0000}"/>
    <cellStyle name="20% - Accent2 4 2 3 2" xfId="2112" xr:uid="{00000000-0005-0000-0000-00004B0E0000}"/>
    <cellStyle name="20% - Accent2 4 2 3 2 2" xfId="11111" xr:uid="{00000000-0005-0000-0000-00004C0E0000}"/>
    <cellStyle name="20% - Accent2 4 2 3 2 2 2" xfId="21346" xr:uid="{00000000-0005-0000-0000-00004D0E0000}"/>
    <cellStyle name="20% - Accent2 4 2 3 2 2 2 2" xfId="6051" xr:uid="{00000000-0005-0000-0000-00004E0E0000}"/>
    <cellStyle name="20% - Accent2 4 2 3 2 2 2 2 2" xfId="12297" xr:uid="{00000000-0005-0000-0000-00004F0E0000}"/>
    <cellStyle name="20% - Accent2 4 2 3 2 2 2 3" xfId="9113" xr:uid="{00000000-0005-0000-0000-0000500E0000}"/>
    <cellStyle name="20% - Accent2 4 2 3 2 2 3" xfId="19935" xr:uid="{00000000-0005-0000-0000-0000510E0000}"/>
    <cellStyle name="20% - Accent2 4 2 3 2 2 3 2" xfId="9125" xr:uid="{00000000-0005-0000-0000-0000520E0000}"/>
    <cellStyle name="20% - Accent2 4 2 3 2 2 4" xfId="19940" xr:uid="{00000000-0005-0000-0000-0000530E0000}"/>
    <cellStyle name="20% - Accent2 4 2 3 2 3" xfId="6809" xr:uid="{00000000-0005-0000-0000-0000540E0000}"/>
    <cellStyle name="20% - Accent2 4 2 3 2 3 2" xfId="21463" xr:uid="{00000000-0005-0000-0000-0000550E0000}"/>
    <cellStyle name="20% - Accent2 4 2 3 2 3 2 2" xfId="8550" xr:uid="{00000000-0005-0000-0000-0000560E0000}"/>
    <cellStyle name="20% - Accent2 4 2 3 2 3 3" xfId="19952" xr:uid="{00000000-0005-0000-0000-0000570E0000}"/>
    <cellStyle name="20% - Accent2 4 2 3 2 4" xfId="6814" xr:uid="{00000000-0005-0000-0000-0000580E0000}"/>
    <cellStyle name="20% - Accent2 4 2 3 2 4 2" xfId="19964" xr:uid="{00000000-0005-0000-0000-0000590E0000}"/>
    <cellStyle name="20% - Accent2 4 2 3 2 5" xfId="15165" xr:uid="{00000000-0005-0000-0000-00005A0E0000}"/>
    <cellStyle name="20% - Accent2 4 2 3 3" xfId="2116" xr:uid="{00000000-0005-0000-0000-00005B0E0000}"/>
    <cellStyle name="20% - Accent2 4 2 3 3 2" xfId="6085" xr:uid="{00000000-0005-0000-0000-00005C0E0000}"/>
    <cellStyle name="20% - Accent2 4 2 3 3 2 2" xfId="19980" xr:uid="{00000000-0005-0000-0000-00005D0E0000}"/>
    <cellStyle name="20% - Accent2 4 2 3 3 2 2 2" xfId="11028" xr:uid="{00000000-0005-0000-0000-00005E0E0000}"/>
    <cellStyle name="20% - Accent2 4 2 3 3 2 3" xfId="20010" xr:uid="{00000000-0005-0000-0000-00005F0E0000}"/>
    <cellStyle name="20% - Accent2 4 2 3 3 3" xfId="6093" xr:uid="{00000000-0005-0000-0000-0000600E0000}"/>
    <cellStyle name="20% - Accent2 4 2 3 3 3 2" xfId="8501" xr:uid="{00000000-0005-0000-0000-0000610E0000}"/>
    <cellStyle name="20% - Accent2 4 2 3 3 4" xfId="14463" xr:uid="{00000000-0005-0000-0000-0000620E0000}"/>
    <cellStyle name="20% - Accent2 4 2 3 4" xfId="6109" xr:uid="{00000000-0005-0000-0000-0000630E0000}"/>
    <cellStyle name="20% - Accent2 4 2 3 4 2" xfId="15289" xr:uid="{00000000-0005-0000-0000-0000640E0000}"/>
    <cellStyle name="20% - Accent2 4 2 3 4 2 2" xfId="19992" xr:uid="{00000000-0005-0000-0000-0000650E0000}"/>
    <cellStyle name="20% - Accent2 4 2 3 4 3" xfId="8101" xr:uid="{00000000-0005-0000-0000-0000660E0000}"/>
    <cellStyle name="20% - Accent2 4 2 3 5" xfId="6656" xr:uid="{00000000-0005-0000-0000-0000670E0000}"/>
    <cellStyle name="20% - Accent2 4 2 3 5 2" xfId="1347" xr:uid="{00000000-0005-0000-0000-0000680E0000}"/>
    <cellStyle name="20% - Accent2 4 2 3 6" xfId="6662" xr:uid="{00000000-0005-0000-0000-0000690E0000}"/>
    <cellStyle name="20% - Accent2 4 2 4" xfId="21637" xr:uid="{00000000-0005-0000-0000-00006A0E0000}"/>
    <cellStyle name="20% - Accent2 4 2 4 2" xfId="8169" xr:uid="{00000000-0005-0000-0000-00006B0E0000}"/>
    <cellStyle name="20% - Accent2 4 2 4 2 2" xfId="6870" xr:uid="{00000000-0005-0000-0000-00006C0E0000}"/>
    <cellStyle name="20% - Accent2 4 2 4 2 2 2" xfId="17896" xr:uid="{00000000-0005-0000-0000-00006D0E0000}"/>
    <cellStyle name="20% - Accent2 4 2 4 2 2 2 2" xfId="9023" xr:uid="{00000000-0005-0000-0000-00006E0E0000}"/>
    <cellStyle name="20% - Accent2 4 2 4 2 2 3" xfId="23267" xr:uid="{00000000-0005-0000-0000-00006F0E0000}"/>
    <cellStyle name="20% - Accent2 4 2 4 2 3" xfId="6879" xr:uid="{00000000-0005-0000-0000-0000700E0000}"/>
    <cellStyle name="20% - Accent2 4 2 4 2 3 2" xfId="22473" xr:uid="{00000000-0005-0000-0000-0000710E0000}"/>
    <cellStyle name="20% - Accent2 4 2 4 2 4" xfId="8693" xr:uid="{00000000-0005-0000-0000-0000720E0000}"/>
    <cellStyle name="20% - Accent2 4 2 4 3" xfId="8850" xr:uid="{00000000-0005-0000-0000-0000730E0000}"/>
    <cellStyle name="20% - Accent2 4 2 4 3 2" xfId="6120" xr:uid="{00000000-0005-0000-0000-0000740E0000}"/>
    <cellStyle name="20% - Accent2 4 2 4 3 2 2" xfId="22568" xr:uid="{00000000-0005-0000-0000-0000750E0000}"/>
    <cellStyle name="20% - Accent2 4 2 4 3 3" xfId="9519" xr:uid="{00000000-0005-0000-0000-0000760E0000}"/>
    <cellStyle name="20% - Accent2 4 2 4 4" xfId="6670" xr:uid="{00000000-0005-0000-0000-0000770E0000}"/>
    <cellStyle name="20% - Accent2 4 2 4 4 2" xfId="21762" xr:uid="{00000000-0005-0000-0000-0000780E0000}"/>
    <cellStyle name="20% - Accent2 4 2 4 5" xfId="6690" xr:uid="{00000000-0005-0000-0000-0000790E0000}"/>
    <cellStyle name="20% - Accent2 4 2 5" xfId="8173" xr:uid="{00000000-0005-0000-0000-00007A0E0000}"/>
    <cellStyle name="20% - Accent2 4 2 5 2" xfId="1641" xr:uid="{00000000-0005-0000-0000-00007B0E0000}"/>
    <cellStyle name="20% - Accent2 4 2 5 2 2" xfId="6918" xr:uid="{00000000-0005-0000-0000-00007C0E0000}"/>
    <cellStyle name="20% - Accent2 4 2 5 2 2 2" xfId="20821" xr:uid="{00000000-0005-0000-0000-00007D0E0000}"/>
    <cellStyle name="20% - Accent2 4 2 5 2 3" xfId="9593" xr:uid="{00000000-0005-0000-0000-00007E0E0000}"/>
    <cellStyle name="20% - Accent2 4 2 5 3" xfId="630" xr:uid="{00000000-0005-0000-0000-00007F0E0000}"/>
    <cellStyle name="20% - Accent2 4 2 5 3 2" xfId="6504" xr:uid="{00000000-0005-0000-0000-0000800E0000}"/>
    <cellStyle name="20% - Accent2 4 2 5 4" xfId="10033" xr:uid="{00000000-0005-0000-0000-0000810E0000}"/>
    <cellStyle name="20% - Accent2 4 2 6" xfId="1236" xr:uid="{00000000-0005-0000-0000-0000820E0000}"/>
    <cellStyle name="20% - Accent2 4 2 6 2" xfId="1243" xr:uid="{00000000-0005-0000-0000-0000830E0000}"/>
    <cellStyle name="20% - Accent2 4 2 6 2 2" xfId="6132" xr:uid="{00000000-0005-0000-0000-0000840E0000}"/>
    <cellStyle name="20% - Accent2 4 2 6 3" xfId="10343" xr:uid="{00000000-0005-0000-0000-0000850E0000}"/>
    <cellStyle name="20% - Accent2 4 2 7" xfId="1255" xr:uid="{00000000-0005-0000-0000-0000860E0000}"/>
    <cellStyle name="20% - Accent2 4 2 7 2" xfId="1260" xr:uid="{00000000-0005-0000-0000-0000870E0000}"/>
    <cellStyle name="20% - Accent2 4 2 8" xfId="1268" xr:uid="{00000000-0005-0000-0000-0000880E0000}"/>
    <cellStyle name="20% - Accent2 4 3" xfId="1709" xr:uid="{00000000-0005-0000-0000-0000890E0000}"/>
    <cellStyle name="20% - Accent2 4 3 2" xfId="8109" xr:uid="{00000000-0005-0000-0000-00008A0E0000}"/>
    <cellStyle name="20% - Accent2 4 3 2 2" xfId="2124" xr:uid="{00000000-0005-0000-0000-00008B0E0000}"/>
    <cellStyle name="20% - Accent2 4 3 2 2 2" xfId="11122" xr:uid="{00000000-0005-0000-0000-00008C0E0000}"/>
    <cellStyle name="20% - Accent2 4 3 2 2 2 2" xfId="9478" xr:uid="{00000000-0005-0000-0000-00008D0E0000}"/>
    <cellStyle name="20% - Accent2 4 3 2 2 2 2 2" xfId="14270" xr:uid="{00000000-0005-0000-0000-00008E0E0000}"/>
    <cellStyle name="20% - Accent2 4 3 2 2 2 2 2 2" xfId="16548" xr:uid="{00000000-0005-0000-0000-00008F0E0000}"/>
    <cellStyle name="20% - Accent2 4 3 2 2 2 2 3" xfId="13284" xr:uid="{00000000-0005-0000-0000-0000900E0000}"/>
    <cellStyle name="20% - Accent2 4 3 2 2 2 3" xfId="8022" xr:uid="{00000000-0005-0000-0000-0000910E0000}"/>
    <cellStyle name="20% - Accent2 4 3 2 2 2 3 2" xfId="8533" xr:uid="{00000000-0005-0000-0000-0000920E0000}"/>
    <cellStyle name="20% - Accent2 4 3 2 2 2 4" xfId="18814" xr:uid="{00000000-0005-0000-0000-0000930E0000}"/>
    <cellStyle name="20% - Accent2 4 3 2 2 3" xfId="2882" xr:uid="{00000000-0005-0000-0000-0000940E0000}"/>
    <cellStyle name="20% - Accent2 4 3 2 2 3 2" xfId="6159" xr:uid="{00000000-0005-0000-0000-0000950E0000}"/>
    <cellStyle name="20% - Accent2 4 3 2 2 3 2 2" xfId="7891" xr:uid="{00000000-0005-0000-0000-0000960E0000}"/>
    <cellStyle name="20% - Accent2 4 3 2 2 3 3" xfId="272" xr:uid="{00000000-0005-0000-0000-0000970E0000}"/>
    <cellStyle name="20% - Accent2 4 3 2 2 4" xfId="6161" xr:uid="{00000000-0005-0000-0000-0000980E0000}"/>
    <cellStyle name="20% - Accent2 4 3 2 2 4 2" xfId="1567" xr:uid="{00000000-0005-0000-0000-0000990E0000}"/>
    <cellStyle name="20% - Accent2 4 3 2 2 5" xfId="7798" xr:uid="{00000000-0005-0000-0000-00009A0E0000}"/>
    <cellStyle name="20% - Accent2 4 3 2 3" xfId="1873" xr:uid="{00000000-0005-0000-0000-00009B0E0000}"/>
    <cellStyle name="20% - Accent2 4 3 2 3 2" xfId="6166" xr:uid="{00000000-0005-0000-0000-00009C0E0000}"/>
    <cellStyle name="20% - Accent2 4 3 2 3 2 2" xfId="1167" xr:uid="{00000000-0005-0000-0000-00009D0E0000}"/>
    <cellStyle name="20% - Accent2 4 3 2 3 2 2 2" xfId="7566" xr:uid="{00000000-0005-0000-0000-00009E0E0000}"/>
    <cellStyle name="20% - Accent2 4 3 2 3 2 3" xfId="278" xr:uid="{00000000-0005-0000-0000-00009F0E0000}"/>
    <cellStyle name="20% - Accent2 4 3 2 3 3" xfId="6168" xr:uid="{00000000-0005-0000-0000-0000A00E0000}"/>
    <cellStyle name="20% - Accent2 4 3 2 3 3 2" xfId="6171" xr:uid="{00000000-0005-0000-0000-0000A10E0000}"/>
    <cellStyle name="20% - Accent2 4 3 2 3 4" xfId="6173" xr:uid="{00000000-0005-0000-0000-0000A20E0000}"/>
    <cellStyle name="20% - Accent2 4 3 2 4" xfId="6179" xr:uid="{00000000-0005-0000-0000-0000A30E0000}"/>
    <cellStyle name="20% - Accent2 4 3 2 4 2" xfId="15324" xr:uid="{00000000-0005-0000-0000-0000A40E0000}"/>
    <cellStyle name="20% - Accent2 4 3 2 4 2 2" xfId="12697" xr:uid="{00000000-0005-0000-0000-0000A50E0000}"/>
    <cellStyle name="20% - Accent2 4 3 2 4 3" xfId="7074" xr:uid="{00000000-0005-0000-0000-0000A60E0000}"/>
    <cellStyle name="20% - Accent2 4 3 2 5" xfId="6182" xr:uid="{00000000-0005-0000-0000-0000A70E0000}"/>
    <cellStyle name="20% - Accent2 4 3 2 5 2" xfId="7078" xr:uid="{00000000-0005-0000-0000-0000A80E0000}"/>
    <cellStyle name="20% - Accent2 4 3 2 6" xfId="6187" xr:uid="{00000000-0005-0000-0000-0000A90E0000}"/>
    <cellStyle name="20% - Accent2 4 3 3" xfId="8112" xr:uid="{00000000-0005-0000-0000-0000AA0E0000}"/>
    <cellStyle name="20% - Accent2 4 3 3 2" xfId="2127" xr:uid="{00000000-0005-0000-0000-0000AB0E0000}"/>
    <cellStyle name="20% - Accent2 4 3 3 2 2" xfId="6967" xr:uid="{00000000-0005-0000-0000-0000AC0E0000}"/>
    <cellStyle name="20% - Accent2 4 3 3 2 2 2" xfId="24120" xr:uid="{00000000-0005-0000-0000-0000AD0E0000}"/>
    <cellStyle name="20% - Accent2 4 3 3 2 2 2 2" xfId="6195" xr:uid="{00000000-0005-0000-0000-0000AE0E0000}"/>
    <cellStyle name="20% - Accent2 4 3 3 2 2 3" xfId="24153" xr:uid="{00000000-0005-0000-0000-0000AF0E0000}"/>
    <cellStyle name="20% - Accent2 4 3 3 2 3" xfId="7831" xr:uid="{00000000-0005-0000-0000-0000B00E0000}"/>
    <cellStyle name="20% - Accent2 4 3 3 2 3 2" xfId="24208" xr:uid="{00000000-0005-0000-0000-0000B10E0000}"/>
    <cellStyle name="20% - Accent2 4 3 3 2 4" xfId="8515" xr:uid="{00000000-0005-0000-0000-0000B20E0000}"/>
    <cellStyle name="20% - Accent2 4 3 3 3" xfId="6201" xr:uid="{00000000-0005-0000-0000-0000B30E0000}"/>
    <cellStyle name="20% - Accent2 4 3 3 3 2" xfId="6203" xr:uid="{00000000-0005-0000-0000-0000B40E0000}"/>
    <cellStyle name="20% - Accent2 4 3 3 3 2 2" xfId="27361" xr:uid="{00000000-0005-0000-0000-0000B50E0000}"/>
    <cellStyle name="20% - Accent2 4 3 3 3 3" xfId="14173" xr:uid="{00000000-0005-0000-0000-0000B60E0000}"/>
    <cellStyle name="20% - Accent2 4 3 3 4" xfId="7090" xr:uid="{00000000-0005-0000-0000-0000B70E0000}"/>
    <cellStyle name="20% - Accent2 4 3 3 4 2" xfId="7093" xr:uid="{00000000-0005-0000-0000-0000B80E0000}"/>
    <cellStyle name="20% - Accent2 4 3 3 5" xfId="7096" xr:uid="{00000000-0005-0000-0000-0000B90E0000}"/>
    <cellStyle name="20% - Accent2 4 3 4" xfId="12277" xr:uid="{00000000-0005-0000-0000-0000BA0E0000}"/>
    <cellStyle name="20% - Accent2 4 3 4 2" xfId="1665" xr:uid="{00000000-0005-0000-0000-0000BB0E0000}"/>
    <cellStyle name="20% - Accent2 4 3 4 2 2" xfId="1714" xr:uid="{00000000-0005-0000-0000-0000BC0E0000}"/>
    <cellStyle name="20% - Accent2 4 3 4 2 2 2" xfId="24879" xr:uid="{00000000-0005-0000-0000-0000BD0E0000}"/>
    <cellStyle name="20% - Accent2 4 3 4 2 3" xfId="4669" xr:uid="{00000000-0005-0000-0000-0000BE0E0000}"/>
    <cellStyle name="20% - Accent2 4 3 4 3" xfId="2297" xr:uid="{00000000-0005-0000-0000-0000BF0E0000}"/>
    <cellStyle name="20% - Accent2 4 3 4 3 2" xfId="1624" xr:uid="{00000000-0005-0000-0000-0000C00E0000}"/>
    <cellStyle name="20% - Accent2 4 3 4 4" xfId="7107" xr:uid="{00000000-0005-0000-0000-0000C10E0000}"/>
    <cellStyle name="20% - Accent2 4 3 5" xfId="18721" xr:uid="{00000000-0005-0000-0000-0000C20E0000}"/>
    <cellStyle name="20% - Accent2 4 3 5 2" xfId="1674" xr:uid="{00000000-0005-0000-0000-0000C30E0000}"/>
    <cellStyle name="20% - Accent2 4 3 5 2 2" xfId="12720" xr:uid="{00000000-0005-0000-0000-0000C40E0000}"/>
    <cellStyle name="20% - Accent2 4 3 5 3" xfId="771" xr:uid="{00000000-0005-0000-0000-0000C50E0000}"/>
    <cellStyle name="20% - Accent2 4 3 6" xfId="1088" xr:uid="{00000000-0005-0000-0000-0000C60E0000}"/>
    <cellStyle name="20% - Accent2 4 3 6 2" xfId="1273" xr:uid="{00000000-0005-0000-0000-0000C70E0000}"/>
    <cellStyle name="20% - Accent2 4 3 7" xfId="1275" xr:uid="{00000000-0005-0000-0000-0000C80E0000}"/>
    <cellStyle name="20% - Accent2 4 4" xfId="1156" xr:uid="{00000000-0005-0000-0000-0000C90E0000}"/>
    <cellStyle name="20% - Accent2 4 4 2" xfId="2132" xr:uid="{00000000-0005-0000-0000-0000CA0E0000}"/>
    <cellStyle name="20% - Accent2 4 4 2 2" xfId="2140" xr:uid="{00000000-0005-0000-0000-0000CB0E0000}"/>
    <cellStyle name="20% - Accent2 4 4 2 2 2" xfId="6209" xr:uid="{00000000-0005-0000-0000-0000CC0E0000}"/>
    <cellStyle name="20% - Accent2 4 4 2 2 2 2" xfId="6211" xr:uid="{00000000-0005-0000-0000-0000CD0E0000}"/>
    <cellStyle name="20% - Accent2 4 4 2 2 2 2 2" xfId="28589" xr:uid="{00000000-0005-0000-0000-0000CE0E0000}"/>
    <cellStyle name="20% - Accent2 4 4 2 2 2 3" xfId="529" xr:uid="{00000000-0005-0000-0000-0000CF0E0000}"/>
    <cellStyle name="20% - Accent2 4 4 2 2 3" xfId="6214" xr:uid="{00000000-0005-0000-0000-0000D00E0000}"/>
    <cellStyle name="20% - Accent2 4 4 2 2 3 2" xfId="6219" xr:uid="{00000000-0005-0000-0000-0000D10E0000}"/>
    <cellStyle name="20% - Accent2 4 4 2 2 4" xfId="27263" xr:uid="{00000000-0005-0000-0000-0000D20E0000}"/>
    <cellStyle name="20% - Accent2 4 4 2 3" xfId="6222" xr:uid="{00000000-0005-0000-0000-0000D30E0000}"/>
    <cellStyle name="20% - Accent2 4 4 2 3 2" xfId="6225" xr:uid="{00000000-0005-0000-0000-0000D40E0000}"/>
    <cellStyle name="20% - Accent2 4 4 2 3 2 2" xfId="6227" xr:uid="{00000000-0005-0000-0000-0000D50E0000}"/>
    <cellStyle name="20% - Accent2 4 4 2 3 3" xfId="6230" xr:uid="{00000000-0005-0000-0000-0000D60E0000}"/>
    <cellStyle name="20% - Accent2 4 4 2 4" xfId="6232" xr:uid="{00000000-0005-0000-0000-0000D70E0000}"/>
    <cellStyle name="20% - Accent2 4 4 2 4 2" xfId="237" xr:uid="{00000000-0005-0000-0000-0000D80E0000}"/>
    <cellStyle name="20% - Accent2 4 4 2 5" xfId="6239" xr:uid="{00000000-0005-0000-0000-0000D90E0000}"/>
    <cellStyle name="20% - Accent2 4 4 3" xfId="704" xr:uid="{00000000-0005-0000-0000-0000DA0E0000}"/>
    <cellStyle name="20% - Accent2 4 4 3 2" xfId="6243" xr:uid="{00000000-0005-0000-0000-0000DB0E0000}"/>
    <cellStyle name="20% - Accent2 4 4 3 2 2" xfId="10563" xr:uid="{00000000-0005-0000-0000-0000DC0E0000}"/>
    <cellStyle name="20% - Accent2 4 4 3 2 2 2" xfId="27120" xr:uid="{00000000-0005-0000-0000-0000DD0E0000}"/>
    <cellStyle name="20% - Accent2 4 4 3 2 3" xfId="10567" xr:uid="{00000000-0005-0000-0000-0000DE0E0000}"/>
    <cellStyle name="20% - Accent2 4 4 3 3" xfId="6246" xr:uid="{00000000-0005-0000-0000-0000DF0E0000}"/>
    <cellStyle name="20% - Accent2 4 4 3 3 2" xfId="6258" xr:uid="{00000000-0005-0000-0000-0000E00E0000}"/>
    <cellStyle name="20% - Accent2 4 4 3 4" xfId="6260" xr:uid="{00000000-0005-0000-0000-0000E10E0000}"/>
    <cellStyle name="20% - Accent2 4 4 4" xfId="10583" xr:uid="{00000000-0005-0000-0000-0000E20E0000}"/>
    <cellStyle name="20% - Accent2 4 4 4 2" xfId="11852" xr:uid="{00000000-0005-0000-0000-0000E30E0000}"/>
    <cellStyle name="20% - Accent2 4 4 4 2 2" xfId="10577" xr:uid="{00000000-0005-0000-0000-0000E40E0000}"/>
    <cellStyle name="20% - Accent2 4 4 4 3" xfId="13342" xr:uid="{00000000-0005-0000-0000-0000E50E0000}"/>
    <cellStyle name="20% - Accent2 4 4 5" xfId="1075" xr:uid="{00000000-0005-0000-0000-0000E60E0000}"/>
    <cellStyle name="20% - Accent2 4 4 5 2" xfId="11860" xr:uid="{00000000-0005-0000-0000-0000E70E0000}"/>
    <cellStyle name="20% - Accent2 4 4 6" xfId="1308" xr:uid="{00000000-0005-0000-0000-0000E80E0000}"/>
    <cellStyle name="20% - Accent2 4 5" xfId="2089" xr:uid="{00000000-0005-0000-0000-0000E90E0000}"/>
    <cellStyle name="20% - Accent2 4 5 2" xfId="334" xr:uid="{00000000-0005-0000-0000-0000EA0E0000}"/>
    <cellStyle name="20% - Accent2 4 5 2 2" xfId="3122" xr:uid="{00000000-0005-0000-0000-0000EB0E0000}"/>
    <cellStyle name="20% - Accent2 4 5 2 2 2" xfId="4570" xr:uid="{00000000-0005-0000-0000-0000EC0E0000}"/>
    <cellStyle name="20% - Accent2 4 5 2 2 2 2" xfId="6276" xr:uid="{00000000-0005-0000-0000-0000ED0E0000}"/>
    <cellStyle name="20% - Accent2 4 5 2 2 3" xfId="4574" xr:uid="{00000000-0005-0000-0000-0000EE0E0000}"/>
    <cellStyle name="20% - Accent2 4 5 2 3" xfId="4581" xr:uid="{00000000-0005-0000-0000-0000EF0E0000}"/>
    <cellStyle name="20% - Accent2 4 5 2 3 2" xfId="4585" xr:uid="{00000000-0005-0000-0000-0000F00E0000}"/>
    <cellStyle name="20% - Accent2 4 5 2 4" xfId="4595" xr:uid="{00000000-0005-0000-0000-0000F10E0000}"/>
    <cellStyle name="20% - Accent2 4 5 3" xfId="6278" xr:uid="{00000000-0005-0000-0000-0000F20E0000}"/>
    <cellStyle name="20% - Accent2 4 5 3 2" xfId="4617" xr:uid="{00000000-0005-0000-0000-0000F30E0000}"/>
    <cellStyle name="20% - Accent2 4 5 3 2 2" xfId="13474" xr:uid="{00000000-0005-0000-0000-0000F40E0000}"/>
    <cellStyle name="20% - Accent2 4 5 3 3" xfId="303" xr:uid="{00000000-0005-0000-0000-0000F50E0000}"/>
    <cellStyle name="20% - Accent2 4 5 4" xfId="6282" xr:uid="{00000000-0005-0000-0000-0000F60E0000}"/>
    <cellStyle name="20% - Accent2 4 5 4 2" xfId="27434" xr:uid="{00000000-0005-0000-0000-0000F70E0000}"/>
    <cellStyle name="20% - Accent2 4 5 5" xfId="11278" xr:uid="{00000000-0005-0000-0000-0000F80E0000}"/>
    <cellStyle name="20% - Accent2 4 6" xfId="9126" xr:uid="{00000000-0005-0000-0000-0000F90E0000}"/>
    <cellStyle name="20% - Accent2 4 6 2" xfId="14325" xr:uid="{00000000-0005-0000-0000-0000FA0E0000}"/>
    <cellStyle name="20% - Accent2 4 6 2 2" xfId="4710" xr:uid="{00000000-0005-0000-0000-0000FB0E0000}"/>
    <cellStyle name="20% - Accent2 4 6 2 2 2" xfId="9230" xr:uid="{00000000-0005-0000-0000-0000FC0E0000}"/>
    <cellStyle name="20% - Accent2 4 6 2 3" xfId="4804" xr:uid="{00000000-0005-0000-0000-0000FD0E0000}"/>
    <cellStyle name="20% - Accent2 4 6 3" xfId="6284" xr:uid="{00000000-0005-0000-0000-0000FE0E0000}"/>
    <cellStyle name="20% - Accent2 4 6 3 2" xfId="1864" xr:uid="{00000000-0005-0000-0000-0000FF0E0000}"/>
    <cellStyle name="20% - Accent2 4 6 4" xfId="6287" xr:uid="{00000000-0005-0000-0000-0000000F0000}"/>
    <cellStyle name="20% - Accent2 4 7" xfId="24043" xr:uid="{00000000-0005-0000-0000-0000010F0000}"/>
    <cellStyle name="20% - Accent2 4 7 2" xfId="6296" xr:uid="{00000000-0005-0000-0000-0000020F0000}"/>
    <cellStyle name="20% - Accent2 4 7 2 2" xfId="11668" xr:uid="{00000000-0005-0000-0000-0000030F0000}"/>
    <cellStyle name="20% - Accent2 4 7 3" xfId="3494" xr:uid="{00000000-0005-0000-0000-0000040F0000}"/>
    <cellStyle name="20% - Accent2 4 8" xfId="14995" xr:uid="{00000000-0005-0000-0000-0000050F0000}"/>
    <cellStyle name="20% - Accent2 4 8 2" xfId="6300" xr:uid="{00000000-0005-0000-0000-0000060F0000}"/>
    <cellStyle name="20% - Accent2 4 9" xfId="15000" xr:uid="{00000000-0005-0000-0000-0000070F0000}"/>
    <cellStyle name="20% - Accent2 5" xfId="26942" xr:uid="{00000000-0005-0000-0000-0000080F0000}"/>
    <cellStyle name="20% - Accent2 5 2" xfId="1725" xr:uid="{00000000-0005-0000-0000-0000090F0000}"/>
    <cellStyle name="20% - Accent2 5 2 2" xfId="5203" xr:uid="{00000000-0005-0000-0000-00000A0F0000}"/>
    <cellStyle name="20% - Accent2 5 2 2 2" xfId="29032" xr:uid="{00000000-0005-0000-0000-00000B0F0000}"/>
    <cellStyle name="20% - Accent2 5 2 2 2 2" xfId="24433" xr:uid="{00000000-0005-0000-0000-00000C0F0000}"/>
    <cellStyle name="20% - Accent2 5 2 2 2 2 2" xfId="9689" xr:uid="{00000000-0005-0000-0000-00000D0F0000}"/>
    <cellStyle name="20% - Accent2 5 2 2 2 2 2 2" xfId="28702" xr:uid="{00000000-0005-0000-0000-00000E0F0000}"/>
    <cellStyle name="20% - Accent2 5 2 2 2 2 2 2 2" xfId="18674" xr:uid="{00000000-0005-0000-0000-00000F0F0000}"/>
    <cellStyle name="20% - Accent2 5 2 2 2 2 2 3" xfId="25803" xr:uid="{00000000-0005-0000-0000-0000100F0000}"/>
    <cellStyle name="20% - Accent2 5 2 2 2 2 3" xfId="8846" xr:uid="{00000000-0005-0000-0000-0000110F0000}"/>
    <cellStyle name="20% - Accent2 5 2 2 2 2 3 2" xfId="25816" xr:uid="{00000000-0005-0000-0000-0000120F0000}"/>
    <cellStyle name="20% - Accent2 5 2 2 2 2 4" xfId="28254" xr:uid="{00000000-0005-0000-0000-0000130F0000}"/>
    <cellStyle name="20% - Accent2 5 2 2 2 3" xfId="6076" xr:uid="{00000000-0005-0000-0000-0000140F0000}"/>
    <cellStyle name="20% - Accent2 5 2 2 2 3 2" xfId="1547" xr:uid="{00000000-0005-0000-0000-0000150F0000}"/>
    <cellStyle name="20% - Accent2 5 2 2 2 3 2 2" xfId="25851" xr:uid="{00000000-0005-0000-0000-0000160F0000}"/>
    <cellStyle name="20% - Accent2 5 2 2 2 3 3" xfId="6306" xr:uid="{00000000-0005-0000-0000-0000170F0000}"/>
    <cellStyle name="20% - Accent2 5 2 2 2 4" xfId="6077" xr:uid="{00000000-0005-0000-0000-0000180F0000}"/>
    <cellStyle name="20% - Accent2 5 2 2 2 4 2" xfId="23684" xr:uid="{00000000-0005-0000-0000-0000190F0000}"/>
    <cellStyle name="20% - Accent2 5 2 2 2 5" xfId="6308" xr:uid="{00000000-0005-0000-0000-00001A0F0000}"/>
    <cellStyle name="20% - Accent2 5 2 2 3" xfId="2180" xr:uid="{00000000-0005-0000-0000-00001B0F0000}"/>
    <cellStyle name="20% - Accent2 5 2 2 3 2" xfId="24841" xr:uid="{00000000-0005-0000-0000-00001C0F0000}"/>
    <cellStyle name="20% - Accent2 5 2 2 3 2 2" xfId="27137" xr:uid="{00000000-0005-0000-0000-00001D0F0000}"/>
    <cellStyle name="20% - Accent2 5 2 2 3 2 2 2" xfId="25975" xr:uid="{00000000-0005-0000-0000-00001E0F0000}"/>
    <cellStyle name="20% - Accent2 5 2 2 3 2 3" xfId="27144" xr:uid="{00000000-0005-0000-0000-00001F0F0000}"/>
    <cellStyle name="20% - Accent2 5 2 2 3 3" xfId="24850" xr:uid="{00000000-0005-0000-0000-0000200F0000}"/>
    <cellStyle name="20% - Accent2 5 2 2 3 3 2" xfId="27145" xr:uid="{00000000-0005-0000-0000-0000210F0000}"/>
    <cellStyle name="20% - Accent2 5 2 2 3 4" xfId="26884" xr:uid="{00000000-0005-0000-0000-0000220F0000}"/>
    <cellStyle name="20% - Accent2 5 2 2 4" xfId="18880" xr:uid="{00000000-0005-0000-0000-0000230F0000}"/>
    <cellStyle name="20% - Accent2 5 2 2 4 2" xfId="18889" xr:uid="{00000000-0005-0000-0000-0000240F0000}"/>
    <cellStyle name="20% - Accent2 5 2 2 4 2 2" xfId="14712" xr:uid="{00000000-0005-0000-0000-0000250F0000}"/>
    <cellStyle name="20% - Accent2 5 2 2 4 3" xfId="18902" xr:uid="{00000000-0005-0000-0000-0000260F0000}"/>
    <cellStyle name="20% - Accent2 5 2 2 5" xfId="12987" xr:uid="{00000000-0005-0000-0000-0000270F0000}"/>
    <cellStyle name="20% - Accent2 5 2 2 5 2" xfId="24040" xr:uid="{00000000-0005-0000-0000-0000280F0000}"/>
    <cellStyle name="20% - Accent2 5 2 2 6" xfId="19160" xr:uid="{00000000-0005-0000-0000-0000290F0000}"/>
    <cellStyle name="20% - Accent2 5 2 3" xfId="541" xr:uid="{00000000-0005-0000-0000-00002A0F0000}"/>
    <cellStyle name="20% - Accent2 5 2 3 2" xfId="2269" xr:uid="{00000000-0005-0000-0000-00002B0F0000}"/>
    <cellStyle name="20% - Accent2 5 2 3 2 2" xfId="10003" xr:uid="{00000000-0005-0000-0000-00002C0F0000}"/>
    <cellStyle name="20% - Accent2 5 2 3 2 2 2" xfId="6344" xr:uid="{00000000-0005-0000-0000-00002D0F0000}"/>
    <cellStyle name="20% - Accent2 5 2 3 2 2 2 2" xfId="2159" xr:uid="{00000000-0005-0000-0000-00002E0F0000}"/>
    <cellStyle name="20% - Accent2 5 2 3 2 2 3" xfId="6350" xr:uid="{00000000-0005-0000-0000-00002F0F0000}"/>
    <cellStyle name="20% - Accent2 5 2 3 2 3" xfId="11113" xr:uid="{00000000-0005-0000-0000-0000300F0000}"/>
    <cellStyle name="20% - Accent2 5 2 3 2 3 2" xfId="6351" xr:uid="{00000000-0005-0000-0000-0000310F0000}"/>
    <cellStyle name="20% - Accent2 5 2 3 2 4" xfId="8747" xr:uid="{00000000-0005-0000-0000-0000320F0000}"/>
    <cellStyle name="20% - Accent2 5 2 3 3" xfId="27147" xr:uid="{00000000-0005-0000-0000-0000330F0000}"/>
    <cellStyle name="20% - Accent2 5 2 3 3 2" xfId="24185" xr:uid="{00000000-0005-0000-0000-0000340F0000}"/>
    <cellStyle name="20% - Accent2 5 2 3 3 2 2" xfId="17561" xr:uid="{00000000-0005-0000-0000-0000350F0000}"/>
    <cellStyle name="20% - Accent2 5 2 3 3 3" xfId="8751" xr:uid="{00000000-0005-0000-0000-0000360F0000}"/>
    <cellStyle name="20% - Accent2 5 2 3 4" xfId="18920" xr:uid="{00000000-0005-0000-0000-0000370F0000}"/>
    <cellStyle name="20% - Accent2 5 2 3 4 2" xfId="24069" xr:uid="{00000000-0005-0000-0000-0000380F0000}"/>
    <cellStyle name="20% - Accent2 5 2 3 5" xfId="22600" xr:uid="{00000000-0005-0000-0000-0000390F0000}"/>
    <cellStyle name="20% - Accent2 5 2 4" xfId="29253" xr:uid="{00000000-0005-0000-0000-00003A0F0000}"/>
    <cellStyle name="20% - Accent2 5 2 4 2" xfId="1699" xr:uid="{00000000-0005-0000-0000-00003B0F0000}"/>
    <cellStyle name="20% - Accent2 5 2 4 2 2" xfId="10020" xr:uid="{00000000-0005-0000-0000-00003C0F0000}"/>
    <cellStyle name="20% - Accent2 5 2 4 2 2 2" xfId="6366" xr:uid="{00000000-0005-0000-0000-00003D0F0000}"/>
    <cellStyle name="20% - Accent2 5 2 4 2 3" xfId="8753" xr:uid="{00000000-0005-0000-0000-00003E0F0000}"/>
    <cellStyle name="20% - Accent2 5 2 4 3" xfId="26697" xr:uid="{00000000-0005-0000-0000-00003F0F0000}"/>
    <cellStyle name="20% - Accent2 5 2 4 3 2" xfId="26456" xr:uid="{00000000-0005-0000-0000-0000400F0000}"/>
    <cellStyle name="20% - Accent2 5 2 4 4" xfId="18934" xr:uid="{00000000-0005-0000-0000-0000410F0000}"/>
    <cellStyle name="20% - Accent2 5 2 5" xfId="21618" xr:uid="{00000000-0005-0000-0000-0000420F0000}"/>
    <cellStyle name="20% - Accent2 5 2 5 2" xfId="1719" xr:uid="{00000000-0005-0000-0000-0000430F0000}"/>
    <cellStyle name="20% - Accent2 5 2 5 2 2" xfId="31389" xr:uid="{00000000-0005-0000-0000-0000440F0000}"/>
    <cellStyle name="20% - Accent2 5 2 5 3" xfId="14829" xr:uid="{00000000-0005-0000-0000-0000450F0000}"/>
    <cellStyle name="20% - Accent2 5 2 6" xfId="21620" xr:uid="{00000000-0005-0000-0000-0000460F0000}"/>
    <cellStyle name="20% - Accent2 5 2 6 2" xfId="1358" xr:uid="{00000000-0005-0000-0000-0000470F0000}"/>
    <cellStyle name="20% - Accent2 5 2 7" xfId="12614" xr:uid="{00000000-0005-0000-0000-0000480F0000}"/>
    <cellStyle name="20% - Accent2 5 3" xfId="1749" xr:uid="{00000000-0005-0000-0000-0000490F0000}"/>
    <cellStyle name="20% - Accent2 5 3 2" xfId="8116" xr:uid="{00000000-0005-0000-0000-00004A0F0000}"/>
    <cellStyle name="20% - Accent2 5 3 2 2" xfId="2279" xr:uid="{00000000-0005-0000-0000-00004B0F0000}"/>
    <cellStyle name="20% - Accent2 5 3 2 2 2" xfId="6373" xr:uid="{00000000-0005-0000-0000-00004C0F0000}"/>
    <cellStyle name="20% - Accent2 5 3 2 2 2 2" xfId="6375" xr:uid="{00000000-0005-0000-0000-00004D0F0000}"/>
    <cellStyle name="20% - Accent2 5 3 2 2 2 2 2" xfId="20195" xr:uid="{00000000-0005-0000-0000-00004E0F0000}"/>
    <cellStyle name="20% - Accent2 5 3 2 2 2 3" xfId="2073" xr:uid="{00000000-0005-0000-0000-00004F0F0000}"/>
    <cellStyle name="20% - Accent2 5 3 2 2 3" xfId="6118" xr:uid="{00000000-0005-0000-0000-0000500F0000}"/>
    <cellStyle name="20% - Accent2 5 3 2 2 3 2" xfId="13037" xr:uid="{00000000-0005-0000-0000-0000510F0000}"/>
    <cellStyle name="20% - Accent2 5 3 2 2 4" xfId="903" xr:uid="{00000000-0005-0000-0000-0000520F0000}"/>
    <cellStyle name="20% - Accent2 5 3 2 3" xfId="27151" xr:uid="{00000000-0005-0000-0000-0000530F0000}"/>
    <cellStyle name="20% - Accent2 5 3 2 3 2" xfId="10087" xr:uid="{00000000-0005-0000-0000-0000540F0000}"/>
    <cellStyle name="20% - Accent2 5 3 2 3 2 2" xfId="27157" xr:uid="{00000000-0005-0000-0000-0000550F0000}"/>
    <cellStyle name="20% - Accent2 5 3 2 3 3" xfId="27159" xr:uid="{00000000-0005-0000-0000-0000560F0000}"/>
    <cellStyle name="20% - Accent2 5 3 2 4" xfId="19115" xr:uid="{00000000-0005-0000-0000-0000570F0000}"/>
    <cellStyle name="20% - Accent2 5 3 2 4 2" xfId="1687" xr:uid="{00000000-0005-0000-0000-0000580F0000}"/>
    <cellStyle name="20% - Accent2 5 3 2 5" xfId="22801" xr:uid="{00000000-0005-0000-0000-0000590F0000}"/>
    <cellStyle name="20% - Accent2 5 3 3" xfId="4288" xr:uid="{00000000-0005-0000-0000-00005A0F0000}"/>
    <cellStyle name="20% - Accent2 5 3 3 2" xfId="6397" xr:uid="{00000000-0005-0000-0000-00005B0F0000}"/>
    <cellStyle name="20% - Accent2 5 3 3 2 2" xfId="10034" xr:uid="{00000000-0005-0000-0000-00005C0F0000}"/>
    <cellStyle name="20% - Accent2 5 3 3 2 2 2" xfId="6399" xr:uid="{00000000-0005-0000-0000-00005D0F0000}"/>
    <cellStyle name="20% - Accent2 5 3 3 2 3" xfId="6404" xr:uid="{00000000-0005-0000-0000-00005E0F0000}"/>
    <cellStyle name="20% - Accent2 5 3 3 3" xfId="27874" xr:uid="{00000000-0005-0000-0000-00005F0F0000}"/>
    <cellStyle name="20% - Accent2 5 3 3 3 2" xfId="24494" xr:uid="{00000000-0005-0000-0000-0000600F0000}"/>
    <cellStyle name="20% - Accent2 5 3 3 4" xfId="19868" xr:uid="{00000000-0005-0000-0000-0000610F0000}"/>
    <cellStyle name="20% - Accent2 5 3 4" xfId="12403" xr:uid="{00000000-0005-0000-0000-0000620F0000}"/>
    <cellStyle name="20% - Accent2 5 3 4 2" xfId="1738" xr:uid="{00000000-0005-0000-0000-0000630F0000}"/>
    <cellStyle name="20% - Accent2 5 3 4 2 2" xfId="421" xr:uid="{00000000-0005-0000-0000-0000640F0000}"/>
    <cellStyle name="20% - Accent2 5 3 4 3" xfId="20309" xr:uid="{00000000-0005-0000-0000-0000650F0000}"/>
    <cellStyle name="20% - Accent2 5 3 5" xfId="15392" xr:uid="{00000000-0005-0000-0000-0000660F0000}"/>
    <cellStyle name="20% - Accent2 5 3 5 2" xfId="469" xr:uid="{00000000-0005-0000-0000-0000670F0000}"/>
    <cellStyle name="20% - Accent2 5 3 6" xfId="6323" xr:uid="{00000000-0005-0000-0000-0000680F0000}"/>
    <cellStyle name="20% - Accent2 5 4" xfId="1758" xr:uid="{00000000-0005-0000-0000-0000690F0000}"/>
    <cellStyle name="20% - Accent2 5 4 2" xfId="1764" xr:uid="{00000000-0005-0000-0000-00006A0F0000}"/>
    <cellStyle name="20% - Accent2 5 4 2 2" xfId="6408" xr:uid="{00000000-0005-0000-0000-00006B0F0000}"/>
    <cellStyle name="20% - Accent2 5 4 2 2 2" xfId="5971" xr:uid="{00000000-0005-0000-0000-00006C0F0000}"/>
    <cellStyle name="20% - Accent2 5 4 2 2 2 2" xfId="6411" xr:uid="{00000000-0005-0000-0000-00006D0F0000}"/>
    <cellStyle name="20% - Accent2 5 4 2 2 3" xfId="6414" xr:uid="{00000000-0005-0000-0000-00006E0F0000}"/>
    <cellStyle name="20% - Accent2 5 4 2 3" xfId="6416" xr:uid="{00000000-0005-0000-0000-00006F0F0000}"/>
    <cellStyle name="20% - Accent2 5 4 2 3 2" xfId="6423" xr:uid="{00000000-0005-0000-0000-0000700F0000}"/>
    <cellStyle name="20% - Accent2 5 4 2 4" xfId="6427" xr:uid="{00000000-0005-0000-0000-0000710F0000}"/>
    <cellStyle name="20% - Accent2 5 4 3" xfId="6431" xr:uid="{00000000-0005-0000-0000-0000720F0000}"/>
    <cellStyle name="20% - Accent2 5 4 3 2" xfId="6435" xr:uid="{00000000-0005-0000-0000-0000730F0000}"/>
    <cellStyle name="20% - Accent2 5 4 3 2 2" xfId="19001" xr:uid="{00000000-0005-0000-0000-0000740F0000}"/>
    <cellStyle name="20% - Accent2 5 4 3 3" xfId="24943" xr:uid="{00000000-0005-0000-0000-0000750F0000}"/>
    <cellStyle name="20% - Accent2 5 4 4" xfId="12435" xr:uid="{00000000-0005-0000-0000-0000760F0000}"/>
    <cellStyle name="20% - Accent2 5 4 4 2" xfId="11890" xr:uid="{00000000-0005-0000-0000-0000770F0000}"/>
    <cellStyle name="20% - Accent2 5 4 5" xfId="15396" xr:uid="{00000000-0005-0000-0000-0000780F0000}"/>
    <cellStyle name="20% - Accent2 5 5" xfId="9919" xr:uid="{00000000-0005-0000-0000-0000790F0000}"/>
    <cellStyle name="20% - Accent2 5 5 2" xfId="6444" xr:uid="{00000000-0005-0000-0000-00007A0F0000}"/>
    <cellStyle name="20% - Accent2 5 5 2 2" xfId="4578" xr:uid="{00000000-0005-0000-0000-00007B0F0000}"/>
    <cellStyle name="20% - Accent2 5 5 2 2 2" xfId="4583" xr:uid="{00000000-0005-0000-0000-00007C0F0000}"/>
    <cellStyle name="20% - Accent2 5 5 2 3" xfId="4858" xr:uid="{00000000-0005-0000-0000-00007D0F0000}"/>
    <cellStyle name="20% - Accent2 5 5 3" xfId="10790" xr:uid="{00000000-0005-0000-0000-00007E0F0000}"/>
    <cellStyle name="20% - Accent2 5 5 3 2" xfId="4885" xr:uid="{00000000-0005-0000-0000-00007F0F0000}"/>
    <cellStyle name="20% - Accent2 5 5 4" xfId="2844" xr:uid="{00000000-0005-0000-0000-0000800F0000}"/>
    <cellStyle name="20% - Accent2 5 6" xfId="23769" xr:uid="{00000000-0005-0000-0000-0000810F0000}"/>
    <cellStyle name="20% - Accent2 5 6 2" xfId="6453" xr:uid="{00000000-0005-0000-0000-0000820F0000}"/>
    <cellStyle name="20% - Accent2 5 6 2 2" xfId="4945" xr:uid="{00000000-0005-0000-0000-0000830F0000}"/>
    <cellStyle name="20% - Accent2 5 6 3" xfId="6457" xr:uid="{00000000-0005-0000-0000-0000840F0000}"/>
    <cellStyle name="20% - Accent2 5 7" xfId="6460" xr:uid="{00000000-0005-0000-0000-0000850F0000}"/>
    <cellStyle name="20% - Accent2 5 7 2" xfId="845" xr:uid="{00000000-0005-0000-0000-0000860F0000}"/>
    <cellStyle name="20% - Accent2 5 8" xfId="15011" xr:uid="{00000000-0005-0000-0000-0000870F0000}"/>
    <cellStyle name="20% - Accent2 6" xfId="6467" xr:uid="{00000000-0005-0000-0000-0000880F0000}"/>
    <cellStyle name="20% - Accent2 6 2" xfId="8902" xr:uid="{00000000-0005-0000-0000-0000890F0000}"/>
    <cellStyle name="20% - Accent2 6 2 2" xfId="2382" xr:uid="{00000000-0005-0000-0000-00008A0F0000}"/>
    <cellStyle name="20% - Accent2 6 2 2 2" xfId="25715" xr:uid="{00000000-0005-0000-0000-00008B0F0000}"/>
    <cellStyle name="20% - Accent2 6 2 2 2 2" xfId="30449" xr:uid="{00000000-0005-0000-0000-00008C0F0000}"/>
    <cellStyle name="20% - Accent2 6 2 2 2 2 2" xfId="6469" xr:uid="{00000000-0005-0000-0000-00008D0F0000}"/>
    <cellStyle name="20% - Accent2 6 2 2 2 2 2 2" xfId="6472" xr:uid="{00000000-0005-0000-0000-00008E0F0000}"/>
    <cellStyle name="20% - Accent2 6 2 2 2 2 3" xfId="29757" xr:uid="{00000000-0005-0000-0000-00008F0F0000}"/>
    <cellStyle name="20% - Accent2 6 2 2 2 3" xfId="6200" xr:uid="{00000000-0005-0000-0000-0000900F0000}"/>
    <cellStyle name="20% - Accent2 6 2 2 2 3 2" xfId="969" xr:uid="{00000000-0005-0000-0000-0000910F0000}"/>
    <cellStyle name="20% - Accent2 6 2 2 2 4" xfId="6479" xr:uid="{00000000-0005-0000-0000-0000920F0000}"/>
    <cellStyle name="20% - Accent2 6 2 2 3" xfId="27429" xr:uid="{00000000-0005-0000-0000-0000930F0000}"/>
    <cellStyle name="20% - Accent2 6 2 2 3 2" xfId="24860" xr:uid="{00000000-0005-0000-0000-0000940F0000}"/>
    <cellStyle name="20% - Accent2 6 2 2 3 2 2" xfId="27171" xr:uid="{00000000-0005-0000-0000-0000950F0000}"/>
    <cellStyle name="20% - Accent2 6 2 2 3 3" xfId="27726" xr:uid="{00000000-0005-0000-0000-0000960F0000}"/>
    <cellStyle name="20% - Accent2 6 2 2 4" xfId="19547" xr:uid="{00000000-0005-0000-0000-0000970F0000}"/>
    <cellStyle name="20% - Accent2 6 2 2 4 2" xfId="22625" xr:uid="{00000000-0005-0000-0000-0000980F0000}"/>
    <cellStyle name="20% - Accent2 6 2 2 5" xfId="19552" xr:uid="{00000000-0005-0000-0000-0000990F0000}"/>
    <cellStyle name="20% - Accent2 6 2 3" xfId="679" xr:uid="{00000000-0005-0000-0000-00009A0F0000}"/>
    <cellStyle name="20% - Accent2 6 2 3 2" xfId="9848" xr:uid="{00000000-0005-0000-0000-00009B0F0000}"/>
    <cellStyle name="20% - Accent2 6 2 3 2 2" xfId="8275" xr:uid="{00000000-0005-0000-0000-00009C0F0000}"/>
    <cellStyle name="20% - Accent2 6 2 3 2 2 2" xfId="8281" xr:uid="{00000000-0005-0000-0000-00009D0F0000}"/>
    <cellStyle name="20% - Accent2 6 2 3 2 3" xfId="10112" xr:uid="{00000000-0005-0000-0000-00009E0F0000}"/>
    <cellStyle name="20% - Accent2 6 2 3 3" xfId="27177" xr:uid="{00000000-0005-0000-0000-00009F0F0000}"/>
    <cellStyle name="20% - Accent2 6 2 3 3 2" xfId="27184" xr:uid="{00000000-0005-0000-0000-0000A00F0000}"/>
    <cellStyle name="20% - Accent2 6 2 3 4" xfId="19577" xr:uid="{00000000-0005-0000-0000-0000A10F0000}"/>
    <cellStyle name="20% - Accent2 6 2 4" xfId="11764" xr:uid="{00000000-0005-0000-0000-0000A20F0000}"/>
    <cellStyle name="20% - Accent2 6 2 4 2" xfId="1858" xr:uid="{00000000-0005-0000-0000-0000A30F0000}"/>
    <cellStyle name="20% - Accent2 6 2 4 2 2" xfId="31817" xr:uid="{00000000-0005-0000-0000-0000A40F0000}"/>
    <cellStyle name="20% - Accent2 6 2 4 3" xfId="9752" xr:uid="{00000000-0005-0000-0000-0000A50F0000}"/>
    <cellStyle name="20% - Accent2 6 2 5" xfId="15415" xr:uid="{00000000-0005-0000-0000-0000A60F0000}"/>
    <cellStyle name="20% - Accent2 6 2 5 2" xfId="3089" xr:uid="{00000000-0005-0000-0000-0000A70F0000}"/>
    <cellStyle name="20% - Accent2 6 2 6" xfId="6481" xr:uid="{00000000-0005-0000-0000-0000A80F0000}"/>
    <cellStyle name="20% - Accent2 6 3" xfId="12710" xr:uid="{00000000-0005-0000-0000-0000A90F0000}"/>
    <cellStyle name="20% - Accent2 6 3 2" xfId="3265" xr:uid="{00000000-0005-0000-0000-0000AA0F0000}"/>
    <cellStyle name="20% - Accent2 6 3 2 2" xfId="29823" xr:uid="{00000000-0005-0000-0000-0000AB0F0000}"/>
    <cellStyle name="20% - Accent2 6 3 2 2 2" xfId="6510" xr:uid="{00000000-0005-0000-0000-0000AC0F0000}"/>
    <cellStyle name="20% - Accent2 6 3 2 2 2 2" xfId="16303" xr:uid="{00000000-0005-0000-0000-0000AD0F0000}"/>
    <cellStyle name="20% - Accent2 6 3 2 2 3" xfId="6512" xr:uid="{00000000-0005-0000-0000-0000AE0F0000}"/>
    <cellStyle name="20% - Accent2 6 3 2 3" xfId="27190" xr:uid="{00000000-0005-0000-0000-0000AF0F0000}"/>
    <cellStyle name="20% - Accent2 6 3 2 3 2" xfId="16418" xr:uid="{00000000-0005-0000-0000-0000B00F0000}"/>
    <cellStyle name="20% - Accent2 6 3 2 4" xfId="19672" xr:uid="{00000000-0005-0000-0000-0000B10F0000}"/>
    <cellStyle name="20% - Accent2 6 3 3" xfId="6526" xr:uid="{00000000-0005-0000-0000-0000B20F0000}"/>
    <cellStyle name="20% - Accent2 6 3 3 2" xfId="6530" xr:uid="{00000000-0005-0000-0000-0000B30F0000}"/>
    <cellStyle name="20% - Accent2 6 3 3 2 2" xfId="10049" xr:uid="{00000000-0005-0000-0000-0000B40F0000}"/>
    <cellStyle name="20% - Accent2 6 3 3 3" xfId="29612" xr:uid="{00000000-0005-0000-0000-0000B50F0000}"/>
    <cellStyle name="20% - Accent2 6 3 4" xfId="12471" xr:uid="{00000000-0005-0000-0000-0000B60F0000}"/>
    <cellStyle name="20% - Accent2 6 3 4 2" xfId="6535" xr:uid="{00000000-0005-0000-0000-0000B70F0000}"/>
    <cellStyle name="20% - Accent2 6 3 5" xfId="15420" xr:uid="{00000000-0005-0000-0000-0000B80F0000}"/>
    <cellStyle name="20% - Accent2 6 4" xfId="12719" xr:uid="{00000000-0005-0000-0000-0000B90F0000}"/>
    <cellStyle name="20% - Accent2 6 4 2" xfId="1053" xr:uid="{00000000-0005-0000-0000-0000BA0F0000}"/>
    <cellStyle name="20% - Accent2 6 4 2 2" xfId="6537" xr:uid="{00000000-0005-0000-0000-0000BB0F0000}"/>
    <cellStyle name="20% - Accent2 6 4 2 2 2" xfId="1551" xr:uid="{00000000-0005-0000-0000-0000BC0F0000}"/>
    <cellStyle name="20% - Accent2 6 4 2 3" xfId="6541" xr:uid="{00000000-0005-0000-0000-0000BD0F0000}"/>
    <cellStyle name="20% - Accent2 6 4 3" xfId="6546" xr:uid="{00000000-0005-0000-0000-0000BE0F0000}"/>
    <cellStyle name="20% - Accent2 6 4 3 2" xfId="6548" xr:uid="{00000000-0005-0000-0000-0000BF0F0000}"/>
    <cellStyle name="20% - Accent2 6 4 4" xfId="3038" xr:uid="{00000000-0005-0000-0000-0000C00F0000}"/>
    <cellStyle name="20% - Accent2 6 5" xfId="24053" xr:uid="{00000000-0005-0000-0000-0000C10F0000}"/>
    <cellStyle name="20% - Accent2 6 5 2" xfId="6557" xr:uid="{00000000-0005-0000-0000-0000C20F0000}"/>
    <cellStyle name="20% - Accent2 6 5 2 2" xfId="5051" xr:uid="{00000000-0005-0000-0000-0000C30F0000}"/>
    <cellStyle name="20% - Accent2 6 5 3" xfId="6562" xr:uid="{00000000-0005-0000-0000-0000C40F0000}"/>
    <cellStyle name="20% - Accent2 6 6" xfId="6565" xr:uid="{00000000-0005-0000-0000-0000C50F0000}"/>
    <cellStyle name="20% - Accent2 6 6 2" xfId="6574" xr:uid="{00000000-0005-0000-0000-0000C60F0000}"/>
    <cellStyle name="20% - Accent2 6 7" xfId="6577" xr:uid="{00000000-0005-0000-0000-0000C70F0000}"/>
    <cellStyle name="20% - Accent2 7" xfId="3414" xr:uid="{00000000-0005-0000-0000-0000C80F0000}"/>
    <cellStyle name="20% - Accent2 7 2" xfId="12722" xr:uid="{00000000-0005-0000-0000-0000C90F0000}"/>
    <cellStyle name="20% - Accent2 7 2 2" xfId="6022" xr:uid="{00000000-0005-0000-0000-0000CA0F0000}"/>
    <cellStyle name="20% - Accent2 7 2 2 2" xfId="11233" xr:uid="{00000000-0005-0000-0000-0000CB0F0000}"/>
    <cellStyle name="20% - Accent2 7 2 2 2 2" xfId="500" xr:uid="{00000000-0005-0000-0000-0000CC0F0000}"/>
    <cellStyle name="20% - Accent2 7 2 2 2 2 2" xfId="6581" xr:uid="{00000000-0005-0000-0000-0000CD0F0000}"/>
    <cellStyle name="20% - Accent2 7 2 2 2 3" xfId="534" xr:uid="{00000000-0005-0000-0000-0000CE0F0000}"/>
    <cellStyle name="20% - Accent2 7 2 2 3" xfId="6029" xr:uid="{00000000-0005-0000-0000-0000CF0F0000}"/>
    <cellStyle name="20% - Accent2 7 2 2 3 2" xfId="28458" xr:uid="{00000000-0005-0000-0000-0000D00F0000}"/>
    <cellStyle name="20% - Accent2 7 2 2 4" xfId="19898" xr:uid="{00000000-0005-0000-0000-0000D10F0000}"/>
    <cellStyle name="20% - Accent2 7 2 3" xfId="6584" xr:uid="{00000000-0005-0000-0000-0000D20F0000}"/>
    <cellStyle name="20% - Accent2 7 2 3 2" xfId="6036" xr:uid="{00000000-0005-0000-0000-0000D30F0000}"/>
    <cellStyle name="20% - Accent2 7 2 3 2 2" xfId="14504" xr:uid="{00000000-0005-0000-0000-0000D40F0000}"/>
    <cellStyle name="20% - Accent2 7 2 3 3" xfId="27512" xr:uid="{00000000-0005-0000-0000-0000D50F0000}"/>
    <cellStyle name="20% - Accent2 7 2 4" xfId="21740" xr:uid="{00000000-0005-0000-0000-0000D60F0000}"/>
    <cellStyle name="20% - Accent2 7 2 4 2" xfId="33639" xr:uid="{00000000-0005-0000-0000-0000D70F0000}"/>
    <cellStyle name="20% - Accent2 7 2 5" xfId="4995" xr:uid="{00000000-0005-0000-0000-0000D80F0000}"/>
    <cellStyle name="20% - Accent2 7 3" xfId="14758" xr:uid="{00000000-0005-0000-0000-0000D90F0000}"/>
    <cellStyle name="20% - Accent2 7 3 2" xfId="6601" xr:uid="{00000000-0005-0000-0000-0000DA0F0000}"/>
    <cellStyle name="20% - Accent2 7 3 2 2" xfId="14413" xr:uid="{00000000-0005-0000-0000-0000DB0F0000}"/>
    <cellStyle name="20% - Accent2 7 3 2 2 2" xfId="320" xr:uid="{00000000-0005-0000-0000-0000DC0F0000}"/>
    <cellStyle name="20% - Accent2 7 3 2 3" xfId="33410" xr:uid="{00000000-0005-0000-0000-0000DD0F0000}"/>
    <cellStyle name="20% - Accent2 7 3 3" xfId="6605" xr:uid="{00000000-0005-0000-0000-0000DE0F0000}"/>
    <cellStyle name="20% - Accent2 7 3 3 2" xfId="1342" xr:uid="{00000000-0005-0000-0000-0000DF0F0000}"/>
    <cellStyle name="20% - Accent2 7 3 4" xfId="12511" xr:uid="{00000000-0005-0000-0000-0000E00F0000}"/>
    <cellStyle name="20% - Accent2 7 4" xfId="6613" xr:uid="{00000000-0005-0000-0000-0000E10F0000}"/>
    <cellStyle name="20% - Accent2 7 4 2" xfId="6625" xr:uid="{00000000-0005-0000-0000-0000E20F0000}"/>
    <cellStyle name="20% - Accent2 7 4 2 2" xfId="1742" xr:uid="{00000000-0005-0000-0000-0000E30F0000}"/>
    <cellStyle name="20% - Accent2 7 4 3" xfId="6637" xr:uid="{00000000-0005-0000-0000-0000E40F0000}"/>
    <cellStyle name="20% - Accent2 7 5" xfId="33171" xr:uid="{00000000-0005-0000-0000-0000E50F0000}"/>
    <cellStyle name="20% - Accent2 7 5 2" xfId="33976" xr:uid="{00000000-0005-0000-0000-0000E60F0000}"/>
    <cellStyle name="20% - Accent2 7 6" xfId="5855" xr:uid="{00000000-0005-0000-0000-0000E70F0000}"/>
    <cellStyle name="20% - Accent2 8" xfId="2944" xr:uid="{00000000-0005-0000-0000-0000E80F0000}"/>
    <cellStyle name="20% - Accent2 8 2" xfId="12742" xr:uid="{00000000-0005-0000-0000-0000E90F0000}"/>
    <cellStyle name="20% - Accent2 8 2 2" xfId="7659" xr:uid="{00000000-0005-0000-0000-0000EA0F0000}"/>
    <cellStyle name="20% - Accent2 8 2 2 2" xfId="6110" xr:uid="{00000000-0005-0000-0000-0000EB0F0000}"/>
    <cellStyle name="20% - Accent2 8 2 2 2 2" xfId="111" xr:uid="{00000000-0005-0000-0000-0000EC0F0000}"/>
    <cellStyle name="20% - Accent2 8 2 2 3" xfId="18380" xr:uid="{00000000-0005-0000-0000-0000ED0F0000}"/>
    <cellStyle name="20% - Accent2 8 2 3" xfId="8100" xr:uid="{00000000-0005-0000-0000-0000EE0F0000}"/>
    <cellStyle name="20% - Accent2 8 2 3 2" xfId="6651" xr:uid="{00000000-0005-0000-0000-0000EF0F0000}"/>
    <cellStyle name="20% - Accent2 8 2 4" xfId="6652" xr:uid="{00000000-0005-0000-0000-0000F00F0000}"/>
    <cellStyle name="20% - Accent2 8 3" xfId="6655" xr:uid="{00000000-0005-0000-0000-0000F10F0000}"/>
    <cellStyle name="20% - Accent2 8 3 2" xfId="1345" xr:uid="{00000000-0005-0000-0000-0000F20F0000}"/>
    <cellStyle name="20% - Accent2 8 3 2 2" xfId="3382" xr:uid="{00000000-0005-0000-0000-0000F30F0000}"/>
    <cellStyle name="20% - Accent2 8 3 3" xfId="212" xr:uid="{00000000-0005-0000-0000-0000F40F0000}"/>
    <cellStyle name="20% - Accent2 8 4" xfId="6661" xr:uid="{00000000-0005-0000-0000-0000F50F0000}"/>
    <cellStyle name="20% - Accent2 8 4 2" xfId="1363" xr:uid="{00000000-0005-0000-0000-0000F60F0000}"/>
    <cellStyle name="20% - Accent2 8 5" xfId="6668" xr:uid="{00000000-0005-0000-0000-0000F70F0000}"/>
    <cellStyle name="20% - Accent2 9" xfId="4887" xr:uid="{00000000-0005-0000-0000-0000F80F0000}"/>
    <cellStyle name="20% - Accent2 9 2" xfId="6669" xr:uid="{00000000-0005-0000-0000-0000F90F0000}"/>
    <cellStyle name="20% - Accent2 9 2 2" xfId="6673" xr:uid="{00000000-0005-0000-0000-0000FA0F0000}"/>
    <cellStyle name="20% - Accent2 9 2 2 2" xfId="6675" xr:uid="{00000000-0005-0000-0000-0000FB0F0000}"/>
    <cellStyle name="20% - Accent2 9 2 3" xfId="6683" xr:uid="{00000000-0005-0000-0000-0000FC0F0000}"/>
    <cellStyle name="20% - Accent2 9 3" xfId="6869" xr:uid="{00000000-0005-0000-0000-0000FD0F0000}"/>
    <cellStyle name="20% - Accent2 9 3 2" xfId="120" xr:uid="{00000000-0005-0000-0000-0000FE0F0000}"/>
    <cellStyle name="20% - Accent2 9 4" xfId="13653" xr:uid="{00000000-0005-0000-0000-0000FF0F0000}"/>
    <cellStyle name="20% - Accent3 10" xfId="22909" xr:uid="{00000000-0005-0000-0000-000000100000}"/>
    <cellStyle name="20% - Accent3 10 2" xfId="8214" xr:uid="{00000000-0005-0000-0000-000001100000}"/>
    <cellStyle name="20% - Accent3 10 2 2" xfId="8249" xr:uid="{00000000-0005-0000-0000-000002100000}"/>
    <cellStyle name="20% - Accent3 10 3" xfId="8221" xr:uid="{00000000-0005-0000-0000-000003100000}"/>
    <cellStyle name="20% - Accent3 11" xfId="25592" xr:uid="{00000000-0005-0000-0000-000004100000}"/>
    <cellStyle name="20% - Accent3 11 2" xfId="8232" xr:uid="{00000000-0005-0000-0000-000005100000}"/>
    <cellStyle name="20% - Accent3 12" xfId="8236" xr:uid="{00000000-0005-0000-0000-000006100000}"/>
    <cellStyle name="20% - Accent3 13" xfId="6910" xr:uid="{00000000-0005-0000-0000-000007100000}"/>
    <cellStyle name="20% - Accent3 2" xfId="401" xr:uid="{00000000-0005-0000-0000-000008100000}"/>
    <cellStyle name="20% - Accent3 2 10" xfId="7267" xr:uid="{00000000-0005-0000-0000-000009100000}"/>
    <cellStyle name="20% - Accent3 2 10 2" xfId="33142" xr:uid="{00000000-0005-0000-0000-00000A100000}"/>
    <cellStyle name="20% - Accent3 2 11" xfId="30412" xr:uid="{00000000-0005-0000-0000-00000B100000}"/>
    <cellStyle name="20% - Accent3 2 2" xfId="933" xr:uid="{00000000-0005-0000-0000-00000C100000}"/>
    <cellStyle name="20% - Accent3 2 2 10" xfId="4848" xr:uid="{00000000-0005-0000-0000-00000D100000}"/>
    <cellStyle name="20% - Accent3 2 2 2" xfId="90" xr:uid="{00000000-0005-0000-0000-00000E100000}"/>
    <cellStyle name="20% - Accent3 2 2 2 2" xfId="939" xr:uid="{00000000-0005-0000-0000-00000F100000}"/>
    <cellStyle name="20% - Accent3 2 2 2 2 2" xfId="24231" xr:uid="{00000000-0005-0000-0000-000010100000}"/>
    <cellStyle name="20% - Accent3 2 2 2 2 2 2" xfId="1538" xr:uid="{00000000-0005-0000-0000-000011100000}"/>
    <cellStyle name="20% - Accent3 2 2 2 2 2 2 2" xfId="6708" xr:uid="{00000000-0005-0000-0000-000012100000}"/>
    <cellStyle name="20% - Accent3 2 2 2 2 2 2 2 2" xfId="6713" xr:uid="{00000000-0005-0000-0000-000013100000}"/>
    <cellStyle name="20% - Accent3 2 2 2 2 2 2 2 2 2" xfId="6715" xr:uid="{00000000-0005-0000-0000-000014100000}"/>
    <cellStyle name="20% - Accent3 2 2 2 2 2 2 2 2 2 2" xfId="6716" xr:uid="{00000000-0005-0000-0000-000015100000}"/>
    <cellStyle name="20% - Accent3 2 2 2 2 2 2 2 2 2 2 2" xfId="11064" xr:uid="{00000000-0005-0000-0000-000016100000}"/>
    <cellStyle name="20% - Accent3 2 2 2 2 2 2 2 2 2 3" xfId="6719" xr:uid="{00000000-0005-0000-0000-000017100000}"/>
    <cellStyle name="20% - Accent3 2 2 2 2 2 2 2 2 3" xfId="6720" xr:uid="{00000000-0005-0000-0000-000018100000}"/>
    <cellStyle name="20% - Accent3 2 2 2 2 2 2 2 2 3 2" xfId="1161" xr:uid="{00000000-0005-0000-0000-000019100000}"/>
    <cellStyle name="20% - Accent3 2 2 2 2 2 2 2 2 4" xfId="6722" xr:uid="{00000000-0005-0000-0000-00001A100000}"/>
    <cellStyle name="20% - Accent3 2 2 2 2 2 2 2 3" xfId="6727" xr:uid="{00000000-0005-0000-0000-00001B100000}"/>
    <cellStyle name="20% - Accent3 2 2 2 2 2 2 2 3 2" xfId="6735" xr:uid="{00000000-0005-0000-0000-00001C100000}"/>
    <cellStyle name="20% - Accent3 2 2 2 2 2 2 2 3 2 2" xfId="6736" xr:uid="{00000000-0005-0000-0000-00001D100000}"/>
    <cellStyle name="20% - Accent3 2 2 2 2 2 2 2 3 3" xfId="6737" xr:uid="{00000000-0005-0000-0000-00001E100000}"/>
    <cellStyle name="20% - Accent3 2 2 2 2 2 2 2 4" xfId="6738" xr:uid="{00000000-0005-0000-0000-00001F100000}"/>
    <cellStyle name="20% - Accent3 2 2 2 2 2 2 2 4 2" xfId="24371" xr:uid="{00000000-0005-0000-0000-000020100000}"/>
    <cellStyle name="20% - Accent3 2 2 2 2 2 2 2 5" xfId="11781" xr:uid="{00000000-0005-0000-0000-000021100000}"/>
    <cellStyle name="20% - Accent3 2 2 2 2 2 2 3" xfId="1553" xr:uid="{00000000-0005-0000-0000-000022100000}"/>
    <cellStyle name="20% - Accent3 2 2 2 2 2 2 3 2" xfId="6624" xr:uid="{00000000-0005-0000-0000-000023100000}"/>
    <cellStyle name="20% - Accent3 2 2 2 2 2 2 3 2 2" xfId="6742" xr:uid="{00000000-0005-0000-0000-000024100000}"/>
    <cellStyle name="20% - Accent3 2 2 2 2 2 2 3 2 2 2" xfId="6745" xr:uid="{00000000-0005-0000-0000-000025100000}"/>
    <cellStyle name="20% - Accent3 2 2 2 2 2 2 3 2 3" xfId="6750" xr:uid="{00000000-0005-0000-0000-000026100000}"/>
    <cellStyle name="20% - Accent3 2 2 2 2 2 2 3 3" xfId="5805" xr:uid="{00000000-0005-0000-0000-000027100000}"/>
    <cellStyle name="20% - Accent3 2 2 2 2 2 2 3 3 2" xfId="6753" xr:uid="{00000000-0005-0000-0000-000028100000}"/>
    <cellStyle name="20% - Accent3 2 2 2 2 2 2 3 4" xfId="5813" xr:uid="{00000000-0005-0000-0000-000029100000}"/>
    <cellStyle name="20% - Accent3 2 2 2 2 2 2 4" xfId="28148" xr:uid="{00000000-0005-0000-0000-00002A100000}"/>
    <cellStyle name="20% - Accent3 2 2 2 2 2 2 4 2" xfId="23540" xr:uid="{00000000-0005-0000-0000-00002B100000}"/>
    <cellStyle name="20% - Accent3 2 2 2 2 2 2 4 2 2" xfId="9827" xr:uid="{00000000-0005-0000-0000-00002C100000}"/>
    <cellStyle name="20% - Accent3 2 2 2 2 2 2 4 3" xfId="5847" xr:uid="{00000000-0005-0000-0000-00002D100000}"/>
    <cellStyle name="20% - Accent3 2 2 2 2 2 2 5" xfId="2516" xr:uid="{00000000-0005-0000-0000-00002E100000}"/>
    <cellStyle name="20% - Accent3 2 2 2 2 2 2 5 2" xfId="16885" xr:uid="{00000000-0005-0000-0000-00002F100000}"/>
    <cellStyle name="20% - Accent3 2 2 2 2 2 2 6" xfId="6761" xr:uid="{00000000-0005-0000-0000-000030100000}"/>
    <cellStyle name="20% - Accent3 2 2 2 2 2 3" xfId="8757" xr:uid="{00000000-0005-0000-0000-000031100000}"/>
    <cellStyle name="20% - Accent3 2 2 2 2 2 3 2" xfId="6766" xr:uid="{00000000-0005-0000-0000-000032100000}"/>
    <cellStyle name="20% - Accent3 2 2 2 2 2 3 2 2" xfId="13685" xr:uid="{00000000-0005-0000-0000-000033100000}"/>
    <cellStyle name="20% - Accent3 2 2 2 2 2 3 2 2 2" xfId="6767" xr:uid="{00000000-0005-0000-0000-000034100000}"/>
    <cellStyle name="20% - Accent3 2 2 2 2 2 3 2 2 2 2" xfId="6686" xr:uid="{00000000-0005-0000-0000-000035100000}"/>
    <cellStyle name="20% - Accent3 2 2 2 2 2 3 2 2 3" xfId="6770" xr:uid="{00000000-0005-0000-0000-000036100000}"/>
    <cellStyle name="20% - Accent3 2 2 2 2 2 3 2 3" xfId="11629" xr:uid="{00000000-0005-0000-0000-000037100000}"/>
    <cellStyle name="20% - Accent3 2 2 2 2 2 3 2 3 2" xfId="6778" xr:uid="{00000000-0005-0000-0000-000038100000}"/>
    <cellStyle name="20% - Accent3 2 2 2 2 2 3 2 4" xfId="11955" xr:uid="{00000000-0005-0000-0000-000039100000}"/>
    <cellStyle name="20% - Accent3 2 2 2 2 2 3 3" xfId="6786" xr:uid="{00000000-0005-0000-0000-00003A100000}"/>
    <cellStyle name="20% - Accent3 2 2 2 2 2 3 3 2" xfId="5493" xr:uid="{00000000-0005-0000-0000-00003B100000}"/>
    <cellStyle name="20% - Accent3 2 2 2 2 2 3 3 2 2" xfId="6787" xr:uid="{00000000-0005-0000-0000-00003C100000}"/>
    <cellStyle name="20% - Accent3 2 2 2 2 2 3 3 3" xfId="17753" xr:uid="{00000000-0005-0000-0000-00003D100000}"/>
    <cellStyle name="20% - Accent3 2 2 2 2 2 3 4" xfId="13142" xr:uid="{00000000-0005-0000-0000-00003E100000}"/>
    <cellStyle name="20% - Accent3 2 2 2 2 2 3 4 2" xfId="13219" xr:uid="{00000000-0005-0000-0000-00003F100000}"/>
    <cellStyle name="20% - Accent3 2 2 2 2 2 3 5" xfId="21171" xr:uid="{00000000-0005-0000-0000-000040100000}"/>
    <cellStyle name="20% - Accent3 2 2 2 2 2 4" xfId="2428" xr:uid="{00000000-0005-0000-0000-000041100000}"/>
    <cellStyle name="20% - Accent3 2 2 2 2 2 4 2" xfId="6797" xr:uid="{00000000-0005-0000-0000-000042100000}"/>
    <cellStyle name="20% - Accent3 2 2 2 2 2 4 2 2" xfId="10029" xr:uid="{00000000-0005-0000-0000-000043100000}"/>
    <cellStyle name="20% - Accent3 2 2 2 2 2 4 2 2 2" xfId="6798" xr:uid="{00000000-0005-0000-0000-000044100000}"/>
    <cellStyle name="20% - Accent3 2 2 2 2 2 4 2 3" xfId="12013" xr:uid="{00000000-0005-0000-0000-000045100000}"/>
    <cellStyle name="20% - Accent3 2 2 2 2 2 4 3" xfId="6802" xr:uid="{00000000-0005-0000-0000-000046100000}"/>
    <cellStyle name="20% - Accent3 2 2 2 2 2 4 3 2" xfId="15893" xr:uid="{00000000-0005-0000-0000-000047100000}"/>
    <cellStyle name="20% - Accent3 2 2 2 2 2 4 4" xfId="18563" xr:uid="{00000000-0005-0000-0000-000048100000}"/>
    <cellStyle name="20% - Accent3 2 2 2 2 2 5" xfId="19912" xr:uid="{00000000-0005-0000-0000-000049100000}"/>
    <cellStyle name="20% - Accent3 2 2 2 2 2 5 2" xfId="6804" xr:uid="{00000000-0005-0000-0000-00004A100000}"/>
    <cellStyle name="20% - Accent3 2 2 2 2 2 5 2 2" xfId="12032" xr:uid="{00000000-0005-0000-0000-00004B100000}"/>
    <cellStyle name="20% - Accent3 2 2 2 2 2 5 3" xfId="49" xr:uid="{00000000-0005-0000-0000-00004C100000}"/>
    <cellStyle name="20% - Accent3 2 2 2 2 2 6" xfId="6806" xr:uid="{00000000-0005-0000-0000-00004D100000}"/>
    <cellStyle name="20% - Accent3 2 2 2 2 2 6 2" xfId="6811" xr:uid="{00000000-0005-0000-0000-00004E100000}"/>
    <cellStyle name="20% - Accent3 2 2 2 2 2 7" xfId="7123" xr:uid="{00000000-0005-0000-0000-00004F100000}"/>
    <cellStyle name="20% - Accent3 2 2 2 2 3" xfId="1726" xr:uid="{00000000-0005-0000-0000-000050100000}"/>
    <cellStyle name="20% - Accent3 2 2 2 2 3 2" xfId="1636" xr:uid="{00000000-0005-0000-0000-000051100000}"/>
    <cellStyle name="20% - Accent3 2 2 2 2 3 2 2" xfId="25811" xr:uid="{00000000-0005-0000-0000-000052100000}"/>
    <cellStyle name="20% - Accent3 2 2 2 2 3 2 2 2" xfId="6816" xr:uid="{00000000-0005-0000-0000-000053100000}"/>
    <cellStyle name="20% - Accent3 2 2 2 2 3 2 2 2 2" xfId="6818" xr:uid="{00000000-0005-0000-0000-000054100000}"/>
    <cellStyle name="20% - Accent3 2 2 2 2 3 2 2 2 2 2" xfId="6393" xr:uid="{00000000-0005-0000-0000-000055100000}"/>
    <cellStyle name="20% - Accent3 2 2 2 2 3 2 2 2 3" xfId="6819" xr:uid="{00000000-0005-0000-0000-000056100000}"/>
    <cellStyle name="20% - Accent3 2 2 2 2 3 2 2 3" xfId="7317" xr:uid="{00000000-0005-0000-0000-000057100000}"/>
    <cellStyle name="20% - Accent3 2 2 2 2 3 2 2 3 2" xfId="6821" xr:uid="{00000000-0005-0000-0000-000058100000}"/>
    <cellStyle name="20% - Accent3 2 2 2 2 3 2 2 4" xfId="6823" xr:uid="{00000000-0005-0000-0000-000059100000}"/>
    <cellStyle name="20% - Accent3 2 2 2 2 3 2 3" xfId="12896" xr:uid="{00000000-0005-0000-0000-00005A100000}"/>
    <cellStyle name="20% - Accent3 2 2 2 2 3 2 3 2" xfId="6707" xr:uid="{00000000-0005-0000-0000-00005B100000}"/>
    <cellStyle name="20% - Accent3 2 2 2 2 3 2 3 2 2" xfId="6826" xr:uid="{00000000-0005-0000-0000-00005C100000}"/>
    <cellStyle name="20% - Accent3 2 2 2 2 3 2 3 3" xfId="6237" xr:uid="{00000000-0005-0000-0000-00005D100000}"/>
    <cellStyle name="20% - Accent3 2 2 2 2 3 2 4" xfId="5333" xr:uid="{00000000-0005-0000-0000-00005E100000}"/>
    <cellStyle name="20% - Accent3 2 2 2 2 3 2 4 2" xfId="6250" xr:uid="{00000000-0005-0000-0000-00005F100000}"/>
    <cellStyle name="20% - Accent3 2 2 2 2 3 2 5" xfId="6828" xr:uid="{00000000-0005-0000-0000-000060100000}"/>
    <cellStyle name="20% - Accent3 2 2 2 2 3 3" xfId="3657" xr:uid="{00000000-0005-0000-0000-000061100000}"/>
    <cellStyle name="20% - Accent3 2 2 2 2 3 3 2" xfId="15720" xr:uid="{00000000-0005-0000-0000-000062100000}"/>
    <cellStyle name="20% - Accent3 2 2 2 2 3 3 2 2" xfId="7407" xr:uid="{00000000-0005-0000-0000-000063100000}"/>
    <cellStyle name="20% - Accent3 2 2 2 2 3 3 2 2 2" xfId="2344" xr:uid="{00000000-0005-0000-0000-000064100000}"/>
    <cellStyle name="20% - Accent3 2 2 2 2 3 3 2 3" xfId="7213" xr:uid="{00000000-0005-0000-0000-000065100000}"/>
    <cellStyle name="20% - Accent3 2 2 2 2 3 3 3" xfId="12899" xr:uid="{00000000-0005-0000-0000-000066100000}"/>
    <cellStyle name="20% - Accent3 2 2 2 2 3 3 3 2" xfId="7247" xr:uid="{00000000-0005-0000-0000-000067100000}"/>
    <cellStyle name="20% - Accent3 2 2 2 2 3 3 4" xfId="8937" xr:uid="{00000000-0005-0000-0000-000068100000}"/>
    <cellStyle name="20% - Accent3 2 2 2 2 3 4" xfId="627" xr:uid="{00000000-0005-0000-0000-000069100000}"/>
    <cellStyle name="20% - Accent3 2 2 2 2 3 4 2" xfId="6829" xr:uid="{00000000-0005-0000-0000-00006A100000}"/>
    <cellStyle name="20% - Accent3 2 2 2 2 3 4 2 2" xfId="9711" xr:uid="{00000000-0005-0000-0000-00006B100000}"/>
    <cellStyle name="20% - Accent3 2 2 2 2 3 4 3" xfId="202" xr:uid="{00000000-0005-0000-0000-00006C100000}"/>
    <cellStyle name="20% - Accent3 2 2 2 2 3 5" xfId="6087" xr:uid="{00000000-0005-0000-0000-00006D100000}"/>
    <cellStyle name="20% - Accent3 2 2 2 2 3 5 2" xfId="800" xr:uid="{00000000-0005-0000-0000-00006E100000}"/>
    <cellStyle name="20% - Accent3 2 2 2 2 3 6" xfId="6094" xr:uid="{00000000-0005-0000-0000-00006F100000}"/>
    <cellStyle name="20% - Accent3 2 2 2 2 4" xfId="1750" xr:uid="{00000000-0005-0000-0000-000070100000}"/>
    <cellStyle name="20% - Accent3 2 2 2 2 4 2" xfId="10317" xr:uid="{00000000-0005-0000-0000-000071100000}"/>
    <cellStyle name="20% - Accent3 2 2 2 2 4 2 2" xfId="13014" xr:uid="{00000000-0005-0000-0000-000072100000}"/>
    <cellStyle name="20% - Accent3 2 2 2 2 4 2 2 2" xfId="7613" xr:uid="{00000000-0005-0000-0000-000073100000}"/>
    <cellStyle name="20% - Accent3 2 2 2 2 4 2 2 2 2" xfId="6833" xr:uid="{00000000-0005-0000-0000-000074100000}"/>
    <cellStyle name="20% - Accent3 2 2 2 2 4 2 2 3" xfId="6834" xr:uid="{00000000-0005-0000-0000-000075100000}"/>
    <cellStyle name="20% - Accent3 2 2 2 2 4 2 3" xfId="13018" xr:uid="{00000000-0005-0000-0000-000076100000}"/>
    <cellStyle name="20% - Accent3 2 2 2 2 4 2 3 2" xfId="6422" xr:uid="{00000000-0005-0000-0000-000077100000}"/>
    <cellStyle name="20% - Accent3 2 2 2 2 4 2 4" xfId="13334" xr:uid="{00000000-0005-0000-0000-000078100000}"/>
    <cellStyle name="20% - Accent3 2 2 2 2 4 3" xfId="10724" xr:uid="{00000000-0005-0000-0000-000079100000}"/>
    <cellStyle name="20% - Accent3 2 2 2 2 4 3 2" xfId="23690" xr:uid="{00000000-0005-0000-0000-00007A100000}"/>
    <cellStyle name="20% - Accent3 2 2 2 2 4 3 2 2" xfId="8279" xr:uid="{00000000-0005-0000-0000-00007B100000}"/>
    <cellStyle name="20% - Accent3 2 2 2 2 4 3 3" xfId="6835" xr:uid="{00000000-0005-0000-0000-00007C100000}"/>
    <cellStyle name="20% - Accent3 2 2 2 2 4 4" xfId="12965" xr:uid="{00000000-0005-0000-0000-00007D100000}"/>
    <cellStyle name="20% - Accent3 2 2 2 2 4 4 2" xfId="6837" xr:uid="{00000000-0005-0000-0000-00007E100000}"/>
    <cellStyle name="20% - Accent3 2 2 2 2 4 5" xfId="6644" xr:uid="{00000000-0005-0000-0000-00007F100000}"/>
    <cellStyle name="20% - Accent3 2 2 2 2 5" xfId="24094" xr:uid="{00000000-0005-0000-0000-000080100000}"/>
    <cellStyle name="20% - Accent3 2 2 2 2 5 2" xfId="21449" xr:uid="{00000000-0005-0000-0000-000081100000}"/>
    <cellStyle name="20% - Accent3 2 2 2 2 5 2 2" xfId="12176" xr:uid="{00000000-0005-0000-0000-000082100000}"/>
    <cellStyle name="20% - Accent3 2 2 2 2 5 2 2 2" xfId="6841" xr:uid="{00000000-0005-0000-0000-000083100000}"/>
    <cellStyle name="20% - Accent3 2 2 2 2 5 2 3" xfId="8791" xr:uid="{00000000-0005-0000-0000-000084100000}"/>
    <cellStyle name="20% - Accent3 2 2 2 2 5 3" xfId="21455" xr:uid="{00000000-0005-0000-0000-000085100000}"/>
    <cellStyle name="20% - Accent3 2 2 2 2 5 3 2" xfId="32255" xr:uid="{00000000-0005-0000-0000-000086100000}"/>
    <cellStyle name="20% - Accent3 2 2 2 2 5 4" xfId="21461" xr:uid="{00000000-0005-0000-0000-000087100000}"/>
    <cellStyle name="20% - Accent3 2 2 2 2 6" xfId="2284" xr:uid="{00000000-0005-0000-0000-000088100000}"/>
    <cellStyle name="20% - Accent3 2 2 2 2 6 2" xfId="21502" xr:uid="{00000000-0005-0000-0000-000089100000}"/>
    <cellStyle name="20% - Accent3 2 2 2 2 6 2 2" xfId="8823" xr:uid="{00000000-0005-0000-0000-00008A100000}"/>
    <cellStyle name="20% - Accent3 2 2 2 2 6 3" xfId="18984" xr:uid="{00000000-0005-0000-0000-00008B100000}"/>
    <cellStyle name="20% - Accent3 2 2 2 2 7" xfId="6452" xr:uid="{00000000-0005-0000-0000-00008C100000}"/>
    <cellStyle name="20% - Accent3 2 2 2 2 7 2" xfId="21527" xr:uid="{00000000-0005-0000-0000-00008D100000}"/>
    <cellStyle name="20% - Accent3 2 2 2 2 8" xfId="6463" xr:uid="{00000000-0005-0000-0000-00008E100000}"/>
    <cellStyle name="20% - Accent3 2 2 2 3" xfId="80" xr:uid="{00000000-0005-0000-0000-00008F100000}"/>
    <cellStyle name="20% - Accent3 2 2 2 3 2" xfId="31821" xr:uid="{00000000-0005-0000-0000-000090100000}"/>
    <cellStyle name="20% - Accent3 2 2 2 3 2 2" xfId="1659" xr:uid="{00000000-0005-0000-0000-000091100000}"/>
    <cellStyle name="20% - Accent3 2 2 2 3 2 2 2" xfId="6842" xr:uid="{00000000-0005-0000-0000-000092100000}"/>
    <cellStyle name="20% - Accent3 2 2 2 3 2 2 2 2" xfId="33421" xr:uid="{00000000-0005-0000-0000-000093100000}"/>
    <cellStyle name="20% - Accent3 2 2 2 3 2 2 2 2 2" xfId="1844" xr:uid="{00000000-0005-0000-0000-000094100000}"/>
    <cellStyle name="20% - Accent3 2 2 2 3 2 2 2 2 2 2" xfId="13218" xr:uid="{00000000-0005-0000-0000-000095100000}"/>
    <cellStyle name="20% - Accent3 2 2 2 3 2 2 2 2 3" xfId="3426" xr:uid="{00000000-0005-0000-0000-000096100000}"/>
    <cellStyle name="20% - Accent3 2 2 2 3 2 2 2 3" xfId="15749" xr:uid="{00000000-0005-0000-0000-000097100000}"/>
    <cellStyle name="20% - Accent3 2 2 2 3 2 2 2 3 2" xfId="4918" xr:uid="{00000000-0005-0000-0000-000098100000}"/>
    <cellStyle name="20% - Accent3 2 2 2 3 2 2 2 4" xfId="11230" xr:uid="{00000000-0005-0000-0000-000099100000}"/>
    <cellStyle name="20% - Accent3 2 2 2 3 2 2 3" xfId="6844" xr:uid="{00000000-0005-0000-0000-00009A100000}"/>
    <cellStyle name="20% - Accent3 2 2 2 3 2 2 3 2" xfId="8081" xr:uid="{00000000-0005-0000-0000-00009B100000}"/>
    <cellStyle name="20% - Accent3 2 2 2 3 2 2 3 2 2" xfId="1859" xr:uid="{00000000-0005-0000-0000-00009C100000}"/>
    <cellStyle name="20% - Accent3 2 2 2 3 2 2 3 3" xfId="23494" xr:uid="{00000000-0005-0000-0000-00009D100000}"/>
    <cellStyle name="20% - Accent3 2 2 2 3 2 2 4" xfId="13583" xr:uid="{00000000-0005-0000-0000-00009E100000}"/>
    <cellStyle name="20% - Accent3 2 2 2 3 2 2 4 2" xfId="13751" xr:uid="{00000000-0005-0000-0000-00009F100000}"/>
    <cellStyle name="20% - Accent3 2 2 2 3 2 2 5" xfId="13765" xr:uid="{00000000-0005-0000-0000-0000A0100000}"/>
    <cellStyle name="20% - Accent3 2 2 2 3 2 3" xfId="1661" xr:uid="{00000000-0005-0000-0000-0000A1100000}"/>
    <cellStyle name="20% - Accent3 2 2 2 3 2 3 2" xfId="6864" xr:uid="{00000000-0005-0000-0000-0000A2100000}"/>
    <cellStyle name="20% - Accent3 2 2 2 3 2 3 2 2" xfId="14163" xr:uid="{00000000-0005-0000-0000-0000A3100000}"/>
    <cellStyle name="20% - Accent3 2 2 2 3 2 3 2 2 2" xfId="1605" xr:uid="{00000000-0005-0000-0000-0000A4100000}"/>
    <cellStyle name="20% - Accent3 2 2 2 3 2 3 2 3" xfId="14180" xr:uid="{00000000-0005-0000-0000-0000A5100000}"/>
    <cellStyle name="20% - Accent3 2 2 2 3 2 3 3" xfId="6865" xr:uid="{00000000-0005-0000-0000-0000A6100000}"/>
    <cellStyle name="20% - Accent3 2 2 2 3 2 3 3 2" xfId="6924" xr:uid="{00000000-0005-0000-0000-0000A7100000}"/>
    <cellStyle name="20% - Accent3 2 2 2 3 2 3 4" xfId="13194" xr:uid="{00000000-0005-0000-0000-0000A8100000}"/>
    <cellStyle name="20% - Accent3 2 2 2 3 2 4" xfId="2294" xr:uid="{00000000-0005-0000-0000-0000A9100000}"/>
    <cellStyle name="20% - Accent3 2 2 2 3 2 4 2" xfId="6866" xr:uid="{00000000-0005-0000-0000-0000AA100000}"/>
    <cellStyle name="20% - Accent3 2 2 2 3 2 4 2 2" xfId="8191" xr:uid="{00000000-0005-0000-0000-0000AB100000}"/>
    <cellStyle name="20% - Accent3 2 2 2 3 2 4 3" xfId="6867" xr:uid="{00000000-0005-0000-0000-0000AC100000}"/>
    <cellStyle name="20% - Accent3 2 2 2 3 2 5" xfId="9332" xr:uid="{00000000-0005-0000-0000-0000AD100000}"/>
    <cellStyle name="20% - Accent3 2 2 2 3 2 5 2" xfId="6877" xr:uid="{00000000-0005-0000-0000-0000AE100000}"/>
    <cellStyle name="20% - Accent3 2 2 2 3 2 6" xfId="9334" xr:uid="{00000000-0005-0000-0000-0000AF100000}"/>
    <cellStyle name="20% - Accent3 2 2 2 3 3" xfId="2400" xr:uid="{00000000-0005-0000-0000-0000B0100000}"/>
    <cellStyle name="20% - Accent3 2 2 2 3 3 2" xfId="2384" xr:uid="{00000000-0005-0000-0000-0000B1100000}"/>
    <cellStyle name="20% - Accent3 2 2 2 3 3 2 2" xfId="13164" xr:uid="{00000000-0005-0000-0000-0000B2100000}"/>
    <cellStyle name="20% - Accent3 2 2 2 3 3 2 2 2" xfId="8368" xr:uid="{00000000-0005-0000-0000-0000B3100000}"/>
    <cellStyle name="20% - Accent3 2 2 2 3 3 2 2 2 2" xfId="16148" xr:uid="{00000000-0005-0000-0000-0000B4100000}"/>
    <cellStyle name="20% - Accent3 2 2 2 3 3 2 2 3" xfId="6883" xr:uid="{00000000-0005-0000-0000-0000B5100000}"/>
    <cellStyle name="20% - Accent3 2 2 2 3 3 2 3" xfId="13170" xr:uid="{00000000-0005-0000-0000-0000B6100000}"/>
    <cellStyle name="20% - Accent3 2 2 2 3 3 2 3 2" xfId="6884" xr:uid="{00000000-0005-0000-0000-0000B7100000}"/>
    <cellStyle name="20% - Accent3 2 2 2 3 3 2 4" xfId="24754" xr:uid="{00000000-0005-0000-0000-0000B8100000}"/>
    <cellStyle name="20% - Accent3 2 2 2 3 3 3" xfId="1672" xr:uid="{00000000-0005-0000-0000-0000B9100000}"/>
    <cellStyle name="20% - Accent3 2 2 2 3 3 3 2" xfId="13175" xr:uid="{00000000-0005-0000-0000-0000BA100000}"/>
    <cellStyle name="20% - Accent3 2 2 2 3 3 3 2 2" xfId="6887" xr:uid="{00000000-0005-0000-0000-0000BB100000}"/>
    <cellStyle name="20% - Accent3 2 2 2 3 3 3 3" xfId="104" xr:uid="{00000000-0005-0000-0000-0000BC100000}"/>
    <cellStyle name="20% - Accent3 2 2 2 3 3 4" xfId="6497" xr:uid="{00000000-0005-0000-0000-0000BD100000}"/>
    <cellStyle name="20% - Accent3 2 2 2 3 3 4 2" xfId="1102" xr:uid="{00000000-0005-0000-0000-0000BE100000}"/>
    <cellStyle name="20% - Accent3 2 2 2 3 3 5" xfId="9338" xr:uid="{00000000-0005-0000-0000-0000BF100000}"/>
    <cellStyle name="20% - Accent3 2 2 2 3 4" xfId="1413" xr:uid="{00000000-0005-0000-0000-0000C0100000}"/>
    <cellStyle name="20% - Accent3 2 2 2 3 4 2" xfId="11075" xr:uid="{00000000-0005-0000-0000-0000C1100000}"/>
    <cellStyle name="20% - Accent3 2 2 2 3 4 2 2" xfId="8436" xr:uid="{00000000-0005-0000-0000-0000C2100000}"/>
    <cellStyle name="20% - Accent3 2 2 2 3 4 2 2 2" xfId="6890" xr:uid="{00000000-0005-0000-0000-0000C3100000}"/>
    <cellStyle name="20% - Accent3 2 2 2 3 4 2 3" xfId="6891" xr:uid="{00000000-0005-0000-0000-0000C4100000}"/>
    <cellStyle name="20% - Accent3 2 2 2 3 4 3" xfId="12974" xr:uid="{00000000-0005-0000-0000-0000C5100000}"/>
    <cellStyle name="20% - Accent3 2 2 2 3 4 3 2" xfId="6894" xr:uid="{00000000-0005-0000-0000-0000C6100000}"/>
    <cellStyle name="20% - Accent3 2 2 2 3 4 4" xfId="6697" xr:uid="{00000000-0005-0000-0000-0000C7100000}"/>
    <cellStyle name="20% - Accent3 2 2 2 3 5" xfId="6714" xr:uid="{00000000-0005-0000-0000-0000C8100000}"/>
    <cellStyle name="20% - Accent3 2 2 2 3 5 2" xfId="26852" xr:uid="{00000000-0005-0000-0000-0000C9100000}"/>
    <cellStyle name="20% - Accent3 2 2 2 3 5 2 2" xfId="8871" xr:uid="{00000000-0005-0000-0000-0000CA100000}"/>
    <cellStyle name="20% - Accent3 2 2 2 3 5 3" xfId="21539" xr:uid="{00000000-0005-0000-0000-0000CB100000}"/>
    <cellStyle name="20% - Accent3 2 2 2 3 6" xfId="6728" xr:uid="{00000000-0005-0000-0000-0000CC100000}"/>
    <cellStyle name="20% - Accent3 2 2 2 3 6 2" xfId="21548" xr:uid="{00000000-0005-0000-0000-0000CD100000}"/>
    <cellStyle name="20% - Accent3 2 2 2 3 7" xfId="15661" xr:uid="{00000000-0005-0000-0000-0000CE100000}"/>
    <cellStyle name="20% - Accent3 2 2 2 4" xfId="26780" xr:uid="{00000000-0005-0000-0000-0000CF100000}"/>
    <cellStyle name="20% - Accent3 2 2 2 4 2" xfId="5865" xr:uid="{00000000-0005-0000-0000-0000D0100000}"/>
    <cellStyle name="20% - Accent3 2 2 2 4 2 2" xfId="2368" xr:uid="{00000000-0005-0000-0000-0000D1100000}"/>
    <cellStyle name="20% - Accent3 2 2 2 4 2 2 2" xfId="6897" xr:uid="{00000000-0005-0000-0000-0000D2100000}"/>
    <cellStyle name="20% - Accent3 2 2 2 4 2 2 2 2" xfId="11742" xr:uid="{00000000-0005-0000-0000-0000D3100000}"/>
    <cellStyle name="20% - Accent3 2 2 2 4 2 2 2 2 2" xfId="6901" xr:uid="{00000000-0005-0000-0000-0000D4100000}"/>
    <cellStyle name="20% - Accent3 2 2 2 4 2 2 2 3" xfId="8386" xr:uid="{00000000-0005-0000-0000-0000D5100000}"/>
    <cellStyle name="20% - Accent3 2 2 2 4 2 2 3" xfId="5322" xr:uid="{00000000-0005-0000-0000-0000D6100000}"/>
    <cellStyle name="20% - Accent3 2 2 2 4 2 2 3 2" xfId="6898" xr:uid="{00000000-0005-0000-0000-0000D7100000}"/>
    <cellStyle name="20% - Accent3 2 2 2 4 2 2 4" xfId="5332" xr:uid="{00000000-0005-0000-0000-0000D8100000}"/>
    <cellStyle name="20% - Accent3 2 2 2 4 2 3" xfId="3647" xr:uid="{00000000-0005-0000-0000-0000D9100000}"/>
    <cellStyle name="20% - Accent3 2 2 2 4 2 3 2" xfId="17723" xr:uid="{00000000-0005-0000-0000-0000DA100000}"/>
    <cellStyle name="20% - Accent3 2 2 2 4 2 3 2 2" xfId="6903" xr:uid="{00000000-0005-0000-0000-0000DB100000}"/>
    <cellStyle name="20% - Accent3 2 2 2 4 2 3 3" xfId="5345" xr:uid="{00000000-0005-0000-0000-0000DC100000}"/>
    <cellStyle name="20% - Accent3 2 2 2 4 2 4" xfId="6913" xr:uid="{00000000-0005-0000-0000-0000DD100000}"/>
    <cellStyle name="20% - Accent3 2 2 2 4 2 4 2" xfId="6916" xr:uid="{00000000-0005-0000-0000-0000DE100000}"/>
    <cellStyle name="20% - Accent3 2 2 2 4 2 5" xfId="9366" xr:uid="{00000000-0005-0000-0000-0000DF100000}"/>
    <cellStyle name="20% - Accent3 2 2 2 4 3" xfId="13623" xr:uid="{00000000-0005-0000-0000-0000E0100000}"/>
    <cellStyle name="20% - Accent3 2 2 2 4 3 2" xfId="2397" xr:uid="{00000000-0005-0000-0000-0000E1100000}"/>
    <cellStyle name="20% - Accent3 2 2 2 4 3 2 2" xfId="17664" xr:uid="{00000000-0005-0000-0000-0000E2100000}"/>
    <cellStyle name="20% - Accent3 2 2 2 4 3 2 2 2" xfId="6919" xr:uid="{00000000-0005-0000-0000-0000E3100000}"/>
    <cellStyle name="20% - Accent3 2 2 2 4 3 2 3" xfId="5457" xr:uid="{00000000-0005-0000-0000-0000E4100000}"/>
    <cellStyle name="20% - Accent3 2 2 2 4 3 3" xfId="6585" xr:uid="{00000000-0005-0000-0000-0000E5100000}"/>
    <cellStyle name="20% - Accent3 2 2 2 4 3 3 2" xfId="6921" xr:uid="{00000000-0005-0000-0000-0000E6100000}"/>
    <cellStyle name="20% - Accent3 2 2 2 4 3 4" xfId="6593" xr:uid="{00000000-0005-0000-0000-0000E7100000}"/>
    <cellStyle name="20% - Accent3 2 2 2 4 4" xfId="4878" xr:uid="{00000000-0005-0000-0000-0000E8100000}"/>
    <cellStyle name="20% - Accent3 2 2 2 4 4 2" xfId="11084" xr:uid="{00000000-0005-0000-0000-0000E9100000}"/>
    <cellStyle name="20% - Accent3 2 2 2 4 4 2 2" xfId="18" xr:uid="{00000000-0005-0000-0000-0000EA100000}"/>
    <cellStyle name="20% - Accent3 2 2 2 4 4 3" xfId="6609" xr:uid="{00000000-0005-0000-0000-0000EB100000}"/>
    <cellStyle name="20% - Accent3 2 2 2 4 5" xfId="6622" xr:uid="{00000000-0005-0000-0000-0000EC100000}"/>
    <cellStyle name="20% - Accent3 2 2 2 4 5 2" xfId="21567" xr:uid="{00000000-0005-0000-0000-0000ED100000}"/>
    <cellStyle name="20% - Accent3 2 2 2 4 6" xfId="5806" xr:uid="{00000000-0005-0000-0000-0000EE100000}"/>
    <cellStyle name="20% - Accent3 2 2 2 5" xfId="6902" xr:uid="{00000000-0005-0000-0000-0000EF100000}"/>
    <cellStyle name="20% - Accent3 2 2 2 5 2" xfId="11716" xr:uid="{00000000-0005-0000-0000-0000F0100000}"/>
    <cellStyle name="20% - Accent3 2 2 2 5 2 2" xfId="4625" xr:uid="{00000000-0005-0000-0000-0000F1100000}"/>
    <cellStyle name="20% - Accent3 2 2 2 5 2 2 2" xfId="149" xr:uid="{00000000-0005-0000-0000-0000F2100000}"/>
    <cellStyle name="20% - Accent3 2 2 2 5 2 2 2 2" xfId="6922" xr:uid="{00000000-0005-0000-0000-0000F3100000}"/>
    <cellStyle name="20% - Accent3 2 2 2 5 2 2 3" xfId="5682" xr:uid="{00000000-0005-0000-0000-0000F4100000}"/>
    <cellStyle name="20% - Accent3 2 2 2 5 2 3" xfId="6925" xr:uid="{00000000-0005-0000-0000-0000F5100000}"/>
    <cellStyle name="20% - Accent3 2 2 2 5 2 3 2" xfId="6927" xr:uid="{00000000-0005-0000-0000-0000F6100000}"/>
    <cellStyle name="20% - Accent3 2 2 2 5 2 4" xfId="6928" xr:uid="{00000000-0005-0000-0000-0000F7100000}"/>
    <cellStyle name="20% - Accent3 2 2 2 5 3" xfId="1971" xr:uid="{00000000-0005-0000-0000-0000F8100000}"/>
    <cellStyle name="20% - Accent3 2 2 2 5 3 2" xfId="6647" xr:uid="{00000000-0005-0000-0000-0000F9100000}"/>
    <cellStyle name="20% - Accent3 2 2 2 5 3 2 2" xfId="14537" xr:uid="{00000000-0005-0000-0000-0000FA100000}"/>
    <cellStyle name="20% - Accent3 2 2 2 5 3 3" xfId="6648" xr:uid="{00000000-0005-0000-0000-0000FB100000}"/>
    <cellStyle name="20% - Accent3 2 2 2 5 4" xfId="23786" xr:uid="{00000000-0005-0000-0000-0000FC100000}"/>
    <cellStyle name="20% - Accent3 2 2 2 5 4 2" xfId="1350" xr:uid="{00000000-0005-0000-0000-0000FD100000}"/>
    <cellStyle name="20% - Accent3 2 2 2 5 5" xfId="23792" xr:uid="{00000000-0005-0000-0000-0000FE100000}"/>
    <cellStyle name="20% - Accent3 2 2 2 6" xfId="3472" xr:uid="{00000000-0005-0000-0000-0000FF100000}"/>
    <cellStyle name="20% - Accent3 2 2 2 6 2" xfId="95" xr:uid="{00000000-0005-0000-0000-000000110000}"/>
    <cellStyle name="20% - Accent3 2 2 2 6 2 2" xfId="6934" xr:uid="{00000000-0005-0000-0000-000001110000}"/>
    <cellStyle name="20% - Accent3 2 2 2 6 2 2 2" xfId="6936" xr:uid="{00000000-0005-0000-0000-000002110000}"/>
    <cellStyle name="20% - Accent3 2 2 2 6 2 3" xfId="14991" xr:uid="{00000000-0005-0000-0000-000003110000}"/>
    <cellStyle name="20% - Accent3 2 2 2 6 3" xfId="6671" xr:uid="{00000000-0005-0000-0000-000004110000}"/>
    <cellStyle name="20% - Accent3 2 2 2 6 3 2" xfId="15130" xr:uid="{00000000-0005-0000-0000-000005110000}"/>
    <cellStyle name="20% - Accent3 2 2 2 6 4" xfId="13708" xr:uid="{00000000-0005-0000-0000-000006110000}"/>
    <cellStyle name="20% - Accent3 2 2 2 7" xfId="3391" xr:uid="{00000000-0005-0000-0000-000007110000}"/>
    <cellStyle name="20% - Accent3 2 2 2 7 2" xfId="20938" xr:uid="{00000000-0005-0000-0000-000008110000}"/>
    <cellStyle name="20% - Accent3 2 2 2 7 2 2" xfId="15707" xr:uid="{00000000-0005-0000-0000-000009110000}"/>
    <cellStyle name="20% - Accent3 2 2 2 7 3" xfId="6949" xr:uid="{00000000-0005-0000-0000-00000A110000}"/>
    <cellStyle name="20% - Accent3 2 2 2 8" xfId="6951" xr:uid="{00000000-0005-0000-0000-00000B110000}"/>
    <cellStyle name="20% - Accent3 2 2 2 8 2" xfId="6952" xr:uid="{00000000-0005-0000-0000-00000C110000}"/>
    <cellStyle name="20% - Accent3 2 2 2 9" xfId="583" xr:uid="{00000000-0005-0000-0000-00000D110000}"/>
    <cellStyle name="20% - Accent3 2 2 3" xfId="33782" xr:uid="{00000000-0005-0000-0000-00000E110000}"/>
    <cellStyle name="20% - Accent3 2 2 3 2" xfId="581" xr:uid="{00000000-0005-0000-0000-00000F110000}"/>
    <cellStyle name="20% - Accent3 2 2 3 2 2" xfId="19425" xr:uid="{00000000-0005-0000-0000-000010110000}"/>
    <cellStyle name="20% - Accent3 2 2 3 2 2 2" xfId="9056" xr:uid="{00000000-0005-0000-0000-000011110000}"/>
    <cellStyle name="20% - Accent3 2 2 3 2 2 2 2" xfId="6956" xr:uid="{00000000-0005-0000-0000-000012110000}"/>
    <cellStyle name="20% - Accent3 2 2 3 2 2 2 2 2" xfId="28649" xr:uid="{00000000-0005-0000-0000-000013110000}"/>
    <cellStyle name="20% - Accent3 2 2 3 2 2 2 2 2 2" xfId="14016" xr:uid="{00000000-0005-0000-0000-000014110000}"/>
    <cellStyle name="20% - Accent3 2 2 3 2 2 2 2 2 2 2" xfId="6957" xr:uid="{00000000-0005-0000-0000-000015110000}"/>
    <cellStyle name="20% - Accent3 2 2 3 2 2 2 2 2 3" xfId="14159" xr:uid="{00000000-0005-0000-0000-000016110000}"/>
    <cellStyle name="20% - Accent3 2 2 3 2 2 2 2 3" xfId="4481" xr:uid="{00000000-0005-0000-0000-000017110000}"/>
    <cellStyle name="20% - Accent3 2 2 3 2 2 2 2 3 2" xfId="1299" xr:uid="{00000000-0005-0000-0000-000018110000}"/>
    <cellStyle name="20% - Accent3 2 2 3 2 2 2 2 4" xfId="12713" xr:uid="{00000000-0005-0000-0000-000019110000}"/>
    <cellStyle name="20% - Accent3 2 2 3 2 2 2 3" xfId="6959" xr:uid="{00000000-0005-0000-0000-00001A110000}"/>
    <cellStyle name="20% - Accent3 2 2 3 2 2 2 3 2" xfId="4803" xr:uid="{00000000-0005-0000-0000-00001B110000}"/>
    <cellStyle name="20% - Accent3 2 2 3 2 2 2 3 2 2" xfId="686" xr:uid="{00000000-0005-0000-0000-00001C110000}"/>
    <cellStyle name="20% - Accent3 2 2 3 2 2 2 3 3" xfId="9237" xr:uid="{00000000-0005-0000-0000-00001D110000}"/>
    <cellStyle name="20% - Accent3 2 2 3 2 2 2 4" xfId="3279" xr:uid="{00000000-0005-0000-0000-00001E110000}"/>
    <cellStyle name="20% - Accent3 2 2 3 2 2 2 4 2" xfId="1218" xr:uid="{00000000-0005-0000-0000-00001F110000}"/>
    <cellStyle name="20% - Accent3 2 2 3 2 2 2 5" xfId="6960" xr:uid="{00000000-0005-0000-0000-000020110000}"/>
    <cellStyle name="20% - Accent3 2 2 3 2 2 3" xfId="2807" xr:uid="{00000000-0005-0000-0000-000021110000}"/>
    <cellStyle name="20% - Accent3 2 2 3 2 2 3 2" xfId="1862" xr:uid="{00000000-0005-0000-0000-000022110000}"/>
    <cellStyle name="20% - Accent3 2 2 3 2 2 3 2 2" xfId="11665" xr:uid="{00000000-0005-0000-0000-000023110000}"/>
    <cellStyle name="20% - Accent3 2 2 3 2 2 3 2 2 2" xfId="374" xr:uid="{00000000-0005-0000-0000-000024110000}"/>
    <cellStyle name="20% - Accent3 2 2 3 2 2 3 2 3" xfId="31911" xr:uid="{00000000-0005-0000-0000-000025110000}"/>
    <cellStyle name="20% - Accent3 2 2 3 2 2 3 3" xfId="3185" xr:uid="{00000000-0005-0000-0000-000026110000}"/>
    <cellStyle name="20% - Accent3 2 2 3 2 2 3 3 2" xfId="9383" xr:uid="{00000000-0005-0000-0000-000027110000}"/>
    <cellStyle name="20% - Accent3 2 2 3 2 2 3 4" xfId="6962" xr:uid="{00000000-0005-0000-0000-000028110000}"/>
    <cellStyle name="20% - Accent3 2 2 3 2 2 4" xfId="2812" xr:uid="{00000000-0005-0000-0000-000029110000}"/>
    <cellStyle name="20% - Accent3 2 2 3 2 2 4 2" xfId="3193" xr:uid="{00000000-0005-0000-0000-00002A110000}"/>
    <cellStyle name="20% - Accent3 2 2 3 2 2 4 2 2" xfId="6372" xr:uid="{00000000-0005-0000-0000-00002B110000}"/>
    <cellStyle name="20% - Accent3 2 2 3 2 2 4 3" xfId="6966" xr:uid="{00000000-0005-0000-0000-00002C110000}"/>
    <cellStyle name="20% - Accent3 2 2 3 2 2 5" xfId="7618" xr:uid="{00000000-0005-0000-0000-00002D110000}"/>
    <cellStyle name="20% - Accent3 2 2 3 2 2 5 2" xfId="6970" xr:uid="{00000000-0005-0000-0000-00002E110000}"/>
    <cellStyle name="20% - Accent3 2 2 3 2 2 6" xfId="7833" xr:uid="{00000000-0005-0000-0000-00002F110000}"/>
    <cellStyle name="20% - Accent3 2 2 3 2 3" xfId="27192" xr:uid="{00000000-0005-0000-0000-000030110000}"/>
    <cellStyle name="20% - Accent3 2 2 3 2 3 2" xfId="677" xr:uid="{00000000-0005-0000-0000-000031110000}"/>
    <cellStyle name="20% - Accent3 2 2 3 2 3 2 2" xfId="13570" xr:uid="{00000000-0005-0000-0000-000032110000}"/>
    <cellStyle name="20% - Accent3 2 2 3 2 3 2 2 2" xfId="10923" xr:uid="{00000000-0005-0000-0000-000033110000}"/>
    <cellStyle name="20% - Accent3 2 2 3 2 3 2 2 2 2" xfId="85" xr:uid="{00000000-0005-0000-0000-000034110000}"/>
    <cellStyle name="20% - Accent3 2 2 3 2 3 2 2 3" xfId="33257" xr:uid="{00000000-0005-0000-0000-000035110000}"/>
    <cellStyle name="20% - Accent3 2 2 3 2 3 2 3" xfId="13574" xr:uid="{00000000-0005-0000-0000-000036110000}"/>
    <cellStyle name="20% - Accent3 2 2 3 2 3 2 3 2" xfId="9638" xr:uid="{00000000-0005-0000-0000-000037110000}"/>
    <cellStyle name="20% - Accent3 2 2 3 2 3 2 4" xfId="6983" xr:uid="{00000000-0005-0000-0000-000038110000}"/>
    <cellStyle name="20% - Accent3 2 2 3 2 3 3" xfId="1718" xr:uid="{00000000-0005-0000-0000-000039110000}"/>
    <cellStyle name="20% - Accent3 2 2 3 2 3 3 2" xfId="13577" xr:uid="{00000000-0005-0000-0000-00003A110000}"/>
    <cellStyle name="20% - Accent3 2 2 3 2 3 3 2 2" xfId="28778" xr:uid="{00000000-0005-0000-0000-00003B110000}"/>
    <cellStyle name="20% - Accent3 2 2 3 2 3 3 3" xfId="8917" xr:uid="{00000000-0005-0000-0000-00003C110000}"/>
    <cellStyle name="20% - Accent3 2 2 3 2 3 4" xfId="6988" xr:uid="{00000000-0005-0000-0000-00003D110000}"/>
    <cellStyle name="20% - Accent3 2 2 3 2 3 4 2" xfId="6989" xr:uid="{00000000-0005-0000-0000-00003E110000}"/>
    <cellStyle name="20% - Accent3 2 2 3 2 3 5" xfId="6205" xr:uid="{00000000-0005-0000-0000-00003F110000}"/>
    <cellStyle name="20% - Accent3 2 2 3 2 4" xfId="9065" xr:uid="{00000000-0005-0000-0000-000040110000}"/>
    <cellStyle name="20% - Accent3 2 2 3 2 4 2" xfId="8611" xr:uid="{00000000-0005-0000-0000-000041110000}"/>
    <cellStyle name="20% - Accent3 2 2 3 2 4 2 2" xfId="5991" xr:uid="{00000000-0005-0000-0000-000042110000}"/>
    <cellStyle name="20% - Accent3 2 2 3 2 4 2 2 2" xfId="28074" xr:uid="{00000000-0005-0000-0000-000043110000}"/>
    <cellStyle name="20% - Accent3 2 2 3 2 4 2 3" xfId="6994" xr:uid="{00000000-0005-0000-0000-000044110000}"/>
    <cellStyle name="20% - Accent3 2 2 3 2 4 3" xfId="12691" xr:uid="{00000000-0005-0000-0000-000045110000}"/>
    <cellStyle name="20% - Accent3 2 2 3 2 4 3 2" xfId="6997" xr:uid="{00000000-0005-0000-0000-000046110000}"/>
    <cellStyle name="20% - Accent3 2 2 3 2 4 4" xfId="3704" xr:uid="{00000000-0005-0000-0000-000047110000}"/>
    <cellStyle name="20% - Accent3 2 2 3 2 5" xfId="15030" xr:uid="{00000000-0005-0000-0000-000048110000}"/>
    <cellStyle name="20% - Accent3 2 2 3 2 5 2" xfId="8633" xr:uid="{00000000-0005-0000-0000-000049110000}"/>
    <cellStyle name="20% - Accent3 2 2 3 2 5 2 2" xfId="1498" xr:uid="{00000000-0005-0000-0000-00004A110000}"/>
    <cellStyle name="20% - Accent3 2 2 3 2 5 3" xfId="21726" xr:uid="{00000000-0005-0000-0000-00004B110000}"/>
    <cellStyle name="20% - Accent3 2 2 3 2 6" xfId="6943" xr:uid="{00000000-0005-0000-0000-00004C110000}"/>
    <cellStyle name="20% - Accent3 2 2 3 2 6 2" xfId="21738" xr:uid="{00000000-0005-0000-0000-00004D110000}"/>
    <cellStyle name="20% - Accent3 2 2 3 2 7" xfId="7006" xr:uid="{00000000-0005-0000-0000-00004E110000}"/>
    <cellStyle name="20% - Accent3 2 2 3 3" xfId="33225" xr:uid="{00000000-0005-0000-0000-00004F110000}"/>
    <cellStyle name="20% - Accent3 2 2 3 3 2" xfId="33768" xr:uid="{00000000-0005-0000-0000-000050110000}"/>
    <cellStyle name="20% - Accent3 2 2 3 3 2 2" xfId="2851" xr:uid="{00000000-0005-0000-0000-000051110000}"/>
    <cellStyle name="20% - Accent3 2 2 3 3 2 2 2" xfId="7014" xr:uid="{00000000-0005-0000-0000-000052110000}"/>
    <cellStyle name="20% - Accent3 2 2 3 3 2 2 2 2" xfId="7025" xr:uid="{00000000-0005-0000-0000-000053110000}"/>
    <cellStyle name="20% - Accent3 2 2 3 3 2 2 2 2 2" xfId="21368" xr:uid="{00000000-0005-0000-0000-000054110000}"/>
    <cellStyle name="20% - Accent3 2 2 3 3 2 2 2 3" xfId="15251" xr:uid="{00000000-0005-0000-0000-000055110000}"/>
    <cellStyle name="20% - Accent3 2 2 3 3 2 2 3" xfId="7030" xr:uid="{00000000-0005-0000-0000-000056110000}"/>
    <cellStyle name="20% - Accent3 2 2 3 3 2 2 3 2" xfId="10046" xr:uid="{00000000-0005-0000-0000-000057110000}"/>
    <cellStyle name="20% - Accent3 2 2 3 3 2 2 4" xfId="7032" xr:uid="{00000000-0005-0000-0000-000058110000}"/>
    <cellStyle name="20% - Accent3 2 2 3 3 2 3" xfId="2853" xr:uid="{00000000-0005-0000-0000-000059110000}"/>
    <cellStyle name="20% - Accent3 2 2 3 3 2 3 2" xfId="411" xr:uid="{00000000-0005-0000-0000-00005A110000}"/>
    <cellStyle name="20% - Accent3 2 2 3 3 2 3 2 2" xfId="10900" xr:uid="{00000000-0005-0000-0000-00005B110000}"/>
    <cellStyle name="20% - Accent3 2 2 3 3 2 3 3" xfId="7035" xr:uid="{00000000-0005-0000-0000-00005C110000}"/>
    <cellStyle name="20% - Accent3 2 2 3 3 2 4" xfId="7037" xr:uid="{00000000-0005-0000-0000-00005D110000}"/>
    <cellStyle name="20% - Accent3 2 2 3 3 2 4 2" xfId="1805" xr:uid="{00000000-0005-0000-0000-00005E110000}"/>
    <cellStyle name="20% - Accent3 2 2 3 3 2 5" xfId="7708" xr:uid="{00000000-0005-0000-0000-00005F110000}"/>
    <cellStyle name="20% - Accent3 2 2 3 3 3" xfId="9100" xr:uid="{00000000-0005-0000-0000-000060110000}"/>
    <cellStyle name="20% - Accent3 2 2 3 3 3 2" xfId="1752" xr:uid="{00000000-0005-0000-0000-000061110000}"/>
    <cellStyle name="20% - Accent3 2 2 3 3 3 2 2" xfId="18006" xr:uid="{00000000-0005-0000-0000-000062110000}"/>
    <cellStyle name="20% - Accent3 2 2 3 3 3 2 2 2" xfId="7041" xr:uid="{00000000-0005-0000-0000-000063110000}"/>
    <cellStyle name="20% - Accent3 2 2 3 3 3 2 3" xfId="7043" xr:uid="{00000000-0005-0000-0000-000064110000}"/>
    <cellStyle name="20% - Accent3 2 2 3 3 3 3" xfId="7044" xr:uid="{00000000-0005-0000-0000-000065110000}"/>
    <cellStyle name="20% - Accent3 2 2 3 3 3 3 2" xfId="7049" xr:uid="{00000000-0005-0000-0000-000066110000}"/>
    <cellStyle name="20% - Accent3 2 2 3 3 3 4" xfId="9208" xr:uid="{00000000-0005-0000-0000-000067110000}"/>
    <cellStyle name="20% - Accent3 2 2 3 3 4" xfId="9106" xr:uid="{00000000-0005-0000-0000-000068110000}"/>
    <cellStyle name="20% - Accent3 2 2 3 3 4 2" xfId="11092" xr:uid="{00000000-0005-0000-0000-000069110000}"/>
    <cellStyle name="20% - Accent3 2 2 3 3 4 2 2" xfId="7054" xr:uid="{00000000-0005-0000-0000-00006A110000}"/>
    <cellStyle name="20% - Accent3 2 2 3 3 4 3" xfId="7056" xr:uid="{00000000-0005-0000-0000-00006B110000}"/>
    <cellStyle name="20% - Accent3 2 2 3 3 5" xfId="13689" xr:uid="{00000000-0005-0000-0000-00006C110000}"/>
    <cellStyle name="20% - Accent3 2 2 3 3 5 2" xfId="21745" xr:uid="{00000000-0005-0000-0000-00006D110000}"/>
    <cellStyle name="20% - Accent3 2 2 3 3 6" xfId="11630" xr:uid="{00000000-0005-0000-0000-00006E110000}"/>
    <cellStyle name="20% - Accent3 2 2 3 4" xfId="3483" xr:uid="{00000000-0005-0000-0000-00006F110000}"/>
    <cellStyle name="20% - Accent3 2 2 3 4 2" xfId="18392" xr:uid="{00000000-0005-0000-0000-000070110000}"/>
    <cellStyle name="20% - Accent3 2 2 3 4 2 2" xfId="2867" xr:uid="{00000000-0005-0000-0000-000071110000}"/>
    <cellStyle name="20% - Accent3 2 2 3 4 2 2 2" xfId="7062" xr:uid="{00000000-0005-0000-0000-000072110000}"/>
    <cellStyle name="20% - Accent3 2 2 3 4 2 2 2 2" xfId="10430" xr:uid="{00000000-0005-0000-0000-000073110000}"/>
    <cellStyle name="20% - Accent3 2 2 3 4 2 2 3" xfId="13020" xr:uid="{00000000-0005-0000-0000-000074110000}"/>
    <cellStyle name="20% - Accent3 2 2 3 4 2 3" xfId="7064" xr:uid="{00000000-0005-0000-0000-000075110000}"/>
    <cellStyle name="20% - Accent3 2 2 3 4 2 3 2" xfId="7067" xr:uid="{00000000-0005-0000-0000-000076110000}"/>
    <cellStyle name="20% - Accent3 2 2 3 4 2 4" xfId="968" xr:uid="{00000000-0005-0000-0000-000077110000}"/>
    <cellStyle name="20% - Accent3 2 2 3 4 3" xfId="19227" xr:uid="{00000000-0005-0000-0000-000078110000}"/>
    <cellStyle name="20% - Accent3 2 2 3 4 3 2" xfId="7068" xr:uid="{00000000-0005-0000-0000-000079110000}"/>
    <cellStyle name="20% - Accent3 2 2 3 4 3 2 2" xfId="1258" xr:uid="{00000000-0005-0000-0000-00007A110000}"/>
    <cellStyle name="20% - Accent3 2 2 3 4 3 3" xfId="7072" xr:uid="{00000000-0005-0000-0000-00007B110000}"/>
    <cellStyle name="20% - Accent3 2 2 3 4 4" xfId="5364" xr:uid="{00000000-0005-0000-0000-00007C110000}"/>
    <cellStyle name="20% - Accent3 2 2 3 4 4 2" xfId="8035" xr:uid="{00000000-0005-0000-0000-00007D110000}"/>
    <cellStyle name="20% - Accent3 2 2 3 4 5" xfId="5491" xr:uid="{00000000-0005-0000-0000-00007E110000}"/>
    <cellStyle name="20% - Accent3 2 2 3 5" xfId="3497" xr:uid="{00000000-0005-0000-0000-00007F110000}"/>
    <cellStyle name="20% - Accent3 2 2 3 5 2" xfId="18396" xr:uid="{00000000-0005-0000-0000-000080110000}"/>
    <cellStyle name="20% - Accent3 2 2 3 5 2 2" xfId="7082" xr:uid="{00000000-0005-0000-0000-000081110000}"/>
    <cellStyle name="20% - Accent3 2 2 3 5 2 2 2" xfId="878" xr:uid="{00000000-0005-0000-0000-000082110000}"/>
    <cellStyle name="20% - Accent3 2 2 3 5 2 3" xfId="7083" xr:uid="{00000000-0005-0000-0000-000083110000}"/>
    <cellStyle name="20% - Accent3 2 2 3 5 3" xfId="7084" xr:uid="{00000000-0005-0000-0000-000084110000}"/>
    <cellStyle name="20% - Accent3 2 2 3 5 3 2" xfId="7092" xr:uid="{00000000-0005-0000-0000-000085110000}"/>
    <cellStyle name="20% - Accent3 2 2 3 5 4" xfId="23801" xr:uid="{00000000-0005-0000-0000-000086110000}"/>
    <cellStyle name="20% - Accent3 2 2 3 6" xfId="7098" xr:uid="{00000000-0005-0000-0000-000087110000}"/>
    <cellStyle name="20% - Accent3 2 2 3 6 2" xfId="7100" xr:uid="{00000000-0005-0000-0000-000088110000}"/>
    <cellStyle name="20% - Accent3 2 2 3 6 2 2" xfId="17089" xr:uid="{00000000-0005-0000-0000-000089110000}"/>
    <cellStyle name="20% - Accent3 2 2 3 6 3" xfId="7103" xr:uid="{00000000-0005-0000-0000-00008A110000}"/>
    <cellStyle name="20% - Accent3 2 2 3 7" xfId="7109" xr:uid="{00000000-0005-0000-0000-00008B110000}"/>
    <cellStyle name="20% - Accent3 2 2 3 7 2" xfId="7111" xr:uid="{00000000-0005-0000-0000-00008C110000}"/>
    <cellStyle name="20% - Accent3 2 2 3 8" xfId="8969" xr:uid="{00000000-0005-0000-0000-00008D110000}"/>
    <cellStyle name="20% - Accent3 2 2 4" xfId="5353" xr:uid="{00000000-0005-0000-0000-00008E110000}"/>
    <cellStyle name="20% - Accent3 2 2 4 2" xfId="4561" xr:uid="{00000000-0005-0000-0000-00008F110000}"/>
    <cellStyle name="20% - Accent3 2 2 4 2 2" xfId="33030" xr:uid="{00000000-0005-0000-0000-000090110000}"/>
    <cellStyle name="20% - Accent3 2 2 4 2 2 2" xfId="3817" xr:uid="{00000000-0005-0000-0000-000091110000}"/>
    <cellStyle name="20% - Accent3 2 2 4 2 2 2 2" xfId="7116" xr:uid="{00000000-0005-0000-0000-000092110000}"/>
    <cellStyle name="20% - Accent3 2 2 4 2 2 2 2 2" xfId="5976" xr:uid="{00000000-0005-0000-0000-000093110000}"/>
    <cellStyle name="20% - Accent3 2 2 4 2 2 2 2 2 2" xfId="7050" xr:uid="{00000000-0005-0000-0000-000094110000}"/>
    <cellStyle name="20% - Accent3 2 2 4 2 2 2 2 3" xfId="11142" xr:uid="{00000000-0005-0000-0000-000095110000}"/>
    <cellStyle name="20% - Accent3 2 2 4 2 2 2 3" xfId="7117" xr:uid="{00000000-0005-0000-0000-000096110000}"/>
    <cellStyle name="20% - Accent3 2 2 4 2 2 2 3 2" xfId="11164" xr:uid="{00000000-0005-0000-0000-000097110000}"/>
    <cellStyle name="20% - Accent3 2 2 4 2 2 2 4" xfId="193" xr:uid="{00000000-0005-0000-0000-000098110000}"/>
    <cellStyle name="20% - Accent3 2 2 4 2 2 3" xfId="3044" xr:uid="{00000000-0005-0000-0000-000099110000}"/>
    <cellStyle name="20% - Accent3 2 2 4 2 2 3 2" xfId="4273" xr:uid="{00000000-0005-0000-0000-00009A110000}"/>
    <cellStyle name="20% - Accent3 2 2 4 2 2 3 2 2" xfId="12625" xr:uid="{00000000-0005-0000-0000-00009B110000}"/>
    <cellStyle name="20% - Accent3 2 2 4 2 2 3 3" xfId="7118" xr:uid="{00000000-0005-0000-0000-00009C110000}"/>
    <cellStyle name="20% - Accent3 2 2 4 2 2 4" xfId="7119" xr:uid="{00000000-0005-0000-0000-00009D110000}"/>
    <cellStyle name="20% - Accent3 2 2 4 2 2 4 2" xfId="26811" xr:uid="{00000000-0005-0000-0000-00009E110000}"/>
    <cellStyle name="20% - Accent3 2 2 4 2 2 5" xfId="10562" xr:uid="{00000000-0005-0000-0000-00009F110000}"/>
    <cellStyle name="20% - Accent3 2 2 4 2 3" xfId="9158" xr:uid="{00000000-0005-0000-0000-0000A0110000}"/>
    <cellStyle name="20% - Accent3 2 2 4 2 3 2" xfId="10546" xr:uid="{00000000-0005-0000-0000-0000A1110000}"/>
    <cellStyle name="20% - Accent3 2 2 4 2 3 2 2" xfId="21639" xr:uid="{00000000-0005-0000-0000-0000A2110000}"/>
    <cellStyle name="20% - Accent3 2 2 4 2 3 2 2 2" xfId="15514" xr:uid="{00000000-0005-0000-0000-0000A3110000}"/>
    <cellStyle name="20% - Accent3 2 2 4 2 3 2 3" xfId="7120" xr:uid="{00000000-0005-0000-0000-0000A4110000}"/>
    <cellStyle name="20% - Accent3 2 2 4 2 3 3" xfId="10529" xr:uid="{00000000-0005-0000-0000-0000A5110000}"/>
    <cellStyle name="20% - Accent3 2 2 4 2 3 3 2" xfId="25390" xr:uid="{00000000-0005-0000-0000-0000A6110000}"/>
    <cellStyle name="20% - Accent3 2 2 4 2 3 4" xfId="2841" xr:uid="{00000000-0005-0000-0000-0000A7110000}"/>
    <cellStyle name="20% - Accent3 2 2 4 2 4" xfId="9164" xr:uid="{00000000-0005-0000-0000-0000A8110000}"/>
    <cellStyle name="20% - Accent3 2 2 4 2 4 2" xfId="2316" xr:uid="{00000000-0005-0000-0000-0000A9110000}"/>
    <cellStyle name="20% - Accent3 2 2 4 2 4 2 2" xfId="28916" xr:uid="{00000000-0005-0000-0000-0000AA110000}"/>
    <cellStyle name="20% - Accent3 2 2 4 2 4 3" xfId="5281" xr:uid="{00000000-0005-0000-0000-0000AB110000}"/>
    <cellStyle name="20% - Accent3 2 2 4 2 5" xfId="2323" xr:uid="{00000000-0005-0000-0000-0000AC110000}"/>
    <cellStyle name="20% - Accent3 2 2 4 2 5 2" xfId="21809" xr:uid="{00000000-0005-0000-0000-0000AD110000}"/>
    <cellStyle name="20% - Accent3 2 2 4 2 6" xfId="7126" xr:uid="{00000000-0005-0000-0000-0000AE110000}"/>
    <cellStyle name="20% - Accent3 2 2 4 3" xfId="2917" xr:uid="{00000000-0005-0000-0000-0000AF110000}"/>
    <cellStyle name="20% - Accent3 2 2 4 3 2" xfId="18431" xr:uid="{00000000-0005-0000-0000-0000B0110000}"/>
    <cellStyle name="20% - Accent3 2 2 4 3 2 2" xfId="14446" xr:uid="{00000000-0005-0000-0000-0000B1110000}"/>
    <cellStyle name="20% - Accent3 2 2 4 3 2 2 2" xfId="7128" xr:uid="{00000000-0005-0000-0000-0000B2110000}"/>
    <cellStyle name="20% - Accent3 2 2 4 3 2 2 2 2" xfId="11896" xr:uid="{00000000-0005-0000-0000-0000B3110000}"/>
    <cellStyle name="20% - Accent3 2 2 4 3 2 2 3" xfId="7131" xr:uid="{00000000-0005-0000-0000-0000B4110000}"/>
    <cellStyle name="20% - Accent3 2 2 4 3 2 3" xfId="16540" xr:uid="{00000000-0005-0000-0000-0000B5110000}"/>
    <cellStyle name="20% - Accent3 2 2 4 3 2 3 2" xfId="7136" xr:uid="{00000000-0005-0000-0000-0000B6110000}"/>
    <cellStyle name="20% - Accent3 2 2 4 3 2 4" xfId="16544" xr:uid="{00000000-0005-0000-0000-0000B7110000}"/>
    <cellStyle name="20% - Accent3 2 2 4 3 3" xfId="8770" xr:uid="{00000000-0005-0000-0000-0000B8110000}"/>
    <cellStyle name="20% - Accent3 2 2 4 3 3 2" xfId="16574" xr:uid="{00000000-0005-0000-0000-0000B9110000}"/>
    <cellStyle name="20% - Accent3 2 2 4 3 3 2 2" xfId="7140" xr:uid="{00000000-0005-0000-0000-0000BA110000}"/>
    <cellStyle name="20% - Accent3 2 2 4 3 3 3" xfId="7306" xr:uid="{00000000-0005-0000-0000-0000BB110000}"/>
    <cellStyle name="20% - Accent3 2 2 4 3 4" xfId="9187" xr:uid="{00000000-0005-0000-0000-0000BC110000}"/>
    <cellStyle name="20% - Accent3 2 2 4 3 4 2" xfId="16593" xr:uid="{00000000-0005-0000-0000-0000BD110000}"/>
    <cellStyle name="20% - Accent3 2 2 4 3 5" xfId="10027" xr:uid="{00000000-0005-0000-0000-0000BE110000}"/>
    <cellStyle name="20% - Accent3 2 2 4 4" xfId="3503" xr:uid="{00000000-0005-0000-0000-0000BF110000}"/>
    <cellStyle name="20% - Accent3 2 2 4 4 2" xfId="18435" xr:uid="{00000000-0005-0000-0000-0000C0110000}"/>
    <cellStyle name="20% - Accent3 2 2 4 4 2 2" xfId="18421" xr:uid="{00000000-0005-0000-0000-0000C1110000}"/>
    <cellStyle name="20% - Accent3 2 2 4 4 2 2 2" xfId="7144" xr:uid="{00000000-0005-0000-0000-0000C2110000}"/>
    <cellStyle name="20% - Accent3 2 2 4 4 2 3" xfId="18428" xr:uid="{00000000-0005-0000-0000-0000C3110000}"/>
    <cellStyle name="20% - Accent3 2 2 4 4 3" xfId="12579" xr:uid="{00000000-0005-0000-0000-0000C4110000}"/>
    <cellStyle name="20% - Accent3 2 2 4 4 3 2" xfId="18448" xr:uid="{00000000-0005-0000-0000-0000C5110000}"/>
    <cellStyle name="20% - Accent3 2 2 4 4 4" xfId="7158" xr:uid="{00000000-0005-0000-0000-0000C6110000}"/>
    <cellStyle name="20% - Accent3 2 2 4 5" xfId="7160" xr:uid="{00000000-0005-0000-0000-0000C7110000}"/>
    <cellStyle name="20% - Accent3 2 2 4 5 2" xfId="9201" xr:uid="{00000000-0005-0000-0000-0000C8110000}"/>
    <cellStyle name="20% - Accent3 2 2 4 5 2 2" xfId="11369" xr:uid="{00000000-0005-0000-0000-0000C9110000}"/>
    <cellStyle name="20% - Accent3 2 2 4 5 3" xfId="7161" xr:uid="{00000000-0005-0000-0000-0000CA110000}"/>
    <cellStyle name="20% - Accent3 2 2 4 6" xfId="7163" xr:uid="{00000000-0005-0000-0000-0000CB110000}"/>
    <cellStyle name="20% - Accent3 2 2 4 6 2" xfId="24902" xr:uid="{00000000-0005-0000-0000-0000CC110000}"/>
    <cellStyle name="20% - Accent3 2 2 4 7" xfId="7164" xr:uid="{00000000-0005-0000-0000-0000CD110000}"/>
    <cellStyle name="20% - Accent3 2 2 5" xfId="2859" xr:uid="{00000000-0005-0000-0000-0000CE110000}"/>
    <cellStyle name="20% - Accent3 2 2 5 2" xfId="4567" xr:uid="{00000000-0005-0000-0000-0000CF110000}"/>
    <cellStyle name="20% - Accent3 2 2 5 2 2" xfId="6953" xr:uid="{00000000-0005-0000-0000-0000D0110000}"/>
    <cellStyle name="20% - Accent3 2 2 5 2 2 2" xfId="6305" xr:uid="{00000000-0005-0000-0000-0000D1110000}"/>
    <cellStyle name="20% - Accent3 2 2 5 2 2 2 2" xfId="14700" xr:uid="{00000000-0005-0000-0000-0000D2110000}"/>
    <cellStyle name="20% - Accent3 2 2 5 2 2 2 2 2" xfId="10864" xr:uid="{00000000-0005-0000-0000-0000D3110000}"/>
    <cellStyle name="20% - Accent3 2 2 5 2 2 2 3" xfId="7173" xr:uid="{00000000-0005-0000-0000-0000D4110000}"/>
    <cellStyle name="20% - Accent3 2 2 5 2 2 3" xfId="7177" xr:uid="{00000000-0005-0000-0000-0000D5110000}"/>
    <cellStyle name="20% - Accent3 2 2 5 2 2 3 2" xfId="7182" xr:uid="{00000000-0005-0000-0000-0000D6110000}"/>
    <cellStyle name="20% - Accent3 2 2 5 2 2 4" xfId="7184" xr:uid="{00000000-0005-0000-0000-0000D7110000}"/>
    <cellStyle name="20% - Accent3 2 2 5 2 3" xfId="9213" xr:uid="{00000000-0005-0000-0000-0000D8110000}"/>
    <cellStyle name="20% - Accent3 2 2 5 2 3 2" xfId="19065" xr:uid="{00000000-0005-0000-0000-0000D9110000}"/>
    <cellStyle name="20% - Accent3 2 2 5 2 3 2 2" xfId="23339" xr:uid="{00000000-0005-0000-0000-0000DA110000}"/>
    <cellStyle name="20% - Accent3 2 2 5 2 3 3" xfId="5411" xr:uid="{00000000-0005-0000-0000-0000DB110000}"/>
    <cellStyle name="20% - Accent3 2 2 5 2 4" xfId="9218" xr:uid="{00000000-0005-0000-0000-0000DC110000}"/>
    <cellStyle name="20% - Accent3 2 2 5 2 4 2" xfId="16325" xr:uid="{00000000-0005-0000-0000-0000DD110000}"/>
    <cellStyle name="20% - Accent3 2 2 5 2 5" xfId="16331" xr:uid="{00000000-0005-0000-0000-0000DE110000}"/>
    <cellStyle name="20% - Accent3 2 2 5 3" xfId="7189" xr:uid="{00000000-0005-0000-0000-0000DF110000}"/>
    <cellStyle name="20% - Accent3 2 2 5 3 2" xfId="27134" xr:uid="{00000000-0005-0000-0000-0000E0110000}"/>
    <cellStyle name="20% - Accent3 2 2 5 3 2 2" xfId="7191" xr:uid="{00000000-0005-0000-0000-0000E1110000}"/>
    <cellStyle name="20% - Accent3 2 2 5 3 2 2 2" xfId="7193" xr:uid="{00000000-0005-0000-0000-0000E2110000}"/>
    <cellStyle name="20% - Accent3 2 2 5 3 2 3" xfId="8580" xr:uid="{00000000-0005-0000-0000-0000E3110000}"/>
    <cellStyle name="20% - Accent3 2 2 5 3 3" xfId="9225" xr:uid="{00000000-0005-0000-0000-0000E4110000}"/>
    <cellStyle name="20% - Accent3 2 2 5 3 3 2" xfId="10500" xr:uid="{00000000-0005-0000-0000-0000E5110000}"/>
    <cellStyle name="20% - Accent3 2 2 5 3 4" xfId="16336" xr:uid="{00000000-0005-0000-0000-0000E6110000}"/>
    <cellStyle name="20% - Accent3 2 2 5 4" xfId="15367" xr:uid="{00000000-0005-0000-0000-0000E7110000}"/>
    <cellStyle name="20% - Accent3 2 2 5 4 2" xfId="9232" xr:uid="{00000000-0005-0000-0000-0000E8110000}"/>
    <cellStyle name="20% - Accent3 2 2 5 4 2 2" xfId="8674" xr:uid="{00000000-0005-0000-0000-0000E9110000}"/>
    <cellStyle name="20% - Accent3 2 2 5 4 3" xfId="7210" xr:uid="{00000000-0005-0000-0000-0000EA110000}"/>
    <cellStyle name="20% - Accent3 2 2 5 5" xfId="15379" xr:uid="{00000000-0005-0000-0000-0000EB110000}"/>
    <cellStyle name="20% - Accent3 2 2 5 5 2" xfId="7214" xr:uid="{00000000-0005-0000-0000-0000EC110000}"/>
    <cellStyle name="20% - Accent3 2 2 5 6" xfId="18379" xr:uid="{00000000-0005-0000-0000-0000ED110000}"/>
    <cellStyle name="20% - Accent3 2 2 6" xfId="27863" xr:uid="{00000000-0005-0000-0000-0000EE110000}"/>
    <cellStyle name="20% - Accent3 2 2 6 2" xfId="27866" xr:uid="{00000000-0005-0000-0000-0000EF110000}"/>
    <cellStyle name="20% - Accent3 2 2 6 2 2" xfId="18461" xr:uid="{00000000-0005-0000-0000-0000F0110000}"/>
    <cellStyle name="20% - Accent3 2 2 6 2 2 2" xfId="7217" xr:uid="{00000000-0005-0000-0000-0000F1110000}"/>
    <cellStyle name="20% - Accent3 2 2 6 2 2 2 2" xfId="14893" xr:uid="{00000000-0005-0000-0000-0000F2110000}"/>
    <cellStyle name="20% - Accent3 2 2 6 2 2 3" xfId="7227" xr:uid="{00000000-0005-0000-0000-0000F3110000}"/>
    <cellStyle name="20% - Accent3 2 2 6 2 3" xfId="9239" xr:uid="{00000000-0005-0000-0000-0000F4110000}"/>
    <cellStyle name="20% - Accent3 2 2 6 2 3 2" xfId="8407" xr:uid="{00000000-0005-0000-0000-0000F5110000}"/>
    <cellStyle name="20% - Accent3 2 2 6 2 4" xfId="16369" xr:uid="{00000000-0005-0000-0000-0000F6110000}"/>
    <cellStyle name="20% - Accent3 2 2 6 3" xfId="2354" xr:uid="{00000000-0005-0000-0000-0000F7110000}"/>
    <cellStyle name="20% - Accent3 2 2 6 3 2" xfId="9248" xr:uid="{00000000-0005-0000-0000-0000F8110000}"/>
    <cellStyle name="20% - Accent3 2 2 6 3 2 2" xfId="20915" xr:uid="{00000000-0005-0000-0000-0000F9110000}"/>
    <cellStyle name="20% - Accent3 2 2 6 3 3" xfId="7236" xr:uid="{00000000-0005-0000-0000-0000FA110000}"/>
    <cellStyle name="20% - Accent3 2 2 6 4" xfId="20385" xr:uid="{00000000-0005-0000-0000-0000FB110000}"/>
    <cellStyle name="20% - Accent3 2 2 6 4 2" xfId="5827" xr:uid="{00000000-0005-0000-0000-0000FC110000}"/>
    <cellStyle name="20% - Accent3 2 2 6 5" xfId="14206" xr:uid="{00000000-0005-0000-0000-0000FD110000}"/>
    <cellStyle name="20% - Accent3 2 2 7" xfId="7249" xr:uid="{00000000-0005-0000-0000-0000FE110000}"/>
    <cellStyle name="20% - Accent3 2 2 7 2" xfId="8188" xr:uid="{00000000-0005-0000-0000-0000FF110000}"/>
    <cellStyle name="20% - Accent3 2 2 7 2 2" xfId="9251" xr:uid="{00000000-0005-0000-0000-000000120000}"/>
    <cellStyle name="20% - Accent3 2 2 7 2 2 2" xfId="9548" xr:uid="{00000000-0005-0000-0000-000001120000}"/>
    <cellStyle name="20% - Accent3 2 2 7 2 3" xfId="9611" xr:uid="{00000000-0005-0000-0000-000002120000}"/>
    <cellStyle name="20% - Accent3 2 2 7 3" xfId="16256" xr:uid="{00000000-0005-0000-0000-000003120000}"/>
    <cellStyle name="20% - Accent3 2 2 7 3 2" xfId="7256" xr:uid="{00000000-0005-0000-0000-000004120000}"/>
    <cellStyle name="20% - Accent3 2 2 7 4" xfId="28456" xr:uid="{00000000-0005-0000-0000-000005120000}"/>
    <cellStyle name="20% - Accent3 2 2 8" xfId="7270" xr:uid="{00000000-0005-0000-0000-000006120000}"/>
    <cellStyle name="20% - Accent3 2 2 8 2" xfId="6027" xr:uid="{00000000-0005-0000-0000-000007120000}"/>
    <cellStyle name="20% - Accent3 2 2 8 2 2" xfId="7272" xr:uid="{00000000-0005-0000-0000-000008120000}"/>
    <cellStyle name="20% - Accent3 2 2 8 3" xfId="6695" xr:uid="{00000000-0005-0000-0000-000009120000}"/>
    <cellStyle name="20% - Accent3 2 2 9" xfId="7273" xr:uid="{00000000-0005-0000-0000-00000A120000}"/>
    <cellStyle name="20% - Accent3 2 2 9 2" xfId="7822" xr:uid="{00000000-0005-0000-0000-00000B120000}"/>
    <cellStyle name="20% - Accent3 2 3" xfId="16845" xr:uid="{00000000-0005-0000-0000-00000C120000}"/>
    <cellStyle name="20% - Accent3 2 3 2" xfId="863" xr:uid="{00000000-0005-0000-0000-00000D120000}"/>
    <cellStyle name="20% - Accent3 2 3 2 2" xfId="866" xr:uid="{00000000-0005-0000-0000-00000E120000}"/>
    <cellStyle name="20% - Accent3 2 3 2 2 2" xfId="6484" xr:uid="{00000000-0005-0000-0000-00000F120000}"/>
    <cellStyle name="20% - Accent3 2 3 2 2 2 2" xfId="4909" xr:uid="{00000000-0005-0000-0000-000010120000}"/>
    <cellStyle name="20% - Accent3 2 3 2 2 2 2 2" xfId="7276" xr:uid="{00000000-0005-0000-0000-000011120000}"/>
    <cellStyle name="20% - Accent3 2 3 2 2 2 2 2 2" xfId="28202" xr:uid="{00000000-0005-0000-0000-000012120000}"/>
    <cellStyle name="20% - Accent3 2 3 2 2 2 2 2 2 2" xfId="899" xr:uid="{00000000-0005-0000-0000-000013120000}"/>
    <cellStyle name="20% - Accent3 2 3 2 2 2 2 2 2 2 2" xfId="4018" xr:uid="{00000000-0005-0000-0000-000014120000}"/>
    <cellStyle name="20% - Accent3 2 3 2 2 2 2 2 2 3" xfId="7285" xr:uid="{00000000-0005-0000-0000-000015120000}"/>
    <cellStyle name="20% - Accent3 2 3 2 2 2 2 2 3" xfId="707" xr:uid="{00000000-0005-0000-0000-000016120000}"/>
    <cellStyle name="20% - Accent3 2 3 2 2 2 2 2 3 2" xfId="28549" xr:uid="{00000000-0005-0000-0000-000017120000}"/>
    <cellStyle name="20% - Accent3 2 3 2 2 2 2 2 4" xfId="699" xr:uid="{00000000-0005-0000-0000-000018120000}"/>
    <cellStyle name="20% - Accent3 2 3 2 2 2 2 3" xfId="1434" xr:uid="{00000000-0005-0000-0000-000019120000}"/>
    <cellStyle name="20% - Accent3 2 3 2 2 2 2 3 2" xfId="11411" xr:uid="{00000000-0005-0000-0000-00001A120000}"/>
    <cellStyle name="20% - Accent3 2 3 2 2 2 2 3 2 2" xfId="8669" xr:uid="{00000000-0005-0000-0000-00001B120000}"/>
    <cellStyle name="20% - Accent3 2 3 2 2 2 2 3 3" xfId="11431" xr:uid="{00000000-0005-0000-0000-00001C120000}"/>
    <cellStyle name="20% - Accent3 2 3 2 2 2 2 4" xfId="4597" xr:uid="{00000000-0005-0000-0000-00001D120000}"/>
    <cellStyle name="20% - Accent3 2 3 2 2 2 2 4 2" xfId="10686" xr:uid="{00000000-0005-0000-0000-00001E120000}"/>
    <cellStyle name="20% - Accent3 2 3 2 2 2 2 5" xfId="8184" xr:uid="{00000000-0005-0000-0000-00001F120000}"/>
    <cellStyle name="20% - Accent3 2 3 2 2 2 3" xfId="15513" xr:uid="{00000000-0005-0000-0000-000020120000}"/>
    <cellStyle name="20% - Accent3 2 3 2 2 2 3 2" xfId="16891" xr:uid="{00000000-0005-0000-0000-000021120000}"/>
    <cellStyle name="20% - Accent3 2 3 2 2 2 3 2 2" xfId="33040" xr:uid="{00000000-0005-0000-0000-000022120000}"/>
    <cellStyle name="20% - Accent3 2 3 2 2 2 3 2 2 2" xfId="5330" xr:uid="{00000000-0005-0000-0000-000023120000}"/>
    <cellStyle name="20% - Accent3 2 3 2 2 2 3 2 3" xfId="596" xr:uid="{00000000-0005-0000-0000-000024120000}"/>
    <cellStyle name="20% - Accent3 2 3 2 2 2 3 3" xfId="22606" xr:uid="{00000000-0005-0000-0000-000025120000}"/>
    <cellStyle name="20% - Accent3 2 3 2 2 2 3 3 2" xfId="12027" xr:uid="{00000000-0005-0000-0000-000026120000}"/>
    <cellStyle name="20% - Accent3 2 3 2 2 2 3 4" xfId="22616" xr:uid="{00000000-0005-0000-0000-000027120000}"/>
    <cellStyle name="20% - Accent3 2 3 2 2 2 4" xfId="5850" xr:uid="{00000000-0005-0000-0000-000028120000}"/>
    <cellStyle name="20% - Accent3 2 3 2 2 2 4 2" xfId="7415" xr:uid="{00000000-0005-0000-0000-000029120000}"/>
    <cellStyle name="20% - Accent3 2 3 2 2 2 4 2 2" xfId="4437" xr:uid="{00000000-0005-0000-0000-00002A120000}"/>
    <cellStyle name="20% - Accent3 2 3 2 2 2 4 3" xfId="20059" xr:uid="{00000000-0005-0000-0000-00002B120000}"/>
    <cellStyle name="20% - Accent3 2 3 2 2 2 5" xfId="6342" xr:uid="{00000000-0005-0000-0000-00002C120000}"/>
    <cellStyle name="20% - Accent3 2 3 2 2 2 5 2" xfId="11926" xr:uid="{00000000-0005-0000-0000-00002D120000}"/>
    <cellStyle name="20% - Accent3 2 3 2 2 2 6" xfId="7287" xr:uid="{00000000-0005-0000-0000-00002E120000}"/>
    <cellStyle name="20% - Accent3 2 3 2 2 3" xfId="68" xr:uid="{00000000-0005-0000-0000-00002F120000}"/>
    <cellStyle name="20% - Accent3 2 3 2 2 3 2" xfId="29924" xr:uid="{00000000-0005-0000-0000-000030120000}"/>
    <cellStyle name="20% - Accent3 2 3 2 2 3 2 2" xfId="13094" xr:uid="{00000000-0005-0000-0000-000031120000}"/>
    <cellStyle name="20% - Accent3 2 3 2 2 3 2 2 2" xfId="1428" xr:uid="{00000000-0005-0000-0000-000032120000}"/>
    <cellStyle name="20% - Accent3 2 3 2 2 3 2 2 2 2" xfId="3242" xr:uid="{00000000-0005-0000-0000-000033120000}"/>
    <cellStyle name="20% - Accent3 2 3 2 2 3 2 2 3" xfId="19107" xr:uid="{00000000-0005-0000-0000-000034120000}"/>
    <cellStyle name="20% - Accent3 2 3 2 2 3 2 3" xfId="16798" xr:uid="{00000000-0005-0000-0000-000035120000}"/>
    <cellStyle name="20% - Accent3 2 3 2 2 3 2 3 2" xfId="13058" xr:uid="{00000000-0005-0000-0000-000036120000}"/>
    <cellStyle name="20% - Accent3 2 3 2 2 3 2 4" xfId="16799" xr:uid="{00000000-0005-0000-0000-000037120000}"/>
    <cellStyle name="20% - Accent3 2 3 2 2 3 3" xfId="32108" xr:uid="{00000000-0005-0000-0000-000038120000}"/>
    <cellStyle name="20% - Accent3 2 3 2 2 3 3 2" xfId="13294" xr:uid="{00000000-0005-0000-0000-000039120000}"/>
    <cellStyle name="20% - Accent3 2 3 2 2 3 3 2 2" xfId="2939" xr:uid="{00000000-0005-0000-0000-00003A120000}"/>
    <cellStyle name="20% - Accent3 2 3 2 2 3 3 3" xfId="19255" xr:uid="{00000000-0005-0000-0000-00003B120000}"/>
    <cellStyle name="20% - Accent3 2 3 2 2 3 4" xfId="5866" xr:uid="{00000000-0005-0000-0000-00003C120000}"/>
    <cellStyle name="20% - Accent3 2 3 2 2 3 4 2" xfId="145" xr:uid="{00000000-0005-0000-0000-00003D120000}"/>
    <cellStyle name="20% - Accent3 2 3 2 2 3 5" xfId="6360" xr:uid="{00000000-0005-0000-0000-00003E120000}"/>
    <cellStyle name="20% - Accent3 2 3 2 2 4" xfId="5554" xr:uid="{00000000-0005-0000-0000-00003F120000}"/>
    <cellStyle name="20% - Accent3 2 3 2 2 4 2" xfId="12526" xr:uid="{00000000-0005-0000-0000-000040120000}"/>
    <cellStyle name="20% - Accent3 2 3 2 2 4 2 2" xfId="13675" xr:uid="{00000000-0005-0000-0000-000041120000}"/>
    <cellStyle name="20% - Accent3 2 3 2 2 4 2 2 2" xfId="1200" xr:uid="{00000000-0005-0000-0000-000042120000}"/>
    <cellStyle name="20% - Accent3 2 3 2 2 4 2 3" xfId="16825" xr:uid="{00000000-0005-0000-0000-000043120000}"/>
    <cellStyle name="20% - Accent3 2 3 2 2 4 3" xfId="12547" xr:uid="{00000000-0005-0000-0000-000044120000}"/>
    <cellStyle name="20% - Accent3 2 3 2 2 4 3 2" xfId="7289" xr:uid="{00000000-0005-0000-0000-000045120000}"/>
    <cellStyle name="20% - Accent3 2 3 2 2 4 4" xfId="5002" xr:uid="{00000000-0005-0000-0000-000046120000}"/>
    <cellStyle name="20% - Accent3 2 3 2 2 5" xfId="5881" xr:uid="{00000000-0005-0000-0000-000047120000}"/>
    <cellStyle name="20% - Accent3 2 3 2 2 5 2" xfId="22465" xr:uid="{00000000-0005-0000-0000-000048120000}"/>
    <cellStyle name="20% - Accent3 2 3 2 2 5 2 2" xfId="6062" xr:uid="{00000000-0005-0000-0000-000049120000}"/>
    <cellStyle name="20% - Accent3 2 3 2 2 5 3" xfId="14396" xr:uid="{00000000-0005-0000-0000-00004A120000}"/>
    <cellStyle name="20% - Accent3 2 3 2 2 6" xfId="5890" xr:uid="{00000000-0005-0000-0000-00004B120000}"/>
    <cellStyle name="20% - Accent3 2 3 2 2 6 2" xfId="23646" xr:uid="{00000000-0005-0000-0000-00004C120000}"/>
    <cellStyle name="20% - Accent3 2 3 2 2 7" xfId="31162" xr:uid="{00000000-0005-0000-0000-00004D120000}"/>
    <cellStyle name="20% - Accent3 2 3 2 3" xfId="7295" xr:uid="{00000000-0005-0000-0000-00004E120000}"/>
    <cellStyle name="20% - Accent3 2 3 2 3 2" xfId="2416" xr:uid="{00000000-0005-0000-0000-00004F120000}"/>
    <cellStyle name="20% - Accent3 2 3 2 3 2 2" xfId="4608" xr:uid="{00000000-0005-0000-0000-000050120000}"/>
    <cellStyle name="20% - Accent3 2 3 2 3 2 2 2" xfId="7297" xr:uid="{00000000-0005-0000-0000-000051120000}"/>
    <cellStyle name="20% - Accent3 2 3 2 3 2 2 2 2" xfId="668" xr:uid="{00000000-0005-0000-0000-000052120000}"/>
    <cellStyle name="20% - Accent3 2 3 2 3 2 2 2 2 2" xfId="5377" xr:uid="{00000000-0005-0000-0000-000053120000}"/>
    <cellStyle name="20% - Accent3 2 3 2 3 2 2 2 3" xfId="1324" xr:uid="{00000000-0005-0000-0000-000054120000}"/>
    <cellStyle name="20% - Accent3 2 3 2 3 2 2 3" xfId="250" xr:uid="{00000000-0005-0000-0000-000055120000}"/>
    <cellStyle name="20% - Accent3 2 3 2 3 2 2 3 2" xfId="1339" xr:uid="{00000000-0005-0000-0000-000056120000}"/>
    <cellStyle name="20% - Accent3 2 3 2 3 2 2 4" xfId="8216" xr:uid="{00000000-0005-0000-0000-000057120000}"/>
    <cellStyle name="20% - Accent3 2 3 2 3 2 3" xfId="8257" xr:uid="{00000000-0005-0000-0000-000058120000}"/>
    <cellStyle name="20% - Accent3 2 3 2 3 2 3 2" xfId="7298" xr:uid="{00000000-0005-0000-0000-000059120000}"/>
    <cellStyle name="20% - Accent3 2 3 2 3 2 3 2 2" xfId="1404" xr:uid="{00000000-0005-0000-0000-00005A120000}"/>
    <cellStyle name="20% - Accent3 2 3 2 3 2 3 3" xfId="26603" xr:uid="{00000000-0005-0000-0000-00005B120000}"/>
    <cellStyle name="20% - Accent3 2 3 2 3 2 4" xfId="22940" xr:uid="{00000000-0005-0000-0000-00005C120000}"/>
    <cellStyle name="20% - Accent3 2 3 2 3 2 4 2" xfId="7301" xr:uid="{00000000-0005-0000-0000-00005D120000}"/>
    <cellStyle name="20% - Accent3 2 3 2 3 2 5" xfId="26098" xr:uid="{00000000-0005-0000-0000-00005E120000}"/>
    <cellStyle name="20% - Accent3 2 3 2 3 3" xfId="5930" xr:uid="{00000000-0005-0000-0000-00005F120000}"/>
    <cellStyle name="20% - Accent3 2 3 2 3 3 2" xfId="4869" xr:uid="{00000000-0005-0000-0000-000060120000}"/>
    <cellStyle name="20% - Accent3 2 3 2 3 3 2 2" xfId="7304" xr:uid="{00000000-0005-0000-0000-000061120000}"/>
    <cellStyle name="20% - Accent3 2 3 2 3 3 2 2 2" xfId="4409" xr:uid="{00000000-0005-0000-0000-000062120000}"/>
    <cellStyle name="20% - Accent3 2 3 2 3 3 2 3" xfId="16873" xr:uid="{00000000-0005-0000-0000-000063120000}"/>
    <cellStyle name="20% - Accent3 2 3 2 3 3 3" xfId="8266" xr:uid="{00000000-0005-0000-0000-000064120000}"/>
    <cellStyle name="20% - Accent3 2 3 2 3 3 3 2" xfId="7308" xr:uid="{00000000-0005-0000-0000-000065120000}"/>
    <cellStyle name="20% - Accent3 2 3 2 3 3 4" xfId="26138" xr:uid="{00000000-0005-0000-0000-000066120000}"/>
    <cellStyle name="20% - Accent3 2 3 2 3 4" xfId="5933" xr:uid="{00000000-0005-0000-0000-000067120000}"/>
    <cellStyle name="20% - Accent3 2 3 2 3 4 2" xfId="11137" xr:uid="{00000000-0005-0000-0000-000068120000}"/>
    <cellStyle name="20% - Accent3 2 3 2 3 4 2 2" xfId="23071" xr:uid="{00000000-0005-0000-0000-000069120000}"/>
    <cellStyle name="20% - Accent3 2 3 2 3 4 3" xfId="7311" xr:uid="{00000000-0005-0000-0000-00006A120000}"/>
    <cellStyle name="20% - Accent3 2 3 2 3 5" xfId="6817" xr:uid="{00000000-0005-0000-0000-00006B120000}"/>
    <cellStyle name="20% - Accent3 2 3 2 3 5 2" xfId="22494" xr:uid="{00000000-0005-0000-0000-00006C120000}"/>
    <cellStyle name="20% - Accent3 2 3 2 3 6" xfId="7316" xr:uid="{00000000-0005-0000-0000-00006D120000}"/>
    <cellStyle name="20% - Accent3 2 3 2 4" xfId="3504" xr:uid="{00000000-0005-0000-0000-00006E120000}"/>
    <cellStyle name="20% - Accent3 2 3 2 4 2" xfId="19911" xr:uid="{00000000-0005-0000-0000-00006F120000}"/>
    <cellStyle name="20% - Accent3 2 3 2 4 2 2" xfId="29577" xr:uid="{00000000-0005-0000-0000-000070120000}"/>
    <cellStyle name="20% - Accent3 2 3 2 4 2 2 2" xfId="7321" xr:uid="{00000000-0005-0000-0000-000071120000}"/>
    <cellStyle name="20% - Accent3 2 3 2 4 2 2 2 2" xfId="7377" xr:uid="{00000000-0005-0000-0000-000072120000}"/>
    <cellStyle name="20% - Accent3 2 3 2 4 2 2 3" xfId="2195" xr:uid="{00000000-0005-0000-0000-000073120000}"/>
    <cellStyle name="20% - Accent3 2 3 2 4 2 3" xfId="22760" xr:uid="{00000000-0005-0000-0000-000074120000}"/>
    <cellStyle name="20% - Accent3 2 3 2 4 2 3 2" xfId="7322" xr:uid="{00000000-0005-0000-0000-000075120000}"/>
    <cellStyle name="20% - Accent3 2 3 2 4 2 4" xfId="28598" xr:uid="{00000000-0005-0000-0000-000076120000}"/>
    <cellStyle name="20% - Accent3 2 3 2 4 3" xfId="6807" xr:uid="{00000000-0005-0000-0000-000077120000}"/>
    <cellStyle name="20% - Accent3 2 3 2 4 3 2" xfId="33510" xr:uid="{00000000-0005-0000-0000-000078120000}"/>
    <cellStyle name="20% - Accent3 2 3 2 4 3 2 2" xfId="7323" xr:uid="{00000000-0005-0000-0000-000079120000}"/>
    <cellStyle name="20% - Accent3 2 3 2 4 3 3" xfId="30602" xr:uid="{00000000-0005-0000-0000-00007A120000}"/>
    <cellStyle name="20% - Accent3 2 3 2 4 4" xfId="7122" xr:uid="{00000000-0005-0000-0000-00007B120000}"/>
    <cellStyle name="20% - Accent3 2 3 2 4 4 2" xfId="25449" xr:uid="{00000000-0005-0000-0000-00007C120000}"/>
    <cellStyle name="20% - Accent3 2 3 2 4 5" xfId="6705" xr:uid="{00000000-0005-0000-0000-00007D120000}"/>
    <cellStyle name="20% - Accent3 2 3 2 5" xfId="3515" xr:uid="{00000000-0005-0000-0000-00007E120000}"/>
    <cellStyle name="20% - Accent3 2 3 2 5 2" xfId="6088" xr:uid="{00000000-0005-0000-0000-00007F120000}"/>
    <cellStyle name="20% - Accent3 2 3 2 5 2 2" xfId="419" xr:uid="{00000000-0005-0000-0000-000080120000}"/>
    <cellStyle name="20% - Accent3 2 3 2 5 2 2 2" xfId="6980" xr:uid="{00000000-0005-0000-0000-000081120000}"/>
    <cellStyle name="20% - Accent3 2 3 2 5 2 3" xfId="7326" xr:uid="{00000000-0005-0000-0000-000082120000}"/>
    <cellStyle name="20% - Accent3 2 3 2 5 3" xfId="6095" xr:uid="{00000000-0005-0000-0000-000083120000}"/>
    <cellStyle name="20% - Accent3 2 3 2 5 3 2" xfId="7328" xr:uid="{00000000-0005-0000-0000-000084120000}"/>
    <cellStyle name="20% - Accent3 2 3 2 5 4" xfId="19923" xr:uid="{00000000-0005-0000-0000-000085120000}"/>
    <cellStyle name="20% - Accent3 2 3 2 6" xfId="7332" xr:uid="{00000000-0005-0000-0000-000086120000}"/>
    <cellStyle name="20% - Accent3 2 3 2 6 2" xfId="6645" xr:uid="{00000000-0005-0000-0000-000087120000}"/>
    <cellStyle name="20% - Accent3 2 3 2 6 2 2" xfId="7336" xr:uid="{00000000-0005-0000-0000-000088120000}"/>
    <cellStyle name="20% - Accent3 2 3 2 6 3" xfId="7337" xr:uid="{00000000-0005-0000-0000-000089120000}"/>
    <cellStyle name="20% - Accent3 2 3 2 7" xfId="344" xr:uid="{00000000-0005-0000-0000-00008A120000}"/>
    <cellStyle name="20% - Accent3 2 3 2 7 2" xfId="7339" xr:uid="{00000000-0005-0000-0000-00008B120000}"/>
    <cellStyle name="20% - Accent3 2 3 2 8" xfId="7341" xr:uid="{00000000-0005-0000-0000-00008C120000}"/>
    <cellStyle name="20% - Accent3 2 3 3" xfId="14617" xr:uid="{00000000-0005-0000-0000-00008D120000}"/>
    <cellStyle name="20% - Accent3 2 3 3 2" xfId="7342" xr:uid="{00000000-0005-0000-0000-00008E120000}"/>
    <cellStyle name="20% - Accent3 2 3 3 2 2" xfId="5854" xr:uid="{00000000-0005-0000-0000-00008F120000}"/>
    <cellStyle name="20% - Accent3 2 3 3 2 2 2" xfId="8864" xr:uid="{00000000-0005-0000-0000-000090120000}"/>
    <cellStyle name="20% - Accent3 2 3 3 2 2 2 2" xfId="3022" xr:uid="{00000000-0005-0000-0000-000091120000}"/>
    <cellStyle name="20% - Accent3 2 3 3 2 2 2 2 2" xfId="3987" xr:uid="{00000000-0005-0000-0000-000092120000}"/>
    <cellStyle name="20% - Accent3 2 3 3 2 2 2 2 2 2" xfId="5440" xr:uid="{00000000-0005-0000-0000-000093120000}"/>
    <cellStyle name="20% - Accent3 2 3 3 2 2 2 2 3" xfId="4032" xr:uid="{00000000-0005-0000-0000-000094120000}"/>
    <cellStyle name="20% - Accent3 2 3 3 2 2 2 3" xfId="3255" xr:uid="{00000000-0005-0000-0000-000095120000}"/>
    <cellStyle name="20% - Accent3 2 3 3 2 2 2 3 2" xfId="26786" xr:uid="{00000000-0005-0000-0000-000096120000}"/>
    <cellStyle name="20% - Accent3 2 3 3 2 2 2 4" xfId="7300" xr:uid="{00000000-0005-0000-0000-000097120000}"/>
    <cellStyle name="20% - Accent3 2 3 3 2 2 3" xfId="8820" xr:uid="{00000000-0005-0000-0000-000098120000}"/>
    <cellStyle name="20% - Accent3 2 3 3 2 2 3 2" xfId="3043" xr:uid="{00000000-0005-0000-0000-000099120000}"/>
    <cellStyle name="20% - Accent3 2 3 3 2 2 3 2 2" xfId="17614" xr:uid="{00000000-0005-0000-0000-00009A120000}"/>
    <cellStyle name="20% - Accent3 2 3 3 2 2 3 3" xfId="5218" xr:uid="{00000000-0005-0000-0000-00009B120000}"/>
    <cellStyle name="20% - Accent3 2 3 3 2 2 4" xfId="6263" xr:uid="{00000000-0005-0000-0000-00009C120000}"/>
    <cellStyle name="20% - Accent3 2 3 3 2 2 4 2" xfId="7343" xr:uid="{00000000-0005-0000-0000-00009D120000}"/>
    <cellStyle name="20% - Accent3 2 3 3 2 2 5" xfId="7349" xr:uid="{00000000-0005-0000-0000-00009E120000}"/>
    <cellStyle name="20% - Accent3 2 3 3 2 3" xfId="7962" xr:uid="{00000000-0005-0000-0000-00009F120000}"/>
    <cellStyle name="20% - Accent3 2 3 3 2 3 2" xfId="11036" xr:uid="{00000000-0005-0000-0000-0000A0120000}"/>
    <cellStyle name="20% - Accent3 2 3 3 2 3 2 2" xfId="7352" xr:uid="{00000000-0005-0000-0000-0000A1120000}"/>
    <cellStyle name="20% - Accent3 2 3 3 2 3 2 2 2" xfId="4502" xr:uid="{00000000-0005-0000-0000-0000A2120000}"/>
    <cellStyle name="20% - Accent3 2 3 3 2 3 2 3" xfId="17119" xr:uid="{00000000-0005-0000-0000-0000A3120000}"/>
    <cellStyle name="20% - Accent3 2 3 3 2 3 3" xfId="6270" xr:uid="{00000000-0005-0000-0000-0000A4120000}"/>
    <cellStyle name="20% - Accent3 2 3 3 2 3 3 2" xfId="7356" xr:uid="{00000000-0005-0000-0000-0000A5120000}"/>
    <cellStyle name="20% - Accent3 2 3 3 2 3 4" xfId="7364" xr:uid="{00000000-0005-0000-0000-0000A6120000}"/>
    <cellStyle name="20% - Accent3 2 3 3 2 4" xfId="9301" xr:uid="{00000000-0005-0000-0000-0000A7120000}"/>
    <cellStyle name="20% - Accent3 2 3 3 2 4 2" xfId="8843" xr:uid="{00000000-0005-0000-0000-0000A8120000}"/>
    <cellStyle name="20% - Accent3 2 3 3 2 4 2 2" xfId="7367" xr:uid="{00000000-0005-0000-0000-0000A9120000}"/>
    <cellStyle name="20% - Accent3 2 3 3 2 4 3" xfId="7371" xr:uid="{00000000-0005-0000-0000-0000AA120000}"/>
    <cellStyle name="20% - Accent3 2 3 3 2 5" xfId="20327" xr:uid="{00000000-0005-0000-0000-0000AB120000}"/>
    <cellStyle name="20% - Accent3 2 3 3 2 5 2" xfId="23466" xr:uid="{00000000-0005-0000-0000-0000AC120000}"/>
    <cellStyle name="20% - Accent3 2 3 3 2 6" xfId="7386" xr:uid="{00000000-0005-0000-0000-0000AD120000}"/>
    <cellStyle name="20% - Accent3 2 3 3 3" xfId="7387" xr:uid="{00000000-0005-0000-0000-0000AE120000}"/>
    <cellStyle name="20% - Accent3 2 3 3 3 2" xfId="6281" xr:uid="{00000000-0005-0000-0000-0000AF120000}"/>
    <cellStyle name="20% - Accent3 2 3 3 3 2 2" xfId="21958" xr:uid="{00000000-0005-0000-0000-0000B0120000}"/>
    <cellStyle name="20% - Accent3 2 3 3 3 2 2 2" xfId="17471" xr:uid="{00000000-0005-0000-0000-0000B1120000}"/>
    <cellStyle name="20% - Accent3 2 3 3 3 2 2 2 2" xfId="367" xr:uid="{00000000-0005-0000-0000-0000B2120000}"/>
    <cellStyle name="20% - Accent3 2 3 3 3 2 2 3" xfId="5386" xr:uid="{00000000-0005-0000-0000-0000B3120000}"/>
    <cellStyle name="20% - Accent3 2 3 3 3 2 3" xfId="8291" xr:uid="{00000000-0005-0000-0000-0000B4120000}"/>
    <cellStyle name="20% - Accent3 2 3 3 3 2 3 2" xfId="7391" xr:uid="{00000000-0005-0000-0000-0000B5120000}"/>
    <cellStyle name="20% - Accent3 2 3 3 3 2 4" xfId="18249" xr:uid="{00000000-0005-0000-0000-0000B6120000}"/>
    <cellStyle name="20% - Accent3 2 3 3 3 3" xfId="31721" xr:uid="{00000000-0005-0000-0000-0000B7120000}"/>
    <cellStyle name="20% - Accent3 2 3 3 3 3 2" xfId="4634" xr:uid="{00000000-0005-0000-0000-0000B8120000}"/>
    <cellStyle name="20% - Accent3 2 3 3 3 3 2 2" xfId="7402" xr:uid="{00000000-0005-0000-0000-0000B9120000}"/>
    <cellStyle name="20% - Accent3 2 3 3 3 3 3" xfId="586" xr:uid="{00000000-0005-0000-0000-0000BA120000}"/>
    <cellStyle name="20% - Accent3 2 3 3 3 4" xfId="20346" xr:uid="{00000000-0005-0000-0000-0000BB120000}"/>
    <cellStyle name="20% - Accent3 2 3 3 3 4 2" xfId="4766" xr:uid="{00000000-0005-0000-0000-0000BC120000}"/>
    <cellStyle name="20% - Accent3 2 3 3 3 5" xfId="7405" xr:uid="{00000000-0005-0000-0000-0000BD120000}"/>
    <cellStyle name="20% - Accent3 2 3 3 4" xfId="1304" xr:uid="{00000000-0005-0000-0000-0000BE120000}"/>
    <cellStyle name="20% - Accent3 2 3 3 4 2" xfId="9331" xr:uid="{00000000-0005-0000-0000-0000BF120000}"/>
    <cellStyle name="20% - Accent3 2 3 3 4 2 2" xfId="6793" xr:uid="{00000000-0005-0000-0000-0000C0120000}"/>
    <cellStyle name="20% - Accent3 2 3 3 4 2 2 2" xfId="7408" xr:uid="{00000000-0005-0000-0000-0000C1120000}"/>
    <cellStyle name="20% - Accent3 2 3 3 4 2 3" xfId="7409" xr:uid="{00000000-0005-0000-0000-0000C2120000}"/>
    <cellStyle name="20% - Accent3 2 3 3 4 3" xfId="9333" xr:uid="{00000000-0005-0000-0000-0000C3120000}"/>
    <cellStyle name="20% - Accent3 2 3 3 4 3 2" xfId="3525" xr:uid="{00000000-0005-0000-0000-0000C4120000}"/>
    <cellStyle name="20% - Accent3 2 3 3 4 4" xfId="7410" xr:uid="{00000000-0005-0000-0000-0000C5120000}"/>
    <cellStyle name="20% - Accent3 2 3 3 5" xfId="16870" xr:uid="{00000000-0005-0000-0000-0000C6120000}"/>
    <cellStyle name="20% - Accent3 2 3 3 5 2" xfId="9337" xr:uid="{00000000-0005-0000-0000-0000C7120000}"/>
    <cellStyle name="20% - Accent3 2 3 3 5 2 2" xfId="7414" xr:uid="{00000000-0005-0000-0000-0000C8120000}"/>
    <cellStyle name="20% - Accent3 2 3 3 5 3" xfId="7416" xr:uid="{00000000-0005-0000-0000-0000C9120000}"/>
    <cellStyle name="20% - Accent3 2 3 3 6" xfId="7417" xr:uid="{00000000-0005-0000-0000-0000CA120000}"/>
    <cellStyle name="20% - Accent3 2 3 3 6 2" xfId="2113" xr:uid="{00000000-0005-0000-0000-0000CB120000}"/>
    <cellStyle name="20% - Accent3 2 3 3 7" xfId="7424" xr:uid="{00000000-0005-0000-0000-0000CC120000}"/>
    <cellStyle name="20% - Accent3 2 3 4" xfId="7426" xr:uid="{00000000-0005-0000-0000-0000CD120000}"/>
    <cellStyle name="20% - Accent3 2 3 4 2" xfId="4433" xr:uid="{00000000-0005-0000-0000-0000CE120000}"/>
    <cellStyle name="20% - Accent3 2 3 4 2 2" xfId="6434" xr:uid="{00000000-0005-0000-0000-0000CF120000}"/>
    <cellStyle name="20% - Accent3 2 3 4 2 2 2" xfId="21993" xr:uid="{00000000-0005-0000-0000-0000D0120000}"/>
    <cellStyle name="20% - Accent3 2 3 4 2 2 2 2" xfId="11328" xr:uid="{00000000-0005-0000-0000-0000D1120000}"/>
    <cellStyle name="20% - Accent3 2 3 4 2 2 2 2 2" xfId="61" xr:uid="{00000000-0005-0000-0000-0000D2120000}"/>
    <cellStyle name="20% - Accent3 2 3 4 2 2 2 3" xfId="6419" xr:uid="{00000000-0005-0000-0000-0000D3120000}"/>
    <cellStyle name="20% - Accent3 2 3 4 2 2 3" xfId="9053" xr:uid="{00000000-0005-0000-0000-0000D4120000}"/>
    <cellStyle name="20% - Accent3 2 3 4 2 2 3 2" xfId="6437" xr:uid="{00000000-0005-0000-0000-0000D5120000}"/>
    <cellStyle name="20% - Accent3 2 3 4 2 2 4" xfId="9059" xr:uid="{00000000-0005-0000-0000-0000D6120000}"/>
    <cellStyle name="20% - Accent3 2 3 4 2 3" xfId="25950" xr:uid="{00000000-0005-0000-0000-0000D7120000}"/>
    <cellStyle name="20% - Accent3 2 3 4 2 3 2" xfId="6442" xr:uid="{00000000-0005-0000-0000-0000D8120000}"/>
    <cellStyle name="20% - Accent3 2 3 4 2 3 2 2" xfId="5948" xr:uid="{00000000-0005-0000-0000-0000D9120000}"/>
    <cellStyle name="20% - Accent3 2 3 4 2 3 3" xfId="9070" xr:uid="{00000000-0005-0000-0000-0000DA120000}"/>
    <cellStyle name="20% - Accent3 2 3 4 2 4" xfId="2362" xr:uid="{00000000-0005-0000-0000-0000DB120000}"/>
    <cellStyle name="20% - Accent3 2 3 4 2 4 2" xfId="8996" xr:uid="{00000000-0005-0000-0000-0000DC120000}"/>
    <cellStyle name="20% - Accent3 2 3 4 2 5" xfId="3334" xr:uid="{00000000-0005-0000-0000-0000DD120000}"/>
    <cellStyle name="20% - Accent3 2 3 4 3" xfId="20912" xr:uid="{00000000-0005-0000-0000-0000DE120000}"/>
    <cellStyle name="20% - Accent3 2 3 4 3 2" xfId="32780" xr:uid="{00000000-0005-0000-0000-0000DF120000}"/>
    <cellStyle name="20% - Accent3 2 3 4 3 2 2" xfId="4888" xr:uid="{00000000-0005-0000-0000-0000E0120000}"/>
    <cellStyle name="20% - Accent3 2 3 4 3 2 2 2" xfId="9928" xr:uid="{00000000-0005-0000-0000-0000E1120000}"/>
    <cellStyle name="20% - Accent3 2 3 4 3 2 3" xfId="7438" xr:uid="{00000000-0005-0000-0000-0000E2120000}"/>
    <cellStyle name="20% - Accent3 2 3 4 3 3" xfId="9362" xr:uid="{00000000-0005-0000-0000-0000E3120000}"/>
    <cellStyle name="20% - Accent3 2 3 4 3 3 2" xfId="3586" xr:uid="{00000000-0005-0000-0000-0000E4120000}"/>
    <cellStyle name="20% - Accent3 2 3 4 3 4" xfId="751" xr:uid="{00000000-0005-0000-0000-0000E5120000}"/>
    <cellStyle name="20% - Accent3 2 3 4 4" xfId="7442" xr:uid="{00000000-0005-0000-0000-0000E6120000}"/>
    <cellStyle name="20% - Accent3 2 3 4 4 2" xfId="9365" xr:uid="{00000000-0005-0000-0000-0000E7120000}"/>
    <cellStyle name="20% - Accent3 2 3 4 4 2 2" xfId="7945" xr:uid="{00000000-0005-0000-0000-0000E8120000}"/>
    <cellStyle name="20% - Accent3 2 3 4 4 3" xfId="2864" xr:uid="{00000000-0005-0000-0000-0000E9120000}"/>
    <cellStyle name="20% - Accent3 2 3 4 5" xfId="2706" xr:uid="{00000000-0005-0000-0000-0000EA120000}"/>
    <cellStyle name="20% - Accent3 2 3 4 5 2" xfId="2713" xr:uid="{00000000-0005-0000-0000-0000EB120000}"/>
    <cellStyle name="20% - Accent3 2 3 4 6" xfId="2734" xr:uid="{00000000-0005-0000-0000-0000EC120000}"/>
    <cellStyle name="20% - Accent3 2 3 5" xfId="30647" xr:uid="{00000000-0005-0000-0000-0000ED120000}"/>
    <cellStyle name="20% - Accent3 2 3 5 2" xfId="7447" xr:uid="{00000000-0005-0000-0000-0000EE120000}"/>
    <cellStyle name="20% - Accent3 2 3 5 2 2" xfId="33489" xr:uid="{00000000-0005-0000-0000-0000EF120000}"/>
    <cellStyle name="20% - Accent3 2 3 5 2 2 2" xfId="12577" xr:uid="{00000000-0005-0000-0000-0000F0120000}"/>
    <cellStyle name="20% - Accent3 2 3 5 2 2 2 2" xfId="10776" xr:uid="{00000000-0005-0000-0000-0000F1120000}"/>
    <cellStyle name="20% - Accent3 2 3 5 2 2 3" xfId="12585" xr:uid="{00000000-0005-0000-0000-0000F2120000}"/>
    <cellStyle name="20% - Accent3 2 3 5 2 3" xfId="3040" xr:uid="{00000000-0005-0000-0000-0000F3120000}"/>
    <cellStyle name="20% - Accent3 2 3 5 2 3 2" xfId="12610" xr:uid="{00000000-0005-0000-0000-0000F4120000}"/>
    <cellStyle name="20% - Accent3 2 3 5 2 4" xfId="16464" xr:uid="{00000000-0005-0000-0000-0000F5120000}"/>
    <cellStyle name="20% - Accent3 2 3 5 3" xfId="7449" xr:uid="{00000000-0005-0000-0000-0000F6120000}"/>
    <cellStyle name="20% - Accent3 2 3 5 3 2" xfId="23426" xr:uid="{00000000-0005-0000-0000-0000F7120000}"/>
    <cellStyle name="20% - Accent3 2 3 5 3 2 2" xfId="7451" xr:uid="{00000000-0005-0000-0000-0000F8120000}"/>
    <cellStyle name="20% - Accent3 2 3 5 3 3" xfId="3066" xr:uid="{00000000-0005-0000-0000-0000F9120000}"/>
    <cellStyle name="20% - Accent3 2 3 5 4" xfId="30624" xr:uid="{00000000-0005-0000-0000-0000FA120000}"/>
    <cellStyle name="20% - Accent3 2 3 5 4 2" xfId="7455" xr:uid="{00000000-0005-0000-0000-0000FB120000}"/>
    <cellStyle name="20% - Accent3 2 3 5 5" xfId="22370" xr:uid="{00000000-0005-0000-0000-0000FC120000}"/>
    <cellStyle name="20% - Accent3 2 3 6" xfId="6973" xr:uid="{00000000-0005-0000-0000-0000FD120000}"/>
    <cellStyle name="20% - Accent3 2 3 6 2" xfId="7459" xr:uid="{00000000-0005-0000-0000-0000FE120000}"/>
    <cellStyle name="20% - Accent3 2 3 6 2 2" xfId="20394" xr:uid="{00000000-0005-0000-0000-0000FF120000}"/>
    <cellStyle name="20% - Accent3 2 3 6 2 2 2" xfId="17547" xr:uid="{00000000-0005-0000-0000-000000130000}"/>
    <cellStyle name="20% - Accent3 2 3 6 2 3" xfId="5577" xr:uid="{00000000-0005-0000-0000-000001130000}"/>
    <cellStyle name="20% - Accent3 2 3 6 3" xfId="8712" xr:uid="{00000000-0005-0000-0000-000002130000}"/>
    <cellStyle name="20% - Accent3 2 3 6 3 2" xfId="13003" xr:uid="{00000000-0005-0000-0000-000003130000}"/>
    <cellStyle name="20% - Accent3 2 3 6 4" xfId="13080" xr:uid="{00000000-0005-0000-0000-000004130000}"/>
    <cellStyle name="20% - Accent3 2 3 7" xfId="6977" xr:uid="{00000000-0005-0000-0000-000005130000}"/>
    <cellStyle name="20% - Accent3 2 3 7 2" xfId="8220" xr:uid="{00000000-0005-0000-0000-000006130000}"/>
    <cellStyle name="20% - Accent3 2 3 7 2 2" xfId="13502" xr:uid="{00000000-0005-0000-0000-000007130000}"/>
    <cellStyle name="20% - Accent3 2 3 7 3" xfId="7481" xr:uid="{00000000-0005-0000-0000-000008130000}"/>
    <cellStyle name="20% - Accent3 2 3 8" xfId="24868" xr:uid="{00000000-0005-0000-0000-000009130000}"/>
    <cellStyle name="20% - Accent3 2 3 8 2" xfId="7490" xr:uid="{00000000-0005-0000-0000-00000A130000}"/>
    <cellStyle name="20% - Accent3 2 3 9" xfId="17120" xr:uid="{00000000-0005-0000-0000-00000B130000}"/>
    <cellStyle name="20% - Accent3 2 4" xfId="10629" xr:uid="{00000000-0005-0000-0000-00000C130000}"/>
    <cellStyle name="20% - Accent3 2 4 2" xfId="5490" xr:uid="{00000000-0005-0000-0000-00000D130000}"/>
    <cellStyle name="20% - Accent3 2 4 2 2" xfId="24997" xr:uid="{00000000-0005-0000-0000-00000E130000}"/>
    <cellStyle name="20% - Accent3 2 4 2 2 2" xfId="1611" xr:uid="{00000000-0005-0000-0000-00000F130000}"/>
    <cellStyle name="20% - Accent3 2 4 2 2 2 2" xfId="9937" xr:uid="{00000000-0005-0000-0000-000010130000}"/>
    <cellStyle name="20% - Accent3 2 4 2 2 2 2 2" xfId="10662" xr:uid="{00000000-0005-0000-0000-000011130000}"/>
    <cellStyle name="20% - Accent3 2 4 2 2 2 2 2 2" xfId="7497" xr:uid="{00000000-0005-0000-0000-000012130000}"/>
    <cellStyle name="20% - Accent3 2 4 2 2 2 2 2 2 2" xfId="4330" xr:uid="{00000000-0005-0000-0000-000013130000}"/>
    <cellStyle name="20% - Accent3 2 4 2 2 2 2 2 3" xfId="7501" xr:uid="{00000000-0005-0000-0000-000014130000}"/>
    <cellStyle name="20% - Accent3 2 4 2 2 2 2 3" xfId="13122" xr:uid="{00000000-0005-0000-0000-000015130000}"/>
    <cellStyle name="20% - Accent3 2 4 2 2 2 2 3 2" xfId="7495" xr:uid="{00000000-0005-0000-0000-000016130000}"/>
    <cellStyle name="20% - Accent3 2 4 2 2 2 2 4" xfId="16044" xr:uid="{00000000-0005-0000-0000-000017130000}"/>
    <cellStyle name="20% - Accent3 2 4 2 2 2 3" xfId="6853" xr:uid="{00000000-0005-0000-0000-000018130000}"/>
    <cellStyle name="20% - Accent3 2 4 2 2 2 3 2" xfId="7510" xr:uid="{00000000-0005-0000-0000-000019130000}"/>
    <cellStyle name="20% - Accent3 2 4 2 2 2 3 2 2" xfId="11011" xr:uid="{00000000-0005-0000-0000-00001A130000}"/>
    <cellStyle name="20% - Accent3 2 4 2 2 2 3 3" xfId="7511" xr:uid="{00000000-0005-0000-0000-00001B130000}"/>
    <cellStyle name="20% - Accent3 2 4 2 2 2 4" xfId="7514" xr:uid="{00000000-0005-0000-0000-00001C130000}"/>
    <cellStyle name="20% - Accent3 2 4 2 2 2 4 2" xfId="616" xr:uid="{00000000-0005-0000-0000-00001D130000}"/>
    <cellStyle name="20% - Accent3 2 4 2 2 2 5" xfId="7519" xr:uid="{00000000-0005-0000-0000-00001E130000}"/>
    <cellStyle name="20% - Accent3 2 4 2 2 3" xfId="1566" xr:uid="{00000000-0005-0000-0000-00001F130000}"/>
    <cellStyle name="20% - Accent3 2 4 2 2 3 2" xfId="7523" xr:uid="{00000000-0005-0000-0000-000020130000}"/>
    <cellStyle name="20% - Accent3 2 4 2 2 3 2 2" xfId="7528" xr:uid="{00000000-0005-0000-0000-000021130000}"/>
    <cellStyle name="20% - Accent3 2 4 2 2 3 2 2 2" xfId="7531" xr:uid="{00000000-0005-0000-0000-000022130000}"/>
    <cellStyle name="20% - Accent3 2 4 2 2 3 2 3" xfId="13144" xr:uid="{00000000-0005-0000-0000-000023130000}"/>
    <cellStyle name="20% - Accent3 2 4 2 2 3 3" xfId="7532" xr:uid="{00000000-0005-0000-0000-000024130000}"/>
    <cellStyle name="20% - Accent3 2 4 2 2 3 3 2" xfId="7534" xr:uid="{00000000-0005-0000-0000-000025130000}"/>
    <cellStyle name="20% - Accent3 2 4 2 2 3 4" xfId="7535" xr:uid="{00000000-0005-0000-0000-000026130000}"/>
    <cellStyle name="20% - Accent3 2 4 2 2 4" xfId="7538" xr:uid="{00000000-0005-0000-0000-000027130000}"/>
    <cellStyle name="20% - Accent3 2 4 2 2 4 2" xfId="10706" xr:uid="{00000000-0005-0000-0000-000028130000}"/>
    <cellStyle name="20% - Accent3 2 4 2 2 4 2 2" xfId="7555" xr:uid="{00000000-0005-0000-0000-000029130000}"/>
    <cellStyle name="20% - Accent3 2 4 2 2 4 3" xfId="7556" xr:uid="{00000000-0005-0000-0000-00002A130000}"/>
    <cellStyle name="20% - Accent3 2 4 2 2 5" xfId="7572" xr:uid="{00000000-0005-0000-0000-00002B130000}"/>
    <cellStyle name="20% - Accent3 2 4 2 2 5 2" xfId="22793" xr:uid="{00000000-0005-0000-0000-00002C130000}"/>
    <cellStyle name="20% - Accent3 2 4 2 2 6" xfId="5396" xr:uid="{00000000-0005-0000-0000-00002D130000}"/>
    <cellStyle name="20% - Accent3 2 4 2 3" xfId="29504" xr:uid="{00000000-0005-0000-0000-00002E130000}"/>
    <cellStyle name="20% - Accent3 2 4 2 3 2" xfId="1005" xr:uid="{00000000-0005-0000-0000-00002F130000}"/>
    <cellStyle name="20% - Accent3 2 4 2 3 2 2" xfId="5622" xr:uid="{00000000-0005-0000-0000-000030130000}"/>
    <cellStyle name="20% - Accent3 2 4 2 3 2 2 2" xfId="7589" xr:uid="{00000000-0005-0000-0000-000031130000}"/>
    <cellStyle name="20% - Accent3 2 4 2 3 2 2 2 2" xfId="2190" xr:uid="{00000000-0005-0000-0000-000032130000}"/>
    <cellStyle name="20% - Accent3 2 4 2 3 2 2 3" xfId="19609" xr:uid="{00000000-0005-0000-0000-000033130000}"/>
    <cellStyle name="20% - Accent3 2 4 2 3 2 3" xfId="13628" xr:uid="{00000000-0005-0000-0000-000034130000}"/>
    <cellStyle name="20% - Accent3 2 4 2 3 2 3 2" xfId="7592" xr:uid="{00000000-0005-0000-0000-000035130000}"/>
    <cellStyle name="20% - Accent3 2 4 2 3 2 4" xfId="27567" xr:uid="{00000000-0005-0000-0000-000036130000}"/>
    <cellStyle name="20% - Accent3 2 4 2 3 3" xfId="7596" xr:uid="{00000000-0005-0000-0000-000037130000}"/>
    <cellStyle name="20% - Accent3 2 4 2 3 3 2" xfId="5641" xr:uid="{00000000-0005-0000-0000-000038130000}"/>
    <cellStyle name="20% - Accent3 2 4 2 3 3 2 2" xfId="7598" xr:uid="{00000000-0005-0000-0000-000039130000}"/>
    <cellStyle name="20% - Accent3 2 4 2 3 3 3" xfId="7599" xr:uid="{00000000-0005-0000-0000-00003A130000}"/>
    <cellStyle name="20% - Accent3 2 4 2 3 4" xfId="7601" xr:uid="{00000000-0005-0000-0000-00003B130000}"/>
    <cellStyle name="20% - Accent3 2 4 2 3 4 2" xfId="9049" xr:uid="{00000000-0005-0000-0000-00003C130000}"/>
    <cellStyle name="20% - Accent3 2 4 2 3 5" xfId="7612" xr:uid="{00000000-0005-0000-0000-00003D130000}"/>
    <cellStyle name="20% - Accent3 2 4 2 4" xfId="3526" xr:uid="{00000000-0005-0000-0000-00003E130000}"/>
    <cellStyle name="20% - Accent3 2 4 2 4 2" xfId="7617" xr:uid="{00000000-0005-0000-0000-00003F130000}"/>
    <cellStyle name="20% - Accent3 2 4 2 4 2 2" xfId="799" xr:uid="{00000000-0005-0000-0000-000040130000}"/>
    <cellStyle name="20% - Accent3 2 4 2 4 2 2 2" xfId="7624" xr:uid="{00000000-0005-0000-0000-000041130000}"/>
    <cellStyle name="20% - Accent3 2 4 2 4 2 3" xfId="356" xr:uid="{00000000-0005-0000-0000-000042130000}"/>
    <cellStyle name="20% - Accent3 2 4 2 4 3" xfId="7834" xr:uid="{00000000-0005-0000-0000-000043130000}"/>
    <cellStyle name="20% - Accent3 2 4 2 4 3 2" xfId="538" xr:uid="{00000000-0005-0000-0000-000044130000}"/>
    <cellStyle name="20% - Accent3 2 4 2 4 4" xfId="5421" xr:uid="{00000000-0005-0000-0000-000045130000}"/>
    <cellStyle name="20% - Accent3 2 4 2 5" xfId="7626" xr:uid="{00000000-0005-0000-0000-000046130000}"/>
    <cellStyle name="20% - Accent3 2 4 2 5 2" xfId="6206" xr:uid="{00000000-0005-0000-0000-000047130000}"/>
    <cellStyle name="20% - Accent3 2 4 2 5 2 2" xfId="1539" xr:uid="{00000000-0005-0000-0000-000048130000}"/>
    <cellStyle name="20% - Accent3 2 4 2 5 3" xfId="4217" xr:uid="{00000000-0005-0000-0000-000049130000}"/>
    <cellStyle name="20% - Accent3 2 4 2 6" xfId="7627" xr:uid="{00000000-0005-0000-0000-00004A130000}"/>
    <cellStyle name="20% - Accent3 2 4 2 6 2" xfId="7631" xr:uid="{00000000-0005-0000-0000-00004B130000}"/>
    <cellStyle name="20% - Accent3 2 4 2 7" xfId="7640" xr:uid="{00000000-0005-0000-0000-00004C130000}"/>
    <cellStyle name="20% - Accent3 2 4 3" xfId="5479" xr:uid="{00000000-0005-0000-0000-00004D130000}"/>
    <cellStyle name="20% - Accent3 2 4 3 2" xfId="7642" xr:uid="{00000000-0005-0000-0000-00004E130000}"/>
    <cellStyle name="20% - Accent3 2 4 3 2 2" xfId="4875" xr:uid="{00000000-0005-0000-0000-00004F130000}"/>
    <cellStyle name="20% - Accent3 2 4 3 2 2 2" xfId="19709" xr:uid="{00000000-0005-0000-0000-000050130000}"/>
    <cellStyle name="20% - Accent3 2 4 3 2 2 2 2" xfId="5374" xr:uid="{00000000-0005-0000-0000-000051130000}"/>
    <cellStyle name="20% - Accent3 2 4 3 2 2 2 2 2" xfId="7419" xr:uid="{00000000-0005-0000-0000-000052130000}"/>
    <cellStyle name="20% - Accent3 2 4 3 2 2 2 3" xfId="11867" xr:uid="{00000000-0005-0000-0000-000053130000}"/>
    <cellStyle name="20% - Accent3 2 4 3 2 2 3" xfId="7645" xr:uid="{00000000-0005-0000-0000-000054130000}"/>
    <cellStyle name="20% - Accent3 2 4 3 2 2 3 2" xfId="1892" xr:uid="{00000000-0005-0000-0000-000055130000}"/>
    <cellStyle name="20% - Accent3 2 4 3 2 2 4" xfId="12308" xr:uid="{00000000-0005-0000-0000-000056130000}"/>
    <cellStyle name="20% - Accent3 2 4 3 2 3" xfId="18818" xr:uid="{00000000-0005-0000-0000-000057130000}"/>
    <cellStyle name="20% - Accent3 2 4 3 2 3 2" xfId="17441" xr:uid="{00000000-0005-0000-0000-000058130000}"/>
    <cellStyle name="20% - Accent3 2 4 3 2 3 2 2" xfId="4188" xr:uid="{00000000-0005-0000-0000-000059130000}"/>
    <cellStyle name="20% - Accent3 2 4 3 2 3 3" xfId="12318" xr:uid="{00000000-0005-0000-0000-00005A130000}"/>
    <cellStyle name="20% - Accent3 2 4 3 2 4" xfId="9434" xr:uid="{00000000-0005-0000-0000-00005B130000}"/>
    <cellStyle name="20% - Accent3 2 4 3 2 4 2" xfId="13567" xr:uid="{00000000-0005-0000-0000-00005C130000}"/>
    <cellStyle name="20% - Accent3 2 4 3 2 5" xfId="7667" xr:uid="{00000000-0005-0000-0000-00005D130000}"/>
    <cellStyle name="20% - Accent3 2 4 3 3" xfId="7679" xr:uid="{00000000-0005-0000-0000-00005E130000}"/>
    <cellStyle name="20% - Accent3 2 4 3 3 2" xfId="23183" xr:uid="{00000000-0005-0000-0000-00005F130000}"/>
    <cellStyle name="20% - Accent3 2 4 3 3 2 2" xfId="12066" xr:uid="{00000000-0005-0000-0000-000060130000}"/>
    <cellStyle name="20% - Accent3 2 4 3 3 2 2 2" xfId="2814" xr:uid="{00000000-0005-0000-0000-000061130000}"/>
    <cellStyle name="20% - Accent3 2 4 3 3 2 3" xfId="12075" xr:uid="{00000000-0005-0000-0000-000062130000}"/>
    <cellStyle name="20% - Accent3 2 4 3 3 3" xfId="12980" xr:uid="{00000000-0005-0000-0000-000063130000}"/>
    <cellStyle name="20% - Accent3 2 4 3 3 3 2" xfId="7280" xr:uid="{00000000-0005-0000-0000-000064130000}"/>
    <cellStyle name="20% - Accent3 2 4 3 3 4" xfId="7693" xr:uid="{00000000-0005-0000-0000-000065130000}"/>
    <cellStyle name="20% - Accent3 2 4 3 4" xfId="7704" xr:uid="{00000000-0005-0000-0000-000066130000}"/>
    <cellStyle name="20% - Accent3 2 4 3 4 2" xfId="7707" xr:uid="{00000000-0005-0000-0000-000067130000}"/>
    <cellStyle name="20% - Accent3 2 4 3 4 2 2" xfId="12078" xr:uid="{00000000-0005-0000-0000-000068130000}"/>
    <cellStyle name="20% - Accent3 2 4 3 4 3" xfId="294" xr:uid="{00000000-0005-0000-0000-000069130000}"/>
    <cellStyle name="20% - Accent3 2 4 3 5" xfId="7715" xr:uid="{00000000-0005-0000-0000-00006A130000}"/>
    <cellStyle name="20% - Accent3 2 4 3 5 2" xfId="7716" xr:uid="{00000000-0005-0000-0000-00006B130000}"/>
    <cellStyle name="20% - Accent3 2 4 3 6" xfId="7724" xr:uid="{00000000-0005-0000-0000-00006C130000}"/>
    <cellStyle name="20% - Accent3 2 4 4" xfId="7726" xr:uid="{00000000-0005-0000-0000-00006D130000}"/>
    <cellStyle name="20% - Accent3 2 4 4 2" xfId="5466" xr:uid="{00000000-0005-0000-0000-00006E130000}"/>
    <cellStyle name="20% - Accent3 2 4 4 2 2" xfId="28699" xr:uid="{00000000-0005-0000-0000-00006F130000}"/>
    <cellStyle name="20% - Accent3 2 4 4 2 2 2" xfId="13729" xr:uid="{00000000-0005-0000-0000-000070130000}"/>
    <cellStyle name="20% - Accent3 2 4 4 2 2 2 2" xfId="5684" xr:uid="{00000000-0005-0000-0000-000071130000}"/>
    <cellStyle name="20% - Accent3 2 4 4 2 2 3" xfId="9292" xr:uid="{00000000-0005-0000-0000-000072130000}"/>
    <cellStyle name="20% - Accent3 2 4 4 2 3" xfId="9471" xr:uid="{00000000-0005-0000-0000-000073130000}"/>
    <cellStyle name="20% - Accent3 2 4 4 2 3 2" xfId="13739" xr:uid="{00000000-0005-0000-0000-000074130000}"/>
    <cellStyle name="20% - Accent3 2 4 4 2 4" xfId="5526" xr:uid="{00000000-0005-0000-0000-000075130000}"/>
    <cellStyle name="20% - Accent3 2 4 4 3" xfId="7744" xr:uid="{00000000-0005-0000-0000-000076130000}"/>
    <cellStyle name="20% - Accent3 2 4 4 3 2" xfId="7746" xr:uid="{00000000-0005-0000-0000-000077130000}"/>
    <cellStyle name="20% - Accent3 2 4 4 3 2 2" xfId="12087" xr:uid="{00000000-0005-0000-0000-000078130000}"/>
    <cellStyle name="20% - Accent3 2 4 4 3 3" xfId="3720" xr:uid="{00000000-0005-0000-0000-000079130000}"/>
    <cellStyle name="20% - Accent3 2 4 4 4" xfId="7759" xr:uid="{00000000-0005-0000-0000-00007A130000}"/>
    <cellStyle name="20% - Accent3 2 4 4 4 2" xfId="7765" xr:uid="{00000000-0005-0000-0000-00007B130000}"/>
    <cellStyle name="20% - Accent3 2 4 4 5" xfId="2791" xr:uid="{00000000-0005-0000-0000-00007C130000}"/>
    <cellStyle name="20% - Accent3 2 4 5" xfId="14253" xr:uid="{00000000-0005-0000-0000-00007D130000}"/>
    <cellStyle name="20% - Accent3 2 4 5 2" xfId="14262" xr:uid="{00000000-0005-0000-0000-00007E130000}"/>
    <cellStyle name="20% - Accent3 2 4 5 2 2" xfId="31341" xr:uid="{00000000-0005-0000-0000-00007F130000}"/>
    <cellStyle name="20% - Accent3 2 4 5 2 2 2" xfId="13790" xr:uid="{00000000-0005-0000-0000-000080130000}"/>
    <cellStyle name="20% - Accent3 2 4 5 2 3" xfId="3731" xr:uid="{00000000-0005-0000-0000-000081130000}"/>
    <cellStyle name="20% - Accent3 2 4 5 3" xfId="18793" xr:uid="{00000000-0005-0000-0000-000082130000}"/>
    <cellStyle name="20% - Accent3 2 4 5 3 2" xfId="7786" xr:uid="{00000000-0005-0000-0000-000083130000}"/>
    <cellStyle name="20% - Accent3 2 4 5 4" xfId="29353" xr:uid="{00000000-0005-0000-0000-000084130000}"/>
    <cellStyle name="20% - Accent3 2 4 6" xfId="14272" xr:uid="{00000000-0005-0000-0000-000085130000}"/>
    <cellStyle name="20% - Accent3 2 4 6 2" xfId="14275" xr:uid="{00000000-0005-0000-0000-000086130000}"/>
    <cellStyle name="20% - Accent3 2 4 6 2 2" xfId="7800" xr:uid="{00000000-0005-0000-0000-000087130000}"/>
    <cellStyle name="20% - Accent3 2 4 6 3" xfId="8536" xr:uid="{00000000-0005-0000-0000-000088130000}"/>
    <cellStyle name="20% - Accent3 2 4 7" xfId="7804" xr:uid="{00000000-0005-0000-0000-000089130000}"/>
    <cellStyle name="20% - Accent3 2 4 7 2" xfId="7811" xr:uid="{00000000-0005-0000-0000-00008A130000}"/>
    <cellStyle name="20% - Accent3 2 4 8" xfId="4259" xr:uid="{00000000-0005-0000-0000-00008B130000}"/>
    <cellStyle name="20% - Accent3 2 5" xfId="4210" xr:uid="{00000000-0005-0000-0000-00008C130000}"/>
    <cellStyle name="20% - Accent3 2 5 2" xfId="7816" xr:uid="{00000000-0005-0000-0000-00008D130000}"/>
    <cellStyle name="20% - Accent3 2 5 2 2" xfId="19974" xr:uid="{00000000-0005-0000-0000-00008E130000}"/>
    <cellStyle name="20% - Accent3 2 5 2 2 2" xfId="10778" xr:uid="{00000000-0005-0000-0000-00008F130000}"/>
    <cellStyle name="20% - Accent3 2 5 2 2 2 2" xfId="7818" xr:uid="{00000000-0005-0000-0000-000090130000}"/>
    <cellStyle name="20% - Accent3 2 5 2 2 2 2 2" xfId="5584" xr:uid="{00000000-0005-0000-0000-000091130000}"/>
    <cellStyle name="20% - Accent3 2 5 2 2 2 2 2 2" xfId="5551" xr:uid="{00000000-0005-0000-0000-000092130000}"/>
    <cellStyle name="20% - Accent3 2 5 2 2 2 2 3" xfId="5379" xr:uid="{00000000-0005-0000-0000-000093130000}"/>
    <cellStyle name="20% - Accent3 2 5 2 2 2 3" xfId="7821" xr:uid="{00000000-0005-0000-0000-000094130000}"/>
    <cellStyle name="20% - Accent3 2 5 2 2 2 3 2" xfId="5389" xr:uid="{00000000-0005-0000-0000-000095130000}"/>
    <cellStyle name="20% - Accent3 2 5 2 2 2 4" xfId="17633" xr:uid="{00000000-0005-0000-0000-000096130000}"/>
    <cellStyle name="20% - Accent3 2 5 2 2 3" xfId="5393" xr:uid="{00000000-0005-0000-0000-000097130000}"/>
    <cellStyle name="20% - Accent3 2 5 2 2 3 2" xfId="7824" xr:uid="{00000000-0005-0000-0000-000098130000}"/>
    <cellStyle name="20% - Accent3 2 5 2 2 3 2 2" xfId="2805" xr:uid="{00000000-0005-0000-0000-000099130000}"/>
    <cellStyle name="20% - Accent3 2 5 2 2 3 3" xfId="7828" xr:uid="{00000000-0005-0000-0000-00009A130000}"/>
    <cellStyle name="20% - Accent3 2 5 2 2 4" xfId="5692" xr:uid="{00000000-0005-0000-0000-00009B130000}"/>
    <cellStyle name="20% - Accent3 2 5 2 2 4 2" xfId="7830" xr:uid="{00000000-0005-0000-0000-00009C130000}"/>
    <cellStyle name="20% - Accent3 2 5 2 2 5" xfId="5698" xr:uid="{00000000-0005-0000-0000-00009D130000}"/>
    <cellStyle name="20% - Accent3 2 5 2 3" xfId="5226" xr:uid="{00000000-0005-0000-0000-00009E130000}"/>
    <cellStyle name="20% - Accent3 2 5 2 3 2" xfId="5407" xr:uid="{00000000-0005-0000-0000-00009F130000}"/>
    <cellStyle name="20% - Accent3 2 5 2 3 2 2" xfId="6176" xr:uid="{00000000-0005-0000-0000-0000A0130000}"/>
    <cellStyle name="20% - Accent3 2 5 2 3 2 2 2" xfId="5408" xr:uid="{00000000-0005-0000-0000-0000A1130000}"/>
    <cellStyle name="20% - Accent3 2 5 2 3 2 3" xfId="7842" xr:uid="{00000000-0005-0000-0000-0000A2130000}"/>
    <cellStyle name="20% - Accent3 2 5 2 3 3" xfId="5409" xr:uid="{00000000-0005-0000-0000-0000A3130000}"/>
    <cellStyle name="20% - Accent3 2 5 2 3 3 2" xfId="7844" xr:uid="{00000000-0005-0000-0000-0000A4130000}"/>
    <cellStyle name="20% - Accent3 2 5 2 3 4" xfId="7845" xr:uid="{00000000-0005-0000-0000-0000A5130000}"/>
    <cellStyle name="20% - Accent3 2 5 2 4" xfId="5222" xr:uid="{00000000-0005-0000-0000-0000A6130000}"/>
    <cellStyle name="20% - Accent3 2 5 2 4 2" xfId="10561" xr:uid="{00000000-0005-0000-0000-0000A7130000}"/>
    <cellStyle name="20% - Accent3 2 5 2 4 2 2" xfId="2928" xr:uid="{00000000-0005-0000-0000-0000A8130000}"/>
    <cellStyle name="20% - Accent3 2 5 2 4 3" xfId="5419" xr:uid="{00000000-0005-0000-0000-0000A9130000}"/>
    <cellStyle name="20% - Accent3 2 5 2 5" xfId="3420" xr:uid="{00000000-0005-0000-0000-0000AA130000}"/>
    <cellStyle name="20% - Accent3 2 5 2 5 2" xfId="5431" xr:uid="{00000000-0005-0000-0000-0000AB130000}"/>
    <cellStyle name="20% - Accent3 2 5 2 6" xfId="7849" xr:uid="{00000000-0005-0000-0000-0000AC130000}"/>
    <cellStyle name="20% - Accent3 2 5 3" xfId="2435" xr:uid="{00000000-0005-0000-0000-0000AD130000}"/>
    <cellStyle name="20% - Accent3 2 5 3 2" xfId="5256" xr:uid="{00000000-0005-0000-0000-0000AE130000}"/>
    <cellStyle name="20% - Accent3 2 5 3 2 2" xfId="16427" xr:uid="{00000000-0005-0000-0000-0000AF130000}"/>
    <cellStyle name="20% - Accent3 2 5 3 2 2 2" xfId="13905" xr:uid="{00000000-0005-0000-0000-0000B0130000}"/>
    <cellStyle name="20% - Accent3 2 5 3 2 2 2 2" xfId="5478" xr:uid="{00000000-0005-0000-0000-0000B1130000}"/>
    <cellStyle name="20% - Accent3 2 5 3 2 2 3" xfId="16434" xr:uid="{00000000-0005-0000-0000-0000B2130000}"/>
    <cellStyle name="20% - Accent3 2 5 3 2 3" xfId="16435" xr:uid="{00000000-0005-0000-0000-0000B3130000}"/>
    <cellStyle name="20% - Accent3 2 5 3 2 3 2" xfId="13909" xr:uid="{00000000-0005-0000-0000-0000B4130000}"/>
    <cellStyle name="20% - Accent3 2 5 3 2 4" xfId="7862" xr:uid="{00000000-0005-0000-0000-0000B5130000}"/>
    <cellStyle name="20% - Accent3 2 5 3 3" xfId="5263" xr:uid="{00000000-0005-0000-0000-0000B6130000}"/>
    <cellStyle name="20% - Accent3 2 5 3 3 2" xfId="16507" xr:uid="{00000000-0005-0000-0000-0000B7130000}"/>
    <cellStyle name="20% - Accent3 2 5 3 3 2 2" xfId="16510" xr:uid="{00000000-0005-0000-0000-0000B8130000}"/>
    <cellStyle name="20% - Accent3 2 5 3 3 3" xfId="16513" xr:uid="{00000000-0005-0000-0000-0000B9130000}"/>
    <cellStyle name="20% - Accent3 2 5 3 4" xfId="29555" xr:uid="{00000000-0005-0000-0000-0000BA130000}"/>
    <cellStyle name="20% - Accent3 2 5 3 4 2" xfId="16550" xr:uid="{00000000-0005-0000-0000-0000BB130000}"/>
    <cellStyle name="20% - Accent3 2 5 3 5" xfId="7872" xr:uid="{00000000-0005-0000-0000-0000BC130000}"/>
    <cellStyle name="20% - Accent3 2 5 4" xfId="7874" xr:uid="{00000000-0005-0000-0000-0000BD130000}"/>
    <cellStyle name="20% - Accent3 2 5 4 2" xfId="14763" xr:uid="{00000000-0005-0000-0000-0000BE130000}"/>
    <cellStyle name="20% - Accent3 2 5 4 2 2" xfId="12231" xr:uid="{00000000-0005-0000-0000-0000BF130000}"/>
    <cellStyle name="20% - Accent3 2 5 4 2 2 2" xfId="20793" xr:uid="{00000000-0005-0000-0000-0000C0130000}"/>
    <cellStyle name="20% - Accent3 2 5 4 2 3" xfId="13437" xr:uid="{00000000-0005-0000-0000-0000C1130000}"/>
    <cellStyle name="20% - Accent3 2 5 4 3" xfId="13031" xr:uid="{00000000-0005-0000-0000-0000C2130000}"/>
    <cellStyle name="20% - Accent3 2 5 4 3 2" xfId="13441" xr:uid="{00000000-0005-0000-0000-0000C3130000}"/>
    <cellStyle name="20% - Accent3 2 5 4 4" xfId="15998" xr:uid="{00000000-0005-0000-0000-0000C4130000}"/>
    <cellStyle name="20% - Accent3 2 5 5" xfId="7882" xr:uid="{00000000-0005-0000-0000-0000C5130000}"/>
    <cellStyle name="20% - Accent3 2 5 5 2" xfId="5311" xr:uid="{00000000-0005-0000-0000-0000C6130000}"/>
    <cellStyle name="20% - Accent3 2 5 5 2 2" xfId="13447" xr:uid="{00000000-0005-0000-0000-0000C7130000}"/>
    <cellStyle name="20% - Accent3 2 5 5 3" xfId="16012" xr:uid="{00000000-0005-0000-0000-0000C8130000}"/>
    <cellStyle name="20% - Accent3 2 5 6" xfId="7895" xr:uid="{00000000-0005-0000-0000-0000C9130000}"/>
    <cellStyle name="20% - Accent3 2 5 6 2" xfId="16017" xr:uid="{00000000-0005-0000-0000-0000CA130000}"/>
    <cellStyle name="20% - Accent3 2 5 7" xfId="2087" xr:uid="{00000000-0005-0000-0000-0000CB130000}"/>
    <cellStyle name="20% - Accent3 2 6" xfId="7902" xr:uid="{00000000-0005-0000-0000-0000CC130000}"/>
    <cellStyle name="20% - Accent3 2 6 2" xfId="13552" xr:uid="{00000000-0005-0000-0000-0000CD130000}"/>
    <cellStyle name="20% - Accent3 2 6 2 2" xfId="7539" xr:uid="{00000000-0005-0000-0000-0000CE130000}"/>
    <cellStyle name="20% - Accent3 2 6 2 2 2" xfId="12477" xr:uid="{00000000-0005-0000-0000-0000CF130000}"/>
    <cellStyle name="20% - Accent3 2 6 2 2 2 2" xfId="5765" xr:uid="{00000000-0005-0000-0000-0000D0130000}"/>
    <cellStyle name="20% - Accent3 2 6 2 2 2 2 2" xfId="18614" xr:uid="{00000000-0005-0000-0000-0000D1130000}"/>
    <cellStyle name="20% - Accent3 2 6 2 2 2 3" xfId="7904" xr:uid="{00000000-0005-0000-0000-0000D2130000}"/>
    <cellStyle name="20% - Accent3 2 6 2 2 3" xfId="7561" xr:uid="{00000000-0005-0000-0000-0000D3130000}"/>
    <cellStyle name="20% - Accent3 2 6 2 2 3 2" xfId="7909" xr:uid="{00000000-0005-0000-0000-0000D4130000}"/>
    <cellStyle name="20% - Accent3 2 6 2 2 4" xfId="7915" xr:uid="{00000000-0005-0000-0000-0000D5130000}"/>
    <cellStyle name="20% - Accent3 2 6 2 3" xfId="7573" xr:uid="{00000000-0005-0000-0000-0000D6130000}"/>
    <cellStyle name="20% - Accent3 2 6 2 3 2" xfId="7583" xr:uid="{00000000-0005-0000-0000-0000D7130000}"/>
    <cellStyle name="20% - Accent3 2 6 2 3 2 2" xfId="7922" xr:uid="{00000000-0005-0000-0000-0000D8130000}"/>
    <cellStyle name="20% - Accent3 2 6 2 3 3" xfId="7924" xr:uid="{00000000-0005-0000-0000-0000D9130000}"/>
    <cellStyle name="20% - Accent3 2 6 2 4" xfId="5394" xr:uid="{00000000-0005-0000-0000-0000DA130000}"/>
    <cellStyle name="20% - Accent3 2 6 2 4 2" xfId="7930" xr:uid="{00000000-0005-0000-0000-0000DB130000}"/>
    <cellStyle name="20% - Accent3 2 6 2 5" xfId="7933" xr:uid="{00000000-0005-0000-0000-0000DC130000}"/>
    <cellStyle name="20% - Accent3 2 6 3" xfId="14341" xr:uid="{00000000-0005-0000-0000-0000DD130000}"/>
    <cellStyle name="20% - Accent3 2 6 3 2" xfId="7602" xr:uid="{00000000-0005-0000-0000-0000DE130000}"/>
    <cellStyle name="20% - Accent3 2 6 3 2 2" xfId="9520" xr:uid="{00000000-0005-0000-0000-0000DF130000}"/>
    <cellStyle name="20% - Accent3 2 6 3 2 2 2" xfId="14050" xr:uid="{00000000-0005-0000-0000-0000E0130000}"/>
    <cellStyle name="20% - Accent3 2 6 3 2 3" xfId="9066" xr:uid="{00000000-0005-0000-0000-0000E1130000}"/>
    <cellStyle name="20% - Accent3 2 6 3 3" xfId="7614" xr:uid="{00000000-0005-0000-0000-0000E2130000}"/>
    <cellStyle name="20% - Accent3 2 6 3 3 2" xfId="9101" xr:uid="{00000000-0005-0000-0000-0000E3130000}"/>
    <cellStyle name="20% - Accent3 2 6 3 4" xfId="6061" xr:uid="{00000000-0005-0000-0000-0000E4130000}"/>
    <cellStyle name="20% - Accent3 2 6 4" xfId="9933" xr:uid="{00000000-0005-0000-0000-0000E5130000}"/>
    <cellStyle name="20% - Accent3 2 6 4 2" xfId="13044" xr:uid="{00000000-0005-0000-0000-0000E6130000}"/>
    <cellStyle name="20% - Accent3 2 6 4 2 2" xfId="12205" xr:uid="{00000000-0005-0000-0000-0000E7130000}"/>
    <cellStyle name="20% - Accent3 2 6 4 3" xfId="15453" xr:uid="{00000000-0005-0000-0000-0000E8130000}"/>
    <cellStyle name="20% - Accent3 2 6 5" xfId="7937" xr:uid="{00000000-0005-0000-0000-0000E9130000}"/>
    <cellStyle name="20% - Accent3 2 6 5 2" xfId="16048" xr:uid="{00000000-0005-0000-0000-0000EA130000}"/>
    <cellStyle name="20% - Accent3 2 6 6" xfId="7944" xr:uid="{00000000-0005-0000-0000-0000EB130000}"/>
    <cellStyle name="20% - Accent3 2 7" xfId="8983" xr:uid="{00000000-0005-0000-0000-0000EC130000}"/>
    <cellStyle name="20% - Accent3 2 7 2" xfId="14345" xr:uid="{00000000-0005-0000-0000-0000ED130000}"/>
    <cellStyle name="20% - Accent3 2 7 2 2" xfId="5485" xr:uid="{00000000-0005-0000-0000-0000EE130000}"/>
    <cellStyle name="20% - Accent3 2 7 2 2 2" xfId="14174" xr:uid="{00000000-0005-0000-0000-0000EF130000}"/>
    <cellStyle name="20% - Accent3 2 7 2 2 2 2" xfId="7949" xr:uid="{00000000-0005-0000-0000-0000F0130000}"/>
    <cellStyle name="20% - Accent3 2 7 2 2 3" xfId="5833" xr:uid="{00000000-0005-0000-0000-0000F1130000}"/>
    <cellStyle name="20% - Accent3 2 7 2 3" xfId="7671" xr:uid="{00000000-0005-0000-0000-0000F2130000}"/>
    <cellStyle name="20% - Accent3 2 7 2 3 2" xfId="14540" xr:uid="{00000000-0005-0000-0000-0000F3130000}"/>
    <cellStyle name="20% - Accent3 2 7 2 4" xfId="7956" xr:uid="{00000000-0005-0000-0000-0000F4130000}"/>
    <cellStyle name="20% - Accent3 2 7 3" xfId="7957" xr:uid="{00000000-0005-0000-0000-0000F5130000}"/>
    <cellStyle name="20% - Accent3 2 7 3 2" xfId="7695" xr:uid="{00000000-0005-0000-0000-0000F6130000}"/>
    <cellStyle name="20% - Accent3 2 7 3 2 2" xfId="7959" xr:uid="{00000000-0005-0000-0000-0000F7130000}"/>
    <cellStyle name="20% - Accent3 2 7 3 3" xfId="7963" xr:uid="{00000000-0005-0000-0000-0000F8130000}"/>
    <cellStyle name="20% - Accent3 2 7 4" xfId="7964" xr:uid="{00000000-0005-0000-0000-0000F9130000}"/>
    <cellStyle name="20% - Accent3 2 7 4 2" xfId="7967" xr:uid="{00000000-0005-0000-0000-0000FA130000}"/>
    <cellStyle name="20% - Accent3 2 7 5" xfId="21068" xr:uid="{00000000-0005-0000-0000-0000FB130000}"/>
    <cellStyle name="20% - Accent3 2 8" xfId="4588" xr:uid="{00000000-0005-0000-0000-0000FC130000}"/>
    <cellStyle name="20% - Accent3 2 8 2" xfId="7977" xr:uid="{00000000-0005-0000-0000-0000FD130000}"/>
    <cellStyle name="20% - Accent3 2 8 2 2" xfId="5524" xr:uid="{00000000-0005-0000-0000-0000FE130000}"/>
    <cellStyle name="20% - Accent3 2 8 2 2 2" xfId="7979" xr:uid="{00000000-0005-0000-0000-0000FF130000}"/>
    <cellStyle name="20% - Accent3 2 8 2 3" xfId="4006" xr:uid="{00000000-0005-0000-0000-000000140000}"/>
    <cellStyle name="20% - Accent3 2 8 3" xfId="7986" xr:uid="{00000000-0005-0000-0000-000001140000}"/>
    <cellStyle name="20% - Accent3 2 8 3 2" xfId="7988" xr:uid="{00000000-0005-0000-0000-000002140000}"/>
    <cellStyle name="20% - Accent3 2 8 4" xfId="7989" xr:uid="{00000000-0005-0000-0000-000003140000}"/>
    <cellStyle name="20% - Accent3 2 9" xfId="7990" xr:uid="{00000000-0005-0000-0000-000004140000}"/>
    <cellStyle name="20% - Accent3 2 9 2" xfId="10467" xr:uid="{00000000-0005-0000-0000-000005140000}"/>
    <cellStyle name="20% - Accent3 2 9 2 2" xfId="4812" xr:uid="{00000000-0005-0000-0000-000006140000}"/>
    <cellStyle name="20% - Accent3 2 9 3" xfId="28005" xr:uid="{00000000-0005-0000-0000-000007140000}"/>
    <cellStyle name="20% - Accent3 3" xfId="7553" xr:uid="{00000000-0005-0000-0000-000008140000}"/>
    <cellStyle name="20% - Accent3 3 10" xfId="5916" xr:uid="{00000000-0005-0000-0000-000009140000}"/>
    <cellStyle name="20% - Accent3 3 2" xfId="1411" xr:uid="{00000000-0005-0000-0000-00000A140000}"/>
    <cellStyle name="20% - Accent3 3 2 2" xfId="1415" xr:uid="{00000000-0005-0000-0000-00000B140000}"/>
    <cellStyle name="20% - Accent3 3 2 2 2" xfId="2211" xr:uid="{00000000-0005-0000-0000-00000C140000}"/>
    <cellStyle name="20% - Accent3 3 2 2 2 2" xfId="15119" xr:uid="{00000000-0005-0000-0000-00000D140000}"/>
    <cellStyle name="20% - Accent3 3 2 2 2 2 2" xfId="14650" xr:uid="{00000000-0005-0000-0000-00000E140000}"/>
    <cellStyle name="20% - Accent3 3 2 2 2 2 2 2" xfId="7995" xr:uid="{00000000-0005-0000-0000-00000F140000}"/>
    <cellStyle name="20% - Accent3 3 2 2 2 2 2 2 2" xfId="4944" xr:uid="{00000000-0005-0000-0000-000010140000}"/>
    <cellStyle name="20% - Accent3 3 2 2 2 2 2 2 2 2" xfId="7996" xr:uid="{00000000-0005-0000-0000-000011140000}"/>
    <cellStyle name="20% - Accent3 3 2 2 2 2 2 2 2 2 2" xfId="8000" xr:uid="{00000000-0005-0000-0000-000012140000}"/>
    <cellStyle name="20% - Accent3 3 2 2 2 2 2 2 2 3" xfId="8001" xr:uid="{00000000-0005-0000-0000-000013140000}"/>
    <cellStyle name="20% - Accent3 3 2 2 2 2 2 2 3" xfId="38" xr:uid="{00000000-0005-0000-0000-000014140000}"/>
    <cellStyle name="20% - Accent3 3 2 2 2 2 2 2 3 2" xfId="8004" xr:uid="{00000000-0005-0000-0000-000015140000}"/>
    <cellStyle name="20% - Accent3 3 2 2 2 2 2 2 4" xfId="3825" xr:uid="{00000000-0005-0000-0000-000016140000}"/>
    <cellStyle name="20% - Accent3 3 2 2 2 2 2 3" xfId="600" xr:uid="{00000000-0005-0000-0000-000017140000}"/>
    <cellStyle name="20% - Accent3 3 2 2 2 2 2 3 2" xfId="15463" xr:uid="{00000000-0005-0000-0000-000018140000}"/>
    <cellStyle name="20% - Accent3 3 2 2 2 2 2 3 2 2" xfId="29479" xr:uid="{00000000-0005-0000-0000-000019140000}"/>
    <cellStyle name="20% - Accent3 3 2 2 2 2 2 3 3" xfId="18774" xr:uid="{00000000-0005-0000-0000-00001A140000}"/>
    <cellStyle name="20% - Accent3 3 2 2 2 2 2 4" xfId="4244" xr:uid="{00000000-0005-0000-0000-00001B140000}"/>
    <cellStyle name="20% - Accent3 3 2 2 2 2 2 4 2" xfId="18782" xr:uid="{00000000-0005-0000-0000-00001C140000}"/>
    <cellStyle name="20% - Accent3 3 2 2 2 2 2 5" xfId="8010" xr:uid="{00000000-0005-0000-0000-00001D140000}"/>
    <cellStyle name="20% - Accent3 3 2 2 2 2 3" xfId="13602" xr:uid="{00000000-0005-0000-0000-00001E140000}"/>
    <cellStyle name="20% - Accent3 3 2 2 2 2 3 2" xfId="339" xr:uid="{00000000-0005-0000-0000-00001F140000}"/>
    <cellStyle name="20% - Accent3 3 2 2 2 2 3 2 2" xfId="25012" xr:uid="{00000000-0005-0000-0000-000020140000}"/>
    <cellStyle name="20% - Accent3 3 2 2 2 2 3 2 2 2" xfId="8013" xr:uid="{00000000-0005-0000-0000-000021140000}"/>
    <cellStyle name="20% - Accent3 3 2 2 2 2 3 2 3" xfId="4701" xr:uid="{00000000-0005-0000-0000-000022140000}"/>
    <cellStyle name="20% - Accent3 3 2 2 2 2 3 3" xfId="982" xr:uid="{00000000-0005-0000-0000-000023140000}"/>
    <cellStyle name="20% - Accent3 3 2 2 2 2 3 3 2" xfId="18802" xr:uid="{00000000-0005-0000-0000-000024140000}"/>
    <cellStyle name="20% - Accent3 3 2 2 2 2 3 4" xfId="74" xr:uid="{00000000-0005-0000-0000-000025140000}"/>
    <cellStyle name="20% - Accent3 3 2 2 2 2 4" xfId="8015" xr:uid="{00000000-0005-0000-0000-000026140000}"/>
    <cellStyle name="20% - Accent3 3 2 2 2 2 4 2" xfId="9741" xr:uid="{00000000-0005-0000-0000-000027140000}"/>
    <cellStyle name="20% - Accent3 3 2 2 2 2 4 2 2" xfId="10473" xr:uid="{00000000-0005-0000-0000-000028140000}"/>
    <cellStyle name="20% - Accent3 3 2 2 2 2 4 3" xfId="8091" xr:uid="{00000000-0005-0000-0000-000029140000}"/>
    <cellStyle name="20% - Accent3 3 2 2 2 2 5" xfId="12053" xr:uid="{00000000-0005-0000-0000-00002A140000}"/>
    <cellStyle name="20% - Accent3 3 2 2 2 2 5 2" xfId="10697" xr:uid="{00000000-0005-0000-0000-00002B140000}"/>
    <cellStyle name="20% - Accent3 3 2 2 2 2 6" xfId="9746" xr:uid="{00000000-0005-0000-0000-00002C140000}"/>
    <cellStyle name="20% - Accent3 3 2 2 2 3" xfId="3972" xr:uid="{00000000-0005-0000-0000-00002D140000}"/>
    <cellStyle name="20% - Accent3 3 2 2 2 3 2" xfId="14664" xr:uid="{00000000-0005-0000-0000-00002E140000}"/>
    <cellStyle name="20% - Accent3 3 2 2 2 3 2 2" xfId="1983" xr:uid="{00000000-0005-0000-0000-00002F140000}"/>
    <cellStyle name="20% - Accent3 3 2 2 2 3 2 2 2" xfId="453" xr:uid="{00000000-0005-0000-0000-000030140000}"/>
    <cellStyle name="20% - Accent3 3 2 2 2 3 2 2 2 2" xfId="6265" xr:uid="{00000000-0005-0000-0000-000031140000}"/>
    <cellStyle name="20% - Accent3 3 2 2 2 3 2 2 3" xfId="1266" xr:uid="{00000000-0005-0000-0000-000032140000}"/>
    <cellStyle name="20% - Accent3 3 2 2 2 3 2 3" xfId="7871" xr:uid="{00000000-0005-0000-0000-000033140000}"/>
    <cellStyle name="20% - Accent3 3 2 2 2 3 2 3 2" xfId="18833" xr:uid="{00000000-0005-0000-0000-000034140000}"/>
    <cellStyle name="20% - Accent3 3 2 2 2 3 2 4" xfId="8018" xr:uid="{00000000-0005-0000-0000-000035140000}"/>
    <cellStyle name="20% - Accent3 3 2 2 2 3 3" xfId="4690" xr:uid="{00000000-0005-0000-0000-000036140000}"/>
    <cellStyle name="20% - Accent3 3 2 2 2 3 3 2" xfId="567" xr:uid="{00000000-0005-0000-0000-000037140000}"/>
    <cellStyle name="20% - Accent3 3 2 2 2 3 3 2 2" xfId="4770" xr:uid="{00000000-0005-0000-0000-000038140000}"/>
    <cellStyle name="20% - Accent3 3 2 2 2 3 3 3" xfId="8020" xr:uid="{00000000-0005-0000-0000-000039140000}"/>
    <cellStyle name="20% - Accent3 3 2 2 2 3 4" xfId="9755" xr:uid="{00000000-0005-0000-0000-00003A140000}"/>
    <cellStyle name="20% - Accent3 3 2 2 2 3 4 2" xfId="30182" xr:uid="{00000000-0005-0000-0000-00003B140000}"/>
    <cellStyle name="20% - Accent3 3 2 2 2 3 5" xfId="7484" xr:uid="{00000000-0005-0000-0000-00003C140000}"/>
    <cellStyle name="20% - Accent3 3 2 2 2 4" xfId="25879" xr:uid="{00000000-0005-0000-0000-00003D140000}"/>
    <cellStyle name="20% - Accent3 3 2 2 2 4 2" xfId="29248" xr:uid="{00000000-0005-0000-0000-00003E140000}"/>
    <cellStyle name="20% - Accent3 3 2 2 2 4 2 2" xfId="8026" xr:uid="{00000000-0005-0000-0000-00003F140000}"/>
    <cellStyle name="20% - Accent3 3 2 2 2 4 2 2 2" xfId="837" xr:uid="{00000000-0005-0000-0000-000040140000}"/>
    <cellStyle name="20% - Accent3 3 2 2 2 4 2 3" xfId="8029" xr:uid="{00000000-0005-0000-0000-000041140000}"/>
    <cellStyle name="20% - Accent3 3 2 2 2 4 3" xfId="11740" xr:uid="{00000000-0005-0000-0000-000042140000}"/>
    <cellStyle name="20% - Accent3 3 2 2 2 4 3 2" xfId="8030" xr:uid="{00000000-0005-0000-0000-000043140000}"/>
    <cellStyle name="20% - Accent3 3 2 2 2 4 4" xfId="29252" xr:uid="{00000000-0005-0000-0000-000044140000}"/>
    <cellStyle name="20% - Accent3 3 2 2 2 5" xfId="12357" xr:uid="{00000000-0005-0000-0000-000045140000}"/>
    <cellStyle name="20% - Accent3 3 2 2 2 5 2" xfId="24196" xr:uid="{00000000-0005-0000-0000-000046140000}"/>
    <cellStyle name="20% - Accent3 3 2 2 2 5 2 2" xfId="6151" xr:uid="{00000000-0005-0000-0000-000047140000}"/>
    <cellStyle name="20% - Accent3 3 2 2 2 5 3" xfId="28483" xr:uid="{00000000-0005-0000-0000-000048140000}"/>
    <cellStyle name="20% - Accent3 3 2 2 2 6" xfId="13771" xr:uid="{00000000-0005-0000-0000-000049140000}"/>
    <cellStyle name="20% - Accent3 3 2 2 2 6 2" xfId="24213" xr:uid="{00000000-0005-0000-0000-00004A140000}"/>
    <cellStyle name="20% - Accent3 3 2 2 2 7" xfId="31458" xr:uid="{00000000-0005-0000-0000-00004B140000}"/>
    <cellStyle name="20% - Accent3 3 2 2 3" xfId="2226" xr:uid="{00000000-0005-0000-0000-00004C140000}"/>
    <cellStyle name="20% - Accent3 3 2 2 3 2" xfId="31761" xr:uid="{00000000-0005-0000-0000-00004D140000}"/>
    <cellStyle name="20% - Accent3 3 2 2 3 2 2" xfId="14686" xr:uid="{00000000-0005-0000-0000-00004E140000}"/>
    <cellStyle name="20% - Accent3 3 2 2 3 2 2 2" xfId="2717" xr:uid="{00000000-0005-0000-0000-00004F140000}"/>
    <cellStyle name="20% - Accent3 3 2 2 3 2 2 2 2" xfId="507" xr:uid="{00000000-0005-0000-0000-000050140000}"/>
    <cellStyle name="20% - Accent3 3 2 2 3 2 2 2 2 2" xfId="8042" xr:uid="{00000000-0005-0000-0000-000051140000}"/>
    <cellStyle name="20% - Accent3 3 2 2 3 2 2 2 3" xfId="2204" xr:uid="{00000000-0005-0000-0000-000052140000}"/>
    <cellStyle name="20% - Accent3 3 2 2 3 2 2 3" xfId="7932" xr:uid="{00000000-0005-0000-0000-000053140000}"/>
    <cellStyle name="20% - Accent3 3 2 2 3 2 2 3 2" xfId="18891" xr:uid="{00000000-0005-0000-0000-000054140000}"/>
    <cellStyle name="20% - Accent3 3 2 2 3 2 2 4" xfId="8044" xr:uid="{00000000-0005-0000-0000-000055140000}"/>
    <cellStyle name="20% - Accent3 3 2 2 3 2 3" xfId="7166" xr:uid="{00000000-0005-0000-0000-000056140000}"/>
    <cellStyle name="20% - Accent3 3 2 2 3 2 3 2" xfId="8046" xr:uid="{00000000-0005-0000-0000-000057140000}"/>
    <cellStyle name="20% - Accent3 3 2 2 3 2 3 2 2" xfId="5149" xr:uid="{00000000-0005-0000-0000-000058140000}"/>
    <cellStyle name="20% - Accent3 3 2 2 3 2 3 3" xfId="8048" xr:uid="{00000000-0005-0000-0000-000059140000}"/>
    <cellStyle name="20% - Accent3 3 2 2 3 2 4" xfId="28940" xr:uid="{00000000-0005-0000-0000-00005A140000}"/>
    <cellStyle name="20% - Accent3 3 2 2 3 2 4 2" xfId="8049" xr:uid="{00000000-0005-0000-0000-00005B140000}"/>
    <cellStyle name="20% - Accent3 3 2 2 3 2 5" xfId="29169" xr:uid="{00000000-0005-0000-0000-00005C140000}"/>
    <cellStyle name="20% - Accent3 3 2 2 3 3" xfId="3516" xr:uid="{00000000-0005-0000-0000-00005D140000}"/>
    <cellStyle name="20% - Accent3 3 2 2 3 3 2" xfId="7174" xr:uid="{00000000-0005-0000-0000-00005E140000}"/>
    <cellStyle name="20% - Accent3 3 2 2 3 3 2 2" xfId="8051" xr:uid="{00000000-0005-0000-0000-00005F140000}"/>
    <cellStyle name="20% - Accent3 3 2 2 3 3 2 2 2" xfId="1626" xr:uid="{00000000-0005-0000-0000-000060140000}"/>
    <cellStyle name="20% - Accent3 3 2 2 3 3 2 3" xfId="8054" xr:uid="{00000000-0005-0000-0000-000061140000}"/>
    <cellStyle name="20% - Accent3 3 2 2 3 3 3" xfId="7183" xr:uid="{00000000-0005-0000-0000-000062140000}"/>
    <cellStyle name="20% - Accent3 3 2 2 3 3 3 2" xfId="8055" xr:uid="{00000000-0005-0000-0000-000063140000}"/>
    <cellStyle name="20% - Accent3 3 2 2 3 3 4" xfId="14469" xr:uid="{00000000-0005-0000-0000-000064140000}"/>
    <cellStyle name="20% - Accent3 3 2 2 3 4" xfId="25883" xr:uid="{00000000-0005-0000-0000-000065140000}"/>
    <cellStyle name="20% - Accent3 3 2 2 3 4 2" xfId="8480" xr:uid="{00000000-0005-0000-0000-000066140000}"/>
    <cellStyle name="20% - Accent3 3 2 2 3 4 2 2" xfId="8061" xr:uid="{00000000-0005-0000-0000-000067140000}"/>
    <cellStyle name="20% - Accent3 3 2 2 3 4 3" xfId="8062" xr:uid="{00000000-0005-0000-0000-000068140000}"/>
    <cellStyle name="20% - Accent3 3 2 2 3 5" xfId="12457" xr:uid="{00000000-0005-0000-0000-000069140000}"/>
    <cellStyle name="20% - Accent3 3 2 2 3 5 2" xfId="24228" xr:uid="{00000000-0005-0000-0000-00006A140000}"/>
    <cellStyle name="20% - Accent3 3 2 2 3 6" xfId="33460" xr:uid="{00000000-0005-0000-0000-00006B140000}"/>
    <cellStyle name="20% - Accent3 3 2 2 4" xfId="3544" xr:uid="{00000000-0005-0000-0000-00006C140000}"/>
    <cellStyle name="20% - Accent3 3 2 2 4 2" xfId="9805" xr:uid="{00000000-0005-0000-0000-00006D140000}"/>
    <cellStyle name="20% - Accent3 3 2 2 4 2 2" xfId="8783" xr:uid="{00000000-0005-0000-0000-00006E140000}"/>
    <cellStyle name="20% - Accent3 3 2 2 4 2 2 2" xfId="8070" xr:uid="{00000000-0005-0000-0000-00006F140000}"/>
    <cellStyle name="20% - Accent3 3 2 2 4 2 2 2 2" xfId="804" xr:uid="{00000000-0005-0000-0000-000070140000}"/>
    <cellStyle name="20% - Accent3 3 2 2 4 2 2 3" xfId="8071" xr:uid="{00000000-0005-0000-0000-000071140000}"/>
    <cellStyle name="20% - Accent3 3 2 2 4 2 3" xfId="7188" xr:uid="{00000000-0005-0000-0000-000072140000}"/>
    <cellStyle name="20% - Accent3 3 2 2 4 2 3 2" xfId="19246" xr:uid="{00000000-0005-0000-0000-000073140000}"/>
    <cellStyle name="20% - Accent3 3 2 2 4 2 4" xfId="32006" xr:uid="{00000000-0005-0000-0000-000074140000}"/>
    <cellStyle name="20% - Accent3 3 2 2 4 3" xfId="728" xr:uid="{00000000-0005-0000-0000-000075140000}"/>
    <cellStyle name="20% - Accent3 3 2 2 4 3 2" xfId="8074" xr:uid="{00000000-0005-0000-0000-000076140000}"/>
    <cellStyle name="20% - Accent3 3 2 2 4 3 2 2" xfId="8075" xr:uid="{00000000-0005-0000-0000-000077140000}"/>
    <cellStyle name="20% - Accent3 3 2 2 4 3 3" xfId="5415" xr:uid="{00000000-0005-0000-0000-000078140000}"/>
    <cellStyle name="20% - Accent3 3 2 2 4 4" xfId="25890" xr:uid="{00000000-0005-0000-0000-000079140000}"/>
    <cellStyle name="20% - Accent3 3 2 2 4 4 2" xfId="8077" xr:uid="{00000000-0005-0000-0000-00007A140000}"/>
    <cellStyle name="20% - Accent3 3 2 2 4 5" xfId="8080" xr:uid="{00000000-0005-0000-0000-00007B140000}"/>
    <cellStyle name="20% - Accent3 3 2 2 5" xfId="148" xr:uid="{00000000-0005-0000-0000-00007C140000}"/>
    <cellStyle name="20% - Accent3 3 2 2 5 2" xfId="8087" xr:uid="{00000000-0005-0000-0000-00007D140000}"/>
    <cellStyle name="20% - Accent3 3 2 2 5 2 2" xfId="9680" xr:uid="{00000000-0005-0000-0000-00007E140000}"/>
    <cellStyle name="20% - Accent3 3 2 2 5 2 2 2" xfId="8088" xr:uid="{00000000-0005-0000-0000-00007F140000}"/>
    <cellStyle name="20% - Accent3 3 2 2 5 2 3" xfId="9376" xr:uid="{00000000-0005-0000-0000-000080140000}"/>
    <cellStyle name="20% - Accent3 3 2 2 5 3" xfId="8092" xr:uid="{00000000-0005-0000-0000-000081140000}"/>
    <cellStyle name="20% - Accent3 3 2 2 5 3 2" xfId="9379" xr:uid="{00000000-0005-0000-0000-000082140000}"/>
    <cellStyle name="20% - Accent3 3 2 2 5 4" xfId="10630" xr:uid="{00000000-0005-0000-0000-000083140000}"/>
    <cellStyle name="20% - Accent3 3 2 2 6" xfId="2379" xr:uid="{00000000-0005-0000-0000-000084140000}"/>
    <cellStyle name="20% - Accent3 3 2 2 6 2" xfId="2196" xr:uid="{00000000-0005-0000-0000-000085140000}"/>
    <cellStyle name="20% - Accent3 3 2 2 6 2 2" xfId="13836" xr:uid="{00000000-0005-0000-0000-000086140000}"/>
    <cellStyle name="20% - Accent3 3 2 2 6 3" xfId="2408" xr:uid="{00000000-0005-0000-0000-000087140000}"/>
    <cellStyle name="20% - Accent3 3 2 2 7" xfId="2489" xr:uid="{00000000-0005-0000-0000-000088140000}"/>
    <cellStyle name="20% - Accent3 3 2 2 7 2" xfId="2499" xr:uid="{00000000-0005-0000-0000-000089140000}"/>
    <cellStyle name="20% - Accent3 3 2 2 8" xfId="3196" xr:uid="{00000000-0005-0000-0000-00008A140000}"/>
    <cellStyle name="20% - Accent3 3 2 3" xfId="6337" xr:uid="{00000000-0005-0000-0000-00008B140000}"/>
    <cellStyle name="20% - Accent3 3 2 3 2" xfId="1353" xr:uid="{00000000-0005-0000-0000-00008C140000}"/>
    <cellStyle name="20% - Accent3 3 2 3 2 2" xfId="11239" xr:uid="{00000000-0005-0000-0000-00008D140000}"/>
    <cellStyle name="20% - Accent3 3 2 3 2 2 2" xfId="14722" xr:uid="{00000000-0005-0000-0000-00008E140000}"/>
    <cellStyle name="20% - Accent3 3 2 3 2 2 2 2" xfId="2836" xr:uid="{00000000-0005-0000-0000-00008F140000}"/>
    <cellStyle name="20% - Accent3 3 2 3 2 2 2 2 2" xfId="7865" xr:uid="{00000000-0005-0000-0000-000090140000}"/>
    <cellStyle name="20% - Accent3 3 2 3 2 2 2 2 2 2" xfId="8094" xr:uid="{00000000-0005-0000-0000-000091140000}"/>
    <cellStyle name="20% - Accent3 3 2 3 2 2 2 2 3" xfId="848" xr:uid="{00000000-0005-0000-0000-000092140000}"/>
    <cellStyle name="20% - Accent3 3 2 3 2 2 2 3" xfId="8096" xr:uid="{00000000-0005-0000-0000-000093140000}"/>
    <cellStyle name="20% - Accent3 3 2 3 2 2 2 3 2" xfId="10624" xr:uid="{00000000-0005-0000-0000-000094140000}"/>
    <cellStyle name="20% - Accent3 3 2 3 2 2 2 4" xfId="11985" xr:uid="{00000000-0005-0000-0000-000095140000}"/>
    <cellStyle name="20% - Accent3 3 2 3 2 2 3" xfId="8105" xr:uid="{00000000-0005-0000-0000-000096140000}"/>
    <cellStyle name="20% - Accent3 3 2 3 2 2 3 2" xfId="7038" xr:uid="{00000000-0005-0000-0000-000097140000}"/>
    <cellStyle name="20% - Accent3 3 2 3 2 2 3 2 2" xfId="7951" xr:uid="{00000000-0005-0000-0000-000098140000}"/>
    <cellStyle name="20% - Accent3 3 2 3 2 2 3 3" xfId="1225" xr:uid="{00000000-0005-0000-0000-000099140000}"/>
    <cellStyle name="20% - Accent3 3 2 3 2 2 4" xfId="9784" xr:uid="{00000000-0005-0000-0000-00009A140000}"/>
    <cellStyle name="20% - Accent3 3 2 3 2 2 4 2" xfId="9787" xr:uid="{00000000-0005-0000-0000-00009B140000}"/>
    <cellStyle name="20% - Accent3 3 2 3 2 2 5" xfId="9795" xr:uid="{00000000-0005-0000-0000-00009C140000}"/>
    <cellStyle name="20% - Accent3 3 2 3 2 3" xfId="4672" xr:uid="{00000000-0005-0000-0000-00009D140000}"/>
    <cellStyle name="20% - Accent3 3 2 3 2 3 2" xfId="4763" xr:uid="{00000000-0005-0000-0000-00009E140000}"/>
    <cellStyle name="20% - Accent3 3 2 3 2 3 2 2" xfId="8108" xr:uid="{00000000-0005-0000-0000-00009F140000}"/>
    <cellStyle name="20% - Accent3 3 2 3 2 3 2 2 2" xfId="13366" xr:uid="{00000000-0005-0000-0000-0000A0140000}"/>
    <cellStyle name="20% - Accent3 3 2 3 2 3 2 3" xfId="8111" xr:uid="{00000000-0005-0000-0000-0000A1140000}"/>
    <cellStyle name="20% - Accent3 3 2 3 2 3 3" xfId="8114" xr:uid="{00000000-0005-0000-0000-0000A2140000}"/>
    <cellStyle name="20% - Accent3 3 2 3 2 3 3 2" xfId="2133" xr:uid="{00000000-0005-0000-0000-0000A3140000}"/>
    <cellStyle name="20% - Accent3 3 2 3 2 3 4" xfId="30362" xr:uid="{00000000-0005-0000-0000-0000A4140000}"/>
    <cellStyle name="20% - Accent3 3 2 3 2 4" xfId="25893" xr:uid="{00000000-0005-0000-0000-0000A5140000}"/>
    <cellStyle name="20% - Accent3 3 2 3 2 4 2" xfId="8508" xr:uid="{00000000-0005-0000-0000-0000A6140000}"/>
    <cellStyle name="20% - Accent3 3 2 3 2 4 2 2" xfId="8115" xr:uid="{00000000-0005-0000-0000-0000A7140000}"/>
    <cellStyle name="20% - Accent3 3 2 3 2 4 3" xfId="8119" xr:uid="{00000000-0005-0000-0000-0000A8140000}"/>
    <cellStyle name="20% - Accent3 3 2 3 2 5" xfId="9557" xr:uid="{00000000-0005-0000-0000-0000A9140000}"/>
    <cellStyle name="20% - Accent3 3 2 3 2 5 2" xfId="13281" xr:uid="{00000000-0005-0000-0000-0000AA140000}"/>
    <cellStyle name="20% - Accent3 3 2 3 2 6" xfId="14084" xr:uid="{00000000-0005-0000-0000-0000AB140000}"/>
    <cellStyle name="20% - Accent3 3 2 3 3" xfId="2550" xr:uid="{00000000-0005-0000-0000-0000AC140000}"/>
    <cellStyle name="20% - Accent3 3 2 3 3 2" xfId="3528" xr:uid="{00000000-0005-0000-0000-0000AD140000}"/>
    <cellStyle name="20% - Accent3 3 2 3 3 2 2" xfId="8133" xr:uid="{00000000-0005-0000-0000-0000AE140000}"/>
    <cellStyle name="20% - Accent3 3 2 3 3 2 2 2" xfId="8134" xr:uid="{00000000-0005-0000-0000-0000AF140000}"/>
    <cellStyle name="20% - Accent3 3 2 3 3 2 2 2 2" xfId="598" xr:uid="{00000000-0005-0000-0000-0000B0140000}"/>
    <cellStyle name="20% - Accent3 3 2 3 3 2 2 3" xfId="8136" xr:uid="{00000000-0005-0000-0000-0000B1140000}"/>
    <cellStyle name="20% - Accent3 3 2 3 3 2 3" xfId="7197" xr:uid="{00000000-0005-0000-0000-0000B2140000}"/>
    <cellStyle name="20% - Accent3 3 2 3 3 2 3 2" xfId="7138" xr:uid="{00000000-0005-0000-0000-0000B3140000}"/>
    <cellStyle name="20% - Accent3 3 2 3 3 2 4" xfId="27801" xr:uid="{00000000-0005-0000-0000-0000B4140000}"/>
    <cellStyle name="20% - Accent3 3 2 3 3 3" xfId="19891" xr:uid="{00000000-0005-0000-0000-0000B5140000}"/>
    <cellStyle name="20% - Accent3 3 2 3 3 3 2" xfId="12281" xr:uid="{00000000-0005-0000-0000-0000B6140000}"/>
    <cellStyle name="20% - Accent3 3 2 3 3 3 2 2" xfId="8146" xr:uid="{00000000-0005-0000-0000-0000B7140000}"/>
    <cellStyle name="20% - Accent3 3 2 3 3 3 3" xfId="8148" xr:uid="{00000000-0005-0000-0000-0000B8140000}"/>
    <cellStyle name="20% - Accent3 3 2 3 3 4" xfId="21296" xr:uid="{00000000-0005-0000-0000-0000B9140000}"/>
    <cellStyle name="20% - Accent3 3 2 3 3 4 2" xfId="8149" xr:uid="{00000000-0005-0000-0000-0000BA140000}"/>
    <cellStyle name="20% - Accent3 3 2 3 3 5" xfId="14162" xr:uid="{00000000-0005-0000-0000-0000BB140000}"/>
    <cellStyle name="20% - Accent3 3 2 3 4" xfId="3552" xr:uid="{00000000-0005-0000-0000-0000BC140000}"/>
    <cellStyle name="20% - Accent3 3 2 3 4 2" xfId="22883" xr:uid="{00000000-0005-0000-0000-0000BD140000}"/>
    <cellStyle name="20% - Accent3 3 2 3 4 2 2" xfId="8154" xr:uid="{00000000-0005-0000-0000-0000BE140000}"/>
    <cellStyle name="20% - Accent3 3 2 3 4 2 2 2" xfId="8157" xr:uid="{00000000-0005-0000-0000-0000BF140000}"/>
    <cellStyle name="20% - Accent3 3 2 3 4 2 3" xfId="8161" xr:uid="{00000000-0005-0000-0000-0000C0140000}"/>
    <cellStyle name="20% - Accent3 3 2 3 4 3" xfId="25156" xr:uid="{00000000-0005-0000-0000-0000C1140000}"/>
    <cellStyle name="20% - Accent3 3 2 3 4 3 2" xfId="8167" xr:uid="{00000000-0005-0000-0000-0000C2140000}"/>
    <cellStyle name="20% - Accent3 3 2 3 4 4" xfId="8171" xr:uid="{00000000-0005-0000-0000-0000C3140000}"/>
    <cellStyle name="20% - Accent3 3 2 3 5" xfId="151" xr:uid="{00000000-0005-0000-0000-0000C4140000}"/>
    <cellStyle name="20% - Accent3 3 2 3 5 2" xfId="27494" xr:uid="{00000000-0005-0000-0000-0000C5140000}"/>
    <cellStyle name="20% - Accent3 3 2 3 5 2 2" xfId="30316" xr:uid="{00000000-0005-0000-0000-0000C6140000}"/>
    <cellStyle name="20% - Accent3 3 2 3 5 3" xfId="8176" xr:uid="{00000000-0005-0000-0000-0000C7140000}"/>
    <cellStyle name="20% - Accent3 3 2 3 6" xfId="2611" xr:uid="{00000000-0005-0000-0000-0000C8140000}"/>
    <cellStyle name="20% - Accent3 3 2 3 6 2" xfId="2617" xr:uid="{00000000-0005-0000-0000-0000C9140000}"/>
    <cellStyle name="20% - Accent3 3 2 3 7" xfId="2692" xr:uid="{00000000-0005-0000-0000-0000CA140000}"/>
    <cellStyle name="20% - Accent3 3 2 4" xfId="2555" xr:uid="{00000000-0005-0000-0000-0000CB140000}"/>
    <cellStyle name="20% - Accent3 3 2 4 2" xfId="4609" xr:uid="{00000000-0005-0000-0000-0000CC140000}"/>
    <cellStyle name="20% - Accent3 3 2 4 2 2" xfId="1969" xr:uid="{00000000-0005-0000-0000-0000CD140000}"/>
    <cellStyle name="20% - Accent3 3 2 4 2 2 2" xfId="8182" xr:uid="{00000000-0005-0000-0000-0000CE140000}"/>
    <cellStyle name="20% - Accent3 3 2 4 2 2 2 2" xfId="20708" xr:uid="{00000000-0005-0000-0000-0000CF140000}"/>
    <cellStyle name="20% - Accent3 3 2 4 2 2 2 2 2" xfId="8205" xr:uid="{00000000-0005-0000-0000-0000D0140000}"/>
    <cellStyle name="20% - Accent3 3 2 4 2 2 2 3" xfId="8183" xr:uid="{00000000-0005-0000-0000-0000D1140000}"/>
    <cellStyle name="20% - Accent3 3 2 4 2 2 3" xfId="8187" xr:uid="{00000000-0005-0000-0000-0000D2140000}"/>
    <cellStyle name="20% - Accent3 3 2 4 2 2 3 2" xfId="7401" xr:uid="{00000000-0005-0000-0000-0000D3140000}"/>
    <cellStyle name="20% - Accent3 3 2 4 2 2 4" xfId="8189" xr:uid="{00000000-0005-0000-0000-0000D4140000}"/>
    <cellStyle name="20% - Accent3 3 2 4 2 3" xfId="13244" xr:uid="{00000000-0005-0000-0000-0000D5140000}"/>
    <cellStyle name="20% - Accent3 3 2 4 2 3 2" xfId="8194" xr:uid="{00000000-0005-0000-0000-0000D6140000}"/>
    <cellStyle name="20% - Accent3 3 2 4 2 3 2 2" xfId="20833" xr:uid="{00000000-0005-0000-0000-0000D7140000}"/>
    <cellStyle name="20% - Accent3 3 2 4 2 3 3" xfId="6024" xr:uid="{00000000-0005-0000-0000-0000D8140000}"/>
    <cellStyle name="20% - Accent3 3 2 4 2 4" xfId="25906" xr:uid="{00000000-0005-0000-0000-0000D9140000}"/>
    <cellStyle name="20% - Accent3 3 2 4 2 4 2" xfId="11507" xr:uid="{00000000-0005-0000-0000-0000DA140000}"/>
    <cellStyle name="20% - Accent3 3 2 4 2 5" xfId="8204" xr:uid="{00000000-0005-0000-0000-0000DB140000}"/>
    <cellStyle name="20% - Accent3 3 2 4 3" xfId="8212" xr:uid="{00000000-0005-0000-0000-0000DC140000}"/>
    <cellStyle name="20% - Accent3 3 2 4 3 2" xfId="22911" xr:uid="{00000000-0005-0000-0000-0000DD140000}"/>
    <cellStyle name="20% - Accent3 3 2 4 3 2 2" xfId="8213" xr:uid="{00000000-0005-0000-0000-0000DE140000}"/>
    <cellStyle name="20% - Accent3 3 2 4 3 2 2 2" xfId="8215" xr:uid="{00000000-0005-0000-0000-0000DF140000}"/>
    <cellStyle name="20% - Accent3 3 2 4 3 2 3" xfId="8219" xr:uid="{00000000-0005-0000-0000-0000E0140000}"/>
    <cellStyle name="20% - Accent3 3 2 4 3 3" xfId="25164" xr:uid="{00000000-0005-0000-0000-0000E1140000}"/>
    <cellStyle name="20% - Accent3 3 2 4 3 3 2" xfId="8229" xr:uid="{00000000-0005-0000-0000-0000E2140000}"/>
    <cellStyle name="20% - Accent3 3 2 4 3 4" xfId="8234" xr:uid="{00000000-0005-0000-0000-0000E3140000}"/>
    <cellStyle name="20% - Accent3 3 2 4 4" xfId="8244" xr:uid="{00000000-0005-0000-0000-0000E4140000}"/>
    <cellStyle name="20% - Accent3 3 2 4 4 2" xfId="26868" xr:uid="{00000000-0005-0000-0000-0000E5140000}"/>
    <cellStyle name="20% - Accent3 3 2 4 4 2 2" xfId="18797" xr:uid="{00000000-0005-0000-0000-0000E6140000}"/>
    <cellStyle name="20% - Accent3 3 2 4 4 3" xfId="8246" xr:uid="{00000000-0005-0000-0000-0000E7140000}"/>
    <cellStyle name="20% - Accent3 3 2 4 5" xfId="8248" xr:uid="{00000000-0005-0000-0000-0000E8140000}"/>
    <cellStyle name="20% - Accent3 3 2 4 5 2" xfId="8250" xr:uid="{00000000-0005-0000-0000-0000E9140000}"/>
    <cellStyle name="20% - Accent3 3 2 4 6" xfId="2700" xr:uid="{00000000-0005-0000-0000-0000EA140000}"/>
    <cellStyle name="20% - Accent3 3 2 5" xfId="7" xr:uid="{00000000-0005-0000-0000-0000EB140000}"/>
    <cellStyle name="20% - Accent3 3 2 5 2" xfId="8253" xr:uid="{00000000-0005-0000-0000-0000EC140000}"/>
    <cellStyle name="20% - Accent3 3 2 5 2 2" xfId="9622" xr:uid="{00000000-0005-0000-0000-0000ED140000}"/>
    <cellStyle name="20% - Accent3 3 2 5 2 2 2" xfId="12422" xr:uid="{00000000-0005-0000-0000-0000EE140000}"/>
    <cellStyle name="20% - Accent3 3 2 5 2 2 2 2" xfId="16893" xr:uid="{00000000-0005-0000-0000-0000EF140000}"/>
    <cellStyle name="20% - Accent3 3 2 5 2 2 3" xfId="8307" xr:uid="{00000000-0005-0000-0000-0000F0140000}"/>
    <cellStyle name="20% - Accent3 3 2 5 2 3" xfId="9627" xr:uid="{00000000-0005-0000-0000-0000F1140000}"/>
    <cellStyle name="20% - Accent3 3 2 5 2 3 2" xfId="8259" xr:uid="{00000000-0005-0000-0000-0000F2140000}"/>
    <cellStyle name="20% - Accent3 3 2 5 2 4" xfId="9942" xr:uid="{00000000-0005-0000-0000-0000F3140000}"/>
    <cellStyle name="20% - Accent3 3 2 5 3" xfId="8268" xr:uid="{00000000-0005-0000-0000-0000F4140000}"/>
    <cellStyle name="20% - Accent3 3 2 5 3 2" xfId="19396" xr:uid="{00000000-0005-0000-0000-0000F5140000}"/>
    <cellStyle name="20% - Accent3 3 2 5 3 2 2" xfId="8269" xr:uid="{00000000-0005-0000-0000-0000F6140000}"/>
    <cellStyle name="20% - Accent3 3 2 5 3 3" xfId="4300" xr:uid="{00000000-0005-0000-0000-0000F7140000}"/>
    <cellStyle name="20% - Accent3 3 2 5 4" xfId="8274" xr:uid="{00000000-0005-0000-0000-0000F8140000}"/>
    <cellStyle name="20% - Accent3 3 2 5 4 2" xfId="8280" xr:uid="{00000000-0005-0000-0000-0000F9140000}"/>
    <cellStyle name="20% - Accent3 3 2 5 5" xfId="10111" xr:uid="{00000000-0005-0000-0000-0000FA140000}"/>
    <cellStyle name="20% - Accent3 3 2 6" xfId="8287" xr:uid="{00000000-0005-0000-0000-0000FB140000}"/>
    <cellStyle name="20% - Accent3 3 2 6 2" xfId="45" xr:uid="{00000000-0005-0000-0000-0000FC140000}"/>
    <cellStyle name="20% - Accent3 3 2 6 2 2" xfId="9644" xr:uid="{00000000-0005-0000-0000-0000FD140000}"/>
    <cellStyle name="20% - Accent3 3 2 6 2 2 2" xfId="12479" xr:uid="{00000000-0005-0000-0000-0000FE140000}"/>
    <cellStyle name="20% - Accent3 3 2 6 2 3" xfId="4328" xr:uid="{00000000-0005-0000-0000-0000FF140000}"/>
    <cellStyle name="20% - Accent3 3 2 6 3" xfId="8292" xr:uid="{00000000-0005-0000-0000-000000150000}"/>
    <cellStyle name="20% - Accent3 3 2 6 3 2" xfId="8297" xr:uid="{00000000-0005-0000-0000-000001150000}"/>
    <cellStyle name="20% - Accent3 3 2 6 4" xfId="27183" xr:uid="{00000000-0005-0000-0000-000002150000}"/>
    <cellStyle name="20% - Accent3 3 2 7" xfId="8305" xr:uid="{00000000-0005-0000-0000-000003150000}"/>
    <cellStyle name="20% - Accent3 3 2 7 2" xfId="8306" xr:uid="{00000000-0005-0000-0000-000004150000}"/>
    <cellStyle name="20% - Accent3 3 2 7 2 2" xfId="8312" xr:uid="{00000000-0005-0000-0000-000005150000}"/>
    <cellStyle name="20% - Accent3 3 2 7 3" xfId="8314" xr:uid="{00000000-0005-0000-0000-000006150000}"/>
    <cellStyle name="20% - Accent3 3 2 8" xfId="8319" xr:uid="{00000000-0005-0000-0000-000007150000}"/>
    <cellStyle name="20% - Accent3 3 2 8 2" xfId="5475" xr:uid="{00000000-0005-0000-0000-000008150000}"/>
    <cellStyle name="20% - Accent3 3 2 9" xfId="8321" xr:uid="{00000000-0005-0000-0000-000009150000}"/>
    <cellStyle name="20% - Accent3 3 3" xfId="14596" xr:uid="{00000000-0005-0000-0000-00000A150000}"/>
    <cellStyle name="20% - Accent3 3 3 2" xfId="8135" xr:uid="{00000000-0005-0000-0000-00000B150000}"/>
    <cellStyle name="20% - Accent3 3 3 2 2" xfId="9014" xr:uid="{00000000-0005-0000-0000-00000C150000}"/>
    <cellStyle name="20% - Accent3 3 3 2 2 2" xfId="11252" xr:uid="{00000000-0005-0000-0000-00000D150000}"/>
    <cellStyle name="20% - Accent3 3 3 2 2 2 2" xfId="14834" xr:uid="{00000000-0005-0000-0000-00000E150000}"/>
    <cellStyle name="20% - Accent3 3 3 2 2 2 2 2" xfId="8322" xr:uid="{00000000-0005-0000-0000-00000F150000}"/>
    <cellStyle name="20% - Accent3 3 3 2 2 2 2 2 2" xfId="1867" xr:uid="{00000000-0005-0000-0000-000010150000}"/>
    <cellStyle name="20% - Accent3 3 3 2 2 2 2 2 2 2" xfId="6108" xr:uid="{00000000-0005-0000-0000-000011150000}"/>
    <cellStyle name="20% - Accent3 3 3 2 2 2 2 2 3" xfId="1875" xr:uid="{00000000-0005-0000-0000-000012150000}"/>
    <cellStyle name="20% - Accent3 3 3 2 2 2 2 3" xfId="8325" xr:uid="{00000000-0005-0000-0000-000013150000}"/>
    <cellStyle name="20% - Accent3 3 3 2 2 2 2 3 2" xfId="15625" xr:uid="{00000000-0005-0000-0000-000014150000}"/>
    <cellStyle name="20% - Accent3 3 3 2 2 2 2 4" xfId="8327" xr:uid="{00000000-0005-0000-0000-000015150000}"/>
    <cellStyle name="20% - Accent3 3 3 2 2 2 3" xfId="12187" xr:uid="{00000000-0005-0000-0000-000016150000}"/>
    <cellStyle name="20% - Accent3 3 3 2 2 2 3 2" xfId="7132" xr:uid="{00000000-0005-0000-0000-000017150000}"/>
    <cellStyle name="20% - Accent3 3 3 2 2 2 3 2 2" xfId="11639" xr:uid="{00000000-0005-0000-0000-000018150000}"/>
    <cellStyle name="20% - Accent3 3 3 2 2 2 3 3" xfId="8329" xr:uid="{00000000-0005-0000-0000-000019150000}"/>
    <cellStyle name="20% - Accent3 3 3 2 2 2 4" xfId="22965" xr:uid="{00000000-0005-0000-0000-00001A150000}"/>
    <cellStyle name="20% - Accent3 3 3 2 2 2 4 2" xfId="8331" xr:uid="{00000000-0005-0000-0000-00001B150000}"/>
    <cellStyle name="20% - Accent3 3 3 2 2 2 5" xfId="8809" xr:uid="{00000000-0005-0000-0000-00001C150000}"/>
    <cellStyle name="20% - Accent3 3 3 2 2 3" xfId="5546" xr:uid="{00000000-0005-0000-0000-00001D150000}"/>
    <cellStyle name="20% - Accent3 3 3 2 2 3 2" xfId="14848" xr:uid="{00000000-0005-0000-0000-00001E150000}"/>
    <cellStyle name="20% - Accent3 3 3 2 2 3 2 2" xfId="8334" xr:uid="{00000000-0005-0000-0000-00001F150000}"/>
    <cellStyle name="20% - Accent3 3 3 2 2 3 2 2 2" xfId="30428" xr:uid="{00000000-0005-0000-0000-000020150000}"/>
    <cellStyle name="20% - Accent3 3 3 2 2 3 2 3" xfId="8337" xr:uid="{00000000-0005-0000-0000-000021150000}"/>
    <cellStyle name="20% - Accent3 3 3 2 2 3 3" xfId="5147" xr:uid="{00000000-0005-0000-0000-000022150000}"/>
    <cellStyle name="20% - Accent3 3 3 2 2 3 3 2" xfId="8339" xr:uid="{00000000-0005-0000-0000-000023150000}"/>
    <cellStyle name="20% - Accent3 3 3 2 2 3 4" xfId="8342" xr:uid="{00000000-0005-0000-0000-000024150000}"/>
    <cellStyle name="20% - Accent3 3 3 2 2 4" xfId="26020" xr:uid="{00000000-0005-0000-0000-000025150000}"/>
    <cellStyle name="20% - Accent3 3 3 2 2 4 2" xfId="6267" xr:uid="{00000000-0005-0000-0000-000026150000}"/>
    <cellStyle name="20% - Accent3 3 3 2 2 4 2 2" xfId="8349" xr:uid="{00000000-0005-0000-0000-000027150000}"/>
    <cellStyle name="20% - Accent3 3 3 2 2 4 3" xfId="25424" xr:uid="{00000000-0005-0000-0000-000028150000}"/>
    <cellStyle name="20% - Accent3 3 3 2 2 5" xfId="8160" xr:uid="{00000000-0005-0000-0000-000029150000}"/>
    <cellStyle name="20% - Accent3 3 3 2 2 5 2" xfId="10554" xr:uid="{00000000-0005-0000-0000-00002A150000}"/>
    <cellStyle name="20% - Accent3 3 3 2 2 6" xfId="8353" xr:uid="{00000000-0005-0000-0000-00002B150000}"/>
    <cellStyle name="20% - Accent3 3 3 2 3" xfId="2566" xr:uid="{00000000-0005-0000-0000-00002C150000}"/>
    <cellStyle name="20% - Accent3 3 3 2 3 2" xfId="5556" xr:uid="{00000000-0005-0000-0000-00002D150000}"/>
    <cellStyle name="20% - Accent3 3 3 2 3 2 2" xfId="14887" xr:uid="{00000000-0005-0000-0000-00002E150000}"/>
    <cellStyle name="20% - Accent3 3 3 2 3 2 2 2" xfId="6327" xr:uid="{00000000-0005-0000-0000-00002F150000}"/>
    <cellStyle name="20% - Accent3 3 3 2 3 2 2 2 2" xfId="1920" xr:uid="{00000000-0005-0000-0000-000030150000}"/>
    <cellStyle name="20% - Accent3 3 3 2 3 2 2 3" xfId="8357" xr:uid="{00000000-0005-0000-0000-000031150000}"/>
    <cellStyle name="20% - Accent3 3 3 2 3 2 3" xfId="18542" xr:uid="{00000000-0005-0000-0000-000032150000}"/>
    <cellStyle name="20% - Accent3 3 3 2 3 2 3 2" xfId="8358" xr:uid="{00000000-0005-0000-0000-000033150000}"/>
    <cellStyle name="20% - Accent3 3 3 2 3 2 4" xfId="25697" xr:uid="{00000000-0005-0000-0000-000034150000}"/>
    <cellStyle name="20% - Accent3 3 3 2 3 3" xfId="8359" xr:uid="{00000000-0005-0000-0000-000035150000}"/>
    <cellStyle name="20% - Accent3 3 3 2 3 3 2" xfId="5945" xr:uid="{00000000-0005-0000-0000-000036150000}"/>
    <cellStyle name="20% - Accent3 3 3 2 3 3 2 2" xfId="8361" xr:uid="{00000000-0005-0000-0000-000037150000}"/>
    <cellStyle name="20% - Accent3 3 3 2 3 3 3" xfId="18550" xr:uid="{00000000-0005-0000-0000-000038150000}"/>
    <cellStyle name="20% - Accent3 3 3 2 3 4" xfId="26025" xr:uid="{00000000-0005-0000-0000-000039150000}"/>
    <cellStyle name="20% - Accent3 3 3 2 3 4 2" xfId="7329" xr:uid="{00000000-0005-0000-0000-00003A150000}"/>
    <cellStyle name="20% - Accent3 3 3 2 3 5" xfId="8367" xr:uid="{00000000-0005-0000-0000-00003B150000}"/>
    <cellStyle name="20% - Accent3 3 3 2 4" xfId="3560" xr:uid="{00000000-0005-0000-0000-00003C150000}"/>
    <cellStyle name="20% - Accent3 3 3 2 4 2" xfId="6343" xr:uid="{00000000-0005-0000-0000-00003D150000}"/>
    <cellStyle name="20% - Accent3 3 3 2 4 2 2" xfId="18468" xr:uid="{00000000-0005-0000-0000-00003E150000}"/>
    <cellStyle name="20% - Accent3 3 3 2 4 2 2 2" xfId="8370" xr:uid="{00000000-0005-0000-0000-00003F150000}"/>
    <cellStyle name="20% - Accent3 3 3 2 4 2 3" xfId="18584" xr:uid="{00000000-0005-0000-0000-000040150000}"/>
    <cellStyle name="20% - Accent3 3 3 2 4 3" xfId="7288" xr:uid="{00000000-0005-0000-0000-000041150000}"/>
    <cellStyle name="20% - Accent3 3 3 2 4 3 2" xfId="7412" xr:uid="{00000000-0005-0000-0000-000042150000}"/>
    <cellStyle name="20% - Accent3 3 3 2 4 4" xfId="12559" xr:uid="{00000000-0005-0000-0000-000043150000}"/>
    <cellStyle name="20% - Accent3 3 3 2 5" xfId="8379" xr:uid="{00000000-0005-0000-0000-000044150000}"/>
    <cellStyle name="20% - Accent3 3 3 2 5 2" xfId="6361" xr:uid="{00000000-0005-0000-0000-000045150000}"/>
    <cellStyle name="20% - Accent3 3 3 2 5 2 2" xfId="9481" xr:uid="{00000000-0005-0000-0000-000046150000}"/>
    <cellStyle name="20% - Accent3 3 3 2 5 3" xfId="11590" xr:uid="{00000000-0005-0000-0000-000047150000}"/>
    <cellStyle name="20% - Accent3 3 3 2 6" xfId="1297" xr:uid="{00000000-0005-0000-0000-000048150000}"/>
    <cellStyle name="20% - Accent3 3 3 2 6 2" xfId="3154" xr:uid="{00000000-0005-0000-0000-000049150000}"/>
    <cellStyle name="20% - Accent3 3 3 2 7" xfId="2900" xr:uid="{00000000-0005-0000-0000-00004A150000}"/>
    <cellStyle name="20% - Accent3 3 3 3" xfId="8137" xr:uid="{00000000-0005-0000-0000-00004B150000}"/>
    <cellStyle name="20% - Accent3 3 3 3 2" xfId="2573" xr:uid="{00000000-0005-0000-0000-00004C150000}"/>
    <cellStyle name="20% - Accent3 3 3 3 2 2" xfId="5743" xr:uid="{00000000-0005-0000-0000-00004D150000}"/>
    <cellStyle name="20% - Accent3 3 3 3 2 2 2" xfId="22245" xr:uid="{00000000-0005-0000-0000-00004E150000}"/>
    <cellStyle name="20% - Accent3 3 3 3 2 2 2 2" xfId="8720" xr:uid="{00000000-0005-0000-0000-00004F150000}"/>
    <cellStyle name="20% - Accent3 3 3 3 2 2 2 2 2" xfId="2466" xr:uid="{00000000-0005-0000-0000-000050150000}"/>
    <cellStyle name="20% - Accent3 3 3 3 2 2 2 3" xfId="2463" xr:uid="{00000000-0005-0000-0000-000051150000}"/>
    <cellStyle name="20% - Accent3 3 3 3 2 2 3" xfId="7899" xr:uid="{00000000-0005-0000-0000-000052150000}"/>
    <cellStyle name="20% - Accent3 3 3 3 2 2 3 2" xfId="8138" xr:uid="{00000000-0005-0000-0000-000053150000}"/>
    <cellStyle name="20% - Accent3 3 3 3 2 2 4" xfId="8199" xr:uid="{00000000-0005-0000-0000-000054150000}"/>
    <cellStyle name="20% - Accent3 3 3 3 2 3" xfId="32239" xr:uid="{00000000-0005-0000-0000-000055150000}"/>
    <cellStyle name="20% - Accent3 3 3 3 2 3 2" xfId="7943" xr:uid="{00000000-0005-0000-0000-000056150000}"/>
    <cellStyle name="20% - Accent3 3 3 3 2 3 2 2" xfId="8381" xr:uid="{00000000-0005-0000-0000-000057150000}"/>
    <cellStyle name="20% - Accent3 3 3 3 2 3 3" xfId="7947" xr:uid="{00000000-0005-0000-0000-000058150000}"/>
    <cellStyle name="20% - Accent3 3 3 3 2 4" xfId="26030" xr:uid="{00000000-0005-0000-0000-000059150000}"/>
    <cellStyle name="20% - Accent3 3 3 3 2 4 2" xfId="7972" xr:uid="{00000000-0005-0000-0000-00005A150000}"/>
    <cellStyle name="20% - Accent3 3 3 3 2 5" xfId="13768" xr:uid="{00000000-0005-0000-0000-00005B150000}"/>
    <cellStyle name="20% - Accent3 3 3 3 3" xfId="8384" xr:uid="{00000000-0005-0000-0000-00005C150000}"/>
    <cellStyle name="20% - Accent3 3 3 3 3 2" xfId="22928" xr:uid="{00000000-0005-0000-0000-00005D150000}"/>
    <cellStyle name="20% - Accent3 3 3 3 3 2 2" xfId="7604" xr:uid="{00000000-0005-0000-0000-00005E150000}"/>
    <cellStyle name="20% - Accent3 3 3 3 3 2 2 2" xfId="32957" xr:uid="{00000000-0005-0000-0000-00005F150000}"/>
    <cellStyle name="20% - Accent3 3 3 3 3 2 3" xfId="18649" xr:uid="{00000000-0005-0000-0000-000060150000}"/>
    <cellStyle name="20% - Accent3 3 3 3 3 3" xfId="21440" xr:uid="{00000000-0005-0000-0000-000061150000}"/>
    <cellStyle name="20% - Accent3 3 3 3 3 3 2" xfId="4857" xr:uid="{00000000-0005-0000-0000-000062150000}"/>
    <cellStyle name="20% - Accent3 3 3 3 3 4" xfId="649" xr:uid="{00000000-0005-0000-0000-000063150000}"/>
    <cellStyle name="20% - Accent3 3 3 3 4" xfId="8387" xr:uid="{00000000-0005-0000-0000-000064150000}"/>
    <cellStyle name="20% - Accent3 3 3 3 4 2" xfId="26099" xr:uid="{00000000-0005-0000-0000-000065150000}"/>
    <cellStyle name="20% - Accent3 3 3 3 4 2 2" xfId="7697" xr:uid="{00000000-0005-0000-0000-000066150000}"/>
    <cellStyle name="20% - Accent3 3 3 3 4 3" xfId="11989" xr:uid="{00000000-0005-0000-0000-000067150000}"/>
    <cellStyle name="20% - Accent3 3 3 3 5" xfId="8391" xr:uid="{00000000-0005-0000-0000-000068150000}"/>
    <cellStyle name="20% - Accent3 3 3 3 5 2" xfId="8392" xr:uid="{00000000-0005-0000-0000-000069150000}"/>
    <cellStyle name="20% - Accent3 3 3 3 6" xfId="2969" xr:uid="{00000000-0005-0000-0000-00006A150000}"/>
    <cellStyle name="20% - Accent3 3 3 4" xfId="960" xr:uid="{00000000-0005-0000-0000-00006B150000}"/>
    <cellStyle name="20% - Accent3 3 3 4 2" xfId="33907" xr:uid="{00000000-0005-0000-0000-00006C150000}"/>
    <cellStyle name="20% - Accent3 3 3 4 2 2" xfId="9679" xr:uid="{00000000-0005-0000-0000-00006D150000}"/>
    <cellStyle name="20% - Accent3 3 3 4 2 2 2" xfId="8393" xr:uid="{00000000-0005-0000-0000-00006E150000}"/>
    <cellStyle name="20% - Accent3 3 3 4 2 2 2 2" xfId="23477" xr:uid="{00000000-0005-0000-0000-00006F150000}"/>
    <cellStyle name="20% - Accent3 3 3 4 2 2 3" xfId="9556" xr:uid="{00000000-0005-0000-0000-000070150000}"/>
    <cellStyle name="20% - Accent3 3 3 4 2 3" xfId="9684" xr:uid="{00000000-0005-0000-0000-000071150000}"/>
    <cellStyle name="20% - Accent3 3 3 4 2 3 2" xfId="8394" xr:uid="{00000000-0005-0000-0000-000072150000}"/>
    <cellStyle name="20% - Accent3 3 3 4 2 4" xfId="3618" xr:uid="{00000000-0005-0000-0000-000073150000}"/>
    <cellStyle name="20% - Accent3 3 3 4 3" xfId="8404" xr:uid="{00000000-0005-0000-0000-000074150000}"/>
    <cellStyle name="20% - Accent3 3 3 4 3 2" xfId="26319" xr:uid="{00000000-0005-0000-0000-000075150000}"/>
    <cellStyle name="20% - Accent3 3 3 4 3 2 2" xfId="7846" xr:uid="{00000000-0005-0000-0000-000076150000}"/>
    <cellStyle name="20% - Accent3 3 3 4 3 3" xfId="5424" xr:uid="{00000000-0005-0000-0000-000077150000}"/>
    <cellStyle name="20% - Accent3 3 3 4 4" xfId="8408" xr:uid="{00000000-0005-0000-0000-000078150000}"/>
    <cellStyle name="20% - Accent3 3 3 4 4 2" xfId="1489" xr:uid="{00000000-0005-0000-0000-000079150000}"/>
    <cellStyle name="20% - Accent3 3 3 4 5" xfId="2823" xr:uid="{00000000-0005-0000-0000-00007A150000}"/>
    <cellStyle name="20% - Accent3 3 3 5" xfId="18741" xr:uid="{00000000-0005-0000-0000-00007B150000}"/>
    <cellStyle name="20% - Accent3 3 3 5 2" xfId="8409" xr:uid="{00000000-0005-0000-0000-00007C150000}"/>
    <cellStyle name="20% - Accent3 3 3 5 2 2" xfId="31003" xr:uid="{00000000-0005-0000-0000-00007D150000}"/>
    <cellStyle name="20% - Accent3 3 3 5 2 2 2" xfId="14717" xr:uid="{00000000-0005-0000-0000-00007E150000}"/>
    <cellStyle name="20% - Accent3 3 3 5 2 3" xfId="19444" xr:uid="{00000000-0005-0000-0000-00007F150000}"/>
    <cellStyle name="20% - Accent3 3 3 5 3" xfId="25691" xr:uid="{00000000-0005-0000-0000-000080150000}"/>
    <cellStyle name="20% - Accent3 3 3 5 3 2" xfId="11254" xr:uid="{00000000-0005-0000-0000-000081150000}"/>
    <cellStyle name="20% - Accent3 3 3 5 4" xfId="31818" xr:uid="{00000000-0005-0000-0000-000082150000}"/>
    <cellStyle name="20% - Accent3 3 3 6" xfId="6984" xr:uid="{00000000-0005-0000-0000-000083150000}"/>
    <cellStyle name="20% - Accent3 3 3 6 2" xfId="21950" xr:uid="{00000000-0005-0000-0000-000084150000}"/>
    <cellStyle name="20% - Accent3 3 3 6 2 2" xfId="11264" xr:uid="{00000000-0005-0000-0000-000085150000}"/>
    <cellStyle name="20% - Accent3 3 3 6 3" xfId="9830" xr:uid="{00000000-0005-0000-0000-000086150000}"/>
    <cellStyle name="20% - Accent3 3 3 7" xfId="33865" xr:uid="{00000000-0005-0000-0000-000087150000}"/>
    <cellStyle name="20% - Accent3 3 3 7 2" xfId="14102" xr:uid="{00000000-0005-0000-0000-000088150000}"/>
    <cellStyle name="20% - Accent3 3 3 8" xfId="8430" xr:uid="{00000000-0005-0000-0000-000089150000}"/>
    <cellStyle name="20% - Accent3 3 4" xfId="2584" xr:uid="{00000000-0005-0000-0000-00008A150000}"/>
    <cellStyle name="20% - Accent3 3 4 2" xfId="7139" xr:uid="{00000000-0005-0000-0000-00008B150000}"/>
    <cellStyle name="20% - Accent3 3 4 2 2" xfId="2599" xr:uid="{00000000-0005-0000-0000-00008C150000}"/>
    <cellStyle name="20% - Accent3 3 4 2 2 2" xfId="608" xr:uid="{00000000-0005-0000-0000-00008D150000}"/>
    <cellStyle name="20% - Accent3 3 4 2 2 2 2" xfId="22944" xr:uid="{00000000-0005-0000-0000-00008E150000}"/>
    <cellStyle name="20% - Accent3 3 4 2 2 2 2 2" xfId="20895" xr:uid="{00000000-0005-0000-0000-00008F150000}"/>
    <cellStyle name="20% - Accent3 3 4 2 2 2 2 2 2" xfId="1529" xr:uid="{00000000-0005-0000-0000-000090150000}"/>
    <cellStyle name="20% - Accent3 3 4 2 2 2 2 3" xfId="20941" xr:uid="{00000000-0005-0000-0000-000091150000}"/>
    <cellStyle name="20% - Accent3 3 4 2 2 2 3" xfId="28923" xr:uid="{00000000-0005-0000-0000-000092150000}"/>
    <cellStyle name="20% - Accent3 3 4 2 2 2 3 2" xfId="21041" xr:uid="{00000000-0005-0000-0000-000093150000}"/>
    <cellStyle name="20% - Accent3 3 4 2 2 2 4" xfId="17977" xr:uid="{00000000-0005-0000-0000-000094150000}"/>
    <cellStyle name="20% - Accent3 3 4 2 2 3" xfId="8438" xr:uid="{00000000-0005-0000-0000-000095150000}"/>
    <cellStyle name="20% - Accent3 3 4 2 2 3 2" xfId="27859" xr:uid="{00000000-0005-0000-0000-000096150000}"/>
    <cellStyle name="20% - Accent3 3 4 2 2 3 2 2" xfId="21445" xr:uid="{00000000-0005-0000-0000-000097150000}"/>
    <cellStyle name="20% - Accent3 3 4 2 2 3 3" xfId="1108" xr:uid="{00000000-0005-0000-0000-000098150000}"/>
    <cellStyle name="20% - Accent3 3 4 2 2 4" xfId="22712" xr:uid="{00000000-0005-0000-0000-000099150000}"/>
    <cellStyle name="20% - Accent3 3 4 2 2 4 2" xfId="8446" xr:uid="{00000000-0005-0000-0000-00009A150000}"/>
    <cellStyle name="20% - Accent3 3 4 2 2 5" xfId="8448" xr:uid="{00000000-0005-0000-0000-00009B150000}"/>
    <cellStyle name="20% - Accent3 3 4 2 3" xfId="6849" xr:uid="{00000000-0005-0000-0000-00009C150000}"/>
    <cellStyle name="20% - Accent3 3 4 2 3 2" xfId="8453" xr:uid="{00000000-0005-0000-0000-00009D150000}"/>
    <cellStyle name="20% - Accent3 3 4 2 3 2 2" xfId="18617" xr:uid="{00000000-0005-0000-0000-00009E150000}"/>
    <cellStyle name="20% - Accent3 3 4 2 3 2 2 2" xfId="15723" xr:uid="{00000000-0005-0000-0000-00009F150000}"/>
    <cellStyle name="20% - Accent3 3 4 2 3 2 3" xfId="18788" xr:uid="{00000000-0005-0000-0000-0000A0150000}"/>
    <cellStyle name="20% - Accent3 3 4 2 3 3" xfId="8462" xr:uid="{00000000-0005-0000-0000-0000A1150000}"/>
    <cellStyle name="20% - Accent3 3 4 2 3 3 2" xfId="8371" xr:uid="{00000000-0005-0000-0000-0000A2150000}"/>
    <cellStyle name="20% - Accent3 3 4 2 3 4" xfId="8464" xr:uid="{00000000-0005-0000-0000-0000A3150000}"/>
    <cellStyle name="20% - Accent3 3 4 2 4" xfId="6852" xr:uid="{00000000-0005-0000-0000-0000A4150000}"/>
    <cellStyle name="20% - Accent3 3 4 2 4 2" xfId="7350" xr:uid="{00000000-0005-0000-0000-0000A5150000}"/>
    <cellStyle name="20% - Accent3 3 4 2 4 2 2" xfId="1357" xr:uid="{00000000-0005-0000-0000-0000A6150000}"/>
    <cellStyle name="20% - Accent3 3 4 2 4 3" xfId="6851" xr:uid="{00000000-0005-0000-0000-0000A7150000}"/>
    <cellStyle name="20% - Accent3 3 4 2 5" xfId="8467" xr:uid="{00000000-0005-0000-0000-0000A8150000}"/>
    <cellStyle name="20% - Accent3 3 4 2 5 2" xfId="6873" xr:uid="{00000000-0005-0000-0000-0000A9150000}"/>
    <cellStyle name="20% - Accent3 3 4 2 6" xfId="3083" xr:uid="{00000000-0005-0000-0000-0000AA150000}"/>
    <cellStyle name="20% - Accent3 3 4 3" xfId="986" xr:uid="{00000000-0005-0000-0000-0000AB150000}"/>
    <cellStyle name="20% - Accent3 3 4 3 2" xfId="7494" xr:uid="{00000000-0005-0000-0000-0000AC150000}"/>
    <cellStyle name="20% - Accent3 3 4 3 2 2" xfId="15884" xr:uid="{00000000-0005-0000-0000-0000AD150000}"/>
    <cellStyle name="20% - Accent3 3 4 3 2 2 2" xfId="19943" xr:uid="{00000000-0005-0000-0000-0000AE150000}"/>
    <cellStyle name="20% - Accent3 3 4 3 2 2 2 2" xfId="23777" xr:uid="{00000000-0005-0000-0000-0000AF150000}"/>
    <cellStyle name="20% - Accent3 3 4 3 2 2 3" xfId="21319" xr:uid="{00000000-0005-0000-0000-0000B0150000}"/>
    <cellStyle name="20% - Accent3 3 4 3 2 3" xfId="10052" xr:uid="{00000000-0005-0000-0000-0000B1150000}"/>
    <cellStyle name="20% - Accent3 3 4 3 2 3 2" xfId="19956" xr:uid="{00000000-0005-0000-0000-0000B2150000}"/>
    <cellStyle name="20% - Accent3 3 4 3 2 4" xfId="11654" xr:uid="{00000000-0005-0000-0000-0000B3150000}"/>
    <cellStyle name="20% - Accent3 3 4 3 3" xfId="6858" xr:uid="{00000000-0005-0000-0000-0000B4150000}"/>
    <cellStyle name="20% - Accent3 3 4 3 3 2" xfId="26655" xr:uid="{00000000-0005-0000-0000-0000B5150000}"/>
    <cellStyle name="20% - Accent3 3 4 3 3 2 2" xfId="21327" xr:uid="{00000000-0005-0000-0000-0000B6150000}"/>
    <cellStyle name="20% - Accent3 3 4 3 3 3" xfId="24109" xr:uid="{00000000-0005-0000-0000-0000B7150000}"/>
    <cellStyle name="20% - Accent3 3 4 3 4" xfId="7518" xr:uid="{00000000-0005-0000-0000-0000B8150000}"/>
    <cellStyle name="20% - Accent3 3 4 3 4 2" xfId="13938" xr:uid="{00000000-0005-0000-0000-0000B9150000}"/>
    <cellStyle name="20% - Accent3 3 4 3 5" xfId="7522" xr:uid="{00000000-0005-0000-0000-0000BA150000}"/>
    <cellStyle name="20% - Accent3 3 4 4" xfId="991" xr:uid="{00000000-0005-0000-0000-0000BB150000}"/>
    <cellStyle name="20% - Accent3 3 4 4 2" xfId="7525" xr:uid="{00000000-0005-0000-0000-0000BC150000}"/>
    <cellStyle name="20% - Accent3 3 4 4 2 2" xfId="31610" xr:uid="{00000000-0005-0000-0000-0000BD150000}"/>
    <cellStyle name="20% - Accent3 3 4 4 2 2 2" xfId="24008" xr:uid="{00000000-0005-0000-0000-0000BE150000}"/>
    <cellStyle name="20% - Accent3 3 4 4 2 3" xfId="10211" xr:uid="{00000000-0005-0000-0000-0000BF150000}"/>
    <cellStyle name="20% - Accent3 3 4 4 3" xfId="11940" xr:uid="{00000000-0005-0000-0000-0000C0150000}"/>
    <cellStyle name="20% - Accent3 3 4 4 3 2" xfId="24197" xr:uid="{00000000-0005-0000-0000-0000C1150000}"/>
    <cellStyle name="20% - Accent3 3 4 4 4" xfId="11863" xr:uid="{00000000-0005-0000-0000-0000C2150000}"/>
    <cellStyle name="20% - Accent3 3 4 5" xfId="7542" xr:uid="{00000000-0005-0000-0000-0000C3150000}"/>
    <cellStyle name="20% - Accent3 3 4 5 2" xfId="7547" xr:uid="{00000000-0005-0000-0000-0000C4150000}"/>
    <cellStyle name="20% - Accent3 3 4 5 2 2" xfId="8479" xr:uid="{00000000-0005-0000-0000-0000C5150000}"/>
    <cellStyle name="20% - Accent3 3 4 5 3" xfId="12731" xr:uid="{00000000-0005-0000-0000-0000C6150000}"/>
    <cellStyle name="20% - Accent3 3 4 6" xfId="9507" xr:uid="{00000000-0005-0000-0000-0000C7150000}"/>
    <cellStyle name="20% - Accent3 3 4 6 2" xfId="12091" xr:uid="{00000000-0005-0000-0000-0000C8150000}"/>
    <cellStyle name="20% - Accent3 3 4 7" xfId="24500" xr:uid="{00000000-0005-0000-0000-0000C9150000}"/>
    <cellStyle name="20% - Accent3 3 5" xfId="5356" xr:uid="{00000000-0005-0000-0000-0000CA150000}"/>
    <cellStyle name="20% - Accent3 3 5 2" xfId="6724" xr:uid="{00000000-0005-0000-0000-0000CB150000}"/>
    <cellStyle name="20% - Accent3 3 5 2 2" xfId="19805" xr:uid="{00000000-0005-0000-0000-0000CC150000}"/>
    <cellStyle name="20% - Accent3 3 5 2 2 2" xfId="6070" xr:uid="{00000000-0005-0000-0000-0000CD150000}"/>
    <cellStyle name="20% - Accent3 3 5 2 2 2 2" xfId="18816" xr:uid="{00000000-0005-0000-0000-0000CE150000}"/>
    <cellStyle name="20% - Accent3 3 5 2 2 2 2 2" xfId="8489" xr:uid="{00000000-0005-0000-0000-0000CF150000}"/>
    <cellStyle name="20% - Accent3 3 5 2 2 2 3" xfId="21791" xr:uid="{00000000-0005-0000-0000-0000D0150000}"/>
    <cellStyle name="20% - Accent3 3 5 2 2 3" xfId="6078" xr:uid="{00000000-0005-0000-0000-0000D1150000}"/>
    <cellStyle name="20% - Accent3 3 5 2 2 3 2" xfId="21804" xr:uid="{00000000-0005-0000-0000-0000D2150000}"/>
    <cellStyle name="20% - Accent3 3 5 2 2 4" xfId="8495" xr:uid="{00000000-0005-0000-0000-0000D3150000}"/>
    <cellStyle name="20% - Accent3 3 5 2 3" xfId="19807" xr:uid="{00000000-0005-0000-0000-0000D4150000}"/>
    <cellStyle name="20% - Accent3 3 5 2 3 2" xfId="6096" xr:uid="{00000000-0005-0000-0000-0000D5150000}"/>
    <cellStyle name="20% - Accent3 3 5 2 3 2 2" xfId="8498" xr:uid="{00000000-0005-0000-0000-0000D6150000}"/>
    <cellStyle name="20% - Accent3 3 5 2 3 3" xfId="8504" xr:uid="{00000000-0005-0000-0000-0000D7150000}"/>
    <cellStyle name="20% - Accent3 3 5 2 4" xfId="19809" xr:uid="{00000000-0005-0000-0000-0000D8150000}"/>
    <cellStyle name="20% - Accent3 3 5 2 4 2" xfId="8099" xr:uid="{00000000-0005-0000-0000-0000D9150000}"/>
    <cellStyle name="20% - Accent3 3 5 2 5" xfId="32581" xr:uid="{00000000-0005-0000-0000-0000DA150000}"/>
    <cellStyle name="20% - Accent3 3 5 3" xfId="1006" xr:uid="{00000000-0005-0000-0000-0000DB150000}"/>
    <cellStyle name="20% - Accent3 3 5 3 2" xfId="19812" xr:uid="{00000000-0005-0000-0000-0000DC150000}"/>
    <cellStyle name="20% - Accent3 3 5 3 2 2" xfId="25287" xr:uid="{00000000-0005-0000-0000-0000DD150000}"/>
    <cellStyle name="20% - Accent3 3 5 3 2 2 2" xfId="22626" xr:uid="{00000000-0005-0000-0000-0000DE150000}"/>
    <cellStyle name="20% - Accent3 3 5 3 2 3" xfId="10454" xr:uid="{00000000-0005-0000-0000-0000DF150000}"/>
    <cellStyle name="20% - Accent3 3 5 3 3" xfId="19814" xr:uid="{00000000-0005-0000-0000-0000E0150000}"/>
    <cellStyle name="20% - Accent3 3 5 3 3 2" xfId="24330" xr:uid="{00000000-0005-0000-0000-0000E1150000}"/>
    <cellStyle name="20% - Accent3 3 5 3 4" xfId="7593" xr:uid="{00000000-0005-0000-0000-0000E2150000}"/>
    <cellStyle name="20% - Accent3 3 5 4" xfId="7597" xr:uid="{00000000-0005-0000-0000-0000E3150000}"/>
    <cellStyle name="20% - Accent3 3 5 4 2" xfId="13064" xr:uid="{00000000-0005-0000-0000-0000E4150000}"/>
    <cellStyle name="20% - Accent3 3 5 4 2 2" xfId="33619" xr:uid="{00000000-0005-0000-0000-0000E5150000}"/>
    <cellStyle name="20% - Accent3 3 5 4 3" xfId="16084" xr:uid="{00000000-0005-0000-0000-0000E6150000}"/>
    <cellStyle name="20% - Accent3 3 5 5" xfId="7606" xr:uid="{00000000-0005-0000-0000-0000E7150000}"/>
    <cellStyle name="20% - Accent3 3 5 5 2" xfId="12096" xr:uid="{00000000-0005-0000-0000-0000E8150000}"/>
    <cellStyle name="20% - Accent3 3 5 6" xfId="24509" xr:uid="{00000000-0005-0000-0000-0000E9150000}"/>
    <cellStyle name="20% - Accent3 3 6" xfId="8549" xr:uid="{00000000-0005-0000-0000-0000EA150000}"/>
    <cellStyle name="20% - Accent3 3 6 2" xfId="2952" xr:uid="{00000000-0005-0000-0000-0000EB150000}"/>
    <cellStyle name="20% - Accent3 3 6 2 2" xfId="19822" xr:uid="{00000000-0005-0000-0000-0000EC150000}"/>
    <cellStyle name="20% - Accent3 3 6 2 2 2" xfId="7835" xr:uid="{00000000-0005-0000-0000-0000ED150000}"/>
    <cellStyle name="20% - Accent3 3 6 2 2 2 2" xfId="24422" xr:uid="{00000000-0005-0000-0000-0000EE150000}"/>
    <cellStyle name="20% - Accent3 3 6 2 2 3" xfId="8512" xr:uid="{00000000-0005-0000-0000-0000EF150000}"/>
    <cellStyle name="20% - Accent3 3 6 2 3" xfId="19832" xr:uid="{00000000-0005-0000-0000-0000F0150000}"/>
    <cellStyle name="20% - Accent3 3 6 2 3 2" xfId="8518" xr:uid="{00000000-0005-0000-0000-0000F1150000}"/>
    <cellStyle name="20% - Accent3 3 6 2 4" xfId="30275" xr:uid="{00000000-0005-0000-0000-0000F2150000}"/>
    <cellStyle name="20% - Accent3 3 6 3" xfId="7619" xr:uid="{00000000-0005-0000-0000-0000F3150000}"/>
    <cellStyle name="20% - Accent3 3 6 3 2" xfId="19835" xr:uid="{00000000-0005-0000-0000-0000F4150000}"/>
    <cellStyle name="20% - Accent3 3 6 3 2 2" xfId="27084" xr:uid="{00000000-0005-0000-0000-0000F5150000}"/>
    <cellStyle name="20% - Accent3 3 6 3 3" xfId="357" xr:uid="{00000000-0005-0000-0000-0000F6150000}"/>
    <cellStyle name="20% - Accent3 3 6 4" xfId="4524" xr:uid="{00000000-0005-0000-0000-0000F7150000}"/>
    <cellStyle name="20% - Accent3 3 6 4 2" xfId="13847" xr:uid="{00000000-0005-0000-0000-0000F8150000}"/>
    <cellStyle name="20% - Accent3 3 6 5" xfId="4540" xr:uid="{00000000-0005-0000-0000-0000F9150000}"/>
    <cellStyle name="20% - Accent3 3 7" xfId="24065" xr:uid="{00000000-0005-0000-0000-0000FA150000}"/>
    <cellStyle name="20% - Accent3 3 7 2" xfId="8521" xr:uid="{00000000-0005-0000-0000-0000FB150000}"/>
    <cellStyle name="20% - Accent3 3 7 2 2" xfId="12755" xr:uid="{00000000-0005-0000-0000-0000FC150000}"/>
    <cellStyle name="20% - Accent3 3 7 2 2 2" xfId="8523" xr:uid="{00000000-0005-0000-0000-0000FD150000}"/>
    <cellStyle name="20% - Accent3 3 7 2 3" xfId="8527" xr:uid="{00000000-0005-0000-0000-0000FE150000}"/>
    <cellStyle name="20% - Accent3 3 7 3" xfId="9167" xr:uid="{00000000-0005-0000-0000-0000FF150000}"/>
    <cellStyle name="20% - Accent3 3 7 3 2" xfId="11777" xr:uid="{00000000-0005-0000-0000-000000160000}"/>
    <cellStyle name="20% - Accent3 3 7 4" xfId="9196" xr:uid="{00000000-0005-0000-0000-000001160000}"/>
    <cellStyle name="20% - Accent3 3 8" xfId="10298" xr:uid="{00000000-0005-0000-0000-000002160000}"/>
    <cellStyle name="20% - Accent3 3 8 2" xfId="9204" xr:uid="{00000000-0005-0000-0000-000003160000}"/>
    <cellStyle name="20% - Accent3 3 8 2 2" xfId="8530" xr:uid="{00000000-0005-0000-0000-000004160000}"/>
    <cellStyle name="20% - Accent3 3 8 3" xfId="7634" xr:uid="{00000000-0005-0000-0000-000005160000}"/>
    <cellStyle name="20% - Accent3 3 9" xfId="25388" xr:uid="{00000000-0005-0000-0000-000006160000}"/>
    <cellStyle name="20% - Accent3 3 9 2" xfId="26182" xr:uid="{00000000-0005-0000-0000-000007160000}"/>
    <cellStyle name="20% - Accent3 4" xfId="26947" xr:uid="{00000000-0005-0000-0000-000008160000}"/>
    <cellStyle name="20% - Accent3 4 2" xfId="1442" xr:uid="{00000000-0005-0000-0000-000009160000}"/>
    <cellStyle name="20% - Accent3 4 2 2" xfId="2175" xr:uid="{00000000-0005-0000-0000-00000A160000}"/>
    <cellStyle name="20% - Accent3 4 2 2 2" xfId="2021" xr:uid="{00000000-0005-0000-0000-00000B160000}"/>
    <cellStyle name="20% - Accent3 4 2 2 2 2" xfId="33165" xr:uid="{00000000-0005-0000-0000-00000C160000}"/>
    <cellStyle name="20% - Accent3 4 2 2 2 2 2" xfId="15552" xr:uid="{00000000-0005-0000-0000-00000D160000}"/>
    <cellStyle name="20% - Accent3 4 2 2 2 2 2 2" xfId="22581" xr:uid="{00000000-0005-0000-0000-00000E160000}"/>
    <cellStyle name="20% - Accent3 4 2 2 2 2 2 2 2" xfId="3706" xr:uid="{00000000-0005-0000-0000-00000F160000}"/>
    <cellStyle name="20% - Accent3 4 2 2 2 2 2 2 2 2" xfId="7436" xr:uid="{00000000-0005-0000-0000-000010160000}"/>
    <cellStyle name="20% - Accent3 4 2 2 2 2 2 2 3" xfId="2168" xr:uid="{00000000-0005-0000-0000-000011160000}"/>
    <cellStyle name="20% - Accent3 4 2 2 2 2 2 3" xfId="8034" xr:uid="{00000000-0005-0000-0000-000012160000}"/>
    <cellStyle name="20% - Accent3 4 2 2 2 2 2 3 2" xfId="3714" xr:uid="{00000000-0005-0000-0000-000013160000}"/>
    <cellStyle name="20% - Accent3 4 2 2 2 2 2 4" xfId="8538" xr:uid="{00000000-0005-0000-0000-000014160000}"/>
    <cellStyle name="20% - Accent3 4 2 2 2 2 3" xfId="7240" xr:uid="{00000000-0005-0000-0000-000015160000}"/>
    <cellStyle name="20% - Accent3 4 2 2 2 2 3 2" xfId="8541" xr:uid="{00000000-0005-0000-0000-000016160000}"/>
    <cellStyle name="20% - Accent3 4 2 2 2 2 3 2 2" xfId="25161" xr:uid="{00000000-0005-0000-0000-000017160000}"/>
    <cellStyle name="20% - Accent3 4 2 2 2 2 3 3" xfId="9418" xr:uid="{00000000-0005-0000-0000-000018160000}"/>
    <cellStyle name="20% - Accent3 4 2 2 2 2 4" xfId="3416" xr:uid="{00000000-0005-0000-0000-000019160000}"/>
    <cellStyle name="20% - Accent3 4 2 2 2 2 4 2" xfId="10282" xr:uid="{00000000-0005-0000-0000-00001A160000}"/>
    <cellStyle name="20% - Accent3 4 2 2 2 2 5" xfId="11102" xr:uid="{00000000-0005-0000-0000-00001B160000}"/>
    <cellStyle name="20% - Accent3 4 2 2 2 3" xfId="7248" xr:uid="{00000000-0005-0000-0000-00001C160000}"/>
    <cellStyle name="20% - Accent3 4 2 2 2 3 2" xfId="24671" xr:uid="{00000000-0005-0000-0000-00001D160000}"/>
    <cellStyle name="20% - Accent3 4 2 2 2 3 2 2" xfId="8543" xr:uid="{00000000-0005-0000-0000-00001E160000}"/>
    <cellStyle name="20% - Accent3 4 2 2 2 3 2 2 2" xfId="10797" xr:uid="{00000000-0005-0000-0000-00001F160000}"/>
    <cellStyle name="20% - Accent3 4 2 2 2 3 2 3" xfId="8544" xr:uid="{00000000-0005-0000-0000-000020160000}"/>
    <cellStyle name="20% - Accent3 4 2 2 2 3 3" xfId="8985" xr:uid="{00000000-0005-0000-0000-000021160000}"/>
    <cellStyle name="20% - Accent3 4 2 2 2 3 3 2" xfId="8546" xr:uid="{00000000-0005-0000-0000-000022160000}"/>
    <cellStyle name="20% - Accent3 4 2 2 2 3 4" xfId="4593" xr:uid="{00000000-0005-0000-0000-000023160000}"/>
    <cellStyle name="20% - Accent3 4 2 2 2 4" xfId="11774" xr:uid="{00000000-0005-0000-0000-000024160000}"/>
    <cellStyle name="20% - Accent3 4 2 2 2 4 2" xfId="24680" xr:uid="{00000000-0005-0000-0000-000025160000}"/>
    <cellStyle name="20% - Accent3 4 2 2 2 4 2 2" xfId="8551" xr:uid="{00000000-0005-0000-0000-000026160000}"/>
    <cellStyle name="20% - Accent3 4 2 2 2 4 3" xfId="8553" xr:uid="{00000000-0005-0000-0000-000027160000}"/>
    <cellStyle name="20% - Accent3 4 2 2 2 5" xfId="8218" xr:uid="{00000000-0005-0000-0000-000028160000}"/>
    <cellStyle name="20% - Accent3 4 2 2 2 5 2" xfId="26331" xr:uid="{00000000-0005-0000-0000-000029160000}"/>
    <cellStyle name="20% - Accent3 4 2 2 2 6" xfId="8558" xr:uid="{00000000-0005-0000-0000-00002A160000}"/>
    <cellStyle name="20% - Accent3 4 2 2 3" xfId="6312" xr:uid="{00000000-0005-0000-0000-00002B160000}"/>
    <cellStyle name="20% - Accent3 4 2 2 3 2" xfId="7254" xr:uid="{00000000-0005-0000-0000-00002C160000}"/>
    <cellStyle name="20% - Accent3 4 2 2 3 2 2" xfId="7261" xr:uid="{00000000-0005-0000-0000-00002D160000}"/>
    <cellStyle name="20% - Accent3 4 2 2 3 2 2 2" xfId="31168" xr:uid="{00000000-0005-0000-0000-00002E160000}"/>
    <cellStyle name="20% - Accent3 4 2 2 3 2 2 2 2" xfId="3837" xr:uid="{00000000-0005-0000-0000-00002F160000}"/>
    <cellStyle name="20% - Accent3 4 2 2 3 2 2 3" xfId="332" xr:uid="{00000000-0005-0000-0000-000030160000}"/>
    <cellStyle name="20% - Accent3 4 2 2 3 2 3" xfId="2126" xr:uid="{00000000-0005-0000-0000-000031160000}"/>
    <cellStyle name="20% - Accent3 4 2 2 3 2 3 2" xfId="32455" xr:uid="{00000000-0005-0000-0000-000032160000}"/>
    <cellStyle name="20% - Accent3 4 2 2 3 2 4" xfId="10304" xr:uid="{00000000-0005-0000-0000-000033160000}"/>
    <cellStyle name="20% - Accent3 4 2 2 3 3" xfId="7268" xr:uid="{00000000-0005-0000-0000-000034160000}"/>
    <cellStyle name="20% - Accent3 4 2 2 3 3 2" xfId="24690" xr:uid="{00000000-0005-0000-0000-000035160000}"/>
    <cellStyle name="20% - Accent3 4 2 2 3 3 2 2" xfId="8561" xr:uid="{00000000-0005-0000-0000-000036160000}"/>
    <cellStyle name="20% - Accent3 4 2 2 3 3 3" xfId="9888" xr:uid="{00000000-0005-0000-0000-000037160000}"/>
    <cellStyle name="20% - Accent3 4 2 2 3 4" xfId="8565" xr:uid="{00000000-0005-0000-0000-000038160000}"/>
    <cellStyle name="20% - Accent3 4 2 2 3 4 2" xfId="10376" xr:uid="{00000000-0005-0000-0000-000039160000}"/>
    <cellStyle name="20% - Accent3 4 2 2 3 5" xfId="8569" xr:uid="{00000000-0005-0000-0000-00003A160000}"/>
    <cellStyle name="20% - Accent3 4 2 2 4" xfId="17527" xr:uid="{00000000-0005-0000-0000-00003B160000}"/>
    <cellStyle name="20% - Accent3 4 2 2 4 2" xfId="17367" xr:uid="{00000000-0005-0000-0000-00003C160000}"/>
    <cellStyle name="20% - Accent3 4 2 2 4 2 2" xfId="17371" xr:uid="{00000000-0005-0000-0000-00003D160000}"/>
    <cellStyle name="20% - Accent3 4 2 2 4 2 2 2" xfId="33811" xr:uid="{00000000-0005-0000-0000-00003E160000}"/>
    <cellStyle name="20% - Accent3 4 2 2 4 2 3" xfId="15947" xr:uid="{00000000-0005-0000-0000-00003F160000}"/>
    <cellStyle name="20% - Accent3 4 2 2 4 3" xfId="17373" xr:uid="{00000000-0005-0000-0000-000040160000}"/>
    <cellStyle name="20% - Accent3 4 2 2 4 3 2" xfId="8576" xr:uid="{00000000-0005-0000-0000-000041160000}"/>
    <cellStyle name="20% - Accent3 4 2 2 4 4" xfId="19610" xr:uid="{00000000-0005-0000-0000-000042160000}"/>
    <cellStyle name="20% - Accent3 4 2 2 5" xfId="8579" xr:uid="{00000000-0005-0000-0000-000043160000}"/>
    <cellStyle name="20% - Accent3 4 2 2 5 2" xfId="17391" xr:uid="{00000000-0005-0000-0000-000044160000}"/>
    <cellStyle name="20% - Accent3 4 2 2 5 2 2" xfId="28565" xr:uid="{00000000-0005-0000-0000-000045160000}"/>
    <cellStyle name="20% - Accent3 4 2 2 5 3" xfId="11592" xr:uid="{00000000-0005-0000-0000-000046160000}"/>
    <cellStyle name="20% - Accent3 4 2 2 6" xfId="9632" xr:uid="{00000000-0005-0000-0000-000047160000}"/>
    <cellStyle name="20% - Accent3 4 2 2 6 2" xfId="11597" xr:uid="{00000000-0005-0000-0000-000048160000}"/>
    <cellStyle name="20% - Accent3 4 2 2 7" xfId="11218" xr:uid="{00000000-0005-0000-0000-000049160000}"/>
    <cellStyle name="20% - Accent3 4 2 3" xfId="113" xr:uid="{00000000-0005-0000-0000-00004A160000}"/>
    <cellStyle name="20% - Accent3 4 2 3 2" xfId="1026" xr:uid="{00000000-0005-0000-0000-00004B160000}"/>
    <cellStyle name="20% - Accent3 4 2 3 2 2" xfId="7465" xr:uid="{00000000-0005-0000-0000-00004C160000}"/>
    <cellStyle name="20% - Accent3 4 2 3 2 2 2" xfId="7469" xr:uid="{00000000-0005-0000-0000-00004D160000}"/>
    <cellStyle name="20% - Accent3 4 2 3 2 2 2 2" xfId="8583" xr:uid="{00000000-0005-0000-0000-00004E160000}"/>
    <cellStyle name="20% - Accent3 4 2 3 2 2 2 2 2" xfId="4263" xr:uid="{00000000-0005-0000-0000-00004F160000}"/>
    <cellStyle name="20% - Accent3 4 2 3 2 2 2 3" xfId="25304" xr:uid="{00000000-0005-0000-0000-000050160000}"/>
    <cellStyle name="20% - Accent3 4 2 3 2 2 3" xfId="8584" xr:uid="{00000000-0005-0000-0000-000051160000}"/>
    <cellStyle name="20% - Accent3 4 2 3 2 2 3 2" xfId="8585" xr:uid="{00000000-0005-0000-0000-000052160000}"/>
    <cellStyle name="20% - Accent3 4 2 3 2 2 4" xfId="10322" xr:uid="{00000000-0005-0000-0000-000053160000}"/>
    <cellStyle name="20% - Accent3 4 2 3 2 3" xfId="32261" xr:uid="{00000000-0005-0000-0000-000054160000}"/>
    <cellStyle name="20% - Accent3 4 2 3 2 3 2" xfId="12411" xr:uid="{00000000-0005-0000-0000-000055160000}"/>
    <cellStyle name="20% - Accent3 4 2 3 2 3 2 2" xfId="8586" xr:uid="{00000000-0005-0000-0000-000056160000}"/>
    <cellStyle name="20% - Accent3 4 2 3 2 3 3" xfId="8587" xr:uid="{00000000-0005-0000-0000-000057160000}"/>
    <cellStyle name="20% - Accent3 4 2 3 2 4" xfId="9751" xr:uid="{00000000-0005-0000-0000-000058160000}"/>
    <cellStyle name="20% - Accent3 4 2 3 2 4 2" xfId="8592" xr:uid="{00000000-0005-0000-0000-000059160000}"/>
    <cellStyle name="20% - Accent3 4 2 3 2 5" xfId="8593" xr:uid="{00000000-0005-0000-0000-00005A160000}"/>
    <cellStyle name="20% - Accent3 4 2 3 3" xfId="8595" xr:uid="{00000000-0005-0000-0000-00005B160000}"/>
    <cellStyle name="20% - Accent3 4 2 3 3 2" xfId="22977" xr:uid="{00000000-0005-0000-0000-00005C160000}"/>
    <cellStyle name="20% - Accent3 4 2 3 3 2 2" xfId="8596" xr:uid="{00000000-0005-0000-0000-00005D160000}"/>
    <cellStyle name="20% - Accent3 4 2 3 3 2 2 2" xfId="11795" xr:uid="{00000000-0005-0000-0000-00005E160000}"/>
    <cellStyle name="20% - Accent3 4 2 3 3 2 3" xfId="8597" xr:uid="{00000000-0005-0000-0000-00005F160000}"/>
    <cellStyle name="20% - Accent3 4 2 3 3 3" xfId="23210" xr:uid="{00000000-0005-0000-0000-000060160000}"/>
    <cellStyle name="20% - Accent3 4 2 3 3 3 2" xfId="8600" xr:uid="{00000000-0005-0000-0000-000061160000}"/>
    <cellStyle name="20% - Accent3 4 2 3 3 4" xfId="8998" xr:uid="{00000000-0005-0000-0000-000062160000}"/>
    <cellStyle name="20% - Accent3 4 2 3 4" xfId="8602" xr:uid="{00000000-0005-0000-0000-000063160000}"/>
    <cellStyle name="20% - Accent3 4 2 3 4 2" xfId="27022" xr:uid="{00000000-0005-0000-0000-000064160000}"/>
    <cellStyle name="20% - Accent3 4 2 3 4 2 2" xfId="10152" xr:uid="{00000000-0005-0000-0000-000065160000}"/>
    <cellStyle name="20% - Accent3 4 2 3 4 3" xfId="29563" xr:uid="{00000000-0005-0000-0000-000066160000}"/>
    <cellStyle name="20% - Accent3 4 2 3 5" xfId="8606" xr:uid="{00000000-0005-0000-0000-000067160000}"/>
    <cellStyle name="20% - Accent3 4 2 3 5 2" xfId="15605" xr:uid="{00000000-0005-0000-0000-000068160000}"/>
    <cellStyle name="20% - Accent3 4 2 3 6" xfId="624" xr:uid="{00000000-0005-0000-0000-000069160000}"/>
    <cellStyle name="20% - Accent3 4 2 4" xfId="24281" xr:uid="{00000000-0005-0000-0000-00006A160000}"/>
    <cellStyle name="20% - Accent3 4 2 4 2" xfId="1570" xr:uid="{00000000-0005-0000-0000-00006B160000}"/>
    <cellStyle name="20% - Accent3 4 2 4 2 2" xfId="29535" xr:uid="{00000000-0005-0000-0000-00006C160000}"/>
    <cellStyle name="20% - Accent3 4 2 4 2 2 2" xfId="30342" xr:uid="{00000000-0005-0000-0000-00006D160000}"/>
    <cellStyle name="20% - Accent3 4 2 4 2 2 2 2" xfId="8328" xr:uid="{00000000-0005-0000-0000-00006E160000}"/>
    <cellStyle name="20% - Accent3 4 2 4 2 2 3" xfId="9035" xr:uid="{00000000-0005-0000-0000-00006F160000}"/>
    <cellStyle name="20% - Accent3 4 2 4 2 3" xfId="30347" xr:uid="{00000000-0005-0000-0000-000070160000}"/>
    <cellStyle name="20% - Accent3 4 2 4 2 3 2" xfId="14079" xr:uid="{00000000-0005-0000-0000-000071160000}"/>
    <cellStyle name="20% - Accent3 4 2 4 2 4" xfId="8617" xr:uid="{00000000-0005-0000-0000-000072160000}"/>
    <cellStyle name="20% - Accent3 4 2 4 3" xfId="1574" xr:uid="{00000000-0005-0000-0000-000073160000}"/>
    <cellStyle name="20% - Accent3 4 2 4 3 2" xfId="26880" xr:uid="{00000000-0005-0000-0000-000074160000}"/>
    <cellStyle name="20% - Accent3 4 2 4 3 2 2" xfId="8623" xr:uid="{00000000-0005-0000-0000-000075160000}"/>
    <cellStyle name="20% - Accent3 4 2 4 3 3" xfId="8627" xr:uid="{00000000-0005-0000-0000-000076160000}"/>
    <cellStyle name="20% - Accent3 4 2 4 4" xfId="8634" xr:uid="{00000000-0005-0000-0000-000077160000}"/>
    <cellStyle name="20% - Accent3 4 2 4 4 2" xfId="692" xr:uid="{00000000-0005-0000-0000-000078160000}"/>
    <cellStyle name="20% - Accent3 4 2 4 5" xfId="8635" xr:uid="{00000000-0005-0000-0000-000079160000}"/>
    <cellStyle name="20% - Accent3 4 2 5" xfId="11470" xr:uid="{00000000-0005-0000-0000-00007A160000}"/>
    <cellStyle name="20% - Accent3 4 2 5 2" xfId="1843" xr:uid="{00000000-0005-0000-0000-00007B160000}"/>
    <cellStyle name="20% - Accent3 4 2 5 2 2" xfId="30356" xr:uid="{00000000-0005-0000-0000-00007C160000}"/>
    <cellStyle name="20% - Accent3 4 2 5 2 2 2" xfId="8636" xr:uid="{00000000-0005-0000-0000-00007D160000}"/>
    <cellStyle name="20% - Accent3 4 2 5 2 3" xfId="2552" xr:uid="{00000000-0005-0000-0000-00007E160000}"/>
    <cellStyle name="20% - Accent3 4 2 5 3" xfId="115" xr:uid="{00000000-0005-0000-0000-00007F160000}"/>
    <cellStyle name="20% - Accent3 4 2 5 3 2" xfId="8639" xr:uid="{00000000-0005-0000-0000-000080160000}"/>
    <cellStyle name="20% - Accent3 4 2 5 4" xfId="10047" xr:uid="{00000000-0005-0000-0000-000081160000}"/>
    <cellStyle name="20% - Accent3 4 2 6" xfId="11479" xr:uid="{00000000-0005-0000-0000-000082160000}"/>
    <cellStyle name="20% - Accent3 4 2 6 2" xfId="1467" xr:uid="{00000000-0005-0000-0000-000083160000}"/>
    <cellStyle name="20% - Accent3 4 2 6 2 2" xfId="8642" xr:uid="{00000000-0005-0000-0000-000084160000}"/>
    <cellStyle name="20% - Accent3 4 2 6 3" xfId="8647" xr:uid="{00000000-0005-0000-0000-000085160000}"/>
    <cellStyle name="20% - Accent3 4 2 7" xfId="22161" xr:uid="{00000000-0005-0000-0000-000086160000}"/>
    <cellStyle name="20% - Accent3 4 2 7 2" xfId="6774" xr:uid="{00000000-0005-0000-0000-000087160000}"/>
    <cellStyle name="20% - Accent3 4 2 8" xfId="11483" xr:uid="{00000000-0005-0000-0000-000088160000}"/>
    <cellStyle name="20% - Accent3 4 3" xfId="13212" xr:uid="{00000000-0005-0000-0000-000089160000}"/>
    <cellStyle name="20% - Accent3 4 3 2" xfId="8147" xr:uid="{00000000-0005-0000-0000-00008A160000}"/>
    <cellStyle name="20% - Accent3 4 3 2 2" xfId="227" xr:uid="{00000000-0005-0000-0000-00008B160000}"/>
    <cellStyle name="20% - Accent3 4 3 2 2 2" xfId="8296" xr:uid="{00000000-0005-0000-0000-00008C160000}"/>
    <cellStyle name="20% - Accent3 4 3 2 2 2 2" xfId="12692" xr:uid="{00000000-0005-0000-0000-00008D160000}"/>
    <cellStyle name="20% - Accent3 4 3 2 2 2 2 2" xfId="12166" xr:uid="{00000000-0005-0000-0000-00008E160000}"/>
    <cellStyle name="20% - Accent3 4 3 2 2 2 2 2 2" xfId="6032" xr:uid="{00000000-0005-0000-0000-00008F160000}"/>
    <cellStyle name="20% - Accent3 4 3 2 2 2 2 3" xfId="7998" xr:uid="{00000000-0005-0000-0000-000090160000}"/>
    <cellStyle name="20% - Accent3 4 3 2 2 2 3" xfId="1753" xr:uid="{00000000-0005-0000-0000-000091160000}"/>
    <cellStyle name="20% - Accent3 4 3 2 2 2 3 2" xfId="8649" xr:uid="{00000000-0005-0000-0000-000092160000}"/>
    <cellStyle name="20% - Accent3 4 3 2 2 2 4" xfId="32223" xr:uid="{00000000-0005-0000-0000-000093160000}"/>
    <cellStyle name="20% - Accent3 4 3 2 2 3" xfId="8304" xr:uid="{00000000-0005-0000-0000-000094160000}"/>
    <cellStyle name="20% - Accent3 4 3 2 2 3 2" xfId="24726" xr:uid="{00000000-0005-0000-0000-000095160000}"/>
    <cellStyle name="20% - Accent3 4 3 2 2 3 2 2" xfId="8652" xr:uid="{00000000-0005-0000-0000-000096160000}"/>
    <cellStyle name="20% - Accent3 4 3 2 2 3 3" xfId="8657" xr:uid="{00000000-0005-0000-0000-000097160000}"/>
    <cellStyle name="20% - Accent3 4 3 2 2 4" xfId="8658" xr:uid="{00000000-0005-0000-0000-000098160000}"/>
    <cellStyle name="20% - Accent3 4 3 2 2 4 2" xfId="8661" xr:uid="{00000000-0005-0000-0000-000099160000}"/>
    <cellStyle name="20% - Accent3 4 3 2 2 5" xfId="2857" xr:uid="{00000000-0005-0000-0000-00009A160000}"/>
    <cellStyle name="20% - Accent3 4 3 2 3" xfId="8665" xr:uid="{00000000-0005-0000-0000-00009B160000}"/>
    <cellStyle name="20% - Accent3 4 3 2 3 2" xfId="8316" xr:uid="{00000000-0005-0000-0000-00009C160000}"/>
    <cellStyle name="20% - Accent3 4 3 2 3 2 2" xfId="8666" xr:uid="{00000000-0005-0000-0000-00009D160000}"/>
    <cellStyle name="20% - Accent3 4 3 2 3 2 2 2" xfId="14064" xr:uid="{00000000-0005-0000-0000-00009E160000}"/>
    <cellStyle name="20% - Accent3 4 3 2 3 2 3" xfId="18978" xr:uid="{00000000-0005-0000-0000-00009F160000}"/>
    <cellStyle name="20% - Accent3 4 3 2 3 3" xfId="8670" xr:uid="{00000000-0005-0000-0000-0000A0160000}"/>
    <cellStyle name="20% - Accent3 4 3 2 3 3 2" xfId="8672" xr:uid="{00000000-0005-0000-0000-0000A1160000}"/>
    <cellStyle name="20% - Accent3 4 3 2 3 4" xfId="14836" xr:uid="{00000000-0005-0000-0000-0000A2160000}"/>
    <cellStyle name="20% - Accent3 4 3 2 4" xfId="8673" xr:uid="{00000000-0005-0000-0000-0000A3160000}"/>
    <cellStyle name="20% - Accent3 4 3 2 4 2" xfId="7520" xr:uid="{00000000-0005-0000-0000-0000A4160000}"/>
    <cellStyle name="20% - Accent3 4 3 2 4 2 2" xfId="8311" xr:uid="{00000000-0005-0000-0000-0000A5160000}"/>
    <cellStyle name="20% - Accent3 4 3 2 4 3" xfId="4934" xr:uid="{00000000-0005-0000-0000-0000A6160000}"/>
    <cellStyle name="20% - Accent3 4 3 2 5" xfId="8678" xr:uid="{00000000-0005-0000-0000-0000A7160000}"/>
    <cellStyle name="20% - Accent3 4 3 2 5 2" xfId="4988" xr:uid="{00000000-0005-0000-0000-0000A8160000}"/>
    <cellStyle name="20% - Accent3 4 3 2 6" xfId="9648" xr:uid="{00000000-0005-0000-0000-0000A9160000}"/>
    <cellStyle name="20% - Accent3 4 3 3" xfId="1030" xr:uid="{00000000-0005-0000-0000-0000AA160000}"/>
    <cellStyle name="20% - Accent3 4 3 3 2" xfId="8679" xr:uid="{00000000-0005-0000-0000-0000AB160000}"/>
    <cellStyle name="20% - Accent3 4 3 3 2 2" xfId="9793" xr:uid="{00000000-0005-0000-0000-0000AC160000}"/>
    <cellStyle name="20% - Accent3 4 3 3 2 2 2" xfId="8736" xr:uid="{00000000-0005-0000-0000-0000AD160000}"/>
    <cellStyle name="20% - Accent3 4 3 3 2 2 2 2" xfId="10765" xr:uid="{00000000-0005-0000-0000-0000AE160000}"/>
    <cellStyle name="20% - Accent3 4 3 3 2 2 3" xfId="8742" xr:uid="{00000000-0005-0000-0000-0000AF160000}"/>
    <cellStyle name="20% - Accent3 4 3 3 2 3" xfId="9797" xr:uid="{00000000-0005-0000-0000-0000B0160000}"/>
    <cellStyle name="20% - Accent3 4 3 3 2 3 2" xfId="8746" xr:uid="{00000000-0005-0000-0000-0000B1160000}"/>
    <cellStyle name="20% - Accent3 4 3 3 2 4" xfId="8686" xr:uid="{00000000-0005-0000-0000-0000B2160000}"/>
    <cellStyle name="20% - Accent3 4 3 3 3" xfId="8689" xr:uid="{00000000-0005-0000-0000-0000B3160000}"/>
    <cellStyle name="20% - Accent3 4 3 3 3 2" xfId="18993" xr:uid="{00000000-0005-0000-0000-0000B4160000}"/>
    <cellStyle name="20% - Accent3 4 3 3 3 2 2" xfId="8695" xr:uid="{00000000-0005-0000-0000-0000B5160000}"/>
    <cellStyle name="20% - Accent3 4 3 3 3 3" xfId="8696" xr:uid="{00000000-0005-0000-0000-0000B6160000}"/>
    <cellStyle name="20% - Accent3 4 3 3 4" xfId="8701" xr:uid="{00000000-0005-0000-0000-0000B7160000}"/>
    <cellStyle name="20% - Accent3 4 3 3 4 2" xfId="5091" xr:uid="{00000000-0005-0000-0000-0000B8160000}"/>
    <cellStyle name="20% - Accent3 4 3 3 5" xfId="8704" xr:uid="{00000000-0005-0000-0000-0000B9160000}"/>
    <cellStyle name="20% - Accent3 4 3 4" xfId="1034" xr:uid="{00000000-0005-0000-0000-0000BA160000}"/>
    <cellStyle name="20% - Accent3 4 3 4 2" xfId="1850" xr:uid="{00000000-0005-0000-0000-0000BB160000}"/>
    <cellStyle name="20% - Accent3 4 3 4 2 2" xfId="31089" xr:uid="{00000000-0005-0000-0000-0000BC160000}"/>
    <cellStyle name="20% - Accent3 4 3 4 2 2 2" xfId="6711" xr:uid="{00000000-0005-0000-0000-0000BD160000}"/>
    <cellStyle name="20% - Accent3 4 3 4 2 3" xfId="7286" xr:uid="{00000000-0005-0000-0000-0000BE160000}"/>
    <cellStyle name="20% - Accent3 4 3 4 3" xfId="8705" xr:uid="{00000000-0005-0000-0000-0000BF160000}"/>
    <cellStyle name="20% - Accent3 4 3 4 3 2" xfId="945" xr:uid="{00000000-0005-0000-0000-0000C0160000}"/>
    <cellStyle name="20% - Accent3 4 3 4 4" xfId="8708" xr:uid="{00000000-0005-0000-0000-0000C1160000}"/>
    <cellStyle name="20% - Accent3 4 3 5" xfId="11476" xr:uid="{00000000-0005-0000-0000-0000C2160000}"/>
    <cellStyle name="20% - Accent3 4 3 5 2" xfId="64" xr:uid="{00000000-0005-0000-0000-0000C3160000}"/>
    <cellStyle name="20% - Accent3 4 3 5 2 2" xfId="10753" xr:uid="{00000000-0005-0000-0000-0000C4160000}"/>
    <cellStyle name="20% - Accent3 4 3 5 3" xfId="25726" xr:uid="{00000000-0005-0000-0000-0000C5160000}"/>
    <cellStyle name="20% - Accent3 4 3 6" xfId="11488" xr:uid="{00000000-0005-0000-0000-0000C6160000}"/>
    <cellStyle name="20% - Accent3 4 3 6 2" xfId="8713" xr:uid="{00000000-0005-0000-0000-0000C7160000}"/>
    <cellStyle name="20% - Accent3 4 3 7" xfId="11491" xr:uid="{00000000-0005-0000-0000-0000C8160000}"/>
    <cellStyle name="20% - Accent3 4 4" xfId="4667" xr:uid="{00000000-0005-0000-0000-0000C9160000}"/>
    <cellStyle name="20% - Accent3 4 4 2" xfId="816" xr:uid="{00000000-0005-0000-0000-0000CA160000}"/>
    <cellStyle name="20% - Accent3 4 4 2 2" xfId="8716" xr:uid="{00000000-0005-0000-0000-0000CB160000}"/>
    <cellStyle name="20% - Accent3 4 4 2 2 2" xfId="9404" xr:uid="{00000000-0005-0000-0000-0000CC160000}"/>
    <cellStyle name="20% - Accent3 4 4 2 2 2 2" xfId="28253" xr:uid="{00000000-0005-0000-0000-0000CD160000}"/>
    <cellStyle name="20% - Accent3 4 4 2 2 2 2 2" xfId="27682" xr:uid="{00000000-0005-0000-0000-0000CE160000}"/>
    <cellStyle name="20% - Accent3 4 4 2 2 2 3" xfId="673" xr:uid="{00000000-0005-0000-0000-0000CF160000}"/>
    <cellStyle name="20% - Accent3 4 4 2 2 3" xfId="8721" xr:uid="{00000000-0005-0000-0000-0000D0160000}"/>
    <cellStyle name="20% - Accent3 4 4 2 2 3 2" xfId="33714" xr:uid="{00000000-0005-0000-0000-0000D1160000}"/>
    <cellStyle name="20% - Accent3 4 4 2 2 4" xfId="651" xr:uid="{00000000-0005-0000-0000-0000D2160000}"/>
    <cellStyle name="20% - Accent3 4 4 2 3" xfId="6886" xr:uid="{00000000-0005-0000-0000-0000D3160000}"/>
    <cellStyle name="20% - Accent3 4 4 2 3 2" xfId="6782" xr:uid="{00000000-0005-0000-0000-0000D4160000}"/>
    <cellStyle name="20% - Accent3 4 4 2 3 2 2" xfId="6358" xr:uid="{00000000-0005-0000-0000-0000D5160000}"/>
    <cellStyle name="20% - Accent3 4 4 2 3 3" xfId="29530" xr:uid="{00000000-0005-0000-0000-0000D6160000}"/>
    <cellStyle name="20% - Accent3 4 4 2 4" xfId="8729" xr:uid="{00000000-0005-0000-0000-0000D7160000}"/>
    <cellStyle name="20% - Accent3 4 4 2 4 2" xfId="823" xr:uid="{00000000-0005-0000-0000-0000D8160000}"/>
    <cellStyle name="20% - Accent3 4 4 2 5" xfId="8730" xr:uid="{00000000-0005-0000-0000-0000D9160000}"/>
    <cellStyle name="20% - Accent3 4 4 3" xfId="1583" xr:uid="{00000000-0005-0000-0000-0000DA160000}"/>
    <cellStyle name="20% - Accent3 4 4 3 2" xfId="25046" xr:uid="{00000000-0005-0000-0000-0000DB160000}"/>
    <cellStyle name="20% - Accent3 4 4 3 2 2" xfId="28455" xr:uid="{00000000-0005-0000-0000-0000DC160000}"/>
    <cellStyle name="20% - Accent3 4 4 3 2 2 2" xfId="12995" xr:uid="{00000000-0005-0000-0000-0000DD160000}"/>
    <cellStyle name="20% - Accent3 4 4 3 2 3" xfId="28752" xr:uid="{00000000-0005-0000-0000-0000DE160000}"/>
    <cellStyle name="20% - Accent3 4 4 3 3" xfId="7647" xr:uid="{00000000-0005-0000-0000-0000DF160000}"/>
    <cellStyle name="20% - Accent3 4 4 3 3 2" xfId="11567" xr:uid="{00000000-0005-0000-0000-0000E0160000}"/>
    <cellStyle name="20% - Accent3 4 4 3 4" xfId="7649" xr:uid="{00000000-0005-0000-0000-0000E1160000}"/>
    <cellStyle name="20% - Accent3 4 4 4" xfId="7652" xr:uid="{00000000-0005-0000-0000-0000E2160000}"/>
    <cellStyle name="20% - Accent3 4 4 4 2" xfId="7655" xr:uid="{00000000-0005-0000-0000-0000E3160000}"/>
    <cellStyle name="20% - Accent3 4 4 4 2 2" xfId="1208" xr:uid="{00000000-0005-0000-0000-0000E4160000}"/>
    <cellStyle name="20% - Accent3 4 4 4 3" xfId="12001" xr:uid="{00000000-0005-0000-0000-0000E5160000}"/>
    <cellStyle name="20% - Accent3 4 4 5" xfId="4092" xr:uid="{00000000-0005-0000-0000-0000E6160000}"/>
    <cellStyle name="20% - Accent3 4 4 5 2" xfId="7662" xr:uid="{00000000-0005-0000-0000-0000E7160000}"/>
    <cellStyle name="20% - Accent3 4 4 6" xfId="24532" xr:uid="{00000000-0005-0000-0000-0000E8160000}"/>
    <cellStyle name="20% - Accent3 4 5" xfId="2083" xr:uid="{00000000-0005-0000-0000-0000E9160000}"/>
    <cellStyle name="20% - Accent3 4 5 2" xfId="1044" xr:uid="{00000000-0005-0000-0000-0000EA160000}"/>
    <cellStyle name="20% - Accent3 4 5 2 2" xfId="19844" xr:uid="{00000000-0005-0000-0000-0000EB160000}"/>
    <cellStyle name="20% - Accent3 4 5 2 2 2" xfId="6100" xr:uid="{00000000-0005-0000-0000-0000EC160000}"/>
    <cellStyle name="20% - Accent3 4 5 2 2 2 2" xfId="6352" xr:uid="{00000000-0005-0000-0000-0000ED160000}"/>
    <cellStyle name="20% - Accent3 4 5 2 2 3" xfId="18405" xr:uid="{00000000-0005-0000-0000-0000EE160000}"/>
    <cellStyle name="20% - Accent3 4 5 2 3" xfId="19852" xr:uid="{00000000-0005-0000-0000-0000EF160000}"/>
    <cellStyle name="20% - Accent3 4 5 2 3 2" xfId="30796" xr:uid="{00000000-0005-0000-0000-0000F0160000}"/>
    <cellStyle name="20% - Accent3 4 5 2 4" xfId="432" xr:uid="{00000000-0005-0000-0000-0000F1160000}"/>
    <cellStyle name="20% - Accent3 4 5 3" xfId="7681" xr:uid="{00000000-0005-0000-0000-0000F2160000}"/>
    <cellStyle name="20% - Accent3 4 5 3 2" xfId="19853" xr:uid="{00000000-0005-0000-0000-0000F3160000}"/>
    <cellStyle name="20% - Accent3 4 5 3 2 2" xfId="30149" xr:uid="{00000000-0005-0000-0000-0000F4160000}"/>
    <cellStyle name="20% - Accent3 4 5 3 3" xfId="7684" xr:uid="{00000000-0005-0000-0000-0000F5160000}"/>
    <cellStyle name="20% - Accent3 4 5 4" xfId="7691" xr:uid="{00000000-0005-0000-0000-0000F6160000}"/>
    <cellStyle name="20% - Accent3 4 5 4 2" xfId="16118" xr:uid="{00000000-0005-0000-0000-0000F7160000}"/>
    <cellStyle name="20% - Accent3 4 5 5" xfId="7699" xr:uid="{00000000-0005-0000-0000-0000F8160000}"/>
    <cellStyle name="20% - Accent3 4 6" xfId="24074" xr:uid="{00000000-0005-0000-0000-0000F9160000}"/>
    <cellStyle name="20% - Accent3 4 6 2" xfId="8756" xr:uid="{00000000-0005-0000-0000-0000FA160000}"/>
    <cellStyle name="20% - Accent3 4 6 2 2" xfId="19861" xr:uid="{00000000-0005-0000-0000-0000FB160000}"/>
    <cellStyle name="20% - Accent3 4 6 2 2 2" xfId="10042" xr:uid="{00000000-0005-0000-0000-0000FC160000}"/>
    <cellStyle name="20% - Accent3 4 6 2 3" xfId="10045" xr:uid="{00000000-0005-0000-0000-0000FD160000}"/>
    <cellStyle name="20% - Accent3 4 6 3" xfId="7709" xr:uid="{00000000-0005-0000-0000-0000FE160000}"/>
    <cellStyle name="20% - Accent3 4 6 3 2" xfId="29795" xr:uid="{00000000-0005-0000-0000-0000FF160000}"/>
    <cellStyle name="20% - Accent3 4 6 4" xfId="5723" xr:uid="{00000000-0005-0000-0000-000000170000}"/>
    <cellStyle name="20% - Accent3 4 7" xfId="25029" xr:uid="{00000000-0005-0000-0000-000001170000}"/>
    <cellStyle name="20% - Accent3 4 7 2" xfId="28641" xr:uid="{00000000-0005-0000-0000-000002170000}"/>
    <cellStyle name="20% - Accent3 4 7 2 2" xfId="10128" xr:uid="{00000000-0005-0000-0000-000003170000}"/>
    <cellStyle name="20% - Accent3 4 7 3" xfId="7719" xr:uid="{00000000-0005-0000-0000-000004170000}"/>
    <cellStyle name="20% - Accent3 4 8" xfId="15013" xr:uid="{00000000-0005-0000-0000-000005170000}"/>
    <cellStyle name="20% - Accent3 4 8 2" xfId="29267" xr:uid="{00000000-0005-0000-0000-000006170000}"/>
    <cellStyle name="20% - Accent3 4 9" xfId="25055" xr:uid="{00000000-0005-0000-0000-000007170000}"/>
    <cellStyle name="20% - Accent3 5" xfId="30507" xr:uid="{00000000-0005-0000-0000-000008170000}"/>
    <cellStyle name="20% - Accent3 5 2" xfId="13215" xr:uid="{00000000-0005-0000-0000-000009170000}"/>
    <cellStyle name="20% - Accent3 5 2 2" xfId="313" xr:uid="{00000000-0005-0000-0000-00000A170000}"/>
    <cellStyle name="20% - Accent3 5 2 2 2" xfId="775" xr:uid="{00000000-0005-0000-0000-00000B170000}"/>
    <cellStyle name="20% - Accent3 5 2 2 2 2" xfId="8758" xr:uid="{00000000-0005-0000-0000-00000C170000}"/>
    <cellStyle name="20% - Accent3 5 2 2 2 2 2" xfId="5521" xr:uid="{00000000-0005-0000-0000-00000D170000}"/>
    <cellStyle name="20% - Accent3 5 2 2 2 2 2 2" xfId="13050" xr:uid="{00000000-0005-0000-0000-00000E170000}"/>
    <cellStyle name="20% - Accent3 5 2 2 2 2 2 2 2" xfId="7019" xr:uid="{00000000-0005-0000-0000-00000F170000}"/>
    <cellStyle name="20% - Accent3 5 2 2 2 2 2 3" xfId="1211" xr:uid="{00000000-0005-0000-0000-000010170000}"/>
    <cellStyle name="20% - Accent3 5 2 2 2 2 3" xfId="8760" xr:uid="{00000000-0005-0000-0000-000011170000}"/>
    <cellStyle name="20% - Accent3 5 2 2 2 2 3 2" xfId="143" xr:uid="{00000000-0005-0000-0000-000012170000}"/>
    <cellStyle name="20% - Accent3 5 2 2 2 2 4" xfId="10538" xr:uid="{00000000-0005-0000-0000-000013170000}"/>
    <cellStyle name="20% - Accent3 5 2 2 2 3" xfId="6357" xr:uid="{00000000-0005-0000-0000-000014170000}"/>
    <cellStyle name="20% - Accent3 5 2 2 2 3 2" xfId="28846" xr:uid="{00000000-0005-0000-0000-000015170000}"/>
    <cellStyle name="20% - Accent3 5 2 2 2 3 2 2" xfId="26423" xr:uid="{00000000-0005-0000-0000-000016170000}"/>
    <cellStyle name="20% - Accent3 5 2 2 2 3 3" xfId="8773" xr:uid="{00000000-0005-0000-0000-000017170000}"/>
    <cellStyle name="20% - Accent3 5 2 2 2 4" xfId="8776" xr:uid="{00000000-0005-0000-0000-000018170000}"/>
    <cellStyle name="20% - Accent3 5 2 2 2 4 2" xfId="25973" xr:uid="{00000000-0005-0000-0000-000019170000}"/>
    <cellStyle name="20% - Accent3 5 2 2 2 5" xfId="10981" xr:uid="{00000000-0005-0000-0000-00001A170000}"/>
    <cellStyle name="20% - Accent3 5 2 2 3" xfId="8779" xr:uid="{00000000-0005-0000-0000-00001B170000}"/>
    <cellStyle name="20% - Accent3 5 2 2 3 2" xfId="8781" xr:uid="{00000000-0005-0000-0000-00001C170000}"/>
    <cellStyle name="20% - Accent3 5 2 2 3 2 2" xfId="12622" xr:uid="{00000000-0005-0000-0000-00001D170000}"/>
    <cellStyle name="20% - Accent3 5 2 2 3 2 2 2" xfId="27978" xr:uid="{00000000-0005-0000-0000-00001E170000}"/>
    <cellStyle name="20% - Accent3 5 2 2 3 2 3" xfId="8787" xr:uid="{00000000-0005-0000-0000-00001F170000}"/>
    <cellStyle name="20% - Accent3 5 2 2 3 3" xfId="8788" xr:uid="{00000000-0005-0000-0000-000020170000}"/>
    <cellStyle name="20% - Accent3 5 2 2 3 3 2" xfId="8793" xr:uid="{00000000-0005-0000-0000-000021170000}"/>
    <cellStyle name="20% - Accent3 5 2 2 3 4" xfId="690" xr:uid="{00000000-0005-0000-0000-000022170000}"/>
    <cellStyle name="20% - Accent3 5 2 2 4" xfId="8795" xr:uid="{00000000-0005-0000-0000-000023170000}"/>
    <cellStyle name="20% - Accent3 5 2 2 4 2" xfId="17575" xr:uid="{00000000-0005-0000-0000-000024170000}"/>
    <cellStyle name="20% - Accent3 5 2 2 4 2 2" xfId="5096" xr:uid="{00000000-0005-0000-0000-000025170000}"/>
    <cellStyle name="20% - Accent3 5 2 2 4 3" xfId="8800" xr:uid="{00000000-0005-0000-0000-000026170000}"/>
    <cellStyle name="20% - Accent3 5 2 2 5" xfId="8803" xr:uid="{00000000-0005-0000-0000-000027170000}"/>
    <cellStyle name="20% - Accent3 5 2 2 5 2" xfId="8459" xr:uid="{00000000-0005-0000-0000-000028170000}"/>
    <cellStyle name="20% - Accent3 5 2 2 6" xfId="9694" xr:uid="{00000000-0005-0000-0000-000029170000}"/>
    <cellStyle name="20% - Accent3 5 2 3" xfId="230" xr:uid="{00000000-0005-0000-0000-00002A170000}"/>
    <cellStyle name="20% - Accent3 5 2 3 2" xfId="8804" xr:uid="{00000000-0005-0000-0000-00002B170000}"/>
    <cellStyle name="20% - Accent3 5 2 3 2 2" xfId="8805" xr:uid="{00000000-0005-0000-0000-00002C170000}"/>
    <cellStyle name="20% - Accent3 5 2 3 2 2 2" xfId="8810" xr:uid="{00000000-0005-0000-0000-00002D170000}"/>
    <cellStyle name="20% - Accent3 5 2 3 2 2 2 2" xfId="8813" xr:uid="{00000000-0005-0000-0000-00002E170000}"/>
    <cellStyle name="20% - Accent3 5 2 3 2 2 3" xfId="8815" xr:uid="{00000000-0005-0000-0000-00002F170000}"/>
    <cellStyle name="20% - Accent3 5 2 3 2 3" xfId="9816" xr:uid="{00000000-0005-0000-0000-000030170000}"/>
    <cellStyle name="20% - Accent3 5 2 3 2 3 2" xfId="8818" xr:uid="{00000000-0005-0000-0000-000031170000}"/>
    <cellStyle name="20% - Accent3 5 2 3 2 4" xfId="8821" xr:uid="{00000000-0005-0000-0000-000032170000}"/>
    <cellStyle name="20% - Accent3 5 2 3 3" xfId="8822" xr:uid="{00000000-0005-0000-0000-000033170000}"/>
    <cellStyle name="20% - Accent3 5 2 3 3 2" xfId="27593" xr:uid="{00000000-0005-0000-0000-000034170000}"/>
    <cellStyle name="20% - Accent3 5 2 3 3 2 2" xfId="8827" xr:uid="{00000000-0005-0000-0000-000035170000}"/>
    <cellStyle name="20% - Accent3 5 2 3 3 3" xfId="8828" xr:uid="{00000000-0005-0000-0000-000036170000}"/>
    <cellStyle name="20% - Accent3 5 2 3 4" xfId="8830" xr:uid="{00000000-0005-0000-0000-000037170000}"/>
    <cellStyle name="20% - Accent3 5 2 3 4 2" xfId="8831" xr:uid="{00000000-0005-0000-0000-000038170000}"/>
    <cellStyle name="20% - Accent3 5 2 3 5" xfId="8834" xr:uid="{00000000-0005-0000-0000-000039170000}"/>
    <cellStyle name="20% - Accent3 5 2 4" xfId="26075" xr:uid="{00000000-0005-0000-0000-00003A170000}"/>
    <cellStyle name="20% - Accent3 5 2 4 2" xfId="4033" xr:uid="{00000000-0005-0000-0000-00003B170000}"/>
    <cellStyle name="20% - Accent3 5 2 4 2 2" xfId="9836" xr:uid="{00000000-0005-0000-0000-00003C170000}"/>
    <cellStyle name="20% - Accent3 5 2 4 2 2 2" xfId="8836" xr:uid="{00000000-0005-0000-0000-00003D170000}"/>
    <cellStyle name="20% - Accent3 5 2 4 2 3" xfId="30209" xr:uid="{00000000-0005-0000-0000-00003E170000}"/>
    <cellStyle name="20% - Accent3 5 2 4 3" xfId="5758" xr:uid="{00000000-0005-0000-0000-00003F170000}"/>
    <cellStyle name="20% - Accent3 5 2 4 3 2" xfId="8848" xr:uid="{00000000-0005-0000-0000-000040170000}"/>
    <cellStyle name="20% - Accent3 5 2 4 4" xfId="5763" xr:uid="{00000000-0005-0000-0000-000041170000}"/>
    <cellStyle name="20% - Accent3 5 2 5" xfId="15493" xr:uid="{00000000-0005-0000-0000-000042170000}"/>
    <cellStyle name="20% - Accent3 5 2 5 2" xfId="1503" xr:uid="{00000000-0005-0000-0000-000043170000}"/>
    <cellStyle name="20% - Accent3 5 2 5 2 2" xfId="8849" xr:uid="{00000000-0005-0000-0000-000044170000}"/>
    <cellStyle name="20% - Accent3 5 2 5 3" xfId="5772" xr:uid="{00000000-0005-0000-0000-000045170000}"/>
    <cellStyle name="20% - Accent3 5 2 6" xfId="12650" xr:uid="{00000000-0005-0000-0000-000046170000}"/>
    <cellStyle name="20% - Accent3 5 2 6 2" xfId="8852" xr:uid="{00000000-0005-0000-0000-000047170000}"/>
    <cellStyle name="20% - Accent3 5 2 7" xfId="14224" xr:uid="{00000000-0005-0000-0000-000048170000}"/>
    <cellStyle name="20% - Accent3 5 3" xfId="13217" xr:uid="{00000000-0005-0000-0000-000049170000}"/>
    <cellStyle name="20% - Accent3 5 3 2" xfId="914" xr:uid="{00000000-0005-0000-0000-00004A170000}"/>
    <cellStyle name="20% - Accent3 5 3 2 2" xfId="8859" xr:uid="{00000000-0005-0000-0000-00004B170000}"/>
    <cellStyle name="20% - Accent3 5 3 2 2 2" xfId="8860" xr:uid="{00000000-0005-0000-0000-00004C170000}"/>
    <cellStyle name="20% - Accent3 5 3 2 2 2 2" xfId="30821" xr:uid="{00000000-0005-0000-0000-00004D170000}"/>
    <cellStyle name="20% - Accent3 5 3 2 2 2 2 2" xfId="1373" xr:uid="{00000000-0005-0000-0000-00004E170000}"/>
    <cellStyle name="20% - Accent3 5 3 2 2 2 3" xfId="25733" xr:uid="{00000000-0005-0000-0000-00004F170000}"/>
    <cellStyle name="20% - Accent3 5 3 2 2 3" xfId="8866" xr:uid="{00000000-0005-0000-0000-000050170000}"/>
    <cellStyle name="20% - Accent3 5 3 2 2 3 2" xfId="11461" xr:uid="{00000000-0005-0000-0000-000051170000}"/>
    <cellStyle name="20% - Accent3 5 3 2 2 4" xfId="29406" xr:uid="{00000000-0005-0000-0000-000052170000}"/>
    <cellStyle name="20% - Accent3 5 3 2 3" xfId="8868" xr:uid="{00000000-0005-0000-0000-000053170000}"/>
    <cellStyle name="20% - Accent3 5 3 2 3 2" xfId="8869" xr:uid="{00000000-0005-0000-0000-000054170000}"/>
    <cellStyle name="20% - Accent3 5 3 2 3 2 2" xfId="33787" xr:uid="{00000000-0005-0000-0000-000055170000}"/>
    <cellStyle name="20% - Accent3 5 3 2 3 3" xfId="8880" xr:uid="{00000000-0005-0000-0000-000056170000}"/>
    <cellStyle name="20% - Accent3 5 3 2 4" xfId="8881" xr:uid="{00000000-0005-0000-0000-000057170000}"/>
    <cellStyle name="20% - Accent3 5 3 2 4 2" xfId="3421" xr:uid="{00000000-0005-0000-0000-000058170000}"/>
    <cellStyle name="20% - Accent3 5 3 2 5" xfId="8885" xr:uid="{00000000-0005-0000-0000-000059170000}"/>
    <cellStyle name="20% - Accent3 5 3 3" xfId="935" xr:uid="{00000000-0005-0000-0000-00005A170000}"/>
    <cellStyle name="20% - Accent3 5 3 3 2" xfId="8886" xr:uid="{00000000-0005-0000-0000-00005B170000}"/>
    <cellStyle name="20% - Accent3 5 3 3 2 2" xfId="8888" xr:uid="{00000000-0005-0000-0000-00005C170000}"/>
    <cellStyle name="20% - Accent3 5 3 3 2 2 2" xfId="33127" xr:uid="{00000000-0005-0000-0000-00005D170000}"/>
    <cellStyle name="20% - Accent3 5 3 3 2 3" xfId="8892" xr:uid="{00000000-0005-0000-0000-00005E170000}"/>
    <cellStyle name="20% - Accent3 5 3 3 3" xfId="8897" xr:uid="{00000000-0005-0000-0000-00005F170000}"/>
    <cellStyle name="20% - Accent3 5 3 3 3 2" xfId="8899" xr:uid="{00000000-0005-0000-0000-000060170000}"/>
    <cellStyle name="20% - Accent3 5 3 3 4" xfId="8900" xr:uid="{00000000-0005-0000-0000-000061170000}"/>
    <cellStyle name="20% - Accent3 5 3 4" xfId="3710" xr:uid="{00000000-0005-0000-0000-000062170000}"/>
    <cellStyle name="20% - Accent3 5 3 4 2" xfId="8905" xr:uid="{00000000-0005-0000-0000-000063170000}"/>
    <cellStyle name="20% - Accent3 5 3 4 2 2" xfId="2945" xr:uid="{00000000-0005-0000-0000-000064170000}"/>
    <cellStyle name="20% - Accent3 5 3 4 3" xfId="5794" xr:uid="{00000000-0005-0000-0000-000065170000}"/>
    <cellStyle name="20% - Accent3 5 3 5" xfId="15506" xr:uid="{00000000-0005-0000-0000-000066170000}"/>
    <cellStyle name="20% - Accent3 5 3 5 2" xfId="8907" xr:uid="{00000000-0005-0000-0000-000067170000}"/>
    <cellStyle name="20% - Accent3 5 3 6" xfId="11513" xr:uid="{00000000-0005-0000-0000-000068170000}"/>
    <cellStyle name="20% - Accent3 5 4" xfId="1070" xr:uid="{00000000-0005-0000-0000-000069170000}"/>
    <cellStyle name="20% - Accent3 5 4 2" xfId="1072" xr:uid="{00000000-0005-0000-0000-00006A170000}"/>
    <cellStyle name="20% - Accent3 5 4 2 2" xfId="10775" xr:uid="{00000000-0005-0000-0000-00006B170000}"/>
    <cellStyle name="20% - Accent3 5 4 2 2 2" xfId="16406" xr:uid="{00000000-0005-0000-0000-00006C170000}"/>
    <cellStyle name="20% - Accent3 5 4 2 2 2 2" xfId="3484" xr:uid="{00000000-0005-0000-0000-00006D170000}"/>
    <cellStyle name="20% - Accent3 5 4 2 2 3" xfId="508" xr:uid="{00000000-0005-0000-0000-00006E170000}"/>
    <cellStyle name="20% - Accent3 5 4 2 3" xfId="8914" xr:uid="{00000000-0005-0000-0000-00006F170000}"/>
    <cellStyle name="20% - Accent3 5 4 2 3 2" xfId="8915" xr:uid="{00000000-0005-0000-0000-000070170000}"/>
    <cellStyle name="20% - Accent3 5 4 2 4" xfId="8918" xr:uid="{00000000-0005-0000-0000-000071170000}"/>
    <cellStyle name="20% - Accent3 5 4 3" xfId="7001" xr:uid="{00000000-0005-0000-0000-000072170000}"/>
    <cellStyle name="20% - Accent3 5 4 3 2" xfId="7733" xr:uid="{00000000-0005-0000-0000-000073170000}"/>
    <cellStyle name="20% - Accent3 5 4 3 2 2" xfId="29990" xr:uid="{00000000-0005-0000-0000-000074170000}"/>
    <cellStyle name="20% - Accent3 5 4 3 3" xfId="7736" xr:uid="{00000000-0005-0000-0000-000075170000}"/>
    <cellStyle name="20% - Accent3 5 4 4" xfId="3717" xr:uid="{00000000-0005-0000-0000-000076170000}"/>
    <cellStyle name="20% - Accent3 5 4 4 2" xfId="7741" xr:uid="{00000000-0005-0000-0000-000077170000}"/>
    <cellStyle name="20% - Accent3 5 4 5" xfId="15515" xr:uid="{00000000-0005-0000-0000-000078170000}"/>
    <cellStyle name="20% - Accent3 5 5" xfId="24081" xr:uid="{00000000-0005-0000-0000-000079170000}"/>
    <cellStyle name="20% - Accent3 5 5 2" xfId="7003" xr:uid="{00000000-0005-0000-0000-00007A170000}"/>
    <cellStyle name="20% - Accent3 5 5 2 2" xfId="5787" xr:uid="{00000000-0005-0000-0000-00007B170000}"/>
    <cellStyle name="20% - Accent3 5 5 2 2 2" xfId="24837" xr:uid="{00000000-0005-0000-0000-00007C170000}"/>
    <cellStyle name="20% - Accent3 5 5 2 3" xfId="8921" xr:uid="{00000000-0005-0000-0000-00007D170000}"/>
    <cellStyle name="20% - Accent3 5 5 3" xfId="7748" xr:uid="{00000000-0005-0000-0000-00007E170000}"/>
    <cellStyle name="20% - Accent3 5 5 3 2" xfId="7757" xr:uid="{00000000-0005-0000-0000-00007F170000}"/>
    <cellStyle name="20% - Accent3 5 5 4" xfId="6055" xr:uid="{00000000-0005-0000-0000-000080170000}"/>
    <cellStyle name="20% - Accent3 5 6" xfId="7007" xr:uid="{00000000-0005-0000-0000-000081170000}"/>
    <cellStyle name="20% - Accent3 5 6 2" xfId="8924" xr:uid="{00000000-0005-0000-0000-000082170000}"/>
    <cellStyle name="20% - Accent3 5 6 2 2" xfId="10229" xr:uid="{00000000-0005-0000-0000-000083170000}"/>
    <cellStyle name="20% - Accent3 5 6 3" xfId="7767" xr:uid="{00000000-0005-0000-0000-000084170000}"/>
    <cellStyle name="20% - Accent3 5 7" xfId="2575" xr:uid="{00000000-0005-0000-0000-000085170000}"/>
    <cellStyle name="20% - Accent3 5 7 2" xfId="25109" xr:uid="{00000000-0005-0000-0000-000086170000}"/>
    <cellStyle name="20% - Accent3 5 8" xfId="5204" xr:uid="{00000000-0005-0000-0000-000087170000}"/>
    <cellStyle name="20% - Accent3 6" xfId="13221" xr:uid="{00000000-0005-0000-0000-000088170000}"/>
    <cellStyle name="20% - Accent3 6 2" xfId="13224" xr:uid="{00000000-0005-0000-0000-000089170000}"/>
    <cellStyle name="20% - Accent3 6 2 2" xfId="16602" xr:uid="{00000000-0005-0000-0000-00008A170000}"/>
    <cellStyle name="20% - Accent3 6 2 2 2" xfId="14875" xr:uid="{00000000-0005-0000-0000-00008B170000}"/>
    <cellStyle name="20% - Accent3 6 2 2 2 2" xfId="11721" xr:uid="{00000000-0005-0000-0000-00008C170000}"/>
    <cellStyle name="20% - Accent3 6 2 2 2 2 2" xfId="29998" xr:uid="{00000000-0005-0000-0000-00008D170000}"/>
    <cellStyle name="20% - Accent3 6 2 2 2 2 2 2" xfId="28325" xr:uid="{00000000-0005-0000-0000-00008E170000}"/>
    <cellStyle name="20% - Accent3 6 2 2 2 2 3" xfId="25123" xr:uid="{00000000-0005-0000-0000-00008F170000}"/>
    <cellStyle name="20% - Accent3 6 2 2 2 3" xfId="10962" xr:uid="{00000000-0005-0000-0000-000090170000}"/>
    <cellStyle name="20% - Accent3 6 2 2 2 3 2" xfId="6717" xr:uid="{00000000-0005-0000-0000-000091170000}"/>
    <cellStyle name="20% - Accent3 6 2 2 2 4" xfId="8930" xr:uid="{00000000-0005-0000-0000-000092170000}"/>
    <cellStyle name="20% - Accent3 6 2 2 3" xfId="11726" xr:uid="{00000000-0005-0000-0000-000093170000}"/>
    <cellStyle name="20% - Accent3 6 2 2 3 2" xfId="1496" xr:uid="{00000000-0005-0000-0000-000094170000}"/>
    <cellStyle name="20% - Accent3 6 2 2 3 2 2" xfId="32770" xr:uid="{00000000-0005-0000-0000-000095170000}"/>
    <cellStyle name="20% - Accent3 6 2 2 3 3" xfId="8933" xr:uid="{00000000-0005-0000-0000-000096170000}"/>
    <cellStyle name="20% - Accent3 6 2 2 4" xfId="3244" xr:uid="{00000000-0005-0000-0000-000097170000}"/>
    <cellStyle name="20% - Accent3 6 2 2 4 2" xfId="7225" xr:uid="{00000000-0005-0000-0000-000098170000}"/>
    <cellStyle name="20% - Accent3 6 2 2 5" xfId="7229" xr:uid="{00000000-0005-0000-0000-000099170000}"/>
    <cellStyle name="20% - Accent3 6 2 3" xfId="7045" xr:uid="{00000000-0005-0000-0000-00009A170000}"/>
    <cellStyle name="20% - Accent3 6 2 3 2" xfId="11734" xr:uid="{00000000-0005-0000-0000-00009B170000}"/>
    <cellStyle name="20% - Accent3 6 2 3 2 2" xfId="7948" xr:uid="{00000000-0005-0000-0000-00009C170000}"/>
    <cellStyle name="20% - Accent3 6 2 3 2 2 2" xfId="14450" xr:uid="{00000000-0005-0000-0000-00009D170000}"/>
    <cellStyle name="20% - Accent3 6 2 3 2 3" xfId="8941" xr:uid="{00000000-0005-0000-0000-00009E170000}"/>
    <cellStyle name="20% - Accent3 6 2 3 3" xfId="3076" xr:uid="{00000000-0005-0000-0000-00009F170000}"/>
    <cellStyle name="20% - Accent3 6 2 3 3 2" xfId="8947" xr:uid="{00000000-0005-0000-0000-0000A0170000}"/>
    <cellStyle name="20% - Accent3 6 2 3 4" xfId="7235" xr:uid="{00000000-0005-0000-0000-0000A1170000}"/>
    <cellStyle name="20% - Accent3 6 2 4" xfId="7051" xr:uid="{00000000-0005-0000-0000-0000A2170000}"/>
    <cellStyle name="20% - Accent3 6 2 4 2" xfId="27389" xr:uid="{00000000-0005-0000-0000-0000A3170000}"/>
    <cellStyle name="20% - Accent3 6 2 4 2 2" xfId="10248" xr:uid="{00000000-0005-0000-0000-0000A4170000}"/>
    <cellStyle name="20% - Accent3 6 2 4 3" xfId="5824" xr:uid="{00000000-0005-0000-0000-0000A5170000}"/>
    <cellStyle name="20% - Accent3 6 2 5" xfId="12266" xr:uid="{00000000-0005-0000-0000-0000A6170000}"/>
    <cellStyle name="20% - Accent3 6 2 5 2" xfId="1094" xr:uid="{00000000-0005-0000-0000-0000A7170000}"/>
    <cellStyle name="20% - Accent3 6 2 6" xfId="11524" xr:uid="{00000000-0005-0000-0000-0000A8170000}"/>
    <cellStyle name="20% - Accent3 6 3" xfId="16603" xr:uid="{00000000-0005-0000-0000-0000A9170000}"/>
    <cellStyle name="20% - Accent3 6 3 2" xfId="1097" xr:uid="{00000000-0005-0000-0000-0000AA170000}"/>
    <cellStyle name="20% - Accent3 6 3 2 2" xfId="14533" xr:uid="{00000000-0005-0000-0000-0000AB170000}"/>
    <cellStyle name="20% - Accent3 6 3 2 2 2" xfId="31824" xr:uid="{00000000-0005-0000-0000-0000AC170000}"/>
    <cellStyle name="20% - Accent3 6 3 2 2 2 2" xfId="6945" xr:uid="{00000000-0005-0000-0000-0000AD170000}"/>
    <cellStyle name="20% - Accent3 6 3 2 2 3" xfId="8949" xr:uid="{00000000-0005-0000-0000-0000AE170000}"/>
    <cellStyle name="20% - Accent3 6 3 2 3" xfId="4098" xr:uid="{00000000-0005-0000-0000-0000AF170000}"/>
    <cellStyle name="20% - Accent3 6 3 2 3 2" xfId="8950" xr:uid="{00000000-0005-0000-0000-0000B0170000}"/>
    <cellStyle name="20% - Accent3 6 3 2 4" xfId="7252" xr:uid="{00000000-0005-0000-0000-0000B1170000}"/>
    <cellStyle name="20% - Accent3 6 3 3" xfId="7057" xr:uid="{00000000-0005-0000-0000-0000B2170000}"/>
    <cellStyle name="20% - Accent3 6 3 3 2" xfId="27757" xr:uid="{00000000-0005-0000-0000-0000B3170000}"/>
    <cellStyle name="20% - Accent3 6 3 3 2 2" xfId="7509" xr:uid="{00000000-0005-0000-0000-0000B4170000}"/>
    <cellStyle name="20% - Accent3 6 3 3 3" xfId="8953" xr:uid="{00000000-0005-0000-0000-0000B5170000}"/>
    <cellStyle name="20% - Accent3 6 3 4" xfId="3725" xr:uid="{00000000-0005-0000-0000-0000B6170000}"/>
    <cellStyle name="20% - Accent3 6 3 4 2" xfId="8957" xr:uid="{00000000-0005-0000-0000-0000B7170000}"/>
    <cellStyle name="20% - Accent3 6 3 5" xfId="15528" xr:uid="{00000000-0005-0000-0000-0000B8170000}"/>
    <cellStyle name="20% - Accent3 6 4" xfId="16608" xr:uid="{00000000-0005-0000-0000-0000B9170000}"/>
    <cellStyle name="20% - Accent3 6 4 2" xfId="7060" xr:uid="{00000000-0005-0000-0000-0000BA170000}"/>
    <cellStyle name="20% - Accent3 6 4 2 2" xfId="28731" xr:uid="{00000000-0005-0000-0000-0000BB170000}"/>
    <cellStyle name="20% - Accent3 6 4 2 2 2" xfId="308" xr:uid="{00000000-0005-0000-0000-0000BC170000}"/>
    <cellStyle name="20% - Accent3 6 4 2 3" xfId="17403" xr:uid="{00000000-0005-0000-0000-0000BD170000}"/>
    <cellStyle name="20% - Accent3 6 4 3" xfId="7773" xr:uid="{00000000-0005-0000-0000-0000BE170000}"/>
    <cellStyle name="20% - Accent3 6 4 3 2" xfId="7776" xr:uid="{00000000-0005-0000-0000-0000BF170000}"/>
    <cellStyle name="20% - Accent3 6 4 4" xfId="3735" xr:uid="{00000000-0005-0000-0000-0000C0170000}"/>
    <cellStyle name="20% - Accent3 6 5" xfId="6143" xr:uid="{00000000-0005-0000-0000-0000C1170000}"/>
    <cellStyle name="20% - Accent3 6 5 2" xfId="8971" xr:uid="{00000000-0005-0000-0000-0000C2170000}"/>
    <cellStyle name="20% - Accent3 6 5 2 2" xfId="32723" xr:uid="{00000000-0005-0000-0000-0000C3170000}"/>
    <cellStyle name="20% - Accent3 6 5 3" xfId="7794" xr:uid="{00000000-0005-0000-0000-0000C4170000}"/>
    <cellStyle name="20% - Accent3 6 6" xfId="6155" xr:uid="{00000000-0005-0000-0000-0000C5170000}"/>
    <cellStyle name="20% - Accent3 6 6 2" xfId="8973" xr:uid="{00000000-0005-0000-0000-0000C6170000}"/>
    <cellStyle name="20% - Accent3 6 7" xfId="25174" xr:uid="{00000000-0005-0000-0000-0000C7170000}"/>
    <cellStyle name="20% - Accent3 7" xfId="12545" xr:uid="{00000000-0005-0000-0000-0000C8170000}"/>
    <cellStyle name="20% - Accent3 7 2" xfId="12770" xr:uid="{00000000-0005-0000-0000-0000C9170000}"/>
    <cellStyle name="20% - Accent3 7 2 2" xfId="7069" xr:uid="{00000000-0005-0000-0000-0000CA170000}"/>
    <cellStyle name="20% - Accent3 7 2 2 2" xfId="20419" xr:uid="{00000000-0005-0000-0000-0000CB170000}"/>
    <cellStyle name="20% - Accent3 7 2 2 2 2" xfId="1702" xr:uid="{00000000-0005-0000-0000-0000CC170000}"/>
    <cellStyle name="20% - Accent3 7 2 2 2 2 2" xfId="10157" xr:uid="{00000000-0005-0000-0000-0000CD170000}"/>
    <cellStyle name="20% - Accent3 7 2 2 2 3" xfId="1151" xr:uid="{00000000-0005-0000-0000-0000CE170000}"/>
    <cellStyle name="20% - Accent3 7 2 2 3" xfId="6636" xr:uid="{00000000-0005-0000-0000-0000CF170000}"/>
    <cellStyle name="20% - Accent3 7 2 2 3 2" xfId="8065" xr:uid="{00000000-0005-0000-0000-0000D0170000}"/>
    <cellStyle name="20% - Accent3 7 2 2 4" xfId="6641" xr:uid="{00000000-0005-0000-0000-0000D1170000}"/>
    <cellStyle name="20% - Accent3 7 2 3" xfId="7073" xr:uid="{00000000-0005-0000-0000-0000D2170000}"/>
    <cellStyle name="20% - Accent3 7 2 3 2" xfId="8974" xr:uid="{00000000-0005-0000-0000-0000D3170000}"/>
    <cellStyle name="20% - Accent3 7 2 3 2 2" xfId="1777" xr:uid="{00000000-0005-0000-0000-0000D4170000}"/>
    <cellStyle name="20% - Accent3 7 2 3 3" xfId="6642" xr:uid="{00000000-0005-0000-0000-0000D5170000}"/>
    <cellStyle name="20% - Accent3 7 2 4" xfId="8975" xr:uid="{00000000-0005-0000-0000-0000D6170000}"/>
    <cellStyle name="20% - Accent3 7 2 4 2" xfId="21114" xr:uid="{00000000-0005-0000-0000-0000D7170000}"/>
    <cellStyle name="20% - Accent3 7 2 5" xfId="11537" xr:uid="{00000000-0005-0000-0000-0000D8170000}"/>
    <cellStyle name="20% - Accent3 7 3" xfId="6184" xr:uid="{00000000-0005-0000-0000-0000D9170000}"/>
    <cellStyle name="20% - Accent3 7 3 2" xfId="7077" xr:uid="{00000000-0005-0000-0000-0000DA170000}"/>
    <cellStyle name="20% - Accent3 7 3 2 2" xfId="2000" xr:uid="{00000000-0005-0000-0000-0000DB170000}"/>
    <cellStyle name="20% - Accent3 7 3 2 2 2" xfId="1879" xr:uid="{00000000-0005-0000-0000-0000DC170000}"/>
    <cellStyle name="20% - Accent3 7 3 2 3" xfId="1366" xr:uid="{00000000-0005-0000-0000-0000DD170000}"/>
    <cellStyle name="20% - Accent3 7 3 3" xfId="8977" xr:uid="{00000000-0005-0000-0000-0000DE170000}"/>
    <cellStyle name="20% - Accent3 7 3 3 2" xfId="392" xr:uid="{00000000-0005-0000-0000-0000DF170000}"/>
    <cellStyle name="20% - Accent3 7 3 4" xfId="10999" xr:uid="{00000000-0005-0000-0000-0000E0170000}"/>
    <cellStyle name="20% - Accent3 7 4" xfId="6190" xr:uid="{00000000-0005-0000-0000-0000E1170000}"/>
    <cellStyle name="20% - Accent3 7 4 2" xfId="29900" xr:uid="{00000000-0005-0000-0000-0000E2170000}"/>
    <cellStyle name="20% - Accent3 7 4 2 2" xfId="14558" xr:uid="{00000000-0005-0000-0000-0000E3170000}"/>
    <cellStyle name="20% - Accent3 7 4 3" xfId="7802" xr:uid="{00000000-0005-0000-0000-0000E4170000}"/>
    <cellStyle name="20% - Accent3 7 5" xfId="6158" xr:uid="{00000000-0005-0000-0000-0000E5170000}"/>
    <cellStyle name="20% - Accent3 7 5 2" xfId="28648" xr:uid="{00000000-0005-0000-0000-0000E6170000}"/>
    <cellStyle name="20% - Accent3 7 6" xfId="5872" xr:uid="{00000000-0005-0000-0000-0000E7170000}"/>
    <cellStyle name="20% - Accent3 8" xfId="4908" xr:uid="{00000000-0005-0000-0000-0000E8170000}"/>
    <cellStyle name="20% - Accent3 8 2" xfId="7089" xr:uid="{00000000-0005-0000-0000-0000E9170000}"/>
    <cellStyle name="20% - Accent3 8 2 2" xfId="9305" xr:uid="{00000000-0005-0000-0000-0000EA170000}"/>
    <cellStyle name="20% - Accent3 8 2 2 2" xfId="32836" xr:uid="{00000000-0005-0000-0000-0000EB170000}"/>
    <cellStyle name="20% - Accent3 8 2 2 2 2" xfId="27987" xr:uid="{00000000-0005-0000-0000-0000EC170000}"/>
    <cellStyle name="20% - Accent3 8 2 2 3" xfId="8978" xr:uid="{00000000-0005-0000-0000-0000ED170000}"/>
    <cellStyle name="20% - Accent3 8 2 3" xfId="8981" xr:uid="{00000000-0005-0000-0000-0000EE170000}"/>
    <cellStyle name="20% - Accent3 8 2 3 2" xfId="8986" xr:uid="{00000000-0005-0000-0000-0000EF170000}"/>
    <cellStyle name="20% - Accent3 8 2 4" xfId="10318" xr:uid="{00000000-0005-0000-0000-0000F0170000}"/>
    <cellStyle name="20% - Accent3 8 3" xfId="7095" xr:uid="{00000000-0005-0000-0000-0000F1170000}"/>
    <cellStyle name="20% - Accent3 8 3 2" xfId="1417" xr:uid="{00000000-0005-0000-0000-0000F2170000}"/>
    <cellStyle name="20% - Accent3 8 3 2 2" xfId="3061" xr:uid="{00000000-0005-0000-0000-0000F3170000}"/>
    <cellStyle name="20% - Accent3 8 3 3" xfId="8989" xr:uid="{00000000-0005-0000-0000-0000F4170000}"/>
    <cellStyle name="20% - Accent3 8 4" xfId="8990" xr:uid="{00000000-0005-0000-0000-0000F5170000}"/>
    <cellStyle name="20% - Accent3 8 4 2" xfId="8991" xr:uid="{00000000-0005-0000-0000-0000F6170000}"/>
    <cellStyle name="20% - Accent3 8 5" xfId="7172" xr:uid="{00000000-0005-0000-0000-0000F7170000}"/>
    <cellStyle name="20% - Accent3 9" xfId="15512" xr:uid="{00000000-0005-0000-0000-0000F8170000}"/>
    <cellStyle name="20% - Accent3 9 2" xfId="7105" xr:uid="{00000000-0005-0000-0000-0000F9170000}"/>
    <cellStyle name="20% - Accent3 9 2 2" xfId="8993" xr:uid="{00000000-0005-0000-0000-0000FA170000}"/>
    <cellStyle name="20% - Accent3 9 2 2 2" xfId="8997" xr:uid="{00000000-0005-0000-0000-0000FB170000}"/>
    <cellStyle name="20% - Accent3 9 2 3" xfId="9001" xr:uid="{00000000-0005-0000-0000-0000FC170000}"/>
    <cellStyle name="20% - Accent3 9 3" xfId="18553" xr:uid="{00000000-0005-0000-0000-0000FD170000}"/>
    <cellStyle name="20% - Accent3 9 3 2" xfId="9002" xr:uid="{00000000-0005-0000-0000-0000FE170000}"/>
    <cellStyle name="20% - Accent3 9 4" xfId="13767" xr:uid="{00000000-0005-0000-0000-0000FF170000}"/>
    <cellStyle name="20% - Accent4 10" xfId="8733" xr:uid="{00000000-0005-0000-0000-000000180000}"/>
    <cellStyle name="20% - Accent4 10 2" xfId="7302" xr:uid="{00000000-0005-0000-0000-000001180000}"/>
    <cellStyle name="20% - Accent4 10 2 2" xfId="964" xr:uid="{00000000-0005-0000-0000-000002180000}"/>
    <cellStyle name="20% - Accent4 10 3" xfId="9004" xr:uid="{00000000-0005-0000-0000-000003180000}"/>
    <cellStyle name="20% - Accent4 11" xfId="2385" xr:uid="{00000000-0005-0000-0000-000004180000}"/>
    <cellStyle name="20% - Accent4 11 2" xfId="86" xr:uid="{00000000-0005-0000-0000-000005180000}"/>
    <cellStyle name="20% - Accent4 12" xfId="682" xr:uid="{00000000-0005-0000-0000-000006180000}"/>
    <cellStyle name="20% - Accent4 13" xfId="6503" xr:uid="{00000000-0005-0000-0000-000007180000}"/>
    <cellStyle name="20% - Accent4 2" xfId="6221" xr:uid="{00000000-0005-0000-0000-000008180000}"/>
    <cellStyle name="20% - Accent4 2 10" xfId="10182" xr:uid="{00000000-0005-0000-0000-000009180000}"/>
    <cellStyle name="20% - Accent4 2 10 2" xfId="9114" xr:uid="{00000000-0005-0000-0000-00000A180000}"/>
    <cellStyle name="20% - Accent4 2 11" xfId="9010" xr:uid="{00000000-0005-0000-0000-00000B180000}"/>
    <cellStyle name="20% - Accent4 2 2" xfId="1170" xr:uid="{00000000-0005-0000-0000-00000C180000}"/>
    <cellStyle name="20% - Accent4 2 2 10" xfId="9018" xr:uid="{00000000-0005-0000-0000-00000D180000}"/>
    <cellStyle name="20% - Accent4 2 2 2" xfId="1178" xr:uid="{00000000-0005-0000-0000-00000E180000}"/>
    <cellStyle name="20% - Accent4 2 2 2 2" xfId="1186" xr:uid="{00000000-0005-0000-0000-00000F180000}"/>
    <cellStyle name="20% - Accent4 2 2 2 2 2" xfId="30291" xr:uid="{00000000-0005-0000-0000-000010180000}"/>
    <cellStyle name="20% - Accent4 2 2 2 2 2 2" xfId="27722" xr:uid="{00000000-0005-0000-0000-000011180000}"/>
    <cellStyle name="20% - Accent4 2 2 2 2 2 2 2" xfId="30343" xr:uid="{00000000-0005-0000-0000-000012180000}"/>
    <cellStyle name="20% - Accent4 2 2 2 2 2 2 2 2" xfId="126" xr:uid="{00000000-0005-0000-0000-000013180000}"/>
    <cellStyle name="20% - Accent4 2 2 2 2 2 2 2 2 2" xfId="30002" xr:uid="{00000000-0005-0000-0000-000014180000}"/>
    <cellStyle name="20% - Accent4 2 2 2 2 2 2 2 2 2 2" xfId="3241" xr:uid="{00000000-0005-0000-0000-000015180000}"/>
    <cellStyle name="20% - Accent4 2 2 2 2 2 2 2 2 2 2 2" xfId="9031" xr:uid="{00000000-0005-0000-0000-000016180000}"/>
    <cellStyle name="20% - Accent4 2 2 2 2 2 2 2 2 2 3" xfId="29796" xr:uid="{00000000-0005-0000-0000-000017180000}"/>
    <cellStyle name="20% - Accent4 2 2 2 2 2 2 2 2 3" xfId="23464" xr:uid="{00000000-0005-0000-0000-000018180000}"/>
    <cellStyle name="20% - Accent4 2 2 2 2 2 2 2 2 3 2" xfId="12369" xr:uid="{00000000-0005-0000-0000-000019180000}"/>
    <cellStyle name="20% - Accent4 2 2 2 2 2 2 2 2 4" xfId="7390" xr:uid="{00000000-0005-0000-0000-00001A180000}"/>
    <cellStyle name="20% - Accent4 2 2 2 2 2 2 2 3" xfId="9032" xr:uid="{00000000-0005-0000-0000-00001B180000}"/>
    <cellStyle name="20% - Accent4 2 2 2 2 2 2 2 3 2" xfId="11960" xr:uid="{00000000-0005-0000-0000-00001C180000}"/>
    <cellStyle name="20% - Accent4 2 2 2 2 2 2 2 3 2 2" xfId="18601" xr:uid="{00000000-0005-0000-0000-00001D180000}"/>
    <cellStyle name="20% - Accent4 2 2 2 2 2 2 2 3 3" xfId="3571" xr:uid="{00000000-0005-0000-0000-00001E180000}"/>
    <cellStyle name="20% - Accent4 2 2 2 2 2 2 2 4" xfId="4097" xr:uid="{00000000-0005-0000-0000-00001F180000}"/>
    <cellStyle name="20% - Accent4 2 2 2 2 2 2 2 4 2" xfId="14568" xr:uid="{00000000-0005-0000-0000-000020180000}"/>
    <cellStyle name="20% - Accent4 2 2 2 2 2 2 2 5" xfId="8398" xr:uid="{00000000-0005-0000-0000-000021180000}"/>
    <cellStyle name="20% - Accent4 2 2 2 2 2 2 3" xfId="9034" xr:uid="{00000000-0005-0000-0000-000022180000}"/>
    <cellStyle name="20% - Accent4 2 2 2 2 2 2 3 2" xfId="9036" xr:uid="{00000000-0005-0000-0000-000023180000}"/>
    <cellStyle name="20% - Accent4 2 2 2 2 2 2 3 2 2" xfId="23483" xr:uid="{00000000-0005-0000-0000-000024180000}"/>
    <cellStyle name="20% - Accent4 2 2 2 2 2 2 3 2 2 2" xfId="6639" xr:uid="{00000000-0005-0000-0000-000025180000}"/>
    <cellStyle name="20% - Accent4 2 2 2 2 2 2 3 2 3" xfId="2070" xr:uid="{00000000-0005-0000-0000-000026180000}"/>
    <cellStyle name="20% - Accent4 2 2 2 2 2 2 3 3" xfId="32158" xr:uid="{00000000-0005-0000-0000-000027180000}"/>
    <cellStyle name="20% - Accent4 2 2 2 2 2 2 3 3 2" xfId="2309" xr:uid="{00000000-0005-0000-0000-000028180000}"/>
    <cellStyle name="20% - Accent4 2 2 2 2 2 2 3 4" xfId="5477" xr:uid="{00000000-0005-0000-0000-000029180000}"/>
    <cellStyle name="20% - Accent4 2 2 2 2 2 2 4" xfId="5378" xr:uid="{00000000-0005-0000-0000-00002A180000}"/>
    <cellStyle name="20% - Accent4 2 2 2 2 2 2 4 2" xfId="9037" xr:uid="{00000000-0005-0000-0000-00002B180000}"/>
    <cellStyle name="20% - Accent4 2 2 2 2 2 2 4 2 2" xfId="26043" xr:uid="{00000000-0005-0000-0000-00002C180000}"/>
    <cellStyle name="20% - Accent4 2 2 2 2 2 2 4 3" xfId="9038" xr:uid="{00000000-0005-0000-0000-00002D180000}"/>
    <cellStyle name="20% - Accent4 2 2 2 2 2 2 5" xfId="9039" xr:uid="{00000000-0005-0000-0000-00002E180000}"/>
    <cellStyle name="20% - Accent4 2 2 2 2 2 2 5 2" xfId="6995" xr:uid="{00000000-0005-0000-0000-00002F180000}"/>
    <cellStyle name="20% - Accent4 2 2 2 2 2 2 6" xfId="9041" xr:uid="{00000000-0005-0000-0000-000030180000}"/>
    <cellStyle name="20% - Accent4 2 2 2 2 2 3" xfId="18364" xr:uid="{00000000-0005-0000-0000-000031180000}"/>
    <cellStyle name="20% - Accent4 2 2 2 2 2 3 2" xfId="14081" xr:uid="{00000000-0005-0000-0000-000032180000}"/>
    <cellStyle name="20% - Accent4 2 2 2 2 2 3 2 2" xfId="9043" xr:uid="{00000000-0005-0000-0000-000033180000}"/>
    <cellStyle name="20% - Accent4 2 2 2 2 2 3 2 2 2" xfId="23552" xr:uid="{00000000-0005-0000-0000-000034180000}"/>
    <cellStyle name="20% - Accent4 2 2 2 2 2 3 2 2 2 2" xfId="18679" xr:uid="{00000000-0005-0000-0000-000035180000}"/>
    <cellStyle name="20% - Accent4 2 2 2 2 2 3 2 2 3" xfId="640" xr:uid="{00000000-0005-0000-0000-000036180000}"/>
    <cellStyle name="20% - Accent4 2 2 2 2 2 3 2 3" xfId="29771" xr:uid="{00000000-0005-0000-0000-000037180000}"/>
    <cellStyle name="20% - Accent4 2 2 2 2 2 3 2 3 2" xfId="9148" xr:uid="{00000000-0005-0000-0000-000038180000}"/>
    <cellStyle name="20% - Accent4 2 2 2 2 2 3 2 4" xfId="620" xr:uid="{00000000-0005-0000-0000-000039180000}"/>
    <cellStyle name="20% - Accent4 2 2 2 2 2 3 3" xfId="9044" xr:uid="{00000000-0005-0000-0000-00003A180000}"/>
    <cellStyle name="20% - Accent4 2 2 2 2 2 3 3 2" xfId="32509" xr:uid="{00000000-0005-0000-0000-00003B180000}"/>
    <cellStyle name="20% - Accent4 2 2 2 2 2 3 3 2 2" xfId="327" xr:uid="{00000000-0005-0000-0000-00003C180000}"/>
    <cellStyle name="20% - Accent4 2 2 2 2 2 3 3 3" xfId="5516" xr:uid="{00000000-0005-0000-0000-00003D180000}"/>
    <cellStyle name="20% - Accent4 2 2 2 2 2 3 4" xfId="9045" xr:uid="{00000000-0005-0000-0000-00003E180000}"/>
    <cellStyle name="20% - Accent4 2 2 2 2 2 3 4 2" xfId="9046" xr:uid="{00000000-0005-0000-0000-00003F180000}"/>
    <cellStyle name="20% - Accent4 2 2 2 2 2 3 5" xfId="9047" xr:uid="{00000000-0005-0000-0000-000040180000}"/>
    <cellStyle name="20% - Accent4 2 2 2 2 2 4" xfId="26770" xr:uid="{00000000-0005-0000-0000-000041180000}"/>
    <cellStyle name="20% - Accent4 2 2 2 2 2 4 2" xfId="9052" xr:uid="{00000000-0005-0000-0000-000042180000}"/>
    <cellStyle name="20% - Accent4 2 2 2 2 2 4 2 2" xfId="9054" xr:uid="{00000000-0005-0000-0000-000043180000}"/>
    <cellStyle name="20% - Accent4 2 2 2 2 2 4 2 2 2" xfId="450" xr:uid="{00000000-0005-0000-0000-000044180000}"/>
    <cellStyle name="20% - Accent4 2 2 2 2 2 4 2 3" xfId="9055" xr:uid="{00000000-0005-0000-0000-000045180000}"/>
    <cellStyle name="20% - Accent4 2 2 2 2 2 4 3" xfId="9057" xr:uid="{00000000-0005-0000-0000-000046180000}"/>
    <cellStyle name="20% - Accent4 2 2 2 2 2 4 3 2" xfId="9060" xr:uid="{00000000-0005-0000-0000-000047180000}"/>
    <cellStyle name="20% - Accent4 2 2 2 2 2 4 4" xfId="18997" xr:uid="{00000000-0005-0000-0000-000048180000}"/>
    <cellStyle name="20% - Accent4 2 2 2 2 2 5" xfId="9064" xr:uid="{00000000-0005-0000-0000-000049180000}"/>
    <cellStyle name="20% - Accent4 2 2 2 2 2 5 2" xfId="9069" xr:uid="{00000000-0005-0000-0000-00004A180000}"/>
    <cellStyle name="20% - Accent4 2 2 2 2 2 5 2 2" xfId="9042" xr:uid="{00000000-0005-0000-0000-00004B180000}"/>
    <cellStyle name="20% - Accent4 2 2 2 2 2 5 3" xfId="24545" xr:uid="{00000000-0005-0000-0000-00004C180000}"/>
    <cellStyle name="20% - Accent4 2 2 2 2 2 6" xfId="9074" xr:uid="{00000000-0005-0000-0000-00004D180000}"/>
    <cellStyle name="20% - Accent4 2 2 2 2 2 6 2" xfId="6827" xr:uid="{00000000-0005-0000-0000-00004E180000}"/>
    <cellStyle name="20% - Accent4 2 2 2 2 2 7" xfId="6942" xr:uid="{00000000-0005-0000-0000-00004F180000}"/>
    <cellStyle name="20% - Accent4 2 2 2 2 3" xfId="9076" xr:uid="{00000000-0005-0000-0000-000050180000}"/>
    <cellStyle name="20% - Accent4 2 2 2 2 3 2" xfId="29792" xr:uid="{00000000-0005-0000-0000-000051180000}"/>
    <cellStyle name="20% - Accent4 2 2 2 2 3 2 2" xfId="8624" xr:uid="{00000000-0005-0000-0000-000052180000}"/>
    <cellStyle name="20% - Accent4 2 2 2 2 3 2 2 2" xfId="9077" xr:uid="{00000000-0005-0000-0000-000053180000}"/>
    <cellStyle name="20% - Accent4 2 2 2 2 3 2 2 2 2" xfId="23727" xr:uid="{00000000-0005-0000-0000-000054180000}"/>
    <cellStyle name="20% - Accent4 2 2 2 2 3 2 2 2 2 2" xfId="18806" xr:uid="{00000000-0005-0000-0000-000055180000}"/>
    <cellStyle name="20% - Accent4 2 2 2 2 3 2 2 2 3" xfId="21943" xr:uid="{00000000-0005-0000-0000-000056180000}"/>
    <cellStyle name="20% - Accent4 2 2 2 2 3 2 2 3" xfId="29835" xr:uid="{00000000-0005-0000-0000-000057180000}"/>
    <cellStyle name="20% - Accent4 2 2 2 2 3 2 2 3 2" xfId="4298" xr:uid="{00000000-0005-0000-0000-000058180000}"/>
    <cellStyle name="20% - Accent4 2 2 2 2 3 2 2 4" xfId="5643" xr:uid="{00000000-0005-0000-0000-000059180000}"/>
    <cellStyle name="20% - Accent4 2 2 2 2 3 2 3" xfId="2036" xr:uid="{00000000-0005-0000-0000-00005A180000}"/>
    <cellStyle name="20% - Accent4 2 2 2 2 3 2 3 2" xfId="9028" xr:uid="{00000000-0005-0000-0000-00005B180000}"/>
    <cellStyle name="20% - Accent4 2 2 2 2 3 2 3 2 2" xfId="560" xr:uid="{00000000-0005-0000-0000-00005C180000}"/>
    <cellStyle name="20% - Accent4 2 2 2 2 3 2 3 3" xfId="9078" xr:uid="{00000000-0005-0000-0000-00005D180000}"/>
    <cellStyle name="20% - Accent4 2 2 2 2 3 2 4" xfId="2037" xr:uid="{00000000-0005-0000-0000-00005E180000}"/>
    <cellStyle name="20% - Accent4 2 2 2 2 3 2 4 2" xfId="19490" xr:uid="{00000000-0005-0000-0000-00005F180000}"/>
    <cellStyle name="20% - Accent4 2 2 2 2 3 2 5" xfId="9084" xr:uid="{00000000-0005-0000-0000-000060180000}"/>
    <cellStyle name="20% - Accent4 2 2 2 2 3 3" xfId="18383" xr:uid="{00000000-0005-0000-0000-000061180000}"/>
    <cellStyle name="20% - Accent4 2 2 2 2 3 3 2" xfId="2045" xr:uid="{00000000-0005-0000-0000-000062180000}"/>
    <cellStyle name="20% - Accent4 2 2 2 2 3 3 2 2" xfId="9089" xr:uid="{00000000-0005-0000-0000-000063180000}"/>
    <cellStyle name="20% - Accent4 2 2 2 2 3 3 2 2 2" xfId="2748" xr:uid="{00000000-0005-0000-0000-000064180000}"/>
    <cellStyle name="20% - Accent4 2 2 2 2 3 3 2 3" xfId="9090" xr:uid="{00000000-0005-0000-0000-000065180000}"/>
    <cellStyle name="20% - Accent4 2 2 2 2 3 3 3" xfId="2047" xr:uid="{00000000-0005-0000-0000-000066180000}"/>
    <cellStyle name="20% - Accent4 2 2 2 2 3 3 3 2" xfId="9091" xr:uid="{00000000-0005-0000-0000-000067180000}"/>
    <cellStyle name="20% - Accent4 2 2 2 2 3 3 4" xfId="9093" xr:uid="{00000000-0005-0000-0000-000068180000}"/>
    <cellStyle name="20% - Accent4 2 2 2 2 3 4" xfId="9099" xr:uid="{00000000-0005-0000-0000-000069180000}"/>
    <cellStyle name="20% - Accent4 2 2 2 2 3 4 2" xfId="7439" xr:uid="{00000000-0005-0000-0000-00006A180000}"/>
    <cellStyle name="20% - Accent4 2 2 2 2 3 4 2 2" xfId="9103" xr:uid="{00000000-0005-0000-0000-00006B180000}"/>
    <cellStyle name="20% - Accent4 2 2 2 2 3 4 3" xfId="5290" xr:uid="{00000000-0005-0000-0000-00006C180000}"/>
    <cellStyle name="20% - Accent4 2 2 2 2 3 5" xfId="9105" xr:uid="{00000000-0005-0000-0000-00006D180000}"/>
    <cellStyle name="20% - Accent4 2 2 2 2 3 5 2" xfId="611" xr:uid="{00000000-0005-0000-0000-00006E180000}"/>
    <cellStyle name="20% - Accent4 2 2 2 2 3 6" xfId="13688" xr:uid="{00000000-0005-0000-0000-00006F180000}"/>
    <cellStyle name="20% - Accent4 2 2 2 2 4" xfId="9108" xr:uid="{00000000-0005-0000-0000-000070180000}"/>
    <cellStyle name="20% - Accent4 2 2 2 2 4 2" xfId="8036" xr:uid="{00000000-0005-0000-0000-000071180000}"/>
    <cellStyle name="20% - Accent4 2 2 2 2 4 2 2" xfId="7805" xr:uid="{00000000-0005-0000-0000-000072180000}"/>
    <cellStyle name="20% - Accent4 2 2 2 2 4 2 2 2" xfId="6122" xr:uid="{00000000-0005-0000-0000-000073180000}"/>
    <cellStyle name="20% - Accent4 2 2 2 2 4 2 2 2 2" xfId="13091" xr:uid="{00000000-0005-0000-0000-000074180000}"/>
    <cellStyle name="20% - Accent4 2 2 2 2 4 2 2 3" xfId="6124" xr:uid="{00000000-0005-0000-0000-000075180000}"/>
    <cellStyle name="20% - Accent4 2 2 2 2 4 2 3" xfId="4260" xr:uid="{00000000-0005-0000-0000-000076180000}"/>
    <cellStyle name="20% - Accent4 2 2 2 2 4 2 3 2" xfId="4939" xr:uid="{00000000-0005-0000-0000-000077180000}"/>
    <cellStyle name="20% - Accent4 2 2 2 2 4 2 4" xfId="9492" xr:uid="{00000000-0005-0000-0000-000078180000}"/>
    <cellStyle name="20% - Accent4 2 2 2 2 4 3" xfId="18390" xr:uid="{00000000-0005-0000-0000-000079180000}"/>
    <cellStyle name="20% - Accent4 2 2 2 2 4 3 2" xfId="2086" xr:uid="{00000000-0005-0000-0000-00007A180000}"/>
    <cellStyle name="20% - Accent4 2 2 2 2 4 3 2 2" xfId="6130" xr:uid="{00000000-0005-0000-0000-00007B180000}"/>
    <cellStyle name="20% - Accent4 2 2 2 2 4 3 3" xfId="28111" xr:uid="{00000000-0005-0000-0000-00007C180000}"/>
    <cellStyle name="20% - Accent4 2 2 2 2 4 4" xfId="5348" xr:uid="{00000000-0005-0000-0000-00007D180000}"/>
    <cellStyle name="20% - Accent4 2 2 2 2 4 4 2" xfId="31914" xr:uid="{00000000-0005-0000-0000-00007E180000}"/>
    <cellStyle name="20% - Accent4 2 2 2 2 4 5" xfId="5363" xr:uid="{00000000-0005-0000-0000-00007F180000}"/>
    <cellStyle name="20% - Accent4 2 2 2 2 5" xfId="161" xr:uid="{00000000-0005-0000-0000-000080180000}"/>
    <cellStyle name="20% - Accent4 2 2 2 2 5 2" xfId="9146" xr:uid="{00000000-0005-0000-0000-000081180000}"/>
    <cellStyle name="20% - Accent4 2 2 2 2 5 2 2" xfId="5354" xr:uid="{00000000-0005-0000-0000-000082180000}"/>
    <cellStyle name="20% - Accent4 2 2 2 2 5 2 2 2" xfId="7580" xr:uid="{00000000-0005-0000-0000-000083180000}"/>
    <cellStyle name="20% - Accent4 2 2 2 2 5 2 3" xfId="5074" xr:uid="{00000000-0005-0000-0000-000084180000}"/>
    <cellStyle name="20% - Accent4 2 2 2 2 5 3" xfId="18394" xr:uid="{00000000-0005-0000-0000-000085180000}"/>
    <cellStyle name="20% - Accent4 2 2 2 2 5 3 2" xfId="2081" xr:uid="{00000000-0005-0000-0000-000086180000}"/>
    <cellStyle name="20% - Accent4 2 2 2 2 5 4" xfId="7085" xr:uid="{00000000-0005-0000-0000-000087180000}"/>
    <cellStyle name="20% - Accent4 2 2 2 2 6" xfId="1678" xr:uid="{00000000-0005-0000-0000-000088180000}"/>
    <cellStyle name="20% - Accent4 2 2 2 2 6 2" xfId="3257" xr:uid="{00000000-0005-0000-0000-000089180000}"/>
    <cellStyle name="20% - Accent4 2 2 2 2 6 2 2" xfId="2118" xr:uid="{00000000-0005-0000-0000-00008A180000}"/>
    <cellStyle name="20% - Accent4 2 2 2 2 6 3" xfId="7101" xr:uid="{00000000-0005-0000-0000-00008B180000}"/>
    <cellStyle name="20% - Accent4 2 2 2 2 7" xfId="6271" xr:uid="{00000000-0005-0000-0000-00008C180000}"/>
    <cellStyle name="20% - Accent4 2 2 2 2 7 2" xfId="3617" xr:uid="{00000000-0005-0000-0000-00008D180000}"/>
    <cellStyle name="20% - Accent4 2 2 2 2 8" xfId="7365" xr:uid="{00000000-0005-0000-0000-00008E180000}"/>
    <cellStyle name="20% - Accent4 2 2 2 3" xfId="5284" xr:uid="{00000000-0005-0000-0000-00008F180000}"/>
    <cellStyle name="20% - Accent4 2 2 2 3 2" xfId="2630" xr:uid="{00000000-0005-0000-0000-000090180000}"/>
    <cellStyle name="20% - Accent4 2 2 2 3 2 2" xfId="29174" xr:uid="{00000000-0005-0000-0000-000091180000}"/>
    <cellStyle name="20% - Accent4 2 2 2 3 2 2 2" xfId="9157" xr:uid="{00000000-0005-0000-0000-000092180000}"/>
    <cellStyle name="20% - Accent4 2 2 2 3 2 2 2 2" xfId="8129" xr:uid="{00000000-0005-0000-0000-000093180000}"/>
    <cellStyle name="20% - Accent4 2 2 2 3 2 2 2 2 2" xfId="24048" xr:uid="{00000000-0005-0000-0000-000094180000}"/>
    <cellStyle name="20% - Accent4 2 2 2 3 2 2 2 2 2 2" xfId="10772" xr:uid="{00000000-0005-0000-0000-000095180000}"/>
    <cellStyle name="20% - Accent4 2 2 2 3 2 2 2 2 3" xfId="5603" xr:uid="{00000000-0005-0000-0000-000096180000}"/>
    <cellStyle name="20% - Accent4 2 2 2 3 2 2 2 3" xfId="10821" xr:uid="{00000000-0005-0000-0000-000097180000}"/>
    <cellStyle name="20% - Accent4 2 2 2 3 2 2 2 3 2" xfId="11402" xr:uid="{00000000-0005-0000-0000-000098180000}"/>
    <cellStyle name="20% - Accent4 2 2 2 3 2 2 2 4" xfId="5261" xr:uid="{00000000-0005-0000-0000-000099180000}"/>
    <cellStyle name="20% - Accent4 2 2 2 3 2 2 3" xfId="9163" xr:uid="{00000000-0005-0000-0000-00009A180000}"/>
    <cellStyle name="20% - Accent4 2 2 2 3 2 2 3 2" xfId="26225" xr:uid="{00000000-0005-0000-0000-00009B180000}"/>
    <cellStyle name="20% - Accent4 2 2 2 3 2 2 3 2 2" xfId="9295" xr:uid="{00000000-0005-0000-0000-00009C180000}"/>
    <cellStyle name="20% - Accent4 2 2 2 3 2 2 3 3" xfId="6111" xr:uid="{00000000-0005-0000-0000-00009D180000}"/>
    <cellStyle name="20% - Accent4 2 2 2 3 2 2 4" xfId="6751" xr:uid="{00000000-0005-0000-0000-00009E180000}"/>
    <cellStyle name="20% - Accent4 2 2 2 3 2 2 4 2" xfId="9150" xr:uid="{00000000-0005-0000-0000-00009F180000}"/>
    <cellStyle name="20% - Accent4 2 2 2 3 2 2 5" xfId="13695" xr:uid="{00000000-0005-0000-0000-0000A0180000}"/>
    <cellStyle name="20% - Accent4 2 2 2 3 2 3" xfId="26750" xr:uid="{00000000-0005-0000-0000-0000A1180000}"/>
    <cellStyle name="20% - Accent4 2 2 2 3 2 3 2" xfId="8058" xr:uid="{00000000-0005-0000-0000-0000A2180000}"/>
    <cellStyle name="20% - Accent4 2 2 2 3 2 3 2 2" xfId="9151" xr:uid="{00000000-0005-0000-0000-0000A3180000}"/>
    <cellStyle name="20% - Accent4 2 2 2 3 2 3 2 2 2" xfId="5782" xr:uid="{00000000-0005-0000-0000-0000A4180000}"/>
    <cellStyle name="20% - Accent4 2 2 2 3 2 3 2 3" xfId="9152" xr:uid="{00000000-0005-0000-0000-0000A5180000}"/>
    <cellStyle name="20% - Accent4 2 2 2 3 2 3 3" xfId="9185" xr:uid="{00000000-0005-0000-0000-0000A6180000}"/>
    <cellStyle name="20% - Accent4 2 2 2 3 2 3 3 2" xfId="14024" xr:uid="{00000000-0005-0000-0000-0000A7180000}"/>
    <cellStyle name="20% - Accent4 2 2 2 3 2 3 4" xfId="8068" xr:uid="{00000000-0005-0000-0000-0000A8180000}"/>
    <cellStyle name="20% - Accent4 2 2 2 3 2 4" xfId="9156" xr:uid="{00000000-0005-0000-0000-0000A9180000}"/>
    <cellStyle name="20% - Accent4 2 2 2 3 2 4 2" xfId="12580" xr:uid="{00000000-0005-0000-0000-0000AA180000}"/>
    <cellStyle name="20% - Accent4 2 2 2 3 2 4 2 2" xfId="13640" xr:uid="{00000000-0005-0000-0000-0000AB180000}"/>
    <cellStyle name="20% - Accent4 2 2 2 3 2 4 3" xfId="8084" xr:uid="{00000000-0005-0000-0000-0000AC180000}"/>
    <cellStyle name="20% - Accent4 2 2 2 3 2 5" xfId="9162" xr:uid="{00000000-0005-0000-0000-0000AD180000}"/>
    <cellStyle name="20% - Accent4 2 2 2 3 2 5 2" xfId="8093" xr:uid="{00000000-0005-0000-0000-0000AE180000}"/>
    <cellStyle name="20% - Accent4 2 2 2 3 2 6" xfId="6752" xr:uid="{00000000-0005-0000-0000-0000AF180000}"/>
    <cellStyle name="20% - Accent4 2 2 2 3 3" xfId="29450" xr:uid="{00000000-0005-0000-0000-0000B0180000}"/>
    <cellStyle name="20% - Accent4 2 2 2 3 3 2" xfId="2620" xr:uid="{00000000-0005-0000-0000-0000B1180000}"/>
    <cellStyle name="20% - Accent4 2 2 2 3 3 2 2" xfId="9212" xr:uid="{00000000-0005-0000-0000-0000B2180000}"/>
    <cellStyle name="20% - Accent4 2 2 2 3 3 2 2 2" xfId="9169" xr:uid="{00000000-0005-0000-0000-0000B3180000}"/>
    <cellStyle name="20% - Accent4 2 2 2 3 3 2 2 2 2" xfId="6163" xr:uid="{00000000-0005-0000-0000-0000B4180000}"/>
    <cellStyle name="20% - Accent4 2 2 2 3 3 2 2 3" xfId="9170" xr:uid="{00000000-0005-0000-0000-0000B5180000}"/>
    <cellStyle name="20% - Accent4 2 2 2 3 3 2 3" xfId="9216" xr:uid="{00000000-0005-0000-0000-0000B6180000}"/>
    <cellStyle name="20% - Accent4 2 2 2 3 3 2 3 2" xfId="9172" xr:uid="{00000000-0005-0000-0000-0000B7180000}"/>
    <cellStyle name="20% - Accent4 2 2 2 3 3 2 4" xfId="8132" xr:uid="{00000000-0005-0000-0000-0000B8180000}"/>
    <cellStyle name="20% - Accent4 2 2 2 3 3 3" xfId="18429" xr:uid="{00000000-0005-0000-0000-0000B9180000}"/>
    <cellStyle name="20% - Accent4 2 2 2 3 3 3 2" xfId="9223" xr:uid="{00000000-0005-0000-0000-0000BA180000}"/>
    <cellStyle name="20% - Accent4 2 2 2 3 3 3 2 2" xfId="9184" xr:uid="{00000000-0005-0000-0000-0000BB180000}"/>
    <cellStyle name="20% - Accent4 2 2 2 3 3 3 3" xfId="8152" xr:uid="{00000000-0005-0000-0000-0000BC180000}"/>
    <cellStyle name="20% - Accent4 2 2 2 3 3 4" xfId="8060" xr:uid="{00000000-0005-0000-0000-0000BD180000}"/>
    <cellStyle name="20% - Accent4 2 2 2 3 3 4 2" xfId="8175" xr:uid="{00000000-0005-0000-0000-0000BE180000}"/>
    <cellStyle name="20% - Accent4 2 2 2 3 3 5" xfId="9186" xr:uid="{00000000-0005-0000-0000-0000BF180000}"/>
    <cellStyle name="20% - Accent4 2 2 2 3 4" xfId="27057" xr:uid="{00000000-0005-0000-0000-0000C0180000}"/>
    <cellStyle name="20% - Accent4 2 2 2 3 4 2" xfId="11487" xr:uid="{00000000-0005-0000-0000-0000C1180000}"/>
    <cellStyle name="20% - Accent4 2 2 2 3 4 2 2" xfId="15056" xr:uid="{00000000-0005-0000-0000-0000C2180000}"/>
    <cellStyle name="20% - Accent4 2 2 2 3 4 2 2 2" xfId="6368" xr:uid="{00000000-0005-0000-0000-0000C3180000}"/>
    <cellStyle name="20% - Accent4 2 2 2 3 4 2 3" xfId="15060" xr:uid="{00000000-0005-0000-0000-0000C4180000}"/>
    <cellStyle name="20% - Accent4 2 2 2 3 4 3" xfId="18433" xr:uid="{00000000-0005-0000-0000-0000C5180000}"/>
    <cellStyle name="20% - Accent4 2 2 2 3 4 3 2" xfId="15186" xr:uid="{00000000-0005-0000-0000-0000C6180000}"/>
    <cellStyle name="20% - Accent4 2 2 2 3 4 4" xfId="12581" xr:uid="{00000000-0005-0000-0000-0000C7180000}"/>
    <cellStyle name="20% - Accent4 2 2 2 3 5" xfId="4451" xr:uid="{00000000-0005-0000-0000-0000C8180000}"/>
    <cellStyle name="20% - Accent4 2 2 2 3 5 2" xfId="9199" xr:uid="{00000000-0005-0000-0000-0000C9180000}"/>
    <cellStyle name="20% - Accent4 2 2 2 3 5 2 2" xfId="15093" xr:uid="{00000000-0005-0000-0000-0000CA180000}"/>
    <cellStyle name="20% - Accent4 2 2 2 3 5 3" xfId="9200" xr:uid="{00000000-0005-0000-0000-0000CB180000}"/>
    <cellStyle name="20% - Accent4 2 2 2 3 6" xfId="4482" xr:uid="{00000000-0005-0000-0000-0000CC180000}"/>
    <cellStyle name="20% - Accent4 2 2 2 3 6 2" xfId="276" xr:uid="{00000000-0005-0000-0000-0000CD180000}"/>
    <cellStyle name="20% - Accent4 2 2 2 3 7" xfId="7375" xr:uid="{00000000-0005-0000-0000-0000CE180000}"/>
    <cellStyle name="20% - Accent4 2 2 2 4" xfId="6495" xr:uid="{00000000-0005-0000-0000-0000CF180000}"/>
    <cellStyle name="20% - Accent4 2 2 2 4 2" xfId="24003" xr:uid="{00000000-0005-0000-0000-0000D0180000}"/>
    <cellStyle name="20% - Accent4 2 2 2 4 2 2" xfId="29125" xr:uid="{00000000-0005-0000-0000-0000D1180000}"/>
    <cellStyle name="20% - Accent4 2 2 2 4 2 2 2" xfId="9353" xr:uid="{00000000-0005-0000-0000-0000D2180000}"/>
    <cellStyle name="20% - Accent4 2 2 2 4 2 2 2 2" xfId="33861" xr:uid="{00000000-0005-0000-0000-0000D3180000}"/>
    <cellStyle name="20% - Accent4 2 2 2 4 2 2 2 2 2" xfId="8347" xr:uid="{00000000-0005-0000-0000-0000D4180000}"/>
    <cellStyle name="20% - Accent4 2 2 2 4 2 2 2 3" xfId="19078" xr:uid="{00000000-0005-0000-0000-0000D5180000}"/>
    <cellStyle name="20% - Accent4 2 2 2 4 2 2 3" xfId="20369" xr:uid="{00000000-0005-0000-0000-0000D6180000}"/>
    <cellStyle name="20% - Accent4 2 2 2 4 2 2 3 2" xfId="3327" xr:uid="{00000000-0005-0000-0000-0000D7180000}"/>
    <cellStyle name="20% - Accent4 2 2 2 4 2 2 4" xfId="8355" xr:uid="{00000000-0005-0000-0000-0000D8180000}"/>
    <cellStyle name="20% - Accent4 2 2 2 4 2 3" xfId="18450" xr:uid="{00000000-0005-0000-0000-0000D9180000}"/>
    <cellStyle name="20% - Accent4 2 2 2 4 2 3 2" xfId="20374" xr:uid="{00000000-0005-0000-0000-0000DA180000}"/>
    <cellStyle name="20% - Accent4 2 2 2 4 2 3 2 2" xfId="9209" xr:uid="{00000000-0005-0000-0000-0000DB180000}"/>
    <cellStyle name="20% - Accent4 2 2 2 4 2 3 3" xfId="8369" xr:uid="{00000000-0005-0000-0000-0000DC180000}"/>
    <cellStyle name="20% - Accent4 2 2 2 4 2 4" xfId="9210" xr:uid="{00000000-0005-0000-0000-0000DD180000}"/>
    <cellStyle name="20% - Accent4 2 2 2 4 2 4 2" xfId="8372" xr:uid="{00000000-0005-0000-0000-0000DE180000}"/>
    <cellStyle name="20% - Accent4 2 2 2 4 2 5" xfId="9217" xr:uid="{00000000-0005-0000-0000-0000DF180000}"/>
    <cellStyle name="20% - Accent4 2 2 2 4 3" xfId="5924" xr:uid="{00000000-0005-0000-0000-0000E0180000}"/>
    <cellStyle name="20% - Accent4 2 2 2 4 3 2" xfId="28906" xr:uid="{00000000-0005-0000-0000-0000E1180000}"/>
    <cellStyle name="20% - Accent4 2 2 2 4 3 2 2" xfId="20389" xr:uid="{00000000-0005-0000-0000-0000E2180000}"/>
    <cellStyle name="20% - Accent4 2 2 2 4 3 2 2 2" xfId="9221" xr:uid="{00000000-0005-0000-0000-0000E3180000}"/>
    <cellStyle name="20% - Accent4 2 2 2 4 3 2 3" xfId="11046" xr:uid="{00000000-0005-0000-0000-0000E4180000}"/>
    <cellStyle name="20% - Accent4 2 2 2 4 3 3" xfId="18454" xr:uid="{00000000-0005-0000-0000-0000E5180000}"/>
    <cellStyle name="20% - Accent4 2 2 2 4 3 3 2" xfId="2769" xr:uid="{00000000-0005-0000-0000-0000E6180000}"/>
    <cellStyle name="20% - Accent4 2 2 2 4 3 4" xfId="9224" xr:uid="{00000000-0005-0000-0000-0000E7180000}"/>
    <cellStyle name="20% - Accent4 2 2 2 4 4" xfId="4713" xr:uid="{00000000-0005-0000-0000-0000E8180000}"/>
    <cellStyle name="20% - Accent4 2 2 2 4 4 2" xfId="9227" xr:uid="{00000000-0005-0000-0000-0000E9180000}"/>
    <cellStyle name="20% - Accent4 2 2 2 4 4 2 2" xfId="15145" xr:uid="{00000000-0005-0000-0000-0000EA180000}"/>
    <cellStyle name="20% - Accent4 2 2 2 4 4 3" xfId="9231" xr:uid="{00000000-0005-0000-0000-0000EB180000}"/>
    <cellStyle name="20% - Accent4 2 2 2 4 5" xfId="23590" xr:uid="{00000000-0005-0000-0000-0000EC180000}"/>
    <cellStyle name="20% - Accent4 2 2 2 4 5 2" xfId="9233" xr:uid="{00000000-0005-0000-0000-0000ED180000}"/>
    <cellStyle name="20% - Accent4 2 2 2 4 6" xfId="9236" xr:uid="{00000000-0005-0000-0000-0000EE180000}"/>
    <cellStyle name="20% - Accent4 2 2 2 5" xfId="696" xr:uid="{00000000-0005-0000-0000-0000EF180000}"/>
    <cellStyle name="20% - Accent4 2 2 2 5 2" xfId="3551" xr:uid="{00000000-0005-0000-0000-0000F0180000}"/>
    <cellStyle name="20% - Accent4 2 2 2 5 2 2" xfId="9438" xr:uid="{00000000-0005-0000-0000-0000F1180000}"/>
    <cellStyle name="20% - Accent4 2 2 2 5 2 2 2" xfId="19082" xr:uid="{00000000-0005-0000-0000-0000F2180000}"/>
    <cellStyle name="20% - Accent4 2 2 2 5 2 2 2 2" xfId="12216" xr:uid="{00000000-0005-0000-0000-0000F3180000}"/>
    <cellStyle name="20% - Accent4 2 2 2 5 2 2 3" xfId="19096" xr:uid="{00000000-0005-0000-0000-0000F4180000}"/>
    <cellStyle name="20% - Accent4 2 2 2 5 2 3" xfId="18459" xr:uid="{00000000-0005-0000-0000-0000F5180000}"/>
    <cellStyle name="20% - Accent4 2 2 2 5 2 3 2" xfId="19121" xr:uid="{00000000-0005-0000-0000-0000F6180000}"/>
    <cellStyle name="20% - Accent4 2 2 2 5 2 4" xfId="15057" xr:uid="{00000000-0005-0000-0000-0000F7180000}"/>
    <cellStyle name="20% - Accent4 2 2 2 5 3" xfId="1627" xr:uid="{00000000-0005-0000-0000-0000F8180000}"/>
    <cellStyle name="20% - Accent4 2 2 2 5 3 2" xfId="9241" xr:uid="{00000000-0005-0000-0000-0000F9180000}"/>
    <cellStyle name="20% - Accent4 2 2 2 5 3 2 2" xfId="17446" xr:uid="{00000000-0005-0000-0000-0000FA180000}"/>
    <cellStyle name="20% - Accent4 2 2 2 5 3 3" xfId="9246" xr:uid="{00000000-0005-0000-0000-0000FB180000}"/>
    <cellStyle name="20% - Accent4 2 2 2 5 4" xfId="20428" xr:uid="{00000000-0005-0000-0000-0000FC180000}"/>
    <cellStyle name="20% - Accent4 2 2 2 5 4 2" xfId="8896" xr:uid="{00000000-0005-0000-0000-0000FD180000}"/>
    <cellStyle name="20% - Accent4 2 2 2 5 5" xfId="29185" xr:uid="{00000000-0005-0000-0000-0000FE180000}"/>
    <cellStyle name="20% - Accent4 2 2 2 6" xfId="720" xr:uid="{00000000-0005-0000-0000-0000FF180000}"/>
    <cellStyle name="20% - Accent4 2 2 2 6 2" xfId="1893" xr:uid="{00000000-0005-0000-0000-000000190000}"/>
    <cellStyle name="20% - Accent4 2 2 2 6 2 2" xfId="16810" xr:uid="{00000000-0005-0000-0000-000001190000}"/>
    <cellStyle name="20% - Accent4 2 2 2 6 2 2 2" xfId="15214" xr:uid="{00000000-0005-0000-0000-000002190000}"/>
    <cellStyle name="20% - Accent4 2 2 2 6 2 3" xfId="9250" xr:uid="{00000000-0005-0000-0000-000003190000}"/>
    <cellStyle name="20% - Accent4 2 2 2 6 3" xfId="158" xr:uid="{00000000-0005-0000-0000-000004190000}"/>
    <cellStyle name="20% - Accent4 2 2 2 6 3 2" xfId="9253" xr:uid="{00000000-0005-0000-0000-000005190000}"/>
    <cellStyle name="20% - Accent4 2 2 2 6 4" xfId="24190" xr:uid="{00000000-0005-0000-0000-000006190000}"/>
    <cellStyle name="20% - Accent4 2 2 2 7" xfId="1495" xr:uid="{00000000-0005-0000-0000-000007190000}"/>
    <cellStyle name="20% - Accent4 2 2 2 7 2" xfId="24787" xr:uid="{00000000-0005-0000-0000-000008190000}"/>
    <cellStyle name="20% - Accent4 2 2 2 7 2 2" xfId="9255" xr:uid="{00000000-0005-0000-0000-000009190000}"/>
    <cellStyle name="20% - Accent4 2 2 2 7 3" xfId="9258" xr:uid="{00000000-0005-0000-0000-00000A190000}"/>
    <cellStyle name="20% - Accent4 2 2 2 8" xfId="236" xr:uid="{00000000-0005-0000-0000-00000B190000}"/>
    <cellStyle name="20% - Accent4 2 2 2 8 2" xfId="1683" xr:uid="{00000000-0005-0000-0000-00000C190000}"/>
    <cellStyle name="20% - Accent4 2 2 2 9" xfId="20962" xr:uid="{00000000-0005-0000-0000-00000D190000}"/>
    <cellStyle name="20% - Accent4 2 2 3" xfId="14709" xr:uid="{00000000-0005-0000-0000-00000E190000}"/>
    <cellStyle name="20% - Accent4 2 2 3 2" xfId="532" xr:uid="{00000000-0005-0000-0000-00000F190000}"/>
    <cellStyle name="20% - Accent4 2 2 3 2 2" xfId="9263" xr:uid="{00000000-0005-0000-0000-000010190000}"/>
    <cellStyle name="20% - Accent4 2 2 3 2 2 2" xfId="4941" xr:uid="{00000000-0005-0000-0000-000011190000}"/>
    <cellStyle name="20% - Accent4 2 2 3 2 2 2 2" xfId="25270" xr:uid="{00000000-0005-0000-0000-000012190000}"/>
    <cellStyle name="20% - Accent4 2 2 3 2 2 2 2 2" xfId="9266" xr:uid="{00000000-0005-0000-0000-000013190000}"/>
    <cellStyle name="20% - Accent4 2 2 3 2 2 2 2 2 2" xfId="24730" xr:uid="{00000000-0005-0000-0000-000014190000}"/>
    <cellStyle name="20% - Accent4 2 2 3 2 2 2 2 2 2 2" xfId="19373" xr:uid="{00000000-0005-0000-0000-000015190000}"/>
    <cellStyle name="20% - Accent4 2 2 3 2 2 2 2 2 3" xfId="9268" xr:uid="{00000000-0005-0000-0000-000016190000}"/>
    <cellStyle name="20% - Accent4 2 2 3 2 2 2 2 3" xfId="9269" xr:uid="{00000000-0005-0000-0000-000017190000}"/>
    <cellStyle name="20% - Accent4 2 2 3 2 2 2 2 3 2" xfId="9272" xr:uid="{00000000-0005-0000-0000-000018190000}"/>
    <cellStyle name="20% - Accent4 2 2 3 2 2 2 2 4" xfId="23234" xr:uid="{00000000-0005-0000-0000-000019190000}"/>
    <cellStyle name="20% - Accent4 2 2 3 2 2 2 3" xfId="25274" xr:uid="{00000000-0005-0000-0000-00001A190000}"/>
    <cellStyle name="20% - Accent4 2 2 3 2 2 2 3 2" xfId="9275" xr:uid="{00000000-0005-0000-0000-00001B190000}"/>
    <cellStyle name="20% - Accent4 2 2 3 2 2 2 3 2 2" xfId="14411" xr:uid="{00000000-0005-0000-0000-00001C190000}"/>
    <cellStyle name="20% - Accent4 2 2 3 2 2 2 3 3" xfId="4890" xr:uid="{00000000-0005-0000-0000-00001D190000}"/>
    <cellStyle name="20% - Accent4 2 2 3 2 2 2 4" xfId="9277" xr:uid="{00000000-0005-0000-0000-00001E190000}"/>
    <cellStyle name="20% - Accent4 2 2 3 2 2 2 4 2" xfId="9279" xr:uid="{00000000-0005-0000-0000-00001F190000}"/>
    <cellStyle name="20% - Accent4 2 2 3 2 2 2 5" xfId="9281" xr:uid="{00000000-0005-0000-0000-000020190000}"/>
    <cellStyle name="20% - Accent4 2 2 3 2 2 3" xfId="20317" xr:uid="{00000000-0005-0000-0000-000021190000}"/>
    <cellStyle name="20% - Accent4 2 2 3 2 2 3 2" xfId="25279" xr:uid="{00000000-0005-0000-0000-000022190000}"/>
    <cellStyle name="20% - Accent4 2 2 3 2 2 3 2 2" xfId="4231" xr:uid="{00000000-0005-0000-0000-000023190000}"/>
    <cellStyle name="20% - Accent4 2 2 3 2 2 3 2 2 2" xfId="17767" xr:uid="{00000000-0005-0000-0000-000024190000}"/>
    <cellStyle name="20% - Accent4 2 2 3 2 2 3 2 3" xfId="14514" xr:uid="{00000000-0005-0000-0000-000025190000}"/>
    <cellStyle name="20% - Accent4 2 2 3 2 2 3 3" xfId="9286" xr:uid="{00000000-0005-0000-0000-000026190000}"/>
    <cellStyle name="20% - Accent4 2 2 3 2 2 3 3 2" xfId="1520" xr:uid="{00000000-0005-0000-0000-000027190000}"/>
    <cellStyle name="20% - Accent4 2 2 3 2 2 3 4" xfId="9288" xr:uid="{00000000-0005-0000-0000-000028190000}"/>
    <cellStyle name="20% - Accent4 2 2 3 2 2 4" xfId="7960" xr:uid="{00000000-0005-0000-0000-000029190000}"/>
    <cellStyle name="20% - Accent4 2 2 3 2 2 4 2" xfId="9290" xr:uid="{00000000-0005-0000-0000-00002A190000}"/>
    <cellStyle name="20% - Accent4 2 2 3 2 2 4 2 2" xfId="1542" xr:uid="{00000000-0005-0000-0000-00002B190000}"/>
    <cellStyle name="20% - Accent4 2 2 3 2 2 4 3" xfId="9294" xr:uid="{00000000-0005-0000-0000-00002C190000}"/>
    <cellStyle name="20% - Accent4 2 2 3 2 2 5" xfId="9300" xr:uid="{00000000-0005-0000-0000-00002D190000}"/>
    <cellStyle name="20% - Accent4 2 2 3 2 2 5 2" xfId="9304" xr:uid="{00000000-0005-0000-0000-00002E190000}"/>
    <cellStyle name="20% - Accent4 2 2 3 2 2 6" xfId="20325" xr:uid="{00000000-0005-0000-0000-00002F190000}"/>
    <cellStyle name="20% - Accent4 2 2 3 2 3" xfId="11643" xr:uid="{00000000-0005-0000-0000-000030190000}"/>
    <cellStyle name="20% - Accent4 2 2 3 2 3 2" xfId="5093" xr:uid="{00000000-0005-0000-0000-000031190000}"/>
    <cellStyle name="20% - Accent4 2 2 3 2 3 2 2" xfId="25288" xr:uid="{00000000-0005-0000-0000-000032190000}"/>
    <cellStyle name="20% - Accent4 2 2 3 2 3 2 2 2" xfId="9308" xr:uid="{00000000-0005-0000-0000-000033190000}"/>
    <cellStyle name="20% - Accent4 2 2 3 2 3 2 2 2 2" xfId="24898" xr:uid="{00000000-0005-0000-0000-000034190000}"/>
    <cellStyle name="20% - Accent4 2 2 3 2 3 2 2 3" xfId="9310" xr:uid="{00000000-0005-0000-0000-000035190000}"/>
    <cellStyle name="20% - Accent4 2 2 3 2 3 2 3" xfId="9314" xr:uid="{00000000-0005-0000-0000-000036190000}"/>
    <cellStyle name="20% - Accent4 2 2 3 2 3 2 3 2" xfId="742" xr:uid="{00000000-0005-0000-0000-000037190000}"/>
    <cellStyle name="20% - Accent4 2 2 3 2 3 2 4" xfId="13476" xr:uid="{00000000-0005-0000-0000-000038190000}"/>
    <cellStyle name="20% - Accent4 2 2 3 2 3 3" xfId="20331" xr:uid="{00000000-0005-0000-0000-000039190000}"/>
    <cellStyle name="20% - Accent4 2 2 3 2 3 3 2" xfId="9317" xr:uid="{00000000-0005-0000-0000-00003A190000}"/>
    <cellStyle name="20% - Accent4 2 2 3 2 3 3 2 2" xfId="3983" xr:uid="{00000000-0005-0000-0000-00003B190000}"/>
    <cellStyle name="20% - Accent4 2 2 3 2 3 3 3" xfId="9408" xr:uid="{00000000-0005-0000-0000-00003C190000}"/>
    <cellStyle name="20% - Accent4 2 2 3 2 3 4" xfId="9322" xr:uid="{00000000-0005-0000-0000-00003D190000}"/>
    <cellStyle name="20% - Accent4 2 2 3 2 3 4 2" xfId="26658" xr:uid="{00000000-0005-0000-0000-00003E190000}"/>
    <cellStyle name="20% - Accent4 2 2 3 2 3 5" xfId="20340" xr:uid="{00000000-0005-0000-0000-00003F190000}"/>
    <cellStyle name="20% - Accent4 2 2 3 2 4" xfId="9326" xr:uid="{00000000-0005-0000-0000-000040190000}"/>
    <cellStyle name="20% - Accent4 2 2 3 2 4 2" xfId="10889" xr:uid="{00000000-0005-0000-0000-000041190000}"/>
    <cellStyle name="20% - Accent4 2 2 3 2 4 2 2" xfId="10" xr:uid="{00000000-0005-0000-0000-000042190000}"/>
    <cellStyle name="20% - Accent4 2 2 3 2 4 2 2 2" xfId="9329" xr:uid="{00000000-0005-0000-0000-000043190000}"/>
    <cellStyle name="20% - Accent4 2 2 3 2 4 2 3" xfId="14451" xr:uid="{00000000-0005-0000-0000-000044190000}"/>
    <cellStyle name="20% - Accent4 2 2 3 2 4 3" xfId="20347" xr:uid="{00000000-0005-0000-0000-000045190000}"/>
    <cellStyle name="20% - Accent4 2 2 3 2 4 3 2" xfId="518" xr:uid="{00000000-0005-0000-0000-000046190000}"/>
    <cellStyle name="20% - Accent4 2 2 3 2 4 4" xfId="19795" xr:uid="{00000000-0005-0000-0000-000047190000}"/>
    <cellStyle name="20% - Accent4 2 2 3 2 5" xfId="33873" xr:uid="{00000000-0005-0000-0000-000048190000}"/>
    <cellStyle name="20% - Accent4 2 2 3 2 5 2" xfId="33663" xr:uid="{00000000-0005-0000-0000-000049190000}"/>
    <cellStyle name="20% - Accent4 2 2 3 2 5 2 2" xfId="200" xr:uid="{00000000-0005-0000-0000-00004A190000}"/>
    <cellStyle name="20% - Accent4 2 2 3 2 5 3" xfId="9335" xr:uid="{00000000-0005-0000-0000-00004B190000}"/>
    <cellStyle name="20% - Accent4 2 2 3 2 6" xfId="9340" xr:uid="{00000000-0005-0000-0000-00004C190000}"/>
    <cellStyle name="20% - Accent4 2 2 3 2 6 2" xfId="3843" xr:uid="{00000000-0005-0000-0000-00004D190000}"/>
    <cellStyle name="20% - Accent4 2 2 3 2 7" xfId="9342" xr:uid="{00000000-0005-0000-0000-00004E190000}"/>
    <cellStyle name="20% - Accent4 2 2 3 3" xfId="726" xr:uid="{00000000-0005-0000-0000-00004F190000}"/>
    <cellStyle name="20% - Accent4 2 2 3 3 2" xfId="24014" xr:uid="{00000000-0005-0000-0000-000050190000}"/>
    <cellStyle name="20% - Accent4 2 2 3 3 2 2" xfId="28658" xr:uid="{00000000-0005-0000-0000-000051190000}"/>
    <cellStyle name="20% - Accent4 2 2 3 3 2 2 2" xfId="9592" xr:uid="{00000000-0005-0000-0000-000052190000}"/>
    <cellStyle name="20% - Accent4 2 2 3 3 2 2 2 2" xfId="26855" xr:uid="{00000000-0005-0000-0000-000053190000}"/>
    <cellStyle name="20% - Accent4 2 2 3 3 2 2 2 2 2" xfId="8301" xr:uid="{00000000-0005-0000-0000-000054190000}"/>
    <cellStyle name="20% - Accent4 2 2 3 3 2 2 2 3" xfId="29129" xr:uid="{00000000-0005-0000-0000-000055190000}"/>
    <cellStyle name="20% - Accent4 2 2 3 3 2 2 3" xfId="9597" xr:uid="{00000000-0005-0000-0000-000056190000}"/>
    <cellStyle name="20% - Accent4 2 2 3 3 2 2 3 2" xfId="9345" xr:uid="{00000000-0005-0000-0000-000057190000}"/>
    <cellStyle name="20% - Accent4 2 2 3 3 2 2 4" xfId="9347" xr:uid="{00000000-0005-0000-0000-000058190000}"/>
    <cellStyle name="20% - Accent4 2 2 3 3 2 3" xfId="21926" xr:uid="{00000000-0005-0000-0000-000059190000}"/>
    <cellStyle name="20% - Accent4 2 2 3 3 2 3 2" xfId="9605" xr:uid="{00000000-0005-0000-0000-00005A190000}"/>
    <cellStyle name="20% - Accent4 2 2 3 3 2 3 2 2" xfId="7840" xr:uid="{00000000-0005-0000-0000-00005B190000}"/>
    <cellStyle name="20% - Accent4 2 2 3 3 2 3 3" xfId="9350" xr:uid="{00000000-0005-0000-0000-00005C190000}"/>
    <cellStyle name="20% - Accent4 2 2 3 3 2 4" xfId="9351" xr:uid="{00000000-0005-0000-0000-00005D190000}"/>
    <cellStyle name="20% - Accent4 2 2 3 3 2 4 2" xfId="9354" xr:uid="{00000000-0005-0000-0000-00005E190000}"/>
    <cellStyle name="20% - Accent4 2 2 3 3 2 5" xfId="20370" xr:uid="{00000000-0005-0000-0000-00005F190000}"/>
    <cellStyle name="20% - Accent4 2 2 3 3 3" xfId="28667" xr:uid="{00000000-0005-0000-0000-000060190000}"/>
    <cellStyle name="20% - Accent4 2 2 3 3 3 2" xfId="14380" xr:uid="{00000000-0005-0000-0000-000061190000}"/>
    <cellStyle name="20% - Accent4 2 2 3 3 3 2 2" xfId="9625" xr:uid="{00000000-0005-0000-0000-000062190000}"/>
    <cellStyle name="20% - Accent4 2 2 3 3 3 2 2 2" xfId="9357" xr:uid="{00000000-0005-0000-0000-000063190000}"/>
    <cellStyle name="20% - Accent4 2 2 3 3 3 2 3" xfId="11107" xr:uid="{00000000-0005-0000-0000-000064190000}"/>
    <cellStyle name="20% - Accent4 2 2 3 3 3 3" xfId="20371" xr:uid="{00000000-0005-0000-0000-000065190000}"/>
    <cellStyle name="20% - Accent4 2 2 3 3 3 3 2" xfId="9359" xr:uid="{00000000-0005-0000-0000-000066190000}"/>
    <cellStyle name="20% - Accent4 2 2 3 3 3 4" xfId="20373" xr:uid="{00000000-0005-0000-0000-000067190000}"/>
    <cellStyle name="20% - Accent4 2 2 3 3 4" xfId="26505" xr:uid="{00000000-0005-0000-0000-000068190000}"/>
    <cellStyle name="20% - Accent4 2 2 3 3 4 2" xfId="9364" xr:uid="{00000000-0005-0000-0000-000069190000}"/>
    <cellStyle name="20% - Accent4 2 2 3 3 4 2 2" xfId="7154" xr:uid="{00000000-0005-0000-0000-00006A190000}"/>
    <cellStyle name="20% - Accent4 2 2 3 3 4 3" xfId="11466" xr:uid="{00000000-0005-0000-0000-00006B190000}"/>
    <cellStyle name="20% - Accent4 2 2 3 3 5" xfId="11666" xr:uid="{00000000-0005-0000-0000-00006C190000}"/>
    <cellStyle name="20% - Accent4 2 2 3 3 5 2" xfId="11412" xr:uid="{00000000-0005-0000-0000-00006D190000}"/>
    <cellStyle name="20% - Accent4 2 2 3 3 6" xfId="31910" xr:uid="{00000000-0005-0000-0000-00006E190000}"/>
    <cellStyle name="20% - Accent4 2 2 3 4" xfId="740" xr:uid="{00000000-0005-0000-0000-00006F190000}"/>
    <cellStyle name="20% - Accent4 2 2 3 4 2" xfId="3559" xr:uid="{00000000-0005-0000-0000-000070190000}"/>
    <cellStyle name="20% - Accent4 2 2 3 4 2 2" xfId="28680" xr:uid="{00000000-0005-0000-0000-000071190000}"/>
    <cellStyle name="20% - Accent4 2 2 3 4 2 2 2" xfId="9682" xr:uid="{00000000-0005-0000-0000-000072190000}"/>
    <cellStyle name="20% - Accent4 2 2 3 4 2 2 2 2" xfId="33910" xr:uid="{00000000-0005-0000-0000-000073190000}"/>
    <cellStyle name="20% - Accent4 2 2 3 4 2 2 3" xfId="9375" xr:uid="{00000000-0005-0000-0000-000074190000}"/>
    <cellStyle name="20% - Accent4 2 2 3 4 2 3" xfId="20386" xr:uid="{00000000-0005-0000-0000-000075190000}"/>
    <cellStyle name="20% - Accent4 2 2 3 4 2 3 2" xfId="9378" xr:uid="{00000000-0005-0000-0000-000076190000}"/>
    <cellStyle name="20% - Accent4 2 2 3 4 2 4" xfId="20388" xr:uid="{00000000-0005-0000-0000-000077190000}"/>
    <cellStyle name="20% - Accent4 2 2 3 4 3" xfId="28685" xr:uid="{00000000-0005-0000-0000-000078190000}"/>
    <cellStyle name="20% - Accent4 2 2 3 4 3 2" xfId="14390" xr:uid="{00000000-0005-0000-0000-000079190000}"/>
    <cellStyle name="20% - Accent4 2 2 3 4 3 2 2" xfId="13835" xr:uid="{00000000-0005-0000-0000-00007A190000}"/>
    <cellStyle name="20% - Accent4 2 2 3 4 3 3" xfId="20391" xr:uid="{00000000-0005-0000-0000-00007B190000}"/>
    <cellStyle name="20% - Accent4 2 2 3 4 4" xfId="27574" xr:uid="{00000000-0005-0000-0000-00007C190000}"/>
    <cellStyle name="20% - Accent4 2 2 3 4 4 2" xfId="9381" xr:uid="{00000000-0005-0000-0000-00007D190000}"/>
    <cellStyle name="20% - Accent4 2 2 3 4 5" xfId="9382" xr:uid="{00000000-0005-0000-0000-00007E190000}"/>
    <cellStyle name="20% - Accent4 2 2 3 5" xfId="786" xr:uid="{00000000-0005-0000-0000-00007F190000}"/>
    <cellStyle name="20% - Accent4 2 2 3 5 2" xfId="9996" xr:uid="{00000000-0005-0000-0000-000080190000}"/>
    <cellStyle name="20% - Accent4 2 2 3 5 2 2" xfId="9386" xr:uid="{00000000-0005-0000-0000-000081190000}"/>
    <cellStyle name="20% - Accent4 2 2 3 5 2 2 2" xfId="21345" xr:uid="{00000000-0005-0000-0000-000082190000}"/>
    <cellStyle name="20% - Accent4 2 2 3 5 2 3" xfId="20396" xr:uid="{00000000-0005-0000-0000-000083190000}"/>
    <cellStyle name="20% - Accent4 2 2 3 5 3" xfId="10131" xr:uid="{00000000-0005-0000-0000-000084190000}"/>
    <cellStyle name="20% - Accent4 2 2 3 5 3 2" xfId="23107" xr:uid="{00000000-0005-0000-0000-000085190000}"/>
    <cellStyle name="20% - Accent4 2 2 3 5 4" xfId="24201" xr:uid="{00000000-0005-0000-0000-000086190000}"/>
    <cellStyle name="20% - Accent4 2 2 3 6" xfId="7980" xr:uid="{00000000-0005-0000-0000-000087190000}"/>
    <cellStyle name="20% - Accent4 2 2 3 6 2" xfId="3816" xr:uid="{00000000-0005-0000-0000-000088190000}"/>
    <cellStyle name="20% - Accent4 2 2 3 6 2 2" xfId="11707" xr:uid="{00000000-0005-0000-0000-000089190000}"/>
    <cellStyle name="20% - Accent4 2 2 3 6 3" xfId="18623" xr:uid="{00000000-0005-0000-0000-00008A190000}"/>
    <cellStyle name="20% - Accent4 2 2 3 7" xfId="138" xr:uid="{00000000-0005-0000-0000-00008B190000}"/>
    <cellStyle name="20% - Accent4 2 2 3 7 2" xfId="28688" xr:uid="{00000000-0005-0000-0000-00008C190000}"/>
    <cellStyle name="20% - Accent4 2 2 3 8" xfId="33287" xr:uid="{00000000-0005-0000-0000-00008D190000}"/>
    <cellStyle name="20% - Accent4 2 2 4" xfId="9389" xr:uid="{00000000-0005-0000-0000-00008E190000}"/>
    <cellStyle name="20% - Accent4 2 2 4 2" xfId="1423" xr:uid="{00000000-0005-0000-0000-00008F190000}"/>
    <cellStyle name="20% - Accent4 2 2 4 2 2" xfId="8415" xr:uid="{00000000-0005-0000-0000-000090190000}"/>
    <cellStyle name="20% - Accent4 2 2 4 2 2 2" xfId="4871" xr:uid="{00000000-0005-0000-0000-000091190000}"/>
    <cellStyle name="20% - Accent4 2 2 4 2 2 2 2" xfId="9394" xr:uid="{00000000-0005-0000-0000-000092190000}"/>
    <cellStyle name="20% - Accent4 2 2 4 2 2 2 2 2" xfId="9397" xr:uid="{00000000-0005-0000-0000-000093190000}"/>
    <cellStyle name="20% - Accent4 2 2 4 2 2 2 2 2 2" xfId="5825" xr:uid="{00000000-0005-0000-0000-000094190000}"/>
    <cellStyle name="20% - Accent4 2 2 4 2 2 2 2 3" xfId="3140" xr:uid="{00000000-0005-0000-0000-000095190000}"/>
    <cellStyle name="20% - Accent4 2 2 4 2 2 2 3" xfId="9405" xr:uid="{00000000-0005-0000-0000-000096190000}"/>
    <cellStyle name="20% - Accent4 2 2 4 2 2 2 3 2" xfId="9412" xr:uid="{00000000-0005-0000-0000-000097190000}"/>
    <cellStyle name="20% - Accent4 2 2 4 2 2 2 4" xfId="7262" xr:uid="{00000000-0005-0000-0000-000098190000}"/>
    <cellStyle name="20% - Accent4 2 2 4 2 2 3" xfId="23157" xr:uid="{00000000-0005-0000-0000-000099190000}"/>
    <cellStyle name="20% - Accent4 2 2 4 2 2 3 2" xfId="27642" xr:uid="{00000000-0005-0000-0000-00009A190000}"/>
    <cellStyle name="20% - Accent4 2 2 4 2 2 3 2 2" xfId="9419" xr:uid="{00000000-0005-0000-0000-00009B190000}"/>
    <cellStyle name="20% - Accent4 2 2 4 2 2 3 3" xfId="9423" xr:uid="{00000000-0005-0000-0000-00009C190000}"/>
    <cellStyle name="20% - Accent4 2 2 4 2 2 4" xfId="18821" xr:uid="{00000000-0005-0000-0000-00009D190000}"/>
    <cellStyle name="20% - Accent4 2 2 4 2 2 4 2" xfId="9426" xr:uid="{00000000-0005-0000-0000-00009E190000}"/>
    <cellStyle name="20% - Accent4 2 2 4 2 2 5" xfId="9433" xr:uid="{00000000-0005-0000-0000-00009F190000}"/>
    <cellStyle name="20% - Accent4 2 2 4 2 3" xfId="15712" xr:uid="{00000000-0005-0000-0000-0000A0190000}"/>
    <cellStyle name="20% - Accent4 2 2 4 2 3 2" xfId="2572" xr:uid="{00000000-0005-0000-0000-0000A1190000}"/>
    <cellStyle name="20% - Accent4 2 2 4 2 3 2 2" xfId="11975" xr:uid="{00000000-0005-0000-0000-0000A2190000}"/>
    <cellStyle name="20% - Accent4 2 2 4 2 3 2 2 2" xfId="9442" xr:uid="{00000000-0005-0000-0000-0000A3190000}"/>
    <cellStyle name="20% - Accent4 2 2 4 2 3 2 3" xfId="14292" xr:uid="{00000000-0005-0000-0000-0000A4190000}"/>
    <cellStyle name="20% - Accent4 2 2 4 2 3 3" xfId="23181" xr:uid="{00000000-0005-0000-0000-0000A5190000}"/>
    <cellStyle name="20% - Accent4 2 2 4 2 3 3 2" xfId="9446" xr:uid="{00000000-0005-0000-0000-0000A6190000}"/>
    <cellStyle name="20% - Accent4 2 2 4 2 3 4" xfId="12984" xr:uid="{00000000-0005-0000-0000-0000A7190000}"/>
    <cellStyle name="20% - Accent4 2 2 4 2 4" xfId="15722" xr:uid="{00000000-0005-0000-0000-0000A8190000}"/>
    <cellStyle name="20% - Accent4 2 2 4 2 4 2" xfId="9455" xr:uid="{00000000-0005-0000-0000-0000A9190000}"/>
    <cellStyle name="20% - Accent4 2 2 4 2 4 2 2" xfId="2996" xr:uid="{00000000-0005-0000-0000-0000AA190000}"/>
    <cellStyle name="20% - Accent4 2 2 4 2 4 3" xfId="23200" xr:uid="{00000000-0005-0000-0000-0000AB190000}"/>
    <cellStyle name="20% - Accent4 2 2 4 2 5" xfId="15733" xr:uid="{00000000-0005-0000-0000-0000AC190000}"/>
    <cellStyle name="20% - Accent4 2 2 4 2 5 2" xfId="9667" xr:uid="{00000000-0005-0000-0000-0000AD190000}"/>
    <cellStyle name="20% - Accent4 2 2 4 2 6" xfId="9461" xr:uid="{00000000-0005-0000-0000-0000AE190000}"/>
    <cellStyle name="20% - Accent4 2 2 4 3" xfId="4514" xr:uid="{00000000-0005-0000-0000-0000AF190000}"/>
    <cellStyle name="20% - Accent4 2 2 4 3 2" xfId="25947" xr:uid="{00000000-0005-0000-0000-0000B0190000}"/>
    <cellStyle name="20% - Accent4 2 2 4 3 2 2" xfId="4889" xr:uid="{00000000-0005-0000-0000-0000B1190000}"/>
    <cellStyle name="20% - Accent4 2 2 4 3 2 2 2" xfId="9770" xr:uid="{00000000-0005-0000-0000-0000B2190000}"/>
    <cellStyle name="20% - Accent4 2 2 4 3 2 2 2 2" xfId="9462" xr:uid="{00000000-0005-0000-0000-0000B3190000}"/>
    <cellStyle name="20% - Accent4 2 2 4 3 2 2 3" xfId="9467" xr:uid="{00000000-0005-0000-0000-0000B4190000}"/>
    <cellStyle name="20% - Accent4 2 2 4 3 2 3" xfId="23244" xr:uid="{00000000-0005-0000-0000-0000B5190000}"/>
    <cellStyle name="20% - Accent4 2 2 4 3 2 3 2" xfId="9469" xr:uid="{00000000-0005-0000-0000-0000B6190000}"/>
    <cellStyle name="20% - Accent4 2 2 4 3 2 4" xfId="19081" xr:uid="{00000000-0005-0000-0000-0000B7190000}"/>
    <cellStyle name="20% - Accent4 2 2 4 3 3" xfId="26614" xr:uid="{00000000-0005-0000-0000-0000B8190000}"/>
    <cellStyle name="20% - Accent4 2 2 4 3 3 2" xfId="3634" xr:uid="{00000000-0005-0000-0000-0000B9190000}"/>
    <cellStyle name="20% - Accent4 2 2 4 3 3 2 2" xfId="9473" xr:uid="{00000000-0005-0000-0000-0000BA190000}"/>
    <cellStyle name="20% - Accent4 2 2 4 3 3 3" xfId="19112" xr:uid="{00000000-0005-0000-0000-0000BB190000}"/>
    <cellStyle name="20% - Accent4 2 2 4 3 4" xfId="26627" xr:uid="{00000000-0005-0000-0000-0000BC190000}"/>
    <cellStyle name="20% - Accent4 2 2 4 3 4 2" xfId="3638" xr:uid="{00000000-0005-0000-0000-0000BD190000}"/>
    <cellStyle name="20% - Accent4 2 2 4 3 5" xfId="930" xr:uid="{00000000-0005-0000-0000-0000BE190000}"/>
    <cellStyle name="20% - Accent4 2 2 4 4" xfId="2057" xr:uid="{00000000-0005-0000-0000-0000BF190000}"/>
    <cellStyle name="20% - Accent4 2 2 4 4 2" xfId="26636" xr:uid="{00000000-0005-0000-0000-0000C0190000}"/>
    <cellStyle name="20% - Accent4 2 2 4 4 2 2" xfId="28708" xr:uid="{00000000-0005-0000-0000-0000C1190000}"/>
    <cellStyle name="20% - Accent4 2 2 4 4 2 2 2" xfId="9480" xr:uid="{00000000-0005-0000-0000-0000C2190000}"/>
    <cellStyle name="20% - Accent4 2 2 4 4 2 3" xfId="22087" xr:uid="{00000000-0005-0000-0000-0000C3190000}"/>
    <cellStyle name="20% - Accent4 2 2 4 4 3" xfId="30039" xr:uid="{00000000-0005-0000-0000-0000C4190000}"/>
    <cellStyle name="20% - Accent4 2 2 4 4 3 2" xfId="3592" xr:uid="{00000000-0005-0000-0000-0000C5190000}"/>
    <cellStyle name="20% - Accent4 2 2 4 4 4" xfId="550" xr:uid="{00000000-0005-0000-0000-0000C6190000}"/>
    <cellStyle name="20% - Accent4 2 2 4 5" xfId="2602" xr:uid="{00000000-0005-0000-0000-0000C7190000}"/>
    <cellStyle name="20% - Accent4 2 2 4 5 2" xfId="209" xr:uid="{00000000-0005-0000-0000-0000C8190000}"/>
    <cellStyle name="20% - Accent4 2 2 4 5 2 2" xfId="9483" xr:uid="{00000000-0005-0000-0000-0000C9190000}"/>
    <cellStyle name="20% - Accent4 2 2 4 5 3" xfId="23161" xr:uid="{00000000-0005-0000-0000-0000CA190000}"/>
    <cellStyle name="20% - Accent4 2 2 4 6" xfId="783" xr:uid="{00000000-0005-0000-0000-0000CB190000}"/>
    <cellStyle name="20% - Accent4 2 2 4 6 2" xfId="6440" xr:uid="{00000000-0005-0000-0000-0000CC190000}"/>
    <cellStyle name="20% - Accent4 2 2 4 7" xfId="28713" xr:uid="{00000000-0005-0000-0000-0000CD190000}"/>
    <cellStyle name="20% - Accent4 2 2 5" xfId="9487" xr:uid="{00000000-0005-0000-0000-0000CE190000}"/>
    <cellStyle name="20% - Accent4 2 2 5 2" xfId="4031" xr:uid="{00000000-0005-0000-0000-0000CF190000}"/>
    <cellStyle name="20% - Accent4 2 2 5 2 2" xfId="8427" xr:uid="{00000000-0005-0000-0000-0000D0190000}"/>
    <cellStyle name="20% - Accent4 2 2 5 2 2 2" xfId="10908" xr:uid="{00000000-0005-0000-0000-0000D1190000}"/>
    <cellStyle name="20% - Accent4 2 2 5 2 2 2 2" xfId="9717" xr:uid="{00000000-0005-0000-0000-0000D2190000}"/>
    <cellStyle name="20% - Accent4 2 2 5 2 2 2 2 2" xfId="12475" xr:uid="{00000000-0005-0000-0000-0000D3190000}"/>
    <cellStyle name="20% - Accent4 2 2 5 2 2 2 3" xfId="2902" xr:uid="{00000000-0005-0000-0000-0000D4190000}"/>
    <cellStyle name="20% - Accent4 2 2 5 2 2 3" xfId="25520" xr:uid="{00000000-0005-0000-0000-0000D5190000}"/>
    <cellStyle name="20% - Accent4 2 2 5 2 2 3 2" xfId="9496" xr:uid="{00000000-0005-0000-0000-0000D6190000}"/>
    <cellStyle name="20% - Accent4 2 2 5 2 2 4" xfId="19494" xr:uid="{00000000-0005-0000-0000-0000D7190000}"/>
    <cellStyle name="20% - Accent4 2 2 5 2 3" xfId="30163" xr:uid="{00000000-0005-0000-0000-0000D8190000}"/>
    <cellStyle name="20% - Accent4 2 2 5 2 3 2" xfId="9499" xr:uid="{00000000-0005-0000-0000-0000D9190000}"/>
    <cellStyle name="20% - Accent4 2 2 5 2 3 2 2" xfId="9503" xr:uid="{00000000-0005-0000-0000-0000DA190000}"/>
    <cellStyle name="20% - Accent4 2 2 5 2 3 3" xfId="19544" xr:uid="{00000000-0005-0000-0000-0000DB190000}"/>
    <cellStyle name="20% - Accent4 2 2 5 2 4" xfId="11692" xr:uid="{00000000-0005-0000-0000-0000DC190000}"/>
    <cellStyle name="20% - Accent4 2 2 5 2 4 2" xfId="9508" xr:uid="{00000000-0005-0000-0000-0000DD190000}"/>
    <cellStyle name="20% - Accent4 2 2 5 2 5" xfId="9509" xr:uid="{00000000-0005-0000-0000-0000DE190000}"/>
    <cellStyle name="20% - Accent4 2 2 5 3" xfId="9547" xr:uid="{00000000-0005-0000-0000-0000DF190000}"/>
    <cellStyle name="20% - Accent4 2 2 5 3 2" xfId="25184" xr:uid="{00000000-0005-0000-0000-0000E0190000}"/>
    <cellStyle name="20% - Accent4 2 2 5 3 2 2" xfId="9512" xr:uid="{00000000-0005-0000-0000-0000E1190000}"/>
    <cellStyle name="20% - Accent4 2 2 5 3 2 2 2" xfId="9243" xr:uid="{00000000-0005-0000-0000-0000E2190000}"/>
    <cellStyle name="20% - Accent4 2 2 5 3 2 3" xfId="19659" xr:uid="{00000000-0005-0000-0000-0000E3190000}"/>
    <cellStyle name="20% - Accent4 2 2 5 3 3" xfId="33483" xr:uid="{00000000-0005-0000-0000-0000E4190000}"/>
    <cellStyle name="20% - Accent4 2 2 5 3 3 2" xfId="3667" xr:uid="{00000000-0005-0000-0000-0000E5190000}"/>
    <cellStyle name="20% - Accent4 2 2 5 3 4" xfId="561" xr:uid="{00000000-0005-0000-0000-0000E6190000}"/>
    <cellStyle name="20% - Accent4 2 2 5 4" xfId="11044" xr:uid="{00000000-0005-0000-0000-0000E7190000}"/>
    <cellStyle name="20% - Accent4 2 2 5 4 2" xfId="214" xr:uid="{00000000-0005-0000-0000-0000E8190000}"/>
    <cellStyle name="20% - Accent4 2 2 5 4 2 2" xfId="9514" xr:uid="{00000000-0005-0000-0000-0000E9190000}"/>
    <cellStyle name="20% - Accent4 2 2 5 4 3" xfId="29821" xr:uid="{00000000-0005-0000-0000-0000EA190000}"/>
    <cellStyle name="20% - Accent4 2 2 5 5" xfId="15637" xr:uid="{00000000-0005-0000-0000-0000EB190000}"/>
    <cellStyle name="20% - Accent4 2 2 5 5 2" xfId="28737" xr:uid="{00000000-0005-0000-0000-0000EC190000}"/>
    <cellStyle name="20% - Accent4 2 2 5 6" xfId="8313" xr:uid="{00000000-0005-0000-0000-0000ED190000}"/>
    <cellStyle name="20% - Accent4 2 2 6" xfId="954" xr:uid="{00000000-0005-0000-0000-0000EE190000}"/>
    <cellStyle name="20% - Accent4 2 2 6 2" xfId="18908" xr:uid="{00000000-0005-0000-0000-0000EF190000}"/>
    <cellStyle name="20% - Accent4 2 2 6 2 2" xfId="10056" xr:uid="{00000000-0005-0000-0000-0000F0190000}"/>
    <cellStyle name="20% - Accent4 2 2 6 2 2 2" xfId="12516" xr:uid="{00000000-0005-0000-0000-0000F1190000}"/>
    <cellStyle name="20% - Accent4 2 2 6 2 2 2 2" xfId="9517" xr:uid="{00000000-0005-0000-0000-0000F2190000}"/>
    <cellStyle name="20% - Accent4 2 2 6 2 2 3" xfId="27026" xr:uid="{00000000-0005-0000-0000-0000F3190000}"/>
    <cellStyle name="20% - Accent4 2 2 6 2 3" xfId="9522" xr:uid="{00000000-0005-0000-0000-0000F4190000}"/>
    <cellStyle name="20% - Accent4 2 2 6 2 3 2" xfId="9527" xr:uid="{00000000-0005-0000-0000-0000F5190000}"/>
    <cellStyle name="20% - Accent4 2 2 6 2 4" xfId="9528" xr:uid="{00000000-0005-0000-0000-0000F6190000}"/>
    <cellStyle name="20% - Accent4 2 2 6 3" xfId="9553" xr:uid="{00000000-0005-0000-0000-0000F7190000}"/>
    <cellStyle name="20% - Accent4 2 2 6 3 2" xfId="791" xr:uid="{00000000-0005-0000-0000-0000F8190000}"/>
    <cellStyle name="20% - Accent4 2 2 6 3 2 2" xfId="9531" xr:uid="{00000000-0005-0000-0000-0000F9190000}"/>
    <cellStyle name="20% - Accent4 2 2 6 3 3" xfId="27759" xr:uid="{00000000-0005-0000-0000-0000FA190000}"/>
    <cellStyle name="20% - Accent4 2 2 6 4" xfId="15648" xr:uid="{00000000-0005-0000-0000-0000FB190000}"/>
    <cellStyle name="20% - Accent4 2 2 6 4 2" xfId="27688" xr:uid="{00000000-0005-0000-0000-0000FC190000}"/>
    <cellStyle name="20% - Accent4 2 2 6 5" xfId="9534" xr:uid="{00000000-0005-0000-0000-0000FD190000}"/>
    <cellStyle name="20% - Accent4 2 2 7" xfId="9160" xr:uid="{00000000-0005-0000-0000-0000FE190000}"/>
    <cellStyle name="20% - Accent4 2 2 7 2" xfId="9555" xr:uid="{00000000-0005-0000-0000-0000FF190000}"/>
    <cellStyle name="20% - Accent4 2 2 7 2 2" xfId="13368" xr:uid="{00000000-0005-0000-0000-0000001A0000}"/>
    <cellStyle name="20% - Accent4 2 2 7 2 2 2" xfId="17537" xr:uid="{00000000-0005-0000-0000-0000011A0000}"/>
    <cellStyle name="20% - Accent4 2 2 7 2 3" xfId="9537" xr:uid="{00000000-0005-0000-0000-0000021A0000}"/>
    <cellStyle name="20% - Accent4 2 2 7 3" xfId="13496" xr:uid="{00000000-0005-0000-0000-0000031A0000}"/>
    <cellStyle name="20% - Accent4 2 2 7 3 2" xfId="33708" xr:uid="{00000000-0005-0000-0000-0000041A0000}"/>
    <cellStyle name="20% - Accent4 2 2 7 4" xfId="29989" xr:uid="{00000000-0005-0000-0000-0000051A0000}"/>
    <cellStyle name="20% - Accent4 2 2 8" xfId="9538" xr:uid="{00000000-0005-0000-0000-0000061A0000}"/>
    <cellStyle name="20% - Accent4 2 2 8 2" xfId="16032" xr:uid="{00000000-0005-0000-0000-0000071A0000}"/>
    <cellStyle name="20% - Accent4 2 2 8 2 2" xfId="9540" xr:uid="{00000000-0005-0000-0000-0000081A0000}"/>
    <cellStyle name="20% - Accent4 2 2 8 3" xfId="5691" xr:uid="{00000000-0005-0000-0000-0000091A0000}"/>
    <cellStyle name="20% - Accent4 2 2 9" xfId="9541" xr:uid="{00000000-0005-0000-0000-00000A1A0000}"/>
    <cellStyle name="20% - Accent4 2 2 9 2" xfId="7906" xr:uid="{00000000-0005-0000-0000-00000B1A0000}"/>
    <cellStyle name="20% - Accent4 2 3" xfId="25307" xr:uid="{00000000-0005-0000-0000-00000C1A0000}"/>
    <cellStyle name="20% - Accent4 2 3 2" xfId="2403" xr:uid="{00000000-0005-0000-0000-00000D1A0000}"/>
    <cellStyle name="20% - Accent4 2 3 2 2" xfId="23423" xr:uid="{00000000-0005-0000-0000-00000E1A0000}"/>
    <cellStyle name="20% - Accent4 2 3 2 2 2" xfId="18732" xr:uid="{00000000-0005-0000-0000-00000F1A0000}"/>
    <cellStyle name="20% - Accent4 2 3 2 2 2 2" xfId="9182" xr:uid="{00000000-0005-0000-0000-0000101A0000}"/>
    <cellStyle name="20% - Accent4 2 3 2 2 2 2 2" xfId="4030" xr:uid="{00000000-0005-0000-0000-0000111A0000}"/>
    <cellStyle name="20% - Accent4 2 3 2 2 2 2 2 2" xfId="22439" xr:uid="{00000000-0005-0000-0000-0000121A0000}"/>
    <cellStyle name="20% - Accent4 2 3 2 2 2 2 2 2 2" xfId="17610" xr:uid="{00000000-0005-0000-0000-0000131A0000}"/>
    <cellStyle name="20% - Accent4 2 3 2 2 2 2 2 2 2 2" xfId="9544" xr:uid="{00000000-0005-0000-0000-0000141A0000}"/>
    <cellStyle name="20% - Accent4 2 3 2 2 2 2 2 2 3" xfId="25838" xr:uid="{00000000-0005-0000-0000-0000151A0000}"/>
    <cellStyle name="20% - Accent4 2 3 2 2 2 2 2 3" xfId="21611" xr:uid="{00000000-0005-0000-0000-0000161A0000}"/>
    <cellStyle name="20% - Accent4 2 3 2 2 2 2 2 3 2" xfId="25839" xr:uid="{00000000-0005-0000-0000-0000171A0000}"/>
    <cellStyle name="20% - Accent4 2 3 2 2 2 2 2 4" xfId="21622" xr:uid="{00000000-0005-0000-0000-0000181A0000}"/>
    <cellStyle name="20% - Accent4 2 3 2 2 2 2 3" xfId="23243" xr:uid="{00000000-0005-0000-0000-0000191A0000}"/>
    <cellStyle name="20% - Accent4 2 3 2 2 2 2 3 2" xfId="21635" xr:uid="{00000000-0005-0000-0000-00001A1A0000}"/>
    <cellStyle name="20% - Accent4 2 3 2 2 2 2 3 2 2" xfId="25846" xr:uid="{00000000-0005-0000-0000-00001B1A0000}"/>
    <cellStyle name="20% - Accent4 2 3 2 2 2 2 3 3" xfId="21644" xr:uid="{00000000-0005-0000-0000-00001C1A0000}"/>
    <cellStyle name="20% - Accent4 2 3 2 2 2 2 4" xfId="11043" xr:uid="{00000000-0005-0000-0000-00001D1A0000}"/>
    <cellStyle name="20% - Accent4 2 3 2 2 2 2 4 2" xfId="21667" xr:uid="{00000000-0005-0000-0000-00001E1A0000}"/>
    <cellStyle name="20% - Accent4 2 3 2 2 2 2 5" xfId="15635" xr:uid="{00000000-0005-0000-0000-00001F1A0000}"/>
    <cellStyle name="20% - Accent4 2 3 2 2 2 3" xfId="11240" xr:uid="{00000000-0005-0000-0000-0000201A0000}"/>
    <cellStyle name="20% - Accent4 2 3 2 2 2 3 2" xfId="18909" xr:uid="{00000000-0005-0000-0000-0000211A0000}"/>
    <cellStyle name="20% - Accent4 2 3 2 2 2 3 2 2" xfId="23988" xr:uid="{00000000-0005-0000-0000-0000221A0000}"/>
    <cellStyle name="20% - Accent4 2 3 2 2 2 3 2 2 2" xfId="25869" xr:uid="{00000000-0005-0000-0000-0000231A0000}"/>
    <cellStyle name="20% - Accent4 2 3 2 2 2 3 2 3" xfId="21701" xr:uid="{00000000-0005-0000-0000-0000241A0000}"/>
    <cellStyle name="20% - Accent4 2 3 2 2 2 3 3" xfId="9551" xr:uid="{00000000-0005-0000-0000-0000251A0000}"/>
    <cellStyle name="20% - Accent4 2 3 2 2 2 3 3 2" xfId="21710" xr:uid="{00000000-0005-0000-0000-0000261A0000}"/>
    <cellStyle name="20% - Accent4 2 3 2 2 2 3 4" xfId="15647" xr:uid="{00000000-0005-0000-0000-0000271A0000}"/>
    <cellStyle name="20% - Accent4 2 3 2 2 2 4" xfId="4671" xr:uid="{00000000-0005-0000-0000-0000281A0000}"/>
    <cellStyle name="20% - Accent4 2 3 2 2 2 4 2" xfId="9554" xr:uid="{00000000-0005-0000-0000-0000291A0000}"/>
    <cellStyle name="20% - Accent4 2 3 2 2 2 4 2 2" xfId="21743" xr:uid="{00000000-0005-0000-0000-00002A1A0000}"/>
    <cellStyle name="20% - Accent4 2 3 2 2 2 4 3" xfId="13498" xr:uid="{00000000-0005-0000-0000-00002B1A0000}"/>
    <cellStyle name="20% - Accent4 2 3 2 2 2 5" xfId="25898" xr:uid="{00000000-0005-0000-0000-00002C1A0000}"/>
    <cellStyle name="20% - Accent4 2 3 2 2 2 5 2" xfId="16030" xr:uid="{00000000-0005-0000-0000-00002D1A0000}"/>
    <cellStyle name="20% - Accent4 2 3 2 2 2 6" xfId="14431" xr:uid="{00000000-0005-0000-0000-00002E1A0000}"/>
    <cellStyle name="20% - Accent4 2 3 2 2 3" xfId="18735" xr:uid="{00000000-0005-0000-0000-00002F1A0000}"/>
    <cellStyle name="20% - Accent4 2 3 2 2 3 2" xfId="1735" xr:uid="{00000000-0005-0000-0000-0000301A0000}"/>
    <cellStyle name="20% - Accent4 2 3 2 2 3 2 2" xfId="17191" xr:uid="{00000000-0005-0000-0000-0000311A0000}"/>
    <cellStyle name="20% - Accent4 2 3 2 2 3 2 2 2" xfId="21771" xr:uid="{00000000-0005-0000-0000-0000321A0000}"/>
    <cellStyle name="20% - Accent4 2 3 2 2 3 2 2 2 2" xfId="26004" xr:uid="{00000000-0005-0000-0000-0000331A0000}"/>
    <cellStyle name="20% - Accent4 2 3 2 2 3 2 2 3" xfId="21775" xr:uid="{00000000-0005-0000-0000-0000341A0000}"/>
    <cellStyle name="20% - Accent4 2 3 2 2 3 2 3" xfId="29226" xr:uid="{00000000-0005-0000-0000-0000351A0000}"/>
    <cellStyle name="20% - Accent4 2 3 2 2 3 2 3 2" xfId="21784" xr:uid="{00000000-0005-0000-0000-0000361A0000}"/>
    <cellStyle name="20% - Accent4 2 3 2 2 3 2 4" xfId="15681" xr:uid="{00000000-0005-0000-0000-0000371A0000}"/>
    <cellStyle name="20% - Accent4 2 3 2 2 3 3" xfId="3530" xr:uid="{00000000-0005-0000-0000-0000381A0000}"/>
    <cellStyle name="20% - Accent4 2 3 2 2 3 3 2" xfId="9561" xr:uid="{00000000-0005-0000-0000-0000391A0000}"/>
    <cellStyle name="20% - Accent4 2 3 2 2 3 3 2 2" xfId="23997" xr:uid="{00000000-0005-0000-0000-00003A1A0000}"/>
    <cellStyle name="20% - Accent4 2 3 2 2 3 3 3" xfId="9565" xr:uid="{00000000-0005-0000-0000-00003B1A0000}"/>
    <cellStyle name="20% - Accent4 2 3 2 2 3 4" xfId="32028" xr:uid="{00000000-0005-0000-0000-00003C1A0000}"/>
    <cellStyle name="20% - Accent4 2 3 2 2 3 4 2" xfId="9728" xr:uid="{00000000-0005-0000-0000-00003D1A0000}"/>
    <cellStyle name="20% - Accent4 2 3 2 2 3 5" xfId="21293" xr:uid="{00000000-0005-0000-0000-00003E1A0000}"/>
    <cellStyle name="20% - Accent4 2 3 2 2 4" xfId="9571" xr:uid="{00000000-0005-0000-0000-00003F1A0000}"/>
    <cellStyle name="20% - Accent4 2 3 2 2 4 2" xfId="11438" xr:uid="{00000000-0005-0000-0000-0000401A0000}"/>
    <cellStyle name="20% - Accent4 2 3 2 2 4 2 2" xfId="5627" xr:uid="{00000000-0005-0000-0000-0000411A0000}"/>
    <cellStyle name="20% - Accent4 2 3 2 2 4 2 2 2" xfId="21839" xr:uid="{00000000-0005-0000-0000-0000421A0000}"/>
    <cellStyle name="20% - Accent4 2 3 2 2 4 2 3" xfId="5636" xr:uid="{00000000-0005-0000-0000-0000431A0000}"/>
    <cellStyle name="20% - Accent4 2 3 2 2 4 3" xfId="22881" xr:uid="{00000000-0005-0000-0000-0000441A0000}"/>
    <cellStyle name="20% - Accent4 2 3 2 2 4 3 2" xfId="28290" xr:uid="{00000000-0005-0000-0000-0000451A0000}"/>
    <cellStyle name="20% - Accent4 2 3 2 2 4 4" xfId="25160" xr:uid="{00000000-0005-0000-0000-0000461A0000}"/>
    <cellStyle name="20% - Accent4 2 3 2 2 5" xfId="9577" xr:uid="{00000000-0005-0000-0000-0000471A0000}"/>
    <cellStyle name="20% - Accent4 2 3 2 2 5 2" xfId="9578" xr:uid="{00000000-0005-0000-0000-0000481A0000}"/>
    <cellStyle name="20% - Accent4 2 3 2 2 5 2 2" xfId="30082" xr:uid="{00000000-0005-0000-0000-0000491A0000}"/>
    <cellStyle name="20% - Accent4 2 3 2 2 5 3" xfId="27496" xr:uid="{00000000-0005-0000-0000-00004A1A0000}"/>
    <cellStyle name="20% - Accent4 2 3 2 2 6" xfId="9582" xr:uid="{00000000-0005-0000-0000-00004B1A0000}"/>
    <cellStyle name="20% - Accent4 2 3 2 2 6 2" xfId="528" xr:uid="{00000000-0005-0000-0000-00004C1A0000}"/>
    <cellStyle name="20% - Accent4 2 3 2 2 7" xfId="14936" xr:uid="{00000000-0005-0000-0000-00004D1A0000}"/>
    <cellStyle name="20% - Accent4 2 3 2 3" xfId="52" xr:uid="{00000000-0005-0000-0000-00004E1A0000}"/>
    <cellStyle name="20% - Accent4 2 3 2 3 2" xfId="3404" xr:uid="{00000000-0005-0000-0000-00004F1A0000}"/>
    <cellStyle name="20% - Accent4 2 3 2 3 2 2" xfId="3510" xr:uid="{00000000-0005-0000-0000-0000501A0000}"/>
    <cellStyle name="20% - Accent4 2 3 2 3 2 2 2" xfId="14488" xr:uid="{00000000-0005-0000-0000-0000511A0000}"/>
    <cellStyle name="20% - Accent4 2 3 2 3 2 2 2 2" xfId="9584" xr:uid="{00000000-0005-0000-0000-0000521A0000}"/>
    <cellStyle name="20% - Accent4 2 3 2 3 2 2 2 2 2" xfId="24855" xr:uid="{00000000-0005-0000-0000-0000531A0000}"/>
    <cellStyle name="20% - Accent4 2 3 2 3 2 2 2 3" xfId="11878" xr:uid="{00000000-0005-0000-0000-0000541A0000}"/>
    <cellStyle name="20% - Accent4 2 3 2 3 2 2 3" xfId="14498" xr:uid="{00000000-0005-0000-0000-0000551A0000}"/>
    <cellStyle name="20% - Accent4 2 3 2 3 2 2 3 2" xfId="9586" xr:uid="{00000000-0005-0000-0000-0000561A0000}"/>
    <cellStyle name="20% - Accent4 2 3 2 3 2 2 4" xfId="15728" xr:uid="{00000000-0005-0000-0000-0000571A0000}"/>
    <cellStyle name="20% - Accent4 2 3 2 3 2 3" xfId="1968" xr:uid="{00000000-0005-0000-0000-0000581A0000}"/>
    <cellStyle name="20% - Accent4 2 3 2 3 2 3 2" xfId="11681" xr:uid="{00000000-0005-0000-0000-0000591A0000}"/>
    <cellStyle name="20% - Accent4 2 3 2 3 2 3 2 2" xfId="9589" xr:uid="{00000000-0005-0000-0000-00005A1A0000}"/>
    <cellStyle name="20% - Accent4 2 3 2 3 2 3 3" xfId="14642" xr:uid="{00000000-0005-0000-0000-00005B1A0000}"/>
    <cellStyle name="20% - Accent4 2 3 2 3 2 4" xfId="9590" xr:uid="{00000000-0005-0000-0000-00005C1A0000}"/>
    <cellStyle name="20% - Accent4 2 3 2 3 2 4 2" xfId="28676" xr:uid="{00000000-0005-0000-0000-00005D1A0000}"/>
    <cellStyle name="20% - Accent4 2 3 2 3 2 5" xfId="9596" xr:uid="{00000000-0005-0000-0000-00005E1A0000}"/>
    <cellStyle name="20% - Accent4 2 3 2 3 3" xfId="3407" xr:uid="{00000000-0005-0000-0000-00005F1A0000}"/>
    <cellStyle name="20% - Accent4 2 3 2 3 3 2" xfId="14430" xr:uid="{00000000-0005-0000-0000-0000601A0000}"/>
    <cellStyle name="20% - Accent4 2 3 2 3 3 2 2" xfId="11691" xr:uid="{00000000-0005-0000-0000-0000611A0000}"/>
    <cellStyle name="20% - Accent4 2 3 2 3 3 2 2 2" xfId="9599" xr:uid="{00000000-0005-0000-0000-0000621A0000}"/>
    <cellStyle name="20% - Accent4 2 3 2 3 3 2 3" xfId="15123" xr:uid="{00000000-0005-0000-0000-0000631A0000}"/>
    <cellStyle name="20% - Accent4 2 3 2 3 3 3" xfId="22908" xr:uid="{00000000-0005-0000-0000-0000641A0000}"/>
    <cellStyle name="20% - Accent4 2 3 2 3 3 3 2" xfId="14240" xr:uid="{00000000-0005-0000-0000-0000651A0000}"/>
    <cellStyle name="20% - Accent4 2 3 2 3 3 4" xfId="9604" xr:uid="{00000000-0005-0000-0000-0000661A0000}"/>
    <cellStyle name="20% - Accent4 2 3 2 3 4" xfId="480" xr:uid="{00000000-0005-0000-0000-0000671A0000}"/>
    <cellStyle name="20% - Accent4 2 3 2 3 4 2" xfId="14927" xr:uid="{00000000-0005-0000-0000-0000681A0000}"/>
    <cellStyle name="20% - Accent4 2 3 2 3 4 2 2" xfId="26110" xr:uid="{00000000-0005-0000-0000-0000691A0000}"/>
    <cellStyle name="20% - Accent4 2 3 2 3 4 3" xfId="8245" xr:uid="{00000000-0005-0000-0000-00006A1A0000}"/>
    <cellStyle name="20% - Accent4 2 3 2 3 5" xfId="6972" xr:uid="{00000000-0005-0000-0000-00006B1A0000}"/>
    <cellStyle name="20% - Accent4 2 3 2 3 5 2" xfId="10806" xr:uid="{00000000-0005-0000-0000-00006C1A0000}"/>
    <cellStyle name="20% - Accent4 2 3 2 3 6" xfId="33256" xr:uid="{00000000-0005-0000-0000-00006D1A0000}"/>
    <cellStyle name="20% - Accent4 2 3 2 4" xfId="16268" xr:uid="{00000000-0005-0000-0000-00006E1A0000}"/>
    <cellStyle name="20% - Accent4 2 3 2 4 2" xfId="12054" xr:uid="{00000000-0005-0000-0000-00006F1A0000}"/>
    <cellStyle name="20% - Accent4 2 3 2 4 2 2" xfId="9617" xr:uid="{00000000-0005-0000-0000-0000701A0000}"/>
    <cellStyle name="20% - Accent4 2 3 2 4 2 2 2" xfId="10121" xr:uid="{00000000-0005-0000-0000-0000711A0000}"/>
    <cellStyle name="20% - Accent4 2 3 2 4 2 2 2 2" xfId="20971" xr:uid="{00000000-0005-0000-0000-0000721A0000}"/>
    <cellStyle name="20% - Accent4 2 3 2 4 2 2 3" xfId="9618" xr:uid="{00000000-0005-0000-0000-0000731A0000}"/>
    <cellStyle name="20% - Accent4 2 3 2 4 2 3" xfId="9621" xr:uid="{00000000-0005-0000-0000-0000741A0000}"/>
    <cellStyle name="20% - Accent4 2 3 2 4 2 3 2" xfId="11551" xr:uid="{00000000-0005-0000-0000-0000751A0000}"/>
    <cellStyle name="20% - Accent4 2 3 2 4 2 4" xfId="9626" xr:uid="{00000000-0005-0000-0000-0000761A0000}"/>
    <cellStyle name="20% - Accent4 2 3 2 4 3" xfId="9747" xr:uid="{00000000-0005-0000-0000-0000771A0000}"/>
    <cellStyle name="20% - Accent4 2 3 2 4 3 2" xfId="9630" xr:uid="{00000000-0005-0000-0000-0000781A0000}"/>
    <cellStyle name="20% - Accent4 2 3 2 4 3 2 2" xfId="10209" xr:uid="{00000000-0005-0000-0000-0000791A0000}"/>
    <cellStyle name="20% - Accent4 2 3 2 4 3 3" xfId="19399" xr:uid="{00000000-0005-0000-0000-00007A1A0000}"/>
    <cellStyle name="20% - Accent4 2 3 2 4 4" xfId="4948" xr:uid="{00000000-0005-0000-0000-00007B1A0000}"/>
    <cellStyle name="20% - Accent4 2 3 2 4 4 2" xfId="267" xr:uid="{00000000-0005-0000-0000-00007C1A0000}"/>
    <cellStyle name="20% - Accent4 2 3 2 4 5" xfId="9637" xr:uid="{00000000-0005-0000-0000-00007D1A0000}"/>
    <cellStyle name="20% - Accent4 2 3 2 5" xfId="16275" xr:uid="{00000000-0005-0000-0000-00007E1A0000}"/>
    <cellStyle name="20% - Accent4 2 3 2 5 2" xfId="7485" xr:uid="{00000000-0005-0000-0000-00007F1A0000}"/>
    <cellStyle name="20% - Accent4 2 3 2 5 2 2" xfId="8356" xr:uid="{00000000-0005-0000-0000-0000801A0000}"/>
    <cellStyle name="20% - Accent4 2 3 2 5 2 2 2" xfId="10550" xr:uid="{00000000-0005-0000-0000-0000811A0000}"/>
    <cellStyle name="20% - Accent4 2 3 2 5 2 3" xfId="9643" xr:uid="{00000000-0005-0000-0000-0000821A0000}"/>
    <cellStyle name="20% - Accent4 2 3 2 5 3" xfId="2117" xr:uid="{00000000-0005-0000-0000-0000831A0000}"/>
    <cellStyle name="20% - Accent4 2 3 2 5 3 2" xfId="9646" xr:uid="{00000000-0005-0000-0000-0000841A0000}"/>
    <cellStyle name="20% - Accent4 2 3 2 5 4" xfId="28097" xr:uid="{00000000-0005-0000-0000-0000851A0000}"/>
    <cellStyle name="20% - Accent4 2 3 2 6" xfId="828" xr:uid="{00000000-0005-0000-0000-0000861A0000}"/>
    <cellStyle name="20% - Accent4 2 3 2 6 2" xfId="275" xr:uid="{00000000-0005-0000-0000-0000871A0000}"/>
    <cellStyle name="20% - Accent4 2 3 2 6 2 2" xfId="9649" xr:uid="{00000000-0005-0000-0000-0000881A0000}"/>
    <cellStyle name="20% - Accent4 2 3 2 6 3" xfId="9655" xr:uid="{00000000-0005-0000-0000-0000891A0000}"/>
    <cellStyle name="20% - Accent4 2 3 2 7" xfId="833" xr:uid="{00000000-0005-0000-0000-00008A1A0000}"/>
    <cellStyle name="20% - Accent4 2 3 2 7 2" xfId="8348" xr:uid="{00000000-0005-0000-0000-00008B1A0000}"/>
    <cellStyle name="20% - Accent4 2 3 2 8" xfId="31436" xr:uid="{00000000-0005-0000-0000-00008C1A0000}"/>
    <cellStyle name="20% - Accent4 2 3 3" xfId="3302" xr:uid="{00000000-0005-0000-0000-00008D1A0000}"/>
    <cellStyle name="20% - Accent4 2 3 3 2" xfId="9659" xr:uid="{00000000-0005-0000-0000-00008E1A0000}"/>
    <cellStyle name="20% - Accent4 2 3 3 2 2" xfId="13128" xr:uid="{00000000-0005-0000-0000-00008F1A0000}"/>
    <cellStyle name="20% - Accent4 2 3 3 2 2 2" xfId="13590" xr:uid="{00000000-0005-0000-0000-0000901A0000}"/>
    <cellStyle name="20% - Accent4 2 3 3 2 2 2 2" xfId="24963" xr:uid="{00000000-0005-0000-0000-0000911A0000}"/>
    <cellStyle name="20% - Accent4 2 3 3 2 2 2 2 2" xfId="15896" xr:uid="{00000000-0005-0000-0000-0000921A0000}"/>
    <cellStyle name="20% - Accent4 2 3 3 2 2 2 2 2 2" xfId="27986" xr:uid="{00000000-0005-0000-0000-0000931A0000}"/>
    <cellStyle name="20% - Accent4 2 3 3 2 2 2 2 3" xfId="9298" xr:uid="{00000000-0005-0000-0000-0000941A0000}"/>
    <cellStyle name="20% - Accent4 2 3 3 2 2 2 3" xfId="7181" xr:uid="{00000000-0005-0000-0000-0000951A0000}"/>
    <cellStyle name="20% - Accent4 2 3 3 2 2 2 3 2" xfId="9307" xr:uid="{00000000-0005-0000-0000-0000961A0000}"/>
    <cellStyle name="20% - Accent4 2 3 3 2 2 2 4" xfId="29025" xr:uid="{00000000-0005-0000-0000-0000971A0000}"/>
    <cellStyle name="20% - Accent4 2 3 3 2 2 3" xfId="5744" xr:uid="{00000000-0005-0000-0000-0000981A0000}"/>
    <cellStyle name="20% - Accent4 2 3 3 2 2 3 2" xfId="31559" xr:uid="{00000000-0005-0000-0000-0000991A0000}"/>
    <cellStyle name="20% - Accent4 2 3 3 2 2 3 2 2" xfId="9325" xr:uid="{00000000-0005-0000-0000-00009A1A0000}"/>
    <cellStyle name="20% - Accent4 2 3 3 2 2 3 3" xfId="14825" xr:uid="{00000000-0005-0000-0000-00009B1A0000}"/>
    <cellStyle name="20% - Accent4 2 3 3 2 2 4" xfId="32238" xr:uid="{00000000-0005-0000-0000-00009C1A0000}"/>
    <cellStyle name="20% - Accent4 2 3 3 2 2 4 2" xfId="33973" xr:uid="{00000000-0005-0000-0000-00009D1A0000}"/>
    <cellStyle name="20% - Accent4 2 3 3 2 2 5" xfId="26032" xr:uid="{00000000-0005-0000-0000-00009E1A0000}"/>
    <cellStyle name="20% - Accent4 2 3 3 2 3" xfId="14965" xr:uid="{00000000-0005-0000-0000-00009F1A0000}"/>
    <cellStyle name="20% - Accent4 2 3 3 2 3 2" xfId="9660" xr:uid="{00000000-0005-0000-0000-0000A01A0000}"/>
    <cellStyle name="20% - Accent4 2 3 3 2 3 2 2" xfId="18012" xr:uid="{00000000-0005-0000-0000-0000A11A0000}"/>
    <cellStyle name="20% - Accent4 2 3 3 2 3 2 2 2" xfId="9356" xr:uid="{00000000-0005-0000-0000-0000A21A0000}"/>
    <cellStyle name="20% - Accent4 2 3 3 2 3 2 3" xfId="7046" xr:uid="{00000000-0005-0000-0000-0000A31A0000}"/>
    <cellStyle name="20% - Accent4 2 3 3 2 3 3" xfId="27315" xr:uid="{00000000-0005-0000-0000-0000A41A0000}"/>
    <cellStyle name="20% - Accent4 2 3 3 2 3 3 2" xfId="33093" xr:uid="{00000000-0005-0000-0000-0000A51A0000}"/>
    <cellStyle name="20% - Accent4 2 3 3 2 3 4" xfId="21438" xr:uid="{00000000-0005-0000-0000-0000A61A0000}"/>
    <cellStyle name="20% - Accent4 2 3 3 2 4" xfId="16941" xr:uid="{00000000-0005-0000-0000-0000A71A0000}"/>
    <cellStyle name="20% - Accent4 2 3 3 2 4 2" xfId="15234" xr:uid="{00000000-0005-0000-0000-0000A81A0000}"/>
    <cellStyle name="20% - Accent4 2 3 3 2 4 2 2" xfId="14869" xr:uid="{00000000-0005-0000-0000-0000A91A0000}"/>
    <cellStyle name="20% - Accent4 2 3 3 2 4 3" xfId="20156" xr:uid="{00000000-0005-0000-0000-0000AA1A0000}"/>
    <cellStyle name="20% - Accent4 2 3 3 2 5" xfId="9663" xr:uid="{00000000-0005-0000-0000-0000AB1A0000}"/>
    <cellStyle name="20% - Accent4 2 3 3 2 5 2" xfId="15242" xr:uid="{00000000-0005-0000-0000-0000AC1A0000}"/>
    <cellStyle name="20% - Accent4 2 3 3 2 6" xfId="9670" xr:uid="{00000000-0005-0000-0000-0000AD1A0000}"/>
    <cellStyle name="20% - Accent4 2 3 3 3" xfId="953" xr:uid="{00000000-0005-0000-0000-0000AE1A0000}"/>
    <cellStyle name="20% - Accent4 2 3 3 3 2" xfId="28766" xr:uid="{00000000-0005-0000-0000-0000AF1A0000}"/>
    <cellStyle name="20% - Accent4 2 3 3 3 2 2" xfId="29157" xr:uid="{00000000-0005-0000-0000-0000B01A0000}"/>
    <cellStyle name="20% - Accent4 2 3 3 3 2 2 2" xfId="19348" xr:uid="{00000000-0005-0000-0000-0000B11A0000}"/>
    <cellStyle name="20% - Accent4 2 3 3 3 2 2 2 2" xfId="9429" xr:uid="{00000000-0005-0000-0000-0000B21A0000}"/>
    <cellStyle name="20% - Accent4 2 3 3 3 2 2 3" xfId="33997" xr:uid="{00000000-0005-0000-0000-0000B31A0000}"/>
    <cellStyle name="20% - Accent4 2 3 3 3 2 3" xfId="9678" xr:uid="{00000000-0005-0000-0000-0000B41A0000}"/>
    <cellStyle name="20% - Accent4 2 3 3 3 2 3 2" xfId="12038" xr:uid="{00000000-0005-0000-0000-0000B51A0000}"/>
    <cellStyle name="20% - Accent4 2 3 3 3 2 4" xfId="9683" xr:uid="{00000000-0005-0000-0000-0000B61A0000}"/>
    <cellStyle name="20% - Accent4 2 3 3 3 3" xfId="28770" xr:uid="{00000000-0005-0000-0000-0000B71A0000}"/>
    <cellStyle name="20% - Accent4 2 3 3 3 3 2" xfId="14459" xr:uid="{00000000-0005-0000-0000-0000B81A0000}"/>
    <cellStyle name="20% - Accent4 2 3 3 3 3 2 2" xfId="33947" xr:uid="{00000000-0005-0000-0000-0000B91A0000}"/>
    <cellStyle name="20% - Accent4 2 3 3 3 3 3" xfId="26316" xr:uid="{00000000-0005-0000-0000-0000BA1A0000}"/>
    <cellStyle name="20% - Accent4 2 3 3 3 4" xfId="4428" xr:uid="{00000000-0005-0000-0000-0000BB1A0000}"/>
    <cellStyle name="20% - Accent4 2 3 3 3 4 2" xfId="17087" xr:uid="{00000000-0005-0000-0000-0000BC1A0000}"/>
    <cellStyle name="20% - Accent4 2 3 3 3 5" xfId="28777" xr:uid="{00000000-0005-0000-0000-0000BD1A0000}"/>
    <cellStyle name="20% - Accent4 2 3 3 4" xfId="16280" xr:uid="{00000000-0005-0000-0000-0000BE1A0000}"/>
    <cellStyle name="20% - Accent4 2 3 3 4 2" xfId="29170" xr:uid="{00000000-0005-0000-0000-0000BF1A0000}"/>
    <cellStyle name="20% - Accent4 2 3 3 4 2 2" xfId="33934" xr:uid="{00000000-0005-0000-0000-0000C01A0000}"/>
    <cellStyle name="20% - Accent4 2 3 3 4 2 2 2" xfId="9688" xr:uid="{00000000-0005-0000-0000-0000C11A0000}"/>
    <cellStyle name="20% - Accent4 2 3 3 4 2 3" xfId="31002" xr:uid="{00000000-0005-0000-0000-0000C21A0000}"/>
    <cellStyle name="20% - Accent4 2 3 3 4 3" xfId="11701" xr:uid="{00000000-0005-0000-0000-0000C31A0000}"/>
    <cellStyle name="20% - Accent4 2 3 3 4 3 2" xfId="9692" xr:uid="{00000000-0005-0000-0000-0000C41A0000}"/>
    <cellStyle name="20% - Accent4 2 3 3 4 4" xfId="11806" xr:uid="{00000000-0005-0000-0000-0000C51A0000}"/>
    <cellStyle name="20% - Accent4 2 3 3 5" xfId="877" xr:uid="{00000000-0005-0000-0000-0000C61A0000}"/>
    <cellStyle name="20% - Accent4 2 3 3 5 2" xfId="5186" xr:uid="{00000000-0005-0000-0000-0000C71A0000}"/>
    <cellStyle name="20% - Accent4 2 3 3 5 2 2" xfId="8332" xr:uid="{00000000-0005-0000-0000-0000C81A0000}"/>
    <cellStyle name="20% - Accent4 2 3 3 5 3" xfId="14640" xr:uid="{00000000-0005-0000-0000-0000C91A0000}"/>
    <cellStyle name="20% - Accent4 2 3 3 6" xfId="854" xr:uid="{00000000-0005-0000-0000-0000CA1A0000}"/>
    <cellStyle name="20% - Accent4 2 3 3 6 2" xfId="29172" xr:uid="{00000000-0005-0000-0000-0000CB1A0000}"/>
    <cellStyle name="20% - Accent4 2 3 3 7" xfId="29177" xr:uid="{00000000-0005-0000-0000-0000CC1A0000}"/>
    <cellStyle name="20% - Accent4 2 3 4" xfId="3370" xr:uid="{00000000-0005-0000-0000-0000CD1A0000}"/>
    <cellStyle name="20% - Accent4 2 3 4 2" xfId="2934" xr:uid="{00000000-0005-0000-0000-0000CE1A0000}"/>
    <cellStyle name="20% - Accent4 2 3 4 2 2" xfId="8486" xr:uid="{00000000-0005-0000-0000-0000CF1A0000}"/>
    <cellStyle name="20% - Accent4 2 3 4 2 2 2" xfId="10030" xr:uid="{00000000-0005-0000-0000-0000D01A0000}"/>
    <cellStyle name="20% - Accent4 2 3 4 2 2 2 2" xfId="12829" xr:uid="{00000000-0005-0000-0000-0000D11A0000}"/>
    <cellStyle name="20% - Accent4 2 3 4 2 2 2 2 2" xfId="17790" xr:uid="{00000000-0005-0000-0000-0000D21A0000}"/>
    <cellStyle name="20% - Accent4 2 3 4 2 2 2 3" xfId="11496" xr:uid="{00000000-0005-0000-0000-0000D31A0000}"/>
    <cellStyle name="20% - Accent4 2 3 4 2 2 3" xfId="12012" xr:uid="{00000000-0005-0000-0000-0000D41A0000}"/>
    <cellStyle name="20% - Accent4 2 3 4 2 2 3 2" xfId="13071" xr:uid="{00000000-0005-0000-0000-0000D51A0000}"/>
    <cellStyle name="20% - Accent4 2 3 4 2 2 4" xfId="20747" xr:uid="{00000000-0005-0000-0000-0000D61A0000}"/>
    <cellStyle name="20% - Accent4 2 3 4 2 3" xfId="16998" xr:uid="{00000000-0005-0000-0000-0000D71A0000}"/>
    <cellStyle name="20% - Accent4 2 3 4 2 3 2" xfId="15894" xr:uid="{00000000-0005-0000-0000-0000D81A0000}"/>
    <cellStyle name="20% - Accent4 2 3 4 2 3 2 2" xfId="13272" xr:uid="{00000000-0005-0000-0000-0000D91A0000}"/>
    <cellStyle name="20% - Accent4 2 3 4 2 3 3" xfId="20900" xr:uid="{00000000-0005-0000-0000-0000DA1A0000}"/>
    <cellStyle name="20% - Accent4 2 3 4 2 4" xfId="15785" xr:uid="{00000000-0005-0000-0000-0000DB1A0000}"/>
    <cellStyle name="20% - Accent4 2 3 4 2 4 2" xfId="13276" xr:uid="{00000000-0005-0000-0000-0000DC1A0000}"/>
    <cellStyle name="20% - Accent4 2 3 4 2 5" xfId="9701" xr:uid="{00000000-0005-0000-0000-0000DD1A0000}"/>
    <cellStyle name="20% - Accent4 2 3 4 3" xfId="7199" xr:uid="{00000000-0005-0000-0000-0000DE1A0000}"/>
    <cellStyle name="20% - Accent4 2 3 4 3 2" xfId="26661" xr:uid="{00000000-0005-0000-0000-0000DF1A0000}"/>
    <cellStyle name="20% - Accent4 2 3 4 3 2 2" xfId="12031" xr:uid="{00000000-0005-0000-0000-0000E01A0000}"/>
    <cellStyle name="20% - Accent4 2 3 4 3 2 2 2" xfId="15042" xr:uid="{00000000-0005-0000-0000-0000E11A0000}"/>
    <cellStyle name="20% - Accent4 2 3 4 3 2 3" xfId="20135" xr:uid="{00000000-0005-0000-0000-0000E21A0000}"/>
    <cellStyle name="20% - Accent4 2 3 4 3 3" xfId="26050" xr:uid="{00000000-0005-0000-0000-0000E31A0000}"/>
    <cellStyle name="20% - Accent4 2 3 4 3 3 2" xfId="2371" xr:uid="{00000000-0005-0000-0000-0000E41A0000}"/>
    <cellStyle name="20% - Accent4 2 3 4 3 4" xfId="610" xr:uid="{00000000-0005-0000-0000-0000E51A0000}"/>
    <cellStyle name="20% - Accent4 2 3 4 4" xfId="2962" xr:uid="{00000000-0005-0000-0000-0000E61A0000}"/>
    <cellStyle name="20% - Accent4 2 3 4 4 2" xfId="580" xr:uid="{00000000-0005-0000-0000-0000E71A0000}"/>
    <cellStyle name="20% - Accent4 2 3 4 4 2 2" xfId="9702" xr:uid="{00000000-0005-0000-0000-0000E81A0000}"/>
    <cellStyle name="20% - Accent4 2 3 4 4 3" xfId="9704" xr:uid="{00000000-0005-0000-0000-0000E91A0000}"/>
    <cellStyle name="20% - Accent4 2 3 4 5" xfId="860" xr:uid="{00000000-0005-0000-0000-0000EA1A0000}"/>
    <cellStyle name="20% - Accent4 2 3 4 5 2" xfId="29210" xr:uid="{00000000-0005-0000-0000-0000EB1A0000}"/>
    <cellStyle name="20% - Accent4 2 3 4 6" xfId="29213" xr:uid="{00000000-0005-0000-0000-0000EC1A0000}"/>
    <cellStyle name="20% - Accent4 2 3 5" xfId="17186" xr:uid="{00000000-0005-0000-0000-0000ED1A0000}"/>
    <cellStyle name="20% - Accent4 2 3 5 2" xfId="17192" xr:uid="{00000000-0005-0000-0000-0000EE1A0000}"/>
    <cellStyle name="20% - Accent4 2 3 5 2 2" xfId="10125" xr:uid="{00000000-0005-0000-0000-0000EF1A0000}"/>
    <cellStyle name="20% - Accent4 2 3 5 2 2 2" xfId="9712" xr:uid="{00000000-0005-0000-0000-0000F01A0000}"/>
    <cellStyle name="20% - Accent4 2 3 5 2 2 2 2" xfId="11613" xr:uid="{00000000-0005-0000-0000-0000F11A0000}"/>
    <cellStyle name="20% - Accent4 2 3 5 2 2 3" xfId="23144" xr:uid="{00000000-0005-0000-0000-0000F21A0000}"/>
    <cellStyle name="20% - Accent4 2 3 5 2 3" xfId="15792" xr:uid="{00000000-0005-0000-0000-0000F31A0000}"/>
    <cellStyle name="20% - Accent4 2 3 5 2 3 2" xfId="9714" xr:uid="{00000000-0005-0000-0000-0000F41A0000}"/>
    <cellStyle name="20% - Accent4 2 3 5 2 4" xfId="9715" xr:uid="{00000000-0005-0000-0000-0000F51A0000}"/>
    <cellStyle name="20% - Accent4 2 3 5 3" xfId="29227" xr:uid="{00000000-0005-0000-0000-0000F61A0000}"/>
    <cellStyle name="20% - Accent4 2 3 5 3 2" xfId="864" xr:uid="{00000000-0005-0000-0000-0000F71A0000}"/>
    <cellStyle name="20% - Accent4 2 3 5 3 2 2" xfId="28050" xr:uid="{00000000-0005-0000-0000-0000F81A0000}"/>
    <cellStyle name="20% - Accent4 2 3 5 3 3" xfId="9716" xr:uid="{00000000-0005-0000-0000-0000F91A0000}"/>
    <cellStyle name="20% - Accent4 2 3 5 4" xfId="15682" xr:uid="{00000000-0005-0000-0000-0000FA1A0000}"/>
    <cellStyle name="20% - Accent4 2 3 5 4 2" xfId="29243" xr:uid="{00000000-0005-0000-0000-0000FB1A0000}"/>
    <cellStyle name="20% - Accent4 2 3 5 5" xfId="27531" xr:uid="{00000000-0005-0000-0000-0000FC1A0000}"/>
    <cellStyle name="20% - Accent4 2 3 6" xfId="17195" xr:uid="{00000000-0005-0000-0000-0000FD1A0000}"/>
    <cellStyle name="20% - Accent4 2 3 6 2" xfId="9562" xr:uid="{00000000-0005-0000-0000-0000FE1A0000}"/>
    <cellStyle name="20% - Accent4 2 3 6 2 2" xfId="9720" xr:uid="{00000000-0005-0000-0000-0000FF1A0000}"/>
    <cellStyle name="20% - Accent4 2 3 6 2 2 2" xfId="27075" xr:uid="{00000000-0005-0000-0000-0000001B0000}"/>
    <cellStyle name="20% - Accent4 2 3 6 2 3" xfId="9722" xr:uid="{00000000-0005-0000-0000-0000011B0000}"/>
    <cellStyle name="20% - Accent4 2 3 6 3" xfId="9566" xr:uid="{00000000-0005-0000-0000-0000021B0000}"/>
    <cellStyle name="20% - Accent4 2 3 6 3 2" xfId="10715" xr:uid="{00000000-0005-0000-0000-0000031B0000}"/>
    <cellStyle name="20% - Accent4 2 3 6 4" xfId="9724" xr:uid="{00000000-0005-0000-0000-0000041B0000}"/>
    <cellStyle name="20% - Accent4 2 3 7" xfId="17484" xr:uid="{00000000-0005-0000-0000-0000051B0000}"/>
    <cellStyle name="20% - Accent4 2 3 7 2" xfId="9727" xr:uid="{00000000-0005-0000-0000-0000061B0000}"/>
    <cellStyle name="20% - Accent4 2 3 7 2 2" xfId="13887" xr:uid="{00000000-0005-0000-0000-0000071B0000}"/>
    <cellStyle name="20% - Accent4 2 3 7 3" xfId="28790" xr:uid="{00000000-0005-0000-0000-0000081B0000}"/>
    <cellStyle name="20% - Accent4 2 3 8" xfId="6133" xr:uid="{00000000-0005-0000-0000-0000091B0000}"/>
    <cellStyle name="20% - Accent4 2 3 8 2" xfId="380" xr:uid="{00000000-0005-0000-0000-00000A1B0000}"/>
    <cellStyle name="20% - Accent4 2 3 9" xfId="17160" xr:uid="{00000000-0005-0000-0000-00000B1B0000}"/>
    <cellStyle name="20% - Accent4 2 4" xfId="9732" xr:uid="{00000000-0005-0000-0000-00000C1B0000}"/>
    <cellStyle name="20% - Accent4 2 4 2" xfId="25765" xr:uid="{00000000-0005-0000-0000-00000D1B0000}"/>
    <cellStyle name="20% - Accent4 2 4 2 2" xfId="9734" xr:uid="{00000000-0005-0000-0000-00000E1B0000}"/>
    <cellStyle name="20% - Accent4 2 4 2 2 2" xfId="9735" xr:uid="{00000000-0005-0000-0000-00000F1B0000}"/>
    <cellStyle name="20% - Accent4 2 4 2 2 2 2" xfId="8016" xr:uid="{00000000-0005-0000-0000-0000101B0000}"/>
    <cellStyle name="20% - Accent4 2 4 2 2 2 2 2" xfId="9740" xr:uid="{00000000-0005-0000-0000-0000111B0000}"/>
    <cellStyle name="20% - Accent4 2 4 2 2 2 2 2 2" xfId="10475" xr:uid="{00000000-0005-0000-0000-0000121B0000}"/>
    <cellStyle name="20% - Accent4 2 4 2 2 2 2 2 2 2" xfId="33983" xr:uid="{00000000-0005-0000-0000-0000131B0000}"/>
    <cellStyle name="20% - Accent4 2 4 2 2 2 2 2 3" xfId="9742" xr:uid="{00000000-0005-0000-0000-0000141B0000}"/>
    <cellStyle name="20% - Accent4 2 4 2 2 2 2 3" xfId="8089" xr:uid="{00000000-0005-0000-0000-0000151B0000}"/>
    <cellStyle name="20% - Accent4 2 4 2 2 2 2 3 2" xfId="14891" xr:uid="{00000000-0005-0000-0000-0000161B0000}"/>
    <cellStyle name="20% - Accent4 2 4 2 2 2 2 4" xfId="13007" xr:uid="{00000000-0005-0000-0000-0000171B0000}"/>
    <cellStyle name="20% - Accent4 2 4 2 2 2 3" xfId="7466" xr:uid="{00000000-0005-0000-0000-0000181B0000}"/>
    <cellStyle name="20% - Accent4 2 4 2 2 2 3 2" xfId="9743" xr:uid="{00000000-0005-0000-0000-0000191B0000}"/>
    <cellStyle name="20% - Accent4 2 4 2 2 2 3 2 2" xfId="17258" xr:uid="{00000000-0005-0000-0000-00001A1B0000}"/>
    <cellStyle name="20% - Accent4 2 4 2 2 2 3 3" xfId="9745" xr:uid="{00000000-0005-0000-0000-00001B1B0000}"/>
    <cellStyle name="20% - Accent4 2 4 2 2 2 4" xfId="32260" xr:uid="{00000000-0005-0000-0000-00001C1B0000}"/>
    <cellStyle name="20% - Accent4 2 4 2 2 2 4 2" xfId="9748" xr:uid="{00000000-0005-0000-0000-00001D1B0000}"/>
    <cellStyle name="20% - Accent4 2 4 2 2 2 5" xfId="9749" xr:uid="{00000000-0005-0000-0000-00001E1B0000}"/>
    <cellStyle name="20% - Accent4 2 4 2 2 3" xfId="9902" xr:uid="{00000000-0005-0000-0000-00001F1B0000}"/>
    <cellStyle name="20% - Accent4 2 4 2 2 3 2" xfId="9754" xr:uid="{00000000-0005-0000-0000-0000201B0000}"/>
    <cellStyle name="20% - Accent4 2 4 2 2 3 2 2" xfId="9758" xr:uid="{00000000-0005-0000-0000-0000211B0000}"/>
    <cellStyle name="20% - Accent4 2 4 2 2 3 2 2 2" xfId="605" xr:uid="{00000000-0005-0000-0000-0000221B0000}"/>
    <cellStyle name="20% - Accent4 2 4 2 2 3 2 3" xfId="9761" xr:uid="{00000000-0005-0000-0000-0000231B0000}"/>
    <cellStyle name="20% - Accent4 2 4 2 2 3 3" xfId="7486" xr:uid="{00000000-0005-0000-0000-0000241B0000}"/>
    <cellStyle name="20% - Accent4 2 4 2 2 3 3 2" xfId="9764" xr:uid="{00000000-0005-0000-0000-0000251B0000}"/>
    <cellStyle name="20% - Accent4 2 4 2 2 3 4" xfId="23208" xr:uid="{00000000-0005-0000-0000-0000261B0000}"/>
    <cellStyle name="20% - Accent4 2 4 2 2 4" xfId="25448" xr:uid="{00000000-0005-0000-0000-0000271B0000}"/>
    <cellStyle name="20% - Accent4 2 4 2 2 4 2" xfId="29251" xr:uid="{00000000-0005-0000-0000-0000281B0000}"/>
    <cellStyle name="20% - Accent4 2 4 2 2 4 2 2" xfId="1328" xr:uid="{00000000-0005-0000-0000-0000291B0000}"/>
    <cellStyle name="20% - Accent4 2 4 2 2 4 3" xfId="32531" xr:uid="{00000000-0005-0000-0000-00002A1B0000}"/>
    <cellStyle name="20% - Accent4 2 4 2 2 5" xfId="22498" xr:uid="{00000000-0005-0000-0000-00002B1B0000}"/>
    <cellStyle name="20% - Accent4 2 4 2 2 5 2" xfId="12401" xr:uid="{00000000-0005-0000-0000-00002C1B0000}"/>
    <cellStyle name="20% - Accent4 2 4 2 2 6" xfId="1351" xr:uid="{00000000-0005-0000-0000-00002D1B0000}"/>
    <cellStyle name="20% - Accent4 2 4 2 3" xfId="2194" xr:uid="{00000000-0005-0000-0000-00002E1B0000}"/>
    <cellStyle name="20% - Accent4 2 4 2 3 2" xfId="1603" xr:uid="{00000000-0005-0000-0000-00002F1B0000}"/>
    <cellStyle name="20% - Accent4 2 4 2 3 2 2" xfId="28939" xr:uid="{00000000-0005-0000-0000-0000301B0000}"/>
    <cellStyle name="20% - Accent4 2 4 2 3 2 2 2" xfId="12145" xr:uid="{00000000-0005-0000-0000-0000311B0000}"/>
    <cellStyle name="20% - Accent4 2 4 2 3 2 2 2 2" xfId="1217" xr:uid="{00000000-0005-0000-0000-0000321B0000}"/>
    <cellStyle name="20% - Accent4 2 4 2 3 2 2 3" xfId="10688" xr:uid="{00000000-0005-0000-0000-0000331B0000}"/>
    <cellStyle name="20% - Accent4 2 4 2 3 2 3" xfId="29534" xr:uid="{00000000-0005-0000-0000-0000341B0000}"/>
    <cellStyle name="20% - Accent4 2 4 2 3 2 3 2" xfId="4323" xr:uid="{00000000-0005-0000-0000-0000351B0000}"/>
    <cellStyle name="20% - Accent4 2 4 2 3 2 4" xfId="9769" xr:uid="{00000000-0005-0000-0000-0000361B0000}"/>
    <cellStyle name="20% - Accent4 2 4 2 3 3" xfId="6699" xr:uid="{00000000-0005-0000-0000-0000371B0000}"/>
    <cellStyle name="20% - Accent4 2 4 2 3 3 2" xfId="14468" xr:uid="{00000000-0005-0000-0000-0000381B0000}"/>
    <cellStyle name="20% - Accent4 2 4 2 3 3 2 2" xfId="3228" xr:uid="{00000000-0005-0000-0000-0000391B0000}"/>
    <cellStyle name="20% - Accent4 2 4 2 3 3 3" xfId="29061" xr:uid="{00000000-0005-0000-0000-00003A1B0000}"/>
    <cellStyle name="20% - Accent4 2 4 2 3 4" xfId="1835" xr:uid="{00000000-0005-0000-0000-00003B1B0000}"/>
    <cellStyle name="20% - Accent4 2 4 2 3 4 2" xfId="29270" xr:uid="{00000000-0005-0000-0000-00003C1B0000}"/>
    <cellStyle name="20% - Accent4 2 4 2 3 5" xfId="30308" xr:uid="{00000000-0005-0000-0000-00003D1B0000}"/>
    <cellStyle name="20% - Accent4 2 4 2 4" xfId="16293" xr:uid="{00000000-0005-0000-0000-00003E1B0000}"/>
    <cellStyle name="20% - Accent4 2 4 2 4 2" xfId="9794" xr:uid="{00000000-0005-0000-0000-00003F1B0000}"/>
    <cellStyle name="20% - Accent4 2 4 2 4 2 2" xfId="32005" xr:uid="{00000000-0005-0000-0000-0000401B0000}"/>
    <cellStyle name="20% - Accent4 2 4 2 4 2 2 2" xfId="681" xr:uid="{00000000-0005-0000-0000-0000411B0000}"/>
    <cellStyle name="20% - Accent4 2 4 2 4 2 3" xfId="30355" xr:uid="{00000000-0005-0000-0000-0000421B0000}"/>
    <cellStyle name="20% - Accent4 2 4 2 4 3" xfId="1419" xr:uid="{00000000-0005-0000-0000-0000431B0000}"/>
    <cellStyle name="20% - Accent4 2 4 2 4 3 2" xfId="6273" xr:uid="{00000000-0005-0000-0000-0000441B0000}"/>
    <cellStyle name="20% - Accent4 2 4 2 4 4" xfId="30365" xr:uid="{00000000-0005-0000-0000-0000451B0000}"/>
    <cellStyle name="20% - Accent4 2 4 2 5" xfId="2421" xr:uid="{00000000-0005-0000-0000-0000461B0000}"/>
    <cellStyle name="20% - Accent4 2 4 2 5 2" xfId="1436" xr:uid="{00000000-0005-0000-0000-0000471B0000}"/>
    <cellStyle name="20% - Accent4 2 4 2 5 2 2" xfId="30372" xr:uid="{00000000-0005-0000-0000-0000481B0000}"/>
    <cellStyle name="20% - Accent4 2 4 2 5 3" xfId="30378" xr:uid="{00000000-0005-0000-0000-0000491B0000}"/>
    <cellStyle name="20% - Accent4 2 4 2 6" xfId="9894" xr:uid="{00000000-0005-0000-0000-00004A1B0000}"/>
    <cellStyle name="20% - Accent4 2 4 2 6 2" xfId="18520" xr:uid="{00000000-0005-0000-0000-00004B1B0000}"/>
    <cellStyle name="20% - Accent4 2 4 2 7" xfId="29314" xr:uid="{00000000-0005-0000-0000-00004C1B0000}"/>
    <cellStyle name="20% - Accent4 2 4 3" xfId="29677" xr:uid="{00000000-0005-0000-0000-00004D1B0000}"/>
    <cellStyle name="20% - Accent4 2 4 3 2" xfId="8095" xr:uid="{00000000-0005-0000-0000-00004E1B0000}"/>
    <cellStyle name="20% - Accent4 2 4 3 2 2" xfId="9779" xr:uid="{00000000-0005-0000-0000-00004F1B0000}"/>
    <cellStyle name="20% - Accent4 2 4 3 2 2 2" xfId="9783" xr:uid="{00000000-0005-0000-0000-0000501B0000}"/>
    <cellStyle name="20% - Accent4 2 4 3 2 2 2 2" xfId="9786" xr:uid="{00000000-0005-0000-0000-0000511B0000}"/>
    <cellStyle name="20% - Accent4 2 4 3 2 2 2 2 2" xfId="9970" xr:uid="{00000000-0005-0000-0000-0000521B0000}"/>
    <cellStyle name="20% - Accent4 2 4 3 2 2 2 3" xfId="9790" xr:uid="{00000000-0005-0000-0000-0000531B0000}"/>
    <cellStyle name="20% - Accent4 2 4 3 2 2 3" xfId="9792" xr:uid="{00000000-0005-0000-0000-0000541B0000}"/>
    <cellStyle name="20% - Accent4 2 4 3 2 2 3 2" xfId="1887" xr:uid="{00000000-0005-0000-0000-0000551B0000}"/>
    <cellStyle name="20% - Accent4 2 4 3 2 2 4" xfId="9796" xr:uid="{00000000-0005-0000-0000-0000561B0000}"/>
    <cellStyle name="20% - Accent4 2 4 3 2 3" xfId="17037" xr:uid="{00000000-0005-0000-0000-0000571B0000}"/>
    <cellStyle name="20% - Accent4 2 4 3 2 3 2" xfId="30361" xr:uid="{00000000-0005-0000-0000-0000581B0000}"/>
    <cellStyle name="20% - Accent4 2 4 3 2 3 2 2" xfId="19889" xr:uid="{00000000-0005-0000-0000-0000591B0000}"/>
    <cellStyle name="20% - Accent4 2 4 3 2 3 3" xfId="18995" xr:uid="{00000000-0005-0000-0000-00005A1B0000}"/>
    <cellStyle name="20% - Accent4 2 4 3 2 4" xfId="32937" xr:uid="{00000000-0005-0000-0000-00005B1B0000}"/>
    <cellStyle name="20% - Accent4 2 4 3 2 4 2" xfId="15927" xr:uid="{00000000-0005-0000-0000-00005C1B0000}"/>
    <cellStyle name="20% - Accent4 2 4 3 2 5" xfId="9798" xr:uid="{00000000-0005-0000-0000-00005D1B0000}"/>
    <cellStyle name="20% - Accent4 2 4 3 3" xfId="2495" xr:uid="{00000000-0005-0000-0000-00005E1B0000}"/>
    <cellStyle name="20% - Accent4 2 4 3 3 2" xfId="30015" xr:uid="{00000000-0005-0000-0000-00005F1B0000}"/>
    <cellStyle name="20% - Accent4 2 4 3 3 2 2" xfId="27800" xr:uid="{00000000-0005-0000-0000-0000601B0000}"/>
    <cellStyle name="20% - Accent4 2 4 3 3 2 2 2" xfId="9799" xr:uid="{00000000-0005-0000-0000-0000611B0000}"/>
    <cellStyle name="20% - Accent4 2 4 3 3 2 3" xfId="31088" xr:uid="{00000000-0005-0000-0000-0000621B0000}"/>
    <cellStyle name="20% - Accent4 2 4 3 3 3" xfId="30019" xr:uid="{00000000-0005-0000-0000-0000631B0000}"/>
    <cellStyle name="20% - Accent4 2 4 3 3 3 2" xfId="14478" xr:uid="{00000000-0005-0000-0000-0000641B0000}"/>
    <cellStyle name="20% - Accent4 2 4 3 3 4" xfId="33680" xr:uid="{00000000-0005-0000-0000-0000651B0000}"/>
    <cellStyle name="20% - Accent4 2 4 3 4" xfId="10108" xr:uid="{00000000-0005-0000-0000-0000661B0000}"/>
    <cellStyle name="20% - Accent4 2 4 3 4 2" xfId="1449" xr:uid="{00000000-0005-0000-0000-0000671B0000}"/>
    <cellStyle name="20% - Accent4 2 4 3 4 2 2" xfId="30387" xr:uid="{00000000-0005-0000-0000-0000681B0000}"/>
    <cellStyle name="20% - Accent4 2 4 3 4 3" xfId="14511" xr:uid="{00000000-0005-0000-0000-0000691B0000}"/>
    <cellStyle name="20% - Accent4 2 4 3 5" xfId="2507" xr:uid="{00000000-0005-0000-0000-00006A1B0000}"/>
    <cellStyle name="20% - Accent4 2 4 3 5 2" xfId="30390" xr:uid="{00000000-0005-0000-0000-00006B1B0000}"/>
    <cellStyle name="20% - Accent4 2 4 3 6" xfId="30394" xr:uid="{00000000-0005-0000-0000-00006C1B0000}"/>
    <cellStyle name="20% - Accent4 2 4 4" xfId="23325" xr:uid="{00000000-0005-0000-0000-00006D1B0000}"/>
    <cellStyle name="20% - Accent4 2 4 4 2" xfId="3150" xr:uid="{00000000-0005-0000-0000-00006E1B0000}"/>
    <cellStyle name="20% - Accent4 2 4 4 2 2" xfId="27778" xr:uid="{00000000-0005-0000-0000-00006F1B0000}"/>
    <cellStyle name="20% - Accent4 2 4 4 2 2 2" xfId="8190" xr:uid="{00000000-0005-0000-0000-0000701B0000}"/>
    <cellStyle name="20% - Accent4 2 4 4 2 2 2 2" xfId="16911" xr:uid="{00000000-0005-0000-0000-0000711B0000}"/>
    <cellStyle name="20% - Accent4 2 4 4 2 2 3" xfId="19340" xr:uid="{00000000-0005-0000-0000-0000721B0000}"/>
    <cellStyle name="20% - Accent4 2 4 4 2 3" xfId="29616" xr:uid="{00000000-0005-0000-0000-0000731B0000}"/>
    <cellStyle name="20% - Accent4 2 4 4 2 3 2" xfId="6694" xr:uid="{00000000-0005-0000-0000-0000741B0000}"/>
    <cellStyle name="20% - Accent4 2 4 4 2 4" xfId="9811" xr:uid="{00000000-0005-0000-0000-0000751B0000}"/>
    <cellStyle name="20% - Accent4 2 4 4 3" xfId="3164" xr:uid="{00000000-0005-0000-0000-0000761B0000}"/>
    <cellStyle name="20% - Accent4 2 4 4 3 2" xfId="8806" xr:uid="{00000000-0005-0000-0000-0000771B0000}"/>
    <cellStyle name="20% - Accent4 2 4 4 3 2 2" xfId="7482" xr:uid="{00000000-0005-0000-0000-0000781B0000}"/>
    <cellStyle name="20% - Accent4 2 4 4 3 3" xfId="9817" xr:uid="{00000000-0005-0000-0000-0000791B0000}"/>
    <cellStyle name="20% - Accent4 2 4 4 4" xfId="2535" xr:uid="{00000000-0005-0000-0000-00007A1B0000}"/>
    <cellStyle name="20% - Accent4 2 4 4 4 2" xfId="27596" xr:uid="{00000000-0005-0000-0000-00007B1B0000}"/>
    <cellStyle name="20% - Accent4 2 4 4 5" xfId="30427" xr:uid="{00000000-0005-0000-0000-00007C1B0000}"/>
    <cellStyle name="20% - Accent4 2 4 5" xfId="3212" xr:uid="{00000000-0005-0000-0000-00007D1B0000}"/>
    <cellStyle name="20% - Accent4 2 4 5 2" xfId="5628" xr:uid="{00000000-0005-0000-0000-00007E1B0000}"/>
    <cellStyle name="20% - Accent4 2 4 5 2 2" xfId="28281" xr:uid="{00000000-0005-0000-0000-00007F1B0000}"/>
    <cellStyle name="20% - Accent4 2 4 5 2 2 2" xfId="8315" xr:uid="{00000000-0005-0000-0000-0000801B0000}"/>
    <cellStyle name="20% - Accent4 2 4 5 2 3" xfId="32613" xr:uid="{00000000-0005-0000-0000-0000811B0000}"/>
    <cellStyle name="20% - Accent4 2 4 5 3" xfId="5637" xr:uid="{00000000-0005-0000-0000-0000821B0000}"/>
    <cellStyle name="20% - Accent4 2 4 5 3 2" xfId="9837" xr:uid="{00000000-0005-0000-0000-0000831B0000}"/>
    <cellStyle name="20% - Accent4 2 4 5 4" xfId="29775" xr:uid="{00000000-0005-0000-0000-0000841B0000}"/>
    <cellStyle name="20% - Accent4 2 4 6" xfId="26591" xr:uid="{00000000-0005-0000-0000-0000851B0000}"/>
    <cellStyle name="20% - Accent4 2 4 6 2" xfId="28289" xr:uid="{00000000-0005-0000-0000-0000861B0000}"/>
    <cellStyle name="20% - Accent4 2 4 6 2 2" xfId="9843" xr:uid="{00000000-0005-0000-0000-0000871B0000}"/>
    <cellStyle name="20% - Accent4 2 4 6 3" xfId="9847" xr:uid="{00000000-0005-0000-0000-0000881B0000}"/>
    <cellStyle name="20% - Accent4 2 4 7" xfId="28137" xr:uid="{00000000-0005-0000-0000-0000891B0000}"/>
    <cellStyle name="20% - Accent4 2 4 7 2" xfId="9850" xr:uid="{00000000-0005-0000-0000-00008A1B0000}"/>
    <cellStyle name="20% - Accent4 2 4 8" xfId="8208" xr:uid="{00000000-0005-0000-0000-00008B1B0000}"/>
    <cellStyle name="20% - Accent4 2 5" xfId="9853" xr:uid="{00000000-0005-0000-0000-00008C1B0000}"/>
    <cellStyle name="20% - Accent4 2 5 2" xfId="23328" xr:uid="{00000000-0005-0000-0000-00008D1B0000}"/>
    <cellStyle name="20% - Accent4 2 5 2 2" xfId="9855" xr:uid="{00000000-0005-0000-0000-00008E1B0000}"/>
    <cellStyle name="20% - Accent4 2 5 2 2 2" xfId="4479" xr:uid="{00000000-0005-0000-0000-00008F1B0000}"/>
    <cellStyle name="20% - Accent4 2 5 2 2 2 2" xfId="5018" xr:uid="{00000000-0005-0000-0000-0000901B0000}"/>
    <cellStyle name="20% - Accent4 2 5 2 2 2 2 2" xfId="23329" xr:uid="{00000000-0005-0000-0000-0000911B0000}"/>
    <cellStyle name="20% - Accent4 2 5 2 2 2 2 2 2" xfId="12703" xr:uid="{00000000-0005-0000-0000-0000921B0000}"/>
    <cellStyle name="20% - Accent4 2 5 2 2 2 2 3" xfId="23332" xr:uid="{00000000-0005-0000-0000-0000931B0000}"/>
    <cellStyle name="20% - Accent4 2 5 2 2 2 3" xfId="8807" xr:uid="{00000000-0005-0000-0000-0000941B0000}"/>
    <cellStyle name="20% - Accent4 2 5 2 2 2 3 2" xfId="14354" xr:uid="{00000000-0005-0000-0000-0000951B0000}"/>
    <cellStyle name="20% - Accent4 2 5 2 2 2 4" xfId="9818" xr:uid="{00000000-0005-0000-0000-0000961B0000}"/>
    <cellStyle name="20% - Accent4 2 5 2 2 3" xfId="7011" xr:uid="{00000000-0005-0000-0000-0000971B0000}"/>
    <cellStyle name="20% - Accent4 2 5 2 2 3 2" xfId="8343" xr:uid="{00000000-0005-0000-0000-0000981B0000}"/>
    <cellStyle name="20% - Accent4 2 5 2 2 3 2 2" xfId="21559" xr:uid="{00000000-0005-0000-0000-0000991B0000}"/>
    <cellStyle name="20% - Accent4 2 5 2 2 3 3" xfId="27597" xr:uid="{00000000-0005-0000-0000-00009A1B0000}"/>
    <cellStyle name="20% - Accent4 2 5 2 2 4" xfId="2203" xr:uid="{00000000-0005-0000-0000-00009B1B0000}"/>
    <cellStyle name="20% - Accent4 2 5 2 2 4 2" xfId="8124" xr:uid="{00000000-0005-0000-0000-00009C1B0000}"/>
    <cellStyle name="20% - Accent4 2 5 2 2 5" xfId="8131" xr:uid="{00000000-0005-0000-0000-00009D1B0000}"/>
    <cellStyle name="20% - Accent4 2 5 2 3" xfId="2616" xr:uid="{00000000-0005-0000-0000-00009E1B0000}"/>
    <cellStyle name="20% - Accent4 2 5 2 3 2" xfId="8142" xr:uid="{00000000-0005-0000-0000-00009F1B0000}"/>
    <cellStyle name="20% - Accent4 2 5 2 3 2 2" xfId="8145" xr:uid="{00000000-0005-0000-0000-0000A01B0000}"/>
    <cellStyle name="20% - Accent4 2 5 2 3 2 2 2" xfId="10876" xr:uid="{00000000-0005-0000-0000-0000A11B0000}"/>
    <cellStyle name="20% - Accent4 2 5 2 3 2 3" xfId="9838" xr:uid="{00000000-0005-0000-0000-0000A21B0000}"/>
    <cellStyle name="20% - Accent4 2 5 2 3 3" xfId="2474" xr:uid="{00000000-0005-0000-0000-0000A31B0000}"/>
    <cellStyle name="20% - Accent4 2 5 2 3 3 2" xfId="8150" xr:uid="{00000000-0005-0000-0000-0000A41B0000}"/>
    <cellStyle name="20% - Accent4 2 5 2 3 4" xfId="8151" xr:uid="{00000000-0005-0000-0000-0000A51B0000}"/>
    <cellStyle name="20% - Accent4 2 5 2 4" xfId="2652" xr:uid="{00000000-0005-0000-0000-0000A61B0000}"/>
    <cellStyle name="20% - Accent4 2 5 2 4 2" xfId="8166" xr:uid="{00000000-0005-0000-0000-0000A71B0000}"/>
    <cellStyle name="20% - Accent4 2 5 2 4 2 2" xfId="8168" xr:uid="{00000000-0005-0000-0000-0000A81B0000}"/>
    <cellStyle name="20% - Accent4 2 5 2 4 3" xfId="8172" xr:uid="{00000000-0005-0000-0000-0000A91B0000}"/>
    <cellStyle name="20% - Accent4 2 5 2 5" xfId="3342" xr:uid="{00000000-0005-0000-0000-0000AA1B0000}"/>
    <cellStyle name="20% - Accent4 2 5 2 5 2" xfId="8177" xr:uid="{00000000-0005-0000-0000-0000AB1B0000}"/>
    <cellStyle name="20% - Accent4 2 5 2 6" xfId="12661" xr:uid="{00000000-0005-0000-0000-0000AC1B0000}"/>
    <cellStyle name="20% - Accent4 2 5 3" xfId="23331" xr:uid="{00000000-0005-0000-0000-0000AD1B0000}"/>
    <cellStyle name="20% - Accent4 2 5 3 2" xfId="9859" xr:uid="{00000000-0005-0000-0000-0000AE1B0000}"/>
    <cellStyle name="20% - Accent4 2 5 3 2 2" xfId="13656" xr:uid="{00000000-0005-0000-0000-0000AF1B0000}"/>
    <cellStyle name="20% - Accent4 2 5 3 2 2 2" xfId="8197" xr:uid="{00000000-0005-0000-0000-0000B01B0000}"/>
    <cellStyle name="20% - Accent4 2 5 3 2 2 2 2" xfId="26716" xr:uid="{00000000-0005-0000-0000-0000B11B0000}"/>
    <cellStyle name="20% - Accent4 2 5 3 2 2 3" xfId="8890" xr:uid="{00000000-0005-0000-0000-0000B21B0000}"/>
    <cellStyle name="20% - Accent4 2 5 3 2 3" xfId="32191" xr:uid="{00000000-0005-0000-0000-0000B31B0000}"/>
    <cellStyle name="20% - Accent4 2 5 3 2 3 2" xfId="8203" xr:uid="{00000000-0005-0000-0000-0000B41B0000}"/>
    <cellStyle name="20% - Accent4 2 5 3 2 4" xfId="8207" xr:uid="{00000000-0005-0000-0000-0000B51B0000}"/>
    <cellStyle name="20% - Accent4 2 5 3 3" xfId="2151" xr:uid="{00000000-0005-0000-0000-0000B61B0000}"/>
    <cellStyle name="20% - Accent4 2 5 3 3 2" xfId="8225" xr:uid="{00000000-0005-0000-0000-0000B71B0000}"/>
    <cellStyle name="20% - Accent4 2 5 3 3 2 2" xfId="8233" xr:uid="{00000000-0005-0000-0000-0000B81B0000}"/>
    <cellStyle name="20% - Accent4 2 5 3 3 3" xfId="8238" xr:uid="{00000000-0005-0000-0000-0000B91B0000}"/>
    <cellStyle name="20% - Accent4 2 5 3 4" xfId="1507" xr:uid="{00000000-0005-0000-0000-0000BA1B0000}"/>
    <cellStyle name="20% - Accent4 2 5 3 4 2" xfId="30991" xr:uid="{00000000-0005-0000-0000-0000BB1B0000}"/>
    <cellStyle name="20% - Accent4 2 5 3 5" xfId="9860" xr:uid="{00000000-0005-0000-0000-0000BC1B0000}"/>
    <cellStyle name="20% - Accent4 2 5 4" xfId="23336" xr:uid="{00000000-0005-0000-0000-0000BD1B0000}"/>
    <cellStyle name="20% - Accent4 2 5 4 2" xfId="13227" xr:uid="{00000000-0005-0000-0000-0000BE1B0000}"/>
    <cellStyle name="20% - Accent4 2 5 4 2 2" xfId="1692" xr:uid="{00000000-0005-0000-0000-0000BF1B0000}"/>
    <cellStyle name="20% - Accent4 2 5 4 2 2 2" xfId="13495" xr:uid="{00000000-0005-0000-0000-0000C01B0000}"/>
    <cellStyle name="20% - Accent4 2 5 4 2 3" xfId="29999" xr:uid="{00000000-0005-0000-0000-0000C11B0000}"/>
    <cellStyle name="20% - Accent4 2 5 4 3" xfId="13009" xr:uid="{00000000-0005-0000-0000-0000C21B0000}"/>
    <cellStyle name="20% - Accent4 2 5 4 3 2" xfId="8889" xr:uid="{00000000-0005-0000-0000-0000C31B0000}"/>
    <cellStyle name="20% - Accent4 2 5 4 4" xfId="30044" xr:uid="{00000000-0005-0000-0000-0000C41B0000}"/>
    <cellStyle name="20% - Accent4 2 5 5" xfId="30321" xr:uid="{00000000-0005-0000-0000-0000C51B0000}"/>
    <cellStyle name="20% - Accent4 2 5 5 2" xfId="30081" xr:uid="{00000000-0005-0000-0000-0000C61B0000}"/>
    <cellStyle name="20% - Accent4 2 5 5 2 2" xfId="1736" xr:uid="{00000000-0005-0000-0000-0000C71B0000}"/>
    <cellStyle name="20% - Accent4 2 5 5 3" xfId="30095" xr:uid="{00000000-0005-0000-0000-0000C81B0000}"/>
    <cellStyle name="20% - Accent4 2 5 6" xfId="28299" xr:uid="{00000000-0005-0000-0000-0000C91B0000}"/>
    <cellStyle name="20% - Accent4 2 5 6 2" xfId="3540" xr:uid="{00000000-0005-0000-0000-0000CA1B0000}"/>
    <cellStyle name="20% - Accent4 2 5 7" xfId="33530" xr:uid="{00000000-0005-0000-0000-0000CB1B0000}"/>
    <cellStyle name="20% - Accent4 2 6" xfId="9868" xr:uid="{00000000-0005-0000-0000-0000CC1B0000}"/>
    <cellStyle name="20% - Accent4 2 6 2" xfId="14357" xr:uid="{00000000-0005-0000-0000-0000CD1B0000}"/>
    <cellStyle name="20% - Accent4 2 6 2 2" xfId="21652" xr:uid="{00000000-0005-0000-0000-0000CE1B0000}"/>
    <cellStyle name="20% - Accent4 2 6 2 2 2" xfId="21657" xr:uid="{00000000-0005-0000-0000-0000CF1B0000}"/>
    <cellStyle name="20% - Accent4 2 6 2 2 2 2" xfId="17976" xr:uid="{00000000-0005-0000-0000-0000D01B0000}"/>
    <cellStyle name="20% - Accent4 2 6 2 2 2 2 2" xfId="23604" xr:uid="{00000000-0005-0000-0000-0000D11B0000}"/>
    <cellStyle name="20% - Accent4 2 6 2 2 2 3" xfId="10344" xr:uid="{00000000-0005-0000-0000-0000D21B0000}"/>
    <cellStyle name="20% - Accent4 2 6 2 2 3" xfId="2888" xr:uid="{00000000-0005-0000-0000-0000D31B0000}"/>
    <cellStyle name="20% - Accent4 2 6 2 2 3 2" xfId="7974" xr:uid="{00000000-0005-0000-0000-0000D41B0000}"/>
    <cellStyle name="20% - Accent4 2 6 2 2 4" xfId="11902" xr:uid="{00000000-0005-0000-0000-0000D51B0000}"/>
    <cellStyle name="20% - Accent4 2 6 2 3" xfId="21666" xr:uid="{00000000-0005-0000-0000-0000D61B0000}"/>
    <cellStyle name="20% - Accent4 2 6 2 3 2" xfId="8385" xr:uid="{00000000-0005-0000-0000-0000D71B0000}"/>
    <cellStyle name="20% - Accent4 2 6 2 3 2 2" xfId="4191" xr:uid="{00000000-0005-0000-0000-0000D81B0000}"/>
    <cellStyle name="20% - Accent4 2 6 2 3 3" xfId="2898" xr:uid="{00000000-0005-0000-0000-0000D91B0000}"/>
    <cellStyle name="20% - Accent4 2 6 2 4" xfId="2752" xr:uid="{00000000-0005-0000-0000-0000DA1B0000}"/>
    <cellStyle name="20% - Accent4 2 6 2 4 2" xfId="17346" xr:uid="{00000000-0005-0000-0000-0000DB1B0000}"/>
    <cellStyle name="20% - Accent4 2 6 2 5" xfId="33962" xr:uid="{00000000-0005-0000-0000-0000DC1B0000}"/>
    <cellStyle name="20% - Accent4 2 6 3" xfId="23345" xr:uid="{00000000-0005-0000-0000-0000DD1B0000}"/>
    <cellStyle name="20% - Accent4 2 6 3 2" xfId="25702" xr:uid="{00000000-0005-0000-0000-0000DE1B0000}"/>
    <cellStyle name="20% - Accent4 2 6 3 2 2" xfId="3800" xr:uid="{00000000-0005-0000-0000-0000DF1B0000}"/>
    <cellStyle name="20% - Accent4 2 6 3 2 2 2" xfId="8402" xr:uid="{00000000-0005-0000-0000-0000E01B0000}"/>
    <cellStyle name="20% - Accent4 2 6 3 2 3" xfId="3621" xr:uid="{00000000-0005-0000-0000-0000E11B0000}"/>
    <cellStyle name="20% - Accent4 2 6 3 3" xfId="3437" xr:uid="{00000000-0005-0000-0000-0000E21B0000}"/>
    <cellStyle name="20% - Accent4 2 6 3 3 2" xfId="3807" xr:uid="{00000000-0005-0000-0000-0000E31B0000}"/>
    <cellStyle name="20% - Accent4 2 6 3 4" xfId="22411" xr:uid="{00000000-0005-0000-0000-0000E41B0000}"/>
    <cellStyle name="20% - Accent4 2 6 4" xfId="24476" xr:uid="{00000000-0005-0000-0000-0000E51B0000}"/>
    <cellStyle name="20% - Accent4 2 6 4 2" xfId="24062" xr:uid="{00000000-0005-0000-0000-0000E61B0000}"/>
    <cellStyle name="20% - Accent4 2 6 4 2 2" xfId="30160" xr:uid="{00000000-0005-0000-0000-0000E71B0000}"/>
    <cellStyle name="20% - Accent4 2 6 4 3" xfId="24515" xr:uid="{00000000-0005-0000-0000-0000E81B0000}"/>
    <cellStyle name="20% - Accent4 2 6 5" xfId="9880" xr:uid="{00000000-0005-0000-0000-0000E91B0000}"/>
    <cellStyle name="20% - Accent4 2 6 5 2" xfId="20234" xr:uid="{00000000-0005-0000-0000-0000EA1B0000}"/>
    <cellStyle name="20% - Accent4 2 6 6" xfId="20246" xr:uid="{00000000-0005-0000-0000-0000EB1B0000}"/>
    <cellStyle name="20% - Accent4 2 7" xfId="9887" xr:uid="{00000000-0005-0000-0000-0000EC1B0000}"/>
    <cellStyle name="20% - Accent4 2 7 2" xfId="23347" xr:uid="{00000000-0005-0000-0000-0000ED1B0000}"/>
    <cellStyle name="20% - Accent4 2 7 2 2" xfId="21717" xr:uid="{00000000-0005-0000-0000-0000EE1B0000}"/>
    <cellStyle name="20% - Accent4 2 7 2 2 2" xfId="375" xr:uid="{00000000-0005-0000-0000-0000EF1B0000}"/>
    <cellStyle name="20% - Accent4 2 7 2 2 2 2" xfId="8468" xr:uid="{00000000-0005-0000-0000-0000F01B0000}"/>
    <cellStyle name="20% - Accent4 2 7 2 2 3" xfId="8470" xr:uid="{00000000-0005-0000-0000-0000F11B0000}"/>
    <cellStyle name="20% - Accent4 2 7 2 3" xfId="2818" xr:uid="{00000000-0005-0000-0000-0000F21B0000}"/>
    <cellStyle name="20% - Accent4 2 7 2 3 2" xfId="8473" xr:uid="{00000000-0005-0000-0000-0000F31B0000}"/>
    <cellStyle name="20% - Accent4 2 7 2 4" xfId="9889" xr:uid="{00000000-0005-0000-0000-0000F41B0000}"/>
    <cellStyle name="20% - Accent4 2 7 3" xfId="1129" xr:uid="{00000000-0005-0000-0000-0000F51B0000}"/>
    <cellStyle name="20% - Accent4 2 7 3 2" xfId="9890" xr:uid="{00000000-0005-0000-0000-0000F61B0000}"/>
    <cellStyle name="20% - Accent4 2 7 3 2 2" xfId="3858" xr:uid="{00000000-0005-0000-0000-0000F71B0000}"/>
    <cellStyle name="20% - Accent4 2 7 3 3" xfId="15252" xr:uid="{00000000-0005-0000-0000-0000F81B0000}"/>
    <cellStyle name="20% - Accent4 2 7 4" xfId="2828" xr:uid="{00000000-0005-0000-0000-0000F91B0000}"/>
    <cellStyle name="20% - Accent4 2 7 4 2" xfId="24571" xr:uid="{00000000-0005-0000-0000-0000FA1B0000}"/>
    <cellStyle name="20% - Accent4 2 7 5" xfId="19983" xr:uid="{00000000-0005-0000-0000-0000FB1B0000}"/>
    <cellStyle name="20% - Accent4 2 8" xfId="10312" xr:uid="{00000000-0005-0000-0000-0000FC1B0000}"/>
    <cellStyle name="20% - Accent4 2 8 2" xfId="9895" xr:uid="{00000000-0005-0000-0000-0000FD1B0000}"/>
    <cellStyle name="20% - Accent4 2 8 2 2" xfId="9897" xr:uid="{00000000-0005-0000-0000-0000FE1B0000}"/>
    <cellStyle name="20% - Accent4 2 8 2 2 2" xfId="29569" xr:uid="{00000000-0005-0000-0000-0000FF1B0000}"/>
    <cellStyle name="20% - Accent4 2 8 2 3" xfId="33988" xr:uid="{00000000-0005-0000-0000-0000001C0000}"/>
    <cellStyle name="20% - Accent4 2 8 3" xfId="163" xr:uid="{00000000-0005-0000-0000-0000011C0000}"/>
    <cellStyle name="20% - Accent4 2 8 3 2" xfId="9901" xr:uid="{00000000-0005-0000-0000-0000021C0000}"/>
    <cellStyle name="20% - Accent4 2 8 4" xfId="28304" xr:uid="{00000000-0005-0000-0000-0000031C0000}"/>
    <cellStyle name="20% - Accent4 2 9" xfId="3170" xr:uid="{00000000-0005-0000-0000-0000041C0000}"/>
    <cellStyle name="20% - Accent4 2 9 2" xfId="8645" xr:uid="{00000000-0005-0000-0000-0000051C0000}"/>
    <cellStyle name="20% - Accent4 2 9 2 2" xfId="3182" xr:uid="{00000000-0005-0000-0000-0000061C0000}"/>
    <cellStyle name="20% - Accent4 2 9 3" xfId="5730" xr:uid="{00000000-0005-0000-0000-0000071C0000}"/>
    <cellStyle name="20% - Accent4 3" xfId="9906" xr:uid="{00000000-0005-0000-0000-0000081C0000}"/>
    <cellStyle name="20% - Accent4 3 10" xfId="31920" xr:uid="{00000000-0005-0000-0000-0000091C0000}"/>
    <cellStyle name="20% - Accent4 3 2" xfId="9907" xr:uid="{00000000-0005-0000-0000-00000A1C0000}"/>
    <cellStyle name="20% - Accent4 3 2 2" xfId="9908" xr:uid="{00000000-0005-0000-0000-00000B1C0000}"/>
    <cellStyle name="20% - Accent4 3 2 2 2" xfId="9911" xr:uid="{00000000-0005-0000-0000-00000C1C0000}"/>
    <cellStyle name="20% - Accent4 3 2 2 2 2" xfId="27560" xr:uid="{00000000-0005-0000-0000-00000D1C0000}"/>
    <cellStyle name="20% - Accent4 3 2 2 2 2 2" xfId="8935" xr:uid="{00000000-0005-0000-0000-00000E1C0000}"/>
    <cellStyle name="20% - Accent4 3 2 2 2 2 2 2" xfId="9914" xr:uid="{00000000-0005-0000-0000-00000F1C0000}"/>
    <cellStyle name="20% - Accent4 3 2 2 2 2 2 2 2" xfId="9917" xr:uid="{00000000-0005-0000-0000-0000101C0000}"/>
    <cellStyle name="20% - Accent4 3 2 2 2 2 2 2 2 2" xfId="11389" xr:uid="{00000000-0005-0000-0000-0000111C0000}"/>
    <cellStyle name="20% - Accent4 3 2 2 2 2 2 2 2 2 2" xfId="9920" xr:uid="{00000000-0005-0000-0000-0000121C0000}"/>
    <cellStyle name="20% - Accent4 3 2 2 2 2 2 2 2 3" xfId="31620" xr:uid="{00000000-0005-0000-0000-0000131C0000}"/>
    <cellStyle name="20% - Accent4 3 2 2 2 2 2 2 3" xfId="6449" xr:uid="{00000000-0005-0000-0000-0000141C0000}"/>
    <cellStyle name="20% - Accent4 3 2 2 2 2 2 2 3 2" xfId="12459" xr:uid="{00000000-0005-0000-0000-0000151C0000}"/>
    <cellStyle name="20% - Accent4 3 2 2 2 2 2 2 4" xfId="6462" xr:uid="{00000000-0005-0000-0000-0000161C0000}"/>
    <cellStyle name="20% - Accent4 3 2 2 2 2 2 3" xfId="9926" xr:uid="{00000000-0005-0000-0000-0000171C0000}"/>
    <cellStyle name="20% - Accent4 3 2 2 2 2 2 3 2" xfId="32647" xr:uid="{00000000-0005-0000-0000-0000181C0000}"/>
    <cellStyle name="20% - Accent4 3 2 2 2 2 2 3 2 2" xfId="9929" xr:uid="{00000000-0005-0000-0000-0000191C0000}"/>
    <cellStyle name="20% - Accent4 3 2 2 2 2 2 3 3" xfId="6567" xr:uid="{00000000-0005-0000-0000-00001A1C0000}"/>
    <cellStyle name="20% - Accent4 3 2 2 2 2 2 4" xfId="9934" xr:uid="{00000000-0005-0000-0000-00001B1C0000}"/>
    <cellStyle name="20% - Accent4 3 2 2 2 2 2 4 2" xfId="9936" xr:uid="{00000000-0005-0000-0000-00001C1C0000}"/>
    <cellStyle name="20% - Accent4 3 2 2 2 2 2 5" xfId="9938" xr:uid="{00000000-0005-0000-0000-00001D1C0000}"/>
    <cellStyle name="20% - Accent4 3 2 2 2 2 3" xfId="9265" xr:uid="{00000000-0005-0000-0000-00001E1C0000}"/>
    <cellStyle name="20% - Accent4 3 2 2 2 2 3 2" xfId="9944" xr:uid="{00000000-0005-0000-0000-00001F1C0000}"/>
    <cellStyle name="20% - Accent4 3 2 2 2 2 3 2 2" xfId="3121" xr:uid="{00000000-0005-0000-0000-0000201C0000}"/>
    <cellStyle name="20% - Accent4 3 2 2 2 2 3 2 2 2" xfId="9947" xr:uid="{00000000-0005-0000-0000-0000211C0000}"/>
    <cellStyle name="20% - Accent4 3 2 2 2 2 3 2 3" xfId="7009" xr:uid="{00000000-0005-0000-0000-0000221C0000}"/>
    <cellStyle name="20% - Accent4 3 2 2 2 2 3 3" xfId="10144" xr:uid="{00000000-0005-0000-0000-0000231C0000}"/>
    <cellStyle name="20% - Accent4 3 2 2 2 2 3 3 2" xfId="6144" xr:uid="{00000000-0005-0000-0000-0000241C0000}"/>
    <cellStyle name="20% - Accent4 3 2 2 2 2 3 4" xfId="9952" xr:uid="{00000000-0005-0000-0000-0000251C0000}"/>
    <cellStyle name="20% - Accent4 3 2 2 2 2 4" xfId="11644" xr:uid="{00000000-0005-0000-0000-0000261C0000}"/>
    <cellStyle name="20% - Accent4 3 2 2 2 2 4 2" xfId="15883" xr:uid="{00000000-0005-0000-0000-0000271C0000}"/>
    <cellStyle name="20% - Accent4 3 2 2 2 2 4 2 2" xfId="11648" xr:uid="{00000000-0005-0000-0000-0000281C0000}"/>
    <cellStyle name="20% - Accent4 3 2 2 2 2 4 3" xfId="29364" xr:uid="{00000000-0005-0000-0000-0000291C0000}"/>
    <cellStyle name="20% - Accent4 3 2 2 2 2 5" xfId="9328" xr:uid="{00000000-0005-0000-0000-00002A1C0000}"/>
    <cellStyle name="20% - Accent4 3 2 2 2 2 5 2" xfId="29794" xr:uid="{00000000-0005-0000-0000-00002B1C0000}"/>
    <cellStyle name="20% - Accent4 3 2 2 2 2 6" xfId="33874" xr:uid="{00000000-0005-0000-0000-00002C1C0000}"/>
    <cellStyle name="20% - Accent4 3 2 2 2 3" xfId="31528" xr:uid="{00000000-0005-0000-0000-00002D1C0000}"/>
    <cellStyle name="20% - Accent4 3 2 2 2 3 2" xfId="2622" xr:uid="{00000000-0005-0000-0000-00002E1C0000}"/>
    <cellStyle name="20% - Accent4 3 2 2 2 3 2 2" xfId="9958" xr:uid="{00000000-0005-0000-0000-00002F1C0000}"/>
    <cellStyle name="20% - Accent4 3 2 2 2 3 2 2 2" xfId="1685" xr:uid="{00000000-0005-0000-0000-0000301C0000}"/>
    <cellStyle name="20% - Accent4 3 2 2 2 3 2 2 2 2" xfId="12406" xr:uid="{00000000-0005-0000-0000-0000311C0000}"/>
    <cellStyle name="20% - Accent4 3 2 2 2 3 2 2 3" xfId="6539" xr:uid="{00000000-0005-0000-0000-0000321C0000}"/>
    <cellStyle name="20% - Accent4 3 2 2 2 3 2 3" xfId="9963" xr:uid="{00000000-0005-0000-0000-0000331C0000}"/>
    <cellStyle name="20% - Accent4 3 2 2 2 3 2 3 2" xfId="3999" xr:uid="{00000000-0005-0000-0000-0000341C0000}"/>
    <cellStyle name="20% - Accent4 3 2 2 2 3 2 4" xfId="9967" xr:uid="{00000000-0005-0000-0000-0000351C0000}"/>
    <cellStyle name="20% - Accent4 3 2 2 2 3 3" xfId="24013" xr:uid="{00000000-0005-0000-0000-0000361C0000}"/>
    <cellStyle name="20% - Accent4 3 2 2 2 3 3 2" xfId="4475" xr:uid="{00000000-0005-0000-0000-0000371C0000}"/>
    <cellStyle name="20% - Accent4 3 2 2 2 3 3 2 2" xfId="2933" xr:uid="{00000000-0005-0000-0000-0000381C0000}"/>
    <cellStyle name="20% - Accent4 3 2 2 2 3 3 3" xfId="31396" xr:uid="{00000000-0005-0000-0000-0000391C0000}"/>
    <cellStyle name="20% - Accent4 3 2 2 2 3 4" xfId="26236" xr:uid="{00000000-0005-0000-0000-00003A1C0000}"/>
    <cellStyle name="20% - Accent4 3 2 2 2 3 4 2" xfId="31609" xr:uid="{00000000-0005-0000-0000-00003B1C0000}"/>
    <cellStyle name="20% - Accent4 3 2 2 2 3 5" xfId="26503" xr:uid="{00000000-0005-0000-0000-00003C1C0000}"/>
    <cellStyle name="20% - Accent4 3 2 2 2 4" xfId="16817" xr:uid="{00000000-0005-0000-0000-00003D1C0000}"/>
    <cellStyle name="20% - Accent4 3 2 2 2 4 2" xfId="11605" xr:uid="{00000000-0005-0000-0000-00003E1C0000}"/>
    <cellStyle name="20% - Accent4 3 2 2 2 4 2 2" xfId="1645" xr:uid="{00000000-0005-0000-0000-00003F1C0000}"/>
    <cellStyle name="20% - Accent4 3 2 2 2 4 2 2 2" xfId="2003" xr:uid="{00000000-0005-0000-0000-0000401C0000}"/>
    <cellStyle name="20% - Accent4 3 2 2 2 4 2 3" xfId="2157" xr:uid="{00000000-0005-0000-0000-0000411C0000}"/>
    <cellStyle name="20% - Accent4 3 2 2 2 4 3" xfId="1491" xr:uid="{00000000-0005-0000-0000-0000421C0000}"/>
    <cellStyle name="20% - Accent4 3 2 2 2 4 3 2" xfId="31793" xr:uid="{00000000-0005-0000-0000-0000431C0000}"/>
    <cellStyle name="20% - Accent4 3 2 2 2 4 4" xfId="28684" xr:uid="{00000000-0005-0000-0000-0000441C0000}"/>
    <cellStyle name="20% - Accent4 3 2 2 2 5" xfId="9985" xr:uid="{00000000-0005-0000-0000-0000451C0000}"/>
    <cellStyle name="20% - Accent4 3 2 2 2 5 2" xfId="9986" xr:uid="{00000000-0005-0000-0000-0000461C0000}"/>
    <cellStyle name="20% - Accent4 3 2 2 2 5 2 2" xfId="9990" xr:uid="{00000000-0005-0000-0000-0000471C0000}"/>
    <cellStyle name="20% - Accent4 3 2 2 2 5 3" xfId="9995" xr:uid="{00000000-0005-0000-0000-0000481C0000}"/>
    <cellStyle name="20% - Accent4 3 2 2 2 6" xfId="9998" xr:uid="{00000000-0005-0000-0000-0000491C0000}"/>
    <cellStyle name="20% - Accent4 3 2 2 2 6 2" xfId="4320" xr:uid="{00000000-0005-0000-0000-00004A1C0000}"/>
    <cellStyle name="20% - Accent4 3 2 2 2 7" xfId="10000" xr:uid="{00000000-0005-0000-0000-00004B1C0000}"/>
    <cellStyle name="20% - Accent4 3 2 2 3" xfId="1427" xr:uid="{00000000-0005-0000-0000-00004C1C0000}"/>
    <cellStyle name="20% - Accent4 3 2 2 3 2" xfId="2562" xr:uid="{00000000-0005-0000-0000-00004D1C0000}"/>
    <cellStyle name="20% - Accent4 3 2 2 3 2 2" xfId="4490" xr:uid="{00000000-0005-0000-0000-00004E1C0000}"/>
    <cellStyle name="20% - Accent4 3 2 2 3 2 2 2" xfId="10002" xr:uid="{00000000-0005-0000-0000-00004F1C0000}"/>
    <cellStyle name="20% - Accent4 3 2 2 3 2 2 2 2" xfId="10008" xr:uid="{00000000-0005-0000-0000-0000501C0000}"/>
    <cellStyle name="20% - Accent4 3 2 2 3 2 2 2 2 2" xfId="10009" xr:uid="{00000000-0005-0000-0000-0000511C0000}"/>
    <cellStyle name="20% - Accent4 3 2 2 3 2 2 2 3" xfId="8910" xr:uid="{00000000-0005-0000-0000-0000521C0000}"/>
    <cellStyle name="20% - Accent4 3 2 2 3 2 2 3" xfId="11115" xr:uid="{00000000-0005-0000-0000-0000531C0000}"/>
    <cellStyle name="20% - Accent4 3 2 2 3 2 2 3 2" xfId="10013" xr:uid="{00000000-0005-0000-0000-0000541C0000}"/>
    <cellStyle name="20% - Accent4 3 2 2 3 2 2 4" xfId="11119" xr:uid="{00000000-0005-0000-0000-0000551C0000}"/>
    <cellStyle name="20% - Accent4 3 2 2 3 2 3" xfId="8414" xr:uid="{00000000-0005-0000-0000-0000561C0000}"/>
    <cellStyle name="20% - Accent4 3 2 2 3 2 3 2" xfId="11127" xr:uid="{00000000-0005-0000-0000-0000571C0000}"/>
    <cellStyle name="20% - Accent4 3 2 2 3 2 3 2 2" xfId="5778" xr:uid="{00000000-0005-0000-0000-0000581C0000}"/>
    <cellStyle name="20% - Accent4 3 2 2 3 2 3 3" xfId="11131" xr:uid="{00000000-0005-0000-0000-0000591C0000}"/>
    <cellStyle name="20% - Accent4 3 2 2 3 2 4" xfId="14487" xr:uid="{00000000-0005-0000-0000-00005A1C0000}"/>
    <cellStyle name="20% - Accent4 3 2 2 3 2 4 2" xfId="24550" xr:uid="{00000000-0005-0000-0000-00005B1C0000}"/>
    <cellStyle name="20% - Accent4 3 2 2 3 2 5" xfId="14497" xr:uid="{00000000-0005-0000-0000-00005C1C0000}"/>
    <cellStyle name="20% - Accent4 3 2 2 3 3" xfId="5078" xr:uid="{00000000-0005-0000-0000-00005D1C0000}"/>
    <cellStyle name="20% - Accent4 3 2 2 3 3 2" xfId="4816" xr:uid="{00000000-0005-0000-0000-00005E1C0000}"/>
    <cellStyle name="20% - Accent4 3 2 2 3 3 2 2" xfId="10018" xr:uid="{00000000-0005-0000-0000-00005F1C0000}"/>
    <cellStyle name="20% - Accent4 3 2 2 3 3 2 2 2" xfId="9181" xr:uid="{00000000-0005-0000-0000-0000601C0000}"/>
    <cellStyle name="20% - Accent4 3 2 2 3 3 2 3" xfId="10024" xr:uid="{00000000-0005-0000-0000-0000611C0000}"/>
    <cellStyle name="20% - Accent4 3 2 2 3 3 3" xfId="25946" xr:uid="{00000000-0005-0000-0000-0000621C0000}"/>
    <cellStyle name="20% - Accent4 3 2 2 3 3 3 2" xfId="10074" xr:uid="{00000000-0005-0000-0000-0000631C0000}"/>
    <cellStyle name="20% - Accent4 3 2 2 3 3 4" xfId="11680" xr:uid="{00000000-0005-0000-0000-0000641C0000}"/>
    <cellStyle name="20% - Accent4 3 2 2 3 4" xfId="28439" xr:uid="{00000000-0005-0000-0000-0000651C0000}"/>
    <cellStyle name="20% - Accent4 3 2 2 3 4 2" xfId="10026" xr:uid="{00000000-0005-0000-0000-0000661C0000}"/>
    <cellStyle name="20% - Accent4 3 2 2 3 4 2 2" xfId="12617" xr:uid="{00000000-0005-0000-0000-0000671C0000}"/>
    <cellStyle name="20% - Accent4 3 2 2 3 4 3" xfId="26635" xr:uid="{00000000-0005-0000-0000-0000681C0000}"/>
    <cellStyle name="20% - Accent4 3 2 2 3 5" xfId="7027" xr:uid="{00000000-0005-0000-0000-0000691C0000}"/>
    <cellStyle name="20% - Accent4 3 2 2 3 5 2" xfId="10031" xr:uid="{00000000-0005-0000-0000-00006A1C0000}"/>
    <cellStyle name="20% - Accent4 3 2 2 3 6" xfId="15249" xr:uid="{00000000-0005-0000-0000-00006B1C0000}"/>
    <cellStyle name="20% - Accent4 3 2 2 4" xfId="2583" xr:uid="{00000000-0005-0000-0000-00006C1C0000}"/>
    <cellStyle name="20% - Accent4 3 2 2 4 2" xfId="13703" xr:uid="{00000000-0005-0000-0000-00006D1C0000}"/>
    <cellStyle name="20% - Accent4 3 2 2 4 2 2" xfId="5752" xr:uid="{00000000-0005-0000-0000-00006E1C0000}"/>
    <cellStyle name="20% - Accent4 3 2 2 4 2 2 2" xfId="11294" xr:uid="{00000000-0005-0000-0000-00006F1C0000}"/>
    <cellStyle name="20% - Accent4 3 2 2 4 2 2 2 2" xfId="10036" xr:uid="{00000000-0005-0000-0000-0000701C0000}"/>
    <cellStyle name="20% - Accent4 3 2 2 4 2 2 3" xfId="10037" xr:uid="{00000000-0005-0000-0000-0000711C0000}"/>
    <cellStyle name="20% - Accent4 3 2 2 4 2 3" xfId="8426" xr:uid="{00000000-0005-0000-0000-0000721C0000}"/>
    <cellStyle name="20% - Accent4 3 2 2 4 2 3 2" xfId="11303" xr:uid="{00000000-0005-0000-0000-0000731C0000}"/>
    <cellStyle name="20% - Accent4 3 2 2 4 2 4" xfId="11690" xr:uid="{00000000-0005-0000-0000-0000741C0000}"/>
    <cellStyle name="20% - Accent4 3 2 2 4 3" xfId="977" xr:uid="{00000000-0005-0000-0000-0000751C0000}"/>
    <cellStyle name="20% - Accent4 3 2 2 4 3 2" xfId="10040" xr:uid="{00000000-0005-0000-0000-0000761C0000}"/>
    <cellStyle name="20% - Accent4 3 2 2 4 3 2 2" xfId="10394" xr:uid="{00000000-0005-0000-0000-0000771C0000}"/>
    <cellStyle name="20% - Accent4 3 2 2 4 3 3" xfId="25180" xr:uid="{00000000-0005-0000-0000-0000781C0000}"/>
    <cellStyle name="20% - Accent4 3 2 2 4 4" xfId="7918" xr:uid="{00000000-0005-0000-0000-0000791C0000}"/>
    <cellStyle name="20% - Accent4 3 2 2 4 4 2" xfId="10041" xr:uid="{00000000-0005-0000-0000-00007A1C0000}"/>
    <cellStyle name="20% - Accent4 3 2 2 4 5" xfId="10044" xr:uid="{00000000-0005-0000-0000-00007B1C0000}"/>
    <cellStyle name="20% - Accent4 3 2 2 5" xfId="992" xr:uid="{00000000-0005-0000-0000-00007C1C0000}"/>
    <cellStyle name="20% - Accent4 3 2 2 5 2" xfId="998" xr:uid="{00000000-0005-0000-0000-00007D1C0000}"/>
    <cellStyle name="20% - Accent4 3 2 2 5 2 2" xfId="15555" xr:uid="{00000000-0005-0000-0000-00007E1C0000}"/>
    <cellStyle name="20% - Accent4 3 2 2 5 2 2 2" xfId="13353" xr:uid="{00000000-0005-0000-0000-00007F1C0000}"/>
    <cellStyle name="20% - Accent4 3 2 2 5 2 3" xfId="10055" xr:uid="{00000000-0005-0000-0000-0000801C0000}"/>
    <cellStyle name="20% - Accent4 3 2 2 5 3" xfId="1003" xr:uid="{00000000-0005-0000-0000-0000811C0000}"/>
    <cellStyle name="20% - Accent4 3 2 2 5 3 2" xfId="10057" xr:uid="{00000000-0005-0000-0000-0000821C0000}"/>
    <cellStyle name="20% - Accent4 3 2 2 5 4" xfId="10058" xr:uid="{00000000-0005-0000-0000-0000831C0000}"/>
    <cellStyle name="20% - Accent4 3 2 2 6" xfId="3569" xr:uid="{00000000-0005-0000-0000-0000841C0000}"/>
    <cellStyle name="20% - Accent4 3 2 2 6 2" xfId="1011" xr:uid="{00000000-0005-0000-0000-0000851C0000}"/>
    <cellStyle name="20% - Accent4 3 2 2 6 2 2" xfId="12954" xr:uid="{00000000-0005-0000-0000-0000861C0000}"/>
    <cellStyle name="20% - Accent4 3 2 2 6 3" xfId="32982" xr:uid="{00000000-0005-0000-0000-0000871C0000}"/>
    <cellStyle name="20% - Accent4 3 2 2 7" xfId="7395" xr:uid="{00000000-0005-0000-0000-0000881C0000}"/>
    <cellStyle name="20% - Accent4 3 2 2 7 2" xfId="10062" xr:uid="{00000000-0005-0000-0000-0000891C0000}"/>
    <cellStyle name="20% - Accent4 3 2 2 8" xfId="15356" xr:uid="{00000000-0005-0000-0000-00008A1C0000}"/>
    <cellStyle name="20% - Accent4 3 2 3" xfId="10067" xr:uid="{00000000-0005-0000-0000-00008B1C0000}"/>
    <cellStyle name="20% - Accent4 3 2 3 2" xfId="10071" xr:uid="{00000000-0005-0000-0000-00008C1C0000}"/>
    <cellStyle name="20% - Accent4 3 2 3 2 2" xfId="10078" xr:uid="{00000000-0005-0000-0000-00008D1C0000}"/>
    <cellStyle name="20% - Accent4 3 2 3 2 2 2" xfId="2654" xr:uid="{00000000-0005-0000-0000-00008E1C0000}"/>
    <cellStyle name="20% - Accent4 3 2 3 2 2 2 2" xfId="15370" xr:uid="{00000000-0005-0000-0000-00008F1C0000}"/>
    <cellStyle name="20% - Accent4 3 2 3 2 2 2 2 2" xfId="5216" xr:uid="{00000000-0005-0000-0000-0000901C0000}"/>
    <cellStyle name="20% - Accent4 3 2 3 2 2 2 2 2 2" xfId="10080" xr:uid="{00000000-0005-0000-0000-0000911C0000}"/>
    <cellStyle name="20% - Accent4 3 2 3 2 2 2 2 3" xfId="5227" xr:uid="{00000000-0005-0000-0000-0000921C0000}"/>
    <cellStyle name="20% - Accent4 3 2 3 2 2 2 3" xfId="15381" xr:uid="{00000000-0005-0000-0000-0000931C0000}"/>
    <cellStyle name="20% - Accent4 3 2 3 2 2 2 3 2" xfId="5257" xr:uid="{00000000-0005-0000-0000-0000941C0000}"/>
    <cellStyle name="20% - Accent4 3 2 3 2 2 2 4" xfId="15384" xr:uid="{00000000-0005-0000-0000-0000951C0000}"/>
    <cellStyle name="20% - Accent4 3 2 3 2 2 3" xfId="13129" xr:uid="{00000000-0005-0000-0000-0000961C0000}"/>
    <cellStyle name="20% - Accent4 3 2 3 2 2 3 2" xfId="12613" xr:uid="{00000000-0005-0000-0000-0000971C0000}"/>
    <cellStyle name="20% - Accent4 3 2 3 2 2 3 2 2" xfId="7541" xr:uid="{00000000-0005-0000-0000-0000981C0000}"/>
    <cellStyle name="20% - Accent4 3 2 3 2 2 3 3" xfId="14209" xr:uid="{00000000-0005-0000-0000-0000991C0000}"/>
    <cellStyle name="20% - Accent4 3 2 3 2 2 4" xfId="14967" xr:uid="{00000000-0005-0000-0000-00009A1C0000}"/>
    <cellStyle name="20% - Accent4 3 2 3 2 2 4 2" xfId="17571" xr:uid="{00000000-0005-0000-0000-00009B1C0000}"/>
    <cellStyle name="20% - Accent4 3 2 3 2 2 5" xfId="16940" xr:uid="{00000000-0005-0000-0000-00009C1C0000}"/>
    <cellStyle name="20% - Accent4 3 2 3 2 3" xfId="32294" xr:uid="{00000000-0005-0000-0000-00009D1C0000}"/>
    <cellStyle name="20% - Accent4 3 2 3 2 3 2" xfId="28760" xr:uid="{00000000-0005-0000-0000-00009E1C0000}"/>
    <cellStyle name="20% - Accent4 3 2 3 2 3 2 2" xfId="10857" xr:uid="{00000000-0005-0000-0000-00009F1C0000}"/>
    <cellStyle name="20% - Accent4 3 2 3 2 3 2 2 2" xfId="5595" xr:uid="{00000000-0005-0000-0000-0000A01C0000}"/>
    <cellStyle name="20% - Accent4 3 2 3 2 3 2 3" xfId="15412" xr:uid="{00000000-0005-0000-0000-0000A11C0000}"/>
    <cellStyle name="20% - Accent4 3 2 3 2 3 3" xfId="28764" xr:uid="{00000000-0005-0000-0000-0000A21C0000}"/>
    <cellStyle name="20% - Accent4 3 2 3 2 3 3 2" xfId="10969" xr:uid="{00000000-0005-0000-0000-0000A31C0000}"/>
    <cellStyle name="20% - Accent4 3 2 3 2 3 4" xfId="28769" xr:uid="{00000000-0005-0000-0000-0000A41C0000}"/>
    <cellStyle name="20% - Accent4 3 2 3 2 4" xfId="10185" xr:uid="{00000000-0005-0000-0000-0000A51C0000}"/>
    <cellStyle name="20% - Accent4 3 2 3 2 4 2" xfId="10091" xr:uid="{00000000-0005-0000-0000-0000A61C0000}"/>
    <cellStyle name="20% - Accent4 3 2 3 2 4 2 2" xfId="12726" xr:uid="{00000000-0005-0000-0000-0000A71C0000}"/>
    <cellStyle name="20% - Accent4 3 2 3 2 4 3" xfId="29168" xr:uid="{00000000-0005-0000-0000-0000A81C0000}"/>
    <cellStyle name="20% - Accent4 3 2 3 2 5" xfId="10101" xr:uid="{00000000-0005-0000-0000-0000A91C0000}"/>
    <cellStyle name="20% - Accent4 3 2 3 2 5 2" xfId="10103" xr:uid="{00000000-0005-0000-0000-0000AA1C0000}"/>
    <cellStyle name="20% - Accent4 3 2 3 2 6" xfId="21147" xr:uid="{00000000-0005-0000-0000-0000AB1C0000}"/>
    <cellStyle name="20% - Accent4 3 2 3 3" xfId="922" xr:uid="{00000000-0005-0000-0000-0000AC1C0000}"/>
    <cellStyle name="20% - Accent4 3 2 3 3 2" xfId="23111" xr:uid="{00000000-0005-0000-0000-0000AD1C0000}"/>
    <cellStyle name="20% - Accent4 3 2 3 3 2 2" xfId="7489" xr:uid="{00000000-0005-0000-0000-0000AE1C0000}"/>
    <cellStyle name="20% - Accent4 3 2 3 3 2 2 2" xfId="15483" xr:uid="{00000000-0005-0000-0000-0000AF1C0000}"/>
    <cellStyle name="20% - Accent4 3 2 3 3 2 2 2 2" xfId="9856" xr:uid="{00000000-0005-0000-0000-0000B01C0000}"/>
    <cellStyle name="20% - Accent4 3 2 3 3 2 2 3" xfId="15488" xr:uid="{00000000-0005-0000-0000-0000B11C0000}"/>
    <cellStyle name="20% - Accent4 3 2 3 3 2 3" xfId="8484" xr:uid="{00000000-0005-0000-0000-0000B21C0000}"/>
    <cellStyle name="20% - Accent4 3 2 3 3 2 3 2" xfId="14222" xr:uid="{00000000-0005-0000-0000-0000B31C0000}"/>
    <cellStyle name="20% - Accent4 3 2 3 3 2 4" xfId="10120" xr:uid="{00000000-0005-0000-0000-0000B41C0000}"/>
    <cellStyle name="20% - Accent4 3 2 3 3 3" xfId="22367" xr:uid="{00000000-0005-0000-0000-0000B51C0000}"/>
    <cellStyle name="20% - Accent4 3 2 3 3 3 2" xfId="4261" xr:uid="{00000000-0005-0000-0000-0000B61C0000}"/>
    <cellStyle name="20% - Accent4 3 2 3 3 3 2 2" xfId="15523" xr:uid="{00000000-0005-0000-0000-0000B71C0000}"/>
    <cellStyle name="20% - Accent4 3 2 3 3 3 3" xfId="26660" xr:uid="{00000000-0005-0000-0000-0000B81C0000}"/>
    <cellStyle name="20% - Accent4 3 2 3 3 4" xfId="10100" xr:uid="{00000000-0005-0000-0000-0000B91C0000}"/>
    <cellStyle name="20% - Accent4 3 2 3 3 4 2" xfId="10123" xr:uid="{00000000-0005-0000-0000-0000BA1C0000}"/>
    <cellStyle name="20% - Accent4 3 2 3 3 5" xfId="10902" xr:uid="{00000000-0005-0000-0000-0000BB1C0000}"/>
    <cellStyle name="20% - Accent4 3 2 3 4" xfId="1036" xr:uid="{00000000-0005-0000-0000-0000BC1C0000}"/>
    <cellStyle name="20% - Accent4 3 2 3 4 2" xfId="23324" xr:uid="{00000000-0005-0000-0000-0000BD1C0000}"/>
    <cellStyle name="20% - Accent4 3 2 3 4 2 2" xfId="8432" xr:uid="{00000000-0005-0000-0000-0000BE1C0000}"/>
    <cellStyle name="20% - Accent4 3 2 3 4 2 2 2" xfId="15553" xr:uid="{00000000-0005-0000-0000-0000BF1C0000}"/>
    <cellStyle name="20% - Accent4 3 2 3 4 2 3" xfId="10124" xr:uid="{00000000-0005-0000-0000-0000C01C0000}"/>
    <cellStyle name="20% - Accent4 3 2 3 4 3" xfId="10105" xr:uid="{00000000-0005-0000-0000-0000C11C0000}"/>
    <cellStyle name="20% - Accent4 3 2 3 4 3 2" xfId="32450" xr:uid="{00000000-0005-0000-0000-0000C21C0000}"/>
    <cellStyle name="20% - Accent4 3 2 3 4 4" xfId="10127" xr:uid="{00000000-0005-0000-0000-0000C31C0000}"/>
    <cellStyle name="20% - Accent4 3 2 3 5" xfId="1041" xr:uid="{00000000-0005-0000-0000-0000C41C0000}"/>
    <cellStyle name="20% - Accent4 3 2 3 5 2" xfId="11815" xr:uid="{00000000-0005-0000-0000-0000C51C0000}"/>
    <cellStyle name="20% - Accent4 3 2 3 5 2 2" xfId="10129" xr:uid="{00000000-0005-0000-0000-0000C61C0000}"/>
    <cellStyle name="20% - Accent4 3 2 3 5 3" xfId="11824" xr:uid="{00000000-0005-0000-0000-0000C71C0000}"/>
    <cellStyle name="20% - Accent4 3 2 3 6" xfId="3579" xr:uid="{00000000-0005-0000-0000-0000C81C0000}"/>
    <cellStyle name="20% - Accent4 3 2 3 6 2" xfId="11827" xr:uid="{00000000-0005-0000-0000-0000C91C0000}"/>
    <cellStyle name="20% - Accent4 3 2 3 7" xfId="18478" xr:uid="{00000000-0005-0000-0000-0000CA1C0000}"/>
    <cellStyle name="20% - Accent4 3 2 4" xfId="26736" xr:uid="{00000000-0005-0000-0000-0000CB1C0000}"/>
    <cellStyle name="20% - Accent4 3 2 4 2" xfId="1199" xr:uid="{00000000-0005-0000-0000-0000CC1C0000}"/>
    <cellStyle name="20% - Accent4 3 2 4 2 2" xfId="1642" xr:uid="{00000000-0005-0000-0000-0000CD1C0000}"/>
    <cellStyle name="20% - Accent4 3 2 4 2 2 2" xfId="6126" xr:uid="{00000000-0005-0000-0000-0000CE1C0000}"/>
    <cellStyle name="20% - Accent4 3 2 4 2 2 2 2" xfId="11042" xr:uid="{00000000-0005-0000-0000-0000CF1C0000}"/>
    <cellStyle name="20% - Accent4 3 2 4 2 2 2 2 2" xfId="21663" xr:uid="{00000000-0005-0000-0000-0000D01C0000}"/>
    <cellStyle name="20% - Accent4 3 2 4 2 2 2 3" xfId="15639" xr:uid="{00000000-0005-0000-0000-0000D11C0000}"/>
    <cellStyle name="20% - Accent4 3 2 4 2 2 3" xfId="9780" xr:uid="{00000000-0005-0000-0000-0000D21C0000}"/>
    <cellStyle name="20% - Accent4 3 2 4 2 2 3 2" xfId="15650" xr:uid="{00000000-0005-0000-0000-0000D31C0000}"/>
    <cellStyle name="20% - Accent4 3 2 4 2 2 4" xfId="10132" xr:uid="{00000000-0005-0000-0000-0000D41C0000}"/>
    <cellStyle name="20% - Accent4 3 2 4 2 3" xfId="19352" xr:uid="{00000000-0005-0000-0000-0000D51C0000}"/>
    <cellStyle name="20% - Accent4 3 2 4 2 3 2" xfId="6505" xr:uid="{00000000-0005-0000-0000-0000D61C0000}"/>
    <cellStyle name="20% - Accent4 3 2 4 2 3 2 2" xfId="15689" xr:uid="{00000000-0005-0000-0000-0000D71C0000}"/>
    <cellStyle name="20% - Accent4 3 2 4 2 3 3" xfId="23461" xr:uid="{00000000-0005-0000-0000-0000D81C0000}"/>
    <cellStyle name="20% - Accent4 3 2 4 2 4" xfId="15847" xr:uid="{00000000-0005-0000-0000-0000D91C0000}"/>
    <cellStyle name="20% - Accent4 3 2 4 2 4 2" xfId="23416" xr:uid="{00000000-0005-0000-0000-0000DA1C0000}"/>
    <cellStyle name="20% - Accent4 3 2 4 2 5" xfId="10141" xr:uid="{00000000-0005-0000-0000-0000DB1C0000}"/>
    <cellStyle name="20% - Accent4 3 2 4 3" xfId="2847" xr:uid="{00000000-0005-0000-0000-0000DC1C0000}"/>
    <cellStyle name="20% - Accent4 3 2 4 3 2" xfId="26892" xr:uid="{00000000-0005-0000-0000-0000DD1C0000}"/>
    <cellStyle name="20% - Accent4 3 2 4 3 2 2" xfId="6135" xr:uid="{00000000-0005-0000-0000-0000DE1C0000}"/>
    <cellStyle name="20% - Accent4 3 2 4 3 2 2 2" xfId="15732" xr:uid="{00000000-0005-0000-0000-0000DF1C0000}"/>
    <cellStyle name="20% - Accent4 3 2 4 3 2 3" xfId="27777" xr:uid="{00000000-0005-0000-0000-0000E01C0000}"/>
    <cellStyle name="20% - Accent4 3 2 4 3 3" xfId="15852" xr:uid="{00000000-0005-0000-0000-0000E11C0000}"/>
    <cellStyle name="20% - Accent4 3 2 4 3 3 2" xfId="931" xr:uid="{00000000-0005-0000-0000-0000E21C0000}"/>
    <cellStyle name="20% - Accent4 3 2 4 3 4" xfId="4061" xr:uid="{00000000-0005-0000-0000-0000E31C0000}"/>
    <cellStyle name="20% - Accent4 3 2 4 4" xfId="1256" xr:uid="{00000000-0005-0000-0000-0000E41C0000}"/>
    <cellStyle name="20% - Accent4 3 2 4 4 2" xfId="1261" xr:uid="{00000000-0005-0000-0000-0000E51C0000}"/>
    <cellStyle name="20% - Accent4 3 2 4 4 2 2" xfId="10146" xr:uid="{00000000-0005-0000-0000-0000E61C0000}"/>
    <cellStyle name="20% - Accent4 3 2 4 4 3" xfId="4333" xr:uid="{00000000-0005-0000-0000-0000E71C0000}"/>
    <cellStyle name="20% - Accent4 3 2 4 5" xfId="1269" xr:uid="{00000000-0005-0000-0000-0000E81C0000}"/>
    <cellStyle name="20% - Accent4 3 2 4 5 2" xfId="11839" xr:uid="{00000000-0005-0000-0000-0000E91C0000}"/>
    <cellStyle name="20% - Accent4 3 2 4 6" xfId="10148" xr:uid="{00000000-0005-0000-0000-0000EA1C0000}"/>
    <cellStyle name="20% - Accent4 3 2 5" xfId="17868" xr:uid="{00000000-0005-0000-0000-0000EB1C0000}"/>
    <cellStyle name="20% - Accent4 3 2 5 2" xfId="14489" xr:uid="{00000000-0005-0000-0000-0000EC1C0000}"/>
    <cellStyle name="20% - Accent4 3 2 5 2 2" xfId="19370" xr:uid="{00000000-0005-0000-0000-0000ED1C0000}"/>
    <cellStyle name="20% - Accent4 3 2 5 2 2 2" xfId="10677" xr:uid="{00000000-0005-0000-0000-0000EE1C0000}"/>
    <cellStyle name="20% - Accent4 3 2 5 2 2 2 2" xfId="15822" xr:uid="{00000000-0005-0000-0000-0000EF1C0000}"/>
    <cellStyle name="20% - Accent4 3 2 5 2 2 3" xfId="13655" xr:uid="{00000000-0005-0000-0000-0000F01C0000}"/>
    <cellStyle name="20% - Accent4 3 2 5 2 3" xfId="14420" xr:uid="{00000000-0005-0000-0000-0000F11C0000}"/>
    <cellStyle name="20% - Accent4 3 2 5 2 3 2" xfId="18514" xr:uid="{00000000-0005-0000-0000-0000F21C0000}"/>
    <cellStyle name="20% - Accent4 3 2 5 2 4" xfId="10150" xr:uid="{00000000-0005-0000-0000-0000F31C0000}"/>
    <cellStyle name="20% - Accent4 3 2 5 3" xfId="14499" xr:uid="{00000000-0005-0000-0000-0000F41C0000}"/>
    <cellStyle name="20% - Accent4 3 2 5 3 2" xfId="14502" xr:uid="{00000000-0005-0000-0000-0000F51C0000}"/>
    <cellStyle name="20% - Accent4 3 2 5 3 2 2" xfId="18556" xr:uid="{00000000-0005-0000-0000-0000F61C0000}"/>
    <cellStyle name="20% - Accent4 3 2 5 3 3" xfId="10158" xr:uid="{00000000-0005-0000-0000-0000F71C0000}"/>
    <cellStyle name="20% - Accent4 3 2 5 4" xfId="14503" xr:uid="{00000000-0005-0000-0000-0000F81C0000}"/>
    <cellStyle name="20% - Accent4 3 2 5 4 2" xfId="33207" xr:uid="{00000000-0005-0000-0000-0000F91C0000}"/>
    <cellStyle name="20% - Accent4 3 2 5 5" xfId="10050" xr:uid="{00000000-0005-0000-0000-0000FA1C0000}"/>
    <cellStyle name="20% - Accent4 3 2 6" xfId="10162" xr:uid="{00000000-0005-0000-0000-0000FB1C0000}"/>
    <cellStyle name="20% - Accent4 3 2 6 2" xfId="11678" xr:uid="{00000000-0005-0000-0000-0000FC1C0000}"/>
    <cellStyle name="20% - Accent4 3 2 6 2 2" xfId="1291" xr:uid="{00000000-0005-0000-0000-0000FD1C0000}"/>
    <cellStyle name="20% - Accent4 3 2 6 2 2 2" xfId="11281" xr:uid="{00000000-0005-0000-0000-0000FE1C0000}"/>
    <cellStyle name="20% - Accent4 3 2 6 2 3" xfId="15402" xr:uid="{00000000-0005-0000-0000-0000FF1C0000}"/>
    <cellStyle name="20% - Accent4 3 2 6 3" xfId="14643" xr:uid="{00000000-0005-0000-0000-0000001D0000}"/>
    <cellStyle name="20% - Accent4 3 2 6 3 2" xfId="15407" xr:uid="{00000000-0005-0000-0000-0000011D0000}"/>
    <cellStyle name="20% - Accent4 3 2 6 4" xfId="10653" xr:uid="{00000000-0005-0000-0000-0000021D0000}"/>
    <cellStyle name="20% - Accent4 3 2 7" xfId="18118" xr:uid="{00000000-0005-0000-0000-0000031D0000}"/>
    <cellStyle name="20% - Accent4 3 2 7 2" xfId="28677" xr:uid="{00000000-0005-0000-0000-0000041D0000}"/>
    <cellStyle name="20% - Accent4 3 2 7 2 2" xfId="27796" xr:uid="{00000000-0005-0000-0000-0000051D0000}"/>
    <cellStyle name="20% - Accent4 3 2 7 3" xfId="30089" xr:uid="{00000000-0005-0000-0000-0000061D0000}"/>
    <cellStyle name="20% - Accent4 3 2 8" xfId="10163" xr:uid="{00000000-0005-0000-0000-0000071D0000}"/>
    <cellStyle name="20% - Accent4 3 2 8 2" xfId="28705" xr:uid="{00000000-0005-0000-0000-0000081D0000}"/>
    <cellStyle name="20% - Accent4 3 2 9" xfId="33926" xr:uid="{00000000-0005-0000-0000-0000091D0000}"/>
    <cellStyle name="20% - Accent4 3 3" xfId="20630" xr:uid="{00000000-0005-0000-0000-00000A1D0000}"/>
    <cellStyle name="20% - Accent4 3 3 2" xfId="8158" xr:uid="{00000000-0005-0000-0000-00000B1D0000}"/>
    <cellStyle name="20% - Accent4 3 3 2 2" xfId="10165" xr:uid="{00000000-0005-0000-0000-00000C1D0000}"/>
    <cellStyle name="20% - Accent4 3 3 2 2 2" xfId="3335" xr:uid="{00000000-0005-0000-0000-00000D1D0000}"/>
    <cellStyle name="20% - Accent4 3 3 2 2 2 2" xfId="6688" xr:uid="{00000000-0005-0000-0000-00000E1D0000}"/>
    <cellStyle name="20% - Accent4 3 3 2 2 2 2 2" xfId="10166" xr:uid="{00000000-0005-0000-0000-00000F1D0000}"/>
    <cellStyle name="20% - Accent4 3 3 2 2 2 2 2 2" xfId="239" xr:uid="{00000000-0005-0000-0000-0000101D0000}"/>
    <cellStyle name="20% - Accent4 3 3 2 2 2 2 2 2 2" xfId="12862" xr:uid="{00000000-0005-0000-0000-0000111D0000}"/>
    <cellStyle name="20% - Accent4 3 3 2 2 2 2 2 3" xfId="22138" xr:uid="{00000000-0005-0000-0000-0000121D0000}"/>
    <cellStyle name="20% - Accent4 3 3 2 2 2 2 3" xfId="10175" xr:uid="{00000000-0005-0000-0000-0000131D0000}"/>
    <cellStyle name="20% - Accent4 3 3 2 2 2 2 3 2" xfId="18628" xr:uid="{00000000-0005-0000-0000-0000141D0000}"/>
    <cellStyle name="20% - Accent4 3 3 2 2 2 2 4" xfId="2967" xr:uid="{00000000-0005-0000-0000-0000151D0000}"/>
    <cellStyle name="20% - Accent4 3 3 2 2 2 3" xfId="10079" xr:uid="{00000000-0005-0000-0000-0000161D0000}"/>
    <cellStyle name="20% - Accent4 3 3 2 2 2 3 2" xfId="10178" xr:uid="{00000000-0005-0000-0000-0000171D0000}"/>
    <cellStyle name="20% - Accent4 3 3 2 2 2 3 2 2" xfId="10180" xr:uid="{00000000-0005-0000-0000-0000181D0000}"/>
    <cellStyle name="20% - Accent4 3 3 2 2 2 3 3" xfId="11762" xr:uid="{00000000-0005-0000-0000-0000191D0000}"/>
    <cellStyle name="20% - Accent4 3 3 2 2 2 4" xfId="32295" xr:uid="{00000000-0005-0000-0000-00001A1D0000}"/>
    <cellStyle name="20% - Accent4 3 3 2 2 2 4 2" xfId="24664" xr:uid="{00000000-0005-0000-0000-00001B1D0000}"/>
    <cellStyle name="20% - Accent4 3 3 2 2 2 5" xfId="10187" xr:uid="{00000000-0005-0000-0000-00001C1D0000}"/>
    <cellStyle name="20% - Accent4 3 3 2 2 3" xfId="29904" xr:uid="{00000000-0005-0000-0000-00001D1D0000}"/>
    <cellStyle name="20% - Accent4 3 3 2 2 3 2" xfId="10189" xr:uid="{00000000-0005-0000-0000-00001E1D0000}"/>
    <cellStyle name="20% - Accent4 3 3 2 2 3 2 2" xfId="10193" xr:uid="{00000000-0005-0000-0000-00001F1D0000}"/>
    <cellStyle name="20% - Accent4 3 3 2 2 3 2 2 2" xfId="10197" xr:uid="{00000000-0005-0000-0000-0000201D0000}"/>
    <cellStyle name="20% - Accent4 3 3 2 2 3 2 3" xfId="10204" xr:uid="{00000000-0005-0000-0000-0000211D0000}"/>
    <cellStyle name="20% - Accent4 3 3 2 2 3 3" xfId="947" xr:uid="{00000000-0005-0000-0000-0000221D0000}"/>
    <cellStyle name="20% - Accent4 3 3 2 2 3 3 2" xfId="10206" xr:uid="{00000000-0005-0000-0000-0000231D0000}"/>
    <cellStyle name="20% - Accent4 3 3 2 2 3 4" xfId="22365" xr:uid="{00000000-0005-0000-0000-0000241D0000}"/>
    <cellStyle name="20% - Accent4 3 3 2 2 4" xfId="27248" xr:uid="{00000000-0005-0000-0000-0000251D0000}"/>
    <cellStyle name="20% - Accent4 3 3 2 2 4 2" xfId="16985" xr:uid="{00000000-0005-0000-0000-0000261D0000}"/>
    <cellStyle name="20% - Accent4 3 3 2 2 4 2 2" xfId="30858" xr:uid="{00000000-0005-0000-0000-0000271D0000}"/>
    <cellStyle name="20% - Accent4 3 3 2 2 4 3" xfId="23319" xr:uid="{00000000-0005-0000-0000-0000281D0000}"/>
    <cellStyle name="20% - Accent4 3 3 2 2 5" xfId="3948" xr:uid="{00000000-0005-0000-0000-0000291D0000}"/>
    <cellStyle name="20% - Accent4 3 3 2 2 5 2" xfId="2777" xr:uid="{00000000-0005-0000-0000-00002A1D0000}"/>
    <cellStyle name="20% - Accent4 3 3 2 2 6" xfId="403" xr:uid="{00000000-0005-0000-0000-00002B1D0000}"/>
    <cellStyle name="20% - Accent4 3 3 2 3" xfId="2936" xr:uid="{00000000-0005-0000-0000-00002C1D0000}"/>
    <cellStyle name="20% - Accent4 3 3 2 3 2" xfId="3204" xr:uid="{00000000-0005-0000-0000-00002D1D0000}"/>
    <cellStyle name="20% - Accent4 3 3 2 3 2 2" xfId="8069" xr:uid="{00000000-0005-0000-0000-00002E1D0000}"/>
    <cellStyle name="20% - Accent4 3 3 2 3 2 2 2" xfId="12058" xr:uid="{00000000-0005-0000-0000-00002F1D0000}"/>
    <cellStyle name="20% - Accent4 3 3 2 3 2 2 2 2" xfId="1588" xr:uid="{00000000-0005-0000-0000-0000301D0000}"/>
    <cellStyle name="20% - Accent4 3 3 2 3 2 2 3" xfId="27049" xr:uid="{00000000-0005-0000-0000-0000311D0000}"/>
    <cellStyle name="20% - Accent4 3 3 2 3 2 3" xfId="19344" xr:uid="{00000000-0005-0000-0000-0000321D0000}"/>
    <cellStyle name="20% - Accent4 3 3 2 3 2 3 2" xfId="12295" xr:uid="{00000000-0005-0000-0000-0000331D0000}"/>
    <cellStyle name="20% - Accent4 3 3 2 3 2 4" xfId="19349" xr:uid="{00000000-0005-0000-0000-0000341D0000}"/>
    <cellStyle name="20% - Accent4 3 3 2 3 3" xfId="2949" xr:uid="{00000000-0005-0000-0000-0000351D0000}"/>
    <cellStyle name="20% - Accent4 3 3 2 3 3 2" xfId="10217" xr:uid="{00000000-0005-0000-0000-0000361D0000}"/>
    <cellStyle name="20% - Accent4 3 3 2 3 3 2 2" xfId="13314" xr:uid="{00000000-0005-0000-0000-0000371D0000}"/>
    <cellStyle name="20% - Accent4 3 3 2 3 3 3" xfId="26897" xr:uid="{00000000-0005-0000-0000-0000381D0000}"/>
    <cellStyle name="20% - Accent4 3 3 2 3 4" xfId="4369" xr:uid="{00000000-0005-0000-0000-0000391D0000}"/>
    <cellStyle name="20% - Accent4 3 3 2 3 4 2" xfId="10218" xr:uid="{00000000-0005-0000-0000-00003A1D0000}"/>
    <cellStyle name="20% - Accent4 3 3 2 3 5" xfId="7042" xr:uid="{00000000-0005-0000-0000-00003B1D0000}"/>
    <cellStyle name="20% - Accent4 3 3 2 4" xfId="16412" xr:uid="{00000000-0005-0000-0000-00003C1D0000}"/>
    <cellStyle name="20% - Accent4 3 3 2 4 2" xfId="8808" xr:uid="{00000000-0005-0000-0000-00003D1D0000}"/>
    <cellStyle name="20% - Accent4 3 3 2 4 2 2" xfId="10221" xr:uid="{00000000-0005-0000-0000-00003E1D0000}"/>
    <cellStyle name="20% - Accent4 3 3 2 4 2 2 2" xfId="10224" xr:uid="{00000000-0005-0000-0000-00003F1D0000}"/>
    <cellStyle name="20% - Accent4 3 3 2 4 2 3" xfId="19368" xr:uid="{00000000-0005-0000-0000-0000401D0000}"/>
    <cellStyle name="20% - Accent4 3 3 2 4 3" xfId="4963" xr:uid="{00000000-0005-0000-0000-0000411D0000}"/>
    <cellStyle name="20% - Accent4 3 3 2 4 3 2" xfId="10226" xr:uid="{00000000-0005-0000-0000-0000421D0000}"/>
    <cellStyle name="20% - Accent4 3 3 2 4 4" xfId="10228" xr:uid="{00000000-0005-0000-0000-0000431D0000}"/>
    <cellStyle name="20% - Accent4 3 3 2 5" xfId="2965" xr:uid="{00000000-0005-0000-0000-0000441D0000}"/>
    <cellStyle name="20% - Accent4 3 3 2 5 2" xfId="1135" xr:uid="{00000000-0005-0000-0000-0000451D0000}"/>
    <cellStyle name="20% - Accent4 3 3 2 5 2 2" xfId="10230" xr:uid="{00000000-0005-0000-0000-0000461D0000}"/>
    <cellStyle name="20% - Accent4 3 3 2 5 3" xfId="10233" xr:uid="{00000000-0005-0000-0000-0000471D0000}"/>
    <cellStyle name="20% - Accent4 3 3 2 6" xfId="1182" xr:uid="{00000000-0005-0000-0000-0000481D0000}"/>
    <cellStyle name="20% - Accent4 3 3 2 6 2" xfId="21222" xr:uid="{00000000-0005-0000-0000-0000491D0000}"/>
    <cellStyle name="20% - Accent4 3 3 2 7" xfId="10236" xr:uid="{00000000-0005-0000-0000-00004A1D0000}"/>
    <cellStyle name="20% - Accent4 3 3 3" xfId="3400" xr:uid="{00000000-0005-0000-0000-00004B1D0000}"/>
    <cellStyle name="20% - Accent4 3 3 3 2" xfId="10238" xr:uid="{00000000-0005-0000-0000-00004C1D0000}"/>
    <cellStyle name="20% - Accent4 3 3 3 2 2" xfId="13668" xr:uid="{00000000-0005-0000-0000-00004D1D0000}"/>
    <cellStyle name="20% - Accent4 3 3 3 2 2 2" xfId="10239" xr:uid="{00000000-0005-0000-0000-00004E1D0000}"/>
    <cellStyle name="20% - Accent4 3 3 3 2 2 2 2" xfId="13030" xr:uid="{00000000-0005-0000-0000-00004F1D0000}"/>
    <cellStyle name="20% - Accent4 3 3 3 2 2 2 2 2" xfId="824" xr:uid="{00000000-0005-0000-0000-0000501D0000}"/>
    <cellStyle name="20% - Accent4 3 3 3 2 2 2 3" xfId="15999" xr:uid="{00000000-0005-0000-0000-0000511D0000}"/>
    <cellStyle name="20% - Accent4 3 3 3 2 2 3" xfId="13666" xr:uid="{00000000-0005-0000-0000-0000521D0000}"/>
    <cellStyle name="20% - Accent4 3 3 3 2 2 3 2" xfId="16013" xr:uid="{00000000-0005-0000-0000-0000531D0000}"/>
    <cellStyle name="20% - Accent4 3 3 3 2 2 4" xfId="17099" xr:uid="{00000000-0005-0000-0000-0000541D0000}"/>
    <cellStyle name="20% - Accent4 3 3 3 2 3" xfId="17101" xr:uid="{00000000-0005-0000-0000-0000551D0000}"/>
    <cellStyle name="20% - Accent4 3 3 3 2 3 2" xfId="10240" xr:uid="{00000000-0005-0000-0000-0000561D0000}"/>
    <cellStyle name="20% - Accent4 3 3 3 2 3 2 2" xfId="15451" xr:uid="{00000000-0005-0000-0000-0000571D0000}"/>
    <cellStyle name="20% - Accent4 3 3 3 2 3 3" xfId="11266" xr:uid="{00000000-0005-0000-0000-0000581D0000}"/>
    <cellStyle name="20% - Accent4 3 3 3 2 4" xfId="13673" xr:uid="{00000000-0005-0000-0000-0000591D0000}"/>
    <cellStyle name="20% - Accent4 3 3 3 2 4 2" xfId="3318" xr:uid="{00000000-0005-0000-0000-00005A1D0000}"/>
    <cellStyle name="20% - Accent4 3 3 3 2 5" xfId="3978" xr:uid="{00000000-0005-0000-0000-00005B1D0000}"/>
    <cellStyle name="20% - Accent4 3 3 3 3" xfId="1140" xr:uid="{00000000-0005-0000-0000-00005C1D0000}"/>
    <cellStyle name="20% - Accent4 3 3 3 3 2" xfId="11268" xr:uid="{00000000-0005-0000-0000-00005D1D0000}"/>
    <cellStyle name="20% - Accent4 3 3 3 3 2 2" xfId="10242" xr:uid="{00000000-0005-0000-0000-00005E1D0000}"/>
    <cellStyle name="20% - Accent4 3 3 3 3 2 2 2" xfId="16086" xr:uid="{00000000-0005-0000-0000-00005F1D0000}"/>
    <cellStyle name="20% - Accent4 3 3 3 3 2 3" xfId="19417" xr:uid="{00000000-0005-0000-0000-0000601D0000}"/>
    <cellStyle name="20% - Accent4 3 3 3 3 3" xfId="11318" xr:uid="{00000000-0005-0000-0000-0000611D0000}"/>
    <cellStyle name="20% - Accent4 3 3 3 3 3 2" xfId="10244" xr:uid="{00000000-0005-0000-0000-0000621D0000}"/>
    <cellStyle name="20% - Accent4 3 3 3 3 4" xfId="10245" xr:uid="{00000000-0005-0000-0000-0000631D0000}"/>
    <cellStyle name="20% - Accent4 3 3 3 4" xfId="1019" xr:uid="{00000000-0005-0000-0000-0000641D0000}"/>
    <cellStyle name="20% - Accent4 3 3 3 4 2" xfId="11309" xr:uid="{00000000-0005-0000-0000-0000651D0000}"/>
    <cellStyle name="20% - Accent4 3 3 3 4 2 2" xfId="10246" xr:uid="{00000000-0005-0000-0000-0000661D0000}"/>
    <cellStyle name="20% - Accent4 3 3 3 4 3" xfId="10247" xr:uid="{00000000-0005-0000-0000-0000671D0000}"/>
    <cellStyle name="20% - Accent4 3 3 3 5" xfId="1169" xr:uid="{00000000-0005-0000-0000-0000681D0000}"/>
    <cellStyle name="20% - Accent4 3 3 3 5 2" xfId="11855" xr:uid="{00000000-0005-0000-0000-0000691D0000}"/>
    <cellStyle name="20% - Accent4 3 3 3 6" xfId="10250" xr:uid="{00000000-0005-0000-0000-00006A1D0000}"/>
    <cellStyle name="20% - Accent4 3 3 4" xfId="1979" xr:uid="{00000000-0005-0000-0000-00006B1D0000}"/>
    <cellStyle name="20% - Accent4 3 3 4 2" xfId="1914" xr:uid="{00000000-0005-0000-0000-00006C1D0000}"/>
    <cellStyle name="20% - Accent4 3 3 4 2 2" xfId="32225" xr:uid="{00000000-0005-0000-0000-00006D1D0000}"/>
    <cellStyle name="20% - Accent4 3 3 4 2 2 2" xfId="6371" xr:uid="{00000000-0005-0000-0000-00006E1D0000}"/>
    <cellStyle name="20% - Accent4 3 3 4 2 2 2 2" xfId="13011" xr:uid="{00000000-0005-0000-0000-00006F1D0000}"/>
    <cellStyle name="20% - Accent4 3 3 4 2 2 3" xfId="24663" xr:uid="{00000000-0005-0000-0000-0000701D0000}"/>
    <cellStyle name="20% - Accent4 3 3 4 2 3" xfId="15879" xr:uid="{00000000-0005-0000-0000-0000711D0000}"/>
    <cellStyle name="20% - Accent4 3 3 4 2 3 2" xfId="10253" xr:uid="{00000000-0005-0000-0000-0000721D0000}"/>
    <cellStyle name="20% - Accent4 3 3 4 2 4" xfId="10254" xr:uid="{00000000-0005-0000-0000-0000731D0000}"/>
    <cellStyle name="20% - Accent4 3 3 4 3" xfId="1957" xr:uid="{00000000-0005-0000-0000-0000741D0000}"/>
    <cellStyle name="20% - Accent4 3 3 4 3 2" xfId="11381" xr:uid="{00000000-0005-0000-0000-0000751D0000}"/>
    <cellStyle name="20% - Accent4 3 3 4 3 2 2" xfId="10255" xr:uid="{00000000-0005-0000-0000-0000761D0000}"/>
    <cellStyle name="20% - Accent4 3 3 4 3 3" xfId="10256" xr:uid="{00000000-0005-0000-0000-0000771D0000}"/>
    <cellStyle name="20% - Accent4 3 3 4 4" xfId="1371" xr:uid="{00000000-0005-0000-0000-0000781D0000}"/>
    <cellStyle name="20% - Accent4 3 3 4 4 2" xfId="10257" xr:uid="{00000000-0005-0000-0000-0000791D0000}"/>
    <cellStyle name="20% - Accent4 3 3 4 5" xfId="33770" xr:uid="{00000000-0005-0000-0000-00007A1D0000}"/>
    <cellStyle name="20% - Accent4 3 3 5" xfId="17316" xr:uid="{00000000-0005-0000-0000-00007B1D0000}"/>
    <cellStyle name="20% - Accent4 3 3 5 2" xfId="11687" xr:uid="{00000000-0005-0000-0000-00007C1D0000}"/>
    <cellStyle name="20% - Accent4 3 3 5 2 2" xfId="14855" xr:uid="{00000000-0005-0000-0000-00007D1D0000}"/>
    <cellStyle name="20% - Accent4 3 3 5 2 2 2" xfId="23926" xr:uid="{00000000-0005-0000-0000-00007E1D0000}"/>
    <cellStyle name="20% - Accent4 3 3 5 2 3" xfId="4177" xr:uid="{00000000-0005-0000-0000-00007F1D0000}"/>
    <cellStyle name="20% - Accent4 3 3 5 3" xfId="15124" xr:uid="{00000000-0005-0000-0000-0000801D0000}"/>
    <cellStyle name="20% - Accent4 3 3 5 3 2" xfId="10264" xr:uid="{00000000-0005-0000-0000-0000811D0000}"/>
    <cellStyle name="20% - Accent4 3 3 5 4" xfId="10268" xr:uid="{00000000-0005-0000-0000-0000821D0000}"/>
    <cellStyle name="20% - Accent4 3 3 6" xfId="1898" xr:uid="{00000000-0005-0000-0000-0000831D0000}"/>
    <cellStyle name="20% - Accent4 3 3 6 2" xfId="14241" xr:uid="{00000000-0005-0000-0000-0000841D0000}"/>
    <cellStyle name="20% - Accent4 3 3 6 2 2" xfId="12379" xr:uid="{00000000-0005-0000-0000-0000851D0000}"/>
    <cellStyle name="20% - Accent4 3 3 6 3" xfId="11222" xr:uid="{00000000-0005-0000-0000-0000861D0000}"/>
    <cellStyle name="20% - Accent4 3 3 7" xfId="28154" xr:uid="{00000000-0005-0000-0000-0000871D0000}"/>
    <cellStyle name="20% - Accent4 3 3 7 2" xfId="10271" xr:uid="{00000000-0005-0000-0000-0000881D0000}"/>
    <cellStyle name="20% - Accent4 3 3 8" xfId="28158" xr:uid="{00000000-0005-0000-0000-0000891D0000}"/>
    <cellStyle name="20% - Accent4 3 4" xfId="10274" xr:uid="{00000000-0005-0000-0000-00008A1D0000}"/>
    <cellStyle name="20% - Accent4 3 4 2" xfId="12634" xr:uid="{00000000-0005-0000-0000-00008B1D0000}"/>
    <cellStyle name="20% - Accent4 3 4 2 2" xfId="10275" xr:uid="{00000000-0005-0000-0000-00008C1D0000}"/>
    <cellStyle name="20% - Accent4 3 4 2 2 2" xfId="10276" xr:uid="{00000000-0005-0000-0000-00008D1D0000}"/>
    <cellStyle name="20% - Accent4 3 4 2 2 2 2" xfId="3415" xr:uid="{00000000-0005-0000-0000-00008E1D0000}"/>
    <cellStyle name="20% - Accent4 3 4 2 2 2 2 2" xfId="10281" xr:uid="{00000000-0005-0000-0000-00008F1D0000}"/>
    <cellStyle name="20% - Accent4 3 4 2 2 2 2 2 2" xfId="3750" xr:uid="{00000000-0005-0000-0000-0000901D0000}"/>
    <cellStyle name="20% - Accent4 3 4 2 2 2 2 3" xfId="10283" xr:uid="{00000000-0005-0000-0000-0000911D0000}"/>
    <cellStyle name="20% - Accent4 3 4 2 2 2 3" xfId="11100" xr:uid="{00000000-0005-0000-0000-0000921D0000}"/>
    <cellStyle name="20% - Accent4 3 4 2 2 2 3 2" xfId="10286" xr:uid="{00000000-0005-0000-0000-0000931D0000}"/>
    <cellStyle name="20% - Accent4 3 4 2 2 2 4" xfId="12861" xr:uid="{00000000-0005-0000-0000-0000941D0000}"/>
    <cellStyle name="20% - Accent4 3 4 2 2 3" xfId="11760" xr:uid="{00000000-0005-0000-0000-0000951D0000}"/>
    <cellStyle name="20% - Accent4 3 4 2 2 3 2" xfId="4591" xr:uid="{00000000-0005-0000-0000-0000961D0000}"/>
    <cellStyle name="20% - Accent4 3 4 2 2 3 2 2" xfId="10289" xr:uid="{00000000-0005-0000-0000-0000971D0000}"/>
    <cellStyle name="20% - Accent4 3 4 2 2 3 3" xfId="7992" xr:uid="{00000000-0005-0000-0000-0000981D0000}"/>
    <cellStyle name="20% - Accent4 3 4 2 2 4" xfId="10291" xr:uid="{00000000-0005-0000-0000-0000991D0000}"/>
    <cellStyle name="20% - Accent4 3 4 2 2 4 2" xfId="10296" xr:uid="{00000000-0005-0000-0000-00009A1D0000}"/>
    <cellStyle name="20% - Accent4 3 4 2 2 5" xfId="4456" xr:uid="{00000000-0005-0000-0000-00009B1D0000}"/>
    <cellStyle name="20% - Accent4 3 4 2 3" xfId="13851" xr:uid="{00000000-0005-0000-0000-00009C1D0000}"/>
    <cellStyle name="20% - Accent4 3 4 2 3 2" xfId="3162" xr:uid="{00000000-0005-0000-0000-00009D1D0000}"/>
    <cellStyle name="20% - Accent4 3 4 2 3 2 2" xfId="10302" xr:uid="{00000000-0005-0000-0000-00009E1D0000}"/>
    <cellStyle name="20% - Accent4 3 4 2 3 2 2 2" xfId="23853" xr:uid="{00000000-0005-0000-0000-00009F1D0000}"/>
    <cellStyle name="20% - Accent4 3 4 2 3 2 3" xfId="10307" xr:uid="{00000000-0005-0000-0000-0000A01D0000}"/>
    <cellStyle name="20% - Accent4 3 4 2 3 3" xfId="2378" xr:uid="{00000000-0005-0000-0000-0000A11D0000}"/>
    <cellStyle name="20% - Accent4 3 4 2 3 3 2" xfId="10310" xr:uid="{00000000-0005-0000-0000-0000A21D0000}"/>
    <cellStyle name="20% - Accent4 3 4 2 3 4" xfId="10313" xr:uid="{00000000-0005-0000-0000-0000A31D0000}"/>
    <cellStyle name="20% - Accent4 3 4 2 4" xfId="31877" xr:uid="{00000000-0005-0000-0000-0000A41D0000}"/>
    <cellStyle name="20% - Accent4 3 4 2 4 2" xfId="2890" xr:uid="{00000000-0005-0000-0000-0000A51D0000}"/>
    <cellStyle name="20% - Accent4 3 4 2 4 2 2" xfId="18653" xr:uid="{00000000-0005-0000-0000-0000A61D0000}"/>
    <cellStyle name="20% - Accent4 3 4 2 4 3" xfId="14544" xr:uid="{00000000-0005-0000-0000-0000A71D0000}"/>
    <cellStyle name="20% - Accent4 3 4 2 5" xfId="2894" xr:uid="{00000000-0005-0000-0000-0000A81D0000}"/>
    <cellStyle name="20% - Accent4 3 4 2 5 2" xfId="10314" xr:uid="{00000000-0005-0000-0000-0000A91D0000}"/>
    <cellStyle name="20% - Accent4 3 4 2 6" xfId="12739" xr:uid="{00000000-0005-0000-0000-0000AA1D0000}"/>
    <cellStyle name="20% - Accent4 3 4 3" xfId="8374" xr:uid="{00000000-0005-0000-0000-0000AB1D0000}"/>
    <cellStyle name="20% - Accent4 3 4 3 2" xfId="10315" xr:uid="{00000000-0005-0000-0000-0000AC1D0000}"/>
    <cellStyle name="20% - Accent4 3 4 3 2 2" xfId="24662" xr:uid="{00000000-0005-0000-0000-0000AD1D0000}"/>
    <cellStyle name="20% - Accent4 3 4 3 2 2 2" xfId="10321" xr:uid="{00000000-0005-0000-0000-0000AE1D0000}"/>
    <cellStyle name="20% - Accent4 3 4 3 2 2 2 2" xfId="16308" xr:uid="{00000000-0005-0000-0000-0000AF1D0000}"/>
    <cellStyle name="20% - Accent4 3 4 3 2 2 3" xfId="13458" xr:uid="{00000000-0005-0000-0000-0000B01D0000}"/>
    <cellStyle name="20% - Accent4 3 4 3 2 3" xfId="15260" xr:uid="{00000000-0005-0000-0000-0000B11D0000}"/>
    <cellStyle name="20% - Accent4 3 4 3 2 3 2" xfId="10328" xr:uid="{00000000-0005-0000-0000-0000B21D0000}"/>
    <cellStyle name="20% - Accent4 3 4 3 2 4" xfId="10082" xr:uid="{00000000-0005-0000-0000-0000B31D0000}"/>
    <cellStyle name="20% - Accent4 3 4 3 3" xfId="13857" xr:uid="{00000000-0005-0000-0000-0000B41D0000}"/>
    <cellStyle name="20% - Accent4 3 4 3 3 2" xfId="17293" xr:uid="{00000000-0005-0000-0000-0000B51D0000}"/>
    <cellStyle name="20% - Accent4 3 4 3 3 2 2" xfId="10332" xr:uid="{00000000-0005-0000-0000-0000B61D0000}"/>
    <cellStyle name="20% - Accent4 3 4 3 3 3" xfId="24853" xr:uid="{00000000-0005-0000-0000-0000B71D0000}"/>
    <cellStyle name="20% - Accent4 3 4 3 4" xfId="1201" xr:uid="{00000000-0005-0000-0000-0000B81D0000}"/>
    <cellStyle name="20% - Accent4 3 4 3 4 2" xfId="10334" xr:uid="{00000000-0005-0000-0000-0000B91D0000}"/>
    <cellStyle name="20% - Accent4 3 4 3 5" xfId="30608" xr:uid="{00000000-0005-0000-0000-0000BA1D0000}"/>
    <cellStyle name="20% - Accent4 3 4 4" xfId="20526" xr:uid="{00000000-0005-0000-0000-0000BB1D0000}"/>
    <cellStyle name="20% - Accent4 3 4 4 2" xfId="11416" xr:uid="{00000000-0005-0000-0000-0000BC1D0000}"/>
    <cellStyle name="20% - Accent4 3 4 4 2 2" xfId="17383" xr:uid="{00000000-0005-0000-0000-0000BD1D0000}"/>
    <cellStyle name="20% - Accent4 3 4 4 2 2 2" xfId="10938" xr:uid="{00000000-0005-0000-0000-0000BE1D0000}"/>
    <cellStyle name="20% - Accent4 3 4 4 2 3" xfId="10508" xr:uid="{00000000-0005-0000-0000-0000BF1D0000}"/>
    <cellStyle name="20% - Accent4 3 4 4 3" xfId="28314" xr:uid="{00000000-0005-0000-0000-0000C01D0000}"/>
    <cellStyle name="20% - Accent4 3 4 4 3 2" xfId="10346" xr:uid="{00000000-0005-0000-0000-0000C11D0000}"/>
    <cellStyle name="20% - Accent4 3 4 4 4" xfId="10348" xr:uid="{00000000-0005-0000-0000-0000C21D0000}"/>
    <cellStyle name="20% - Accent4 3 4 5" xfId="28318" xr:uid="{00000000-0005-0000-0000-0000C31D0000}"/>
    <cellStyle name="20% - Accent4 3 4 5 2" xfId="9824" xr:uid="{00000000-0005-0000-0000-0000C41D0000}"/>
    <cellStyle name="20% - Accent4 3 4 5 2 2" xfId="10353" xr:uid="{00000000-0005-0000-0000-0000C51D0000}"/>
    <cellStyle name="20% - Accent4 3 4 5 3" xfId="11232" xr:uid="{00000000-0005-0000-0000-0000C61D0000}"/>
    <cellStyle name="20% - Accent4 3 4 6" xfId="15364" xr:uid="{00000000-0005-0000-0000-0000C71D0000}"/>
    <cellStyle name="20% - Accent4 3 4 6 2" xfId="10357" xr:uid="{00000000-0005-0000-0000-0000C81D0000}"/>
    <cellStyle name="20% - Accent4 3 4 7" xfId="31435" xr:uid="{00000000-0005-0000-0000-0000C91D0000}"/>
    <cellStyle name="20% - Accent4 3 5" xfId="10362" xr:uid="{00000000-0005-0000-0000-0000CA1D0000}"/>
    <cellStyle name="20% - Accent4 3 5 2" xfId="21558" xr:uid="{00000000-0005-0000-0000-0000CB1D0000}"/>
    <cellStyle name="20% - Accent4 3 5 2 2" xfId="19873" xr:uid="{00000000-0005-0000-0000-0000CC1D0000}"/>
    <cellStyle name="20% - Accent4 3 5 2 2 2" xfId="7474" xr:uid="{00000000-0005-0000-0000-0000CD1D0000}"/>
    <cellStyle name="20% - Accent4 3 5 2 2 2 2" xfId="32222" xr:uid="{00000000-0005-0000-0000-0000CE1D0000}"/>
    <cellStyle name="20% - Accent4 3 5 2 2 2 2 2" xfId="23936" xr:uid="{00000000-0005-0000-0000-0000CF1D0000}"/>
    <cellStyle name="20% - Accent4 3 5 2 2 2 3" xfId="8590" xr:uid="{00000000-0005-0000-0000-0000D01D0000}"/>
    <cellStyle name="20% - Accent4 3 5 2 2 3" xfId="2786" xr:uid="{00000000-0005-0000-0000-0000D11D0000}"/>
    <cellStyle name="20% - Accent4 3 5 2 2 3 2" xfId="13233" xr:uid="{00000000-0005-0000-0000-0000D21D0000}"/>
    <cellStyle name="20% - Accent4 3 5 2 2 4" xfId="13243" xr:uid="{00000000-0005-0000-0000-0000D31D0000}"/>
    <cellStyle name="20% - Accent4 3 5 2 3" xfId="26278" xr:uid="{00000000-0005-0000-0000-0000D41D0000}"/>
    <cellStyle name="20% - Accent4 3 5 2 3 2" xfId="31918" xr:uid="{00000000-0005-0000-0000-0000D51D0000}"/>
    <cellStyle name="20% - Accent4 3 5 2 3 2 2" xfId="8601" xr:uid="{00000000-0005-0000-0000-0000D61D0000}"/>
    <cellStyle name="20% - Accent4 3 5 2 3 3" xfId="13258" xr:uid="{00000000-0005-0000-0000-0000D71D0000}"/>
    <cellStyle name="20% - Accent4 3 5 2 4" xfId="2981" xr:uid="{00000000-0005-0000-0000-0000D81D0000}"/>
    <cellStyle name="20% - Accent4 3 5 2 4 2" xfId="8605" xr:uid="{00000000-0005-0000-0000-0000D91D0000}"/>
    <cellStyle name="20% - Accent4 3 5 2 5" xfId="825" xr:uid="{00000000-0005-0000-0000-0000DA1D0000}"/>
    <cellStyle name="20% - Accent4 3 5 3" xfId="23630" xr:uid="{00000000-0005-0000-0000-0000DB1D0000}"/>
    <cellStyle name="20% - Accent4 3 5 3 2" xfId="19876" xr:uid="{00000000-0005-0000-0000-0000DC1D0000}"/>
    <cellStyle name="20% - Accent4 3 5 3 2 2" xfId="8608" xr:uid="{00000000-0005-0000-0000-0000DD1D0000}"/>
    <cellStyle name="20% - Accent4 3 5 3 2 2 2" xfId="8615" xr:uid="{00000000-0005-0000-0000-0000DE1D0000}"/>
    <cellStyle name="20% - Accent4 3 5 3 2 3" xfId="12883" xr:uid="{00000000-0005-0000-0000-0000DF1D0000}"/>
    <cellStyle name="20% - Accent4 3 5 3 3" xfId="12383" xr:uid="{00000000-0005-0000-0000-0000E01D0000}"/>
    <cellStyle name="20% - Accent4 3 5 3 3 2" xfId="8629" xr:uid="{00000000-0005-0000-0000-0000E11D0000}"/>
    <cellStyle name="20% - Accent4 3 5 3 4" xfId="20676" xr:uid="{00000000-0005-0000-0000-0000E21D0000}"/>
    <cellStyle name="20% - Accent4 3 5 4" xfId="28833" xr:uid="{00000000-0005-0000-0000-0000E31D0000}"/>
    <cellStyle name="20% - Accent4 3 5 4 2" xfId="16181" xr:uid="{00000000-0005-0000-0000-0000E41D0000}"/>
    <cellStyle name="20% - Accent4 3 5 4 2 2" xfId="5746" xr:uid="{00000000-0005-0000-0000-0000E51D0000}"/>
    <cellStyle name="20% - Accent4 3 5 4 3" xfId="13598" xr:uid="{00000000-0005-0000-0000-0000E61D0000}"/>
    <cellStyle name="20% - Accent4 3 5 5" xfId="28326" xr:uid="{00000000-0005-0000-0000-0000E71D0000}"/>
    <cellStyle name="20% - Accent4 3 5 5 2" xfId="13606" xr:uid="{00000000-0005-0000-0000-0000E81D0000}"/>
    <cellStyle name="20% - Accent4 3 5 6" xfId="27905" xr:uid="{00000000-0005-0000-0000-0000E91D0000}"/>
    <cellStyle name="20% - Accent4 3 6" xfId="10375" xr:uid="{00000000-0005-0000-0000-0000EA1D0000}"/>
    <cellStyle name="20% - Accent4 3 6 2" xfId="23357" xr:uid="{00000000-0005-0000-0000-0000EB1D0000}"/>
    <cellStyle name="20% - Accent4 3 6 2 2" xfId="21786" xr:uid="{00000000-0005-0000-0000-0000EC1D0000}"/>
    <cellStyle name="20% - Accent4 3 6 2 2 2" xfId="31962" xr:uid="{00000000-0005-0000-0000-0000ED1D0000}"/>
    <cellStyle name="20% - Accent4 3 6 2 2 2 2" xfId="8685" xr:uid="{00000000-0005-0000-0000-0000EE1D0000}"/>
    <cellStyle name="20% - Accent4 3 6 2 2 3" xfId="27318" xr:uid="{00000000-0005-0000-0000-0000EF1D0000}"/>
    <cellStyle name="20% - Accent4 3 6 2 3" xfId="3024" xr:uid="{00000000-0005-0000-0000-0000F01D0000}"/>
    <cellStyle name="20% - Accent4 3 6 2 3 2" xfId="8697" xr:uid="{00000000-0005-0000-0000-0000F11D0000}"/>
    <cellStyle name="20% - Accent4 3 6 2 4" xfId="6813" xr:uid="{00000000-0005-0000-0000-0000F21D0000}"/>
    <cellStyle name="20% - Accent4 3 6 3" xfId="4678" xr:uid="{00000000-0005-0000-0000-0000F31D0000}"/>
    <cellStyle name="20% - Accent4 3 6 3 2" xfId="13760" xr:uid="{00000000-0005-0000-0000-0000F41D0000}"/>
    <cellStyle name="20% - Accent4 3 6 3 2 2" xfId="6978" xr:uid="{00000000-0005-0000-0000-0000F51D0000}"/>
    <cellStyle name="20% - Accent4 3 6 3 3" xfId="11143" xr:uid="{00000000-0005-0000-0000-0000F61D0000}"/>
    <cellStyle name="20% - Accent4 3 6 4" xfId="4682" xr:uid="{00000000-0005-0000-0000-0000F71D0000}"/>
    <cellStyle name="20% - Accent4 3 6 4 2" xfId="24534" xr:uid="{00000000-0005-0000-0000-0000F81D0000}"/>
    <cellStyle name="20% - Accent4 3 6 5" xfId="4687" xr:uid="{00000000-0005-0000-0000-0000F91D0000}"/>
    <cellStyle name="20% - Accent4 3 7" xfId="10383" xr:uid="{00000000-0005-0000-0000-0000FA1D0000}"/>
    <cellStyle name="20% - Accent4 3 7 2" xfId="10982" xr:uid="{00000000-0005-0000-0000-0000FB1D0000}"/>
    <cellStyle name="20% - Accent4 3 7 2 2" xfId="33564" xr:uid="{00000000-0005-0000-0000-0000FC1D0000}"/>
    <cellStyle name="20% - Accent4 3 7 2 2 2" xfId="24394" xr:uid="{00000000-0005-0000-0000-0000FD1D0000}"/>
    <cellStyle name="20% - Accent4 3 7 2 3" xfId="30707" xr:uid="{00000000-0005-0000-0000-0000FE1D0000}"/>
    <cellStyle name="20% - Accent4 3 7 3" xfId="4696" xr:uid="{00000000-0005-0000-0000-0000FF1D0000}"/>
    <cellStyle name="20% - Accent4 3 7 3 2" xfId="6451" xr:uid="{00000000-0005-0000-0000-0000001E0000}"/>
    <cellStyle name="20% - Accent4 3 7 4" xfId="4704" xr:uid="{00000000-0005-0000-0000-0000011E0000}"/>
    <cellStyle name="20% - Accent4 3 8" xfId="10389" xr:uid="{00000000-0005-0000-0000-0000021E0000}"/>
    <cellStyle name="20% - Accent4 3 8 2" xfId="30734" xr:uid="{00000000-0005-0000-0000-0000031E0000}"/>
    <cellStyle name="20% - Accent4 3 8 2 2" xfId="30739" xr:uid="{00000000-0005-0000-0000-0000041E0000}"/>
    <cellStyle name="20% - Accent4 3 8 3" xfId="4714" xr:uid="{00000000-0005-0000-0000-0000051E0000}"/>
    <cellStyle name="20% - Accent4 3 9" xfId="6776" xr:uid="{00000000-0005-0000-0000-0000061E0000}"/>
    <cellStyle name="20% - Accent4 3 9 2" xfId="9012" xr:uid="{00000000-0005-0000-0000-0000071E0000}"/>
    <cellStyle name="20% - Accent4 4" xfId="13232" xr:uid="{00000000-0005-0000-0000-0000081E0000}"/>
    <cellStyle name="20% - Accent4 4 2" xfId="13234" xr:uid="{00000000-0005-0000-0000-0000091E0000}"/>
    <cellStyle name="20% - Accent4 4 2 2" xfId="10391" xr:uid="{00000000-0005-0000-0000-00000A1E0000}"/>
    <cellStyle name="20% - Accent4 4 2 2 2" xfId="10392" xr:uid="{00000000-0005-0000-0000-00000B1E0000}"/>
    <cellStyle name="20% - Accent4 4 2 2 2 2" xfId="10398" xr:uid="{00000000-0005-0000-0000-00000C1E0000}"/>
    <cellStyle name="20% - Accent4 4 2 2 2 2 2" xfId="8377" xr:uid="{00000000-0005-0000-0000-00000D1E0000}"/>
    <cellStyle name="20% - Accent4 4 2 2 2 2 2 2" xfId="10399" xr:uid="{00000000-0005-0000-0000-00000E1E0000}"/>
    <cellStyle name="20% - Accent4 4 2 2 2 2 2 2 2" xfId="31416" xr:uid="{00000000-0005-0000-0000-00000F1E0000}"/>
    <cellStyle name="20% - Accent4 4 2 2 2 2 2 2 2 2" xfId="9775" xr:uid="{00000000-0005-0000-0000-0000101E0000}"/>
    <cellStyle name="20% - Accent4 4 2 2 2 2 2 2 3" xfId="3791" xr:uid="{00000000-0005-0000-0000-0000111E0000}"/>
    <cellStyle name="20% - Accent4 4 2 2 2 2 2 3" xfId="10400" xr:uid="{00000000-0005-0000-0000-0000121E0000}"/>
    <cellStyle name="20% - Accent4 4 2 2 2 2 2 3 2" xfId="27626" xr:uid="{00000000-0005-0000-0000-0000131E0000}"/>
    <cellStyle name="20% - Accent4 4 2 2 2 2 2 4" xfId="10401" xr:uid="{00000000-0005-0000-0000-0000141E0000}"/>
    <cellStyle name="20% - Accent4 4 2 2 2 2 3" xfId="11200" xr:uid="{00000000-0005-0000-0000-0000151E0000}"/>
    <cellStyle name="20% - Accent4 4 2 2 2 2 3 2" xfId="10402" xr:uid="{00000000-0005-0000-0000-0000161E0000}"/>
    <cellStyle name="20% - Accent4 4 2 2 2 2 3 2 2" xfId="27631" xr:uid="{00000000-0005-0000-0000-0000171E0000}"/>
    <cellStyle name="20% - Accent4 4 2 2 2 2 3 3" xfId="10403" xr:uid="{00000000-0005-0000-0000-0000181E0000}"/>
    <cellStyle name="20% - Accent4 4 2 2 2 2 4" xfId="12137" xr:uid="{00000000-0005-0000-0000-0000191E0000}"/>
    <cellStyle name="20% - Accent4 4 2 2 2 2 4 2" xfId="10407" xr:uid="{00000000-0005-0000-0000-00001A1E0000}"/>
    <cellStyle name="20% - Accent4 4 2 2 2 2 5" xfId="11419" xr:uid="{00000000-0005-0000-0000-00001B1E0000}"/>
    <cellStyle name="20% - Accent4 4 2 2 2 3" xfId="33582" xr:uid="{00000000-0005-0000-0000-00001C1E0000}"/>
    <cellStyle name="20% - Accent4 4 2 2 2 3 2" xfId="25240" xr:uid="{00000000-0005-0000-0000-00001D1E0000}"/>
    <cellStyle name="20% - Accent4 4 2 2 2 3 2 2" xfId="23663" xr:uid="{00000000-0005-0000-0000-00001E1E0000}"/>
    <cellStyle name="20% - Accent4 4 2 2 2 3 2 2 2" xfId="16709" xr:uid="{00000000-0005-0000-0000-00001F1E0000}"/>
    <cellStyle name="20% - Accent4 4 2 2 2 3 2 3" xfId="13371" xr:uid="{00000000-0005-0000-0000-0000201E0000}"/>
    <cellStyle name="20% - Accent4 4 2 2 2 3 3" xfId="33431" xr:uid="{00000000-0005-0000-0000-0000211E0000}"/>
    <cellStyle name="20% - Accent4 4 2 2 2 3 3 2" xfId="6207" xr:uid="{00000000-0005-0000-0000-0000221E0000}"/>
    <cellStyle name="20% - Accent4 4 2 2 2 3 4" xfId="14010" xr:uid="{00000000-0005-0000-0000-0000231E0000}"/>
    <cellStyle name="20% - Accent4 4 2 2 2 4" xfId="10416" xr:uid="{00000000-0005-0000-0000-0000241E0000}"/>
    <cellStyle name="20% - Accent4 4 2 2 2 4 2" xfId="29480" xr:uid="{00000000-0005-0000-0000-0000251E0000}"/>
    <cellStyle name="20% - Accent4 4 2 2 2 4 2 2" xfId="28504" xr:uid="{00000000-0005-0000-0000-0000261E0000}"/>
    <cellStyle name="20% - Accent4 4 2 2 2 4 3" xfId="10260" xr:uid="{00000000-0005-0000-0000-0000271E0000}"/>
    <cellStyle name="20% - Accent4 4 2 2 2 5" xfId="10417" xr:uid="{00000000-0005-0000-0000-0000281E0000}"/>
    <cellStyle name="20% - Accent4 4 2 2 2 5 2" xfId="3175" xr:uid="{00000000-0005-0000-0000-0000291E0000}"/>
    <cellStyle name="20% - Accent4 4 2 2 2 6" xfId="7771" xr:uid="{00000000-0005-0000-0000-00002A1E0000}"/>
    <cellStyle name="20% - Accent4 4 2 2 3" xfId="6386" xr:uid="{00000000-0005-0000-0000-00002B1E0000}"/>
    <cellStyle name="20% - Accent4 4 2 2 3 2" xfId="7839" xr:uid="{00000000-0005-0000-0000-00002C1E0000}"/>
    <cellStyle name="20% - Accent4 4 2 2 3 2 2" xfId="10419" xr:uid="{00000000-0005-0000-0000-00002D1E0000}"/>
    <cellStyle name="20% - Accent4 4 2 2 3 2 2 2" xfId="12729" xr:uid="{00000000-0005-0000-0000-00002E1E0000}"/>
    <cellStyle name="20% - Accent4 4 2 2 3 2 2 2 2" xfId="25171" xr:uid="{00000000-0005-0000-0000-00002F1E0000}"/>
    <cellStyle name="20% - Accent4 4 2 2 3 2 2 3" xfId="12747" xr:uid="{00000000-0005-0000-0000-0000301E0000}"/>
    <cellStyle name="20% - Accent4 4 2 2 3 2 3" xfId="30461" xr:uid="{00000000-0005-0000-0000-0000311E0000}"/>
    <cellStyle name="20% - Accent4 4 2 2 3 2 3 2" xfId="12775" xr:uid="{00000000-0005-0000-0000-0000321E0000}"/>
    <cellStyle name="20% - Accent4 4 2 2 3 2 4" xfId="12144" xr:uid="{00000000-0005-0000-0000-0000331E0000}"/>
    <cellStyle name="20% - Accent4 4 2 2 3 3" xfId="8517" xr:uid="{00000000-0005-0000-0000-0000341E0000}"/>
    <cellStyle name="20% - Accent4 4 2 2 3 3 2" xfId="10423" xr:uid="{00000000-0005-0000-0000-0000351E0000}"/>
    <cellStyle name="20% - Accent4 4 2 2 3 3 2 2" xfId="31042" xr:uid="{00000000-0005-0000-0000-0000361E0000}"/>
    <cellStyle name="20% - Accent4 4 2 2 3 3 3" xfId="12776" xr:uid="{00000000-0005-0000-0000-0000371E0000}"/>
    <cellStyle name="20% - Accent4 4 2 2 3 4" xfId="10611" xr:uid="{00000000-0005-0000-0000-0000381E0000}"/>
    <cellStyle name="20% - Accent4 4 2 2 3 4 2" xfId="10426" xr:uid="{00000000-0005-0000-0000-0000391E0000}"/>
    <cellStyle name="20% - Accent4 4 2 2 3 5" xfId="10429" xr:uid="{00000000-0005-0000-0000-00003A1E0000}"/>
    <cellStyle name="20% - Accent4 4 2 2 4" xfId="1234" xr:uid="{00000000-0005-0000-0000-00003B1E0000}"/>
    <cellStyle name="20% - Accent4 4 2 2 4 2" xfId="17877" xr:uid="{00000000-0005-0000-0000-00003C1E0000}"/>
    <cellStyle name="20% - Accent4 4 2 2 4 2 2" xfId="19240" xr:uid="{00000000-0005-0000-0000-00003D1E0000}"/>
    <cellStyle name="20% - Accent4 4 2 2 4 2 2 2" xfId="18538" xr:uid="{00000000-0005-0000-0000-00003E1E0000}"/>
    <cellStyle name="20% - Accent4 4 2 2 4 2 3" xfId="19194" xr:uid="{00000000-0005-0000-0000-00003F1E0000}"/>
    <cellStyle name="20% - Accent4 4 2 2 4 3" xfId="19242" xr:uid="{00000000-0005-0000-0000-0000401E0000}"/>
    <cellStyle name="20% - Accent4 4 2 2 4 3 2" xfId="10438" xr:uid="{00000000-0005-0000-0000-0000411E0000}"/>
    <cellStyle name="20% - Accent4 4 2 2 4 4" xfId="10610" xr:uid="{00000000-0005-0000-0000-0000421E0000}"/>
    <cellStyle name="20% - Accent4 4 2 2 5" xfId="6588" xr:uid="{00000000-0005-0000-0000-0000431E0000}"/>
    <cellStyle name="20% - Accent4 4 2 2 5 2" xfId="19249" xr:uid="{00000000-0005-0000-0000-0000441E0000}"/>
    <cellStyle name="20% - Accent4 4 2 2 5 2 2" xfId="10440" xr:uid="{00000000-0005-0000-0000-0000451E0000}"/>
    <cellStyle name="20% - Accent4 4 2 2 5 3" xfId="32312" xr:uid="{00000000-0005-0000-0000-0000461E0000}"/>
    <cellStyle name="20% - Accent4 4 2 2 6" xfId="6599" xr:uid="{00000000-0005-0000-0000-0000471E0000}"/>
    <cellStyle name="20% - Accent4 4 2 2 6 2" xfId="33103" xr:uid="{00000000-0005-0000-0000-0000481E0000}"/>
    <cellStyle name="20% - Accent4 4 2 2 7" xfId="33604" xr:uid="{00000000-0005-0000-0000-0000491E0000}"/>
    <cellStyle name="20% - Accent4 4 2 3" xfId="10441" xr:uid="{00000000-0005-0000-0000-00004A1E0000}"/>
    <cellStyle name="20% - Accent4 4 2 3 2" xfId="10444" xr:uid="{00000000-0005-0000-0000-00004B1E0000}"/>
    <cellStyle name="20% - Accent4 4 2 3 2 2" xfId="11098" xr:uid="{00000000-0005-0000-0000-00004C1E0000}"/>
    <cellStyle name="20% - Accent4 4 2 3 2 2 2" xfId="10445" xr:uid="{00000000-0005-0000-0000-00004D1E0000}"/>
    <cellStyle name="20% - Accent4 4 2 3 2 2 2 2" xfId="17360" xr:uid="{00000000-0005-0000-0000-00004E1E0000}"/>
    <cellStyle name="20% - Accent4 4 2 3 2 2 2 2 2" xfId="6658" xr:uid="{00000000-0005-0000-0000-00004F1E0000}"/>
    <cellStyle name="20% - Accent4 4 2 3 2 2 2 3" xfId="17366" xr:uid="{00000000-0005-0000-0000-0000501E0000}"/>
    <cellStyle name="20% - Accent4 4 2 3 2 2 3" xfId="3917" xr:uid="{00000000-0005-0000-0000-0000511E0000}"/>
    <cellStyle name="20% - Accent4 4 2 3 2 2 3 2" xfId="17386" xr:uid="{00000000-0005-0000-0000-0000521E0000}"/>
    <cellStyle name="20% - Accent4 4 2 3 2 2 4" xfId="17213" xr:uid="{00000000-0005-0000-0000-0000531E0000}"/>
    <cellStyle name="20% - Accent4 4 2 3 2 3" xfId="12858" xr:uid="{00000000-0005-0000-0000-0000541E0000}"/>
    <cellStyle name="20% - Accent4 4 2 3 2 3 2" xfId="10813" xr:uid="{00000000-0005-0000-0000-0000551E0000}"/>
    <cellStyle name="20% - Accent4 4 2 3 2 3 2 2" xfId="22988" xr:uid="{00000000-0005-0000-0000-0000561E0000}"/>
    <cellStyle name="20% - Accent4 4 2 3 2 3 3" xfId="14147" xr:uid="{00000000-0005-0000-0000-0000571E0000}"/>
    <cellStyle name="20% - Accent4 4 2 3 2 4" xfId="10449" xr:uid="{00000000-0005-0000-0000-0000581E0000}"/>
    <cellStyle name="20% - Accent4 4 2 3 2 4 2" xfId="10456" xr:uid="{00000000-0005-0000-0000-0000591E0000}"/>
    <cellStyle name="20% - Accent4 4 2 3 2 5" xfId="10463" xr:uid="{00000000-0005-0000-0000-00005A1E0000}"/>
    <cellStyle name="20% - Accent4 4 2 3 3" xfId="885" xr:uid="{00000000-0005-0000-0000-00005B1E0000}"/>
    <cellStyle name="20% - Accent4 4 2 3 3 2" xfId="27663" xr:uid="{00000000-0005-0000-0000-00005C1E0000}"/>
    <cellStyle name="20% - Accent4 4 2 3 3 2 2" xfId="10466" xr:uid="{00000000-0005-0000-0000-00005D1E0000}"/>
    <cellStyle name="20% - Accent4 4 2 3 3 2 2 2" xfId="22141" xr:uid="{00000000-0005-0000-0000-00005E1E0000}"/>
    <cellStyle name="20% - Accent4 4 2 3 3 2 3" xfId="28002" xr:uid="{00000000-0005-0000-0000-00005F1E0000}"/>
    <cellStyle name="20% - Accent4 4 2 3 3 3" xfId="22251" xr:uid="{00000000-0005-0000-0000-0000601E0000}"/>
    <cellStyle name="20% - Accent4 4 2 3 3 3 2" xfId="10469" xr:uid="{00000000-0005-0000-0000-0000611E0000}"/>
    <cellStyle name="20% - Accent4 4 2 3 3 4" xfId="31842" xr:uid="{00000000-0005-0000-0000-0000621E0000}"/>
    <cellStyle name="20% - Accent4 4 2 3 4" xfId="928" xr:uid="{00000000-0005-0000-0000-0000631E0000}"/>
    <cellStyle name="20% - Accent4 4 2 3 4 2" xfId="16033" xr:uid="{00000000-0005-0000-0000-0000641E0000}"/>
    <cellStyle name="20% - Accent4 4 2 3 4 2 2" xfId="5974" xr:uid="{00000000-0005-0000-0000-0000651E0000}"/>
    <cellStyle name="20% - Accent4 4 2 3 4 3" xfId="10480" xr:uid="{00000000-0005-0000-0000-0000661E0000}"/>
    <cellStyle name="20% - Accent4 4 2 3 5" xfId="6611" xr:uid="{00000000-0005-0000-0000-0000671E0000}"/>
    <cellStyle name="20% - Accent4 4 2 3 5 2" xfId="25054" xr:uid="{00000000-0005-0000-0000-0000681E0000}"/>
    <cellStyle name="20% - Accent4 4 2 3 6" xfId="14631" xr:uid="{00000000-0005-0000-0000-0000691E0000}"/>
    <cellStyle name="20% - Accent4 4 2 4" xfId="13182" xr:uid="{00000000-0005-0000-0000-00006A1E0000}"/>
    <cellStyle name="20% - Accent4 4 2 4 2" xfId="1457" xr:uid="{00000000-0005-0000-0000-00006B1E0000}"/>
    <cellStyle name="20% - Accent4 4 2 4 2 2" xfId="10308" xr:uid="{00000000-0005-0000-0000-00006C1E0000}"/>
    <cellStyle name="20% - Accent4 4 2 4 2 2 2" xfId="21910" xr:uid="{00000000-0005-0000-0000-00006D1E0000}"/>
    <cellStyle name="20% - Accent4 4 2 4 2 2 2 2" xfId="17564" xr:uid="{00000000-0005-0000-0000-00006E1E0000}"/>
    <cellStyle name="20% - Accent4 4 2 4 2 2 3" xfId="5530" xr:uid="{00000000-0005-0000-0000-00006F1E0000}"/>
    <cellStyle name="20% - Accent4 4 2 4 2 3" xfId="15930" xr:uid="{00000000-0005-0000-0000-0000701E0000}"/>
    <cellStyle name="20% - Accent4 4 2 4 2 3 2" xfId="12591" xr:uid="{00000000-0005-0000-0000-0000711E0000}"/>
    <cellStyle name="20% - Accent4 4 2 4 2 4" xfId="8641" xr:uid="{00000000-0005-0000-0000-0000721E0000}"/>
    <cellStyle name="20% - Accent4 4 2 4 3" xfId="1462" xr:uid="{00000000-0005-0000-0000-0000731E0000}"/>
    <cellStyle name="20% - Accent4 4 2 4 3 2" xfId="9595" xr:uid="{00000000-0005-0000-0000-0000741E0000}"/>
    <cellStyle name="20% - Accent4 4 2 4 3 2 2" xfId="8644" xr:uid="{00000000-0005-0000-0000-0000751E0000}"/>
    <cellStyle name="20% - Accent4 4 2 4 3 3" xfId="8648" xr:uid="{00000000-0005-0000-0000-0000761E0000}"/>
    <cellStyle name="20% - Accent4 4 2 4 4" xfId="1306" xr:uid="{00000000-0005-0000-0000-0000771E0000}"/>
    <cellStyle name="20% - Accent4 4 2 4 4 2" xfId="6775" xr:uid="{00000000-0005-0000-0000-0000781E0000}"/>
    <cellStyle name="20% - Accent4 4 2 4 5" xfId="33009" xr:uid="{00000000-0005-0000-0000-0000791E0000}"/>
    <cellStyle name="20% - Accent4 4 2 5" xfId="10486" xr:uid="{00000000-0005-0000-0000-00007A1E0000}"/>
    <cellStyle name="20% - Accent4 4 2 5 2" xfId="10118" xr:uid="{00000000-0005-0000-0000-00007B1E0000}"/>
    <cellStyle name="20% - Accent4 4 2 5 2 2" xfId="66" xr:uid="{00000000-0005-0000-0000-00007C1E0000}"/>
    <cellStyle name="20% - Accent4 4 2 5 2 2 2" xfId="3646" xr:uid="{00000000-0005-0000-0000-00007D1E0000}"/>
    <cellStyle name="20% - Accent4 4 2 5 2 3" xfId="32623" xr:uid="{00000000-0005-0000-0000-00007E1E0000}"/>
    <cellStyle name="20% - Accent4 4 2 5 3" xfId="9619" xr:uid="{00000000-0005-0000-0000-00007F1E0000}"/>
    <cellStyle name="20% - Accent4 4 2 5 3 2" xfId="32636" xr:uid="{00000000-0005-0000-0000-0000801E0000}"/>
    <cellStyle name="20% - Accent4 4 2 5 4" xfId="10231" xr:uid="{00000000-0005-0000-0000-0000811E0000}"/>
    <cellStyle name="20% - Accent4 4 2 6" xfId="3934" xr:uid="{00000000-0005-0000-0000-0000821E0000}"/>
    <cellStyle name="20% - Accent4 4 2 6 2" xfId="11552" xr:uid="{00000000-0005-0000-0000-0000831E0000}"/>
    <cellStyle name="20% - Accent4 4 2 6 2 2" xfId="7666" xr:uid="{00000000-0005-0000-0000-0000841E0000}"/>
    <cellStyle name="20% - Accent4 4 2 6 3" xfId="23642" xr:uid="{00000000-0005-0000-0000-0000851E0000}"/>
    <cellStyle name="20% - Accent4 4 2 7" xfId="24639" xr:uid="{00000000-0005-0000-0000-0000861E0000}"/>
    <cellStyle name="20% - Accent4 4 2 7 2" xfId="7702" xr:uid="{00000000-0005-0000-0000-0000871E0000}"/>
    <cellStyle name="20% - Accent4 4 2 8" xfId="24649" xr:uid="{00000000-0005-0000-0000-0000881E0000}"/>
    <cellStyle name="20% - Accent4 4 3" xfId="10490" xr:uid="{00000000-0005-0000-0000-0000891E0000}"/>
    <cellStyle name="20% - Accent4 4 3 2" xfId="4539" xr:uid="{00000000-0005-0000-0000-00008A1E0000}"/>
    <cellStyle name="20% - Accent4 4 3 2 2" xfId="79" xr:uid="{00000000-0005-0000-0000-00008B1E0000}"/>
    <cellStyle name="20% - Accent4 4 3 2 2 2" xfId="10493" xr:uid="{00000000-0005-0000-0000-00008C1E0000}"/>
    <cellStyle name="20% - Accent4 4 3 2 2 2 2" xfId="10497" xr:uid="{00000000-0005-0000-0000-00008D1E0000}"/>
    <cellStyle name="20% - Accent4 4 3 2 2 2 2 2" xfId="10498" xr:uid="{00000000-0005-0000-0000-00008E1E0000}"/>
    <cellStyle name="20% - Accent4 4 3 2 2 2 2 2 2" xfId="28131" xr:uid="{00000000-0005-0000-0000-00008F1E0000}"/>
    <cellStyle name="20% - Accent4 4 3 2 2 2 2 3" xfId="16410" xr:uid="{00000000-0005-0000-0000-0000901E0000}"/>
    <cellStyle name="20% - Accent4 4 3 2 2 2 3" xfId="11931" xr:uid="{00000000-0005-0000-0000-0000911E0000}"/>
    <cellStyle name="20% - Accent4 4 3 2 2 2 3 2" xfId="12349" xr:uid="{00000000-0005-0000-0000-0000921E0000}"/>
    <cellStyle name="20% - Accent4 4 3 2 2 2 4" xfId="10448" xr:uid="{00000000-0005-0000-0000-0000931E0000}"/>
    <cellStyle name="20% - Accent4 4 3 2 2 3" xfId="10503" xr:uid="{00000000-0005-0000-0000-0000941E0000}"/>
    <cellStyle name="20% - Accent4 4 3 2 2 3 2" xfId="5199" xr:uid="{00000000-0005-0000-0000-0000951E0000}"/>
    <cellStyle name="20% - Accent4 4 3 2 2 3 2 2" xfId="32365" xr:uid="{00000000-0005-0000-0000-0000961E0000}"/>
    <cellStyle name="20% - Accent4 4 3 2 2 3 3" xfId="8853" xr:uid="{00000000-0005-0000-0000-0000971E0000}"/>
    <cellStyle name="20% - Accent4 4 3 2 2 4" xfId="9062" xr:uid="{00000000-0005-0000-0000-0000981E0000}"/>
    <cellStyle name="20% - Accent4 4 3 2 2 4 2" xfId="10506" xr:uid="{00000000-0005-0000-0000-0000991E0000}"/>
    <cellStyle name="20% - Accent4 4 3 2 2 5" xfId="4787" xr:uid="{00000000-0005-0000-0000-00009A1E0000}"/>
    <cellStyle name="20% - Accent4 4 3 2 3" xfId="1913" xr:uid="{00000000-0005-0000-0000-00009B1E0000}"/>
    <cellStyle name="20% - Accent4 4 3 2 3 2" xfId="8526" xr:uid="{00000000-0005-0000-0000-00009C1E0000}"/>
    <cellStyle name="20% - Accent4 4 3 2 3 2 2" xfId="10510" xr:uid="{00000000-0005-0000-0000-00009D1E0000}"/>
    <cellStyle name="20% - Accent4 4 3 2 3 2 2 2" xfId="14405" xr:uid="{00000000-0005-0000-0000-00009E1E0000}"/>
    <cellStyle name="20% - Accent4 4 3 2 3 2 3" xfId="19621" xr:uid="{00000000-0005-0000-0000-00009F1E0000}"/>
    <cellStyle name="20% - Accent4 4 3 2 3 3" xfId="11174" xr:uid="{00000000-0005-0000-0000-0000A01E0000}"/>
    <cellStyle name="20% - Accent4 4 3 2 3 3 2" xfId="10511" xr:uid="{00000000-0005-0000-0000-0000A11E0000}"/>
    <cellStyle name="20% - Accent4 4 3 2 3 4" xfId="10512" xr:uid="{00000000-0005-0000-0000-0000A21E0000}"/>
    <cellStyle name="20% - Accent4 4 3 2 4" xfId="1956" xr:uid="{00000000-0005-0000-0000-0000A31E0000}"/>
    <cellStyle name="20% - Accent4 4 3 2 4 2" xfId="19285" xr:uid="{00000000-0005-0000-0000-0000A41E0000}"/>
    <cellStyle name="20% - Accent4 4 3 2 4 2 2" xfId="10513" xr:uid="{00000000-0005-0000-0000-0000A51E0000}"/>
    <cellStyle name="20% - Accent4 4 3 2 4 3" xfId="10515" xr:uid="{00000000-0005-0000-0000-0000A61E0000}"/>
    <cellStyle name="20% - Accent4 4 3 2 5" xfId="6650" xr:uid="{00000000-0005-0000-0000-0000A71E0000}"/>
    <cellStyle name="20% - Accent4 4 3 2 5 2" xfId="14676" xr:uid="{00000000-0005-0000-0000-0000A81E0000}"/>
    <cellStyle name="20% - Accent4 4 3 2 6" xfId="15576" xr:uid="{00000000-0005-0000-0000-0000A91E0000}"/>
    <cellStyle name="20% - Accent4 4 3 3" xfId="13184" xr:uid="{00000000-0005-0000-0000-0000AA1E0000}"/>
    <cellStyle name="20% - Accent4 4 3 3 2" xfId="10516" xr:uid="{00000000-0005-0000-0000-0000AB1E0000}"/>
    <cellStyle name="20% - Accent4 4 3 3 2 2" xfId="18772" xr:uid="{00000000-0005-0000-0000-0000AC1E0000}"/>
    <cellStyle name="20% - Accent4 4 3 3 2 2 2" xfId="10517" xr:uid="{00000000-0005-0000-0000-0000AD1E0000}"/>
    <cellStyle name="20% - Accent4 4 3 3 2 2 2 2" xfId="17871" xr:uid="{00000000-0005-0000-0000-0000AE1E0000}"/>
    <cellStyle name="20% - Accent4 4 3 3 2 2 3" xfId="7190" xr:uid="{00000000-0005-0000-0000-0000AF1E0000}"/>
    <cellStyle name="20% - Accent4 4 3 3 2 3" xfId="18776" xr:uid="{00000000-0005-0000-0000-0000B01E0000}"/>
    <cellStyle name="20% - Accent4 4 3 3 2 3 2" xfId="10526" xr:uid="{00000000-0005-0000-0000-0000B11E0000}"/>
    <cellStyle name="20% - Accent4 4 3 3 2 4" xfId="10530" xr:uid="{00000000-0005-0000-0000-0000B21E0000}"/>
    <cellStyle name="20% - Accent4 4 3 3 3" xfId="1444" xr:uid="{00000000-0005-0000-0000-0000B31E0000}"/>
    <cellStyle name="20% - Accent4 4 3 3 3 2" xfId="18786" xr:uid="{00000000-0005-0000-0000-0000B41E0000}"/>
    <cellStyle name="20% - Accent4 4 3 3 3 2 2" xfId="10531" xr:uid="{00000000-0005-0000-0000-0000B51E0000}"/>
    <cellStyle name="20% - Accent4 4 3 3 3 3" xfId="10532" xr:uid="{00000000-0005-0000-0000-0000B61E0000}"/>
    <cellStyle name="20% - Accent4 4 3 3 4" xfId="1711" xr:uid="{00000000-0005-0000-0000-0000B71E0000}"/>
    <cellStyle name="20% - Accent4 4 3 3 4 2" xfId="10533" xr:uid="{00000000-0005-0000-0000-0000B81E0000}"/>
    <cellStyle name="20% - Accent4 4 3 3 5" xfId="31077" xr:uid="{00000000-0005-0000-0000-0000B91E0000}"/>
    <cellStyle name="20% - Accent4 4 3 4" xfId="10536" xr:uid="{00000000-0005-0000-0000-0000BA1E0000}"/>
    <cellStyle name="20% - Accent4 4 3 4 2" xfId="1501" xr:uid="{00000000-0005-0000-0000-0000BB1E0000}"/>
    <cellStyle name="20% - Accent4 4 3 4 2 2" xfId="18804" xr:uid="{00000000-0005-0000-0000-0000BC1E0000}"/>
    <cellStyle name="20% - Accent4 4 3 4 2 2 2" xfId="8851" xr:uid="{00000000-0005-0000-0000-0000BD1E0000}"/>
    <cellStyle name="20% - Accent4 4 3 4 2 3" xfId="5773" xr:uid="{00000000-0005-0000-0000-0000BE1E0000}"/>
    <cellStyle name="20% - Accent4 4 3 4 3" xfId="1728" xr:uid="{00000000-0005-0000-0000-0000BF1E0000}"/>
    <cellStyle name="20% - Accent4 4 3 4 3 2" xfId="8856" xr:uid="{00000000-0005-0000-0000-0000C01E0000}"/>
    <cellStyle name="20% - Accent4 4 3 4 4" xfId="8857" xr:uid="{00000000-0005-0000-0000-0000C11E0000}"/>
    <cellStyle name="20% - Accent4 4 3 5" xfId="10541" xr:uid="{00000000-0005-0000-0000-0000C21E0000}"/>
    <cellStyle name="20% - Accent4 4 3 5 2" xfId="1944" xr:uid="{00000000-0005-0000-0000-0000C31E0000}"/>
    <cellStyle name="20% - Accent4 4 3 5 2 2" xfId="33729" xr:uid="{00000000-0005-0000-0000-0000C41E0000}"/>
    <cellStyle name="20% - Accent4 4 3 5 3" xfId="1085" xr:uid="{00000000-0005-0000-0000-0000C51E0000}"/>
    <cellStyle name="20% - Accent4 4 3 6" xfId="11568" xr:uid="{00000000-0005-0000-0000-0000C61E0000}"/>
    <cellStyle name="20% - Accent4 4 3 6 2" xfId="1174" xr:uid="{00000000-0005-0000-0000-0000C71E0000}"/>
    <cellStyle name="20% - Accent4 4 3 7" xfId="24654" xr:uid="{00000000-0005-0000-0000-0000C81E0000}"/>
    <cellStyle name="20% - Accent4 4 4" xfId="10557" xr:uid="{00000000-0005-0000-0000-0000C91E0000}"/>
    <cellStyle name="20% - Accent4 4 4 2" xfId="25998" xr:uid="{00000000-0005-0000-0000-0000CA1E0000}"/>
    <cellStyle name="20% - Accent4 4 4 2 2" xfId="10558" xr:uid="{00000000-0005-0000-0000-0000CB1E0000}"/>
    <cellStyle name="20% - Accent4 4 4 2 2 2" xfId="10559" xr:uid="{00000000-0005-0000-0000-0000CC1E0000}"/>
    <cellStyle name="20% - Accent4 4 4 2 2 2 2" xfId="10537" xr:uid="{00000000-0005-0000-0000-0000CD1E0000}"/>
    <cellStyle name="20% - Accent4 4 4 2 2 2 2 2" xfId="10565" xr:uid="{00000000-0005-0000-0000-0000CE1E0000}"/>
    <cellStyle name="20% - Accent4 4 4 2 2 2 3" xfId="10545" xr:uid="{00000000-0005-0000-0000-0000CF1E0000}"/>
    <cellStyle name="20% - Accent4 4 4 2 2 3" xfId="26106" xr:uid="{00000000-0005-0000-0000-0000D01E0000}"/>
    <cellStyle name="20% - Accent4 4 4 2 2 3 2" xfId="10569" xr:uid="{00000000-0005-0000-0000-0000D11E0000}"/>
    <cellStyle name="20% - Accent4 4 4 2 2 4" xfId="9205" xr:uid="{00000000-0005-0000-0000-0000D21E0000}"/>
    <cellStyle name="20% - Accent4 4 4 2 3" xfId="18862" xr:uid="{00000000-0005-0000-0000-0000D31E0000}"/>
    <cellStyle name="20% - Accent4 4 4 2 3 2" xfId="11181" xr:uid="{00000000-0005-0000-0000-0000D41E0000}"/>
    <cellStyle name="20% - Accent4 4 4 2 3 2 2" xfId="10570" xr:uid="{00000000-0005-0000-0000-0000D51E0000}"/>
    <cellStyle name="20% - Accent4 4 4 2 3 3" xfId="10573" xr:uid="{00000000-0005-0000-0000-0000D61E0000}"/>
    <cellStyle name="20% - Accent4 4 4 2 4" xfId="1845" xr:uid="{00000000-0005-0000-0000-0000D71E0000}"/>
    <cellStyle name="20% - Accent4 4 4 2 4 2" xfId="10575" xr:uid="{00000000-0005-0000-0000-0000D81E0000}"/>
    <cellStyle name="20% - Accent4 4 4 2 5" xfId="15610" xr:uid="{00000000-0005-0000-0000-0000D91E0000}"/>
    <cellStyle name="20% - Accent4 4 4 3" xfId="29801" xr:uid="{00000000-0005-0000-0000-0000DA1E0000}"/>
    <cellStyle name="20% - Accent4 4 4 3 2" xfId="10576" xr:uid="{00000000-0005-0000-0000-0000DB1E0000}"/>
    <cellStyle name="20% - Accent4 4 4 3 2 2" xfId="24725" xr:uid="{00000000-0005-0000-0000-0000DC1E0000}"/>
    <cellStyle name="20% - Accent4 4 4 3 2 2 2" xfId="10579" xr:uid="{00000000-0005-0000-0000-0000DD1E0000}"/>
    <cellStyle name="20% - Accent4 4 4 3 2 3" xfId="24876" xr:uid="{00000000-0005-0000-0000-0000DE1E0000}"/>
    <cellStyle name="20% - Accent4 4 4 3 3" xfId="3113" xr:uid="{00000000-0005-0000-0000-0000DF1E0000}"/>
    <cellStyle name="20% - Accent4 4 4 3 3 2" xfId="10587" xr:uid="{00000000-0005-0000-0000-0000E01E0000}"/>
    <cellStyle name="20% - Accent4 4 4 3 4" xfId="10588" xr:uid="{00000000-0005-0000-0000-0000E11E0000}"/>
    <cellStyle name="20% - Accent4 4 4 4" xfId="29486" xr:uid="{00000000-0005-0000-0000-0000E21E0000}"/>
    <cellStyle name="20% - Accent4 4 4 4 2" xfId="3365" xr:uid="{00000000-0005-0000-0000-0000E31E0000}"/>
    <cellStyle name="20% - Accent4 4 4 4 2 2" xfId="1095" xr:uid="{00000000-0005-0000-0000-0000E41E0000}"/>
    <cellStyle name="20% - Accent4 4 4 4 3" xfId="1613" xr:uid="{00000000-0005-0000-0000-0000E51E0000}"/>
    <cellStyle name="20% - Accent4 4 4 5" xfId="10594" xr:uid="{00000000-0005-0000-0000-0000E61E0000}"/>
    <cellStyle name="20% - Accent4 4 4 5 2" xfId="1288" xr:uid="{00000000-0005-0000-0000-0000E71E0000}"/>
    <cellStyle name="20% - Accent4 4 4 6" xfId="17210" xr:uid="{00000000-0005-0000-0000-0000E81E0000}"/>
    <cellStyle name="20% - Accent4 4 5" xfId="24088" xr:uid="{00000000-0005-0000-0000-0000E91E0000}"/>
    <cellStyle name="20% - Accent4 4 5 2" xfId="23359" xr:uid="{00000000-0005-0000-0000-0000EA1E0000}"/>
    <cellStyle name="20% - Accent4 4 5 2 2" xfId="13075" xr:uid="{00000000-0005-0000-0000-0000EB1E0000}"/>
    <cellStyle name="20% - Accent4 4 5 2 2 2" xfId="8817" xr:uid="{00000000-0005-0000-0000-0000EC1E0000}"/>
    <cellStyle name="20% - Accent4 4 5 2 2 2 2" xfId="28955" xr:uid="{00000000-0005-0000-0000-0000ED1E0000}"/>
    <cellStyle name="20% - Accent4 4 5 2 2 3" xfId="31833" xr:uid="{00000000-0005-0000-0000-0000EE1E0000}"/>
    <cellStyle name="20% - Accent4 4 5 2 3" xfId="3173" xr:uid="{00000000-0005-0000-0000-0000EF1E0000}"/>
    <cellStyle name="20% - Accent4 4 5 2 3 2" xfId="8829" xr:uid="{00000000-0005-0000-0000-0000F01E0000}"/>
    <cellStyle name="20% - Accent4 4 5 2 4" xfId="10596" xr:uid="{00000000-0005-0000-0000-0000F11E0000}"/>
    <cellStyle name="20% - Accent4 4 5 3" xfId="10597" xr:uid="{00000000-0005-0000-0000-0000F21E0000}"/>
    <cellStyle name="20% - Accent4 4 5 3 2" xfId="10599" xr:uid="{00000000-0005-0000-0000-0000F31E0000}"/>
    <cellStyle name="20% - Accent4 4 5 3 2 2" xfId="8842" xr:uid="{00000000-0005-0000-0000-0000F41E0000}"/>
    <cellStyle name="20% - Accent4 4 5 3 3" xfId="14547" xr:uid="{00000000-0005-0000-0000-0000F51E0000}"/>
    <cellStyle name="20% - Accent4 4 5 4" xfId="33719" xr:uid="{00000000-0005-0000-0000-0000F61E0000}"/>
    <cellStyle name="20% - Accent4 4 5 4 2" xfId="27681" xr:uid="{00000000-0005-0000-0000-0000F71E0000}"/>
    <cellStyle name="20% - Accent4 4 5 5" xfId="10603" xr:uid="{00000000-0005-0000-0000-0000F81E0000}"/>
    <cellStyle name="20% - Accent4 4 6" xfId="10606" xr:uid="{00000000-0005-0000-0000-0000F91E0000}"/>
    <cellStyle name="20% - Accent4 4 6 2" xfId="10607" xr:uid="{00000000-0005-0000-0000-0000FA1E0000}"/>
    <cellStyle name="20% - Accent4 4 6 2 2" xfId="10609" xr:uid="{00000000-0005-0000-0000-0000FB1E0000}"/>
    <cellStyle name="20% - Accent4 4 6 2 2 2" xfId="8893" xr:uid="{00000000-0005-0000-0000-0000FC1E0000}"/>
    <cellStyle name="20% - Accent4 4 6 2 3" xfId="11812" xr:uid="{00000000-0005-0000-0000-0000FD1E0000}"/>
    <cellStyle name="20% - Accent4 4 6 3" xfId="4722" xr:uid="{00000000-0005-0000-0000-0000FE1E0000}"/>
    <cellStyle name="20% - Accent4 4 6 3 2" xfId="27606" xr:uid="{00000000-0005-0000-0000-0000FF1E0000}"/>
    <cellStyle name="20% - Accent4 4 6 4" xfId="4727" xr:uid="{00000000-0005-0000-0000-0000001F0000}"/>
    <cellStyle name="20% - Accent4 4 7" xfId="10614" xr:uid="{00000000-0005-0000-0000-0000011F0000}"/>
    <cellStyle name="20% - Accent4 4 7 2" xfId="11403" xr:uid="{00000000-0005-0000-0000-0000021F0000}"/>
    <cellStyle name="20% - Accent4 4 7 2 2" xfId="26544" xr:uid="{00000000-0005-0000-0000-0000031F0000}"/>
    <cellStyle name="20% - Accent4 4 7 3" xfId="4736" xr:uid="{00000000-0005-0000-0000-0000041F0000}"/>
    <cellStyle name="20% - Accent4 4 8" xfId="10618" xr:uid="{00000000-0005-0000-0000-0000051F0000}"/>
    <cellStyle name="20% - Accent4 4 8 2" xfId="2808" xr:uid="{00000000-0005-0000-0000-0000061F0000}"/>
    <cellStyle name="20% - Accent4 4 9" xfId="2609" xr:uid="{00000000-0005-0000-0000-0000071F0000}"/>
    <cellStyle name="20% - Accent4 5" xfId="13242" xr:uid="{00000000-0005-0000-0000-0000081F0000}"/>
    <cellStyle name="20% - Accent4 5 2" xfId="13248" xr:uid="{00000000-0005-0000-0000-0000091F0000}"/>
    <cellStyle name="20% - Accent4 5 2 2" xfId="9672" xr:uid="{00000000-0005-0000-0000-00000A1F0000}"/>
    <cellStyle name="20% - Accent4 5 2 2 2" xfId="10623" xr:uid="{00000000-0005-0000-0000-00000B1F0000}"/>
    <cellStyle name="20% - Accent4 5 2 2 2 2" xfId="7446" xr:uid="{00000000-0005-0000-0000-00000C1F0000}"/>
    <cellStyle name="20% - Accent4 5 2 2 2 2 2" xfId="26165" xr:uid="{00000000-0005-0000-0000-00000D1F0000}"/>
    <cellStyle name="20% - Accent4 5 2 2 2 2 2 2" xfId="16848" xr:uid="{00000000-0005-0000-0000-00000E1F0000}"/>
    <cellStyle name="20% - Accent4 5 2 2 2 2 2 2 2" xfId="10625" xr:uid="{00000000-0005-0000-0000-00000F1F0000}"/>
    <cellStyle name="20% - Accent4 5 2 2 2 2 2 3" xfId="10628" xr:uid="{00000000-0005-0000-0000-0000101F0000}"/>
    <cellStyle name="20% - Accent4 5 2 2 2 2 3" xfId="28615" xr:uid="{00000000-0005-0000-0000-0000111F0000}"/>
    <cellStyle name="20% - Accent4 5 2 2 2 2 3 2" xfId="14594" xr:uid="{00000000-0005-0000-0000-0000121F0000}"/>
    <cellStyle name="20% - Accent4 5 2 2 2 2 4" xfId="30594" xr:uid="{00000000-0005-0000-0000-0000131F0000}"/>
    <cellStyle name="20% - Accent4 5 2 2 2 3" xfId="13500" xr:uid="{00000000-0005-0000-0000-0000141F0000}"/>
    <cellStyle name="20% - Accent4 5 2 2 2 3 2" xfId="7461" xr:uid="{00000000-0005-0000-0000-0000151F0000}"/>
    <cellStyle name="20% - Accent4 5 2 2 2 3 2 2" xfId="25310" xr:uid="{00000000-0005-0000-0000-0000161F0000}"/>
    <cellStyle name="20% - Accent4 5 2 2 2 3 3" xfId="7463" xr:uid="{00000000-0005-0000-0000-0000171F0000}"/>
    <cellStyle name="20% - Accent4 5 2 2 2 4" xfId="26844" xr:uid="{00000000-0005-0000-0000-0000181F0000}"/>
    <cellStyle name="20% - Accent4 5 2 2 2 4 2" xfId="7478" xr:uid="{00000000-0005-0000-0000-0000191F0000}"/>
    <cellStyle name="20% - Accent4 5 2 2 2 5" xfId="26847" xr:uid="{00000000-0005-0000-0000-00001A1F0000}"/>
    <cellStyle name="20% - Accent4 5 2 2 3" xfId="29742" xr:uid="{00000000-0005-0000-0000-00001B1F0000}"/>
    <cellStyle name="20% - Accent4 5 2 2 3 2" xfId="24672" xr:uid="{00000000-0005-0000-0000-00001C1F0000}"/>
    <cellStyle name="20% - Accent4 5 2 2 3 2 2" xfId="20928" xr:uid="{00000000-0005-0000-0000-00001D1F0000}"/>
    <cellStyle name="20% - Accent4 5 2 2 3 2 2 2" xfId="25372" xr:uid="{00000000-0005-0000-0000-00001E1F0000}"/>
    <cellStyle name="20% - Accent4 5 2 2 3 2 3" xfId="13022" xr:uid="{00000000-0005-0000-0000-00001F1F0000}"/>
    <cellStyle name="20% - Accent4 5 2 2 3 3" xfId="27200" xr:uid="{00000000-0005-0000-0000-0000201F0000}"/>
    <cellStyle name="20% - Accent4 5 2 2 3 3 2" xfId="7797" xr:uid="{00000000-0005-0000-0000-0000211F0000}"/>
    <cellStyle name="20% - Accent4 5 2 2 3 4" xfId="26858" xr:uid="{00000000-0005-0000-0000-0000221F0000}"/>
    <cellStyle name="20% - Accent4 5 2 2 4" xfId="23782" xr:uid="{00000000-0005-0000-0000-0000231F0000}"/>
    <cellStyle name="20% - Accent4 5 2 2 4 2" xfId="19730" xr:uid="{00000000-0005-0000-0000-0000241F0000}"/>
    <cellStyle name="20% - Accent4 5 2 2 4 2 2" xfId="5315" xr:uid="{00000000-0005-0000-0000-0000251F0000}"/>
    <cellStyle name="20% - Accent4 5 2 2 4 3" xfId="7898" xr:uid="{00000000-0005-0000-0000-0000261F0000}"/>
    <cellStyle name="20% - Accent4 5 2 2 5" xfId="23819" xr:uid="{00000000-0005-0000-0000-0000271F0000}"/>
    <cellStyle name="20% - Accent4 5 2 2 5 2" xfId="7941" xr:uid="{00000000-0005-0000-0000-0000281F0000}"/>
    <cellStyle name="20% - Accent4 5 2 2 6" xfId="10632" xr:uid="{00000000-0005-0000-0000-0000291F0000}"/>
    <cellStyle name="20% - Accent4 5 2 3" xfId="9675" xr:uid="{00000000-0005-0000-0000-00002A1F0000}"/>
    <cellStyle name="20% - Accent4 5 2 3 2" xfId="10636" xr:uid="{00000000-0005-0000-0000-00002B1F0000}"/>
    <cellStyle name="20% - Accent4 5 2 3 2 2" xfId="8591" xr:uid="{00000000-0005-0000-0000-00002C1F0000}"/>
    <cellStyle name="20% - Accent4 5 2 3 2 2 2" xfId="32147" xr:uid="{00000000-0005-0000-0000-00002D1F0000}"/>
    <cellStyle name="20% - Accent4 5 2 3 2 2 2 2" xfId="23678" xr:uid="{00000000-0005-0000-0000-00002E1F0000}"/>
    <cellStyle name="20% - Accent4 5 2 3 2 2 3" xfId="15158" xr:uid="{00000000-0005-0000-0000-00002F1F0000}"/>
    <cellStyle name="20% - Accent4 5 2 3 2 3" xfId="10331" xr:uid="{00000000-0005-0000-0000-0000301F0000}"/>
    <cellStyle name="20% - Accent4 5 2 3 2 3 2" xfId="15169" xr:uid="{00000000-0005-0000-0000-0000311F0000}"/>
    <cellStyle name="20% - Accent4 5 2 3 2 4" xfId="20487" xr:uid="{00000000-0005-0000-0000-0000321F0000}"/>
    <cellStyle name="20% - Accent4 5 2 3 3" xfId="27204" xr:uid="{00000000-0005-0000-0000-0000331F0000}"/>
    <cellStyle name="20% - Accent4 5 2 3 3 2" xfId="19931" xr:uid="{00000000-0005-0000-0000-0000341F0000}"/>
    <cellStyle name="20% - Accent4 5 2 3 3 2 2" xfId="7552" xr:uid="{00000000-0005-0000-0000-0000351F0000}"/>
    <cellStyle name="20% - Accent4 5 2 3 3 3" xfId="7579" xr:uid="{00000000-0005-0000-0000-0000361F0000}"/>
    <cellStyle name="20% - Accent4 5 2 3 4" xfId="8768" xr:uid="{00000000-0005-0000-0000-0000371F0000}"/>
    <cellStyle name="20% - Accent4 5 2 3 4 2" xfId="7608" xr:uid="{00000000-0005-0000-0000-0000381F0000}"/>
    <cellStyle name="20% - Accent4 5 2 3 5" xfId="10637" xr:uid="{00000000-0005-0000-0000-0000391F0000}"/>
    <cellStyle name="20% - Accent4 5 2 4" xfId="27586" xr:uid="{00000000-0005-0000-0000-00003A1F0000}"/>
    <cellStyle name="20% - Accent4 5 2 4 2" xfId="10488" xr:uid="{00000000-0005-0000-0000-00003B1F0000}"/>
    <cellStyle name="20% - Accent4 5 2 4 2 2" xfId="676" xr:uid="{00000000-0005-0000-0000-00003C1F0000}"/>
    <cellStyle name="20% - Accent4 5 2 4 2 2 2" xfId="67" xr:uid="{00000000-0005-0000-0000-00003D1F0000}"/>
    <cellStyle name="20% - Accent4 5 2 4 2 3" xfId="1629" xr:uid="{00000000-0005-0000-0000-00003E1F0000}"/>
    <cellStyle name="20% - Accent4 5 2 4 3" xfId="26259" xr:uid="{00000000-0005-0000-0000-00003F1F0000}"/>
    <cellStyle name="20% - Accent4 5 2 4 3 2" xfId="12229" xr:uid="{00000000-0005-0000-0000-0000401F0000}"/>
    <cellStyle name="20% - Accent4 5 2 4 4" xfId="10489" xr:uid="{00000000-0005-0000-0000-0000411F0000}"/>
    <cellStyle name="20% - Accent4 5 2 5" xfId="15560" xr:uid="{00000000-0005-0000-0000-0000421F0000}"/>
    <cellStyle name="20% - Accent4 5 2 5 2" xfId="10548" xr:uid="{00000000-0005-0000-0000-0000431F0000}"/>
    <cellStyle name="20% - Accent4 5 2 5 2 2" xfId="1524" xr:uid="{00000000-0005-0000-0000-0000441F0000}"/>
    <cellStyle name="20% - Accent4 5 2 5 3" xfId="10555" xr:uid="{00000000-0005-0000-0000-0000451F0000}"/>
    <cellStyle name="20% - Accent4 5 2 6" xfId="14245" xr:uid="{00000000-0005-0000-0000-0000461F0000}"/>
    <cellStyle name="20% - Accent4 5 2 6 2" xfId="12117" xr:uid="{00000000-0005-0000-0000-0000471F0000}"/>
    <cellStyle name="20% - Accent4 5 2 7" xfId="24670" xr:uid="{00000000-0005-0000-0000-0000481F0000}"/>
    <cellStyle name="20% - Accent4 5 3" xfId="10649" xr:uid="{00000000-0005-0000-0000-0000491F0000}"/>
    <cellStyle name="20% - Accent4 5 3 2" xfId="25972" xr:uid="{00000000-0005-0000-0000-00004A1F0000}"/>
    <cellStyle name="20% - Accent4 5 3 2 2" xfId="10651" xr:uid="{00000000-0005-0000-0000-00004B1F0000}"/>
    <cellStyle name="20% - Accent4 5 3 2 2 2" xfId="9707" xr:uid="{00000000-0005-0000-0000-00004C1F0000}"/>
    <cellStyle name="20% - Accent4 5 3 2 2 2 2" xfId="1143" xr:uid="{00000000-0005-0000-0000-00004D1F0000}"/>
    <cellStyle name="20% - Accent4 5 3 2 2 2 2 2" xfId="13363" xr:uid="{00000000-0005-0000-0000-00004E1F0000}"/>
    <cellStyle name="20% - Accent4 5 3 2 2 2 3" xfId="13588" xr:uid="{00000000-0005-0000-0000-00004F1F0000}"/>
    <cellStyle name="20% - Accent4 5 3 2 2 3" xfId="9719" xr:uid="{00000000-0005-0000-0000-0000501F0000}"/>
    <cellStyle name="20% - Accent4 5 3 2 2 3 2" xfId="11658" xr:uid="{00000000-0005-0000-0000-0000511F0000}"/>
    <cellStyle name="20% - Accent4 5 3 2 2 4" xfId="26870" xr:uid="{00000000-0005-0000-0000-0000521F0000}"/>
    <cellStyle name="20% - Accent4 5 3 2 3" xfId="26264" xr:uid="{00000000-0005-0000-0000-0000531F0000}"/>
    <cellStyle name="20% - Accent4 5 3 2 3 2" xfId="13107" xr:uid="{00000000-0005-0000-0000-0000541F0000}"/>
    <cellStyle name="20% - Accent4 5 3 2 3 2 2" xfId="2907" xr:uid="{00000000-0005-0000-0000-0000551F0000}"/>
    <cellStyle name="20% - Accent4 5 3 2 3 3" xfId="9842" xr:uid="{00000000-0005-0000-0000-0000561F0000}"/>
    <cellStyle name="20% - Accent4 5 3 2 4" xfId="19826" xr:uid="{00000000-0005-0000-0000-0000571F0000}"/>
    <cellStyle name="20% - Accent4 5 3 2 4 2" xfId="9862" xr:uid="{00000000-0005-0000-0000-0000581F0000}"/>
    <cellStyle name="20% - Accent4 5 3 2 5" xfId="27974" xr:uid="{00000000-0005-0000-0000-0000591F0000}"/>
    <cellStyle name="20% - Accent4 5 3 3" xfId="10654" xr:uid="{00000000-0005-0000-0000-00005A1F0000}"/>
    <cellStyle name="20% - Accent4 5 3 3 2" xfId="10655" xr:uid="{00000000-0005-0000-0000-00005B1F0000}"/>
    <cellStyle name="20% - Accent4 5 3 3 2 2" xfId="18892" xr:uid="{00000000-0005-0000-0000-00005C1F0000}"/>
    <cellStyle name="20% - Accent4 5 3 3 2 2 2" xfId="1445" xr:uid="{00000000-0005-0000-0000-00005D1F0000}"/>
    <cellStyle name="20% - Accent4 5 3 3 2 3" xfId="1899" xr:uid="{00000000-0005-0000-0000-00005E1F0000}"/>
    <cellStyle name="20% - Accent4 5 3 3 3" xfId="28992" xr:uid="{00000000-0005-0000-0000-00005F1F0000}"/>
    <cellStyle name="20% - Accent4 5 3 3 3 2" xfId="10351" xr:uid="{00000000-0005-0000-0000-0000601F0000}"/>
    <cellStyle name="20% - Accent4 5 3 3 4" xfId="10659" xr:uid="{00000000-0005-0000-0000-0000611F0000}"/>
    <cellStyle name="20% - Accent4 5 3 4" xfId="10572" xr:uid="{00000000-0005-0000-0000-0000621F0000}"/>
    <cellStyle name="20% - Accent4 5 3 4 2" xfId="10641" xr:uid="{00000000-0005-0000-0000-0000631F0000}"/>
    <cellStyle name="20% - Accent4 5 3 4 2 2" xfId="10552" xr:uid="{00000000-0005-0000-0000-0000641F0000}"/>
    <cellStyle name="20% - Accent4 5 3 4 3" xfId="10645" xr:uid="{00000000-0005-0000-0000-0000651F0000}"/>
    <cellStyle name="20% - Accent4 5 3 5" xfId="15572" xr:uid="{00000000-0005-0000-0000-0000661F0000}"/>
    <cellStyle name="20% - Accent4 5 3 5 2" xfId="15458" xr:uid="{00000000-0005-0000-0000-0000671F0000}"/>
    <cellStyle name="20% - Accent4 5 3 6" xfId="10666" xr:uid="{00000000-0005-0000-0000-0000681F0000}"/>
    <cellStyle name="20% - Accent4 5 4" xfId="10668" xr:uid="{00000000-0005-0000-0000-0000691F0000}"/>
    <cellStyle name="20% - Accent4 5 4 2" xfId="10679" xr:uid="{00000000-0005-0000-0000-00006A1F0000}"/>
    <cellStyle name="20% - Accent4 5 4 2 2" xfId="10681" xr:uid="{00000000-0005-0000-0000-00006B1F0000}"/>
    <cellStyle name="20% - Accent4 5 4 2 2 2" xfId="10682" xr:uid="{00000000-0005-0000-0000-00006C1F0000}"/>
    <cellStyle name="20% - Accent4 5 4 2 2 2 2" xfId="27711" xr:uid="{00000000-0005-0000-0000-00006D1F0000}"/>
    <cellStyle name="20% - Accent4 5 4 2 2 3" xfId="10689" xr:uid="{00000000-0005-0000-0000-00006E1F0000}"/>
    <cellStyle name="20% - Accent4 5 4 2 3" xfId="1544" xr:uid="{00000000-0005-0000-0000-00006F1F0000}"/>
    <cellStyle name="20% - Accent4 5 4 2 3 2" xfId="10695" xr:uid="{00000000-0005-0000-0000-0000701F0000}"/>
    <cellStyle name="20% - Accent4 5 4 2 4" xfId="14840" xr:uid="{00000000-0005-0000-0000-0000711F0000}"/>
    <cellStyle name="20% - Accent4 5 4 3" xfId="10699" xr:uid="{00000000-0005-0000-0000-0000721F0000}"/>
    <cellStyle name="20% - Accent4 5 4 3 2" xfId="10701" xr:uid="{00000000-0005-0000-0000-0000731F0000}"/>
    <cellStyle name="20% - Accent4 5 4 3 2 2" xfId="10702" xr:uid="{00000000-0005-0000-0000-0000741F0000}"/>
    <cellStyle name="20% - Accent4 5 4 3 3" xfId="10712" xr:uid="{00000000-0005-0000-0000-0000751F0000}"/>
    <cellStyle name="20% - Accent4 5 4 4" xfId="10726" xr:uid="{00000000-0005-0000-0000-0000761F0000}"/>
    <cellStyle name="20% - Accent4 5 4 4 2" xfId="10730" xr:uid="{00000000-0005-0000-0000-0000771F0000}"/>
    <cellStyle name="20% - Accent4 5 4 5" xfId="10733" xr:uid="{00000000-0005-0000-0000-0000781F0000}"/>
    <cellStyle name="20% - Accent4 5 5" xfId="11647" xr:uid="{00000000-0005-0000-0000-0000791F0000}"/>
    <cellStyle name="20% - Accent4 5 5 2" xfId="10737" xr:uid="{00000000-0005-0000-0000-00007A1F0000}"/>
    <cellStyle name="20% - Accent4 5 5 2 2" xfId="10738" xr:uid="{00000000-0005-0000-0000-00007B1F0000}"/>
    <cellStyle name="20% - Accent4 5 5 2 2 2" xfId="8942" xr:uid="{00000000-0005-0000-0000-00007C1F0000}"/>
    <cellStyle name="20% - Accent4 5 5 2 3" xfId="10739" xr:uid="{00000000-0005-0000-0000-00007D1F0000}"/>
    <cellStyle name="20% - Accent4 5 5 3" xfId="10741" xr:uid="{00000000-0005-0000-0000-00007E1F0000}"/>
    <cellStyle name="20% - Accent4 5 5 3 2" xfId="14652" xr:uid="{00000000-0005-0000-0000-00007F1F0000}"/>
    <cellStyle name="20% - Accent4 5 5 4" xfId="10743" xr:uid="{00000000-0005-0000-0000-0000801F0000}"/>
    <cellStyle name="20% - Accent4 5 6" xfId="11650" xr:uid="{00000000-0005-0000-0000-0000811F0000}"/>
    <cellStyle name="20% - Accent4 5 6 2" xfId="10745" xr:uid="{00000000-0005-0000-0000-0000821F0000}"/>
    <cellStyle name="20% - Accent4 5 6 2 2" xfId="10747" xr:uid="{00000000-0005-0000-0000-0000831F0000}"/>
    <cellStyle name="20% - Accent4 5 6 3" xfId="4744" xr:uid="{00000000-0005-0000-0000-0000841F0000}"/>
    <cellStyle name="20% - Accent4 5 7" xfId="10113" xr:uid="{00000000-0005-0000-0000-0000851F0000}"/>
    <cellStyle name="20% - Accent4 5 7 2" xfId="33293" xr:uid="{00000000-0005-0000-0000-0000861F0000}"/>
    <cellStyle name="20% - Accent4 5 8" xfId="28418" xr:uid="{00000000-0005-0000-0000-0000871F0000}"/>
    <cellStyle name="20% - Accent4 6" xfId="13252" xr:uid="{00000000-0005-0000-0000-0000881F0000}"/>
    <cellStyle name="20% - Accent4 6 2" xfId="12787" xr:uid="{00000000-0005-0000-0000-0000891F0000}"/>
    <cellStyle name="20% - Accent4 6 2 2" xfId="9686" xr:uid="{00000000-0005-0000-0000-00008A1F0000}"/>
    <cellStyle name="20% - Accent4 6 2 2 2" xfId="14588" xr:uid="{00000000-0005-0000-0000-00008B1F0000}"/>
    <cellStyle name="20% - Accent4 6 2 2 2 2" xfId="17712" xr:uid="{00000000-0005-0000-0000-00008C1F0000}"/>
    <cellStyle name="20% - Accent4 6 2 2 2 2 2" xfId="23656" xr:uid="{00000000-0005-0000-0000-00008D1F0000}"/>
    <cellStyle name="20% - Accent4 6 2 2 2 2 2 2" xfId="11545" xr:uid="{00000000-0005-0000-0000-00008E1F0000}"/>
    <cellStyle name="20% - Accent4 6 2 2 2 2 3" xfId="10754" xr:uid="{00000000-0005-0000-0000-00008F1F0000}"/>
    <cellStyle name="20% - Accent4 6 2 2 2 3" xfId="8365" xr:uid="{00000000-0005-0000-0000-0000901F0000}"/>
    <cellStyle name="20% - Accent4 6 2 2 2 3 2" xfId="10756" xr:uid="{00000000-0005-0000-0000-0000911F0000}"/>
    <cellStyle name="20% - Accent4 6 2 2 2 4" xfId="29749" xr:uid="{00000000-0005-0000-0000-0000921F0000}"/>
    <cellStyle name="20% - Accent4 6 2 2 3" xfId="31804" xr:uid="{00000000-0005-0000-0000-0000931F0000}"/>
    <cellStyle name="20% - Accent4 6 2 2 3 2" xfId="11394" xr:uid="{00000000-0005-0000-0000-0000941F0000}"/>
    <cellStyle name="20% - Accent4 6 2 2 3 2 2" xfId="10757" xr:uid="{00000000-0005-0000-0000-0000951F0000}"/>
    <cellStyle name="20% - Accent4 6 2 2 3 3" xfId="8375" xr:uid="{00000000-0005-0000-0000-0000961F0000}"/>
    <cellStyle name="20% - Accent4 6 2 2 4" xfId="24813" xr:uid="{00000000-0005-0000-0000-0000971F0000}"/>
    <cellStyle name="20% - Accent4 6 2 2 4 2" xfId="1171" xr:uid="{00000000-0005-0000-0000-0000981F0000}"/>
    <cellStyle name="20% - Accent4 6 2 2 5" xfId="33315" xr:uid="{00000000-0005-0000-0000-0000991F0000}"/>
    <cellStyle name="20% - Accent4 6 2 3" xfId="10758" xr:uid="{00000000-0005-0000-0000-00009A1F0000}"/>
    <cellStyle name="20% - Accent4 6 2 3 2" xfId="28234" xr:uid="{00000000-0005-0000-0000-00009B1F0000}"/>
    <cellStyle name="20% - Accent4 6 2 3 2 2" xfId="10759" xr:uid="{00000000-0005-0000-0000-00009C1F0000}"/>
    <cellStyle name="20% - Accent4 6 2 3 2 2 2" xfId="10760" xr:uid="{00000000-0005-0000-0000-00009D1F0000}"/>
    <cellStyle name="20% - Accent4 6 2 3 2 3" xfId="18608" xr:uid="{00000000-0005-0000-0000-00009E1F0000}"/>
    <cellStyle name="20% - Accent4 6 2 3 3" xfId="30047" xr:uid="{00000000-0005-0000-0000-00009F1F0000}"/>
    <cellStyle name="20% - Accent4 6 2 3 3 2" xfId="10762" xr:uid="{00000000-0005-0000-0000-0000A01F0000}"/>
    <cellStyle name="20% - Accent4 6 2 3 4" xfId="10763" xr:uid="{00000000-0005-0000-0000-0000A11F0000}"/>
    <cellStyle name="20% - Accent4 6 2 4" xfId="30691" xr:uid="{00000000-0005-0000-0000-0000A21F0000}"/>
    <cellStyle name="20% - Accent4 6 2 4 2" xfId="10767" xr:uid="{00000000-0005-0000-0000-0000A31F0000}"/>
    <cellStyle name="20% - Accent4 6 2 4 2 2" xfId="8774" xr:uid="{00000000-0005-0000-0000-0000A41F0000}"/>
    <cellStyle name="20% - Accent4 6 2 4 3" xfId="10770" xr:uid="{00000000-0005-0000-0000-0000A51F0000}"/>
    <cellStyle name="20% - Accent4 6 2 5" xfId="15584" xr:uid="{00000000-0005-0000-0000-0000A61F0000}"/>
    <cellStyle name="20% - Accent4 6 2 5 2" xfId="10773" xr:uid="{00000000-0005-0000-0000-0000A71F0000}"/>
    <cellStyle name="20% - Accent4 6 2 6" xfId="10777" xr:uid="{00000000-0005-0000-0000-0000A81F0000}"/>
    <cellStyle name="20% - Accent4 6 3" xfId="10779" xr:uid="{00000000-0005-0000-0000-0000A91F0000}"/>
    <cellStyle name="20% - Accent4 6 3 2" xfId="10785" xr:uid="{00000000-0005-0000-0000-0000AA1F0000}"/>
    <cellStyle name="20% - Accent4 6 3 2 2" xfId="32740" xr:uid="{00000000-0005-0000-0000-0000AB1F0000}"/>
    <cellStyle name="20% - Accent4 6 3 2 2 2" xfId="10800" xr:uid="{00000000-0005-0000-0000-0000AC1F0000}"/>
    <cellStyle name="20% - Accent4 6 3 2 2 2 2" xfId="17174" xr:uid="{00000000-0005-0000-0000-0000AD1F0000}"/>
    <cellStyle name="20% - Accent4 6 3 2 2 3" xfId="9238" xr:uid="{00000000-0005-0000-0000-0000AE1F0000}"/>
    <cellStyle name="20% - Accent4 6 3 2 3" xfId="17966" xr:uid="{00000000-0005-0000-0000-0000AF1F0000}"/>
    <cellStyle name="20% - Accent4 6 3 2 3 2" xfId="11055" xr:uid="{00000000-0005-0000-0000-0000B01F0000}"/>
    <cellStyle name="20% - Accent4 6 3 2 4" xfId="10890" xr:uid="{00000000-0005-0000-0000-0000B11F0000}"/>
    <cellStyle name="20% - Accent4 6 3 3" xfId="10802" xr:uid="{00000000-0005-0000-0000-0000B21F0000}"/>
    <cellStyle name="20% - Accent4 6 3 3 2" xfId="10805" xr:uid="{00000000-0005-0000-0000-0000B31F0000}"/>
    <cellStyle name="20% - Accent4 6 3 3 2 2" xfId="10809" xr:uid="{00000000-0005-0000-0000-0000B41F0000}"/>
    <cellStyle name="20% - Accent4 6 3 3 3" xfId="10810" xr:uid="{00000000-0005-0000-0000-0000B51F0000}"/>
    <cellStyle name="20% - Accent4 6 3 4" xfId="25625" xr:uid="{00000000-0005-0000-0000-0000B61F0000}"/>
    <cellStyle name="20% - Accent4 6 3 4 2" xfId="10818" xr:uid="{00000000-0005-0000-0000-0000B71F0000}"/>
    <cellStyle name="20% - Accent4 6 3 5" xfId="10824" xr:uid="{00000000-0005-0000-0000-0000B81F0000}"/>
    <cellStyle name="20% - Accent4 6 4" xfId="11558" xr:uid="{00000000-0005-0000-0000-0000B91F0000}"/>
    <cellStyle name="20% - Accent4 6 4 2" xfId="10830" xr:uid="{00000000-0005-0000-0000-0000BA1F0000}"/>
    <cellStyle name="20% - Accent4 6 4 2 2" xfId="23529" xr:uid="{00000000-0005-0000-0000-0000BB1F0000}"/>
    <cellStyle name="20% - Accent4 6 4 2 2 2" xfId="10837" xr:uid="{00000000-0005-0000-0000-0000BC1F0000}"/>
    <cellStyle name="20% - Accent4 6 4 2 3" xfId="33026" xr:uid="{00000000-0005-0000-0000-0000BD1F0000}"/>
    <cellStyle name="20% - Accent4 6 4 3" xfId="10845" xr:uid="{00000000-0005-0000-0000-0000BE1F0000}"/>
    <cellStyle name="20% - Accent4 6 4 3 2" xfId="18569" xr:uid="{00000000-0005-0000-0000-0000BF1F0000}"/>
    <cellStyle name="20% - Accent4 6 4 4" xfId="10853" xr:uid="{00000000-0005-0000-0000-0000C01F0000}"/>
    <cellStyle name="20% - Accent4 6 5" xfId="2373" xr:uid="{00000000-0005-0000-0000-0000C11F0000}"/>
    <cellStyle name="20% - Accent4 6 5 2" xfId="10856" xr:uid="{00000000-0005-0000-0000-0000C21F0000}"/>
    <cellStyle name="20% - Accent4 6 5 2 2" xfId="21756" xr:uid="{00000000-0005-0000-0000-0000C31F0000}"/>
    <cellStyle name="20% - Accent4 6 5 3" xfId="10871" xr:uid="{00000000-0005-0000-0000-0000C41F0000}"/>
    <cellStyle name="20% - Accent4 6 6" xfId="1785" xr:uid="{00000000-0005-0000-0000-0000C51F0000}"/>
    <cellStyle name="20% - Accent4 6 6 2" xfId="10879" xr:uid="{00000000-0005-0000-0000-0000C61F0000}"/>
    <cellStyle name="20% - Accent4 6 7" xfId="25426" xr:uid="{00000000-0005-0000-0000-0000C71F0000}"/>
    <cellStyle name="20% - Accent4 7" xfId="29914" xr:uid="{00000000-0005-0000-0000-0000C81F0000}"/>
    <cellStyle name="20% - Accent4 7 2" xfId="6235" xr:uid="{00000000-0005-0000-0000-0000C91F0000}"/>
    <cellStyle name="20% - Accent4 7 2 2" xfId="241" xr:uid="{00000000-0005-0000-0000-0000CA1F0000}"/>
    <cellStyle name="20% - Accent4 7 2 2 2" xfId="24497" xr:uid="{00000000-0005-0000-0000-0000CB1F0000}"/>
    <cellStyle name="20% - Accent4 7 2 2 2 2" xfId="10884" xr:uid="{00000000-0005-0000-0000-0000CC1F0000}"/>
    <cellStyle name="20% - Accent4 7 2 2 2 2 2" xfId="10885" xr:uid="{00000000-0005-0000-0000-0000CD1F0000}"/>
    <cellStyle name="20% - Accent4 7 2 2 2 3" xfId="9380" xr:uid="{00000000-0005-0000-0000-0000CE1F0000}"/>
    <cellStyle name="20% - Accent4 7 2 2 3" xfId="30188" xr:uid="{00000000-0005-0000-0000-0000CF1F0000}"/>
    <cellStyle name="20% - Accent4 7 2 2 3 2" xfId="10886" xr:uid="{00000000-0005-0000-0000-0000D01F0000}"/>
    <cellStyle name="20% - Accent4 7 2 2 4" xfId="10894" xr:uid="{00000000-0005-0000-0000-0000D11F0000}"/>
    <cellStyle name="20% - Accent4 7 2 3" xfId="10172" xr:uid="{00000000-0005-0000-0000-0000D21F0000}"/>
    <cellStyle name="20% - Accent4 7 2 3 2" xfId="10896" xr:uid="{00000000-0005-0000-0000-0000D31F0000}"/>
    <cellStyle name="20% - Accent4 7 2 3 2 2" xfId="11807" xr:uid="{00000000-0005-0000-0000-0000D41F0000}"/>
    <cellStyle name="20% - Accent4 7 2 3 3" xfId="10897" xr:uid="{00000000-0005-0000-0000-0000D51F0000}"/>
    <cellStyle name="20% - Accent4 7 2 4" xfId="10899" xr:uid="{00000000-0005-0000-0000-0000D61F0000}"/>
    <cellStyle name="20% - Accent4 7 2 4 2" xfId="3095" xr:uid="{00000000-0005-0000-0000-0000D71F0000}"/>
    <cellStyle name="20% - Accent4 7 2 5" xfId="10906" xr:uid="{00000000-0005-0000-0000-0000D81F0000}"/>
    <cellStyle name="20% - Accent4 7 3" xfId="6241" xr:uid="{00000000-0005-0000-0000-0000D91F0000}"/>
    <cellStyle name="20% - Accent4 7 3 2" xfId="16211" xr:uid="{00000000-0005-0000-0000-0000DA1F0000}"/>
    <cellStyle name="20% - Accent4 7 3 2 2" xfId="10911" xr:uid="{00000000-0005-0000-0000-0000DB1F0000}"/>
    <cellStyle name="20% - Accent4 7 3 2 2 2" xfId="7504" xr:uid="{00000000-0005-0000-0000-0000DC1F0000}"/>
    <cellStyle name="20% - Accent4 7 3 2 3" xfId="10914" xr:uid="{00000000-0005-0000-0000-0000DD1F0000}"/>
    <cellStyle name="20% - Accent4 7 3 3" xfId="10916" xr:uid="{00000000-0005-0000-0000-0000DE1F0000}"/>
    <cellStyle name="20% - Accent4 7 3 3 2" xfId="10919" xr:uid="{00000000-0005-0000-0000-0000DF1F0000}"/>
    <cellStyle name="20% - Accent4 7 3 4" xfId="11052" xr:uid="{00000000-0005-0000-0000-0000E01F0000}"/>
    <cellStyle name="20% - Accent4 7 4" xfId="782" xr:uid="{00000000-0005-0000-0000-0000E11F0000}"/>
    <cellStyle name="20% - Accent4 7 4 2" xfId="16235" xr:uid="{00000000-0005-0000-0000-0000E21F0000}"/>
    <cellStyle name="20% - Accent4 7 4 2 2" xfId="25521" xr:uid="{00000000-0005-0000-0000-0000E31F0000}"/>
    <cellStyle name="20% - Accent4 7 4 3" xfId="10921" xr:uid="{00000000-0005-0000-0000-0000E41F0000}"/>
    <cellStyle name="20% - Accent4 7 5" xfId="2304" xr:uid="{00000000-0005-0000-0000-0000E51F0000}"/>
    <cellStyle name="20% - Accent4 7 5 2" xfId="10924" xr:uid="{00000000-0005-0000-0000-0000E61F0000}"/>
    <cellStyle name="20% - Accent4 7 6" xfId="28849" xr:uid="{00000000-0005-0000-0000-0000E71F0000}"/>
    <cellStyle name="20% - Accent4 8" xfId="29925" xr:uid="{00000000-0005-0000-0000-0000E81F0000}"/>
    <cellStyle name="20% - Accent4 8 2" xfId="6262" xr:uid="{00000000-0005-0000-0000-0000E91F0000}"/>
    <cellStyle name="20% - Accent4 8 2 2" xfId="10184" xr:uid="{00000000-0005-0000-0000-0000EA1F0000}"/>
    <cellStyle name="20% - Accent4 8 2 2 2" xfId="3806" xr:uid="{00000000-0005-0000-0000-0000EB1F0000}"/>
    <cellStyle name="20% - Accent4 8 2 2 2 2" xfId="10929" xr:uid="{00000000-0005-0000-0000-0000EC1F0000}"/>
    <cellStyle name="20% - Accent4 8 2 2 3" xfId="10932" xr:uid="{00000000-0005-0000-0000-0000ED1F0000}"/>
    <cellStyle name="20% - Accent4 8 2 3" xfId="10934" xr:uid="{00000000-0005-0000-0000-0000EE1F0000}"/>
    <cellStyle name="20% - Accent4 8 2 3 2" xfId="10936" xr:uid="{00000000-0005-0000-0000-0000EF1F0000}"/>
    <cellStyle name="20% - Accent4 8 2 4" xfId="10939" xr:uid="{00000000-0005-0000-0000-0000F01F0000}"/>
    <cellStyle name="20% - Accent4 8 3" xfId="23446" xr:uid="{00000000-0005-0000-0000-0000F11F0000}"/>
    <cellStyle name="20% - Accent4 8 3 2" xfId="10941" xr:uid="{00000000-0005-0000-0000-0000F21F0000}"/>
    <cellStyle name="20% - Accent4 8 3 2 2" xfId="11188" xr:uid="{00000000-0005-0000-0000-0000F31F0000}"/>
    <cellStyle name="20% - Accent4 8 3 3" xfId="10942" xr:uid="{00000000-0005-0000-0000-0000F41F0000}"/>
    <cellStyle name="20% - Accent4 8 4" xfId="13900" xr:uid="{00000000-0005-0000-0000-0000F51F0000}"/>
    <cellStyle name="20% - Accent4 8 4 2" xfId="10944" xr:uid="{00000000-0005-0000-0000-0000F61F0000}"/>
    <cellStyle name="20% - Accent4 8 5" xfId="10946" xr:uid="{00000000-0005-0000-0000-0000F71F0000}"/>
    <cellStyle name="20% - Accent4 9" xfId="32107" xr:uid="{00000000-0005-0000-0000-0000F81F0000}"/>
    <cellStyle name="20% - Accent4 9 2" xfId="32120" xr:uid="{00000000-0005-0000-0000-0000F91F0000}"/>
    <cellStyle name="20% - Accent4 9 2 2" xfId="9662" xr:uid="{00000000-0005-0000-0000-0000FA1F0000}"/>
    <cellStyle name="20% - Accent4 9 2 2 2" xfId="32286" xr:uid="{00000000-0005-0000-0000-0000FB1F0000}"/>
    <cellStyle name="20% - Accent4 9 2 3" xfId="10955" xr:uid="{00000000-0005-0000-0000-0000FC1F0000}"/>
    <cellStyle name="20% - Accent4 9 3" xfId="17420" xr:uid="{00000000-0005-0000-0000-0000FD1F0000}"/>
    <cellStyle name="20% - Accent4 9 3 2" xfId="10959" xr:uid="{00000000-0005-0000-0000-0000FE1F0000}"/>
    <cellStyle name="20% - Accent4 9 4" xfId="13806" xr:uid="{00000000-0005-0000-0000-0000FF1F0000}"/>
    <cellStyle name="20% - Accent5 10" xfId="10960" xr:uid="{00000000-0005-0000-0000-000000200000}"/>
    <cellStyle name="20% - Accent5 10 2" xfId="29039" xr:uid="{00000000-0005-0000-0000-000001200000}"/>
    <cellStyle name="20% - Accent5 10 2 2" xfId="20256" xr:uid="{00000000-0005-0000-0000-000002200000}"/>
    <cellStyle name="20% - Accent5 10 3" xfId="9463" xr:uid="{00000000-0005-0000-0000-000003200000}"/>
    <cellStyle name="20% - Accent5 11" xfId="29041" xr:uid="{00000000-0005-0000-0000-000004200000}"/>
    <cellStyle name="20% - Accent5 11 2" xfId="9452" xr:uid="{00000000-0005-0000-0000-000005200000}"/>
    <cellStyle name="20% - Accent5 12" xfId="10966" xr:uid="{00000000-0005-0000-0000-000006200000}"/>
    <cellStyle name="20% - Accent5 13" xfId="10971" xr:uid="{00000000-0005-0000-0000-000007200000}"/>
    <cellStyle name="20% - Accent5 2" xfId="10764" xr:uid="{00000000-0005-0000-0000-000008200000}"/>
    <cellStyle name="20% - Accent5 2 10" xfId="28321" xr:uid="{00000000-0005-0000-0000-000009200000}"/>
    <cellStyle name="20% - Accent5 2 10 2" xfId="20380" xr:uid="{00000000-0005-0000-0000-00000A200000}"/>
    <cellStyle name="20% - Accent5 2 11" xfId="25048" xr:uid="{00000000-0005-0000-0000-00000B200000}"/>
    <cellStyle name="20% - Accent5 2 2" xfId="1195" xr:uid="{00000000-0005-0000-0000-00000C200000}"/>
    <cellStyle name="20% - Accent5 2 2 10" xfId="18414" xr:uid="{00000000-0005-0000-0000-00000D200000}"/>
    <cellStyle name="20% - Accent5 2 2 2" xfId="10973" xr:uid="{00000000-0005-0000-0000-00000E200000}"/>
    <cellStyle name="20% - Accent5 2 2 2 2" xfId="10974" xr:uid="{00000000-0005-0000-0000-00000F200000}"/>
    <cellStyle name="20% - Accent5 2 2 2 2 2" xfId="12363" xr:uid="{00000000-0005-0000-0000-000010200000}"/>
    <cellStyle name="20% - Accent5 2 2 2 2 2 2" xfId="11743" xr:uid="{00000000-0005-0000-0000-000011200000}"/>
    <cellStyle name="20% - Accent5 2 2 2 2 2 2 2" xfId="2238" xr:uid="{00000000-0005-0000-0000-000012200000}"/>
    <cellStyle name="20% - Accent5 2 2 2 2 2 2 2 2" xfId="31216" xr:uid="{00000000-0005-0000-0000-000013200000}"/>
    <cellStyle name="20% - Accent5 2 2 2 2 2 2 2 2 2" xfId="10980" xr:uid="{00000000-0005-0000-0000-000014200000}"/>
    <cellStyle name="20% - Accent5 2 2 2 2 2 2 2 2 2 2" xfId="10683" xr:uid="{00000000-0005-0000-0000-000015200000}"/>
    <cellStyle name="20% - Accent5 2 2 2 2 2 2 2 2 2 2 2" xfId="10984" xr:uid="{00000000-0005-0000-0000-000016200000}"/>
    <cellStyle name="20% - Accent5 2 2 2 2 2 2 2 2 2 3" xfId="10690" xr:uid="{00000000-0005-0000-0000-000017200000}"/>
    <cellStyle name="20% - Accent5 2 2 2 2 2 2 2 2 3" xfId="10987" xr:uid="{00000000-0005-0000-0000-000018200000}"/>
    <cellStyle name="20% - Accent5 2 2 2 2 2 2 2 2 3 2" xfId="10717" xr:uid="{00000000-0005-0000-0000-000019200000}"/>
    <cellStyle name="20% - Accent5 2 2 2 2 2 2 2 2 4" xfId="9320" xr:uid="{00000000-0005-0000-0000-00001A200000}"/>
    <cellStyle name="20% - Accent5 2 2 2 2 2 2 2 3" xfId="26003" xr:uid="{00000000-0005-0000-0000-00001B200000}"/>
    <cellStyle name="20% - Accent5 2 2 2 2 2 2 2 3 2" xfId="10988" xr:uid="{00000000-0005-0000-0000-00001C200000}"/>
    <cellStyle name="20% - Accent5 2 2 2 2 2 2 2 3 2 2" xfId="10703" xr:uid="{00000000-0005-0000-0000-00001D200000}"/>
    <cellStyle name="20% - Accent5 2 2 2 2 2 2 2 3 3" xfId="10990" xr:uid="{00000000-0005-0000-0000-00001E200000}"/>
    <cellStyle name="20% - Accent5 2 2 2 2 2 2 2 4" xfId="6674" xr:uid="{00000000-0005-0000-0000-00001F200000}"/>
    <cellStyle name="20% - Accent5 2 2 2 2 2 2 2 4 2" xfId="10991" xr:uid="{00000000-0005-0000-0000-000020200000}"/>
    <cellStyle name="20% - Accent5 2 2 2 2 2 2 2 5" xfId="6684" xr:uid="{00000000-0005-0000-0000-000021200000}"/>
    <cellStyle name="20% - Accent5 2 2 2 2 2 2 3" xfId="8439" xr:uid="{00000000-0005-0000-0000-000022200000}"/>
    <cellStyle name="20% - Accent5 2 2 2 2 2 2 3 2" xfId="10996" xr:uid="{00000000-0005-0000-0000-000023200000}"/>
    <cellStyle name="20% - Accent5 2 2 2 2 2 2 3 2 2" xfId="11000" xr:uid="{00000000-0005-0000-0000-000024200000}"/>
    <cellStyle name="20% - Accent5 2 2 2 2 2 2 3 2 2 2" xfId="8943" xr:uid="{00000000-0005-0000-0000-000025200000}"/>
    <cellStyle name="20% - Accent5 2 2 2 2 2 2 3 2 3" xfId="11002" xr:uid="{00000000-0005-0000-0000-000026200000}"/>
    <cellStyle name="20% - Accent5 2 2 2 2 2 2 3 3" xfId="11003" xr:uid="{00000000-0005-0000-0000-000027200000}"/>
    <cellStyle name="20% - Accent5 2 2 2 2 2 2 3 3 2" xfId="11005" xr:uid="{00000000-0005-0000-0000-000028200000}"/>
    <cellStyle name="20% - Accent5 2 2 2 2 2 2 3 4" xfId="24103" xr:uid="{00000000-0005-0000-0000-000029200000}"/>
    <cellStyle name="20% - Accent5 2 2 2 2 2 2 4" xfId="8444" xr:uid="{00000000-0005-0000-0000-00002A200000}"/>
    <cellStyle name="20% - Accent5 2 2 2 2 2 2 4 2" xfId="11006" xr:uid="{00000000-0005-0000-0000-00002B200000}"/>
    <cellStyle name="20% - Accent5 2 2 2 2 2 2 4 2 2" xfId="11008" xr:uid="{00000000-0005-0000-0000-00002C200000}"/>
    <cellStyle name="20% - Accent5 2 2 2 2 2 2 4 3" xfId="24107" xr:uid="{00000000-0005-0000-0000-00002D200000}"/>
    <cellStyle name="20% - Accent5 2 2 2 2 2 2 5" xfId="8451" xr:uid="{00000000-0005-0000-0000-00002E200000}"/>
    <cellStyle name="20% - Accent5 2 2 2 2 2 2 5 2" xfId="12712" xr:uid="{00000000-0005-0000-0000-00002F200000}"/>
    <cellStyle name="20% - Accent5 2 2 2 2 2 2 6" xfId="2755" xr:uid="{00000000-0005-0000-0000-000030200000}"/>
    <cellStyle name="20% - Accent5 2 2 2 2 2 3" xfId="3424" xr:uid="{00000000-0005-0000-0000-000031200000}"/>
    <cellStyle name="20% - Accent5 2 2 2 2 2 3 2" xfId="20000" xr:uid="{00000000-0005-0000-0000-000032200000}"/>
    <cellStyle name="20% - Accent5 2 2 2 2 2 3 2 2" xfId="13036" xr:uid="{00000000-0005-0000-0000-000033200000}"/>
    <cellStyle name="20% - Accent5 2 2 2 2 2 3 2 2 2" xfId="32231" xr:uid="{00000000-0005-0000-0000-000034200000}"/>
    <cellStyle name="20% - Accent5 2 2 2 2 2 3 2 2 2 2" xfId="10839" xr:uid="{00000000-0005-0000-0000-000035200000}"/>
    <cellStyle name="20% - Accent5 2 2 2 2 2 3 2 2 3" xfId="15953" xr:uid="{00000000-0005-0000-0000-000036200000}"/>
    <cellStyle name="20% - Accent5 2 2 2 2 2 3 2 3" xfId="11013" xr:uid="{00000000-0005-0000-0000-000037200000}"/>
    <cellStyle name="20% - Accent5 2 2 2 2 2 3 2 3 2" xfId="20613" xr:uid="{00000000-0005-0000-0000-000038200000}"/>
    <cellStyle name="20% - Accent5 2 2 2 2 2 3 2 4" xfId="10138" xr:uid="{00000000-0005-0000-0000-000039200000}"/>
    <cellStyle name="20% - Accent5 2 2 2 2 2 3 3" xfId="19077" xr:uid="{00000000-0005-0000-0000-00003A200000}"/>
    <cellStyle name="20% - Accent5 2 2 2 2 2 3 3 2" xfId="11027" xr:uid="{00000000-0005-0000-0000-00003B200000}"/>
    <cellStyle name="20% - Accent5 2 2 2 2 2 3 3 2 2" xfId="32695" xr:uid="{00000000-0005-0000-0000-00003C200000}"/>
    <cellStyle name="20% - Accent5 2 2 2 2 2 3 3 3" xfId="24133" xr:uid="{00000000-0005-0000-0000-00003D200000}"/>
    <cellStyle name="20% - Accent5 2 2 2 2 2 3 4" xfId="25707" xr:uid="{00000000-0005-0000-0000-00003E200000}"/>
    <cellStyle name="20% - Accent5 2 2 2 2 2 3 4 2" xfId="24142" xr:uid="{00000000-0005-0000-0000-00003F200000}"/>
    <cellStyle name="20% - Accent5 2 2 2 2 2 3 5" xfId="24384" xr:uid="{00000000-0005-0000-0000-000040200000}"/>
    <cellStyle name="20% - Accent5 2 2 2 2 2 4" xfId="9774" xr:uid="{00000000-0005-0000-0000-000041200000}"/>
    <cellStyle name="20% - Accent5 2 2 2 2 2 4 2" xfId="13802" xr:uid="{00000000-0005-0000-0000-000042200000}"/>
    <cellStyle name="20% - Accent5 2 2 2 2 2 4 2 2" xfId="13888" xr:uid="{00000000-0005-0000-0000-000043200000}"/>
    <cellStyle name="20% - Accent5 2 2 2 2 2 4 2 2 2" xfId="29554" xr:uid="{00000000-0005-0000-0000-000044200000}"/>
    <cellStyle name="20% - Accent5 2 2 2 2 2 4 2 3" xfId="9867" xr:uid="{00000000-0005-0000-0000-000045200000}"/>
    <cellStyle name="20% - Accent5 2 2 2 2 2 4 3" xfId="19094" xr:uid="{00000000-0005-0000-0000-000046200000}"/>
    <cellStyle name="20% - Accent5 2 2 2 2 2 4 3 2" xfId="24163" xr:uid="{00000000-0005-0000-0000-000047200000}"/>
    <cellStyle name="20% - Accent5 2 2 2 2 2 4 4" xfId="19524" xr:uid="{00000000-0005-0000-0000-000048200000}"/>
    <cellStyle name="20% - Accent5 2 2 2 2 2 5" xfId="6748" xr:uid="{00000000-0005-0000-0000-000049200000}"/>
    <cellStyle name="20% - Accent5 2 2 2 2 2 5 2" xfId="6875" xr:uid="{00000000-0005-0000-0000-00004A200000}"/>
    <cellStyle name="20% - Accent5 2 2 2 2 2 5 2 2" xfId="10370" xr:uid="{00000000-0005-0000-0000-00004B200000}"/>
    <cellStyle name="20% - Accent5 2 2 2 2 2 5 3" xfId="19106" xr:uid="{00000000-0005-0000-0000-00004C200000}"/>
    <cellStyle name="20% - Accent5 2 2 2 2 2 6" xfId="11033" xr:uid="{00000000-0005-0000-0000-00004D200000}"/>
    <cellStyle name="20% - Accent5 2 2 2 2 2 6 2" xfId="19109" xr:uid="{00000000-0005-0000-0000-00004E200000}"/>
    <cellStyle name="20% - Accent5 2 2 2 2 2 7" xfId="11034" xr:uid="{00000000-0005-0000-0000-00004F200000}"/>
    <cellStyle name="20% - Accent5 2 2 2 2 3" xfId="11018" xr:uid="{00000000-0005-0000-0000-000050200000}"/>
    <cellStyle name="20% - Accent5 2 2 2 2 3 2" xfId="6900" xr:uid="{00000000-0005-0000-0000-000051200000}"/>
    <cellStyle name="20% - Accent5 2 2 2 2 3 2 2" xfId="13517" xr:uid="{00000000-0005-0000-0000-000052200000}"/>
    <cellStyle name="20% - Accent5 2 2 2 2 3 2 2 2" xfId="31352" xr:uid="{00000000-0005-0000-0000-000053200000}"/>
    <cellStyle name="20% - Accent5 2 2 2 2 3 2 2 2 2" xfId="11040" xr:uid="{00000000-0005-0000-0000-000054200000}"/>
    <cellStyle name="20% - Accent5 2 2 2 2 3 2 2 2 2 2" xfId="2218" xr:uid="{00000000-0005-0000-0000-000055200000}"/>
    <cellStyle name="20% - Accent5 2 2 2 2 3 2 2 2 3" xfId="7421" xr:uid="{00000000-0005-0000-0000-000056200000}"/>
    <cellStyle name="20% - Accent5 2 2 2 2 3 2 2 3" xfId="32665" xr:uid="{00000000-0005-0000-0000-000057200000}"/>
    <cellStyle name="20% - Accent5 2 2 2 2 3 2 2 3 2" xfId="32778" xr:uid="{00000000-0005-0000-0000-000058200000}"/>
    <cellStyle name="20% - Accent5 2 2 2 2 3 2 2 4" xfId="20736" xr:uid="{00000000-0005-0000-0000-000059200000}"/>
    <cellStyle name="20% - Accent5 2 2 2 2 3 2 3" xfId="2177" xr:uid="{00000000-0005-0000-0000-00005A200000}"/>
    <cellStyle name="20% - Accent5 2 2 2 2 3 2 3 2" xfId="11047" xr:uid="{00000000-0005-0000-0000-00005B200000}"/>
    <cellStyle name="20% - Accent5 2 2 2 2 3 2 3 2 2" xfId="15687" xr:uid="{00000000-0005-0000-0000-00005C200000}"/>
    <cellStyle name="20% - Accent5 2 2 2 2 3 2 3 3" xfId="9650" xr:uid="{00000000-0005-0000-0000-00005D200000}"/>
    <cellStyle name="20% - Accent5 2 2 2 2 3 2 4" xfId="8472" xr:uid="{00000000-0005-0000-0000-00005E200000}"/>
    <cellStyle name="20% - Accent5 2 2 2 2 3 2 4 2" xfId="24203" xr:uid="{00000000-0005-0000-0000-00005F200000}"/>
    <cellStyle name="20% - Accent5 2 2 2 2 3 2 5" xfId="4155" xr:uid="{00000000-0005-0000-0000-000060200000}"/>
    <cellStyle name="20% - Accent5 2 2 2 2 3 3" xfId="11058" xr:uid="{00000000-0005-0000-0000-000061200000}"/>
    <cellStyle name="20% - Accent5 2 2 2 2 3 3 2" xfId="26980" xr:uid="{00000000-0005-0000-0000-000062200000}"/>
    <cellStyle name="20% - Accent5 2 2 2 2 3 3 2 2" xfId="11059" xr:uid="{00000000-0005-0000-0000-000063200000}"/>
    <cellStyle name="20% - Accent5 2 2 2 2 3 3 2 2 2" xfId="30781" xr:uid="{00000000-0005-0000-0000-000064200000}"/>
    <cellStyle name="20% - Accent5 2 2 2 2 3 3 2 3" xfId="9607" xr:uid="{00000000-0005-0000-0000-000065200000}"/>
    <cellStyle name="20% - Accent5 2 2 2 2 3 3 3" xfId="8475" xr:uid="{00000000-0005-0000-0000-000066200000}"/>
    <cellStyle name="20% - Accent5 2 2 2 2 3 3 3 2" xfId="11067" xr:uid="{00000000-0005-0000-0000-000067200000}"/>
    <cellStyle name="20% - Accent5 2 2 2 2 3 3 4" xfId="24710" xr:uid="{00000000-0005-0000-0000-000068200000}"/>
    <cellStyle name="20% - Accent5 2 2 2 2 3 4" xfId="11070" xr:uid="{00000000-0005-0000-0000-000069200000}"/>
    <cellStyle name="20% - Accent5 2 2 2 2 3 4 2" xfId="19125" xr:uid="{00000000-0005-0000-0000-00006A200000}"/>
    <cellStyle name="20% - Accent5 2 2 2 2 3 4 2 2" xfId="246" xr:uid="{00000000-0005-0000-0000-00006B200000}"/>
    <cellStyle name="20% - Accent5 2 2 2 2 3 4 3" xfId="24715" xr:uid="{00000000-0005-0000-0000-00006C200000}"/>
    <cellStyle name="20% - Accent5 2 2 2 2 3 5" xfId="30641" xr:uid="{00000000-0005-0000-0000-00006D200000}"/>
    <cellStyle name="20% - Accent5 2 2 2 2 3 5 2" xfId="19127" xr:uid="{00000000-0005-0000-0000-00006E200000}"/>
    <cellStyle name="20% - Accent5 2 2 2 2 3 6" xfId="33039" xr:uid="{00000000-0005-0000-0000-00006F200000}"/>
    <cellStyle name="20% - Accent5 2 2 2 2 4" xfId="11071" xr:uid="{00000000-0005-0000-0000-000070200000}"/>
    <cellStyle name="20% - Accent5 2 2 2 2 4 2" xfId="12286" xr:uid="{00000000-0005-0000-0000-000071200000}"/>
    <cellStyle name="20% - Accent5 2 2 2 2 4 2 2" xfId="14314" xr:uid="{00000000-0005-0000-0000-000072200000}"/>
    <cellStyle name="20% - Accent5 2 2 2 2 4 2 2 2" xfId="11072" xr:uid="{00000000-0005-0000-0000-000073200000}"/>
    <cellStyle name="20% - Accent5 2 2 2 2 4 2 2 2 2" xfId="11076" xr:uid="{00000000-0005-0000-0000-000074200000}"/>
    <cellStyle name="20% - Accent5 2 2 2 2 4 2 2 3" xfId="9661" xr:uid="{00000000-0005-0000-0000-000075200000}"/>
    <cellStyle name="20% - Accent5 2 2 2 2 4 2 3" xfId="3859" xr:uid="{00000000-0005-0000-0000-000076200000}"/>
    <cellStyle name="20% - Accent5 2 2 2 2 4 2 3 2" xfId="24227" xr:uid="{00000000-0005-0000-0000-000077200000}"/>
    <cellStyle name="20% - Accent5 2 2 2 2 4 2 4" xfId="9900" xr:uid="{00000000-0005-0000-0000-000078200000}"/>
    <cellStyle name="20% - Accent5 2 2 2 2 4 3" xfId="1458" xr:uid="{00000000-0005-0000-0000-000079200000}"/>
    <cellStyle name="20% - Accent5 2 2 2 2 4 3 2" xfId="19135" xr:uid="{00000000-0005-0000-0000-00007A200000}"/>
    <cellStyle name="20% - Accent5 2 2 2 2 4 3 2 2" xfId="11077" xr:uid="{00000000-0005-0000-0000-00007B200000}"/>
    <cellStyle name="20% - Accent5 2 2 2 2 4 3 3" xfId="19137" xr:uid="{00000000-0005-0000-0000-00007C200000}"/>
    <cellStyle name="20% - Accent5 2 2 2 2 4 4" xfId="24537" xr:uid="{00000000-0005-0000-0000-00007D200000}"/>
    <cellStyle name="20% - Accent5 2 2 2 2 4 4 2" xfId="19140" xr:uid="{00000000-0005-0000-0000-00007E200000}"/>
    <cellStyle name="20% - Accent5 2 2 2 2 4 5" xfId="7782" xr:uid="{00000000-0005-0000-0000-00007F200000}"/>
    <cellStyle name="20% - Accent5 2 2 2 2 5" xfId="27070" xr:uid="{00000000-0005-0000-0000-000080200000}"/>
    <cellStyle name="20% - Accent5 2 2 2 2 5 2" xfId="2386" xr:uid="{00000000-0005-0000-0000-000081200000}"/>
    <cellStyle name="20% - Accent5 2 2 2 2 5 2 2" xfId="23539" xr:uid="{00000000-0005-0000-0000-000082200000}"/>
    <cellStyle name="20% - Accent5 2 2 2 2 5 2 2 2" xfId="11088" xr:uid="{00000000-0005-0000-0000-000083200000}"/>
    <cellStyle name="20% - Accent5 2 2 2 2 5 2 3" xfId="10122" xr:uid="{00000000-0005-0000-0000-000084200000}"/>
    <cellStyle name="20% - Accent5 2 2 2 2 5 3" xfId="730" xr:uid="{00000000-0005-0000-0000-000085200000}"/>
    <cellStyle name="20% - Accent5 2 2 2 2 5 3 2" xfId="19144" xr:uid="{00000000-0005-0000-0000-000086200000}"/>
    <cellStyle name="20% - Accent5 2 2 2 2 5 4" xfId="24542" xr:uid="{00000000-0005-0000-0000-000087200000}"/>
    <cellStyle name="20% - Accent5 2 2 2 2 6" xfId="11094" xr:uid="{00000000-0005-0000-0000-000088200000}"/>
    <cellStyle name="20% - Accent5 2 2 2 2 6 2" xfId="5473" xr:uid="{00000000-0005-0000-0000-000089200000}"/>
    <cellStyle name="20% - Accent5 2 2 2 2 6 2 2" xfId="10126" xr:uid="{00000000-0005-0000-0000-00008A200000}"/>
    <cellStyle name="20% - Accent5 2 2 2 2 6 3" xfId="1485" xr:uid="{00000000-0005-0000-0000-00008B200000}"/>
    <cellStyle name="20% - Accent5 2 2 2 2 7" xfId="11095" xr:uid="{00000000-0005-0000-0000-00008C200000}"/>
    <cellStyle name="20% - Accent5 2 2 2 2 7 2" xfId="6523" xr:uid="{00000000-0005-0000-0000-00008D200000}"/>
    <cellStyle name="20% - Accent5 2 2 2 2 8" xfId="11096" xr:uid="{00000000-0005-0000-0000-00008E200000}"/>
    <cellStyle name="20% - Accent5 2 2 2 3" xfId="3254" xr:uid="{00000000-0005-0000-0000-00008F200000}"/>
    <cellStyle name="20% - Accent5 2 2 2 3 2" xfId="25588" xr:uid="{00000000-0005-0000-0000-000090200000}"/>
    <cellStyle name="20% - Accent5 2 2 2 3 2 2" xfId="6905" xr:uid="{00000000-0005-0000-0000-000091200000}"/>
    <cellStyle name="20% - Accent5 2 2 2 3 2 2 2" xfId="6072" xr:uid="{00000000-0005-0000-0000-000092200000}"/>
    <cellStyle name="20% - Accent5 2 2 2 3 2 2 2 2" xfId="19322" xr:uid="{00000000-0005-0000-0000-000093200000}"/>
    <cellStyle name="20% - Accent5 2 2 2 3 2 2 2 2 2" xfId="26848" xr:uid="{00000000-0005-0000-0000-000094200000}"/>
    <cellStyle name="20% - Accent5 2 2 2 3 2 2 2 2 2 2" xfId="18356" xr:uid="{00000000-0005-0000-0000-000095200000}"/>
    <cellStyle name="20% - Accent5 2 2 2 3 2 2 2 2 3" xfId="942" xr:uid="{00000000-0005-0000-0000-000096200000}"/>
    <cellStyle name="20% - Accent5 2 2 2 3 2 2 2 3" xfId="19471" xr:uid="{00000000-0005-0000-0000-000097200000}"/>
    <cellStyle name="20% - Accent5 2 2 2 3 2 2 2 3 2" xfId="11104" xr:uid="{00000000-0005-0000-0000-000098200000}"/>
    <cellStyle name="20% - Accent5 2 2 2 3 2 2 2 4" xfId="19535" xr:uid="{00000000-0005-0000-0000-000099200000}"/>
    <cellStyle name="20% - Accent5 2 2 2 3 2 2 3" xfId="6080" xr:uid="{00000000-0005-0000-0000-00009A200000}"/>
    <cellStyle name="20% - Accent5 2 2 2 3 2 2 3 2" xfId="11109" xr:uid="{00000000-0005-0000-0000-00009B200000}"/>
    <cellStyle name="20% - Accent5 2 2 2 3 2 2 3 2 2" xfId="14141" xr:uid="{00000000-0005-0000-0000-00009C200000}"/>
    <cellStyle name="20% - Accent5 2 2 2 3 2 2 3 3" xfId="22918" xr:uid="{00000000-0005-0000-0000-00009D200000}"/>
    <cellStyle name="20% - Accent5 2 2 2 3 2 2 4" xfId="8496" xr:uid="{00000000-0005-0000-0000-00009E200000}"/>
    <cellStyle name="20% - Accent5 2 2 2 3 2 2 4 2" xfId="19704" xr:uid="{00000000-0005-0000-0000-00009F200000}"/>
    <cellStyle name="20% - Accent5 2 2 2 3 2 2 5" xfId="3025" xr:uid="{00000000-0005-0000-0000-0000A0200000}"/>
    <cellStyle name="20% - Accent5 2 2 2 3 2 3" xfId="2873" xr:uid="{00000000-0005-0000-0000-0000A1200000}"/>
    <cellStyle name="20% - Accent5 2 2 2 3 2 3 2" xfId="17438" xr:uid="{00000000-0005-0000-0000-0000A2200000}"/>
    <cellStyle name="20% - Accent5 2 2 2 3 2 3 2 2" xfId="9549" xr:uid="{00000000-0005-0000-0000-0000A3200000}"/>
    <cellStyle name="20% - Accent5 2 2 2 3 2 3 2 2 2" xfId="28893" xr:uid="{00000000-0005-0000-0000-0000A4200000}"/>
    <cellStyle name="20% - Accent5 2 2 2 3 2 3 2 3" xfId="11396" xr:uid="{00000000-0005-0000-0000-0000A5200000}"/>
    <cellStyle name="20% - Accent5 2 2 2 3 2 3 3" xfId="14895" xr:uid="{00000000-0005-0000-0000-0000A6200000}"/>
    <cellStyle name="20% - Accent5 2 2 2 3 2 3 3 2" xfId="19915" xr:uid="{00000000-0005-0000-0000-0000A7200000}"/>
    <cellStyle name="20% - Accent5 2 2 2 3 2 3 4" xfId="19195" xr:uid="{00000000-0005-0000-0000-0000A8200000}"/>
    <cellStyle name="20% - Accent5 2 2 2 3 2 4" xfId="10001" xr:uid="{00000000-0005-0000-0000-0000A9200000}"/>
    <cellStyle name="20% - Accent5 2 2 2 3 2 4 2" xfId="17451" xr:uid="{00000000-0005-0000-0000-0000AA200000}"/>
    <cellStyle name="20% - Accent5 2 2 2 3 2 4 2 2" xfId="12880" xr:uid="{00000000-0005-0000-0000-0000AB200000}"/>
    <cellStyle name="20% - Accent5 2 2 2 3 2 4 3" xfId="19200" xr:uid="{00000000-0005-0000-0000-0000AC200000}"/>
    <cellStyle name="20% - Accent5 2 2 2 3 2 5" xfId="11116" xr:uid="{00000000-0005-0000-0000-0000AD200000}"/>
    <cellStyle name="20% - Accent5 2 2 2 3 2 5 2" xfId="19202" xr:uid="{00000000-0005-0000-0000-0000AE200000}"/>
    <cellStyle name="20% - Accent5 2 2 2 3 2 6" xfId="11120" xr:uid="{00000000-0005-0000-0000-0000AF200000}"/>
    <cellStyle name="20% - Accent5 2 2 2 3 3" xfId="32772" xr:uid="{00000000-0005-0000-0000-0000B0200000}"/>
    <cellStyle name="20% - Accent5 2 2 2 3 3 2" xfId="4486" xr:uid="{00000000-0005-0000-0000-0000B1200000}"/>
    <cellStyle name="20% - Accent5 2 2 2 3 3 2 2" xfId="6117" xr:uid="{00000000-0005-0000-0000-0000B2200000}"/>
    <cellStyle name="20% - Accent5 2 2 2 3 3 2 2 2" xfId="22504" xr:uid="{00000000-0005-0000-0000-0000B3200000}"/>
    <cellStyle name="20% - Accent5 2 2 2 3 3 2 2 2 2" xfId="342" xr:uid="{00000000-0005-0000-0000-0000B4200000}"/>
    <cellStyle name="20% - Accent5 2 2 2 3 3 2 2 3" xfId="28351" xr:uid="{00000000-0005-0000-0000-0000B5200000}"/>
    <cellStyle name="20% - Accent5 2 2 2 3 3 2 3" xfId="16566" xr:uid="{00000000-0005-0000-0000-0000B6200000}"/>
    <cellStyle name="20% - Accent5 2 2 2 3 3 2 3 2" xfId="24354" xr:uid="{00000000-0005-0000-0000-0000B7200000}"/>
    <cellStyle name="20% - Accent5 2 2 2 3 3 2 4" xfId="12185" xr:uid="{00000000-0005-0000-0000-0000B8200000}"/>
    <cellStyle name="20% - Accent5 2 2 2 3 3 3" xfId="30987" xr:uid="{00000000-0005-0000-0000-0000B9200000}"/>
    <cellStyle name="20% - Accent5 2 2 2 3 3 3 2" xfId="8505" xr:uid="{00000000-0005-0000-0000-0000BA200000}"/>
    <cellStyle name="20% - Accent5 2 2 2 3 3 3 2 2" xfId="2876" xr:uid="{00000000-0005-0000-0000-0000BB200000}"/>
    <cellStyle name="20% - Accent5 2 2 2 3 3 3 3" xfId="15992" xr:uid="{00000000-0005-0000-0000-0000BC200000}"/>
    <cellStyle name="20% - Accent5 2 2 2 3 3 4" xfId="11128" xr:uid="{00000000-0005-0000-0000-0000BD200000}"/>
    <cellStyle name="20% - Accent5 2 2 2 3 3 4 2" xfId="15997" xr:uid="{00000000-0005-0000-0000-0000BE200000}"/>
    <cellStyle name="20% - Accent5 2 2 2 3 3 5" xfId="11130" xr:uid="{00000000-0005-0000-0000-0000BF200000}"/>
    <cellStyle name="20% - Accent5 2 2 2 3 4" xfId="14005" xr:uid="{00000000-0005-0000-0000-0000C0200000}"/>
    <cellStyle name="20% - Accent5 2 2 2 3 4 2" xfId="4845" xr:uid="{00000000-0005-0000-0000-0000C1200000}"/>
    <cellStyle name="20% - Accent5 2 2 2 3 4 2 2" xfId="16580" xr:uid="{00000000-0005-0000-0000-0000C2200000}"/>
    <cellStyle name="20% - Accent5 2 2 2 3 4 2 2 2" xfId="11132" xr:uid="{00000000-0005-0000-0000-0000C3200000}"/>
    <cellStyle name="20% - Accent5 2 2 2 3 4 2 3" xfId="14889" xr:uid="{00000000-0005-0000-0000-0000C4200000}"/>
    <cellStyle name="20% - Accent5 2 2 2 3 4 3" xfId="16906" xr:uid="{00000000-0005-0000-0000-0000C5200000}"/>
    <cellStyle name="20% - Accent5 2 2 2 3 4 3 2" xfId="16007" xr:uid="{00000000-0005-0000-0000-0000C6200000}"/>
    <cellStyle name="20% - Accent5 2 2 2 3 4 4" xfId="24549" xr:uid="{00000000-0005-0000-0000-0000C7200000}"/>
    <cellStyle name="20% - Accent5 2 2 2 3 5" xfId="5977" xr:uid="{00000000-0005-0000-0000-0000C8200000}"/>
    <cellStyle name="20% - Accent5 2 2 2 3 5 2" xfId="4070" xr:uid="{00000000-0005-0000-0000-0000C9200000}"/>
    <cellStyle name="20% - Accent5 2 2 2 3 5 2 2" xfId="9730" xr:uid="{00000000-0005-0000-0000-0000CA200000}"/>
    <cellStyle name="20% - Accent5 2 2 2 3 5 3" xfId="4073" xr:uid="{00000000-0005-0000-0000-0000CB200000}"/>
    <cellStyle name="20% - Accent5 2 2 2 3 6" xfId="11141" xr:uid="{00000000-0005-0000-0000-0000CC200000}"/>
    <cellStyle name="20% - Accent5 2 2 2 3 6 2" xfId="4078" xr:uid="{00000000-0005-0000-0000-0000CD200000}"/>
    <cellStyle name="20% - Accent5 2 2 2 3 7" xfId="12259" xr:uid="{00000000-0005-0000-0000-0000CE200000}"/>
    <cellStyle name="20% - Accent5 2 2 2 4" xfId="1321" xr:uid="{00000000-0005-0000-0000-0000CF200000}"/>
    <cellStyle name="20% - Accent5 2 2 2 4 2" xfId="20670" xr:uid="{00000000-0005-0000-0000-0000D0200000}"/>
    <cellStyle name="20% - Accent5 2 2 2 4 2 2" xfId="4919" xr:uid="{00000000-0005-0000-0000-0000D1200000}"/>
    <cellStyle name="20% - Accent5 2 2 2 4 2 2 2" xfId="7838" xr:uid="{00000000-0005-0000-0000-0000D2200000}"/>
    <cellStyle name="20% - Accent5 2 2 2 4 2 2 2 2" xfId="11150" xr:uid="{00000000-0005-0000-0000-0000D3200000}"/>
    <cellStyle name="20% - Accent5 2 2 2 4 2 2 2 2 2" xfId="12561" xr:uid="{00000000-0005-0000-0000-0000D4200000}"/>
    <cellStyle name="20% - Accent5 2 2 2 4 2 2 2 3" xfId="16964" xr:uid="{00000000-0005-0000-0000-0000D5200000}"/>
    <cellStyle name="20% - Accent5 2 2 2 4 2 2 3" xfId="8516" xr:uid="{00000000-0005-0000-0000-0000D6200000}"/>
    <cellStyle name="20% - Accent5 2 2 2 4 2 2 3 2" xfId="24431" xr:uid="{00000000-0005-0000-0000-0000D7200000}"/>
    <cellStyle name="20% - Accent5 2 2 2 4 2 2 4" xfId="10612" xr:uid="{00000000-0005-0000-0000-0000D8200000}"/>
    <cellStyle name="20% - Accent5 2 2 2 4 2 3" xfId="9367" xr:uid="{00000000-0005-0000-0000-0000D9200000}"/>
    <cellStyle name="20% - Accent5 2 2 2 4 2 3 2" xfId="17876" xr:uid="{00000000-0005-0000-0000-0000DA200000}"/>
    <cellStyle name="20% - Accent5 2 2 2 4 2 3 2 2" xfId="11426" xr:uid="{00000000-0005-0000-0000-0000DB200000}"/>
    <cellStyle name="20% - Accent5 2 2 2 4 2 3 3" xfId="19243" xr:uid="{00000000-0005-0000-0000-0000DC200000}"/>
    <cellStyle name="20% - Accent5 2 2 2 4 2 4" xfId="10019" xr:uid="{00000000-0005-0000-0000-0000DD200000}"/>
    <cellStyle name="20% - Accent5 2 2 2 4 2 4 2" xfId="19252" xr:uid="{00000000-0005-0000-0000-0000DE200000}"/>
    <cellStyle name="20% - Accent5 2 2 2 4 2 5" xfId="10025" xr:uid="{00000000-0005-0000-0000-0000DF200000}"/>
    <cellStyle name="20% - Accent5 2 2 2 4 3" xfId="4927" xr:uid="{00000000-0005-0000-0000-0000E0200000}"/>
    <cellStyle name="20% - Accent5 2 2 2 4 3 2" xfId="9384" xr:uid="{00000000-0005-0000-0000-0000E1200000}"/>
    <cellStyle name="20% - Accent5 2 2 2 4 3 2 2" xfId="27661" xr:uid="{00000000-0005-0000-0000-0000E2200000}"/>
    <cellStyle name="20% - Accent5 2 2 2 4 3 2 2 2" xfId="11153" xr:uid="{00000000-0005-0000-0000-0000E3200000}"/>
    <cellStyle name="20% - Accent5 2 2 2 4 3 2 3" xfId="22252" xr:uid="{00000000-0005-0000-0000-0000E4200000}"/>
    <cellStyle name="20% - Accent5 2 2 2 4 3 3" xfId="11160" xr:uid="{00000000-0005-0000-0000-0000E5200000}"/>
    <cellStyle name="20% - Accent5 2 2 2 4 3 3 2" xfId="16034" xr:uid="{00000000-0005-0000-0000-0000E6200000}"/>
    <cellStyle name="20% - Accent5 2 2 2 4 3 4" xfId="10075" xr:uid="{00000000-0005-0000-0000-0000E7200000}"/>
    <cellStyle name="20% - Accent5 2 2 2 4 4" xfId="1361" xr:uid="{00000000-0005-0000-0000-0000E8200000}"/>
    <cellStyle name="20% - Accent5 2 2 2 4 4 2" xfId="7917" xr:uid="{00000000-0005-0000-0000-0000E9200000}"/>
    <cellStyle name="20% - Accent5 2 2 2 4 4 2 2" xfId="9594" xr:uid="{00000000-0005-0000-0000-0000EA200000}"/>
    <cellStyle name="20% - Accent5 2 2 2 4 4 3" xfId="7740" xr:uid="{00000000-0005-0000-0000-0000EB200000}"/>
    <cellStyle name="20% - Accent5 2 2 2 4 5" xfId="11163" xr:uid="{00000000-0005-0000-0000-0000EC200000}"/>
    <cellStyle name="20% - Accent5 2 2 2 4 5 2" xfId="4206" xr:uid="{00000000-0005-0000-0000-0000ED200000}"/>
    <cellStyle name="20% - Accent5 2 2 2 4 6" xfId="11167" xr:uid="{00000000-0005-0000-0000-0000EE200000}"/>
    <cellStyle name="20% - Accent5 2 2 2 5" xfId="1652" xr:uid="{00000000-0005-0000-0000-0000EF200000}"/>
    <cellStyle name="20% - Accent5 2 2 2 5 2" xfId="4982" xr:uid="{00000000-0005-0000-0000-0000F0200000}"/>
    <cellStyle name="20% - Accent5 2 2 2 5 2 2" xfId="1767" xr:uid="{00000000-0005-0000-0000-0000F1200000}"/>
    <cellStyle name="20% - Accent5 2 2 2 5 2 2 2" xfId="8525" xr:uid="{00000000-0005-0000-0000-0000F2200000}"/>
    <cellStyle name="20% - Accent5 2 2 2 5 2 2 2 2" xfId="28282" xr:uid="{00000000-0005-0000-0000-0000F3200000}"/>
    <cellStyle name="20% - Accent5 2 2 2 5 2 2 3" xfId="11173" xr:uid="{00000000-0005-0000-0000-0000F4200000}"/>
    <cellStyle name="20% - Accent5 2 2 2 5 2 3" xfId="4237" xr:uid="{00000000-0005-0000-0000-0000F5200000}"/>
    <cellStyle name="20% - Accent5 2 2 2 5 2 3 2" xfId="19284" xr:uid="{00000000-0005-0000-0000-0000F6200000}"/>
    <cellStyle name="20% - Accent5 2 2 2 5 2 4" xfId="12618" xr:uid="{00000000-0005-0000-0000-0000F7200000}"/>
    <cellStyle name="20% - Accent5 2 2 2 5 3" xfId="389" xr:uid="{00000000-0005-0000-0000-0000F8200000}"/>
    <cellStyle name="20% - Accent5 2 2 2 5 3 2" xfId="2259" xr:uid="{00000000-0005-0000-0000-0000F9200000}"/>
    <cellStyle name="20% - Accent5 2 2 2 5 3 2 2" xfId="18785" xr:uid="{00000000-0005-0000-0000-0000FA200000}"/>
    <cellStyle name="20% - Accent5 2 2 2 5 3 3" xfId="11175" xr:uid="{00000000-0005-0000-0000-0000FB200000}"/>
    <cellStyle name="20% - Accent5 2 2 2 5 4" xfId="24349" xr:uid="{00000000-0005-0000-0000-0000FC200000}"/>
    <cellStyle name="20% - Accent5 2 2 2 5 4 2" xfId="6583" xr:uid="{00000000-0005-0000-0000-0000FD200000}"/>
    <cellStyle name="20% - Accent5 2 2 2 5 5" xfId="21070" xr:uid="{00000000-0005-0000-0000-0000FE200000}"/>
    <cellStyle name="20% - Accent5 2 2 2 6" xfId="2005" xr:uid="{00000000-0005-0000-0000-0000FF200000}"/>
    <cellStyle name="20% - Accent5 2 2 2 6 2" xfId="2012" xr:uid="{00000000-0005-0000-0000-000000210000}"/>
    <cellStyle name="20% - Accent5 2 2 2 6 2 2" xfId="3536" xr:uid="{00000000-0005-0000-0000-000001210000}"/>
    <cellStyle name="20% - Accent5 2 2 2 6 2 2 2" xfId="11180" xr:uid="{00000000-0005-0000-0000-000002210000}"/>
    <cellStyle name="20% - Accent5 2 2 2 6 2 3" xfId="11182" xr:uid="{00000000-0005-0000-0000-000003210000}"/>
    <cellStyle name="20% - Accent5 2 2 2 6 3" xfId="11187" xr:uid="{00000000-0005-0000-0000-000004210000}"/>
    <cellStyle name="20% - Accent5 2 2 2 6 3 2" xfId="11190" xr:uid="{00000000-0005-0000-0000-000005210000}"/>
    <cellStyle name="20% - Accent5 2 2 2 6 4" xfId="11194" xr:uid="{00000000-0005-0000-0000-000006210000}"/>
    <cellStyle name="20% - Accent5 2 2 2 7" xfId="1744" xr:uid="{00000000-0005-0000-0000-000007210000}"/>
    <cellStyle name="20% - Accent5 2 2 2 7 2" xfId="26074" xr:uid="{00000000-0005-0000-0000-000008210000}"/>
    <cellStyle name="20% - Accent5 2 2 2 7 2 2" xfId="3574" xr:uid="{00000000-0005-0000-0000-000009210000}"/>
    <cellStyle name="20% - Accent5 2 2 2 7 3" xfId="15472" xr:uid="{00000000-0005-0000-0000-00000A210000}"/>
    <cellStyle name="20% - Accent5 2 2 2 8" xfId="1000" xr:uid="{00000000-0005-0000-0000-00000B210000}"/>
    <cellStyle name="20% - Accent5 2 2 2 8 2" xfId="15479" xr:uid="{00000000-0005-0000-0000-00000C210000}"/>
    <cellStyle name="20% - Accent5 2 2 2 9" xfId="1007" xr:uid="{00000000-0005-0000-0000-00000D210000}"/>
    <cellStyle name="20% - Accent5 2 2 3" xfId="11196" xr:uid="{00000000-0005-0000-0000-00000E210000}"/>
    <cellStyle name="20% - Accent5 2 2 3 2" xfId="11198" xr:uid="{00000000-0005-0000-0000-00000F210000}"/>
    <cellStyle name="20% - Accent5 2 2 3 2 2" xfId="11199" xr:uid="{00000000-0005-0000-0000-000010210000}"/>
    <cellStyle name="20% - Accent5 2 2 3 2 2 2" xfId="6920" xr:uid="{00000000-0005-0000-0000-000011210000}"/>
    <cellStyle name="20% - Accent5 2 2 3 2 2 2 2" xfId="13545" xr:uid="{00000000-0005-0000-0000-000012210000}"/>
    <cellStyle name="20% - Accent5 2 2 3 2 2 2 2 2" xfId="11203" xr:uid="{00000000-0005-0000-0000-000013210000}"/>
    <cellStyle name="20% - Accent5 2 2 3 2 2 2 2 2 2" xfId="11205" xr:uid="{00000000-0005-0000-0000-000014210000}"/>
    <cellStyle name="20% - Accent5 2 2 3 2 2 2 2 2 2 2" xfId="20824" xr:uid="{00000000-0005-0000-0000-000015210000}"/>
    <cellStyle name="20% - Accent5 2 2 3 2 2 2 2 2 3" xfId="11213" xr:uid="{00000000-0005-0000-0000-000016210000}"/>
    <cellStyle name="20% - Accent5 2 2 3 2 2 2 2 3" xfId="11713" xr:uid="{00000000-0005-0000-0000-000017210000}"/>
    <cellStyle name="20% - Accent5 2 2 3 2 2 2 2 3 2" xfId="11215" xr:uid="{00000000-0005-0000-0000-000018210000}"/>
    <cellStyle name="20% - Accent5 2 2 3 2 2 2 2 4" xfId="28007" xr:uid="{00000000-0005-0000-0000-000019210000}"/>
    <cellStyle name="20% - Accent5 2 2 3 2 2 2 3" xfId="8727" xr:uid="{00000000-0005-0000-0000-00001A210000}"/>
    <cellStyle name="20% - Accent5 2 2 3 2 2 2 3 2" xfId="15122" xr:uid="{00000000-0005-0000-0000-00001B210000}"/>
    <cellStyle name="20% - Accent5 2 2 3 2 2 2 3 2 2" xfId="11220" xr:uid="{00000000-0005-0000-0000-00001C210000}"/>
    <cellStyle name="20% - Accent5 2 2 3 2 2 2 3 3" xfId="10267" xr:uid="{00000000-0005-0000-0000-00001D210000}"/>
    <cellStyle name="20% - Accent5 2 2 3 2 2 2 4" xfId="653" xr:uid="{00000000-0005-0000-0000-00001E210000}"/>
    <cellStyle name="20% - Accent5 2 2 3 2 2 2 4 2" xfId="11224" xr:uid="{00000000-0005-0000-0000-00001F210000}"/>
    <cellStyle name="20% - Accent5 2 2 3 2 2 2 5" xfId="2137" xr:uid="{00000000-0005-0000-0000-000020210000}"/>
    <cellStyle name="20% - Accent5 2 2 3 2 2 3" xfId="11226" xr:uid="{00000000-0005-0000-0000-000021210000}"/>
    <cellStyle name="20% - Accent5 2 2 3 2 2 3 2" xfId="23763" xr:uid="{00000000-0005-0000-0000-000022210000}"/>
    <cellStyle name="20% - Accent5 2 2 3 2 2 3 2 2" xfId="9073" xr:uid="{00000000-0005-0000-0000-000023210000}"/>
    <cellStyle name="20% - Accent5 2 2 3 2 2 3 2 2 2" xfId="31209" xr:uid="{00000000-0005-0000-0000-000024210000}"/>
    <cellStyle name="20% - Accent5 2 2 3 2 2 3 2 3" xfId="3435" xr:uid="{00000000-0005-0000-0000-000025210000}"/>
    <cellStyle name="20% - Accent5 2 2 3 2 2 3 3" xfId="32812" xr:uid="{00000000-0005-0000-0000-000026210000}"/>
    <cellStyle name="20% - Accent5 2 2 3 2 2 3 3 2" xfId="11238" xr:uid="{00000000-0005-0000-0000-000027210000}"/>
    <cellStyle name="20% - Accent5 2 2 3 2 2 3 4" xfId="30679" xr:uid="{00000000-0005-0000-0000-000028210000}"/>
    <cellStyle name="20% - Accent5 2 2 3 2 2 4" xfId="11241" xr:uid="{00000000-0005-0000-0000-000029210000}"/>
    <cellStyle name="20% - Accent5 2 2 3 2 2 4 2" xfId="3322" xr:uid="{00000000-0005-0000-0000-00002A210000}"/>
    <cellStyle name="20% - Accent5 2 2 3 2 2 4 2 2" xfId="11244" xr:uid="{00000000-0005-0000-0000-00002B210000}"/>
    <cellStyle name="20% - Accent5 2 2 3 2 2 4 3" xfId="24055" xr:uid="{00000000-0005-0000-0000-00002C210000}"/>
    <cellStyle name="20% - Accent5 2 2 3 2 2 5" xfId="11245" xr:uid="{00000000-0005-0000-0000-00002D210000}"/>
    <cellStyle name="20% - Accent5 2 2 3 2 2 5 2" xfId="16383" xr:uid="{00000000-0005-0000-0000-00002E210000}"/>
    <cellStyle name="20% - Accent5 2 2 3 2 2 6" xfId="11247" xr:uid="{00000000-0005-0000-0000-00002F210000}"/>
    <cellStyle name="20% - Accent5 2 2 3 2 3" xfId="12136" xr:uid="{00000000-0005-0000-0000-000030210000}"/>
    <cellStyle name="20% - Accent5 2 2 3 2 3 2" xfId="11248" xr:uid="{00000000-0005-0000-0000-000031210000}"/>
    <cellStyle name="20% - Accent5 2 2 3 2 3 2 2" xfId="23437" xr:uid="{00000000-0005-0000-0000-000032210000}"/>
    <cellStyle name="20% - Accent5 2 2 3 2 3 2 2 2" xfId="11249" xr:uid="{00000000-0005-0000-0000-000033210000}"/>
    <cellStyle name="20% - Accent5 2 2 3 2 3 2 2 2 2" xfId="30876" xr:uid="{00000000-0005-0000-0000-000034210000}"/>
    <cellStyle name="20% - Accent5 2 2 3 2 3 2 2 3" xfId="10215" xr:uid="{00000000-0005-0000-0000-000035210000}"/>
    <cellStyle name="20% - Accent5 2 2 3 2 3 2 3" xfId="8740" xr:uid="{00000000-0005-0000-0000-000036210000}"/>
    <cellStyle name="20% - Accent5 2 2 3 2 3 2 3 2" xfId="11251" xr:uid="{00000000-0005-0000-0000-000037210000}"/>
    <cellStyle name="20% - Accent5 2 2 3 2 3 2 4" xfId="18560" xr:uid="{00000000-0005-0000-0000-000038210000}"/>
    <cellStyle name="20% - Accent5 2 2 3 2 3 3" xfId="11259" xr:uid="{00000000-0005-0000-0000-000039210000}"/>
    <cellStyle name="20% - Accent5 2 2 3 2 3 3 2" xfId="19291" xr:uid="{00000000-0005-0000-0000-00003A210000}"/>
    <cellStyle name="20% - Accent5 2 2 3 2 3 3 2 2" xfId="11261" xr:uid="{00000000-0005-0000-0000-00003B210000}"/>
    <cellStyle name="20% - Accent5 2 2 3 2 3 3 3" xfId="29236" xr:uid="{00000000-0005-0000-0000-00003C210000}"/>
    <cellStyle name="20% - Accent5 2 2 3 2 3 4" xfId="11265" xr:uid="{00000000-0005-0000-0000-00003D210000}"/>
    <cellStyle name="20% - Accent5 2 2 3 2 3 4 2" xfId="19123" xr:uid="{00000000-0005-0000-0000-00003E210000}"/>
    <cellStyle name="20% - Accent5 2 2 3 2 3 5" xfId="33080" xr:uid="{00000000-0005-0000-0000-00003F210000}"/>
    <cellStyle name="20% - Accent5 2 2 3 2 4" xfId="11415" xr:uid="{00000000-0005-0000-0000-000040210000}"/>
    <cellStyle name="20% - Accent5 2 2 3 2 4 2" xfId="13927" xr:uid="{00000000-0005-0000-0000-000041210000}"/>
    <cellStyle name="20% - Accent5 2 2 3 2 4 2 2" xfId="1210" xr:uid="{00000000-0005-0000-0000-000042210000}"/>
    <cellStyle name="20% - Accent5 2 2 3 2 4 2 2 2" xfId="1882" xr:uid="{00000000-0005-0000-0000-000043210000}"/>
    <cellStyle name="20% - Accent5 2 2 3 2 4 2 3" xfId="28572" xr:uid="{00000000-0005-0000-0000-000044210000}"/>
    <cellStyle name="20% - Accent5 2 2 3 2 4 3" xfId="6063" xr:uid="{00000000-0005-0000-0000-000045210000}"/>
    <cellStyle name="20% - Accent5 2 2 3 2 4 3 2" xfId="19691" xr:uid="{00000000-0005-0000-0000-000046210000}"/>
    <cellStyle name="20% - Accent5 2 2 3 2 4 4" xfId="24586" xr:uid="{00000000-0005-0000-0000-000047210000}"/>
    <cellStyle name="20% - Accent5 2 2 3 2 5" xfId="32437" xr:uid="{00000000-0005-0000-0000-000048210000}"/>
    <cellStyle name="20% - Accent5 2 2 3 2 5 2" xfId="869" xr:uid="{00000000-0005-0000-0000-000049210000}"/>
    <cellStyle name="20% - Accent5 2 2 3 2 5 2 2" xfId="17848" xr:uid="{00000000-0005-0000-0000-00004A210000}"/>
    <cellStyle name="20% - Accent5 2 2 3 2 5 3" xfId="7430" xr:uid="{00000000-0005-0000-0000-00004B210000}"/>
    <cellStyle name="20% - Accent5 2 2 3 2 6" xfId="11272" xr:uid="{00000000-0005-0000-0000-00004C210000}"/>
    <cellStyle name="20% - Accent5 2 2 3 2 6 2" xfId="5483" xr:uid="{00000000-0005-0000-0000-00004D210000}"/>
    <cellStyle name="20% - Accent5 2 2 3 2 7" xfId="23562" xr:uid="{00000000-0005-0000-0000-00004E210000}"/>
    <cellStyle name="20% - Accent5 2 2 3 3" xfId="3610" xr:uid="{00000000-0005-0000-0000-00004F210000}"/>
    <cellStyle name="20% - Accent5 2 2 3 3 2" xfId="33432" xr:uid="{00000000-0005-0000-0000-000050210000}"/>
    <cellStyle name="20% - Accent5 2 2 3 3 2 2" xfId="9136" xr:uid="{00000000-0005-0000-0000-000051210000}"/>
    <cellStyle name="20% - Accent5 2 2 3 3 2 2 2" xfId="6105" xr:uid="{00000000-0005-0000-0000-000052210000}"/>
    <cellStyle name="20% - Accent5 2 2 3 3 2 2 2 2" xfId="28239" xr:uid="{00000000-0005-0000-0000-000053210000}"/>
    <cellStyle name="20% - Accent5 2 2 3 3 2 2 2 2 2" xfId="11276" xr:uid="{00000000-0005-0000-0000-000054210000}"/>
    <cellStyle name="20% - Accent5 2 2 3 3 2 2 2 3" xfId="29331" xr:uid="{00000000-0005-0000-0000-000055210000}"/>
    <cellStyle name="20% - Accent5 2 2 3 3 2 2 3" xfId="27813" xr:uid="{00000000-0005-0000-0000-000056210000}"/>
    <cellStyle name="20% - Accent5 2 2 3 3 2 2 3 2" xfId="32135" xr:uid="{00000000-0005-0000-0000-000057210000}"/>
    <cellStyle name="20% - Accent5 2 2 3 3 2 2 4" xfId="27816" xr:uid="{00000000-0005-0000-0000-000058210000}"/>
    <cellStyle name="20% - Accent5 2 2 3 3 2 3" xfId="31615" xr:uid="{00000000-0005-0000-0000-000059210000}"/>
    <cellStyle name="20% - Accent5 2 2 3 3 2 3 2" xfId="18235" xr:uid="{00000000-0005-0000-0000-00005A210000}"/>
    <cellStyle name="20% - Accent5 2 2 3 3 2 3 2 2" xfId="11288" xr:uid="{00000000-0005-0000-0000-00005B210000}"/>
    <cellStyle name="20% - Accent5 2 2 3 3 2 3 3" xfId="19292" xr:uid="{00000000-0005-0000-0000-00005C210000}"/>
    <cellStyle name="20% - Accent5 2 2 3 3 2 4" xfId="11293" xr:uid="{00000000-0005-0000-0000-00005D210000}"/>
    <cellStyle name="20% - Accent5 2 2 3 3 2 4 2" xfId="19559" xr:uid="{00000000-0005-0000-0000-00005E210000}"/>
    <cellStyle name="20% - Accent5 2 2 3 3 2 5" xfId="10038" xr:uid="{00000000-0005-0000-0000-00005F210000}"/>
    <cellStyle name="20% - Accent5 2 2 3 3 3" xfId="14011" xr:uid="{00000000-0005-0000-0000-000060210000}"/>
    <cellStyle name="20% - Accent5 2 2 3 3 3 2" xfId="9639" xr:uid="{00000000-0005-0000-0000-000061210000}"/>
    <cellStyle name="20% - Accent5 2 2 3 3 3 2 2" xfId="19632" xr:uid="{00000000-0005-0000-0000-000062210000}"/>
    <cellStyle name="20% - Accent5 2 2 3 3 3 2 2 2" xfId="33686" xr:uid="{00000000-0005-0000-0000-000063210000}"/>
    <cellStyle name="20% - Accent5 2 2 3 3 3 2 3" xfId="22942" xr:uid="{00000000-0005-0000-0000-000064210000}"/>
    <cellStyle name="20% - Accent5 2 2 3 3 3 3" xfId="11300" xr:uid="{00000000-0005-0000-0000-000065210000}"/>
    <cellStyle name="20% - Accent5 2 2 3 3 3 3 2" xfId="16080" xr:uid="{00000000-0005-0000-0000-000066210000}"/>
    <cellStyle name="20% - Accent5 2 2 3 3 3 4" xfId="11304" xr:uid="{00000000-0005-0000-0000-000067210000}"/>
    <cellStyle name="20% - Accent5 2 2 3 3 4" xfId="9826" xr:uid="{00000000-0005-0000-0000-000068210000}"/>
    <cellStyle name="20% - Accent5 2 2 3 3 4 2" xfId="20176" xr:uid="{00000000-0005-0000-0000-000069210000}"/>
    <cellStyle name="20% - Accent5 2 2 3 3 4 2 2" xfId="28058" xr:uid="{00000000-0005-0000-0000-00006A210000}"/>
    <cellStyle name="20% - Accent5 2 2 3 3 4 3" xfId="23025" xr:uid="{00000000-0005-0000-0000-00006B210000}"/>
    <cellStyle name="20% - Accent5 2 2 3 3 5" xfId="12624" xr:uid="{00000000-0005-0000-0000-00006C210000}"/>
    <cellStyle name="20% - Accent5 2 2 3 3 5 2" xfId="14199" xr:uid="{00000000-0005-0000-0000-00006D210000}"/>
    <cellStyle name="20% - Accent5 2 2 3 3 6" xfId="11310" xr:uid="{00000000-0005-0000-0000-00006E210000}"/>
    <cellStyle name="20% - Accent5 2 2 3 4" xfId="3698" xr:uid="{00000000-0005-0000-0000-00006F210000}"/>
    <cellStyle name="20% - Accent5 2 2 3 4 2" xfId="10262" xr:uid="{00000000-0005-0000-0000-000070210000}"/>
    <cellStyle name="20% - Accent5 2 2 3 4 2 2" xfId="14040" xr:uid="{00000000-0005-0000-0000-000071210000}"/>
    <cellStyle name="20% - Accent5 2 2 3 4 2 2 2" xfId="24674" xr:uid="{00000000-0005-0000-0000-000072210000}"/>
    <cellStyle name="20% - Accent5 2 2 3 4 2 2 2 2" xfId="835" xr:uid="{00000000-0005-0000-0000-000073210000}"/>
    <cellStyle name="20% - Accent5 2 2 3 4 2 2 3" xfId="27202" xr:uid="{00000000-0005-0000-0000-000074210000}"/>
    <cellStyle name="20% - Accent5 2 2 3 4 2 3" xfId="11324" xr:uid="{00000000-0005-0000-0000-000075210000}"/>
    <cellStyle name="20% - Accent5 2 2 3 4 2 3 2" xfId="19732" xr:uid="{00000000-0005-0000-0000-000076210000}"/>
    <cellStyle name="20% - Accent5 2 2 3 4 2 4" xfId="10393" xr:uid="{00000000-0005-0000-0000-000077210000}"/>
    <cellStyle name="20% - Accent5 2 2 3 4 3" xfId="12142" xr:uid="{00000000-0005-0000-0000-000078210000}"/>
    <cellStyle name="20% - Accent5 2 2 3 4 3 2" xfId="18854" xr:uid="{00000000-0005-0000-0000-000079210000}"/>
    <cellStyle name="20% - Accent5 2 2 3 4 3 2 2" xfId="19933" xr:uid="{00000000-0005-0000-0000-00007A210000}"/>
    <cellStyle name="20% - Accent5 2 2 3 4 3 3" xfId="11329" xr:uid="{00000000-0005-0000-0000-00007B210000}"/>
    <cellStyle name="20% - Accent5 2 2 3 4 4" xfId="11332" xr:uid="{00000000-0005-0000-0000-00007C210000}"/>
    <cellStyle name="20% - Accent5 2 2 3 4 4 2" xfId="9951" xr:uid="{00000000-0005-0000-0000-00007D210000}"/>
    <cellStyle name="20% - Accent5 2 2 3 4 5" xfId="11333" xr:uid="{00000000-0005-0000-0000-00007E210000}"/>
    <cellStyle name="20% - Accent5 2 2 3 5" xfId="2033" xr:uid="{00000000-0005-0000-0000-00007F210000}"/>
    <cellStyle name="20% - Accent5 2 2 3 5 2" xfId="269" xr:uid="{00000000-0005-0000-0000-000080210000}"/>
    <cellStyle name="20% - Accent5 2 2 3 5 2 2" xfId="2462" xr:uid="{00000000-0005-0000-0000-000081210000}"/>
    <cellStyle name="20% - Accent5 2 2 3 5 2 2 2" xfId="13105" xr:uid="{00000000-0005-0000-0000-000082210000}"/>
    <cellStyle name="20% - Accent5 2 2 3 5 2 3" xfId="8622" xr:uid="{00000000-0005-0000-0000-000083210000}"/>
    <cellStyle name="20% - Accent5 2 2 3 5 3" xfId="11336" xr:uid="{00000000-0005-0000-0000-000084210000}"/>
    <cellStyle name="20% - Accent5 2 2 3 5 3 2" xfId="11340" xr:uid="{00000000-0005-0000-0000-000085210000}"/>
    <cellStyle name="20% - Accent5 2 2 3 5 4" xfId="11344" xr:uid="{00000000-0005-0000-0000-000086210000}"/>
    <cellStyle name="20% - Accent5 2 2 3 6" xfId="6002" xr:uid="{00000000-0005-0000-0000-000087210000}"/>
    <cellStyle name="20% - Accent5 2 2 3 6 2" xfId="11346" xr:uid="{00000000-0005-0000-0000-000088210000}"/>
    <cellStyle name="20% - Accent5 2 2 3 6 2 2" xfId="11350" xr:uid="{00000000-0005-0000-0000-000089210000}"/>
    <cellStyle name="20% - Accent5 2 2 3 6 3" xfId="11355" xr:uid="{00000000-0005-0000-0000-00008A210000}"/>
    <cellStyle name="20% - Accent5 2 2 3 7" xfId="6005" xr:uid="{00000000-0005-0000-0000-00008B210000}"/>
    <cellStyle name="20% - Accent5 2 2 3 7 2" xfId="15502" xr:uid="{00000000-0005-0000-0000-00008C210000}"/>
    <cellStyle name="20% - Accent5 2 2 3 8" xfId="1014" xr:uid="{00000000-0005-0000-0000-00008D210000}"/>
    <cellStyle name="20% - Accent5 2 2 4" xfId="30933" xr:uid="{00000000-0005-0000-0000-00008E210000}"/>
    <cellStyle name="20% - Accent5 2 2 4 2" xfId="29118" xr:uid="{00000000-0005-0000-0000-00008F210000}"/>
    <cellStyle name="20% - Accent5 2 2 4 2 2" xfId="30460" xr:uid="{00000000-0005-0000-0000-000090210000}"/>
    <cellStyle name="20% - Accent5 2 2 4 2 2 2" xfId="29544" xr:uid="{00000000-0005-0000-0000-000091210000}"/>
    <cellStyle name="20% - Accent5 2 2 4 2 2 2 2" xfId="31653" xr:uid="{00000000-0005-0000-0000-000092210000}"/>
    <cellStyle name="20% - Accent5 2 2 4 2 2 2 2 2" xfId="11362" xr:uid="{00000000-0005-0000-0000-000093210000}"/>
    <cellStyle name="20% - Accent5 2 2 4 2 2 2 2 2 2" xfId="11363" xr:uid="{00000000-0005-0000-0000-000094210000}"/>
    <cellStyle name="20% - Accent5 2 2 4 2 2 2 2 3" xfId="12950" xr:uid="{00000000-0005-0000-0000-000095210000}"/>
    <cellStyle name="20% - Accent5 2 2 4 2 2 2 3" xfId="509" xr:uid="{00000000-0005-0000-0000-000096210000}"/>
    <cellStyle name="20% - Accent5 2 2 4 2 2 2 3 2" xfId="27562" xr:uid="{00000000-0005-0000-0000-000097210000}"/>
    <cellStyle name="20% - Accent5 2 2 4 2 2 2 4" xfId="3603" xr:uid="{00000000-0005-0000-0000-000098210000}"/>
    <cellStyle name="20% - Accent5 2 2 4 2 2 3" xfId="6634" xr:uid="{00000000-0005-0000-0000-000099210000}"/>
    <cellStyle name="20% - Accent5 2 2 4 2 2 3 2" xfId="21095" xr:uid="{00000000-0005-0000-0000-00009A210000}"/>
    <cellStyle name="20% - Accent5 2 2 4 2 2 3 2 2" xfId="31445" xr:uid="{00000000-0005-0000-0000-00009B210000}"/>
    <cellStyle name="20% - Accent5 2 2 4 2 2 3 3" xfId="29786" xr:uid="{00000000-0005-0000-0000-00009C210000}"/>
    <cellStyle name="20% - Accent5 2 2 4 2 2 4" xfId="13451" xr:uid="{00000000-0005-0000-0000-00009D210000}"/>
    <cellStyle name="20% - Accent5 2 2 4 2 2 4 2" xfId="11364" xr:uid="{00000000-0005-0000-0000-00009E210000}"/>
    <cellStyle name="20% - Accent5 2 2 4 2 2 5" xfId="18738" xr:uid="{00000000-0005-0000-0000-00009F210000}"/>
    <cellStyle name="20% - Accent5 2 2 4 2 3" xfId="16172" xr:uid="{00000000-0005-0000-0000-0000A0210000}"/>
    <cellStyle name="20% - Accent5 2 2 4 2 3 2" xfId="11368" xr:uid="{00000000-0005-0000-0000-0000A1210000}"/>
    <cellStyle name="20% - Accent5 2 2 4 2 3 2 2" xfId="12998" xr:uid="{00000000-0005-0000-0000-0000A2210000}"/>
    <cellStyle name="20% - Accent5 2 2 4 2 3 2 2 2" xfId="11371" xr:uid="{00000000-0005-0000-0000-0000A3210000}"/>
    <cellStyle name="20% - Accent5 2 2 4 2 3 2 3" xfId="28205" xr:uid="{00000000-0005-0000-0000-0000A4210000}"/>
    <cellStyle name="20% - Accent5 2 2 4 2 3 3" xfId="11372" xr:uid="{00000000-0005-0000-0000-0000A5210000}"/>
    <cellStyle name="20% - Accent5 2 2 4 2 3 3 2" xfId="28889" xr:uid="{00000000-0005-0000-0000-0000A6210000}"/>
    <cellStyle name="20% - Accent5 2 2 4 2 3 4" xfId="724" xr:uid="{00000000-0005-0000-0000-0000A7210000}"/>
    <cellStyle name="20% - Accent5 2 2 4 2 4" xfId="11374" xr:uid="{00000000-0005-0000-0000-0000A8210000}"/>
    <cellStyle name="20% - Accent5 2 2 4 2 4 2" xfId="9260" xr:uid="{00000000-0005-0000-0000-0000A9210000}"/>
    <cellStyle name="20% - Accent5 2 2 4 2 4 2 2" xfId="31812" xr:uid="{00000000-0005-0000-0000-0000AA210000}"/>
    <cellStyle name="20% - Accent5 2 2 4 2 4 3" xfId="9390" xr:uid="{00000000-0005-0000-0000-0000AB210000}"/>
    <cellStyle name="20% - Accent5 2 2 4 2 5" xfId="11376" xr:uid="{00000000-0005-0000-0000-0000AC210000}"/>
    <cellStyle name="20% - Accent5 2 2 4 2 5 2" xfId="3305" xr:uid="{00000000-0005-0000-0000-0000AD210000}"/>
    <cellStyle name="20% - Accent5 2 2 4 2 6" xfId="32557" xr:uid="{00000000-0005-0000-0000-0000AE210000}"/>
    <cellStyle name="20% - Accent5 2 2 4 3" xfId="8223" xr:uid="{00000000-0005-0000-0000-0000AF210000}"/>
    <cellStyle name="20% - Accent5 2 2 4 3 2" xfId="12778" xr:uid="{00000000-0005-0000-0000-0000B0210000}"/>
    <cellStyle name="20% - Accent5 2 2 4 3 2 2" xfId="18751" xr:uid="{00000000-0005-0000-0000-0000B1210000}"/>
    <cellStyle name="20% - Accent5 2 2 4 3 2 2 2" xfId="30949" xr:uid="{00000000-0005-0000-0000-0000B2210000}"/>
    <cellStyle name="20% - Accent5 2 2 4 3 2 2 2 2" xfId="7683" xr:uid="{00000000-0005-0000-0000-0000B3210000}"/>
    <cellStyle name="20% - Accent5 2 2 4 3 2 2 3" xfId="12354" xr:uid="{00000000-0005-0000-0000-0000B4210000}"/>
    <cellStyle name="20% - Accent5 2 2 4 3 2 3" xfId="18874" xr:uid="{00000000-0005-0000-0000-0000B5210000}"/>
    <cellStyle name="20% - Accent5 2 2 4 3 2 3 2" xfId="20027" xr:uid="{00000000-0005-0000-0000-0000B6210000}"/>
    <cellStyle name="20% - Accent5 2 2 4 3 2 4" xfId="13354" xr:uid="{00000000-0005-0000-0000-0000B7210000}"/>
    <cellStyle name="20% - Accent5 2 2 4 3 3" xfId="12154" xr:uid="{00000000-0005-0000-0000-0000B8210000}"/>
    <cellStyle name="20% - Accent5 2 2 4 3 3 2" xfId="3793" xr:uid="{00000000-0005-0000-0000-0000B9210000}"/>
    <cellStyle name="20% - Accent5 2 2 4 3 3 2 2" xfId="8021" xr:uid="{00000000-0005-0000-0000-0000BA210000}"/>
    <cellStyle name="20% - Accent5 2 2 4 3 3 3" xfId="11388" xr:uid="{00000000-0005-0000-0000-0000BB210000}"/>
    <cellStyle name="20% - Accent5 2 2 4 3 4" xfId="6293" xr:uid="{00000000-0005-0000-0000-0000BC210000}"/>
    <cellStyle name="20% - Accent5 2 2 4 3 4 2" xfId="19187" xr:uid="{00000000-0005-0000-0000-0000BD210000}"/>
    <cellStyle name="20% - Accent5 2 2 4 3 5" xfId="3883" xr:uid="{00000000-0005-0000-0000-0000BE210000}"/>
    <cellStyle name="20% - Accent5 2 2 4 4" xfId="27635" xr:uid="{00000000-0005-0000-0000-0000BF210000}"/>
    <cellStyle name="20% - Accent5 2 2 4 4 2" xfId="124" xr:uid="{00000000-0005-0000-0000-0000C0210000}"/>
    <cellStyle name="20% - Accent5 2 2 4 4 2 2" xfId="14917" xr:uid="{00000000-0005-0000-0000-0000C1210000}"/>
    <cellStyle name="20% - Accent5 2 2 4 4 2 2 2" xfId="11393" xr:uid="{00000000-0005-0000-0000-0000C2210000}"/>
    <cellStyle name="20% - Accent5 2 2 4 4 2 3" xfId="19540" xr:uid="{00000000-0005-0000-0000-0000C3210000}"/>
    <cellStyle name="20% - Accent5 2 2 4 4 3" xfId="142" xr:uid="{00000000-0005-0000-0000-0000C4210000}"/>
    <cellStyle name="20% - Accent5 2 2 4 4 3 2" xfId="22921" xr:uid="{00000000-0005-0000-0000-0000C5210000}"/>
    <cellStyle name="20% - Accent5 2 2 4 4 4" xfId="3928" xr:uid="{00000000-0005-0000-0000-0000C6210000}"/>
    <cellStyle name="20% - Accent5 2 2 4 5" xfId="9117" xr:uid="{00000000-0005-0000-0000-0000C7210000}"/>
    <cellStyle name="20% - Accent5 2 2 4 5 2" xfId="11395" xr:uid="{00000000-0005-0000-0000-0000C8210000}"/>
    <cellStyle name="20% - Accent5 2 2 4 5 2 2" xfId="24376" xr:uid="{00000000-0005-0000-0000-0000C9210000}"/>
    <cellStyle name="20% - Accent5 2 2 4 5 3" xfId="11399" xr:uid="{00000000-0005-0000-0000-0000CA210000}"/>
    <cellStyle name="20% - Accent5 2 2 4 6" xfId="6009" xr:uid="{00000000-0005-0000-0000-0000CB210000}"/>
    <cellStyle name="20% - Accent5 2 2 4 6 2" xfId="486" xr:uid="{00000000-0005-0000-0000-0000CC210000}"/>
    <cellStyle name="20% - Accent5 2 2 4 7" xfId="11408" xr:uid="{00000000-0005-0000-0000-0000CD210000}"/>
    <cellStyle name="20% - Accent5 2 2 5" xfId="11410" xr:uid="{00000000-0005-0000-0000-0000CE210000}"/>
    <cellStyle name="20% - Accent5 2 2 5 2" xfId="11418" xr:uid="{00000000-0005-0000-0000-0000CF210000}"/>
    <cellStyle name="20% - Accent5 2 2 5 2 2" xfId="19193" xr:uid="{00000000-0005-0000-0000-0000D0210000}"/>
    <cellStyle name="20% - Accent5 2 2 5 2 2 2" xfId="8066" xr:uid="{00000000-0005-0000-0000-0000D1210000}"/>
    <cellStyle name="20% - Accent5 2 2 5 2 2 2 2" xfId="3191" xr:uid="{00000000-0005-0000-0000-0000D2210000}"/>
    <cellStyle name="20% - Accent5 2 2 5 2 2 2 2 2" xfId="11420" xr:uid="{00000000-0005-0000-0000-0000D3210000}"/>
    <cellStyle name="20% - Accent5 2 2 5 2 2 2 3" xfId="32931" xr:uid="{00000000-0005-0000-0000-0000D4210000}"/>
    <cellStyle name="20% - Accent5 2 2 5 2 2 3" xfId="31751" xr:uid="{00000000-0005-0000-0000-0000D5210000}"/>
    <cellStyle name="20% - Accent5 2 2 5 2 2 3 2" xfId="20210" xr:uid="{00000000-0005-0000-0000-0000D6210000}"/>
    <cellStyle name="20% - Accent5 2 2 5 2 2 4" xfId="31588" xr:uid="{00000000-0005-0000-0000-0000D7210000}"/>
    <cellStyle name="20% - Accent5 2 2 5 2 3" xfId="31591" xr:uid="{00000000-0005-0000-0000-0000D8210000}"/>
    <cellStyle name="20% - Accent5 2 2 5 2 3 2" xfId="31767" xr:uid="{00000000-0005-0000-0000-0000D9210000}"/>
    <cellStyle name="20% - Accent5 2 2 5 2 3 2 2" xfId="135" xr:uid="{00000000-0005-0000-0000-0000DA210000}"/>
    <cellStyle name="20% - Accent5 2 2 5 2 3 3" xfId="31595" xr:uid="{00000000-0005-0000-0000-0000DB210000}"/>
    <cellStyle name="20% - Accent5 2 2 5 2 4" xfId="11421" xr:uid="{00000000-0005-0000-0000-0000DC210000}"/>
    <cellStyle name="20% - Accent5 2 2 5 2 4 2" xfId="11197" xr:uid="{00000000-0005-0000-0000-0000DD210000}"/>
    <cellStyle name="20% - Accent5 2 2 5 2 5" xfId="33141" xr:uid="{00000000-0005-0000-0000-0000DE210000}"/>
    <cellStyle name="20% - Accent5 2 2 5 3" xfId="7180" xr:uid="{00000000-0005-0000-0000-0000DF210000}"/>
    <cellStyle name="20% - Accent5 2 2 5 3 2" xfId="482" xr:uid="{00000000-0005-0000-0000-0000E0210000}"/>
    <cellStyle name="20% - Accent5 2 2 5 3 2 2" xfId="32766" xr:uid="{00000000-0005-0000-0000-0000E1210000}"/>
    <cellStyle name="20% - Accent5 2 2 5 3 2 2 2" xfId="32019" xr:uid="{00000000-0005-0000-0000-0000E2210000}"/>
    <cellStyle name="20% - Accent5 2 2 5 3 2 3" xfId="29557" xr:uid="{00000000-0005-0000-0000-0000E3210000}"/>
    <cellStyle name="20% - Accent5 2 2 5 3 3" xfId="24555" xr:uid="{00000000-0005-0000-0000-0000E4210000}"/>
    <cellStyle name="20% - Accent5 2 2 5 3 3 2" xfId="28211" xr:uid="{00000000-0005-0000-0000-0000E5210000}"/>
    <cellStyle name="20% - Accent5 2 2 5 3 4" xfId="4388" xr:uid="{00000000-0005-0000-0000-0000E6210000}"/>
    <cellStyle name="20% - Accent5 2 2 5 4" xfId="29024" xr:uid="{00000000-0005-0000-0000-0000E7210000}"/>
    <cellStyle name="20% - Accent5 2 2 5 4 2" xfId="30935" xr:uid="{00000000-0005-0000-0000-0000E8210000}"/>
    <cellStyle name="20% - Accent5 2 2 5 4 2 2" xfId="28353" xr:uid="{00000000-0005-0000-0000-0000E9210000}"/>
    <cellStyle name="20% - Accent5 2 2 5 4 3" xfId="31640" xr:uid="{00000000-0005-0000-0000-0000EA210000}"/>
    <cellStyle name="20% - Accent5 2 2 5 5" xfId="12875" xr:uid="{00000000-0005-0000-0000-0000EB210000}"/>
    <cellStyle name="20% - Accent5 2 2 5 5 2" xfId="11430" xr:uid="{00000000-0005-0000-0000-0000EC210000}"/>
    <cellStyle name="20% - Accent5 2 2 5 6" xfId="20760" xr:uid="{00000000-0005-0000-0000-0000ED210000}"/>
    <cellStyle name="20% - Accent5 2 2 6" xfId="11432" xr:uid="{00000000-0005-0000-0000-0000EE210000}"/>
    <cellStyle name="20% - Accent5 2 2 6 2" xfId="31558" xr:uid="{00000000-0005-0000-0000-0000EF210000}"/>
    <cellStyle name="20% - Accent5 2 2 6 2 2" xfId="31727" xr:uid="{00000000-0005-0000-0000-0000F0210000}"/>
    <cellStyle name="20% - Accent5 2 2 6 2 2 2" xfId="225" xr:uid="{00000000-0005-0000-0000-0000F1210000}"/>
    <cellStyle name="20% - Accent5 2 2 6 2 2 2 2" xfId="30555" xr:uid="{00000000-0005-0000-0000-0000F2210000}"/>
    <cellStyle name="20% - Accent5 2 2 6 2 2 3" xfId="31731" xr:uid="{00000000-0005-0000-0000-0000F3210000}"/>
    <cellStyle name="20% - Accent5 2 2 6 2 3" xfId="30838" xr:uid="{00000000-0005-0000-0000-0000F4210000}"/>
    <cellStyle name="20% - Accent5 2 2 6 2 3 2" xfId="31737" xr:uid="{00000000-0005-0000-0000-0000F5210000}"/>
    <cellStyle name="20% - Accent5 2 2 6 2 4" xfId="4566" xr:uid="{00000000-0005-0000-0000-0000F6210000}"/>
    <cellStyle name="20% - Accent5 2 2 6 3" xfId="31579" xr:uid="{00000000-0005-0000-0000-0000F7210000}"/>
    <cellStyle name="20% - Accent5 2 2 6 3 2" xfId="32588" xr:uid="{00000000-0005-0000-0000-0000F8210000}"/>
    <cellStyle name="20% - Accent5 2 2 6 3 2 2" xfId="27539" xr:uid="{00000000-0005-0000-0000-0000F9210000}"/>
    <cellStyle name="20% - Accent5 2 2 6 3 3" xfId="31753" xr:uid="{00000000-0005-0000-0000-0000FA210000}"/>
    <cellStyle name="20% - Accent5 2 2 6 4" xfId="30788" xr:uid="{00000000-0005-0000-0000-0000FB210000}"/>
    <cellStyle name="20% - Accent5 2 2 6 4 2" xfId="29494" xr:uid="{00000000-0005-0000-0000-0000FC210000}"/>
    <cellStyle name="20% - Accent5 2 2 6 5" xfId="20782" xr:uid="{00000000-0005-0000-0000-0000FD210000}"/>
    <cellStyle name="20% - Accent5 2 2 7" xfId="11444" xr:uid="{00000000-0005-0000-0000-0000FE210000}"/>
    <cellStyle name="20% - Accent5 2 2 7 2" xfId="33972" xr:uid="{00000000-0005-0000-0000-0000FF210000}"/>
    <cellStyle name="20% - Accent5 2 2 7 2 2" xfId="11445" xr:uid="{00000000-0005-0000-0000-000000220000}"/>
    <cellStyle name="20% - Accent5 2 2 7 2 2 2" xfId="33880" xr:uid="{00000000-0005-0000-0000-000001220000}"/>
    <cellStyle name="20% - Accent5 2 2 7 2 3" xfId="31850" xr:uid="{00000000-0005-0000-0000-000002220000}"/>
    <cellStyle name="20% - Accent5 2 2 7 3" xfId="33870" xr:uid="{00000000-0005-0000-0000-000003220000}"/>
    <cellStyle name="20% - Accent5 2 2 7 3 2" xfId="28089" xr:uid="{00000000-0005-0000-0000-000004220000}"/>
    <cellStyle name="20% - Accent5 2 2 7 4" xfId="11448" xr:uid="{00000000-0005-0000-0000-000005220000}"/>
    <cellStyle name="20% - Accent5 2 2 8" xfId="11449" xr:uid="{00000000-0005-0000-0000-000006220000}"/>
    <cellStyle name="20% - Accent5 2 2 8 2" xfId="5826" xr:uid="{00000000-0005-0000-0000-000007220000}"/>
    <cellStyle name="20% - Accent5 2 2 8 2 2" xfId="33224" xr:uid="{00000000-0005-0000-0000-000008220000}"/>
    <cellStyle name="20% - Accent5 2 2 8 3" xfId="23729" xr:uid="{00000000-0005-0000-0000-000009220000}"/>
    <cellStyle name="20% - Accent5 2 2 9" xfId="11450" xr:uid="{00000000-0005-0000-0000-00000A220000}"/>
    <cellStyle name="20% - Accent5 2 2 9 2" xfId="25605" xr:uid="{00000000-0005-0000-0000-00000B220000}"/>
    <cellStyle name="20% - Accent5 2 3" xfId="821" xr:uid="{00000000-0005-0000-0000-00000C220000}"/>
    <cellStyle name="20% - Accent5 2 3 2" xfId="3447" xr:uid="{00000000-0005-0000-0000-00000D220000}"/>
    <cellStyle name="20% - Accent5 2 3 2 2" xfId="11451" xr:uid="{00000000-0005-0000-0000-00000E220000}"/>
    <cellStyle name="20% - Accent5 2 3 2 2 2" xfId="29725" xr:uid="{00000000-0005-0000-0000-00000F220000}"/>
    <cellStyle name="20% - Accent5 2 3 2 2 2 2" xfId="6923" xr:uid="{00000000-0005-0000-0000-000010220000}"/>
    <cellStyle name="20% - Accent5 2 3 2 2 2 2 2" xfId="10278" xr:uid="{00000000-0005-0000-0000-000011220000}"/>
    <cellStyle name="20% - Accent5 2 3 2 2 2 2 2 2" xfId="24782" xr:uid="{00000000-0005-0000-0000-000012220000}"/>
    <cellStyle name="20% - Accent5 2 3 2 2 2 2 2 2 2" xfId="13842" xr:uid="{00000000-0005-0000-0000-000013220000}"/>
    <cellStyle name="20% - Accent5 2 3 2 2 2 2 2 2 2 2" xfId="19251" xr:uid="{00000000-0005-0000-0000-000014220000}"/>
    <cellStyle name="20% - Accent5 2 3 2 2 2 2 2 2 3" xfId="26972" xr:uid="{00000000-0005-0000-0000-000015220000}"/>
    <cellStyle name="20% - Accent5 2 3 2 2 2 2 2 3" xfId="11456" xr:uid="{00000000-0005-0000-0000-000016220000}"/>
    <cellStyle name="20% - Accent5 2 3 2 2 2 2 2 3 2" xfId="4936" xr:uid="{00000000-0005-0000-0000-000017220000}"/>
    <cellStyle name="20% - Accent5 2 3 2 2 2 2 2 4" xfId="11457" xr:uid="{00000000-0005-0000-0000-000018220000}"/>
    <cellStyle name="20% - Accent5 2 3 2 2 2 2 3" xfId="10287" xr:uid="{00000000-0005-0000-0000-000019220000}"/>
    <cellStyle name="20% - Accent5 2 3 2 2 2 2 3 2" xfId="14599" xr:uid="{00000000-0005-0000-0000-00001A220000}"/>
    <cellStyle name="20% - Accent5 2 3 2 2 2 2 3 2 2" xfId="11458" xr:uid="{00000000-0005-0000-0000-00001B220000}"/>
    <cellStyle name="20% - Accent5 2 3 2 2 2 2 3 3" xfId="28087" xr:uid="{00000000-0005-0000-0000-00001C220000}"/>
    <cellStyle name="20% - Accent5 2 3 2 2 2 2 4" xfId="10292" xr:uid="{00000000-0005-0000-0000-00001D220000}"/>
    <cellStyle name="20% - Accent5 2 3 2 2 2 2 4 2" xfId="26285" xr:uid="{00000000-0005-0000-0000-00001E220000}"/>
    <cellStyle name="20% - Accent5 2 3 2 2 2 2 5" xfId="4457" xr:uid="{00000000-0005-0000-0000-00001F220000}"/>
    <cellStyle name="20% - Accent5 2 3 2 2 2 3" xfId="11460" xr:uid="{00000000-0005-0000-0000-000020220000}"/>
    <cellStyle name="20% - Accent5 2 3 2 2 2 3 2" xfId="21013" xr:uid="{00000000-0005-0000-0000-000021220000}"/>
    <cellStyle name="20% - Accent5 2 3 2 2 2 3 2 2" xfId="11462" xr:uid="{00000000-0005-0000-0000-000022220000}"/>
    <cellStyle name="20% - Accent5 2 3 2 2 2 3 2 2 2" xfId="26994" xr:uid="{00000000-0005-0000-0000-000023220000}"/>
    <cellStyle name="20% - Accent5 2 3 2 2 2 3 2 3" xfId="11463" xr:uid="{00000000-0005-0000-0000-000024220000}"/>
    <cellStyle name="20% - Accent5 2 3 2 2 2 3 3" xfId="21335" xr:uid="{00000000-0005-0000-0000-000025220000}"/>
    <cellStyle name="20% - Accent5 2 3 2 2 2 3 3 2" xfId="26293" xr:uid="{00000000-0005-0000-0000-000026220000}"/>
    <cellStyle name="20% - Accent5 2 3 2 2 2 3 4" xfId="21342" xr:uid="{00000000-0005-0000-0000-000027220000}"/>
    <cellStyle name="20% - Accent5 2 3 2 2 2 4" xfId="31173" xr:uid="{00000000-0005-0000-0000-000028220000}"/>
    <cellStyle name="20% - Accent5 2 3 2 2 2 4 2" xfId="21372" xr:uid="{00000000-0005-0000-0000-000029220000}"/>
    <cellStyle name="20% - Accent5 2 3 2 2 2 4 2 2" xfId="33589" xr:uid="{00000000-0005-0000-0000-00002A220000}"/>
    <cellStyle name="20% - Accent5 2 3 2 2 2 4 3" xfId="21392" xr:uid="{00000000-0005-0000-0000-00002B220000}"/>
    <cellStyle name="20% - Accent5 2 3 2 2 2 5" xfId="3679" xr:uid="{00000000-0005-0000-0000-00002C220000}"/>
    <cellStyle name="20% - Accent5 2 3 2 2 2 5 2" xfId="21422" xr:uid="{00000000-0005-0000-0000-00002D220000}"/>
    <cellStyle name="20% - Accent5 2 3 2 2 2 6" xfId="11465" xr:uid="{00000000-0005-0000-0000-00002E220000}"/>
    <cellStyle name="20% - Accent5 2 3 2 2 3" xfId="11468" xr:uid="{00000000-0005-0000-0000-00002F220000}"/>
    <cellStyle name="20% - Accent5 2 3 2 2 3 2" xfId="11471" xr:uid="{00000000-0005-0000-0000-000030220000}"/>
    <cellStyle name="20% - Accent5 2 3 2 2 3 2 2" xfId="10316" xr:uid="{00000000-0005-0000-0000-000031220000}"/>
    <cellStyle name="20% - Accent5 2 3 2 2 3 2 2 2" xfId="11472" xr:uid="{00000000-0005-0000-0000-000032220000}"/>
    <cellStyle name="20% - Accent5 2 3 2 2 3 2 2 2 2" xfId="21496" xr:uid="{00000000-0005-0000-0000-000033220000}"/>
    <cellStyle name="20% - Accent5 2 3 2 2 3 2 2 3" xfId="24616" xr:uid="{00000000-0005-0000-0000-000034220000}"/>
    <cellStyle name="20% - Accent5 2 3 2 2 3 2 3" xfId="10723" xr:uid="{00000000-0005-0000-0000-000035220000}"/>
    <cellStyle name="20% - Accent5 2 3 2 2 3 2 3 2" xfId="26326" xr:uid="{00000000-0005-0000-0000-000036220000}"/>
    <cellStyle name="20% - Accent5 2 3 2 2 3 2 4" xfId="12964" xr:uid="{00000000-0005-0000-0000-000037220000}"/>
    <cellStyle name="20% - Accent5 2 3 2 2 3 3" xfId="11480" xr:uid="{00000000-0005-0000-0000-000038220000}"/>
    <cellStyle name="20% - Accent5 2 3 2 2 3 3 2" xfId="21450" xr:uid="{00000000-0005-0000-0000-000039220000}"/>
    <cellStyle name="20% - Accent5 2 3 2 2 3 3 2 2" xfId="13646" xr:uid="{00000000-0005-0000-0000-00003A220000}"/>
    <cellStyle name="20% - Accent5 2 3 2 2 3 3 3" xfId="21456" xr:uid="{00000000-0005-0000-0000-00003B220000}"/>
    <cellStyle name="20% - Accent5 2 3 2 2 3 4" xfId="22160" xr:uid="{00000000-0005-0000-0000-00003C220000}"/>
    <cellStyle name="20% - Accent5 2 3 2 2 3 4 2" xfId="21503" xr:uid="{00000000-0005-0000-0000-00003D220000}"/>
    <cellStyle name="20% - Accent5 2 3 2 2 3 5" xfId="11482" xr:uid="{00000000-0005-0000-0000-00003E220000}"/>
    <cellStyle name="20% - Accent5 2 3 2 2 4" xfId="11484" xr:uid="{00000000-0005-0000-0000-00003F220000}"/>
    <cellStyle name="20% - Accent5 2 3 2 2 4 2" xfId="11477" xr:uid="{00000000-0005-0000-0000-000040220000}"/>
    <cellStyle name="20% - Accent5 2 3 2 2 4 2 2" xfId="11074" xr:uid="{00000000-0005-0000-0000-000041220000}"/>
    <cellStyle name="20% - Accent5 2 3 2 2 4 2 2 2" xfId="18017" xr:uid="{00000000-0005-0000-0000-000042220000}"/>
    <cellStyle name="20% - Accent5 2 3 2 2 4 2 3" xfId="12973" xr:uid="{00000000-0005-0000-0000-000043220000}"/>
    <cellStyle name="20% - Accent5 2 3 2 2 4 3" xfId="11489" xr:uid="{00000000-0005-0000-0000-000044220000}"/>
    <cellStyle name="20% - Accent5 2 3 2 2 4 3 2" xfId="26854" xr:uid="{00000000-0005-0000-0000-000045220000}"/>
    <cellStyle name="20% - Accent5 2 3 2 2 4 4" xfId="11492" xr:uid="{00000000-0005-0000-0000-000046220000}"/>
    <cellStyle name="20% - Accent5 2 3 2 2 5" xfId="11493" xr:uid="{00000000-0005-0000-0000-000047220000}"/>
    <cellStyle name="20% - Accent5 2 3 2 2 5 2" xfId="4091" xr:uid="{00000000-0005-0000-0000-000048220000}"/>
    <cellStyle name="20% - Accent5 2 3 2 2 5 2 2" xfId="11083" xr:uid="{00000000-0005-0000-0000-000049220000}"/>
    <cellStyle name="20% - Accent5 2 3 2 2 5 3" xfId="24533" xr:uid="{00000000-0005-0000-0000-00004A220000}"/>
    <cellStyle name="20% - Accent5 2 3 2 2 6" xfId="11494" xr:uid="{00000000-0005-0000-0000-00004B220000}"/>
    <cellStyle name="20% - Accent5 2 3 2 2 6 2" xfId="7700" xr:uid="{00000000-0005-0000-0000-00004C220000}"/>
    <cellStyle name="20% - Accent5 2 3 2 2 7" xfId="11495" xr:uid="{00000000-0005-0000-0000-00004D220000}"/>
    <cellStyle name="20% - Accent5 2 3 2 3" xfId="15448" xr:uid="{00000000-0005-0000-0000-00004E220000}"/>
    <cellStyle name="20% - Accent5 2 3 2 3 2" xfId="14138" xr:uid="{00000000-0005-0000-0000-00004F220000}"/>
    <cellStyle name="20% - Accent5 2 3 2 3 2 2" xfId="15450" xr:uid="{00000000-0005-0000-0000-000050220000}"/>
    <cellStyle name="20% - Accent5 2 3 2 3 2 2 2" xfId="7476" xr:uid="{00000000-0005-0000-0000-000051220000}"/>
    <cellStyle name="20% - Accent5 2 3 2 3 2 2 2 2" xfId="32445" xr:uid="{00000000-0005-0000-0000-000052220000}"/>
    <cellStyle name="20% - Accent5 2 3 2 3 2 2 2 2 2" xfId="27089" xr:uid="{00000000-0005-0000-0000-000053220000}"/>
    <cellStyle name="20% - Accent5 2 3 2 3 2 2 2 3" xfId="17961" xr:uid="{00000000-0005-0000-0000-000054220000}"/>
    <cellStyle name="20% - Accent5 2 3 2 3 2 2 3" xfId="7985" xr:uid="{00000000-0005-0000-0000-000055220000}"/>
    <cellStyle name="20% - Accent5 2 3 2 3 2 2 3 2" xfId="24769" xr:uid="{00000000-0005-0000-0000-000056220000}"/>
    <cellStyle name="20% - Accent5 2 3 2 3 2 2 4" xfId="12009" xr:uid="{00000000-0005-0000-0000-000057220000}"/>
    <cellStyle name="20% - Accent5 2 3 2 3 2 3" xfId="15473" xr:uid="{00000000-0005-0000-0000-000058220000}"/>
    <cellStyle name="20% - Accent5 2 3 2 3 2 3 2" xfId="25211" xr:uid="{00000000-0005-0000-0000-000059220000}"/>
    <cellStyle name="20% - Accent5 2 3 2 3 2 3 2 2" xfId="11502" xr:uid="{00000000-0005-0000-0000-00005A220000}"/>
    <cellStyle name="20% - Accent5 2 3 2 3 2 3 3" xfId="21686" xr:uid="{00000000-0005-0000-0000-00005B220000}"/>
    <cellStyle name="20% - Accent5 2 3 2 3 2 4" xfId="15482" xr:uid="{00000000-0005-0000-0000-00005C220000}"/>
    <cellStyle name="20% - Accent5 2 3 2 3 2 4 2" xfId="23986" xr:uid="{00000000-0005-0000-0000-00005D220000}"/>
    <cellStyle name="20% - Accent5 2 3 2 3 2 5" xfId="15487" xr:uid="{00000000-0005-0000-0000-00005E220000}"/>
    <cellStyle name="20% - Accent5 2 3 2 3 3" xfId="11211" xr:uid="{00000000-0005-0000-0000-00005F220000}"/>
    <cellStyle name="20% - Accent5 2 3 2 3 3 2" xfId="15494" xr:uid="{00000000-0005-0000-0000-000060220000}"/>
    <cellStyle name="20% - Accent5 2 3 2 3 3 2 2" xfId="8612" xr:uid="{00000000-0005-0000-0000-000061220000}"/>
    <cellStyle name="20% - Accent5 2 3 2 3 3 2 2 2" xfId="11505" xr:uid="{00000000-0005-0000-0000-000062220000}"/>
    <cellStyle name="20% - Accent5 2 3 2 3 3 2 3" xfId="12690" xr:uid="{00000000-0005-0000-0000-000063220000}"/>
    <cellStyle name="20% - Accent5 2 3 2 3 3 3" xfId="12651" xr:uid="{00000000-0005-0000-0000-000064220000}"/>
    <cellStyle name="20% - Accent5 2 3 2 3 3 3 2" xfId="8632" xr:uid="{00000000-0005-0000-0000-000065220000}"/>
    <cellStyle name="20% - Accent5 2 3 2 3 3 4" xfId="14225" xr:uid="{00000000-0005-0000-0000-000066220000}"/>
    <cellStyle name="20% - Accent5 2 3 2 3 4" xfId="15505" xr:uid="{00000000-0005-0000-0000-000067220000}"/>
    <cellStyle name="20% - Accent5 2 3 2 3 4 2" xfId="15507" xr:uid="{00000000-0005-0000-0000-000068220000}"/>
    <cellStyle name="20% - Accent5 2 3 2 3 4 2 2" xfId="11091" xr:uid="{00000000-0005-0000-0000-000069220000}"/>
    <cellStyle name="20% - Accent5 2 3 2 3 4 3" xfId="11514" xr:uid="{00000000-0005-0000-0000-00006A220000}"/>
    <cellStyle name="20% - Accent5 2 3 2 3 5" xfId="15510" xr:uid="{00000000-0005-0000-0000-00006B220000}"/>
    <cellStyle name="20% - Accent5 2 3 2 3 5 2" xfId="15517" xr:uid="{00000000-0005-0000-0000-00006C220000}"/>
    <cellStyle name="20% - Accent5 2 3 2 3 6" xfId="15519" xr:uid="{00000000-0005-0000-0000-00006D220000}"/>
    <cellStyle name="20% - Accent5 2 3 2 4" xfId="18199" xr:uid="{00000000-0005-0000-0000-00006E220000}"/>
    <cellStyle name="20% - Accent5 2 3 2 4 2" xfId="11103" xr:uid="{00000000-0005-0000-0000-00006F220000}"/>
    <cellStyle name="20% - Accent5 2 3 2 4 2 2" xfId="10950" xr:uid="{00000000-0005-0000-0000-000070220000}"/>
    <cellStyle name="20% - Accent5 2 3 2 4 2 2 2" xfId="8681" xr:uid="{00000000-0005-0000-0000-000071220000}"/>
    <cellStyle name="20% - Accent5 2 3 2 4 2 2 2 2" xfId="6772" xr:uid="{00000000-0005-0000-0000-000072220000}"/>
    <cellStyle name="20% - Accent5 2 3 2 4 2 2 3" xfId="8687" xr:uid="{00000000-0005-0000-0000-000073220000}"/>
    <cellStyle name="20% - Accent5 2 3 2 4 2 3" xfId="12254" xr:uid="{00000000-0005-0000-0000-000074220000}"/>
    <cellStyle name="20% - Accent5 2 3 2 4 2 3 2" xfId="8698" xr:uid="{00000000-0005-0000-0000-000075220000}"/>
    <cellStyle name="20% - Accent5 2 3 2 4 2 4" xfId="15525" xr:uid="{00000000-0005-0000-0000-000076220000}"/>
    <cellStyle name="20% - Accent5 2 3 2 4 3" xfId="12264" xr:uid="{00000000-0005-0000-0000-000077220000}"/>
    <cellStyle name="20% - Accent5 2 3 2 4 3 2" xfId="12267" xr:uid="{00000000-0005-0000-0000-000078220000}"/>
    <cellStyle name="20% - Accent5 2 3 2 4 3 2 2" xfId="2317" xr:uid="{00000000-0005-0000-0000-000079220000}"/>
    <cellStyle name="20% - Accent5 2 3 2 4 3 3" xfId="11526" xr:uid="{00000000-0005-0000-0000-00007A220000}"/>
    <cellStyle name="20% - Accent5 2 3 2 4 4" xfId="12272" xr:uid="{00000000-0005-0000-0000-00007B220000}"/>
    <cellStyle name="20% - Accent5 2 3 2 4 4 2" xfId="15527" xr:uid="{00000000-0005-0000-0000-00007C220000}"/>
    <cellStyle name="20% - Accent5 2 3 2 4 5" xfId="15529" xr:uid="{00000000-0005-0000-0000-00007D220000}"/>
    <cellStyle name="20% - Accent5 2 3 2 5" xfId="15532" xr:uid="{00000000-0005-0000-0000-00007E220000}"/>
    <cellStyle name="20% - Accent5 2 3 2 5 2" xfId="5183" xr:uid="{00000000-0005-0000-0000-00007F220000}"/>
    <cellStyle name="20% - Accent5 2 3 2 5 2 2" xfId="5582" xr:uid="{00000000-0005-0000-0000-000080220000}"/>
    <cellStyle name="20% - Accent5 2 3 2 5 2 2 2" xfId="16315" xr:uid="{00000000-0005-0000-0000-000081220000}"/>
    <cellStyle name="20% - Accent5 2 3 2 5 2 3" xfId="14728" xr:uid="{00000000-0005-0000-0000-000082220000}"/>
    <cellStyle name="20% - Accent5 2 3 2 5 3" xfId="11534" xr:uid="{00000000-0005-0000-0000-000083220000}"/>
    <cellStyle name="20% - Accent5 2 3 2 5 3 2" xfId="11536" xr:uid="{00000000-0005-0000-0000-000084220000}"/>
    <cellStyle name="20% - Accent5 2 3 2 5 4" xfId="24816" xr:uid="{00000000-0005-0000-0000-000085220000}"/>
    <cellStyle name="20% - Accent5 2 3 2 6" xfId="15535" xr:uid="{00000000-0005-0000-0000-000086220000}"/>
    <cellStyle name="20% - Accent5 2 3 2 6 2" xfId="11547" xr:uid="{00000000-0005-0000-0000-000087220000}"/>
    <cellStyle name="20% - Accent5 2 3 2 6 2 2" xfId="11549" xr:uid="{00000000-0005-0000-0000-000088220000}"/>
    <cellStyle name="20% - Accent5 2 3 2 6 3" xfId="15538" xr:uid="{00000000-0005-0000-0000-000089220000}"/>
    <cellStyle name="20% - Accent5 2 3 2 7" xfId="11553" xr:uid="{00000000-0005-0000-0000-00008A220000}"/>
    <cellStyle name="20% - Accent5 2 3 2 7 2" xfId="11557" xr:uid="{00000000-0005-0000-0000-00008B220000}"/>
    <cellStyle name="20% - Accent5 2 3 2 8" xfId="7678" xr:uid="{00000000-0005-0000-0000-00008C220000}"/>
    <cellStyle name="20% - Accent5 2 3 3" xfId="3448" xr:uid="{00000000-0005-0000-0000-00008D220000}"/>
    <cellStyle name="20% - Accent5 2 3 3 2" xfId="11559" xr:uid="{00000000-0005-0000-0000-00008E220000}"/>
    <cellStyle name="20% - Accent5 2 3 3 2 2" xfId="3915" xr:uid="{00000000-0005-0000-0000-00008F220000}"/>
    <cellStyle name="20% - Accent5 2 3 3 2 2 2" xfId="3921" xr:uid="{00000000-0005-0000-0000-000090220000}"/>
    <cellStyle name="20% - Accent5 2 3 3 2 2 2 2" xfId="10560" xr:uid="{00000000-0005-0000-0000-000091220000}"/>
    <cellStyle name="20% - Accent5 2 3 3 2 2 2 2 2" xfId="11561" xr:uid="{00000000-0005-0000-0000-000092220000}"/>
    <cellStyle name="20% - Accent5 2 3 3 2 2 2 2 2 2" xfId="17251" xr:uid="{00000000-0005-0000-0000-000093220000}"/>
    <cellStyle name="20% - Accent5 2 3 3 2 2 2 2 3" xfId="11562" xr:uid="{00000000-0005-0000-0000-000094220000}"/>
    <cellStyle name="20% - Accent5 2 3 3 2 2 2 3" xfId="10566" xr:uid="{00000000-0005-0000-0000-000095220000}"/>
    <cellStyle name="20% - Accent5 2 3 3 2 2 2 3 2" xfId="26730" xr:uid="{00000000-0005-0000-0000-000096220000}"/>
    <cellStyle name="20% - Accent5 2 3 3 2 2 2 4" xfId="9206" xr:uid="{00000000-0005-0000-0000-000097220000}"/>
    <cellStyle name="20% - Accent5 2 3 3 2 2 3" xfId="3927" xr:uid="{00000000-0005-0000-0000-000098220000}"/>
    <cellStyle name="20% - Accent5 2 3 3 2 2 3 2" xfId="22397" xr:uid="{00000000-0005-0000-0000-000099220000}"/>
    <cellStyle name="20% - Accent5 2 3 3 2 2 3 2 2" xfId="11563" xr:uid="{00000000-0005-0000-0000-00009A220000}"/>
    <cellStyle name="20% - Accent5 2 3 3 2 2 3 3" xfId="27771" xr:uid="{00000000-0005-0000-0000-00009B220000}"/>
    <cellStyle name="20% - Accent5 2 3 3 2 2 4" xfId="3672" xr:uid="{00000000-0005-0000-0000-00009C220000}"/>
    <cellStyle name="20% - Accent5 2 3 3 2 2 4 2" xfId="23570" xr:uid="{00000000-0005-0000-0000-00009D220000}"/>
    <cellStyle name="20% - Accent5 2 3 3 2 2 5" xfId="11564" xr:uid="{00000000-0005-0000-0000-00009E220000}"/>
    <cellStyle name="20% - Accent5 2 3 3 2 3" xfId="17214" xr:uid="{00000000-0005-0000-0000-00009F220000}"/>
    <cellStyle name="20% - Accent5 2 3 3 2 3 2" xfId="10487" xr:uid="{00000000-0005-0000-0000-0000A0220000}"/>
    <cellStyle name="20% - Accent5 2 3 3 2 3 2 2" xfId="12528" xr:uid="{00000000-0005-0000-0000-0000A1220000}"/>
    <cellStyle name="20% - Accent5 2 3 3 2 3 2 2 2" xfId="11566" xr:uid="{00000000-0005-0000-0000-0000A2220000}"/>
    <cellStyle name="20% - Accent5 2 3 3 2 3 2 3" xfId="12550" xr:uid="{00000000-0005-0000-0000-0000A3220000}"/>
    <cellStyle name="20% - Accent5 2 3 3 2 3 3" xfId="3933" xr:uid="{00000000-0005-0000-0000-0000A4220000}"/>
    <cellStyle name="20% - Accent5 2 3 3 2 3 3 2" xfId="22464" xr:uid="{00000000-0005-0000-0000-0000A5220000}"/>
    <cellStyle name="20% - Accent5 2 3 3 2 3 4" xfId="24641" xr:uid="{00000000-0005-0000-0000-0000A6220000}"/>
    <cellStyle name="20% - Accent5 2 3 3 2 4" xfId="3363" xr:uid="{00000000-0005-0000-0000-0000A7220000}"/>
    <cellStyle name="20% - Accent5 2 3 3 2 4 2" xfId="10540" xr:uid="{00000000-0005-0000-0000-0000A8220000}"/>
    <cellStyle name="20% - Accent5 2 3 3 2 4 2 2" xfId="11139" xr:uid="{00000000-0005-0000-0000-0000A9220000}"/>
    <cellStyle name="20% - Accent5 2 3 3 2 4 3" xfId="11569" xr:uid="{00000000-0005-0000-0000-0000AA220000}"/>
    <cellStyle name="20% - Accent5 2 3 3 2 5" xfId="7458" xr:uid="{00000000-0005-0000-0000-0000AB220000}"/>
    <cellStyle name="20% - Accent5 2 3 3 2 5 2" xfId="10595" xr:uid="{00000000-0005-0000-0000-0000AC220000}"/>
    <cellStyle name="20% - Accent5 2 3 3 2 6" xfId="11571" xr:uid="{00000000-0005-0000-0000-0000AD220000}"/>
    <cellStyle name="20% - Accent5 2 3 3 3" xfId="15542" xr:uid="{00000000-0005-0000-0000-0000AE220000}"/>
    <cellStyle name="20% - Accent5 2 3 3 3 2" xfId="14144" xr:uid="{00000000-0005-0000-0000-0000AF220000}"/>
    <cellStyle name="20% - Accent5 2 3 3 3 2 2" xfId="15543" xr:uid="{00000000-0005-0000-0000-0000B0220000}"/>
    <cellStyle name="20% - Accent5 2 3 3 3 2 2 2" xfId="21934" xr:uid="{00000000-0005-0000-0000-0000B1220000}"/>
    <cellStyle name="20% - Accent5 2 3 3 3 2 2 2 2" xfId="11572" xr:uid="{00000000-0005-0000-0000-0000B2220000}"/>
    <cellStyle name="20% - Accent5 2 3 3 3 2 2 3" xfId="19171" xr:uid="{00000000-0005-0000-0000-0000B3220000}"/>
    <cellStyle name="20% - Accent5 2 3 3 3 2 3" xfId="15550" xr:uid="{00000000-0005-0000-0000-0000B4220000}"/>
    <cellStyle name="20% - Accent5 2 3 3 3 2 3 2" xfId="22564" xr:uid="{00000000-0005-0000-0000-0000B5220000}"/>
    <cellStyle name="20% - Accent5 2 3 3 3 2 4" xfId="15554" xr:uid="{00000000-0005-0000-0000-0000B6220000}"/>
    <cellStyle name="20% - Accent5 2 3 3 3 3" xfId="15558" xr:uid="{00000000-0005-0000-0000-0000B7220000}"/>
    <cellStyle name="20% - Accent5 2 3 3 3 3 2" xfId="15561" xr:uid="{00000000-0005-0000-0000-0000B8220000}"/>
    <cellStyle name="20% - Accent5 2 3 3 3 3 2 2" xfId="8845" xr:uid="{00000000-0005-0000-0000-0000B9220000}"/>
    <cellStyle name="20% - Accent5 2 3 3 3 3 3" xfId="14247" xr:uid="{00000000-0005-0000-0000-0000BA220000}"/>
    <cellStyle name="20% - Accent5 2 3 3 3 4" xfId="15563" xr:uid="{00000000-0005-0000-0000-0000BB220000}"/>
    <cellStyle name="20% - Accent5 2 3 3 3 4 2" xfId="15573" xr:uid="{00000000-0005-0000-0000-0000BC220000}"/>
    <cellStyle name="20% - Accent5 2 3 3 3 5" xfId="15577" xr:uid="{00000000-0005-0000-0000-0000BD220000}"/>
    <cellStyle name="20% - Accent5 2 3 3 4" xfId="14151" xr:uid="{00000000-0005-0000-0000-0000BE220000}"/>
    <cellStyle name="20% - Accent5 2 3 3 4 2" xfId="12327" xr:uid="{00000000-0005-0000-0000-0000BF220000}"/>
    <cellStyle name="20% - Accent5 2 3 3 4 2 2" xfId="4257" xr:uid="{00000000-0005-0000-0000-0000C0220000}"/>
    <cellStyle name="20% - Accent5 2 3 3 4 2 2 2" xfId="8895" xr:uid="{00000000-0005-0000-0000-0000C1220000}"/>
    <cellStyle name="20% - Accent5 2 3 3 4 2 3" xfId="15580" xr:uid="{00000000-0005-0000-0000-0000C2220000}"/>
    <cellStyle name="20% - Accent5 2 3 3 4 3" xfId="12330" xr:uid="{00000000-0005-0000-0000-0000C3220000}"/>
    <cellStyle name="20% - Accent5 2 3 3 4 3 2" xfId="15585" xr:uid="{00000000-0005-0000-0000-0000C4220000}"/>
    <cellStyle name="20% - Accent5 2 3 3 4 4" xfId="15587" xr:uid="{00000000-0005-0000-0000-0000C5220000}"/>
    <cellStyle name="20% - Accent5 2 3 3 5" xfId="12927" xr:uid="{00000000-0005-0000-0000-0000C6220000}"/>
    <cellStyle name="20% - Accent5 2 3 3 5 2" xfId="8442" xr:uid="{00000000-0005-0000-0000-0000C7220000}"/>
    <cellStyle name="20% - Accent5 2 3 3 5 2 2" xfId="20496" xr:uid="{00000000-0005-0000-0000-0000C8220000}"/>
    <cellStyle name="20% - Accent5 2 3 3 5 3" xfId="15593" xr:uid="{00000000-0005-0000-0000-0000C9220000}"/>
    <cellStyle name="20% - Accent5 2 3 3 6" xfId="15595" xr:uid="{00000000-0005-0000-0000-0000CA220000}"/>
    <cellStyle name="20% - Accent5 2 3 3 6 2" xfId="7516" xr:uid="{00000000-0005-0000-0000-0000CB220000}"/>
    <cellStyle name="20% - Accent5 2 3 3 7" xfId="11585" xr:uid="{00000000-0005-0000-0000-0000CC220000}"/>
    <cellStyle name="20% - Accent5 2 3 4" xfId="30943" xr:uid="{00000000-0005-0000-0000-0000CD220000}"/>
    <cellStyle name="20% - Accent5 2 3 4 2" xfId="11591" xr:uid="{00000000-0005-0000-0000-0000CE220000}"/>
    <cellStyle name="20% - Accent5 2 3 4 2 2" xfId="28003" xr:uid="{00000000-0005-0000-0000-0000CF220000}"/>
    <cellStyle name="20% - Accent5 2 3 4 2 2 2" xfId="4436" xr:uid="{00000000-0005-0000-0000-0000D0220000}"/>
    <cellStyle name="20% - Accent5 2 3 4 2 2 2 2" xfId="18999" xr:uid="{00000000-0005-0000-0000-0000D1220000}"/>
    <cellStyle name="20% - Accent5 2 3 4 2 2 2 2 2" xfId="6238" xr:uid="{00000000-0005-0000-0000-0000D2220000}"/>
    <cellStyle name="20% - Accent5 2 3 4 2 2 2 3" xfId="10692" xr:uid="{00000000-0005-0000-0000-0000D3220000}"/>
    <cellStyle name="20% - Accent5 2 3 4 2 2 3" xfId="10408" xr:uid="{00000000-0005-0000-0000-0000D4220000}"/>
    <cellStyle name="20% - Accent5 2 3 4 2 2 3 2" xfId="24449" xr:uid="{00000000-0005-0000-0000-0000D5220000}"/>
    <cellStyle name="20% - Accent5 2 3 4 2 2 4" xfId="4507" xr:uid="{00000000-0005-0000-0000-0000D6220000}"/>
    <cellStyle name="20% - Accent5 2 3 4 2 3" xfId="8300" xr:uid="{00000000-0005-0000-0000-0000D7220000}"/>
    <cellStyle name="20% - Accent5 2 3 4 2 3 2" xfId="10769" xr:uid="{00000000-0005-0000-0000-0000D8220000}"/>
    <cellStyle name="20% - Accent5 2 3 4 2 3 2 2" xfId="10707" xr:uid="{00000000-0005-0000-0000-0000D9220000}"/>
    <cellStyle name="20% - Accent5 2 3 4 2 3 3" xfId="11593" xr:uid="{00000000-0005-0000-0000-0000DA220000}"/>
    <cellStyle name="20% - Accent5 2 3 4 2 4" xfId="7690" xr:uid="{00000000-0005-0000-0000-0000DB220000}"/>
    <cellStyle name="20% - Accent5 2 3 4 2 4 2" xfId="11600" xr:uid="{00000000-0005-0000-0000-0000DC220000}"/>
    <cellStyle name="20% - Accent5 2 3 4 2 5" xfId="13222" xr:uid="{00000000-0005-0000-0000-0000DD220000}"/>
    <cellStyle name="20% - Accent5 2 3 4 3" xfId="14155" xr:uid="{00000000-0005-0000-0000-0000DE220000}"/>
    <cellStyle name="20% - Accent5 2 3 4 3 2" xfId="15597" xr:uid="{00000000-0005-0000-0000-0000DF220000}"/>
    <cellStyle name="20% - Accent5 2 3 4 3 2 2" xfId="15598" xr:uid="{00000000-0005-0000-0000-0000E0220000}"/>
    <cellStyle name="20% - Accent5 2 3 4 3 2 2 2" xfId="8945" xr:uid="{00000000-0005-0000-0000-0000E1220000}"/>
    <cellStyle name="20% - Accent5 2 3 4 3 2 3" xfId="15601" xr:uid="{00000000-0005-0000-0000-0000E2220000}"/>
    <cellStyle name="20% - Accent5 2 3 4 3 3" xfId="12409" xr:uid="{00000000-0005-0000-0000-0000E3220000}"/>
    <cellStyle name="20% - Accent5 2 3 4 3 3 2" xfId="15604" xr:uid="{00000000-0005-0000-0000-0000E4220000}"/>
    <cellStyle name="20% - Accent5 2 3 4 3 4" xfId="15606" xr:uid="{00000000-0005-0000-0000-0000E5220000}"/>
    <cellStyle name="20% - Accent5 2 3 4 4" xfId="21075" xr:uid="{00000000-0005-0000-0000-0000E6220000}"/>
    <cellStyle name="20% - Accent5 2 3 4 4 2" xfId="12340" xr:uid="{00000000-0005-0000-0000-0000E7220000}"/>
    <cellStyle name="20% - Accent5 2 3 4 4 2 2" xfId="16971" xr:uid="{00000000-0005-0000-0000-0000E8220000}"/>
    <cellStyle name="20% - Accent5 2 3 4 4 3" xfId="15611" xr:uid="{00000000-0005-0000-0000-0000E9220000}"/>
    <cellStyle name="20% - Accent5 2 3 4 5" xfId="15615" xr:uid="{00000000-0005-0000-0000-0000EA220000}"/>
    <cellStyle name="20% - Accent5 2 3 4 5 2" xfId="15617" xr:uid="{00000000-0005-0000-0000-0000EB220000}"/>
    <cellStyle name="20% - Accent5 2 3 4 6" xfId="15619" xr:uid="{00000000-0005-0000-0000-0000EC220000}"/>
    <cellStyle name="20% - Accent5 2 3 5" xfId="10685" xr:uid="{00000000-0005-0000-0000-0000ED220000}"/>
    <cellStyle name="20% - Accent5 2 3 5 2" xfId="10687" xr:uid="{00000000-0005-0000-0000-0000EE220000}"/>
    <cellStyle name="20% - Accent5 2 3 5 2 2" xfId="1638" xr:uid="{00000000-0005-0000-0000-0000EF220000}"/>
    <cellStyle name="20% - Accent5 2 3 5 2 2 2" xfId="4801" xr:uid="{00000000-0005-0000-0000-0000F0220000}"/>
    <cellStyle name="20% - Accent5 2 3 5 2 2 2 2" xfId="32243" xr:uid="{00000000-0005-0000-0000-0000F1220000}"/>
    <cellStyle name="20% - Accent5 2 3 5 2 2 3" xfId="31681" xr:uid="{00000000-0005-0000-0000-0000F2220000}"/>
    <cellStyle name="20% - Accent5 2 3 5 2 3" xfId="1648" xr:uid="{00000000-0005-0000-0000-0000F3220000}"/>
    <cellStyle name="20% - Accent5 2 3 5 2 3 2" xfId="11608" xr:uid="{00000000-0005-0000-0000-0000F4220000}"/>
    <cellStyle name="20% - Accent5 2 3 5 2 4" xfId="18324" xr:uid="{00000000-0005-0000-0000-0000F5220000}"/>
    <cellStyle name="20% - Accent5 2 3 5 3" xfId="15032" xr:uid="{00000000-0005-0000-0000-0000F6220000}"/>
    <cellStyle name="20% - Accent5 2 3 5 3 2" xfId="1119" xr:uid="{00000000-0005-0000-0000-0000F7220000}"/>
    <cellStyle name="20% - Accent5 2 3 5 3 2 2" xfId="15623" xr:uid="{00000000-0005-0000-0000-0000F8220000}"/>
    <cellStyle name="20% - Accent5 2 3 5 3 3" xfId="11616" xr:uid="{00000000-0005-0000-0000-0000F9220000}"/>
    <cellStyle name="20% - Accent5 2 3 5 4" xfId="11617" xr:uid="{00000000-0005-0000-0000-0000FA220000}"/>
    <cellStyle name="20% - Accent5 2 3 5 4 2" xfId="11621" xr:uid="{00000000-0005-0000-0000-0000FB220000}"/>
    <cellStyle name="20% - Accent5 2 3 5 5" xfId="11623" xr:uid="{00000000-0005-0000-0000-0000FC220000}"/>
    <cellStyle name="20% - Accent5 2 3 6" xfId="10693" xr:uid="{00000000-0005-0000-0000-0000FD220000}"/>
    <cellStyle name="20% - Accent5 2 3 6 2" xfId="33092" xr:uid="{00000000-0005-0000-0000-0000FE220000}"/>
    <cellStyle name="20% - Accent5 2 3 6 2 2" xfId="599" xr:uid="{00000000-0005-0000-0000-0000FF220000}"/>
    <cellStyle name="20% - Accent5 2 3 6 2 2 2" xfId="31715" xr:uid="{00000000-0005-0000-0000-000000230000}"/>
    <cellStyle name="20% - Accent5 2 3 6 2 3" xfId="13696" xr:uid="{00000000-0005-0000-0000-000001230000}"/>
    <cellStyle name="20% - Accent5 2 3 6 3" xfId="13690" xr:uid="{00000000-0005-0000-0000-000002230000}"/>
    <cellStyle name="20% - Accent5 2 3 6 3 2" xfId="11942" xr:uid="{00000000-0005-0000-0000-000003230000}"/>
    <cellStyle name="20% - Accent5 2 3 6 4" xfId="11633" xr:uid="{00000000-0005-0000-0000-000004230000}"/>
    <cellStyle name="20% - Accent5 2 3 7" xfId="28169" xr:uid="{00000000-0005-0000-0000-000005230000}"/>
    <cellStyle name="20% - Accent5 2 3 7 2" xfId="33979" xr:uid="{00000000-0005-0000-0000-000006230000}"/>
    <cellStyle name="20% - Accent5 2 3 7 2 2" xfId="33932" xr:uid="{00000000-0005-0000-0000-000007230000}"/>
    <cellStyle name="20% - Accent5 2 3 7 3" xfId="11635" xr:uid="{00000000-0005-0000-0000-000008230000}"/>
    <cellStyle name="20% - Accent5 2 3 8" xfId="28176" xr:uid="{00000000-0005-0000-0000-000009230000}"/>
    <cellStyle name="20% - Accent5 2 3 8 2" xfId="31763" xr:uid="{00000000-0005-0000-0000-00000A230000}"/>
    <cellStyle name="20% - Accent5 2 3 9" xfId="9629" xr:uid="{00000000-0005-0000-0000-00000B230000}"/>
    <cellStyle name="20% - Accent5 2 4" xfId="11637" xr:uid="{00000000-0005-0000-0000-00000C230000}"/>
    <cellStyle name="20% - Accent5 2 4 2" xfId="23367" xr:uid="{00000000-0005-0000-0000-00000D230000}"/>
    <cellStyle name="20% - Accent5 2 4 2 2" xfId="11638" xr:uid="{00000000-0005-0000-0000-00000E230000}"/>
    <cellStyle name="20% - Accent5 2 4 2 2 2" xfId="11640" xr:uid="{00000000-0005-0000-0000-00000F230000}"/>
    <cellStyle name="20% - Accent5 2 4 2 2 2 2" xfId="11642" xr:uid="{00000000-0005-0000-0000-000010230000}"/>
    <cellStyle name="20% - Accent5 2 4 2 2 2 2 2" xfId="15886" xr:uid="{00000000-0005-0000-0000-000011230000}"/>
    <cellStyle name="20% - Accent5 2 4 2 2 2 2 2 2" xfId="11646" xr:uid="{00000000-0005-0000-0000-000012230000}"/>
    <cellStyle name="20% - Accent5 2 4 2 2 2 2 2 2 2" xfId="7052" xr:uid="{00000000-0005-0000-0000-000013230000}"/>
    <cellStyle name="20% - Accent5 2 4 2 2 2 2 2 3" xfId="11649" xr:uid="{00000000-0005-0000-0000-000014230000}"/>
    <cellStyle name="20% - Accent5 2 4 2 2 2 2 3" xfId="29363" xr:uid="{00000000-0005-0000-0000-000015230000}"/>
    <cellStyle name="20% - Accent5 2 4 2 2 2 2 3 2" xfId="2372" xr:uid="{00000000-0005-0000-0000-000016230000}"/>
    <cellStyle name="20% - Accent5 2 4 2 2 2 2 4" xfId="11652" xr:uid="{00000000-0005-0000-0000-000017230000}"/>
    <cellStyle name="20% - Accent5 2 4 2 2 2 3" xfId="9327" xr:uid="{00000000-0005-0000-0000-000018230000}"/>
    <cellStyle name="20% - Accent5 2 4 2 2 2 3 2" xfId="27871" xr:uid="{00000000-0005-0000-0000-000019230000}"/>
    <cellStyle name="20% - Accent5 2 4 2 2 2 3 2 2" xfId="11657" xr:uid="{00000000-0005-0000-0000-00001A230000}"/>
    <cellStyle name="20% - Accent5 2 4 2 2 2 3 3" xfId="24112" xr:uid="{00000000-0005-0000-0000-00001B230000}"/>
    <cellStyle name="20% - Accent5 2 4 2 2 2 4" xfId="33875" xr:uid="{00000000-0005-0000-0000-00001C230000}"/>
    <cellStyle name="20% - Accent5 2 4 2 2 2 4 2" xfId="24140" xr:uid="{00000000-0005-0000-0000-00001D230000}"/>
    <cellStyle name="20% - Accent5 2 4 2 2 2 5" xfId="9341" xr:uid="{00000000-0005-0000-0000-00001E230000}"/>
    <cellStyle name="20% - Accent5 2 4 2 2 3" xfId="11659" xr:uid="{00000000-0005-0000-0000-00001F230000}"/>
    <cellStyle name="20% - Accent5 2 4 2 2 3 2" xfId="28666" xr:uid="{00000000-0005-0000-0000-000020230000}"/>
    <cellStyle name="20% - Accent5 2 4 2 2 3 2 2" xfId="29247" xr:uid="{00000000-0005-0000-0000-000021230000}"/>
    <cellStyle name="20% - Accent5 2 4 2 2 3 2 2 2" xfId="11662" xr:uid="{00000000-0005-0000-0000-000022230000}"/>
    <cellStyle name="20% - Accent5 2 4 2 2 3 2 3" xfId="11741" xr:uid="{00000000-0005-0000-0000-000023230000}"/>
    <cellStyle name="20% - Accent5 2 4 2 2 3 3" xfId="26504" xr:uid="{00000000-0005-0000-0000-000024230000}"/>
    <cellStyle name="20% - Accent5 2 4 2 2 3 3 2" xfId="24195" xr:uid="{00000000-0005-0000-0000-000025230000}"/>
    <cellStyle name="20% - Accent5 2 4 2 2 3 4" xfId="11664" xr:uid="{00000000-0005-0000-0000-000026230000}"/>
    <cellStyle name="20% - Accent5 2 4 2 2 4" xfId="11667" xr:uid="{00000000-0005-0000-0000-000027230000}"/>
    <cellStyle name="20% - Accent5 2 4 2 2 4 2" xfId="28683" xr:uid="{00000000-0005-0000-0000-000028230000}"/>
    <cellStyle name="20% - Accent5 2 4 2 2 4 2 2" xfId="8481" xr:uid="{00000000-0005-0000-0000-000029230000}"/>
    <cellStyle name="20% - Accent5 2 4 2 2 4 3" xfId="27573" xr:uid="{00000000-0005-0000-0000-00002A230000}"/>
    <cellStyle name="20% - Accent5 2 4 2 2 5" xfId="11671" xr:uid="{00000000-0005-0000-0000-00002B230000}"/>
    <cellStyle name="20% - Accent5 2 4 2 2 5 2" xfId="5124" xr:uid="{00000000-0005-0000-0000-00002C230000}"/>
    <cellStyle name="20% - Accent5 2 4 2 2 6" xfId="11673" xr:uid="{00000000-0005-0000-0000-00002D230000}"/>
    <cellStyle name="20% - Accent5 2 4 2 3" xfId="15710" xr:uid="{00000000-0005-0000-0000-00002E230000}"/>
    <cellStyle name="20% - Accent5 2 4 2 3 2" xfId="28894" xr:uid="{00000000-0005-0000-0000-00002F230000}"/>
    <cellStyle name="20% - Accent5 2 4 2 3 2 2" xfId="15715" xr:uid="{00000000-0005-0000-0000-000030230000}"/>
    <cellStyle name="20% - Accent5 2 4 2 3 2 2 2" xfId="25286" xr:uid="{00000000-0005-0000-0000-000031230000}"/>
    <cellStyle name="20% - Accent5 2 4 2 3 2 2 2 2" xfId="11674" xr:uid="{00000000-0005-0000-0000-000032230000}"/>
    <cellStyle name="20% - Accent5 2 4 2 3 2 2 3" xfId="10451" xr:uid="{00000000-0005-0000-0000-000033230000}"/>
    <cellStyle name="20% - Accent5 2 4 2 3 2 3" xfId="15726" xr:uid="{00000000-0005-0000-0000-000034230000}"/>
    <cellStyle name="20% - Accent5 2 4 2 3 2 3 2" xfId="24332" xr:uid="{00000000-0005-0000-0000-000035230000}"/>
    <cellStyle name="20% - Accent5 2 4 2 3 2 4" xfId="15731" xr:uid="{00000000-0005-0000-0000-000036230000}"/>
    <cellStyle name="20% - Accent5 2 4 2 3 3" xfId="15737" xr:uid="{00000000-0005-0000-0000-000037230000}"/>
    <cellStyle name="20% - Accent5 2 4 2 3 3 2" xfId="26617" xr:uid="{00000000-0005-0000-0000-000038230000}"/>
    <cellStyle name="20% - Accent5 2 4 2 3 3 2 2" xfId="8507" xr:uid="{00000000-0005-0000-0000-000039230000}"/>
    <cellStyle name="20% - Accent5 2 4 2 3 3 3" xfId="15743" xr:uid="{00000000-0005-0000-0000-00003A230000}"/>
    <cellStyle name="20% - Accent5 2 4 2 3 4" xfId="15746" xr:uid="{00000000-0005-0000-0000-00003B230000}"/>
    <cellStyle name="20% - Accent5 2 4 2 3 4 2" xfId="26542" xr:uid="{00000000-0005-0000-0000-00003C230000}"/>
    <cellStyle name="20% - Accent5 2 4 2 3 5" xfId="15753" xr:uid="{00000000-0005-0000-0000-00003D230000}"/>
    <cellStyle name="20% - Accent5 2 4 2 4" xfId="27538" xr:uid="{00000000-0005-0000-0000-00003E230000}"/>
    <cellStyle name="20% - Accent5 2 4 2 4 2" xfId="12389" xr:uid="{00000000-0005-0000-0000-00003F230000}"/>
    <cellStyle name="20% - Accent5 2 4 2 4 2 2" xfId="30165" xr:uid="{00000000-0005-0000-0000-000040230000}"/>
    <cellStyle name="20% - Accent5 2 4 2 4 2 2 2" xfId="10522" xr:uid="{00000000-0005-0000-0000-000041230000}"/>
    <cellStyle name="20% - Accent5 2 4 2 4 2 3" xfId="15755" xr:uid="{00000000-0005-0000-0000-000042230000}"/>
    <cellStyle name="20% - Accent5 2 4 2 4 3" xfId="12395" xr:uid="{00000000-0005-0000-0000-000043230000}"/>
    <cellStyle name="20% - Accent5 2 4 2 4 3 2" xfId="15761" xr:uid="{00000000-0005-0000-0000-000044230000}"/>
    <cellStyle name="20% - Accent5 2 4 2 4 4" xfId="15765" xr:uid="{00000000-0005-0000-0000-000045230000}"/>
    <cellStyle name="20% - Accent5 2 4 2 5" xfId="15769" xr:uid="{00000000-0005-0000-0000-000046230000}"/>
    <cellStyle name="20% - Accent5 2 4 2 5 2" xfId="11695" xr:uid="{00000000-0005-0000-0000-000047230000}"/>
    <cellStyle name="20% - Accent5 2 4 2 5 2 2" xfId="9526" xr:uid="{00000000-0005-0000-0000-000048230000}"/>
    <cellStyle name="20% - Accent5 2 4 2 5 3" xfId="15770" xr:uid="{00000000-0005-0000-0000-000049230000}"/>
    <cellStyle name="20% - Accent5 2 4 2 6" xfId="15773" xr:uid="{00000000-0005-0000-0000-00004A230000}"/>
    <cellStyle name="20% - Accent5 2 4 2 6 2" xfId="15779" xr:uid="{00000000-0005-0000-0000-00004B230000}"/>
    <cellStyle name="20% - Accent5 2 4 2 7" xfId="12920" xr:uid="{00000000-0005-0000-0000-00004C230000}"/>
    <cellStyle name="20% - Accent5 2 4 3" xfId="23373" xr:uid="{00000000-0005-0000-0000-00004D230000}"/>
    <cellStyle name="20% - Accent5 2 4 3 2" xfId="11697" xr:uid="{00000000-0005-0000-0000-00004E230000}"/>
    <cellStyle name="20% - Accent5 2 4 3 2 2" xfId="5529" xr:uid="{00000000-0005-0000-0000-00004F230000}"/>
    <cellStyle name="20% - Accent5 2 4 3 2 2 2" xfId="14968" xr:uid="{00000000-0005-0000-0000-000050230000}"/>
    <cellStyle name="20% - Accent5 2 4 3 2 2 2 2" xfId="17301" xr:uid="{00000000-0005-0000-0000-000051230000}"/>
    <cellStyle name="20% - Accent5 2 4 3 2 2 2 2 2" xfId="11698" xr:uid="{00000000-0005-0000-0000-000052230000}"/>
    <cellStyle name="20% - Accent5 2 4 3 2 2 2 3" xfId="28753" xr:uid="{00000000-0005-0000-0000-000053230000}"/>
    <cellStyle name="20% - Accent5 2 4 3 2 2 3" xfId="16942" xr:uid="{00000000-0005-0000-0000-000054230000}"/>
    <cellStyle name="20% - Accent5 2 4 3 2 2 3 2" xfId="8743" xr:uid="{00000000-0005-0000-0000-000055230000}"/>
    <cellStyle name="20% - Accent5 2 4 3 2 2 4" xfId="9664" xr:uid="{00000000-0005-0000-0000-000056230000}"/>
    <cellStyle name="20% - Accent5 2 4 3 2 3" xfId="11735" xr:uid="{00000000-0005-0000-0000-000057230000}"/>
    <cellStyle name="20% - Accent5 2 4 3 2 3 2" xfId="28772" xr:uid="{00000000-0005-0000-0000-000058230000}"/>
    <cellStyle name="20% - Accent5 2 4 3 2 3 2 2" xfId="6268" xr:uid="{00000000-0005-0000-0000-000059230000}"/>
    <cellStyle name="20% - Accent5 2 4 3 2 3 3" xfId="4427" xr:uid="{00000000-0005-0000-0000-00005A230000}"/>
    <cellStyle name="20% - Accent5 2 4 3 2 4" xfId="5535" xr:uid="{00000000-0005-0000-0000-00005B230000}"/>
    <cellStyle name="20% - Accent5 2 4 3 2 4 2" xfId="11700" xr:uid="{00000000-0005-0000-0000-00005C230000}"/>
    <cellStyle name="20% - Accent5 2 4 3 2 5" xfId="11702" xr:uid="{00000000-0005-0000-0000-00005D230000}"/>
    <cellStyle name="20% - Accent5 2 4 3 3" xfId="15782" xr:uid="{00000000-0005-0000-0000-00005E230000}"/>
    <cellStyle name="20% - Accent5 2 4 3 3 2" xfId="5362" xr:uid="{00000000-0005-0000-0000-00005F230000}"/>
    <cellStyle name="20% - Accent5 2 4 3 3 2 2" xfId="16994" xr:uid="{00000000-0005-0000-0000-000060230000}"/>
    <cellStyle name="20% - Accent5 2 4 3 3 2 2 2" xfId="30150" xr:uid="{00000000-0005-0000-0000-000061230000}"/>
    <cellStyle name="20% - Accent5 2 4 3 3 2 3" xfId="15783" xr:uid="{00000000-0005-0000-0000-000062230000}"/>
    <cellStyle name="20% - Accent5 2 4 3 3 3" xfId="5543" xr:uid="{00000000-0005-0000-0000-000063230000}"/>
    <cellStyle name="20% - Accent5 2 4 3 3 3 2" xfId="15786" xr:uid="{00000000-0005-0000-0000-000064230000}"/>
    <cellStyle name="20% - Accent5 2 4 3 3 4" xfId="15790" xr:uid="{00000000-0005-0000-0000-000065230000}"/>
    <cellStyle name="20% - Accent5 2 4 3 4" xfId="11869" xr:uid="{00000000-0005-0000-0000-000066230000}"/>
    <cellStyle name="20% - Accent5 2 4 3 4 2" xfId="12429" xr:uid="{00000000-0005-0000-0000-000067230000}"/>
    <cellStyle name="20% - Accent5 2 4 3 4 2 2" xfId="15795" xr:uid="{00000000-0005-0000-0000-000068230000}"/>
    <cellStyle name="20% - Accent5 2 4 3 4 3" xfId="15799" xr:uid="{00000000-0005-0000-0000-000069230000}"/>
    <cellStyle name="20% - Accent5 2 4 3 5" xfId="15805" xr:uid="{00000000-0005-0000-0000-00006A230000}"/>
    <cellStyle name="20% - Accent5 2 4 3 5 2" xfId="11710" xr:uid="{00000000-0005-0000-0000-00006B230000}"/>
    <cellStyle name="20% - Accent5 2 4 3 6" xfId="15808" xr:uid="{00000000-0005-0000-0000-00006C230000}"/>
    <cellStyle name="20% - Accent5 2 4 4" xfId="23375" xr:uid="{00000000-0005-0000-0000-00006D230000}"/>
    <cellStyle name="20% - Accent5 2 4 4 2" xfId="29512" xr:uid="{00000000-0005-0000-0000-00006E230000}"/>
    <cellStyle name="20% - Accent5 2 4 4 2 2" xfId="5729" xr:uid="{00000000-0005-0000-0000-00006F230000}"/>
    <cellStyle name="20% - Accent5 2 4 4 2 2 2" xfId="17039" xr:uid="{00000000-0005-0000-0000-000070230000}"/>
    <cellStyle name="20% - Accent5 2 4 4 2 2 2 2" xfId="29992" xr:uid="{00000000-0005-0000-0000-000071230000}"/>
    <cellStyle name="20% - Accent5 2 4 4 2 2 3" xfId="23092" xr:uid="{00000000-0005-0000-0000-000072230000}"/>
    <cellStyle name="20% - Accent5 2 4 4 2 3" xfId="5733" xr:uid="{00000000-0005-0000-0000-000073230000}"/>
    <cellStyle name="20% - Accent5 2 4 4 2 3 2" xfId="30018" xr:uid="{00000000-0005-0000-0000-000074230000}"/>
    <cellStyle name="20% - Accent5 2 4 4 2 4" xfId="11711" xr:uid="{00000000-0005-0000-0000-000075230000}"/>
    <cellStyle name="20% - Accent5 2 4 4 3" xfId="32994" xr:uid="{00000000-0005-0000-0000-000076230000}"/>
    <cellStyle name="20% - Accent5 2 4 4 3 2" xfId="8589" xr:uid="{00000000-0005-0000-0000-000077230000}"/>
    <cellStyle name="20% - Accent5 2 4 4 3 2 2" xfId="9808" xr:uid="{00000000-0005-0000-0000-000078230000}"/>
    <cellStyle name="20% - Accent5 2 4 4 3 3" xfId="15810" xr:uid="{00000000-0005-0000-0000-000079230000}"/>
    <cellStyle name="20% - Accent5 2 4 4 4" xfId="15811" xr:uid="{00000000-0005-0000-0000-00007A230000}"/>
    <cellStyle name="20% - Accent5 2 4 4 4 2" xfId="15815" xr:uid="{00000000-0005-0000-0000-00007B230000}"/>
    <cellStyle name="20% - Accent5 2 4 4 5" xfId="24277" xr:uid="{00000000-0005-0000-0000-00007C230000}"/>
    <cellStyle name="20% - Accent5 2 4 5" xfId="32999" xr:uid="{00000000-0005-0000-0000-00007D230000}"/>
    <cellStyle name="20% - Accent5 2 4 5 2" xfId="14868" xr:uid="{00000000-0005-0000-0000-00007E230000}"/>
    <cellStyle name="20% - Accent5 2 4 5 2 2" xfId="10371" xr:uid="{00000000-0005-0000-0000-00007F230000}"/>
    <cellStyle name="20% - Accent5 2 4 5 2 2 2" xfId="32190" xr:uid="{00000000-0005-0000-0000-000080230000}"/>
    <cellStyle name="20% - Accent5 2 4 5 2 3" xfId="32339" xr:uid="{00000000-0005-0000-0000-000081230000}"/>
    <cellStyle name="20% - Accent5 2 4 5 3" xfId="11717" xr:uid="{00000000-0005-0000-0000-000082230000}"/>
    <cellStyle name="20% - Accent5 2 4 5 3 2" xfId="11720" xr:uid="{00000000-0005-0000-0000-000083230000}"/>
    <cellStyle name="20% - Accent5 2 4 5 4" xfId="11725" xr:uid="{00000000-0005-0000-0000-000084230000}"/>
    <cellStyle name="20% - Accent5 2 4 6" xfId="11728" xr:uid="{00000000-0005-0000-0000-000085230000}"/>
    <cellStyle name="20% - Accent5 2 4 6 2" xfId="14880" xr:uid="{00000000-0005-0000-0000-000086230000}"/>
    <cellStyle name="20% - Accent5 2 4 6 2 2" xfId="32381" xr:uid="{00000000-0005-0000-0000-000087230000}"/>
    <cellStyle name="20% - Accent5 2 4 6 3" xfId="11732" xr:uid="{00000000-0005-0000-0000-000088230000}"/>
    <cellStyle name="20% - Accent5 2 4 7" xfId="9633" xr:uid="{00000000-0005-0000-0000-000089230000}"/>
    <cellStyle name="20% - Accent5 2 4 7 2" xfId="11736" xr:uid="{00000000-0005-0000-0000-00008A230000}"/>
    <cellStyle name="20% - Accent5 2 4 8" xfId="9635" xr:uid="{00000000-0005-0000-0000-00008B230000}"/>
    <cellStyle name="20% - Accent5 2 5" xfId="2171" xr:uid="{00000000-0005-0000-0000-00008C230000}"/>
    <cellStyle name="20% - Accent5 2 5 2" xfId="10874" xr:uid="{00000000-0005-0000-0000-00008D230000}"/>
    <cellStyle name="20% - Accent5 2 5 2 2" xfId="26968" xr:uid="{00000000-0005-0000-0000-00008E230000}"/>
    <cellStyle name="20% - Accent5 2 5 2 2 2" xfId="33969" xr:uid="{00000000-0005-0000-0000-00008F230000}"/>
    <cellStyle name="20% - Accent5 2 5 2 2 2 2" xfId="32293" xr:uid="{00000000-0005-0000-0000-000090230000}"/>
    <cellStyle name="20% - Accent5 2 5 2 2 2 2 2" xfId="24653" xr:uid="{00000000-0005-0000-0000-000091230000}"/>
    <cellStyle name="20% - Accent5 2 5 2 2 2 2 2 2" xfId="5790" xr:uid="{00000000-0005-0000-0000-000092230000}"/>
    <cellStyle name="20% - Accent5 2 5 2 2 2 2 3" xfId="24668" xr:uid="{00000000-0005-0000-0000-000093230000}"/>
    <cellStyle name="20% - Accent5 2 5 2 2 2 3" xfId="10188" xr:uid="{00000000-0005-0000-0000-000094230000}"/>
    <cellStyle name="20% - Accent5 2 5 2 2 2 3 2" xfId="28389" xr:uid="{00000000-0005-0000-0000-000095230000}"/>
    <cellStyle name="20% - Accent5 2 5 2 2 2 4" xfId="10102" xr:uid="{00000000-0005-0000-0000-000096230000}"/>
    <cellStyle name="20% - Accent5 2 5 2 2 3" xfId="32909" xr:uid="{00000000-0005-0000-0000-000097230000}"/>
    <cellStyle name="20% - Accent5 2 5 2 2 3 2" xfId="10208" xr:uid="{00000000-0005-0000-0000-000098230000}"/>
    <cellStyle name="20% - Accent5 2 5 2 2 3 2 2" xfId="24681" xr:uid="{00000000-0005-0000-0000-000099230000}"/>
    <cellStyle name="20% - Accent5 2 5 2 2 3 3" xfId="10099" xr:uid="{00000000-0005-0000-0000-00009A230000}"/>
    <cellStyle name="20% - Accent5 2 5 2 2 4" xfId="22379" xr:uid="{00000000-0005-0000-0000-00009B230000}"/>
    <cellStyle name="20% - Accent5 2 5 2 2 4 2" xfId="10104" xr:uid="{00000000-0005-0000-0000-00009C230000}"/>
    <cellStyle name="20% - Accent5 2 5 2 2 5" xfId="10110" xr:uid="{00000000-0005-0000-0000-00009D230000}"/>
    <cellStyle name="20% - Accent5 2 5 2 3" xfId="25915" xr:uid="{00000000-0005-0000-0000-00009E230000}"/>
    <cellStyle name="20% - Accent5 2 5 2 3 2" xfId="15842" xr:uid="{00000000-0005-0000-0000-00009F230000}"/>
    <cellStyle name="20% - Accent5 2 5 2 3 2 2" xfId="19355" xr:uid="{00000000-0005-0000-0000-0000A0230000}"/>
    <cellStyle name="20% - Accent5 2 5 2 3 2 2 2" xfId="12793" xr:uid="{00000000-0005-0000-0000-0000A1230000}"/>
    <cellStyle name="20% - Accent5 2 5 2 3 2 3" xfId="15844" xr:uid="{00000000-0005-0000-0000-0000A2230000}"/>
    <cellStyle name="20% - Accent5 2 5 2 3 3" xfId="15849" xr:uid="{00000000-0005-0000-0000-0000A3230000}"/>
    <cellStyle name="20% - Accent5 2 5 2 3 3 2" xfId="15855" xr:uid="{00000000-0005-0000-0000-0000A4230000}"/>
    <cellStyle name="20% - Accent5 2 5 2 3 4" xfId="15856" xr:uid="{00000000-0005-0000-0000-0000A5230000}"/>
    <cellStyle name="20% - Accent5 2 5 2 4" xfId="31239" xr:uid="{00000000-0005-0000-0000-0000A6230000}"/>
    <cellStyle name="20% - Accent5 2 5 2 4 2" xfId="12468" xr:uid="{00000000-0005-0000-0000-0000A7230000}"/>
    <cellStyle name="20% - Accent5 2 5 2 4 2 2" xfId="14418" xr:uid="{00000000-0005-0000-0000-0000A8230000}"/>
    <cellStyle name="20% - Accent5 2 5 2 4 3" xfId="15860" xr:uid="{00000000-0005-0000-0000-0000A9230000}"/>
    <cellStyle name="20% - Accent5 2 5 2 5" xfId="15864" xr:uid="{00000000-0005-0000-0000-0000AA230000}"/>
    <cellStyle name="20% - Accent5 2 5 2 5 2" xfId="15867" xr:uid="{00000000-0005-0000-0000-0000AB230000}"/>
    <cellStyle name="20% - Accent5 2 5 2 6" xfId="15870" xr:uid="{00000000-0005-0000-0000-0000AC230000}"/>
    <cellStyle name="20% - Accent5 2 5 3" xfId="13785" xr:uid="{00000000-0005-0000-0000-0000AD230000}"/>
    <cellStyle name="20% - Accent5 2 5 3 2" xfId="11737" xr:uid="{00000000-0005-0000-0000-0000AE230000}"/>
    <cellStyle name="20% - Accent5 2 5 3 2 2" xfId="4363" xr:uid="{00000000-0005-0000-0000-0000AF230000}"/>
    <cellStyle name="20% - Accent5 2 5 3 2 2 2" xfId="17102" xr:uid="{00000000-0005-0000-0000-0000B0230000}"/>
    <cellStyle name="20% - Accent5 2 5 3 2 2 2 2" xfId="24722" xr:uid="{00000000-0005-0000-0000-0000B1230000}"/>
    <cellStyle name="20% - Accent5 2 5 3 2 2 3" xfId="13670" xr:uid="{00000000-0005-0000-0000-0000B2230000}"/>
    <cellStyle name="20% - Accent5 2 5 3 2 3" xfId="9945" xr:uid="{00000000-0005-0000-0000-0000B3230000}"/>
    <cellStyle name="20% - Accent5 2 5 3 2 3 2" xfId="11320" xr:uid="{00000000-0005-0000-0000-0000B4230000}"/>
    <cellStyle name="20% - Accent5 2 5 3 2 4" xfId="10143" xr:uid="{00000000-0005-0000-0000-0000B5230000}"/>
    <cellStyle name="20% - Accent5 2 5 3 3" xfId="15874" xr:uid="{00000000-0005-0000-0000-0000B6230000}"/>
    <cellStyle name="20% - Accent5 2 5 3 3 2" xfId="5403" xr:uid="{00000000-0005-0000-0000-0000B7230000}"/>
    <cellStyle name="20% - Accent5 2 5 3 3 2 2" xfId="15876" xr:uid="{00000000-0005-0000-0000-0000B8230000}"/>
    <cellStyle name="20% - Accent5 2 5 3 3 3" xfId="15880" xr:uid="{00000000-0005-0000-0000-0000B9230000}"/>
    <cellStyle name="20% - Accent5 2 5 3 4" xfId="15888" xr:uid="{00000000-0005-0000-0000-0000BA230000}"/>
    <cellStyle name="20% - Accent5 2 5 3 4 2" xfId="15890" xr:uid="{00000000-0005-0000-0000-0000BB230000}"/>
    <cellStyle name="20% - Accent5 2 5 3 5" xfId="15898" xr:uid="{00000000-0005-0000-0000-0000BC230000}"/>
    <cellStyle name="20% - Accent5 2 5 4" xfId="223" xr:uid="{00000000-0005-0000-0000-0000BD230000}"/>
    <cellStyle name="20% - Accent5 2 5 4 2" xfId="23115" xr:uid="{00000000-0005-0000-0000-0000BE230000}"/>
    <cellStyle name="20% - Accent5 2 5 4 2 2" xfId="4469" xr:uid="{00000000-0005-0000-0000-0000BF230000}"/>
    <cellStyle name="20% - Accent5 2 5 4 2 2 2" xfId="10323" xr:uid="{00000000-0005-0000-0000-0000C0230000}"/>
    <cellStyle name="20% - Accent5 2 5 4 2 3" xfId="10156" xr:uid="{00000000-0005-0000-0000-0000C1230000}"/>
    <cellStyle name="20% - Accent5 2 5 4 3" xfId="21891" xr:uid="{00000000-0005-0000-0000-0000C2230000}"/>
    <cellStyle name="20% - Accent5 2 5 4 3 2" xfId="15901" xr:uid="{00000000-0005-0000-0000-0000C3230000}"/>
    <cellStyle name="20% - Accent5 2 5 4 4" xfId="15905" xr:uid="{00000000-0005-0000-0000-0000C4230000}"/>
    <cellStyle name="20% - Accent5 2 5 5" xfId="156" xr:uid="{00000000-0005-0000-0000-0000C5230000}"/>
    <cellStyle name="20% - Accent5 2 5 5 2" xfId="14525" xr:uid="{00000000-0005-0000-0000-0000C6230000}"/>
    <cellStyle name="20% - Accent5 2 5 5 2 2" xfId="31392" xr:uid="{00000000-0005-0000-0000-0000C7230000}"/>
    <cellStyle name="20% - Accent5 2 5 5 3" xfId="14532" xr:uid="{00000000-0005-0000-0000-0000C8230000}"/>
    <cellStyle name="20% - Accent5 2 5 6" xfId="248" xr:uid="{00000000-0005-0000-0000-0000C9230000}"/>
    <cellStyle name="20% - Accent5 2 5 6 2" xfId="3276" xr:uid="{00000000-0005-0000-0000-0000CA230000}"/>
    <cellStyle name="20% - Accent5 2 5 7" xfId="1241" xr:uid="{00000000-0005-0000-0000-0000CB230000}"/>
    <cellStyle name="20% - Accent5 2 6" xfId="11017" xr:uid="{00000000-0005-0000-0000-0000CC230000}"/>
    <cellStyle name="20% - Accent5 2 6 2" xfId="12227" xr:uid="{00000000-0005-0000-0000-0000CD230000}"/>
    <cellStyle name="20% - Accent5 2 6 2 2" xfId="655" xr:uid="{00000000-0005-0000-0000-0000CE230000}"/>
    <cellStyle name="20% - Accent5 2 6 2 2 2" xfId="32045" xr:uid="{00000000-0005-0000-0000-0000CF230000}"/>
    <cellStyle name="20% - Accent5 2 6 2 2 2 2" xfId="12859" xr:uid="{00000000-0005-0000-0000-0000D0230000}"/>
    <cellStyle name="20% - Accent5 2 6 2 2 2 2 2" xfId="20937" xr:uid="{00000000-0005-0000-0000-0000D1230000}"/>
    <cellStyle name="20% - Accent5 2 6 2 2 2 3" xfId="10450" xr:uid="{00000000-0005-0000-0000-0000D2230000}"/>
    <cellStyle name="20% - Accent5 2 6 2 2 3" xfId="24842" xr:uid="{00000000-0005-0000-0000-0000D3230000}"/>
    <cellStyle name="20% - Accent5 2 6 2 2 3 2" xfId="27139" xr:uid="{00000000-0005-0000-0000-0000D4230000}"/>
    <cellStyle name="20% - Accent5 2 6 2 2 4" xfId="24851" xr:uid="{00000000-0005-0000-0000-0000D5230000}"/>
    <cellStyle name="20% - Accent5 2 6 2 3" xfId="29866" xr:uid="{00000000-0005-0000-0000-0000D6230000}"/>
    <cellStyle name="20% - Accent5 2 6 2 3 2" xfId="4059" xr:uid="{00000000-0005-0000-0000-0000D7230000}"/>
    <cellStyle name="20% - Accent5 2 6 2 3 2 2" xfId="15931" xr:uid="{00000000-0005-0000-0000-0000D8230000}"/>
    <cellStyle name="20% - Accent5 2 6 2 3 3" xfId="18888" xr:uid="{00000000-0005-0000-0000-0000D9230000}"/>
    <cellStyle name="20% - Accent5 2 6 2 4" xfId="15935" xr:uid="{00000000-0005-0000-0000-0000DA230000}"/>
    <cellStyle name="20% - Accent5 2 6 2 4 2" xfId="15937" xr:uid="{00000000-0005-0000-0000-0000DB230000}"/>
    <cellStyle name="20% - Accent5 2 6 2 5" xfId="14587" xr:uid="{00000000-0005-0000-0000-0000DC230000}"/>
    <cellStyle name="20% - Accent5 2 6 3" xfId="5220" xr:uid="{00000000-0005-0000-0000-0000DD230000}"/>
    <cellStyle name="20% - Accent5 2 6 3 2" xfId="15983" xr:uid="{00000000-0005-0000-0000-0000DE230000}"/>
    <cellStyle name="20% - Accent5 2 6 3 2 2" xfId="4331" xr:uid="{00000000-0005-0000-0000-0000DF230000}"/>
    <cellStyle name="20% - Accent5 2 6 3 2 2 2" xfId="10520" xr:uid="{00000000-0005-0000-0000-0000E0230000}"/>
    <cellStyle name="20% - Accent5 2 6 3 2 3" xfId="24182" xr:uid="{00000000-0005-0000-0000-0000E1230000}"/>
    <cellStyle name="20% - Accent5 2 6 3 3" xfId="15943" xr:uid="{00000000-0005-0000-0000-0000E2230000}"/>
    <cellStyle name="20% - Accent5 2 6 3 3 2" xfId="15946" xr:uid="{00000000-0005-0000-0000-0000E3230000}"/>
    <cellStyle name="20% - Accent5 2 6 3 4" xfId="15951" xr:uid="{00000000-0005-0000-0000-0000E4230000}"/>
    <cellStyle name="20% - Accent5 2 6 4" xfId="5225" xr:uid="{00000000-0005-0000-0000-0000E5230000}"/>
    <cellStyle name="20% - Accent5 2 6 4 2" xfId="1816" xr:uid="{00000000-0005-0000-0000-0000E6230000}"/>
    <cellStyle name="20% - Accent5 2 6 4 2 2" xfId="13421" xr:uid="{00000000-0005-0000-0000-0000E7230000}"/>
    <cellStyle name="20% - Accent5 2 6 4 3" xfId="2107" xr:uid="{00000000-0005-0000-0000-0000E8230000}"/>
    <cellStyle name="20% - Accent5 2 6 5" xfId="252" xr:uid="{00000000-0005-0000-0000-0000E9230000}"/>
    <cellStyle name="20% - Accent5 2 6 5 2" xfId="14543" xr:uid="{00000000-0005-0000-0000-0000EA230000}"/>
    <cellStyle name="20% - Accent5 2 6 6" xfId="129" xr:uid="{00000000-0005-0000-0000-0000EB230000}"/>
    <cellStyle name="20% - Accent5 2 7" xfId="6476" xr:uid="{00000000-0005-0000-0000-0000EC230000}"/>
    <cellStyle name="20% - Accent5 2 7 2" xfId="166" xr:uid="{00000000-0005-0000-0000-0000ED230000}"/>
    <cellStyle name="20% - Accent5 2 7 2 2" xfId="11258" xr:uid="{00000000-0005-0000-0000-0000EE230000}"/>
    <cellStyle name="20% - Accent5 2 7 2 2 2" xfId="10326" xr:uid="{00000000-0005-0000-0000-0000EF230000}"/>
    <cellStyle name="20% - Accent5 2 7 2 2 2 2" xfId="10330" xr:uid="{00000000-0005-0000-0000-0000F0230000}"/>
    <cellStyle name="20% - Accent5 2 7 2 2 3" xfId="10086" xr:uid="{00000000-0005-0000-0000-0000F1230000}"/>
    <cellStyle name="20% - Accent5 2 7 2 3" xfId="11747" xr:uid="{00000000-0005-0000-0000-0000F2230000}"/>
    <cellStyle name="20% - Accent5 2 7 2 3 2" xfId="15969" xr:uid="{00000000-0005-0000-0000-0000F3230000}"/>
    <cellStyle name="20% - Accent5 2 7 2 4" xfId="11752" xr:uid="{00000000-0005-0000-0000-0000F4230000}"/>
    <cellStyle name="20% - Accent5 2 7 3" xfId="456" xr:uid="{00000000-0005-0000-0000-0000F5230000}"/>
    <cellStyle name="20% - Accent5 2 7 3 2" xfId="16020" xr:uid="{00000000-0005-0000-0000-0000F6230000}"/>
    <cellStyle name="20% - Accent5 2 7 3 2 2" xfId="10342" xr:uid="{00000000-0005-0000-0000-0000F7230000}"/>
    <cellStyle name="20% - Accent5 2 7 3 3" xfId="15973" xr:uid="{00000000-0005-0000-0000-0000F8230000}"/>
    <cellStyle name="20% - Accent5 2 7 4" xfId="458" xr:uid="{00000000-0005-0000-0000-0000F9230000}"/>
    <cellStyle name="20% - Accent5 2 7 4 2" xfId="2413" xr:uid="{00000000-0005-0000-0000-0000FA230000}"/>
    <cellStyle name="20% - Accent5 2 7 5" xfId="102" xr:uid="{00000000-0005-0000-0000-0000FB230000}"/>
    <cellStyle name="20% - Accent5 2 8" xfId="2264" xr:uid="{00000000-0005-0000-0000-0000FC230000}"/>
    <cellStyle name="20% - Accent5 2 8 2" xfId="3661" xr:uid="{00000000-0005-0000-0000-0000FD230000}"/>
    <cellStyle name="20% - Accent5 2 8 2 2" xfId="11754" xr:uid="{00000000-0005-0000-0000-0000FE230000}"/>
    <cellStyle name="20% - Accent5 2 8 2 2 2" xfId="8620" xr:uid="{00000000-0005-0000-0000-0000FF230000}"/>
    <cellStyle name="20% - Accent5 2 8 2 3" xfId="11757" xr:uid="{00000000-0005-0000-0000-000000240000}"/>
    <cellStyle name="20% - Accent5 2 8 3" xfId="3689" xr:uid="{00000000-0005-0000-0000-000001240000}"/>
    <cellStyle name="20% - Accent5 2 8 3 2" xfId="11759" xr:uid="{00000000-0005-0000-0000-000002240000}"/>
    <cellStyle name="20% - Accent5 2 8 4" xfId="15208" xr:uid="{00000000-0005-0000-0000-000003240000}"/>
    <cellStyle name="20% - Accent5 2 9" xfId="32637" xr:uid="{00000000-0005-0000-0000-000004240000}"/>
    <cellStyle name="20% - Accent5 2 9 2" xfId="3671" xr:uid="{00000000-0005-0000-0000-000005240000}"/>
    <cellStyle name="20% - Accent5 2 9 2 2" xfId="11761" xr:uid="{00000000-0005-0000-0000-000006240000}"/>
    <cellStyle name="20% - Accent5 2 9 3" xfId="910" xr:uid="{00000000-0005-0000-0000-000007240000}"/>
    <cellStyle name="20% - Accent5 3" xfId="11766" xr:uid="{00000000-0005-0000-0000-000008240000}"/>
    <cellStyle name="20% - Accent5 3 10" xfId="10891" xr:uid="{00000000-0005-0000-0000-000009240000}"/>
    <cellStyle name="20% - Accent5 3 2" xfId="4833" xr:uid="{00000000-0005-0000-0000-00000A240000}"/>
    <cellStyle name="20% - Accent5 3 2 2" xfId="11767" xr:uid="{00000000-0005-0000-0000-00000B240000}"/>
    <cellStyle name="20% - Accent5 3 2 2 2" xfId="11521" xr:uid="{00000000-0005-0000-0000-00000C240000}"/>
    <cellStyle name="20% - Accent5 3 2 2 2 2" xfId="11768" xr:uid="{00000000-0005-0000-0000-00000D240000}"/>
    <cellStyle name="20% - Accent5 3 2 2 2 2 2" xfId="10431" xr:uid="{00000000-0005-0000-0000-00000E240000}"/>
    <cellStyle name="20% - Accent5 3 2 2 2 2 2 2" xfId="13999" xr:uid="{00000000-0005-0000-0000-00000F240000}"/>
    <cellStyle name="20% - Accent5 3 2 2 2 2 2 2 2" xfId="23869" xr:uid="{00000000-0005-0000-0000-000010240000}"/>
    <cellStyle name="20% - Accent5 3 2 2 2 2 2 2 2 2" xfId="11772" xr:uid="{00000000-0005-0000-0000-000011240000}"/>
    <cellStyle name="20% - Accent5 3 2 2 2 2 2 2 2 2 2" xfId="11773" xr:uid="{00000000-0005-0000-0000-000012240000}"/>
    <cellStyle name="20% - Accent5 3 2 2 2 2 2 2 2 3" xfId="9953" xr:uid="{00000000-0005-0000-0000-000013240000}"/>
    <cellStyle name="20% - Accent5 3 2 2 2 2 2 2 3" xfId="10514" xr:uid="{00000000-0005-0000-0000-000014240000}"/>
    <cellStyle name="20% - Accent5 3 2 2 2 2 2 2 3 2" xfId="15024" xr:uid="{00000000-0005-0000-0000-000015240000}"/>
    <cellStyle name="20% - Accent5 3 2 2 2 2 2 2 4" xfId="11776" xr:uid="{00000000-0005-0000-0000-000016240000}"/>
    <cellStyle name="20% - Accent5 3 2 2 2 2 2 3" xfId="11778" xr:uid="{00000000-0005-0000-0000-000017240000}"/>
    <cellStyle name="20% - Accent5 3 2 2 2 2 2 3 2" xfId="14482" xr:uid="{00000000-0005-0000-0000-000018240000}"/>
    <cellStyle name="20% - Accent5 3 2 2 2 2 2 3 2 2" xfId="11779" xr:uid="{00000000-0005-0000-0000-000019240000}"/>
    <cellStyle name="20% - Accent5 3 2 2 2 2 2 3 3" xfId="11782" xr:uid="{00000000-0005-0000-0000-00001A240000}"/>
    <cellStyle name="20% - Accent5 3 2 2 2 2 2 4" xfId="11785" xr:uid="{00000000-0005-0000-0000-00001B240000}"/>
    <cellStyle name="20% - Accent5 3 2 2 2 2 2 4 2" xfId="11788" xr:uid="{00000000-0005-0000-0000-00001C240000}"/>
    <cellStyle name="20% - Accent5 3 2 2 2 2 2 5" xfId="23044" xr:uid="{00000000-0005-0000-0000-00001D240000}"/>
    <cellStyle name="20% - Accent5 3 2 2 2 2 3" xfId="11790" xr:uid="{00000000-0005-0000-0000-00001E240000}"/>
    <cellStyle name="20% - Accent5 3 2 2 2 2 3 2" xfId="29864" xr:uid="{00000000-0005-0000-0000-00001F240000}"/>
    <cellStyle name="20% - Accent5 3 2 2 2 2 3 2 2" xfId="12464" xr:uid="{00000000-0005-0000-0000-000020240000}"/>
    <cellStyle name="20% - Accent5 3 2 2 2 2 3 2 2 2" xfId="2154" xr:uid="{00000000-0005-0000-0000-000021240000}"/>
    <cellStyle name="20% - Accent5 3 2 2 2 2 3 2 3" xfId="11794" xr:uid="{00000000-0005-0000-0000-000022240000}"/>
    <cellStyle name="20% - Accent5 3 2 2 2 2 3 3" xfId="32279" xr:uid="{00000000-0005-0000-0000-000023240000}"/>
    <cellStyle name="20% - Accent5 3 2 2 2 2 3 3 2" xfId="11797" xr:uid="{00000000-0005-0000-0000-000024240000}"/>
    <cellStyle name="20% - Accent5 3 2 2 2 2 3 4" xfId="21790" xr:uid="{00000000-0005-0000-0000-000025240000}"/>
    <cellStyle name="20% - Accent5 3 2 2 2 2 4" xfId="11801" xr:uid="{00000000-0005-0000-0000-000026240000}"/>
    <cellStyle name="20% - Accent5 3 2 2 2 2 4 2" xfId="11804" xr:uid="{00000000-0005-0000-0000-000027240000}"/>
    <cellStyle name="20% - Accent5 3 2 2 2 2 4 2 2" xfId="30075" xr:uid="{00000000-0005-0000-0000-000028240000}"/>
    <cellStyle name="20% - Accent5 3 2 2 2 2 4 3" xfId="11808" xr:uid="{00000000-0005-0000-0000-000029240000}"/>
    <cellStyle name="20% - Accent5 3 2 2 2 2 5" xfId="13270" xr:uid="{00000000-0005-0000-0000-00002A240000}"/>
    <cellStyle name="20% - Accent5 3 2 2 2 2 5 2" xfId="20342" xr:uid="{00000000-0005-0000-0000-00002B240000}"/>
    <cellStyle name="20% - Accent5 3 2 2 2 2 6" xfId="10365" xr:uid="{00000000-0005-0000-0000-00002C240000}"/>
    <cellStyle name="20% - Accent5 3 2 2 2 3" xfId="10005" xr:uid="{00000000-0005-0000-0000-00002D240000}"/>
    <cellStyle name="20% - Accent5 3 2 2 2 3 2" xfId="11811" xr:uid="{00000000-0005-0000-0000-00002E240000}"/>
    <cellStyle name="20% - Accent5 3 2 2 2 3 2 2" xfId="33594" xr:uid="{00000000-0005-0000-0000-00002F240000}"/>
    <cellStyle name="20% - Accent5 3 2 2 2 3 2 2 2" xfId="11814" xr:uid="{00000000-0005-0000-0000-000030240000}"/>
    <cellStyle name="20% - Accent5 3 2 2 2 3 2 2 2 2" xfId="11820" xr:uid="{00000000-0005-0000-0000-000031240000}"/>
    <cellStyle name="20% - Accent5 3 2 2 2 3 2 2 3" xfId="11822" xr:uid="{00000000-0005-0000-0000-000032240000}"/>
    <cellStyle name="20% - Accent5 3 2 2 2 3 2 3" xfId="11825" xr:uid="{00000000-0005-0000-0000-000033240000}"/>
    <cellStyle name="20% - Accent5 3 2 2 2 3 2 3 2" xfId="11826" xr:uid="{00000000-0005-0000-0000-000034240000}"/>
    <cellStyle name="20% - Accent5 3 2 2 2 3 2 4" xfId="11833" xr:uid="{00000000-0005-0000-0000-000035240000}"/>
    <cellStyle name="20% - Accent5 3 2 2 2 3 3" xfId="11834" xr:uid="{00000000-0005-0000-0000-000036240000}"/>
    <cellStyle name="20% - Accent5 3 2 2 2 3 3 2" xfId="11837" xr:uid="{00000000-0005-0000-0000-000037240000}"/>
    <cellStyle name="20% - Accent5 3 2 2 2 3 3 2 2" xfId="11838" xr:uid="{00000000-0005-0000-0000-000038240000}"/>
    <cellStyle name="20% - Accent5 3 2 2 2 3 3 3" xfId="11842" xr:uid="{00000000-0005-0000-0000-000039240000}"/>
    <cellStyle name="20% - Accent5 3 2 2 2 3 4" xfId="11844" xr:uid="{00000000-0005-0000-0000-00003A240000}"/>
    <cellStyle name="20% - Accent5 3 2 2 2 3 4 2" xfId="11848" xr:uid="{00000000-0005-0000-0000-00003B240000}"/>
    <cellStyle name="20% - Accent5 3 2 2 2 3 5" xfId="31388" xr:uid="{00000000-0005-0000-0000-00003C240000}"/>
    <cellStyle name="20% - Accent5 3 2 2 2 4" xfId="10012" xr:uid="{00000000-0005-0000-0000-00003D240000}"/>
    <cellStyle name="20% - Accent5 3 2 2 2 4 2" xfId="14602" xr:uid="{00000000-0005-0000-0000-00003E240000}"/>
    <cellStyle name="20% - Accent5 3 2 2 2 4 2 2" xfId="11850" xr:uid="{00000000-0005-0000-0000-00003F240000}"/>
    <cellStyle name="20% - Accent5 3 2 2 2 4 2 2 2" xfId="11854" xr:uid="{00000000-0005-0000-0000-000040240000}"/>
    <cellStyle name="20% - Accent5 3 2 2 2 4 2 3" xfId="11856" xr:uid="{00000000-0005-0000-0000-000041240000}"/>
    <cellStyle name="20% - Accent5 3 2 2 2 4 3" xfId="11858" xr:uid="{00000000-0005-0000-0000-000042240000}"/>
    <cellStyle name="20% - Accent5 3 2 2 2 4 3 2" xfId="29551" xr:uid="{00000000-0005-0000-0000-000043240000}"/>
    <cellStyle name="20% - Accent5 3 2 2 2 4 4" xfId="11865" xr:uid="{00000000-0005-0000-0000-000044240000}"/>
    <cellStyle name="20% - Accent5 3 2 2 2 5" xfId="10014" xr:uid="{00000000-0005-0000-0000-000045240000}"/>
    <cellStyle name="20% - Accent5 3 2 2 2 5 2" xfId="27841" xr:uid="{00000000-0005-0000-0000-000046240000}"/>
    <cellStyle name="20% - Accent5 3 2 2 2 5 2 2" xfId="13712" xr:uid="{00000000-0005-0000-0000-000047240000}"/>
    <cellStyle name="20% - Accent5 3 2 2 2 5 3" xfId="27851" xr:uid="{00000000-0005-0000-0000-000048240000}"/>
    <cellStyle name="20% - Accent5 3 2 2 2 6" xfId="1365" xr:uid="{00000000-0005-0000-0000-000049240000}"/>
    <cellStyle name="20% - Accent5 3 2 2 2 6 2" xfId="27862" xr:uid="{00000000-0005-0000-0000-00004A240000}"/>
    <cellStyle name="20% - Accent5 3 2 2 2 7" xfId="11870" xr:uid="{00000000-0005-0000-0000-00004B240000}"/>
    <cellStyle name="20% - Accent5 3 2 2 3" xfId="4407" xr:uid="{00000000-0005-0000-0000-00004C240000}"/>
    <cellStyle name="20% - Accent5 3 2 2 3 2" xfId="3824" xr:uid="{00000000-0005-0000-0000-00004D240000}"/>
    <cellStyle name="20% - Accent5 3 2 2 3 2 2" xfId="10379" xr:uid="{00000000-0005-0000-0000-00004E240000}"/>
    <cellStyle name="20% - Accent5 3 2 2 3 2 2 2" xfId="8031" xr:uid="{00000000-0005-0000-0000-00004F240000}"/>
    <cellStyle name="20% - Accent5 3 2 2 3 2 2 2 2" xfId="10803" xr:uid="{00000000-0005-0000-0000-000050240000}"/>
    <cellStyle name="20% - Accent5 3 2 2 3 2 2 2 2 2" xfId="11872" xr:uid="{00000000-0005-0000-0000-000051240000}"/>
    <cellStyle name="20% - Accent5 3 2 2 3 2 2 2 3" xfId="18048" xr:uid="{00000000-0005-0000-0000-000052240000}"/>
    <cellStyle name="20% - Accent5 3 2 2 3 2 2 3" xfId="8032" xr:uid="{00000000-0005-0000-0000-000053240000}"/>
    <cellStyle name="20% - Accent5 3 2 2 3 2 2 3 2" xfId="15194" xr:uid="{00000000-0005-0000-0000-000054240000}"/>
    <cellStyle name="20% - Accent5 3 2 2 3 2 2 4" xfId="27559" xr:uid="{00000000-0005-0000-0000-000055240000}"/>
    <cellStyle name="20% - Accent5 3 2 2 3 2 3" xfId="11145" xr:uid="{00000000-0005-0000-0000-000056240000}"/>
    <cellStyle name="20% - Accent5 3 2 2 3 2 3 2" xfId="8033" xr:uid="{00000000-0005-0000-0000-000057240000}"/>
    <cellStyle name="20% - Accent5 3 2 2 3 2 3 2 2" xfId="15198" xr:uid="{00000000-0005-0000-0000-000058240000}"/>
    <cellStyle name="20% - Accent5 3 2 2 3 2 3 3" xfId="11880" xr:uid="{00000000-0005-0000-0000-000059240000}"/>
    <cellStyle name="20% - Accent5 3 2 2 3 2 4" xfId="12057" xr:uid="{00000000-0005-0000-0000-00005A240000}"/>
    <cellStyle name="20% - Accent5 3 2 2 3 2 4 2" xfId="11881" xr:uid="{00000000-0005-0000-0000-00005B240000}"/>
    <cellStyle name="20% - Accent5 3 2 2 3 2 5" xfId="27050" xr:uid="{00000000-0005-0000-0000-00005C240000}"/>
    <cellStyle name="20% - Accent5 3 2 2 3 3" xfId="2147" xr:uid="{00000000-0005-0000-0000-00005D240000}"/>
    <cellStyle name="20% - Accent5 3 2 2 3 3 2" xfId="26550" xr:uid="{00000000-0005-0000-0000-00005E240000}"/>
    <cellStyle name="20% - Accent5 3 2 2 3 3 2 2" xfId="8064" xr:uid="{00000000-0005-0000-0000-00005F240000}"/>
    <cellStyle name="20% - Accent5 3 2 2 3 3 2 2 2" xfId="19797" xr:uid="{00000000-0005-0000-0000-000060240000}"/>
    <cellStyle name="20% - Accent5 3 2 2 3 3 2 3" xfId="6687" xr:uid="{00000000-0005-0000-0000-000061240000}"/>
    <cellStyle name="20% - Accent5 3 2 2 3 3 3" xfId="11170" xr:uid="{00000000-0005-0000-0000-000062240000}"/>
    <cellStyle name="20% - Accent5 3 2 2 3 3 3 2" xfId="11887" xr:uid="{00000000-0005-0000-0000-000063240000}"/>
    <cellStyle name="20% - Accent5 3 2 2 3 3 4" xfId="12294" xr:uid="{00000000-0005-0000-0000-000064240000}"/>
    <cellStyle name="20% - Accent5 3 2 2 3 4" xfId="1504" xr:uid="{00000000-0005-0000-0000-000065240000}"/>
    <cellStyle name="20% - Accent5 3 2 2 3 4 2" xfId="11178" xr:uid="{00000000-0005-0000-0000-000066240000}"/>
    <cellStyle name="20% - Accent5 3 2 2 3 4 2 2" xfId="11888" xr:uid="{00000000-0005-0000-0000-000067240000}"/>
    <cellStyle name="20% - Accent5 3 2 2 3 4 3" xfId="11893" xr:uid="{00000000-0005-0000-0000-000068240000}"/>
    <cellStyle name="20% - Accent5 3 2 2 3 5" xfId="11895" xr:uid="{00000000-0005-0000-0000-000069240000}"/>
    <cellStyle name="20% - Accent5 3 2 2 3 5 2" xfId="27879" xr:uid="{00000000-0005-0000-0000-00006A240000}"/>
    <cellStyle name="20% - Accent5 3 2 2 3 6" xfId="1549" xr:uid="{00000000-0005-0000-0000-00006B240000}"/>
    <cellStyle name="20% - Accent5 3 2 2 4" xfId="4417" xr:uid="{00000000-0005-0000-0000-00006C240000}"/>
    <cellStyle name="20% - Accent5 3 2 2 4 2" xfId="2156" xr:uid="{00000000-0005-0000-0000-00006D240000}"/>
    <cellStyle name="20% - Accent5 3 2 2 4 2 2" xfId="29761" xr:uid="{00000000-0005-0000-0000-00006E240000}"/>
    <cellStyle name="20% - Accent5 3 2 2 4 2 2 2" xfId="8127" xr:uid="{00000000-0005-0000-0000-00006F240000}"/>
    <cellStyle name="20% - Accent5 3 2 2 4 2 2 2 2" xfId="6590" xr:uid="{00000000-0005-0000-0000-000070240000}"/>
    <cellStyle name="20% - Accent5 3 2 2 4 2 2 3" xfId="3654" xr:uid="{00000000-0005-0000-0000-000071240000}"/>
    <cellStyle name="20% - Accent5 3 2 2 4 2 3" xfId="11315" xr:uid="{00000000-0005-0000-0000-000072240000}"/>
    <cellStyle name="20% - Accent5 3 2 2 4 2 3 2" xfId="14732" xr:uid="{00000000-0005-0000-0000-000073240000}"/>
    <cellStyle name="20% - Accent5 3 2 2 4 2 4" xfId="13312" xr:uid="{00000000-0005-0000-0000-000074240000}"/>
    <cellStyle name="20% - Accent5 3 2 2 4 3" xfId="3017" xr:uid="{00000000-0005-0000-0000-000075240000}"/>
    <cellStyle name="20% - Accent5 3 2 2 4 3 2" xfId="11334" xr:uid="{00000000-0005-0000-0000-000076240000}"/>
    <cellStyle name="20% - Accent5 3 2 2 4 3 2 2" xfId="11464" xr:uid="{00000000-0005-0000-0000-000077240000}"/>
    <cellStyle name="20% - Accent5 3 2 2 4 3 3" xfId="11899" xr:uid="{00000000-0005-0000-0000-000078240000}"/>
    <cellStyle name="20% - Accent5 3 2 2 4 4" xfId="11901" xr:uid="{00000000-0005-0000-0000-000079240000}"/>
    <cellStyle name="20% - Accent5 3 2 2 4 4 2" xfId="31788" xr:uid="{00000000-0005-0000-0000-00007A240000}"/>
    <cellStyle name="20% - Accent5 3 2 2 4 5" xfId="11904" xr:uid="{00000000-0005-0000-0000-00007B240000}"/>
    <cellStyle name="20% - Accent5 3 2 2 5" xfId="286" xr:uid="{00000000-0005-0000-0000-00007C240000}"/>
    <cellStyle name="20% - Accent5 3 2 2 5 2" xfId="259" xr:uid="{00000000-0005-0000-0000-00007D240000}"/>
    <cellStyle name="20% - Accent5 3 2 2 5 2 2" xfId="5271" xr:uid="{00000000-0005-0000-0000-00007E240000}"/>
    <cellStyle name="20% - Accent5 3 2 2 5 2 2 2" xfId="3649" xr:uid="{00000000-0005-0000-0000-00007F240000}"/>
    <cellStyle name="20% - Accent5 3 2 2 5 2 3" xfId="11910" xr:uid="{00000000-0005-0000-0000-000080240000}"/>
    <cellStyle name="20% - Accent5 3 2 2 5 3" xfId="11912" xr:uid="{00000000-0005-0000-0000-000081240000}"/>
    <cellStyle name="20% - Accent5 3 2 2 5 3 2" xfId="5280" xr:uid="{00000000-0005-0000-0000-000082240000}"/>
    <cellStyle name="20% - Accent5 3 2 2 5 4" xfId="11913" xr:uid="{00000000-0005-0000-0000-000083240000}"/>
    <cellStyle name="20% - Accent5 3 2 2 6" xfId="4157" xr:uid="{00000000-0005-0000-0000-000084240000}"/>
    <cellStyle name="20% - Accent5 3 2 2 6 2" xfId="18627" xr:uid="{00000000-0005-0000-0000-000085240000}"/>
    <cellStyle name="20% - Accent5 3 2 2 6 2 2" xfId="11917" xr:uid="{00000000-0005-0000-0000-000086240000}"/>
    <cellStyle name="20% - Accent5 3 2 2 6 3" xfId="11921" xr:uid="{00000000-0005-0000-0000-000087240000}"/>
    <cellStyle name="20% - Accent5 3 2 2 7" xfId="3409" xr:uid="{00000000-0005-0000-0000-000088240000}"/>
    <cellStyle name="20% - Accent5 3 2 2 7 2" xfId="14787" xr:uid="{00000000-0005-0000-0000-000089240000}"/>
    <cellStyle name="20% - Accent5 3 2 2 8" xfId="17307" xr:uid="{00000000-0005-0000-0000-00008A240000}"/>
    <cellStyle name="20% - Accent5 3 2 3" xfId="11924" xr:uid="{00000000-0005-0000-0000-00008B240000}"/>
    <cellStyle name="20% - Accent5 3 2 3 2" xfId="11929" xr:uid="{00000000-0005-0000-0000-00008C240000}"/>
    <cellStyle name="20% - Accent5 3 2 3 2 2" xfId="11930" xr:uid="{00000000-0005-0000-0000-00008D240000}"/>
    <cellStyle name="20% - Accent5 3 2 3 2 2 2" xfId="11933" xr:uid="{00000000-0005-0000-0000-00008E240000}"/>
    <cellStyle name="20% - Accent5 3 2 3 2 2 2 2" xfId="7374" xr:uid="{00000000-0005-0000-0000-00008F240000}"/>
    <cellStyle name="20% - Accent5 3 2 3 2 2 2 2 2" xfId="25214" xr:uid="{00000000-0005-0000-0000-000090240000}"/>
    <cellStyle name="20% - Accent5 3 2 3 2 2 2 2 2 2" xfId="20086" xr:uid="{00000000-0005-0000-0000-000091240000}"/>
    <cellStyle name="20% - Accent5 3 2 3 2 2 2 2 3" xfId="9863" xr:uid="{00000000-0005-0000-0000-000092240000}"/>
    <cellStyle name="20% - Accent5 3 2 3 2 2 2 3" xfId="4949" xr:uid="{00000000-0005-0000-0000-000093240000}"/>
    <cellStyle name="20% - Accent5 3 2 3 2 2 2 3 2" xfId="11935" xr:uid="{00000000-0005-0000-0000-000094240000}"/>
    <cellStyle name="20% - Accent5 3 2 3 2 2 2 4" xfId="1656" xr:uid="{00000000-0005-0000-0000-000095240000}"/>
    <cellStyle name="20% - Accent5 3 2 3 2 2 3" xfId="11851" xr:uid="{00000000-0005-0000-0000-000096240000}"/>
    <cellStyle name="20% - Accent5 3 2 3 2 2 3 2" xfId="4892" xr:uid="{00000000-0005-0000-0000-000097240000}"/>
    <cellStyle name="20% - Accent5 3 2 3 2 2 3 2 2" xfId="11032" xr:uid="{00000000-0005-0000-0000-000098240000}"/>
    <cellStyle name="20% - Accent5 3 2 3 2 2 3 3" xfId="10327" xr:uid="{00000000-0005-0000-0000-000099240000}"/>
    <cellStyle name="20% - Accent5 3 2 3 2 2 4" xfId="13344" xr:uid="{00000000-0005-0000-0000-00009A240000}"/>
    <cellStyle name="20% - Accent5 3 2 3 2 2 4 2" xfId="7087" xr:uid="{00000000-0005-0000-0000-00009B240000}"/>
    <cellStyle name="20% - Accent5 3 2 3 2 2 5" xfId="13347" xr:uid="{00000000-0005-0000-0000-00009C240000}"/>
    <cellStyle name="20% - Accent5 3 2 3 2 3" xfId="10447" xr:uid="{00000000-0005-0000-0000-00009D240000}"/>
    <cellStyle name="20% - Accent5 3 2 3 2 3 2" xfId="11937" xr:uid="{00000000-0005-0000-0000-00009E240000}"/>
    <cellStyle name="20% - Accent5 3 2 3 2 3 2 2" xfId="4515" xr:uid="{00000000-0005-0000-0000-00009F240000}"/>
    <cellStyle name="20% - Accent5 3 2 3 2 3 2 2 2" xfId="18416" xr:uid="{00000000-0005-0000-0000-0000A0240000}"/>
    <cellStyle name="20% - Accent5 3 2 3 2 3 2 3" xfId="2058" xr:uid="{00000000-0005-0000-0000-0000A1240000}"/>
    <cellStyle name="20% - Accent5 3 2 3 2 3 3" xfId="11859" xr:uid="{00000000-0005-0000-0000-0000A2240000}"/>
    <cellStyle name="20% - Accent5 3 2 3 2 3 3 2" xfId="7150" xr:uid="{00000000-0005-0000-0000-0000A3240000}"/>
    <cellStyle name="20% - Accent5 3 2 3 2 3 4" xfId="11944" xr:uid="{00000000-0005-0000-0000-0000A4240000}"/>
    <cellStyle name="20% - Accent5 3 2 3 2 4" xfId="12159" xr:uid="{00000000-0005-0000-0000-0000A5240000}"/>
    <cellStyle name="20% - Accent5 3 2 3 2 4 2" xfId="11947" xr:uid="{00000000-0005-0000-0000-0000A6240000}"/>
    <cellStyle name="20% - Accent5 3 2 3 2 4 2 2" xfId="7200" xr:uid="{00000000-0005-0000-0000-0000A7240000}"/>
    <cellStyle name="20% - Accent5 3 2 3 2 4 3" xfId="11948" xr:uid="{00000000-0005-0000-0000-0000A8240000}"/>
    <cellStyle name="20% - Accent5 3 2 3 2 5" xfId="11950" xr:uid="{00000000-0005-0000-0000-0000A9240000}"/>
    <cellStyle name="20% - Accent5 3 2 3 2 5 2" xfId="11962" xr:uid="{00000000-0005-0000-0000-0000AA240000}"/>
    <cellStyle name="20% - Accent5 3 2 3 2 6" xfId="21198" xr:uid="{00000000-0005-0000-0000-0000AB240000}"/>
    <cellStyle name="20% - Accent5 3 2 3 3" xfId="4447" xr:uid="{00000000-0005-0000-0000-0000AC240000}"/>
    <cellStyle name="20% - Accent5 3 2 3 3 2" xfId="8855" xr:uid="{00000000-0005-0000-0000-0000AD240000}"/>
    <cellStyle name="20% - Accent5 3 2 3 3 2 2" xfId="27421" xr:uid="{00000000-0005-0000-0000-0000AE240000}"/>
    <cellStyle name="20% - Accent5 3 2 3 3 2 2 2" xfId="11375" xr:uid="{00000000-0005-0000-0000-0000AF240000}"/>
    <cellStyle name="20% - Accent5 3 2 3 3 2 2 2 2" xfId="11964" xr:uid="{00000000-0005-0000-0000-0000B0240000}"/>
    <cellStyle name="20% - Accent5 3 2 3 3 2 2 3" xfId="11377" xr:uid="{00000000-0005-0000-0000-0000B1240000}"/>
    <cellStyle name="20% - Accent5 3 2 3 3 2 3" xfId="27432" xr:uid="{00000000-0005-0000-0000-0000B2240000}"/>
    <cellStyle name="20% - Accent5 3 2 3 3 2 3 2" xfId="6292" xr:uid="{00000000-0005-0000-0000-0000B3240000}"/>
    <cellStyle name="20% - Accent5 3 2 3 3 2 4" xfId="10222" xr:uid="{00000000-0005-0000-0000-0000B4240000}"/>
    <cellStyle name="20% - Accent5 3 2 3 3 3" xfId="10460" xr:uid="{00000000-0005-0000-0000-0000B5240000}"/>
    <cellStyle name="20% - Accent5 3 2 3 3 3 2" xfId="27478" xr:uid="{00000000-0005-0000-0000-0000B6240000}"/>
    <cellStyle name="20% - Accent5 3 2 3 3 3 2 2" xfId="11422" xr:uid="{00000000-0005-0000-0000-0000B7240000}"/>
    <cellStyle name="20% - Accent5 3 2 3 3 3 3" xfId="11968" xr:uid="{00000000-0005-0000-0000-0000B8240000}"/>
    <cellStyle name="20% - Accent5 3 2 3 3 4" xfId="11970" xr:uid="{00000000-0005-0000-0000-0000B9240000}"/>
    <cellStyle name="20% - Accent5 3 2 3 3 4 2" xfId="21723" xr:uid="{00000000-0005-0000-0000-0000BA240000}"/>
    <cellStyle name="20% - Accent5 3 2 3 3 5" xfId="11971" xr:uid="{00000000-0005-0000-0000-0000BB240000}"/>
    <cellStyle name="20% - Accent5 3 2 3 4" xfId="2183" xr:uid="{00000000-0005-0000-0000-0000BC240000}"/>
    <cellStyle name="20% - Accent5 3 2 3 4 2" xfId="2186" xr:uid="{00000000-0005-0000-0000-0000BD240000}"/>
    <cellStyle name="20% - Accent5 3 2 3 4 2 2" xfId="11577" xr:uid="{00000000-0005-0000-0000-0000BE240000}"/>
    <cellStyle name="20% - Accent5 3 2 3 4 2 2 2" xfId="7689" xr:uid="{00000000-0005-0000-0000-0000BF240000}"/>
    <cellStyle name="20% - Accent5 3 2 3 4 2 3" xfId="11972" xr:uid="{00000000-0005-0000-0000-0000C0240000}"/>
    <cellStyle name="20% - Accent5 3 2 3 4 3" xfId="11979" xr:uid="{00000000-0005-0000-0000-0000C1240000}"/>
    <cellStyle name="20% - Accent5 3 2 3 4 3 2" xfId="11980" xr:uid="{00000000-0005-0000-0000-0000C2240000}"/>
    <cellStyle name="20% - Accent5 3 2 3 4 4" xfId="6710" xr:uid="{00000000-0005-0000-0000-0000C3240000}"/>
    <cellStyle name="20% - Accent5 3 2 3 5" xfId="298" xr:uid="{00000000-0005-0000-0000-0000C4240000}"/>
    <cellStyle name="20% - Accent5 3 2 3 5 2" xfId="5184" xr:uid="{00000000-0005-0000-0000-0000C5240000}"/>
    <cellStyle name="20% - Accent5 3 2 3 5 2 2" xfId="11982" xr:uid="{00000000-0005-0000-0000-0000C6240000}"/>
    <cellStyle name="20% - Accent5 3 2 3 5 3" xfId="5200" xr:uid="{00000000-0005-0000-0000-0000C7240000}"/>
    <cellStyle name="20% - Accent5 3 2 3 6" xfId="893" xr:uid="{00000000-0005-0000-0000-0000C8240000}"/>
    <cellStyle name="20% - Accent5 3 2 3 6 2" xfId="4385" xr:uid="{00000000-0005-0000-0000-0000C9240000}"/>
    <cellStyle name="20% - Accent5 3 2 3 7" xfId="19326" xr:uid="{00000000-0005-0000-0000-0000CA240000}"/>
    <cellStyle name="20% - Accent5 3 2 4" xfId="11984" xr:uid="{00000000-0005-0000-0000-0000CB240000}"/>
    <cellStyle name="20% - Accent5 3 2 4 2" xfId="33760" xr:uid="{00000000-0005-0000-0000-0000CC240000}"/>
    <cellStyle name="20% - Accent5 3 2 4 2 2" xfId="19799" xr:uid="{00000000-0005-0000-0000-0000CD240000}"/>
    <cellStyle name="20% - Accent5 3 2 4 2 2 2" xfId="11990" xr:uid="{00000000-0005-0000-0000-0000CE240000}"/>
    <cellStyle name="20% - Accent5 3 2 4 2 2 2 2" xfId="10293" xr:uid="{00000000-0005-0000-0000-0000CF240000}"/>
    <cellStyle name="20% - Accent5 3 2 4 2 2 2 2 2" xfId="26283" xr:uid="{00000000-0005-0000-0000-0000D0240000}"/>
    <cellStyle name="20% - Accent5 3 2 4 2 2 2 3" xfId="4458" xr:uid="{00000000-0005-0000-0000-0000D1240000}"/>
    <cellStyle name="20% - Accent5 3 2 4 2 2 3" xfId="11891" xr:uid="{00000000-0005-0000-0000-0000D2240000}"/>
    <cellStyle name="20% - Accent5 3 2 4 2 2 3 2" xfId="21344" xr:uid="{00000000-0005-0000-0000-0000D3240000}"/>
    <cellStyle name="20% - Accent5 3 2 4 2 2 4" xfId="11993" xr:uid="{00000000-0005-0000-0000-0000D4240000}"/>
    <cellStyle name="20% - Accent5 3 2 4 2 3" xfId="10478" xr:uid="{00000000-0005-0000-0000-0000D5240000}"/>
    <cellStyle name="20% - Accent5 3 2 4 2 3 2" xfId="11997" xr:uid="{00000000-0005-0000-0000-0000D6240000}"/>
    <cellStyle name="20% - Accent5 3 2 4 2 3 2 2" xfId="12966" xr:uid="{00000000-0005-0000-0000-0000D7240000}"/>
    <cellStyle name="20% - Accent5 3 2 4 2 3 3" xfId="12002" xr:uid="{00000000-0005-0000-0000-0000D8240000}"/>
    <cellStyle name="20% - Accent5 3 2 4 2 4" xfId="12008" xr:uid="{00000000-0005-0000-0000-0000D9240000}"/>
    <cellStyle name="20% - Accent5 3 2 4 2 4 2" xfId="12016" xr:uid="{00000000-0005-0000-0000-0000DA240000}"/>
    <cellStyle name="20% - Accent5 3 2 4 2 5" xfId="12017" xr:uid="{00000000-0005-0000-0000-0000DB240000}"/>
    <cellStyle name="20% - Accent5 3 2 4 3" xfId="2200" xr:uid="{00000000-0005-0000-0000-0000DC240000}"/>
    <cellStyle name="20% - Accent5 3 2 4 3 2" xfId="2202" xr:uid="{00000000-0005-0000-0000-0000DD240000}"/>
    <cellStyle name="20% - Accent5 3 2 4 3 2 2" xfId="11683" xr:uid="{00000000-0005-0000-0000-0000DE240000}"/>
    <cellStyle name="20% - Accent5 3 2 4 3 2 2 2" xfId="12007" xr:uid="{00000000-0005-0000-0000-0000DF240000}"/>
    <cellStyle name="20% - Accent5 3 2 4 3 2 3" xfId="10975" xr:uid="{00000000-0005-0000-0000-0000E0240000}"/>
    <cellStyle name="20% - Accent5 3 2 4 3 3" xfId="12019" xr:uid="{00000000-0005-0000-0000-0000E1240000}"/>
    <cellStyle name="20% - Accent5 3 2 4 3 3 2" xfId="12020" xr:uid="{00000000-0005-0000-0000-0000E2240000}"/>
    <cellStyle name="20% - Accent5 3 2 4 3 4" xfId="3502" xr:uid="{00000000-0005-0000-0000-0000E3240000}"/>
    <cellStyle name="20% - Accent5 3 2 4 4" xfId="8210" xr:uid="{00000000-0005-0000-0000-0000E4240000}"/>
    <cellStyle name="20% - Accent5 3 2 4 4 2" xfId="12022" xr:uid="{00000000-0005-0000-0000-0000E5240000}"/>
    <cellStyle name="20% - Accent5 3 2 4 4 2 2" xfId="17628" xr:uid="{00000000-0005-0000-0000-0000E6240000}"/>
    <cellStyle name="20% - Accent5 3 2 4 4 3" xfId="12023" xr:uid="{00000000-0005-0000-0000-0000E7240000}"/>
    <cellStyle name="20% - Accent5 3 2 4 5" xfId="12024" xr:uid="{00000000-0005-0000-0000-0000E8240000}"/>
    <cellStyle name="20% - Accent5 3 2 4 5 2" xfId="713" xr:uid="{00000000-0005-0000-0000-0000E9240000}"/>
    <cellStyle name="20% - Accent5 3 2 4 6" xfId="12025" xr:uid="{00000000-0005-0000-0000-0000EA240000}"/>
    <cellStyle name="20% - Accent5 3 2 5" xfId="12026" xr:uid="{00000000-0005-0000-0000-0000EB240000}"/>
    <cellStyle name="20% - Accent5 3 2 5 2" xfId="25062" xr:uid="{00000000-0005-0000-0000-0000EC240000}"/>
    <cellStyle name="20% - Accent5 3 2 5 2 2" xfId="33609" xr:uid="{00000000-0005-0000-0000-0000ED240000}"/>
    <cellStyle name="20% - Accent5 3 2 5 2 2 2" xfId="31194" xr:uid="{00000000-0005-0000-0000-0000EE240000}"/>
    <cellStyle name="20% - Accent5 3 2 5 2 2 2 2" xfId="9207" xr:uid="{00000000-0005-0000-0000-0000EF240000}"/>
    <cellStyle name="20% - Accent5 3 2 5 2 2 3" xfId="12531" xr:uid="{00000000-0005-0000-0000-0000F0240000}"/>
    <cellStyle name="20% - Accent5 3 2 5 2 3" xfId="32082" xr:uid="{00000000-0005-0000-0000-0000F1240000}"/>
    <cellStyle name="20% - Accent5 3 2 5 2 3 2" xfId="32940" xr:uid="{00000000-0005-0000-0000-0000F2240000}"/>
    <cellStyle name="20% - Accent5 3 2 5 2 4" xfId="12033" xr:uid="{00000000-0005-0000-0000-0000F3240000}"/>
    <cellStyle name="20% - Accent5 3 2 5 3" xfId="33998" xr:uid="{00000000-0005-0000-0000-0000F4240000}"/>
    <cellStyle name="20% - Accent5 3 2 5 3 2" xfId="33229" xr:uid="{00000000-0005-0000-0000-0000F5240000}"/>
    <cellStyle name="20% - Accent5 3 2 5 3 2 2" xfId="33776" xr:uid="{00000000-0005-0000-0000-0000F6240000}"/>
    <cellStyle name="20% - Accent5 3 2 5 3 3" xfId="32097" xr:uid="{00000000-0005-0000-0000-0000F7240000}"/>
    <cellStyle name="20% - Accent5 3 2 5 4" xfId="27406" xr:uid="{00000000-0005-0000-0000-0000F8240000}"/>
    <cellStyle name="20% - Accent5 3 2 5 4 2" xfId="33784" xr:uid="{00000000-0005-0000-0000-0000F9240000}"/>
    <cellStyle name="20% - Accent5 3 2 5 5" xfId="20957" xr:uid="{00000000-0005-0000-0000-0000FA240000}"/>
    <cellStyle name="20% - Accent5 3 2 6" xfId="12036" xr:uid="{00000000-0005-0000-0000-0000FB240000}"/>
    <cellStyle name="20% - Accent5 3 2 6 2" xfId="12037" xr:uid="{00000000-0005-0000-0000-0000FC240000}"/>
    <cellStyle name="20% - Accent5 3 2 6 2 2" xfId="15677" xr:uid="{00000000-0005-0000-0000-0000FD240000}"/>
    <cellStyle name="20% - Accent5 3 2 6 2 2 2" xfId="3960" xr:uid="{00000000-0005-0000-0000-0000FE240000}"/>
    <cellStyle name="20% - Accent5 3 2 6 2 3" xfId="16026" xr:uid="{00000000-0005-0000-0000-0000FF240000}"/>
    <cellStyle name="20% - Accent5 3 2 6 3" xfId="12040" xr:uid="{00000000-0005-0000-0000-000000250000}"/>
    <cellStyle name="20% - Accent5 3 2 6 3 2" xfId="12043" xr:uid="{00000000-0005-0000-0000-000001250000}"/>
    <cellStyle name="20% - Accent5 3 2 6 4" xfId="12045" xr:uid="{00000000-0005-0000-0000-000002250000}"/>
    <cellStyle name="20% - Accent5 3 2 7" xfId="26969" xr:uid="{00000000-0005-0000-0000-000003250000}"/>
    <cellStyle name="20% - Accent5 3 2 7 2" xfId="24073" xr:uid="{00000000-0005-0000-0000-000004250000}"/>
    <cellStyle name="20% - Accent5 3 2 7 2 2" xfId="12047" xr:uid="{00000000-0005-0000-0000-000005250000}"/>
    <cellStyle name="20% - Accent5 3 2 7 3" xfId="25637" xr:uid="{00000000-0005-0000-0000-000006250000}"/>
    <cellStyle name="20% - Accent5 3 2 8" xfId="12049" xr:uid="{00000000-0005-0000-0000-000007250000}"/>
    <cellStyle name="20% - Accent5 3 2 8 2" xfId="16967" xr:uid="{00000000-0005-0000-0000-000008250000}"/>
    <cellStyle name="20% - Accent5 3 2 9" xfId="12051" xr:uid="{00000000-0005-0000-0000-000009250000}"/>
    <cellStyle name="20% - Accent5 3 3" xfId="12056" xr:uid="{00000000-0005-0000-0000-00000A250000}"/>
    <cellStyle name="20% - Accent5 3 3 2" xfId="3457" xr:uid="{00000000-0005-0000-0000-00000B250000}"/>
    <cellStyle name="20% - Accent5 3 3 2 2" xfId="12060" xr:uid="{00000000-0005-0000-0000-00000C250000}"/>
    <cellStyle name="20% - Accent5 3 3 2 2 2" xfId="12061" xr:uid="{00000000-0005-0000-0000-00000D250000}"/>
    <cellStyle name="20% - Accent5 3 3 2 2 2 2" xfId="12064" xr:uid="{00000000-0005-0000-0000-00000E250000}"/>
    <cellStyle name="20% - Accent5 3 3 2 2 2 2 2" xfId="13764" xr:uid="{00000000-0005-0000-0000-00000F250000}"/>
    <cellStyle name="20% - Accent5 3 3 2 2 2 2 2 2" xfId="12084" xr:uid="{00000000-0005-0000-0000-000010250000}"/>
    <cellStyle name="20% - Accent5 3 3 2 2 2 2 2 2 2" xfId="12067" xr:uid="{00000000-0005-0000-0000-000011250000}"/>
    <cellStyle name="20% - Accent5 3 3 2 2 2 2 2 3" xfId="12069" xr:uid="{00000000-0005-0000-0000-000012250000}"/>
    <cellStyle name="20% - Accent5 3 3 2 2 2 2 3" xfId="18334" xr:uid="{00000000-0005-0000-0000-000013250000}"/>
    <cellStyle name="20% - Accent5 3 3 2 2 2 2 3 2" xfId="7277" xr:uid="{00000000-0005-0000-0000-000014250000}"/>
    <cellStyle name="20% - Accent5 3 3 2 2 2 2 4" xfId="1963" xr:uid="{00000000-0005-0000-0000-000015250000}"/>
    <cellStyle name="20% - Accent5 3 3 2 2 2 3" xfId="7526" xr:uid="{00000000-0005-0000-0000-000016250000}"/>
    <cellStyle name="20% - Accent5 3 3 2 2 2 3 2" xfId="20775" xr:uid="{00000000-0005-0000-0000-000017250000}"/>
    <cellStyle name="20% - Accent5 3 3 2 2 2 3 2 2" xfId="32378" xr:uid="{00000000-0005-0000-0000-000018250000}"/>
    <cellStyle name="20% - Accent5 3 3 2 2 2 3 3" xfId="20796" xr:uid="{00000000-0005-0000-0000-000019250000}"/>
    <cellStyle name="20% - Accent5 3 3 2 2 2 4" xfId="11939" xr:uid="{00000000-0005-0000-0000-00001A250000}"/>
    <cellStyle name="20% - Accent5 3 3 2 2 2 4 2" xfId="4771" xr:uid="{00000000-0005-0000-0000-00001B250000}"/>
    <cellStyle name="20% - Accent5 3 3 2 2 2 5" xfId="11864" xr:uid="{00000000-0005-0000-0000-00001C250000}"/>
    <cellStyle name="20% - Accent5 3 3 2 2 3" xfId="10035" xr:uid="{00000000-0005-0000-0000-00001D250000}"/>
    <cellStyle name="20% - Accent5 3 3 2 2 3 2" xfId="16423" xr:uid="{00000000-0005-0000-0000-00001E250000}"/>
    <cellStyle name="20% - Accent5 3 3 2 2 3 2 2" xfId="8037" xr:uid="{00000000-0005-0000-0000-00001F250000}"/>
    <cellStyle name="20% - Accent5 3 3 2 2 3 2 2 2" xfId="12081" xr:uid="{00000000-0005-0000-0000-000020250000}"/>
    <cellStyle name="20% - Accent5 3 3 2 2 3 2 3" xfId="18389" xr:uid="{00000000-0005-0000-0000-000021250000}"/>
    <cellStyle name="20% - Accent5 3 3 2 2 3 3" xfId="7548" xr:uid="{00000000-0005-0000-0000-000022250000}"/>
    <cellStyle name="20% - Accent5 3 3 2 2 3 3 2" xfId="9147" xr:uid="{00000000-0005-0000-0000-000023250000}"/>
    <cellStyle name="20% - Accent5 3 3 2 2 3 4" xfId="12730" xr:uid="{00000000-0005-0000-0000-000024250000}"/>
    <cellStyle name="20% - Accent5 3 3 2 2 4" xfId="10039" xr:uid="{00000000-0005-0000-0000-000025250000}"/>
    <cellStyle name="20% - Accent5 3 3 2 2 4 2" xfId="12089" xr:uid="{00000000-0005-0000-0000-000026250000}"/>
    <cellStyle name="20% - Accent5 3 3 2 2 4 2 2" xfId="11486" xr:uid="{00000000-0005-0000-0000-000027250000}"/>
    <cellStyle name="20% - Accent5 3 3 2 2 4 3" xfId="12093" xr:uid="{00000000-0005-0000-0000-000028250000}"/>
    <cellStyle name="20% - Accent5 3 3 2 2 5" xfId="3243" xr:uid="{00000000-0005-0000-0000-000029250000}"/>
    <cellStyle name="20% - Accent5 3 3 2 2 5 2" xfId="7223" xr:uid="{00000000-0005-0000-0000-00002A250000}"/>
    <cellStyle name="20% - Accent5 3 3 2 2 6" xfId="8992" xr:uid="{00000000-0005-0000-0000-00002B250000}"/>
    <cellStyle name="20% - Accent5 3 3 2 3" xfId="16069" xr:uid="{00000000-0005-0000-0000-00002C250000}"/>
    <cellStyle name="20% - Accent5 3 3 2 3 2" xfId="2249" xr:uid="{00000000-0005-0000-0000-00002D250000}"/>
    <cellStyle name="20% - Accent5 3 3 2 3 2 2" xfId="16075" xr:uid="{00000000-0005-0000-0000-00002E250000}"/>
    <cellStyle name="20% - Accent5 3 3 2 3 2 2 2" xfId="8557" xr:uid="{00000000-0005-0000-0000-00002F250000}"/>
    <cellStyle name="20% - Accent5 3 3 2 3 2 2 2 2" xfId="4047" xr:uid="{00000000-0005-0000-0000-000030250000}"/>
    <cellStyle name="20% - Accent5 3 3 2 3 2 2 3" xfId="20260" xr:uid="{00000000-0005-0000-0000-000031250000}"/>
    <cellStyle name="20% - Accent5 3 3 2 3 2 3" xfId="13065" xr:uid="{00000000-0005-0000-0000-000032250000}"/>
    <cellStyle name="20% - Accent5 3 3 2 3 2 3 2" xfId="4796" xr:uid="{00000000-0005-0000-0000-000033250000}"/>
    <cellStyle name="20% - Accent5 3 3 2 3 2 4" xfId="16085" xr:uid="{00000000-0005-0000-0000-000034250000}"/>
    <cellStyle name="20% - Accent5 3 3 2 3 3" xfId="16094" xr:uid="{00000000-0005-0000-0000-000035250000}"/>
    <cellStyle name="20% - Accent5 3 3 2 3 3 2" xfId="11906" xr:uid="{00000000-0005-0000-0000-000036250000}"/>
    <cellStyle name="20% - Accent5 3 3 2 3 3 2 2" xfId="10888" xr:uid="{00000000-0005-0000-0000-000037250000}"/>
    <cellStyle name="20% - Accent5 3 3 2 3 3 3" xfId="12097" xr:uid="{00000000-0005-0000-0000-000038250000}"/>
    <cellStyle name="20% - Accent5 3 3 2 3 4" xfId="16099" xr:uid="{00000000-0005-0000-0000-000039250000}"/>
    <cellStyle name="20% - Accent5 3 3 2 3 4 2" xfId="12100" xr:uid="{00000000-0005-0000-0000-00003A250000}"/>
    <cellStyle name="20% - Accent5 3 3 2 3 5" xfId="8009" xr:uid="{00000000-0005-0000-0000-00003B250000}"/>
    <cellStyle name="20% - Accent5 3 3 2 4" xfId="16100" xr:uid="{00000000-0005-0000-0000-00003C250000}"/>
    <cellStyle name="20% - Accent5 3 3 2 4 2" xfId="13913" xr:uid="{00000000-0005-0000-0000-00003D250000}"/>
    <cellStyle name="20% - Accent5 3 3 2 4 2 2" xfId="13916" xr:uid="{00000000-0005-0000-0000-00003E250000}"/>
    <cellStyle name="20% - Accent5 3 3 2 4 2 2 2" xfId="1774" xr:uid="{00000000-0005-0000-0000-00003F250000}"/>
    <cellStyle name="20% - Accent5 3 3 2 4 2 3" xfId="13846" xr:uid="{00000000-0005-0000-0000-000040250000}"/>
    <cellStyle name="20% - Accent5 3 3 2 4 3" xfId="13919" xr:uid="{00000000-0005-0000-0000-000041250000}"/>
    <cellStyle name="20% - Accent5 3 3 2 4 3 2" xfId="13921" xr:uid="{00000000-0005-0000-0000-000042250000}"/>
    <cellStyle name="20% - Accent5 3 3 2 4 4" xfId="13924" xr:uid="{00000000-0005-0000-0000-000043250000}"/>
    <cellStyle name="20% - Accent5 3 3 2 5" xfId="16108" xr:uid="{00000000-0005-0000-0000-000044250000}"/>
    <cellStyle name="20% - Accent5 3 3 2 5 2" xfId="12104" xr:uid="{00000000-0005-0000-0000-000045250000}"/>
    <cellStyle name="20% - Accent5 3 3 2 5 2 2" xfId="12107" xr:uid="{00000000-0005-0000-0000-000046250000}"/>
    <cellStyle name="20% - Accent5 3 3 2 5 3" xfId="12109" xr:uid="{00000000-0005-0000-0000-000047250000}"/>
    <cellStyle name="20% - Accent5 3 3 2 6" xfId="16109" xr:uid="{00000000-0005-0000-0000-000048250000}"/>
    <cellStyle name="20% - Accent5 3 3 2 6 2" xfId="12113" xr:uid="{00000000-0005-0000-0000-000049250000}"/>
    <cellStyle name="20% - Accent5 3 3 2 7" xfId="12116" xr:uid="{00000000-0005-0000-0000-00004A250000}"/>
    <cellStyle name="20% - Accent5 3 3 3" xfId="1995" xr:uid="{00000000-0005-0000-0000-00004B250000}"/>
    <cellStyle name="20% - Accent5 3 3 3 2" xfId="12118" xr:uid="{00000000-0005-0000-0000-00004C250000}"/>
    <cellStyle name="20% - Accent5 3 3 3 2 2" xfId="18972" xr:uid="{00000000-0005-0000-0000-00004D250000}"/>
    <cellStyle name="20% - Accent5 3 3 3 2 2 2" xfId="4529" xr:uid="{00000000-0005-0000-0000-00004E250000}"/>
    <cellStyle name="20% - Accent5 3 3 3 2 2 2 2" xfId="9435" xr:uid="{00000000-0005-0000-0000-00004F250000}"/>
    <cellStyle name="20% - Accent5 3 3 3 2 2 2 2 2" xfId="32469" xr:uid="{00000000-0005-0000-0000-000050250000}"/>
    <cellStyle name="20% - Accent5 3 3 3 2 2 2 3" xfId="7668" xr:uid="{00000000-0005-0000-0000-000051250000}"/>
    <cellStyle name="20% - Accent5 3 3 3 2 2 3" xfId="7656" xr:uid="{00000000-0005-0000-0000-000052250000}"/>
    <cellStyle name="20% - Accent5 3 3 3 2 2 3 2" xfId="7694" xr:uid="{00000000-0005-0000-0000-000053250000}"/>
    <cellStyle name="20% - Accent5 3 3 3 2 2 4" xfId="12000" xr:uid="{00000000-0005-0000-0000-000054250000}"/>
    <cellStyle name="20% - Accent5 3 3 3 2 3" xfId="18975" xr:uid="{00000000-0005-0000-0000-000055250000}"/>
    <cellStyle name="20% - Accent5 3 3 3 2 3 2" xfId="7209" xr:uid="{00000000-0005-0000-0000-000056250000}"/>
    <cellStyle name="20% - Accent5 3 3 3 2 3 2 2" xfId="11439" xr:uid="{00000000-0005-0000-0000-000057250000}"/>
    <cellStyle name="20% - Accent5 3 3 3 2 3 3" xfId="7663" xr:uid="{00000000-0005-0000-0000-000058250000}"/>
    <cellStyle name="20% - Accent5 3 3 3 2 4" xfId="7212" xr:uid="{00000000-0005-0000-0000-000059250000}"/>
    <cellStyle name="20% - Accent5 3 3 3 2 4 2" xfId="7215" xr:uid="{00000000-0005-0000-0000-00005A250000}"/>
    <cellStyle name="20% - Accent5 3 3 3 2 5" xfId="7250" xr:uid="{00000000-0005-0000-0000-00005B250000}"/>
    <cellStyle name="20% - Accent5 3 3 3 3" xfId="3756" xr:uid="{00000000-0005-0000-0000-00005C250000}"/>
    <cellStyle name="20% - Accent5 3 3 3 3 2" xfId="10368" xr:uid="{00000000-0005-0000-0000-00005D250000}"/>
    <cellStyle name="20% - Accent5 3 3 3 3 2 2" xfId="16115" xr:uid="{00000000-0005-0000-0000-00005E250000}"/>
    <cellStyle name="20% - Accent5 3 3 3 3 2 2 2" xfId="13028" xr:uid="{00000000-0005-0000-0000-00005F250000}"/>
    <cellStyle name="20% - Accent5 3 3 3 3 2 3" xfId="16117" xr:uid="{00000000-0005-0000-0000-000060250000}"/>
    <cellStyle name="20% - Accent5 3 3 3 3 3" xfId="16120" xr:uid="{00000000-0005-0000-0000-000061250000}"/>
    <cellStyle name="20% - Accent5 3 3 3 3 3 2" xfId="7130" xr:uid="{00000000-0005-0000-0000-000062250000}"/>
    <cellStyle name="20% - Accent5 3 3 3 3 4" xfId="16123" xr:uid="{00000000-0005-0000-0000-000063250000}"/>
    <cellStyle name="20% - Accent5 3 3 3 4" xfId="12944" xr:uid="{00000000-0005-0000-0000-000064250000}"/>
    <cellStyle name="20% - Accent5 3 3 3 4 2" xfId="13945" xr:uid="{00000000-0005-0000-0000-000065250000}"/>
    <cellStyle name="20% - Accent5 3 3 3 4 2 2" xfId="13949" xr:uid="{00000000-0005-0000-0000-000066250000}"/>
    <cellStyle name="20% - Accent5 3 3 3 4 3" xfId="13951" xr:uid="{00000000-0005-0000-0000-000067250000}"/>
    <cellStyle name="20% - Accent5 3 3 3 5" xfId="28798" xr:uid="{00000000-0005-0000-0000-000068250000}"/>
    <cellStyle name="20% - Accent5 3 3 3 5 2" xfId="5372" xr:uid="{00000000-0005-0000-0000-000069250000}"/>
    <cellStyle name="20% - Accent5 3 3 3 6" xfId="30518" xr:uid="{00000000-0005-0000-0000-00006A250000}"/>
    <cellStyle name="20% - Accent5 3 3 4" xfId="30962" xr:uid="{00000000-0005-0000-0000-00006B250000}"/>
    <cellStyle name="20% - Accent5 3 3 4 2" xfId="12122" xr:uid="{00000000-0005-0000-0000-00006C250000}"/>
    <cellStyle name="20% - Accent5 3 3 4 2 2" xfId="19008" xr:uid="{00000000-0005-0000-0000-00006D250000}"/>
    <cellStyle name="20% - Accent5 3 3 4 2 2 2" xfId="6564" xr:uid="{00000000-0005-0000-0000-00006E250000}"/>
    <cellStyle name="20% - Accent5 3 3 4 2 2 2 2" xfId="11655" xr:uid="{00000000-0005-0000-0000-00006F250000}"/>
    <cellStyle name="20% - Accent5 3 3 4 2 2 3" xfId="7742" xr:uid="{00000000-0005-0000-0000-000070250000}"/>
    <cellStyle name="20% - Accent5 3 3 4 2 3" xfId="7454" xr:uid="{00000000-0005-0000-0000-000071250000}"/>
    <cellStyle name="20% - Accent5 3 3 4 2 3 2" xfId="7456" xr:uid="{00000000-0005-0000-0000-000072250000}"/>
    <cellStyle name="20% - Accent5 3 3 4 2 4" xfId="2762" xr:uid="{00000000-0005-0000-0000-000073250000}"/>
    <cellStyle name="20% - Accent5 3 3 4 3" xfId="3776" xr:uid="{00000000-0005-0000-0000-000074250000}"/>
    <cellStyle name="20% - Accent5 3 3 4 3 2" xfId="16124" xr:uid="{00000000-0005-0000-0000-000075250000}"/>
    <cellStyle name="20% - Accent5 3 3 4 3 2 2" xfId="16127" xr:uid="{00000000-0005-0000-0000-000076250000}"/>
    <cellStyle name="20% - Accent5 3 3 4 3 3" xfId="16129" xr:uid="{00000000-0005-0000-0000-000077250000}"/>
    <cellStyle name="20% - Accent5 3 3 4 4" xfId="16131" xr:uid="{00000000-0005-0000-0000-000078250000}"/>
    <cellStyle name="20% - Accent5 3 3 4 4 2" xfId="13997" xr:uid="{00000000-0005-0000-0000-000079250000}"/>
    <cellStyle name="20% - Accent5 3 3 4 5" xfId="28826" xr:uid="{00000000-0005-0000-0000-00007A250000}"/>
    <cellStyle name="20% - Accent5 3 3 5" xfId="10710" xr:uid="{00000000-0005-0000-0000-00007B250000}"/>
    <cellStyle name="20% - Accent5 3 3 5 2" xfId="33946" xr:uid="{00000000-0005-0000-0000-00007C250000}"/>
    <cellStyle name="20% - Accent5 3 3 5 2 2" xfId="7783" xr:uid="{00000000-0005-0000-0000-00007D250000}"/>
    <cellStyle name="20% - Accent5 3 3 5 2 2 2" xfId="7791" xr:uid="{00000000-0005-0000-0000-00007E250000}"/>
    <cellStyle name="20% - Accent5 3 3 5 2 3" xfId="7795" xr:uid="{00000000-0005-0000-0000-00007F250000}"/>
    <cellStyle name="20% - Accent5 3 3 5 3" xfId="20328" xr:uid="{00000000-0005-0000-0000-000080250000}"/>
    <cellStyle name="20% - Accent5 3 3 5 3 2" xfId="11086" xr:uid="{00000000-0005-0000-0000-000081250000}"/>
    <cellStyle name="20% - Accent5 3 3 5 4" xfId="12123" xr:uid="{00000000-0005-0000-0000-000082250000}"/>
    <cellStyle name="20% - Accent5 3 3 6" xfId="12125" xr:uid="{00000000-0005-0000-0000-000083250000}"/>
    <cellStyle name="20% - Accent5 3 3 6 2" xfId="12128" xr:uid="{00000000-0005-0000-0000-000084250000}"/>
    <cellStyle name="20% - Accent5 3 3 6 2 2" xfId="7893" xr:uid="{00000000-0005-0000-0000-000085250000}"/>
    <cellStyle name="20% - Accent5 3 3 6 3" xfId="12132" xr:uid="{00000000-0005-0000-0000-000086250000}"/>
    <cellStyle name="20% - Accent5 3 3 7" xfId="1828" xr:uid="{00000000-0005-0000-0000-000087250000}"/>
    <cellStyle name="20% - Accent5 3 3 7 2" xfId="25643" xr:uid="{00000000-0005-0000-0000-000088250000}"/>
    <cellStyle name="20% - Accent5 3 3 8" xfId="9645" xr:uid="{00000000-0005-0000-0000-000089250000}"/>
    <cellStyle name="20% - Accent5 3 4" xfId="32964" xr:uid="{00000000-0005-0000-0000-00008A250000}"/>
    <cellStyle name="20% - Accent5 3 4 2" xfId="23380" xr:uid="{00000000-0005-0000-0000-00008B250000}"/>
    <cellStyle name="20% - Accent5 3 4 2 2" xfId="12134" xr:uid="{00000000-0005-0000-0000-00008C250000}"/>
    <cellStyle name="20% - Accent5 3 4 2 2 2" xfId="11645" xr:uid="{00000000-0005-0000-0000-00008D250000}"/>
    <cellStyle name="20% - Accent5 3 4 2 2 2 2" xfId="12135" xr:uid="{00000000-0005-0000-0000-00008E250000}"/>
    <cellStyle name="20% - Accent5 3 4 2 2 2 2 2" xfId="10409" xr:uid="{00000000-0005-0000-0000-00008F250000}"/>
    <cellStyle name="20% - Accent5 3 4 2 2 2 2 2 2" xfId="431" xr:uid="{00000000-0005-0000-0000-000090250000}"/>
    <cellStyle name="20% - Accent5 3 4 2 2 2 2 3" xfId="4508" xr:uid="{00000000-0005-0000-0000-000091250000}"/>
    <cellStyle name="20% - Accent5 3 4 2 2 2 3" xfId="11417" xr:uid="{00000000-0005-0000-0000-000092250000}"/>
    <cellStyle name="20% - Accent5 3 4 2 2 2 3 2" xfId="21082" xr:uid="{00000000-0005-0000-0000-000093250000}"/>
    <cellStyle name="20% - Accent5 3 4 2 2 2 4" xfId="28313" xr:uid="{00000000-0005-0000-0000-000094250000}"/>
    <cellStyle name="20% - Accent5 3 4 2 2 3" xfId="10054" xr:uid="{00000000-0005-0000-0000-000095250000}"/>
    <cellStyle name="20% - Accent5 3 4 2 2 3 2" xfId="14009" xr:uid="{00000000-0005-0000-0000-000096250000}"/>
    <cellStyle name="20% - Accent5 3 4 2 2 3 2 2" xfId="11604" xr:uid="{00000000-0005-0000-0000-000097250000}"/>
    <cellStyle name="20% - Accent5 3 4 2 2 3 3" xfId="9825" xr:uid="{00000000-0005-0000-0000-000098250000}"/>
    <cellStyle name="20% - Accent5 3 4 2 2 4" xfId="11656" xr:uid="{00000000-0005-0000-0000-000099250000}"/>
    <cellStyle name="20% - Accent5 3 4 2 2 4 2" xfId="12140" xr:uid="{00000000-0005-0000-0000-00009A250000}"/>
    <cellStyle name="20% - Accent5 3 4 2 2 5" xfId="6640" xr:uid="{00000000-0005-0000-0000-00009B250000}"/>
    <cellStyle name="20% - Accent5 3 4 2 3" xfId="16164" xr:uid="{00000000-0005-0000-0000-00009C250000}"/>
    <cellStyle name="20% - Accent5 3 4 2 3 2" xfId="16169" xr:uid="{00000000-0005-0000-0000-00009D250000}"/>
    <cellStyle name="20% - Accent5 3 4 2 3 2 2" xfId="16178" xr:uid="{00000000-0005-0000-0000-00009E250000}"/>
    <cellStyle name="20% - Accent5 3 4 2 3 2 2 2" xfId="31682" xr:uid="{00000000-0005-0000-0000-00009F250000}"/>
    <cellStyle name="20% - Accent5 3 4 2 3 2 3" xfId="16182" xr:uid="{00000000-0005-0000-0000-0000A0250000}"/>
    <cellStyle name="20% - Accent5 3 4 2 3 3" xfId="16186" xr:uid="{00000000-0005-0000-0000-0000A1250000}"/>
    <cellStyle name="20% - Accent5 3 4 2 3 3 2" xfId="12151" xr:uid="{00000000-0005-0000-0000-0000A2250000}"/>
    <cellStyle name="20% - Accent5 3 4 2 3 4" xfId="16188" xr:uid="{00000000-0005-0000-0000-0000A3250000}"/>
    <cellStyle name="20% - Accent5 3 4 2 4" xfId="16190" xr:uid="{00000000-0005-0000-0000-0000A4250000}"/>
    <cellStyle name="20% - Accent5 3 4 2 4 2" xfId="14063" xr:uid="{00000000-0005-0000-0000-0000A5250000}"/>
    <cellStyle name="20% - Accent5 3 4 2 4 2 2" xfId="14066" xr:uid="{00000000-0005-0000-0000-0000A6250000}"/>
    <cellStyle name="20% - Accent5 3 4 2 4 3" xfId="14071" xr:uid="{00000000-0005-0000-0000-0000A7250000}"/>
    <cellStyle name="20% - Accent5 3 4 2 5" xfId="16192" xr:uid="{00000000-0005-0000-0000-0000A8250000}"/>
    <cellStyle name="20% - Accent5 3 4 2 5 2" xfId="12155" xr:uid="{00000000-0005-0000-0000-0000A9250000}"/>
    <cellStyle name="20% - Accent5 3 4 2 6" xfId="16193" xr:uid="{00000000-0005-0000-0000-0000AA250000}"/>
    <cellStyle name="20% - Accent5 3 4 3" xfId="23715" xr:uid="{00000000-0005-0000-0000-0000AB250000}"/>
    <cellStyle name="20% - Accent5 3 4 3 2" xfId="12157" xr:uid="{00000000-0005-0000-0000-0000AC250000}"/>
    <cellStyle name="20% - Accent5 3 4 3 2 2" xfId="19036" xr:uid="{00000000-0005-0000-0000-0000AD250000}"/>
    <cellStyle name="20% - Accent5 3 4 3 2 2 2" xfId="17215" xr:uid="{00000000-0005-0000-0000-0000AE250000}"/>
    <cellStyle name="20% - Accent5 3 4 3 2 2 2 2" xfId="32938" xr:uid="{00000000-0005-0000-0000-0000AF250000}"/>
    <cellStyle name="20% - Accent5 3 4 3 2 2 3" xfId="3364" xr:uid="{00000000-0005-0000-0000-0000B0250000}"/>
    <cellStyle name="20% - Accent5 3 4 3 2 3" xfId="22691" xr:uid="{00000000-0005-0000-0000-0000B1250000}"/>
    <cellStyle name="20% - Accent5 3 4 3 2 3 2" xfId="8282" xr:uid="{00000000-0005-0000-0000-0000B2250000}"/>
    <cellStyle name="20% - Accent5 3 4 3 2 4" xfId="8285" xr:uid="{00000000-0005-0000-0000-0000B3250000}"/>
    <cellStyle name="20% - Accent5 3 4 3 3" xfId="3894" xr:uid="{00000000-0005-0000-0000-0000B4250000}"/>
    <cellStyle name="20% - Accent5 3 4 3 3 2" xfId="8294" xr:uid="{00000000-0005-0000-0000-0000B5250000}"/>
    <cellStyle name="20% - Accent5 3 4 3 3 2 2" xfId="16200" xr:uid="{00000000-0005-0000-0000-0000B6250000}"/>
    <cellStyle name="20% - Accent5 3 4 3 3 3" xfId="24646" xr:uid="{00000000-0005-0000-0000-0000B7250000}"/>
    <cellStyle name="20% - Accent5 3 4 3 4" xfId="16202" xr:uid="{00000000-0005-0000-0000-0000B8250000}"/>
    <cellStyle name="20% - Accent5 3 4 3 4 2" xfId="14108" xr:uid="{00000000-0005-0000-0000-0000B9250000}"/>
    <cellStyle name="20% - Accent5 3 4 3 5" xfId="31109" xr:uid="{00000000-0005-0000-0000-0000BA250000}"/>
    <cellStyle name="20% - Accent5 3 4 4" xfId="29525" xr:uid="{00000000-0005-0000-0000-0000BB250000}"/>
    <cellStyle name="20% - Accent5 3 4 4 2" xfId="12160" xr:uid="{00000000-0005-0000-0000-0000BC250000}"/>
    <cellStyle name="20% - Accent5 3 4 4 2 2" xfId="8418" xr:uid="{00000000-0005-0000-0000-0000BD250000}"/>
    <cellStyle name="20% - Accent5 3 4 4 2 2 2" xfId="8420" xr:uid="{00000000-0005-0000-0000-0000BE250000}"/>
    <cellStyle name="20% - Accent5 3 4 4 2 3" xfId="8422" xr:uid="{00000000-0005-0000-0000-0000BF250000}"/>
    <cellStyle name="20% - Accent5 3 4 4 3" xfId="16203" xr:uid="{00000000-0005-0000-0000-0000C0250000}"/>
    <cellStyle name="20% - Accent5 3 4 4 3 2" xfId="16207" xr:uid="{00000000-0005-0000-0000-0000C1250000}"/>
    <cellStyle name="20% - Accent5 3 4 4 4" xfId="16209" xr:uid="{00000000-0005-0000-0000-0000C2250000}"/>
    <cellStyle name="20% - Accent5 3 4 5" xfId="28355" xr:uid="{00000000-0005-0000-0000-0000C3250000}"/>
    <cellStyle name="20% - Accent5 3 4 5 2" xfId="14902" xr:uid="{00000000-0005-0000-0000-0000C4250000}"/>
    <cellStyle name="20% - Accent5 3 4 5 2 2" xfId="7570" xr:uid="{00000000-0005-0000-0000-0000C5250000}"/>
    <cellStyle name="20% - Accent5 3 4 5 3" xfId="12162" xr:uid="{00000000-0005-0000-0000-0000C6250000}"/>
    <cellStyle name="20% - Accent5 3 4 6" xfId="27067" xr:uid="{00000000-0005-0000-0000-0000C7250000}"/>
    <cellStyle name="20% - Accent5 3 4 6 2" xfId="12168" xr:uid="{00000000-0005-0000-0000-0000C8250000}"/>
    <cellStyle name="20% - Accent5 3 4 7" xfId="26389" xr:uid="{00000000-0005-0000-0000-0000C9250000}"/>
    <cellStyle name="20% - Accent5 3 5" xfId="24089" xr:uid="{00000000-0005-0000-0000-0000CA250000}"/>
    <cellStyle name="20% - Accent5 3 5 2" xfId="12241" xr:uid="{00000000-0005-0000-0000-0000CB250000}"/>
    <cellStyle name="20% - Accent5 3 5 2 2" xfId="19615" xr:uid="{00000000-0005-0000-0000-0000CC250000}"/>
    <cellStyle name="20% - Accent5 3 5 2 2 2" xfId="31552" xr:uid="{00000000-0005-0000-0000-0000CD250000}"/>
    <cellStyle name="20% - Accent5 3 5 2 2 2 2" xfId="10446" xr:uid="{00000000-0005-0000-0000-0000CE250000}"/>
    <cellStyle name="20% - Accent5 3 5 2 2 2 2 2" xfId="18884" xr:uid="{00000000-0005-0000-0000-0000CF250000}"/>
    <cellStyle name="20% - Accent5 3 5 2 2 2 3" xfId="12161" xr:uid="{00000000-0005-0000-0000-0000D0250000}"/>
    <cellStyle name="20% - Accent5 3 5 2 2 3" xfId="23576" xr:uid="{00000000-0005-0000-0000-0000D1250000}"/>
    <cellStyle name="20% - Accent5 3 5 2 2 3 2" xfId="10459" xr:uid="{00000000-0005-0000-0000-0000D2250000}"/>
    <cellStyle name="20% - Accent5 3 5 2 2 4" xfId="10465" xr:uid="{00000000-0005-0000-0000-0000D3250000}"/>
    <cellStyle name="20% - Accent5 3 5 2 3" xfId="32055" xr:uid="{00000000-0005-0000-0000-0000D4250000}"/>
    <cellStyle name="20% - Accent5 3 5 2 3 2" xfId="16237" xr:uid="{00000000-0005-0000-0000-0000D5250000}"/>
    <cellStyle name="20% - Accent5 3 5 2 3 2 2" xfId="10477" xr:uid="{00000000-0005-0000-0000-0000D6250000}"/>
    <cellStyle name="20% - Accent5 3 5 2 3 3" xfId="16239" xr:uid="{00000000-0005-0000-0000-0000D7250000}"/>
    <cellStyle name="20% - Accent5 3 5 2 4" xfId="16241" xr:uid="{00000000-0005-0000-0000-0000D8250000}"/>
    <cellStyle name="20% - Accent5 3 5 2 4 2" xfId="10482" xr:uid="{00000000-0005-0000-0000-0000D9250000}"/>
    <cellStyle name="20% - Accent5 3 5 2 5" xfId="16242" xr:uid="{00000000-0005-0000-0000-0000DA250000}"/>
    <cellStyle name="20% - Accent5 3 5 3" xfId="499" xr:uid="{00000000-0005-0000-0000-0000DB250000}"/>
    <cellStyle name="20% - Accent5 3 5 3 2" xfId="12210" xr:uid="{00000000-0005-0000-0000-0000DC250000}"/>
    <cellStyle name="20% - Accent5 3 5 3 2 2" xfId="2355" xr:uid="{00000000-0005-0000-0000-0000DD250000}"/>
    <cellStyle name="20% - Accent5 3 5 3 2 2 2" xfId="9247" xr:uid="{00000000-0005-0000-0000-0000DE250000}"/>
    <cellStyle name="20% - Accent5 3 5 3 2 3" xfId="20384" xr:uid="{00000000-0005-0000-0000-0000DF250000}"/>
    <cellStyle name="20% - Accent5 3 5 3 3" xfId="16249" xr:uid="{00000000-0005-0000-0000-0000E0250000}"/>
    <cellStyle name="20% - Accent5 3 5 3 3 2" xfId="16255" xr:uid="{00000000-0005-0000-0000-0000E1250000}"/>
    <cellStyle name="20% - Accent5 3 5 3 4" xfId="16260" xr:uid="{00000000-0005-0000-0000-0000E2250000}"/>
    <cellStyle name="20% - Accent5 3 5 4" xfId="533" xr:uid="{00000000-0005-0000-0000-0000E3250000}"/>
    <cellStyle name="20% - Accent5 3 5 4 2" xfId="13781" xr:uid="{00000000-0005-0000-0000-0000E4250000}"/>
    <cellStyle name="20% - Accent5 3 5 4 2 2" xfId="8711" xr:uid="{00000000-0005-0000-0000-0000E5250000}"/>
    <cellStyle name="20% - Accent5 3 5 4 3" xfId="16262" xr:uid="{00000000-0005-0000-0000-0000E6250000}"/>
    <cellStyle name="20% - Accent5 3 5 5" xfId="446" xr:uid="{00000000-0005-0000-0000-0000E7250000}"/>
    <cellStyle name="20% - Accent5 3 5 5 2" xfId="14572" xr:uid="{00000000-0005-0000-0000-0000E8250000}"/>
    <cellStyle name="20% - Accent5 3 5 6" xfId="27028" xr:uid="{00000000-0005-0000-0000-0000E9250000}"/>
    <cellStyle name="20% - Accent5 3 6" xfId="970" xr:uid="{00000000-0005-0000-0000-0000EA250000}"/>
    <cellStyle name="20% - Accent5 3 6 2" xfId="17553" xr:uid="{00000000-0005-0000-0000-0000EB250000}"/>
    <cellStyle name="20% - Accent5 3 6 2 2" xfId="32316" xr:uid="{00000000-0005-0000-0000-0000EC250000}"/>
    <cellStyle name="20% - Accent5 3 6 2 2 2" xfId="10524" xr:uid="{00000000-0005-0000-0000-0000ED250000}"/>
    <cellStyle name="20% - Accent5 3 6 2 2 2 2" xfId="10527" xr:uid="{00000000-0005-0000-0000-0000EE250000}"/>
    <cellStyle name="20% - Accent5 3 6 2 2 3" xfId="24862" xr:uid="{00000000-0005-0000-0000-0000EF250000}"/>
    <cellStyle name="20% - Accent5 3 6 2 3" xfId="16278" xr:uid="{00000000-0005-0000-0000-0000F0250000}"/>
    <cellStyle name="20% - Accent5 3 6 2 3 2" xfId="15383" xr:uid="{00000000-0005-0000-0000-0000F1250000}"/>
    <cellStyle name="20% - Accent5 3 6 2 4" xfId="16281" xr:uid="{00000000-0005-0000-0000-0000F2250000}"/>
    <cellStyle name="20% - Accent5 3 6 3" xfId="26973" xr:uid="{00000000-0005-0000-0000-0000F3250000}"/>
    <cellStyle name="20% - Accent5 3 6 3 2" xfId="18485" xr:uid="{00000000-0005-0000-0000-0000F4250000}"/>
    <cellStyle name="20% - Accent5 3 6 3 2 2" xfId="8293" xr:uid="{00000000-0005-0000-0000-0000F5250000}"/>
    <cellStyle name="20% - Accent5 3 6 3 3" xfId="16286" xr:uid="{00000000-0005-0000-0000-0000F6250000}"/>
    <cellStyle name="20% - Accent5 3 6 4" xfId="4761" xr:uid="{00000000-0005-0000-0000-0000F7250000}"/>
    <cellStyle name="20% - Accent5 3 6 4 2" xfId="12188" xr:uid="{00000000-0005-0000-0000-0000F8250000}"/>
    <cellStyle name="20% - Accent5 3 6 5" xfId="452" xr:uid="{00000000-0005-0000-0000-0000F9250000}"/>
    <cellStyle name="20% - Accent5 3 7" xfId="2192" xr:uid="{00000000-0005-0000-0000-0000FA250000}"/>
    <cellStyle name="20% - Accent5 3 7 2" xfId="4935" xr:uid="{00000000-0005-0000-0000-0000FB250000}"/>
    <cellStyle name="20% - Accent5 3 7 2 2" xfId="30832" xr:uid="{00000000-0005-0000-0000-0000FC250000}"/>
    <cellStyle name="20% - Accent5 3 7 2 2 2" xfId="10585" xr:uid="{00000000-0005-0000-0000-0000FD250000}"/>
    <cellStyle name="20% - Accent5 3 7 2 3" xfId="30146" xr:uid="{00000000-0005-0000-0000-0000FE250000}"/>
    <cellStyle name="20% - Accent5 3 7 3" xfId="4773" xr:uid="{00000000-0005-0000-0000-0000FF250000}"/>
    <cellStyle name="20% - Accent5 3 7 3 2" xfId="7028" xr:uid="{00000000-0005-0000-0000-000000260000}"/>
    <cellStyle name="20% - Accent5 3 7 4" xfId="30841" xr:uid="{00000000-0005-0000-0000-000001260000}"/>
    <cellStyle name="20% - Accent5 3 8" xfId="4546" xr:uid="{00000000-0005-0000-0000-000002260000}"/>
    <cellStyle name="20% - Accent5 3 8 2" xfId="2719" xr:uid="{00000000-0005-0000-0000-000003260000}"/>
    <cellStyle name="20% - Accent5 3 8 2 2" xfId="5055" xr:uid="{00000000-0005-0000-0000-000004260000}"/>
    <cellStyle name="20% - Accent5 3 8 3" xfId="633" xr:uid="{00000000-0005-0000-0000-000005260000}"/>
    <cellStyle name="20% - Accent5 3 9" xfId="3206" xr:uid="{00000000-0005-0000-0000-000006260000}"/>
    <cellStyle name="20% - Accent5 3 9 2" xfId="26247" xr:uid="{00000000-0005-0000-0000-000007260000}"/>
    <cellStyle name="20% - Accent5 4" xfId="13257" xr:uid="{00000000-0005-0000-0000-000008260000}"/>
    <cellStyle name="20% - Accent5 4 2" xfId="12190" xr:uid="{00000000-0005-0000-0000-000009260000}"/>
    <cellStyle name="20% - Accent5 4 2 2" xfId="12194" xr:uid="{00000000-0005-0000-0000-00000A260000}"/>
    <cellStyle name="20% - Accent5 4 2 2 2" xfId="12195" xr:uid="{00000000-0005-0000-0000-00000B260000}"/>
    <cellStyle name="20% - Accent5 4 2 2 2 2" xfId="10735" xr:uid="{00000000-0005-0000-0000-00000C260000}"/>
    <cellStyle name="20% - Accent5 4 2 2 2 2 2" xfId="12148" xr:uid="{00000000-0005-0000-0000-00000D260000}"/>
    <cellStyle name="20% - Accent5 4 2 2 2 2 2 2" xfId="6725" xr:uid="{00000000-0005-0000-0000-00000E260000}"/>
    <cellStyle name="20% - Accent5 4 2 2 2 2 2 2 2" xfId="12196" xr:uid="{00000000-0005-0000-0000-00000F260000}"/>
    <cellStyle name="20% - Accent5 4 2 2 2 2 2 2 2 2" xfId="15253" xr:uid="{00000000-0005-0000-0000-000010260000}"/>
    <cellStyle name="20% - Accent5 4 2 2 2 2 2 2 3" xfId="5978" xr:uid="{00000000-0005-0000-0000-000011260000}"/>
    <cellStyle name="20% - Accent5 4 2 2 2 2 2 3" xfId="8251" xr:uid="{00000000-0005-0000-0000-000012260000}"/>
    <cellStyle name="20% - Accent5 4 2 2 2 2 2 3 2" xfId="13109" xr:uid="{00000000-0005-0000-0000-000013260000}"/>
    <cellStyle name="20% - Accent5 4 2 2 2 2 2 4" xfId="12206" xr:uid="{00000000-0005-0000-0000-000014260000}"/>
    <cellStyle name="20% - Accent5 4 2 2 2 2 3" xfId="10742" xr:uid="{00000000-0005-0000-0000-000015260000}"/>
    <cellStyle name="20% - Accent5 4 2 2 2 2 3 2" xfId="21583" xr:uid="{00000000-0005-0000-0000-000016260000}"/>
    <cellStyle name="20% - Accent5 4 2 2 2 2 3 2 2" xfId="12208" xr:uid="{00000000-0005-0000-0000-000017260000}"/>
    <cellStyle name="20% - Accent5 4 2 2 2 2 3 3" xfId="32053" xr:uid="{00000000-0005-0000-0000-000018260000}"/>
    <cellStyle name="20% - Accent5 4 2 2 2 2 4" xfId="29936" xr:uid="{00000000-0005-0000-0000-000019260000}"/>
    <cellStyle name="20% - Accent5 4 2 2 2 2 4 2" xfId="12209" xr:uid="{00000000-0005-0000-0000-00001A260000}"/>
    <cellStyle name="20% - Accent5 4 2 2 2 2 5" xfId="31864" xr:uid="{00000000-0005-0000-0000-00001B260000}"/>
    <cellStyle name="20% - Accent5 4 2 2 2 3" xfId="48" xr:uid="{00000000-0005-0000-0000-00001C260000}"/>
    <cellStyle name="20% - Accent5 4 2 2 2 3 2" xfId="10746" xr:uid="{00000000-0005-0000-0000-00001D260000}"/>
    <cellStyle name="20% - Accent5 4 2 2 2 3 2 2" xfId="12215" xr:uid="{00000000-0005-0000-0000-00001E260000}"/>
    <cellStyle name="20% - Accent5 4 2 2 2 3 2 2 2" xfId="18635" xr:uid="{00000000-0005-0000-0000-00001F260000}"/>
    <cellStyle name="20% - Accent5 4 2 2 2 3 2 3" xfId="12218" xr:uid="{00000000-0005-0000-0000-000020260000}"/>
    <cellStyle name="20% - Accent5 4 2 2 2 3 3" xfId="4745" xr:uid="{00000000-0005-0000-0000-000021260000}"/>
    <cellStyle name="20% - Accent5 4 2 2 2 3 3 2" xfId="32315" xr:uid="{00000000-0005-0000-0000-000022260000}"/>
    <cellStyle name="20% - Accent5 4 2 2 2 3 4" xfId="30277" xr:uid="{00000000-0005-0000-0000-000023260000}"/>
    <cellStyle name="20% - Accent5 4 2 2 2 4" xfId="10117" xr:uid="{00000000-0005-0000-0000-000024260000}"/>
    <cellStyle name="20% - Accent5 4 2 2 2 4 2" xfId="10748" xr:uid="{00000000-0005-0000-0000-000025260000}"/>
    <cellStyle name="20% - Accent5 4 2 2 2 4 2 2" xfId="12219" xr:uid="{00000000-0005-0000-0000-000026260000}"/>
    <cellStyle name="20% - Accent5 4 2 2 2 4 3" xfId="12221" xr:uid="{00000000-0005-0000-0000-000027260000}"/>
    <cellStyle name="20% - Accent5 4 2 2 2 5" xfId="10750" xr:uid="{00000000-0005-0000-0000-000028260000}"/>
    <cellStyle name="20% - Accent5 4 2 2 2 5 2" xfId="2855" xr:uid="{00000000-0005-0000-0000-000029260000}"/>
    <cellStyle name="20% - Accent5 4 2 2 2 6" xfId="9833" xr:uid="{00000000-0005-0000-0000-00002A260000}"/>
    <cellStyle name="20% - Accent5 4 2 2 3" xfId="2286" xr:uid="{00000000-0005-0000-0000-00002B260000}"/>
    <cellStyle name="20% - Accent5 4 2 2 3 2" xfId="8680" xr:uid="{00000000-0005-0000-0000-00002C260000}"/>
    <cellStyle name="20% - Accent5 4 2 2 3 2 2" xfId="10861" xr:uid="{00000000-0005-0000-0000-00002D260000}"/>
    <cellStyle name="20% - Accent5 4 2 2 3 2 2 2" xfId="9987" xr:uid="{00000000-0005-0000-0000-00002E260000}"/>
    <cellStyle name="20% - Accent5 4 2 2 3 2 2 2 2" xfId="12222" xr:uid="{00000000-0005-0000-0000-00002F260000}"/>
    <cellStyle name="20% - Accent5 4 2 2 3 2 2 3" xfId="9997" xr:uid="{00000000-0005-0000-0000-000030260000}"/>
    <cellStyle name="20% - Accent5 4 2 2 3 2 3" xfId="10872" xr:uid="{00000000-0005-0000-0000-000031260000}"/>
    <cellStyle name="20% - Accent5 4 2 2 3 2 3 2" xfId="32875" xr:uid="{00000000-0005-0000-0000-000032260000}"/>
    <cellStyle name="20% - Accent5 4 2 2 3 2 4" xfId="23854" xr:uid="{00000000-0005-0000-0000-000033260000}"/>
    <cellStyle name="20% - Accent5 4 2 2 3 3" xfId="8688" xr:uid="{00000000-0005-0000-0000-000034260000}"/>
    <cellStyle name="20% - Accent5 4 2 2 3 3 2" xfId="12819" xr:uid="{00000000-0005-0000-0000-000035260000}"/>
    <cellStyle name="20% - Accent5 4 2 2 3 3 2 2" xfId="26860" xr:uid="{00000000-0005-0000-0000-000036260000}"/>
    <cellStyle name="20% - Accent5 4 2 2 3 3 3" xfId="12223" xr:uid="{00000000-0005-0000-0000-000037260000}"/>
    <cellStyle name="20% - Accent5 4 2 2 3 4" xfId="10883" xr:uid="{00000000-0005-0000-0000-000038260000}"/>
    <cellStyle name="20% - Accent5 4 2 2 3 4 2" xfId="12233" xr:uid="{00000000-0005-0000-0000-000039260000}"/>
    <cellStyle name="20% - Accent5 4 2 2 3 5" xfId="12147" xr:uid="{00000000-0005-0000-0000-00003A260000}"/>
    <cellStyle name="20% - Accent5 4 2 2 4" xfId="1219" xr:uid="{00000000-0005-0000-0000-00003B260000}"/>
    <cellStyle name="20% - Accent5 4 2 2 4 2" xfId="8700" xr:uid="{00000000-0005-0000-0000-00003C260000}"/>
    <cellStyle name="20% - Accent5 4 2 2 4 2 2" xfId="10926" xr:uid="{00000000-0005-0000-0000-00003D260000}"/>
    <cellStyle name="20% - Accent5 4 2 2 4 2 2 2" xfId="10109" xr:uid="{00000000-0005-0000-0000-00003E260000}"/>
    <cellStyle name="20% - Accent5 4 2 2 4 2 3" xfId="12239" xr:uid="{00000000-0005-0000-0000-00003F260000}"/>
    <cellStyle name="20% - Accent5 4 2 2 4 3" xfId="21794" xr:uid="{00000000-0005-0000-0000-000040260000}"/>
    <cellStyle name="20% - Accent5 4 2 2 4 3 2" xfId="27265" xr:uid="{00000000-0005-0000-0000-000041260000}"/>
    <cellStyle name="20% - Accent5 4 2 2 4 4" xfId="12247" xr:uid="{00000000-0005-0000-0000-000042260000}"/>
    <cellStyle name="20% - Accent5 4 2 2 5" xfId="11105" xr:uid="{00000000-0005-0000-0000-000043260000}"/>
    <cellStyle name="20% - Accent5 4 2 2 5 2" xfId="21799" xr:uid="{00000000-0005-0000-0000-000044260000}"/>
    <cellStyle name="20% - Accent5 4 2 2 5 2 2" xfId="12248" xr:uid="{00000000-0005-0000-0000-000045260000}"/>
    <cellStyle name="20% - Accent5 4 2 2 5 3" xfId="12251" xr:uid="{00000000-0005-0000-0000-000046260000}"/>
    <cellStyle name="20% - Accent5 4 2 2 6" xfId="12261" xr:uid="{00000000-0005-0000-0000-000047260000}"/>
    <cellStyle name="20% - Accent5 4 2 2 6 2" xfId="12265" xr:uid="{00000000-0005-0000-0000-000048260000}"/>
    <cellStyle name="20% - Accent5 4 2 2 7" xfId="12271" xr:uid="{00000000-0005-0000-0000-000049260000}"/>
    <cellStyle name="20% - Accent5 4 2 3" xfId="12274" xr:uid="{00000000-0005-0000-0000-00004A260000}"/>
    <cellStyle name="20% - Accent5 4 2 3 2" xfId="9159" xr:uid="{00000000-0005-0000-0000-00004B260000}"/>
    <cellStyle name="20% - Accent5 4 2 3 2 2" xfId="10547" xr:uid="{00000000-0005-0000-0000-00004C260000}"/>
    <cellStyle name="20% - Accent5 4 2 3 2 2 2" xfId="330" xr:uid="{00000000-0005-0000-0000-00004D260000}"/>
    <cellStyle name="20% - Accent5 4 2 3 2 2 2 2" xfId="12453" xr:uid="{00000000-0005-0000-0000-00004E260000}"/>
    <cellStyle name="20% - Accent5 4 2 3 2 2 2 2 2" xfId="388" xr:uid="{00000000-0005-0000-0000-00004F260000}"/>
    <cellStyle name="20% - Accent5 4 2 3 2 2 2 3" xfId="4463" xr:uid="{00000000-0005-0000-0000-000050260000}"/>
    <cellStyle name="20% - Accent5 4 2 3 2 2 3" xfId="283" xr:uid="{00000000-0005-0000-0000-000051260000}"/>
    <cellStyle name="20% - Accent5 4 2 3 2 2 3 2" xfId="17802" xr:uid="{00000000-0005-0000-0000-000052260000}"/>
    <cellStyle name="20% - Accent5 4 2 3 2 2 4" xfId="13794" xr:uid="{00000000-0005-0000-0000-000053260000}"/>
    <cellStyle name="20% - Accent5 4 2 3 2 3" xfId="10528" xr:uid="{00000000-0005-0000-0000-000054260000}"/>
    <cellStyle name="20% - Accent5 4 2 3 2 3 2" xfId="337" xr:uid="{00000000-0005-0000-0000-000055260000}"/>
    <cellStyle name="20% - Accent5 4 2 3 2 3 2 2" xfId="2326" xr:uid="{00000000-0005-0000-0000-000056260000}"/>
    <cellStyle name="20% - Accent5 4 2 3 2 3 3" xfId="178" xr:uid="{00000000-0005-0000-0000-000057260000}"/>
    <cellStyle name="20% - Accent5 4 2 3 2 4" xfId="2840" xr:uid="{00000000-0005-0000-0000-000058260000}"/>
    <cellStyle name="20% - Accent5 4 2 3 2 4 2" xfId="348" xr:uid="{00000000-0005-0000-0000-000059260000}"/>
    <cellStyle name="20% - Accent5 4 2 3 2 5" xfId="5432" xr:uid="{00000000-0005-0000-0000-00005A260000}"/>
    <cellStyle name="20% - Accent5 4 2 3 3" xfId="9165" xr:uid="{00000000-0005-0000-0000-00005B260000}"/>
    <cellStyle name="20% - Accent5 4 2 3 3 2" xfId="2315" xr:uid="{00000000-0005-0000-0000-00005C260000}"/>
    <cellStyle name="20% - Accent5 4 2 3 3 2 2" xfId="6050" xr:uid="{00000000-0005-0000-0000-00005D260000}"/>
    <cellStyle name="20% - Accent5 4 2 3 3 2 2 2" xfId="12361" xr:uid="{00000000-0005-0000-0000-00005E260000}"/>
    <cellStyle name="20% - Accent5 4 2 3 3 2 3" xfId="6067" xr:uid="{00000000-0005-0000-0000-00005F260000}"/>
    <cellStyle name="20% - Accent5 4 2 3 3 3" xfId="5282" xr:uid="{00000000-0005-0000-0000-000060260000}"/>
    <cellStyle name="20% - Accent5 4 2 3 3 3 2" xfId="8488" xr:uid="{00000000-0005-0000-0000-000061260000}"/>
    <cellStyle name="20% - Accent5 4 2 3 3 4" xfId="684" xr:uid="{00000000-0005-0000-0000-000062260000}"/>
    <cellStyle name="20% - Accent5 4 2 3 4" xfId="2322" xr:uid="{00000000-0005-0000-0000-000063260000}"/>
    <cellStyle name="20% - Accent5 4 2 3 4 2" xfId="21810" xr:uid="{00000000-0005-0000-0000-000064260000}"/>
    <cellStyle name="20% - Accent5 4 2 3 4 2 2" xfId="6092" xr:uid="{00000000-0005-0000-0000-000065260000}"/>
    <cellStyle name="20% - Accent5 4 2 3 4 3" xfId="3125" xr:uid="{00000000-0005-0000-0000-000066260000}"/>
    <cellStyle name="20% - Accent5 4 2 3 5" xfId="7127" xr:uid="{00000000-0005-0000-0000-000067260000}"/>
    <cellStyle name="20% - Accent5 4 2 3 5 2" xfId="5578" xr:uid="{00000000-0005-0000-0000-000068260000}"/>
    <cellStyle name="20% - Accent5 4 2 3 6" xfId="11535" xr:uid="{00000000-0005-0000-0000-000069260000}"/>
    <cellStyle name="20% - Accent5 4 2 4" xfId="33046" xr:uid="{00000000-0005-0000-0000-00006A260000}"/>
    <cellStyle name="20% - Accent5 4 2 4 2" xfId="8769" xr:uid="{00000000-0005-0000-0000-00006B260000}"/>
    <cellStyle name="20% - Accent5 4 2 4 2 2" xfId="16575" xr:uid="{00000000-0005-0000-0000-00006C260000}"/>
    <cellStyle name="20% - Accent5 4 2 4 2 2 2" xfId="16577" xr:uid="{00000000-0005-0000-0000-00006D260000}"/>
    <cellStyle name="20% - Accent5 4 2 4 2 2 2 2" xfId="664" xr:uid="{00000000-0005-0000-0000-00006E260000}"/>
    <cellStyle name="20% - Accent5 4 2 4 2 2 3" xfId="8626" xr:uid="{00000000-0005-0000-0000-00006F260000}"/>
    <cellStyle name="20% - Accent5 4 2 4 2 3" xfId="7307" xr:uid="{00000000-0005-0000-0000-000070260000}"/>
    <cellStyle name="20% - Accent5 4 2 4 2 3 2" xfId="16582" xr:uid="{00000000-0005-0000-0000-000071260000}"/>
    <cellStyle name="20% - Accent5 4 2 4 2 4" xfId="16875" xr:uid="{00000000-0005-0000-0000-000072260000}"/>
    <cellStyle name="20% - Accent5 4 2 4 3" xfId="9188" xr:uid="{00000000-0005-0000-0000-000073260000}"/>
    <cellStyle name="20% - Accent5 4 2 4 3 2" xfId="16594" xr:uid="{00000000-0005-0000-0000-000074260000}"/>
    <cellStyle name="20% - Accent5 4 2 4 3 2 2" xfId="16599" xr:uid="{00000000-0005-0000-0000-000075260000}"/>
    <cellStyle name="20% - Accent5 4 2 4 3 3" xfId="7310" xr:uid="{00000000-0005-0000-0000-000076260000}"/>
    <cellStyle name="20% - Accent5 4 2 4 4" xfId="10028" xr:uid="{00000000-0005-0000-0000-000077260000}"/>
    <cellStyle name="20% - Accent5 4 2 4 4 2" xfId="5879" xr:uid="{00000000-0005-0000-0000-000078260000}"/>
    <cellStyle name="20% - Accent5 4 2 4 5" xfId="3287" xr:uid="{00000000-0005-0000-0000-000079260000}"/>
    <cellStyle name="20% - Accent5 4 2 5" xfId="10768" xr:uid="{00000000-0005-0000-0000-00007A260000}"/>
    <cellStyle name="20% - Accent5 4 2 5 2" xfId="12578" xr:uid="{00000000-0005-0000-0000-00007B260000}"/>
    <cellStyle name="20% - Accent5 4 2 5 2 2" xfId="18446" xr:uid="{00000000-0005-0000-0000-00007C260000}"/>
    <cellStyle name="20% - Accent5 4 2 5 2 2 2" xfId="18449" xr:uid="{00000000-0005-0000-0000-00007D260000}"/>
    <cellStyle name="20% - Accent5 4 2 5 2 3" xfId="24258" xr:uid="{00000000-0005-0000-0000-00007E260000}"/>
    <cellStyle name="20% - Accent5 4 2 5 3" xfId="7159" xr:uid="{00000000-0005-0000-0000-00007F260000}"/>
    <cellStyle name="20% - Accent5 4 2 5 3 2" xfId="32553" xr:uid="{00000000-0005-0000-0000-000080260000}"/>
    <cellStyle name="20% - Accent5 4 2 5 4" xfId="3299" xr:uid="{00000000-0005-0000-0000-000081260000}"/>
    <cellStyle name="20% - Accent5 4 2 6" xfId="11594" xr:uid="{00000000-0005-0000-0000-000082260000}"/>
    <cellStyle name="20% - Accent5 4 2 6 2" xfId="7162" xr:uid="{00000000-0005-0000-0000-000083260000}"/>
    <cellStyle name="20% - Accent5 4 2 6 2 2" xfId="9261" xr:uid="{00000000-0005-0000-0000-000084260000}"/>
    <cellStyle name="20% - Accent5 4 2 6 3" xfId="23815" xr:uid="{00000000-0005-0000-0000-000085260000}"/>
    <cellStyle name="20% - Accent5 4 2 7" xfId="12767" xr:uid="{00000000-0005-0000-0000-000086260000}"/>
    <cellStyle name="20% - Accent5 4 2 7 2" xfId="23313" xr:uid="{00000000-0005-0000-0000-000087260000}"/>
    <cellStyle name="20% - Accent5 4 2 8" xfId="12781" xr:uid="{00000000-0005-0000-0000-000088260000}"/>
    <cellStyle name="20% - Accent5 4 3" xfId="12291" xr:uid="{00000000-0005-0000-0000-000089260000}"/>
    <cellStyle name="20% - Accent5 4 3 2" xfId="12298" xr:uid="{00000000-0005-0000-0000-00008A260000}"/>
    <cellStyle name="20% - Accent5 4 3 2 2" xfId="12299" xr:uid="{00000000-0005-0000-0000-00008B260000}"/>
    <cellStyle name="20% - Accent5 4 3 2 2 2" xfId="1153" xr:uid="{00000000-0005-0000-0000-00008C260000}"/>
    <cellStyle name="20% - Accent5 4 3 2 2 2 2" xfId="2131" xr:uid="{00000000-0005-0000-0000-00008D260000}"/>
    <cellStyle name="20% - Accent5 4 3 2 2 2 2 2" xfId="2972" xr:uid="{00000000-0005-0000-0000-00008E260000}"/>
    <cellStyle name="20% - Accent5 4 3 2 2 2 2 2 2" xfId="23866" xr:uid="{00000000-0005-0000-0000-00008F260000}"/>
    <cellStyle name="20% - Accent5 4 3 2 2 2 2 3" xfId="2987" xr:uid="{00000000-0005-0000-0000-000090260000}"/>
    <cellStyle name="20% - Accent5 4 3 2 2 2 3" xfId="737" xr:uid="{00000000-0005-0000-0000-000091260000}"/>
    <cellStyle name="20% - Accent5 4 3 2 2 2 3 2" xfId="7732" xr:uid="{00000000-0005-0000-0000-000092260000}"/>
    <cellStyle name="20% - Accent5 4 3 2 2 2 4" xfId="14168" xr:uid="{00000000-0005-0000-0000-000093260000}"/>
    <cellStyle name="20% - Accent5 4 3 2 2 3" xfId="1162" xr:uid="{00000000-0005-0000-0000-000094260000}"/>
    <cellStyle name="20% - Accent5 4 3 2 2 3 2" xfId="333" xr:uid="{00000000-0005-0000-0000-000095260000}"/>
    <cellStyle name="20% - Accent5 4 3 2 2 3 2 2" xfId="12287" xr:uid="{00000000-0005-0000-0000-000096260000}"/>
    <cellStyle name="20% - Accent5 4 3 2 2 3 3" xfId="12300" xr:uid="{00000000-0005-0000-0000-000097260000}"/>
    <cellStyle name="20% - Accent5 4 3 2 2 4" xfId="1974" xr:uid="{00000000-0005-0000-0000-000098260000}"/>
    <cellStyle name="20% - Accent5 4 3 2 2 4 2" xfId="12301" xr:uid="{00000000-0005-0000-0000-000099260000}"/>
    <cellStyle name="20% - Accent5 4 3 2 2 5" xfId="8288" xr:uid="{00000000-0005-0000-0000-00009A260000}"/>
    <cellStyle name="20% - Accent5 4 3 2 3" xfId="3297" xr:uid="{00000000-0005-0000-0000-00009B260000}"/>
    <cellStyle name="20% - Accent5 4 3 2 3 2" xfId="16316" xr:uid="{00000000-0005-0000-0000-00009C260000}"/>
    <cellStyle name="20% - Accent5 4 3 2 3 2 2" xfId="6137" xr:uid="{00000000-0005-0000-0000-00009D260000}"/>
    <cellStyle name="20% - Accent5 4 3 2 3 2 2 2" xfId="3178" xr:uid="{00000000-0005-0000-0000-00009E260000}"/>
    <cellStyle name="20% - Accent5 4 3 2 3 2 3" xfId="12304" xr:uid="{00000000-0005-0000-0000-00009F260000}"/>
    <cellStyle name="20% - Accent5 4 3 2 3 3" xfId="2282" xr:uid="{00000000-0005-0000-0000-0000A0260000}"/>
    <cellStyle name="20% - Accent5 4 3 2 3 3 2" xfId="12312" xr:uid="{00000000-0005-0000-0000-0000A1260000}"/>
    <cellStyle name="20% - Accent5 4 3 2 3 4" xfId="12319" xr:uid="{00000000-0005-0000-0000-0000A2260000}"/>
    <cellStyle name="20% - Accent5 4 3 2 4" xfId="16317" xr:uid="{00000000-0005-0000-0000-0000A3260000}"/>
    <cellStyle name="20% - Accent5 4 3 2 4 2" xfId="21851" xr:uid="{00000000-0005-0000-0000-0000A4260000}"/>
    <cellStyle name="20% - Accent5 4 3 2 4 2 2" xfId="12071" xr:uid="{00000000-0005-0000-0000-0000A5260000}"/>
    <cellStyle name="20% - Accent5 4 3 2 4 3" xfId="12321" xr:uid="{00000000-0005-0000-0000-0000A6260000}"/>
    <cellStyle name="20% - Accent5 4 3 2 5" xfId="12323" xr:uid="{00000000-0005-0000-0000-0000A7260000}"/>
    <cellStyle name="20% - Accent5 4 3 2 5 2" xfId="16320" xr:uid="{00000000-0005-0000-0000-0000A8260000}"/>
    <cellStyle name="20% - Accent5 4 3 2 6" xfId="12328" xr:uid="{00000000-0005-0000-0000-0000A9260000}"/>
    <cellStyle name="20% - Accent5 4 3 3" xfId="12333" xr:uid="{00000000-0005-0000-0000-0000AA260000}"/>
    <cellStyle name="20% - Accent5 4 3 3 2" xfId="9214" xr:uid="{00000000-0005-0000-0000-0000AB260000}"/>
    <cellStyle name="20% - Accent5 4 3 3 2 2" xfId="19066" xr:uid="{00000000-0005-0000-0000-0000AC260000}"/>
    <cellStyle name="20% - Accent5 4 3 3 2 2 2" xfId="815" xr:uid="{00000000-0005-0000-0000-0000AD260000}"/>
    <cellStyle name="20% - Accent5 4 3 3 2 2 2 2" xfId="18742" xr:uid="{00000000-0005-0000-0000-0000AE260000}"/>
    <cellStyle name="20% - Accent5 4 3 3 2 2 3" xfId="27886" xr:uid="{00000000-0005-0000-0000-0000AF260000}"/>
    <cellStyle name="20% - Accent5 4 3 3 2 3" xfId="5412" xr:uid="{00000000-0005-0000-0000-0000B0260000}"/>
    <cellStyle name="20% - Accent5 4 3 3 2 3 2" xfId="215" xr:uid="{00000000-0005-0000-0000-0000B1260000}"/>
    <cellStyle name="20% - Accent5 4 3 3 2 4" xfId="966" xr:uid="{00000000-0005-0000-0000-0000B2260000}"/>
    <cellStyle name="20% - Accent5 4 3 3 3" xfId="9220" xr:uid="{00000000-0005-0000-0000-0000B3260000}"/>
    <cellStyle name="20% - Accent5 4 3 3 3 2" xfId="16324" xr:uid="{00000000-0005-0000-0000-0000B4260000}"/>
    <cellStyle name="20% - Accent5 4 3 3 3 2 2" xfId="9878" xr:uid="{00000000-0005-0000-0000-0000B5260000}"/>
    <cellStyle name="20% - Accent5 4 3 3 3 3" xfId="1056" xr:uid="{00000000-0005-0000-0000-0000B6260000}"/>
    <cellStyle name="20% - Accent5 4 3 3 4" xfId="16329" xr:uid="{00000000-0005-0000-0000-0000B7260000}"/>
    <cellStyle name="20% - Accent5 4 3 3 4 2" xfId="16333" xr:uid="{00000000-0005-0000-0000-0000B8260000}"/>
    <cellStyle name="20% - Accent5 4 3 3 5" xfId="30191" xr:uid="{00000000-0005-0000-0000-0000B9260000}"/>
    <cellStyle name="20% - Accent5 4 3 4" xfId="10580" xr:uid="{00000000-0005-0000-0000-0000BA260000}"/>
    <cellStyle name="20% - Accent5 4 3 4 2" xfId="9226" xr:uid="{00000000-0005-0000-0000-0000BB260000}"/>
    <cellStyle name="20% - Accent5 4 3 4 2 2" xfId="10502" xr:uid="{00000000-0005-0000-0000-0000BC260000}"/>
    <cellStyle name="20% - Accent5 4 3 4 2 2 2" xfId="865" xr:uid="{00000000-0005-0000-0000-0000BD260000}"/>
    <cellStyle name="20% - Accent5 4 3 4 2 3" xfId="868" xr:uid="{00000000-0005-0000-0000-0000BE260000}"/>
    <cellStyle name="20% - Accent5 4 3 4 3" xfId="16337" xr:uid="{00000000-0005-0000-0000-0000BF260000}"/>
    <cellStyle name="20% - Accent5 4 3 4 3 2" xfId="16339" xr:uid="{00000000-0005-0000-0000-0000C0260000}"/>
    <cellStyle name="20% - Accent5 4 3 4 4" xfId="16341" xr:uid="{00000000-0005-0000-0000-0000C1260000}"/>
    <cellStyle name="20% - Accent5 4 3 5" xfId="11601" xr:uid="{00000000-0005-0000-0000-0000C2260000}"/>
    <cellStyle name="20% - Accent5 4 3 5 2" xfId="7211" xr:uid="{00000000-0005-0000-0000-0000C3260000}"/>
    <cellStyle name="20% - Accent5 4 3 5 2 2" xfId="2559" xr:uid="{00000000-0005-0000-0000-0000C4260000}"/>
    <cellStyle name="20% - Accent5 4 3 5 3" xfId="7670" xr:uid="{00000000-0005-0000-0000-0000C5260000}"/>
    <cellStyle name="20% - Accent5 4 3 6" xfId="13401" xr:uid="{00000000-0005-0000-0000-0000C6260000}"/>
    <cellStyle name="20% - Accent5 4 3 6 2" xfId="925" xr:uid="{00000000-0005-0000-0000-0000C7260000}"/>
    <cellStyle name="20% - Accent5 4 3 7" xfId="12795" xr:uid="{00000000-0005-0000-0000-0000C8260000}"/>
    <cellStyle name="20% - Accent5 4 4" xfId="16385" xr:uid="{00000000-0005-0000-0000-0000C9260000}"/>
    <cellStyle name="20% - Accent5 4 4 2" xfId="23387" xr:uid="{00000000-0005-0000-0000-0000CA260000}"/>
    <cellStyle name="20% - Accent5 4 4 2 2" xfId="12336" xr:uid="{00000000-0005-0000-0000-0000CB260000}"/>
    <cellStyle name="20% - Accent5 4 4 2 2 2" xfId="9669" xr:uid="{00000000-0005-0000-0000-0000CC260000}"/>
    <cellStyle name="20% - Accent5 4 4 2 2 2 2" xfId="30595" xr:uid="{00000000-0005-0000-0000-0000CD260000}"/>
    <cellStyle name="20% - Accent5 4 4 2 2 2 2 2" xfId="13211" xr:uid="{00000000-0005-0000-0000-0000CE260000}"/>
    <cellStyle name="20% - Accent5 4 4 2 2 2 3" xfId="23504" xr:uid="{00000000-0005-0000-0000-0000CF260000}"/>
    <cellStyle name="20% - Accent5 4 4 2 2 3" xfId="18940" xr:uid="{00000000-0005-0000-0000-0000D0260000}"/>
    <cellStyle name="20% - Accent5 4 4 2 2 3 2" xfId="5750" xr:uid="{00000000-0005-0000-0000-0000D1260000}"/>
    <cellStyle name="20% - Accent5 4 4 2 2 4" xfId="5753" xr:uid="{00000000-0005-0000-0000-0000D2260000}"/>
    <cellStyle name="20% - Accent5 4 4 2 3" xfId="16356" xr:uid="{00000000-0005-0000-0000-0000D3260000}"/>
    <cellStyle name="20% - Accent5 4 4 2 3 2" xfId="16360" xr:uid="{00000000-0005-0000-0000-0000D4260000}"/>
    <cellStyle name="20% - Accent5 4 4 2 3 2 2" xfId="13023" xr:uid="{00000000-0005-0000-0000-0000D5260000}"/>
    <cellStyle name="20% - Accent5 4 4 2 3 3" xfId="5888" xr:uid="{00000000-0005-0000-0000-0000D6260000}"/>
    <cellStyle name="20% - Accent5 4 4 2 4" xfId="22213" xr:uid="{00000000-0005-0000-0000-0000D7260000}"/>
    <cellStyle name="20% - Accent5 4 4 2 4 2" xfId="16363" xr:uid="{00000000-0005-0000-0000-0000D8260000}"/>
    <cellStyle name="20% - Accent5 4 4 2 5" xfId="12338" xr:uid="{00000000-0005-0000-0000-0000D9260000}"/>
    <cellStyle name="20% - Accent5 4 4 3" xfId="12341" xr:uid="{00000000-0005-0000-0000-0000DA260000}"/>
    <cellStyle name="20% - Accent5 4 4 3 2" xfId="9240" xr:uid="{00000000-0005-0000-0000-0000DB260000}"/>
    <cellStyle name="20% - Accent5 4 4 3 2 2" xfId="8405" xr:uid="{00000000-0005-0000-0000-0000DC260000}"/>
    <cellStyle name="20% - Accent5 4 4 3 2 2 2" xfId="30498" xr:uid="{00000000-0005-0000-0000-0000DD260000}"/>
    <cellStyle name="20% - Accent5 4 4 3 2 3" xfId="1370" xr:uid="{00000000-0005-0000-0000-0000DE260000}"/>
    <cellStyle name="20% - Accent5 4 4 3 3" xfId="16368" xr:uid="{00000000-0005-0000-0000-0000DF260000}"/>
    <cellStyle name="20% - Accent5 4 4 3 3 2" xfId="16372" xr:uid="{00000000-0005-0000-0000-0000E0260000}"/>
    <cellStyle name="20% - Accent5 4 4 3 4" xfId="16374" xr:uid="{00000000-0005-0000-0000-0000E1260000}"/>
    <cellStyle name="20% - Accent5 4 4 4" xfId="12343" xr:uid="{00000000-0005-0000-0000-0000E2260000}"/>
    <cellStyle name="20% - Accent5 4 4 4 2" xfId="7237" xr:uid="{00000000-0005-0000-0000-0000E3260000}"/>
    <cellStyle name="20% - Accent5 4 4 4 2 2" xfId="1712" xr:uid="{00000000-0005-0000-0000-0000E4260000}"/>
    <cellStyle name="20% - Accent5 4 4 4 3" xfId="16378" xr:uid="{00000000-0005-0000-0000-0000E5260000}"/>
    <cellStyle name="20% - Accent5 4 4 5" xfId="12345" xr:uid="{00000000-0005-0000-0000-0000E6260000}"/>
    <cellStyle name="20% - Accent5 4 4 5 2" xfId="2938" xr:uid="{00000000-0005-0000-0000-0000E7260000}"/>
    <cellStyle name="20% - Accent5 4 4 6" xfId="26426" xr:uid="{00000000-0005-0000-0000-0000E8260000}"/>
    <cellStyle name="20% - Accent5 4 5" xfId="24149" xr:uid="{00000000-0005-0000-0000-0000E9260000}"/>
    <cellStyle name="20% - Accent5 4 5 2" xfId="300" xr:uid="{00000000-0005-0000-0000-0000EA260000}"/>
    <cellStyle name="20% - Accent5 4 5 2 2" xfId="32874" xr:uid="{00000000-0005-0000-0000-0000EB260000}"/>
    <cellStyle name="20% - Accent5 4 5 2 2 2" xfId="31014" xr:uid="{00000000-0005-0000-0000-0000EC260000}"/>
    <cellStyle name="20% - Accent5 4 5 2 2 2 2" xfId="13774" xr:uid="{00000000-0005-0000-0000-0000ED260000}"/>
    <cellStyle name="20% - Accent5 4 5 2 2 3" xfId="24168" xr:uid="{00000000-0005-0000-0000-0000EE260000}"/>
    <cellStyle name="20% - Accent5 4 5 2 3" xfId="16398" xr:uid="{00000000-0005-0000-0000-0000EF260000}"/>
    <cellStyle name="20% - Accent5 4 5 2 3 2" xfId="16400" xr:uid="{00000000-0005-0000-0000-0000F0260000}"/>
    <cellStyle name="20% - Accent5 4 5 2 4" xfId="16402" xr:uid="{00000000-0005-0000-0000-0000F1260000}"/>
    <cellStyle name="20% - Accent5 4 5 3" xfId="3842" xr:uid="{00000000-0005-0000-0000-0000F2260000}"/>
    <cellStyle name="20% - Accent5 4 5 3 2" xfId="9610" xr:uid="{00000000-0005-0000-0000-0000F3260000}"/>
    <cellStyle name="20% - Accent5 4 5 3 2 2" xfId="9552" xr:uid="{00000000-0005-0000-0000-0000F4260000}"/>
    <cellStyle name="20% - Accent5 4 5 3 3" xfId="3386" xr:uid="{00000000-0005-0000-0000-0000F5260000}"/>
    <cellStyle name="20% - Accent5 4 5 4" xfId="777" xr:uid="{00000000-0005-0000-0000-0000F6260000}"/>
    <cellStyle name="20% - Accent5 4 5 4 2" xfId="3546" xr:uid="{00000000-0005-0000-0000-0000F7260000}"/>
    <cellStyle name="20% - Accent5 4 5 5" xfId="642" xr:uid="{00000000-0005-0000-0000-0000F8260000}"/>
    <cellStyle name="20% - Accent5 4 6" xfId="254" xr:uid="{00000000-0005-0000-0000-0000F9260000}"/>
    <cellStyle name="20% - Accent5 4 6 2" xfId="11459" xr:uid="{00000000-0005-0000-0000-0000FA260000}"/>
    <cellStyle name="20% - Accent5 4 6 2 2" xfId="12348" xr:uid="{00000000-0005-0000-0000-0000FB260000}"/>
    <cellStyle name="20% - Accent5 4 6 2 2 2" xfId="1900" xr:uid="{00000000-0005-0000-0000-0000FC260000}"/>
    <cellStyle name="20% - Accent5 4 6 2 3" xfId="16421" xr:uid="{00000000-0005-0000-0000-0000FD260000}"/>
    <cellStyle name="20% - Accent5 4 6 3" xfId="4778" xr:uid="{00000000-0005-0000-0000-0000FE260000}"/>
    <cellStyle name="20% - Accent5 4 6 3 2" xfId="1492" xr:uid="{00000000-0005-0000-0000-0000FF260000}"/>
    <cellStyle name="20% - Accent5 4 6 4" xfId="398" xr:uid="{00000000-0005-0000-0000-000000270000}"/>
    <cellStyle name="20% - Accent5 4 7" xfId="2494" xr:uid="{00000000-0005-0000-0000-000001270000}"/>
    <cellStyle name="20% - Accent5 4 7 2" xfId="2044" xr:uid="{00000000-0005-0000-0000-000002270000}"/>
    <cellStyle name="20% - Accent5 4 7 2 2" xfId="12352" xr:uid="{00000000-0005-0000-0000-000003270000}"/>
    <cellStyle name="20% - Accent5 4 7 3" xfId="2054" xr:uid="{00000000-0005-0000-0000-000004270000}"/>
    <cellStyle name="20% - Accent5 4 8" xfId="2503" xr:uid="{00000000-0005-0000-0000-000005270000}"/>
    <cellStyle name="20% - Accent5 4 8 2" xfId="3047" xr:uid="{00000000-0005-0000-0000-000006270000}"/>
    <cellStyle name="20% - Accent5 4 9" xfId="11283" xr:uid="{00000000-0005-0000-0000-000007270000}"/>
    <cellStyle name="20% - Accent5 5" xfId="13262" xr:uid="{00000000-0005-0000-0000-000008270000}"/>
    <cellStyle name="20% - Accent5 5 2" xfId="12355" xr:uid="{00000000-0005-0000-0000-000009270000}"/>
    <cellStyle name="20% - Accent5 5 2 2" xfId="24192" xr:uid="{00000000-0005-0000-0000-00000A270000}"/>
    <cellStyle name="20% - Accent5 5 2 2 2" xfId="12359" xr:uid="{00000000-0005-0000-0000-00000B270000}"/>
    <cellStyle name="20% - Accent5 5 2 2 2 2" xfId="23453" xr:uid="{00000000-0005-0000-0000-00000C270000}"/>
    <cellStyle name="20% - Accent5 5 2 2 2 2 2" xfId="16430" xr:uid="{00000000-0005-0000-0000-00000D270000}"/>
    <cellStyle name="20% - Accent5 5 2 2 2 2 2 2" xfId="24917" xr:uid="{00000000-0005-0000-0000-00000E270000}"/>
    <cellStyle name="20% - Accent5 5 2 2 2 2 2 2 2" xfId="12364" xr:uid="{00000000-0005-0000-0000-00000F270000}"/>
    <cellStyle name="20% - Accent5 5 2 2 2 2 2 3" xfId="12367" xr:uid="{00000000-0005-0000-0000-000010270000}"/>
    <cellStyle name="20% - Accent5 5 2 2 2 2 3" xfId="12372" xr:uid="{00000000-0005-0000-0000-000011270000}"/>
    <cellStyle name="20% - Accent5 5 2 2 2 2 3 2" xfId="19234" xr:uid="{00000000-0005-0000-0000-000012270000}"/>
    <cellStyle name="20% - Accent5 5 2 2 2 2 4" xfId="13972" xr:uid="{00000000-0005-0000-0000-000013270000}"/>
    <cellStyle name="20% - Accent5 5 2 2 2 3" xfId="10145" xr:uid="{00000000-0005-0000-0000-000014270000}"/>
    <cellStyle name="20% - Accent5 5 2 2 2 3 2" xfId="12376" xr:uid="{00000000-0005-0000-0000-000015270000}"/>
    <cellStyle name="20% - Accent5 5 2 2 2 3 2 2" xfId="12377" xr:uid="{00000000-0005-0000-0000-000016270000}"/>
    <cellStyle name="20% - Accent5 5 2 2 2 3 3" xfId="12378" xr:uid="{00000000-0005-0000-0000-000017270000}"/>
    <cellStyle name="20% - Accent5 5 2 2 2 4" xfId="29690" xr:uid="{00000000-0005-0000-0000-000018270000}"/>
    <cellStyle name="20% - Accent5 5 2 2 2 4 2" xfId="19450" xr:uid="{00000000-0005-0000-0000-000019270000}"/>
    <cellStyle name="20% - Accent5 5 2 2 2 5" xfId="12562" xr:uid="{00000000-0005-0000-0000-00001A270000}"/>
    <cellStyle name="20% - Accent5 5 2 2 3" xfId="20" xr:uid="{00000000-0005-0000-0000-00001B270000}"/>
    <cellStyle name="20% - Accent5 5 2 2 3 2" xfId="8894" xr:uid="{00000000-0005-0000-0000-00001C270000}"/>
    <cellStyle name="20% - Accent5 5 2 2 3 2 2" xfId="31150" xr:uid="{00000000-0005-0000-0000-00001D270000}"/>
    <cellStyle name="20% - Accent5 5 2 2 3 2 2 2" xfId="33975" xr:uid="{00000000-0005-0000-0000-00001E270000}"/>
    <cellStyle name="20% - Accent5 5 2 2 3 2 3" xfId="31155" xr:uid="{00000000-0005-0000-0000-00001F270000}"/>
    <cellStyle name="20% - Accent5 5 2 2 3 3" xfId="23571" xr:uid="{00000000-0005-0000-0000-000020270000}"/>
    <cellStyle name="20% - Accent5 5 2 2 3 3 2" xfId="31161" xr:uid="{00000000-0005-0000-0000-000021270000}"/>
    <cellStyle name="20% - Accent5 5 2 2 3 4" xfId="26372" xr:uid="{00000000-0005-0000-0000-000022270000}"/>
    <cellStyle name="20% - Accent5 5 2 2 4" xfId="2348" xr:uid="{00000000-0005-0000-0000-000023270000}"/>
    <cellStyle name="20% - Accent5 5 2 2 4 2" xfId="20722" xr:uid="{00000000-0005-0000-0000-000024270000}"/>
    <cellStyle name="20% - Accent5 5 2 2 4 2 2" xfId="6311" xr:uid="{00000000-0005-0000-0000-000025270000}"/>
    <cellStyle name="20% - Accent5 5 2 2 4 3" xfId="32903" xr:uid="{00000000-0005-0000-0000-000026270000}"/>
    <cellStyle name="20% - Accent5 5 2 2 5" xfId="33198" xr:uid="{00000000-0005-0000-0000-000027270000}"/>
    <cellStyle name="20% - Accent5 5 2 2 5 2" xfId="31169" xr:uid="{00000000-0005-0000-0000-000028270000}"/>
    <cellStyle name="20% - Accent5 5 2 2 6" xfId="12394" xr:uid="{00000000-0005-0000-0000-000029270000}"/>
    <cellStyle name="20% - Accent5 5 2 3" xfId="28481" xr:uid="{00000000-0005-0000-0000-00002A270000}"/>
    <cellStyle name="20% - Accent5 5 2 3 2" xfId="25951" xr:uid="{00000000-0005-0000-0000-00002B270000}"/>
    <cellStyle name="20% - Accent5 5 2 3 2 2" xfId="6443" xr:uid="{00000000-0005-0000-0000-00002C270000}"/>
    <cellStyle name="20% - Accent5 5 2 3 2 2 2" xfId="16749" xr:uid="{00000000-0005-0000-0000-00002D270000}"/>
    <cellStyle name="20% - Accent5 5 2 3 2 2 2 2" xfId="3214" xr:uid="{00000000-0005-0000-0000-00002E270000}"/>
    <cellStyle name="20% - Accent5 5 2 3 2 2 3" xfId="1804" xr:uid="{00000000-0005-0000-0000-00002F270000}"/>
    <cellStyle name="20% - Accent5 5 2 3 2 3" xfId="9071" xr:uid="{00000000-0005-0000-0000-000030270000}"/>
    <cellStyle name="20% - Accent5 5 2 3 2 3 2" xfId="1809" xr:uid="{00000000-0005-0000-0000-000031270000}"/>
    <cellStyle name="20% - Accent5 5 2 3 2 4" xfId="1814" xr:uid="{00000000-0005-0000-0000-000032270000}"/>
    <cellStyle name="20% - Accent5 5 2 3 3" xfId="2361" xr:uid="{00000000-0005-0000-0000-000033270000}"/>
    <cellStyle name="20% - Accent5 5 2 3 3 2" xfId="8995" xr:uid="{00000000-0005-0000-0000-000034270000}"/>
    <cellStyle name="20% - Accent5 5 2 3 3 2 2" xfId="6349" xr:uid="{00000000-0005-0000-0000-000035270000}"/>
    <cellStyle name="20% - Accent5 5 2 3 3 3" xfId="2597" xr:uid="{00000000-0005-0000-0000-000036270000}"/>
    <cellStyle name="20% - Accent5 5 2 3 4" xfId="3333" xr:uid="{00000000-0005-0000-0000-000037270000}"/>
    <cellStyle name="20% - Accent5 5 2 3 4 2" xfId="5590" xr:uid="{00000000-0005-0000-0000-000038270000}"/>
    <cellStyle name="20% - Accent5 5 2 3 5" xfId="27368" xr:uid="{00000000-0005-0000-0000-000039270000}"/>
    <cellStyle name="20% - Accent5 5 2 4" xfId="12400" xr:uid="{00000000-0005-0000-0000-00003A270000}"/>
    <cellStyle name="20% - Accent5 5 2 4 2" xfId="9363" xr:uid="{00000000-0005-0000-0000-00003B270000}"/>
    <cellStyle name="20% - Accent5 5 2 4 2 2" xfId="3587" xr:uid="{00000000-0005-0000-0000-00003C270000}"/>
    <cellStyle name="20% - Accent5 5 2 4 2 2 2" xfId="3035" xr:uid="{00000000-0005-0000-0000-00003D270000}"/>
    <cellStyle name="20% - Accent5 5 2 4 2 3" xfId="4914" xr:uid="{00000000-0005-0000-0000-00003E270000}"/>
    <cellStyle name="20% - Accent5 5 2 4 3" xfId="750" xr:uid="{00000000-0005-0000-0000-00003F270000}"/>
    <cellStyle name="20% - Accent5 5 2 4 3 2" xfId="13594" xr:uid="{00000000-0005-0000-0000-000040270000}"/>
    <cellStyle name="20% - Accent5 5 2 4 4" xfId="3349" xr:uid="{00000000-0005-0000-0000-000041270000}"/>
    <cellStyle name="20% - Accent5 5 2 5" xfId="15602" xr:uid="{00000000-0005-0000-0000-000042270000}"/>
    <cellStyle name="20% - Accent5 5 2 5 2" xfId="2865" xr:uid="{00000000-0005-0000-0000-000043270000}"/>
    <cellStyle name="20% - Accent5 5 2 5 2 2" xfId="1933" xr:uid="{00000000-0005-0000-0000-000044270000}"/>
    <cellStyle name="20% - Accent5 5 2 5 3" xfId="1938" xr:uid="{00000000-0005-0000-0000-000045270000}"/>
    <cellStyle name="20% - Accent5 5 2 6" xfId="12405" xr:uid="{00000000-0005-0000-0000-000046270000}"/>
    <cellStyle name="20% - Accent5 5 2 6 2" xfId="1958" xr:uid="{00000000-0005-0000-0000-000047270000}"/>
    <cellStyle name="20% - Accent5 5 2 7" xfId="12410" xr:uid="{00000000-0005-0000-0000-000048270000}"/>
    <cellStyle name="20% - Accent5 5 3" xfId="21887" xr:uid="{00000000-0005-0000-0000-000049270000}"/>
    <cellStyle name="20% - Accent5 5 3 2" xfId="24215" xr:uid="{00000000-0005-0000-0000-00004A270000}"/>
    <cellStyle name="20% - Accent5 5 3 2 2" xfId="12419" xr:uid="{00000000-0005-0000-0000-00004B270000}"/>
    <cellStyle name="20% - Accent5 5 3 2 2 2" xfId="2046" xr:uid="{00000000-0005-0000-0000-00004C270000}"/>
    <cellStyle name="20% - Accent5 5 3 2 2 2 2" xfId="12424" xr:uid="{00000000-0005-0000-0000-00004D270000}"/>
    <cellStyle name="20% - Accent5 5 3 2 2 2 2 2" xfId="31921" xr:uid="{00000000-0005-0000-0000-00004E270000}"/>
    <cellStyle name="20% - Accent5 5 3 2 2 2 3" xfId="12426" xr:uid="{00000000-0005-0000-0000-00004F270000}"/>
    <cellStyle name="20% - Accent5 5 3 2 2 3" xfId="2050" xr:uid="{00000000-0005-0000-0000-000050270000}"/>
    <cellStyle name="20% - Accent5 5 3 2 2 3 2" xfId="12427" xr:uid="{00000000-0005-0000-0000-000051270000}"/>
    <cellStyle name="20% - Accent5 5 3 2 2 4" xfId="9096" xr:uid="{00000000-0005-0000-0000-000052270000}"/>
    <cellStyle name="20% - Accent5 5 3 2 3" xfId="16448" xr:uid="{00000000-0005-0000-0000-000053270000}"/>
    <cellStyle name="20% - Accent5 5 3 2 3 2" xfId="16453" xr:uid="{00000000-0005-0000-0000-000054270000}"/>
    <cellStyle name="20% - Accent5 5 3 2 3 2 2" xfId="30226" xr:uid="{00000000-0005-0000-0000-000055270000}"/>
    <cellStyle name="20% - Accent5 5 3 2 3 3" xfId="16455" xr:uid="{00000000-0005-0000-0000-000056270000}"/>
    <cellStyle name="20% - Accent5 5 3 2 4" xfId="16457" xr:uid="{00000000-0005-0000-0000-000057270000}"/>
    <cellStyle name="20% - Accent5 5 3 2 4 2" xfId="16459" xr:uid="{00000000-0005-0000-0000-000058270000}"/>
    <cellStyle name="20% - Accent5 5 3 2 5" xfId="21235" xr:uid="{00000000-0005-0000-0000-000059270000}"/>
    <cellStyle name="20% - Accent5 5 3 3" xfId="12430" xr:uid="{00000000-0005-0000-0000-00005A270000}"/>
    <cellStyle name="20% - Accent5 5 3 3 2" xfId="3041" xr:uid="{00000000-0005-0000-0000-00005B270000}"/>
    <cellStyle name="20% - Accent5 5 3 3 2 2" xfId="12611" xr:uid="{00000000-0005-0000-0000-00005C270000}"/>
    <cellStyle name="20% - Accent5 5 3 3 2 2 2" xfId="483" xr:uid="{00000000-0005-0000-0000-00005D270000}"/>
    <cellStyle name="20% - Accent5 5 3 3 2 3" xfId="9130" xr:uid="{00000000-0005-0000-0000-00005E270000}"/>
    <cellStyle name="20% - Accent5 5 3 3 3" xfId="16463" xr:uid="{00000000-0005-0000-0000-00005F270000}"/>
    <cellStyle name="20% - Accent5 5 3 3 3 2" xfId="16468" xr:uid="{00000000-0005-0000-0000-000060270000}"/>
    <cellStyle name="20% - Accent5 5 3 3 4" xfId="16469" xr:uid="{00000000-0005-0000-0000-000061270000}"/>
    <cellStyle name="20% - Accent5 5 3 4" xfId="12432" xr:uid="{00000000-0005-0000-0000-000062270000}"/>
    <cellStyle name="20% - Accent5 5 3 4 2" xfId="3067" xr:uid="{00000000-0005-0000-0000-000063270000}"/>
    <cellStyle name="20% - Accent5 5 3 4 2 2" xfId="2085" xr:uid="{00000000-0005-0000-0000-000064270000}"/>
    <cellStyle name="20% - Accent5 5 3 4 3" xfId="16471" xr:uid="{00000000-0005-0000-0000-000065270000}"/>
    <cellStyle name="20% - Accent5 5 3 5" xfId="22720" xr:uid="{00000000-0005-0000-0000-000066270000}"/>
    <cellStyle name="20% - Accent5 5 3 5 2" xfId="1197" xr:uid="{00000000-0005-0000-0000-000067270000}"/>
    <cellStyle name="20% - Accent5 5 3 6" xfId="12439" xr:uid="{00000000-0005-0000-0000-000068270000}"/>
    <cellStyle name="20% - Accent5 5 4" xfId="16388" xr:uid="{00000000-0005-0000-0000-000069270000}"/>
    <cellStyle name="20% - Accent5 5 4 2" xfId="29262" xr:uid="{00000000-0005-0000-0000-00006A270000}"/>
    <cellStyle name="20% - Accent5 5 4 2 2" xfId="5563" xr:uid="{00000000-0005-0000-0000-00006B270000}"/>
    <cellStyle name="20% - Accent5 5 4 2 2 2" xfId="33542" xr:uid="{00000000-0005-0000-0000-00006C270000}"/>
    <cellStyle name="20% - Accent5 5 4 2 2 2 2" xfId="30571" xr:uid="{00000000-0005-0000-0000-00006D270000}"/>
    <cellStyle name="20% - Accent5 5 4 2 2 3" xfId="8153" xr:uid="{00000000-0005-0000-0000-00006E270000}"/>
    <cellStyle name="20% - Accent5 5 4 2 3" xfId="16485" xr:uid="{00000000-0005-0000-0000-00006F270000}"/>
    <cellStyle name="20% - Accent5 5 4 2 3 2" xfId="16486" xr:uid="{00000000-0005-0000-0000-000070270000}"/>
    <cellStyle name="20% - Accent5 5 4 2 4" xfId="16490" xr:uid="{00000000-0005-0000-0000-000071270000}"/>
    <cellStyle name="20% - Accent5 5 4 3" xfId="12440" xr:uid="{00000000-0005-0000-0000-000072270000}"/>
    <cellStyle name="20% - Accent5 5 4 3 2" xfId="5576" xr:uid="{00000000-0005-0000-0000-000073270000}"/>
    <cellStyle name="20% - Accent5 5 4 3 2 2" xfId="8243" xr:uid="{00000000-0005-0000-0000-000074270000}"/>
    <cellStyle name="20% - Accent5 5 4 3 3" xfId="16492" xr:uid="{00000000-0005-0000-0000-000075270000}"/>
    <cellStyle name="20% - Accent5 5 4 4" xfId="12442" xr:uid="{00000000-0005-0000-0000-000076270000}"/>
    <cellStyle name="20% - Accent5 5 4 4 2" xfId="13298" xr:uid="{00000000-0005-0000-0000-000077270000}"/>
    <cellStyle name="20% - Accent5 5 4 5" xfId="12444" xr:uid="{00000000-0005-0000-0000-000078270000}"/>
    <cellStyle name="20% - Accent5 5 5" xfId="30984" xr:uid="{00000000-0005-0000-0000-000079270000}"/>
    <cellStyle name="20% - Accent5 5 5 2" xfId="331" xr:uid="{00000000-0005-0000-0000-00007A270000}"/>
    <cellStyle name="20% - Accent5 5 5 2 2" xfId="13483" xr:uid="{00000000-0005-0000-0000-00007B270000}"/>
    <cellStyle name="20% - Accent5 5 5 2 2 2" xfId="2771" xr:uid="{00000000-0005-0000-0000-00007C270000}"/>
    <cellStyle name="20% - Accent5 5 5 2 3" xfId="14409" xr:uid="{00000000-0005-0000-0000-00007D270000}"/>
    <cellStyle name="20% - Accent5 5 5 3" xfId="284" xr:uid="{00000000-0005-0000-0000-00007E270000}"/>
    <cellStyle name="20% - Accent5 5 5 3 2" xfId="14832" xr:uid="{00000000-0005-0000-0000-00007F270000}"/>
    <cellStyle name="20% - Accent5 5 5 4" xfId="3640" xr:uid="{00000000-0005-0000-0000-000080270000}"/>
    <cellStyle name="20% - Accent5 5 6" xfId="542" xr:uid="{00000000-0005-0000-0000-000081270000}"/>
    <cellStyle name="20% - Accent5 5 6 2" xfId="338" xr:uid="{00000000-0005-0000-0000-000082270000}"/>
    <cellStyle name="20% - Accent5 5 6 2 2" xfId="12450" xr:uid="{00000000-0005-0000-0000-000083270000}"/>
    <cellStyle name="20% - Accent5 5 6 3" xfId="179" xr:uid="{00000000-0005-0000-0000-000084270000}"/>
    <cellStyle name="20% - Accent5 5 7" xfId="3163" xr:uid="{00000000-0005-0000-0000-000085270000}"/>
    <cellStyle name="20% - Accent5 5 7 2" xfId="2209" xr:uid="{00000000-0005-0000-0000-000086270000}"/>
    <cellStyle name="20% - Accent5 5 8" xfId="2533" xr:uid="{00000000-0005-0000-0000-000087270000}"/>
    <cellStyle name="20% - Accent5 6" xfId="12452" xr:uid="{00000000-0005-0000-0000-000088270000}"/>
    <cellStyle name="20% - Accent5 6 2" xfId="12455" xr:uid="{00000000-0005-0000-0000-000089270000}"/>
    <cellStyle name="20% - Accent5 6 2 2" xfId="8063" xr:uid="{00000000-0005-0000-0000-00008A270000}"/>
    <cellStyle name="20% - Accent5 6 2 2 2" xfId="24809" xr:uid="{00000000-0005-0000-0000-00008B270000}"/>
    <cellStyle name="20% - Accent5 6 2 2 2 2" xfId="12461" xr:uid="{00000000-0005-0000-0000-00008C270000}"/>
    <cellStyle name="20% - Accent5 6 2 2 2 2 2" xfId="33301" xr:uid="{00000000-0005-0000-0000-00008D270000}"/>
    <cellStyle name="20% - Accent5 6 2 2 2 2 2 2" xfId="11596" xr:uid="{00000000-0005-0000-0000-00008E270000}"/>
    <cellStyle name="20% - Accent5 6 2 2 2 2 3" xfId="3799" xr:uid="{00000000-0005-0000-0000-00008F270000}"/>
    <cellStyle name="20% - Accent5 6 2 2 2 3" xfId="27276" xr:uid="{00000000-0005-0000-0000-000090270000}"/>
    <cellStyle name="20% - Accent5 6 2 2 2 3 2" xfId="26907" xr:uid="{00000000-0005-0000-0000-000091270000}"/>
    <cellStyle name="20% - Accent5 6 2 2 2 4" xfId="28604" xr:uid="{00000000-0005-0000-0000-000092270000}"/>
    <cellStyle name="20% - Accent5 6 2 2 3" xfId="1317" xr:uid="{00000000-0005-0000-0000-000093270000}"/>
    <cellStyle name="20% - Accent5 6 2 2 3 2" xfId="29556" xr:uid="{00000000-0005-0000-0000-000094270000}"/>
    <cellStyle name="20% - Accent5 6 2 2 3 2 2" xfId="29046" xr:uid="{00000000-0005-0000-0000-000095270000}"/>
    <cellStyle name="20% - Accent5 6 2 2 3 3" xfId="29567" xr:uid="{00000000-0005-0000-0000-000096270000}"/>
    <cellStyle name="20% - Accent5 6 2 2 4" xfId="12462" xr:uid="{00000000-0005-0000-0000-000097270000}"/>
    <cellStyle name="20% - Accent5 6 2 2 4 2" xfId="12463" xr:uid="{00000000-0005-0000-0000-000098270000}"/>
    <cellStyle name="20% - Accent5 6 2 2 5" xfId="12465" xr:uid="{00000000-0005-0000-0000-000099270000}"/>
    <cellStyle name="20% - Accent5 6 2 3" xfId="12469" xr:uid="{00000000-0005-0000-0000-00009A270000}"/>
    <cellStyle name="20% - Accent5 6 2 3 2" xfId="9472" xr:uid="{00000000-0005-0000-0000-00009B270000}"/>
    <cellStyle name="20% - Accent5 6 2 3 2 2" xfId="13737" xr:uid="{00000000-0005-0000-0000-00009C270000}"/>
    <cellStyle name="20% - Accent5 6 2 3 2 2 2" xfId="2447" xr:uid="{00000000-0005-0000-0000-00009D270000}"/>
    <cellStyle name="20% - Accent5 6 2 3 2 3" xfId="2451" xr:uid="{00000000-0005-0000-0000-00009E270000}"/>
    <cellStyle name="20% - Accent5 6 2 3 3" xfId="5527" xr:uid="{00000000-0005-0000-0000-00009F270000}"/>
    <cellStyle name="20% - Accent5 6 2 3 3 2" xfId="2480" xr:uid="{00000000-0005-0000-0000-0000A0270000}"/>
    <cellStyle name="20% - Accent5 6 2 3 4" xfId="3360" xr:uid="{00000000-0005-0000-0000-0000A1270000}"/>
    <cellStyle name="20% - Accent5 6 2 4" xfId="31221" xr:uid="{00000000-0005-0000-0000-0000A2270000}"/>
    <cellStyle name="20% - Accent5 6 2 4 2" xfId="3721" xr:uid="{00000000-0005-0000-0000-0000A3270000}"/>
    <cellStyle name="20% - Accent5 6 2 4 2 2" xfId="4604" xr:uid="{00000000-0005-0000-0000-0000A4270000}"/>
    <cellStyle name="20% - Accent5 6 2 4 3" xfId="2523" xr:uid="{00000000-0005-0000-0000-0000A5270000}"/>
    <cellStyle name="20% - Accent5 6 2 5" xfId="12473" xr:uid="{00000000-0005-0000-0000-0000A6270000}"/>
    <cellStyle name="20% - Accent5 6 2 5 2" xfId="5" xr:uid="{00000000-0005-0000-0000-0000A7270000}"/>
    <cellStyle name="20% - Accent5 6 2 6" xfId="12474" xr:uid="{00000000-0005-0000-0000-0000A8270000}"/>
    <cellStyle name="20% - Accent5 6 3" xfId="33459" xr:uid="{00000000-0005-0000-0000-0000A9270000}"/>
    <cellStyle name="20% - Accent5 6 3 2" xfId="29275" xr:uid="{00000000-0005-0000-0000-0000AA270000}"/>
    <cellStyle name="20% - Accent5 6 3 2 2" xfId="12478" xr:uid="{00000000-0005-0000-0000-0000AB270000}"/>
    <cellStyle name="20% - Accent5 6 3 2 2 2" xfId="32783" xr:uid="{00000000-0005-0000-0000-0000AC270000}"/>
    <cellStyle name="20% - Accent5 6 3 2 2 2 2" xfId="28442" xr:uid="{00000000-0005-0000-0000-0000AD270000}"/>
    <cellStyle name="20% - Accent5 6 3 2 2 3" xfId="26955" xr:uid="{00000000-0005-0000-0000-0000AE270000}"/>
    <cellStyle name="20% - Accent5 6 3 2 3" xfId="16525" xr:uid="{00000000-0005-0000-0000-0000AF270000}"/>
    <cellStyle name="20% - Accent5 6 3 2 3 2" xfId="16526" xr:uid="{00000000-0005-0000-0000-0000B0270000}"/>
    <cellStyle name="20% - Accent5 6 3 2 4" xfId="16528" xr:uid="{00000000-0005-0000-0000-0000B1270000}"/>
    <cellStyle name="20% - Accent5 6 3 3" xfId="11883" xr:uid="{00000000-0005-0000-0000-0000B2270000}"/>
    <cellStyle name="20% - Accent5 6 3 3 2" xfId="3732" xr:uid="{00000000-0005-0000-0000-0000B3270000}"/>
    <cellStyle name="20% - Accent5 6 3 3 2 2" xfId="3247" xr:uid="{00000000-0005-0000-0000-0000B4270000}"/>
    <cellStyle name="20% - Accent5 6 3 3 3" xfId="4240" xr:uid="{00000000-0005-0000-0000-0000B5270000}"/>
    <cellStyle name="20% - Accent5 6 3 4" xfId="19637" xr:uid="{00000000-0005-0000-0000-0000B6270000}"/>
    <cellStyle name="20% - Accent5 6 3 4 2" xfId="2696" xr:uid="{00000000-0005-0000-0000-0000B7270000}"/>
    <cellStyle name="20% - Accent5 6 3 5" xfId="12484" xr:uid="{00000000-0005-0000-0000-0000B8270000}"/>
    <cellStyle name="20% - Accent5 6 4" xfId="11229" xr:uid="{00000000-0005-0000-0000-0000B9270000}"/>
    <cellStyle name="20% - Accent5 6 4 2" xfId="29277" xr:uid="{00000000-0005-0000-0000-0000BA270000}"/>
    <cellStyle name="20% - Accent5 6 4 2 2" xfId="26436" xr:uid="{00000000-0005-0000-0000-0000BB270000}"/>
    <cellStyle name="20% - Accent5 6 4 2 2 2" xfId="28960" xr:uid="{00000000-0005-0000-0000-0000BC270000}"/>
    <cellStyle name="20% - Accent5 6 4 2 3" xfId="16538" xr:uid="{00000000-0005-0000-0000-0000BD270000}"/>
    <cellStyle name="20% - Accent5 6 4 3" xfId="12490" xr:uid="{00000000-0005-0000-0000-0000BE270000}"/>
    <cellStyle name="20% - Accent5 6 4 3 2" xfId="2024" xr:uid="{00000000-0005-0000-0000-0000BF270000}"/>
    <cellStyle name="20% - Accent5 6 4 4" xfId="12492" xr:uid="{00000000-0005-0000-0000-0000C0270000}"/>
    <cellStyle name="20% - Accent5 6 5" xfId="2318" xr:uid="{00000000-0005-0000-0000-0000C1270000}"/>
    <cellStyle name="20% - Accent5 6 5 2" xfId="359" xr:uid="{00000000-0005-0000-0000-0000C2270000}"/>
    <cellStyle name="20% - Accent5 6 5 2 2" xfId="13613" xr:uid="{00000000-0005-0000-0000-0000C3270000}"/>
    <cellStyle name="20% - Accent5 6 5 3" xfId="5939" xr:uid="{00000000-0005-0000-0000-0000C4270000}"/>
    <cellStyle name="20% - Accent5 6 6" xfId="663" xr:uid="{00000000-0005-0000-0000-0000C5270000}"/>
    <cellStyle name="20% - Accent5 6 6 2" xfId="2230" xr:uid="{00000000-0005-0000-0000-0000C6270000}"/>
    <cellStyle name="20% - Accent5 6 7" xfId="2558" xr:uid="{00000000-0005-0000-0000-0000C7270000}"/>
    <cellStyle name="20% - Accent5 7" xfId="4461" xr:uid="{00000000-0005-0000-0000-0000C8270000}"/>
    <cellStyle name="20% - Accent5 7 2" xfId="8082" xr:uid="{00000000-0005-0000-0000-0000C9270000}"/>
    <cellStyle name="20% - Accent5 7 2 2" xfId="10200" xr:uid="{00000000-0005-0000-0000-0000CA270000}"/>
    <cellStyle name="20% - Accent5 7 2 2 2" xfId="18237" xr:uid="{00000000-0005-0000-0000-0000CB270000}"/>
    <cellStyle name="20% - Accent5 7 2 2 2 2" xfId="5575" xr:uid="{00000000-0005-0000-0000-0000CC270000}"/>
    <cellStyle name="20% - Accent5 7 2 2 2 2 2" xfId="12497" xr:uid="{00000000-0005-0000-0000-0000CD270000}"/>
    <cellStyle name="20% - Accent5 7 2 2 2 3" xfId="12417" xr:uid="{00000000-0005-0000-0000-0000CE270000}"/>
    <cellStyle name="20% - Accent5 7 2 2 3" xfId="12500" xr:uid="{00000000-0005-0000-0000-0000CF270000}"/>
    <cellStyle name="20% - Accent5 7 2 2 3 2" xfId="12502" xr:uid="{00000000-0005-0000-0000-0000D0270000}"/>
    <cellStyle name="20% - Accent5 7 2 2 4" xfId="12505" xr:uid="{00000000-0005-0000-0000-0000D1270000}"/>
    <cellStyle name="20% - Accent5 7 2 3" xfId="12507" xr:uid="{00000000-0005-0000-0000-0000D2270000}"/>
    <cellStyle name="20% - Accent5 7 2 3 2" xfId="13438" xr:uid="{00000000-0005-0000-0000-0000D3270000}"/>
    <cellStyle name="20% - Accent5 7 2 3 2 2" xfId="2715" xr:uid="{00000000-0005-0000-0000-0000D4270000}"/>
    <cellStyle name="20% - Accent5 7 2 3 3" xfId="8104" xr:uid="{00000000-0005-0000-0000-0000D5270000}"/>
    <cellStyle name="20% - Accent5 7 2 4" xfId="12509" xr:uid="{00000000-0005-0000-0000-0000D6270000}"/>
    <cellStyle name="20% - Accent5 7 2 4 2" xfId="18398" xr:uid="{00000000-0005-0000-0000-0000D7270000}"/>
    <cellStyle name="20% - Accent5 7 2 5" xfId="12514" xr:uid="{00000000-0005-0000-0000-0000D8270000}"/>
    <cellStyle name="20% - Accent5 7 3" xfId="23493" xr:uid="{00000000-0005-0000-0000-0000D9270000}"/>
    <cellStyle name="20% - Accent5 7 3 2" xfId="4077" xr:uid="{00000000-0005-0000-0000-0000DA270000}"/>
    <cellStyle name="20% - Accent5 7 3 2 2" xfId="20084" xr:uid="{00000000-0005-0000-0000-0000DB270000}"/>
    <cellStyle name="20% - Accent5 7 3 2 2 2" xfId="9453" xr:uid="{00000000-0005-0000-0000-0000DC270000}"/>
    <cellStyle name="20% - Accent5 7 3 2 3" xfId="16568" xr:uid="{00000000-0005-0000-0000-0000DD270000}"/>
    <cellStyle name="20% - Accent5 7 3 3" xfId="566" xr:uid="{00000000-0005-0000-0000-0000DE270000}"/>
    <cellStyle name="20% - Accent5 7 3 3 2" xfId="20268" xr:uid="{00000000-0005-0000-0000-0000DF270000}"/>
    <cellStyle name="20% - Accent5 7 3 4" xfId="12519" xr:uid="{00000000-0005-0000-0000-0000E0270000}"/>
    <cellStyle name="20% - Accent5 7 4" xfId="12520" xr:uid="{00000000-0005-0000-0000-0000E1270000}"/>
    <cellStyle name="20% - Accent5 7 4 2" xfId="760" xr:uid="{00000000-0005-0000-0000-0000E2270000}"/>
    <cellStyle name="20% - Accent5 7 4 2 2" xfId="22854" xr:uid="{00000000-0005-0000-0000-0000E3270000}"/>
    <cellStyle name="20% - Accent5 7 4 3" xfId="12523" xr:uid="{00000000-0005-0000-0000-0000E4270000}"/>
    <cellStyle name="20% - Accent5 7 5" xfId="8428" xr:uid="{00000000-0005-0000-0000-0000E5270000}"/>
    <cellStyle name="20% - Accent5 7 5 2" xfId="28075" xr:uid="{00000000-0005-0000-0000-0000E6270000}"/>
    <cellStyle name="20% - Accent5 7 6" xfId="688" xr:uid="{00000000-0005-0000-0000-0000E7270000}"/>
    <cellStyle name="20% - Accent5 8" xfId="12529" xr:uid="{00000000-0005-0000-0000-0000E8270000}"/>
    <cellStyle name="20% - Accent5 8 2" xfId="12533" xr:uid="{00000000-0005-0000-0000-0000E9270000}"/>
    <cellStyle name="20% - Accent5 8 2 2" xfId="12535" xr:uid="{00000000-0005-0000-0000-0000EA270000}"/>
    <cellStyle name="20% - Accent5 8 2 2 2" xfId="12537" xr:uid="{00000000-0005-0000-0000-0000EB270000}"/>
    <cellStyle name="20% - Accent5 8 2 2 2 2" xfId="23256" xr:uid="{00000000-0005-0000-0000-0000EC270000}"/>
    <cellStyle name="20% - Accent5 8 2 2 3" xfId="12538" xr:uid="{00000000-0005-0000-0000-0000ED270000}"/>
    <cellStyle name="20% - Accent5 8 2 3" xfId="12540" xr:uid="{00000000-0005-0000-0000-0000EE270000}"/>
    <cellStyle name="20% - Accent5 8 2 3 2" xfId="2829" xr:uid="{00000000-0005-0000-0000-0000EF270000}"/>
    <cellStyle name="20% - Accent5 8 2 4" xfId="6845" xr:uid="{00000000-0005-0000-0000-0000F0270000}"/>
    <cellStyle name="20% - Accent5 8 3" xfId="29311" xr:uid="{00000000-0005-0000-0000-0000F1270000}"/>
    <cellStyle name="20% - Accent5 8 3 2" xfId="506" xr:uid="{00000000-0005-0000-0000-0000F2270000}"/>
    <cellStyle name="20% - Accent5 8 3 2 2" xfId="11922" xr:uid="{00000000-0005-0000-0000-0000F3270000}"/>
    <cellStyle name="20% - Accent5 8 3 3" xfId="12542" xr:uid="{00000000-0005-0000-0000-0000F4270000}"/>
    <cellStyle name="20% - Accent5 8 4" xfId="7578" xr:uid="{00000000-0005-0000-0000-0000F5270000}"/>
    <cellStyle name="20% - Accent5 8 4 2" xfId="30968" xr:uid="{00000000-0005-0000-0000-0000F6270000}"/>
    <cellStyle name="20% - Accent5 8 5" xfId="5583" xr:uid="{00000000-0005-0000-0000-0000F7270000}"/>
    <cellStyle name="20% - Accent5 9" xfId="12548" xr:uid="{00000000-0005-0000-0000-0000F8270000}"/>
    <cellStyle name="20% - Accent5 9 2" xfId="31698" xr:uid="{00000000-0005-0000-0000-0000F9270000}"/>
    <cellStyle name="20% - Accent5 9 2 2" xfId="27042" xr:uid="{00000000-0005-0000-0000-0000FA270000}"/>
    <cellStyle name="20% - Accent5 9 2 2 2" xfId="12551" xr:uid="{00000000-0005-0000-0000-0000FB270000}"/>
    <cellStyle name="20% - Accent5 9 2 3" xfId="896" xr:uid="{00000000-0005-0000-0000-0000FC270000}"/>
    <cellStyle name="20% - Accent5 9 3" xfId="15072" xr:uid="{00000000-0005-0000-0000-0000FD270000}"/>
    <cellStyle name="20% - Accent5 9 3 2" xfId="29321" xr:uid="{00000000-0005-0000-0000-0000FE270000}"/>
    <cellStyle name="20% - Accent5 9 4" xfId="29327" xr:uid="{00000000-0005-0000-0000-0000FF270000}"/>
    <cellStyle name="20% - Accent6 10" xfId="263" xr:uid="{00000000-0005-0000-0000-000000280000}"/>
    <cellStyle name="20% - Accent6 10 2" xfId="12552" xr:uid="{00000000-0005-0000-0000-000001280000}"/>
    <cellStyle name="20% - Accent6 10 2 2" xfId="3326" xr:uid="{00000000-0005-0000-0000-000002280000}"/>
    <cellStyle name="20% - Accent6 10 3" xfId="27012" xr:uid="{00000000-0005-0000-0000-000003280000}"/>
    <cellStyle name="20% - Accent6 11" xfId="11353" xr:uid="{00000000-0005-0000-0000-000004280000}"/>
    <cellStyle name="20% - Accent6 11 2" xfId="29" xr:uid="{00000000-0005-0000-0000-000005280000}"/>
    <cellStyle name="20% - Accent6 12" xfId="28245" xr:uid="{00000000-0005-0000-0000-000006280000}"/>
    <cellStyle name="20% - Accent6 13" xfId="30588" xr:uid="{00000000-0005-0000-0000-000007280000}"/>
    <cellStyle name="20% - Accent6 2" xfId="12284" xr:uid="{00000000-0005-0000-0000-000008280000}"/>
    <cellStyle name="20% - Accent6 2 10" xfId="27436" xr:uid="{00000000-0005-0000-0000-000009280000}"/>
    <cellStyle name="20% - Accent6 2 10 2" xfId="31704" xr:uid="{00000000-0005-0000-0000-00000A280000}"/>
    <cellStyle name="20% - Accent6 2 11" xfId="31718" xr:uid="{00000000-0005-0000-0000-00000B280000}"/>
    <cellStyle name="20% - Accent6 2 2" xfId="12922" xr:uid="{00000000-0005-0000-0000-00000C280000}"/>
    <cellStyle name="20% - Accent6 2 2 10" xfId="6749" xr:uid="{00000000-0005-0000-0000-00000D280000}"/>
    <cellStyle name="20% - Accent6 2 2 2" xfId="12563" xr:uid="{00000000-0005-0000-0000-00000E280000}"/>
    <cellStyle name="20% - Accent6 2 2 2 2" xfId="28966" xr:uid="{00000000-0005-0000-0000-00000F280000}"/>
    <cellStyle name="20% - Accent6 2 2 2 2 2" xfId="31480" xr:uid="{00000000-0005-0000-0000-000010280000}"/>
    <cellStyle name="20% - Accent6 2 2 2 2 2 2" xfId="7376" xr:uid="{00000000-0005-0000-0000-000011280000}"/>
    <cellStyle name="20% - Accent6 2 2 2 2 2 2 2" xfId="8691" xr:uid="{00000000-0005-0000-0000-000012280000}"/>
    <cellStyle name="20% - Accent6 2 2 2 2 2 2 2 2" xfId="12568" xr:uid="{00000000-0005-0000-0000-000013280000}"/>
    <cellStyle name="20% - Accent6 2 2 2 2 2 2 2 2 2" xfId="23283" xr:uid="{00000000-0005-0000-0000-000014280000}"/>
    <cellStyle name="20% - Accent6 2 2 2 2 2 2 2 2 2 2" xfId="19314" xr:uid="{00000000-0005-0000-0000-000015280000}"/>
    <cellStyle name="20% - Accent6 2 2 2 2 2 2 2 2 2 2 2" xfId="24714" xr:uid="{00000000-0005-0000-0000-000016280000}"/>
    <cellStyle name="20% - Accent6 2 2 2 2 2 2 2 2 2 3" xfId="12569" xr:uid="{00000000-0005-0000-0000-000017280000}"/>
    <cellStyle name="20% - Accent6 2 2 2 2 2 2 2 2 3" xfId="22218" xr:uid="{00000000-0005-0000-0000-000018280000}"/>
    <cellStyle name="20% - Accent6 2 2 2 2 2 2 2 2 3 2" xfId="12571" xr:uid="{00000000-0005-0000-0000-000019280000}"/>
    <cellStyle name="20% - Accent6 2 2 2 2 2 2 2 2 4" xfId="15411" xr:uid="{00000000-0005-0000-0000-00001A280000}"/>
    <cellStyle name="20% - Accent6 2 2 2 2 2 2 2 3" xfId="15268" xr:uid="{00000000-0005-0000-0000-00001B280000}"/>
    <cellStyle name="20% - Accent6 2 2 2 2 2 2 2 3 2" xfId="14638" xr:uid="{00000000-0005-0000-0000-00001C280000}"/>
    <cellStyle name="20% - Accent6 2 2 2 2 2 2 2 3 2 2" xfId="12197" xr:uid="{00000000-0005-0000-0000-00001D280000}"/>
    <cellStyle name="20% - Accent6 2 2 2 2 2 2 2 3 3" xfId="19687" xr:uid="{00000000-0005-0000-0000-00001E280000}"/>
    <cellStyle name="20% - Accent6 2 2 2 2 2 2 2 4" xfId="12575" xr:uid="{00000000-0005-0000-0000-00001F280000}"/>
    <cellStyle name="20% - Accent6 2 2 2 2 2 2 2 4 2" xfId="3912" xr:uid="{00000000-0005-0000-0000-000020280000}"/>
    <cellStyle name="20% - Accent6 2 2 2 2 2 2 2 5" xfId="12583" xr:uid="{00000000-0005-0000-0000-000021280000}"/>
    <cellStyle name="20% - Accent6 2 2 2 2 2 2 3" xfId="8702" xr:uid="{00000000-0005-0000-0000-000022280000}"/>
    <cellStyle name="20% - Accent6 2 2 2 2 2 2 3 2" xfId="12594" xr:uid="{00000000-0005-0000-0000-000023280000}"/>
    <cellStyle name="20% - Accent6 2 2 2 2 2 2 3 2 2" xfId="14706" xr:uid="{00000000-0005-0000-0000-000024280000}"/>
    <cellStyle name="20% - Accent6 2 2 2 2 2 2 3 2 2 2" xfId="12598" xr:uid="{00000000-0005-0000-0000-000025280000}"/>
    <cellStyle name="20% - Accent6 2 2 2 2 2 2 3 2 3" xfId="9608" xr:uid="{00000000-0005-0000-0000-000026280000}"/>
    <cellStyle name="20% - Accent6 2 2 2 2 2 2 3 3" xfId="12604" xr:uid="{00000000-0005-0000-0000-000027280000}"/>
    <cellStyle name="20% - Accent6 2 2 2 2 2 2 3 3 2" xfId="32743" xr:uid="{00000000-0005-0000-0000-000028280000}"/>
    <cellStyle name="20% - Accent6 2 2 2 2 2 2 3 4" xfId="12608" xr:uid="{00000000-0005-0000-0000-000029280000}"/>
    <cellStyle name="20% - Accent6 2 2 2 2 2 2 4" xfId="11279" xr:uid="{00000000-0005-0000-0000-00002A280000}"/>
    <cellStyle name="20% - Accent6 2 2 2 2 2 2 4 2" xfId="6313" xr:uid="{00000000-0005-0000-0000-00002B280000}"/>
    <cellStyle name="20% - Accent6 2 2 2 2 2 2 4 2 2" xfId="6803" xr:uid="{00000000-0005-0000-0000-00002C280000}"/>
    <cellStyle name="20% - Accent6 2 2 2 2 2 2 4 3" xfId="6318" xr:uid="{00000000-0005-0000-0000-00002D280000}"/>
    <cellStyle name="20% - Accent6 2 2 2 2 2 2 5" xfId="26589" xr:uid="{00000000-0005-0000-0000-00002E280000}"/>
    <cellStyle name="20% - Accent6 2 2 2 2 2 2 5 2" xfId="11660" xr:uid="{00000000-0005-0000-0000-00002F280000}"/>
    <cellStyle name="20% - Accent6 2 2 2 2 2 2 6" xfId="12619" xr:uid="{00000000-0005-0000-0000-000030280000}"/>
    <cellStyle name="20% - Accent6 2 2 2 2 2 3" xfId="12620" xr:uid="{00000000-0005-0000-0000-000031280000}"/>
    <cellStyle name="20% - Accent6 2 2 2 2 2 3 2" xfId="8706" xr:uid="{00000000-0005-0000-0000-000032280000}"/>
    <cellStyle name="20% - Accent6 2 2 2 2 2 3 2 2" xfId="852" xr:uid="{00000000-0005-0000-0000-000033280000}"/>
    <cellStyle name="20% - Accent6 2 2 2 2 2 3 2 2 2" xfId="14984" xr:uid="{00000000-0005-0000-0000-000034280000}"/>
    <cellStyle name="20% - Accent6 2 2 2 2 2 3 2 2 2 2" xfId="12623" xr:uid="{00000000-0005-0000-0000-000035280000}"/>
    <cellStyle name="20% - Accent6 2 2 2 2 2 3 2 2 3" xfId="15438" xr:uid="{00000000-0005-0000-0000-000036280000}"/>
    <cellStyle name="20% - Accent6 2 2 2 2 2 3 2 3" xfId="6041" xr:uid="{00000000-0005-0000-0000-000037280000}"/>
    <cellStyle name="20% - Accent6 2 2 2 2 2 3 2 3 2" xfId="18753" xr:uid="{00000000-0005-0000-0000-000038280000}"/>
    <cellStyle name="20% - Accent6 2 2 2 2 2 3 2 4" xfId="7453" xr:uid="{00000000-0005-0000-0000-000039280000}"/>
    <cellStyle name="20% - Accent6 2 2 2 2 2 3 3" xfId="30174" xr:uid="{00000000-0005-0000-0000-00003A280000}"/>
    <cellStyle name="20% - Accent6 2 2 2 2 2 3 3 2" xfId="8389" xr:uid="{00000000-0005-0000-0000-00003B280000}"/>
    <cellStyle name="20% - Accent6 2 2 2 2 2 3 3 2 2" xfId="11080" xr:uid="{00000000-0005-0000-0000-00003C280000}"/>
    <cellStyle name="20% - Accent6 2 2 2 2 2 3 3 3" xfId="1073" xr:uid="{00000000-0005-0000-0000-00003D280000}"/>
    <cellStyle name="20% - Accent6 2 2 2 2 2 3 4" xfId="30327" xr:uid="{00000000-0005-0000-0000-00003E280000}"/>
    <cellStyle name="20% - Accent6 2 2 2 2 2 3 4 2" xfId="6391" xr:uid="{00000000-0005-0000-0000-00003F280000}"/>
    <cellStyle name="20% - Accent6 2 2 2 2 2 3 5" xfId="28296" xr:uid="{00000000-0005-0000-0000-000040280000}"/>
    <cellStyle name="20% - Accent6 2 2 2 2 2 4" xfId="11682" xr:uid="{00000000-0005-0000-0000-000041280000}"/>
    <cellStyle name="20% - Accent6 2 2 2 2 2 4 2" xfId="9893" xr:uid="{00000000-0005-0000-0000-000042280000}"/>
    <cellStyle name="20% - Accent6 2 2 2 2 2 4 2 2" xfId="28168" xr:uid="{00000000-0005-0000-0000-000043280000}"/>
    <cellStyle name="20% - Accent6 2 2 2 2 2 4 2 2 2" xfId="11090" xr:uid="{00000000-0005-0000-0000-000044280000}"/>
    <cellStyle name="20% - Accent6 2 2 2 2 2 4 2 3" xfId="9881" xr:uid="{00000000-0005-0000-0000-000045280000}"/>
    <cellStyle name="20% - Accent6 2 2 2 2 2 4 3" xfId="29313" xr:uid="{00000000-0005-0000-0000-000046280000}"/>
    <cellStyle name="20% - Accent6 2 2 2 2 2 4 3 2" xfId="7788" xr:uid="{00000000-0005-0000-0000-000047280000}"/>
    <cellStyle name="20% - Accent6 2 2 2 2 2 4 4" xfId="21033" xr:uid="{00000000-0005-0000-0000-000048280000}"/>
    <cellStyle name="20% - Accent6 2 2 2 2 2 5" xfId="12626" xr:uid="{00000000-0005-0000-0000-000049280000}"/>
    <cellStyle name="20% - Accent6 2 2 2 2 2 5 2" xfId="30393" xr:uid="{00000000-0005-0000-0000-00004A280000}"/>
    <cellStyle name="20% - Accent6 2 2 2 2 2 5 2 2" xfId="4684" xr:uid="{00000000-0005-0000-0000-00004B280000}"/>
    <cellStyle name="20% - Accent6 2 2 2 2 2 5 3" xfId="30399" xr:uid="{00000000-0005-0000-0000-00004C280000}"/>
    <cellStyle name="20% - Accent6 2 2 2 2 2 6" xfId="12627" xr:uid="{00000000-0005-0000-0000-00004D280000}"/>
    <cellStyle name="20% - Accent6 2 2 2 2 2 6 2" xfId="29674" xr:uid="{00000000-0005-0000-0000-00004E280000}"/>
    <cellStyle name="20% - Accent6 2 2 2 2 2 7" xfId="19455" xr:uid="{00000000-0005-0000-0000-00004F280000}"/>
    <cellStyle name="20% - Accent6 2 2 2 2 3" xfId="30728" xr:uid="{00000000-0005-0000-0000-000050280000}"/>
    <cellStyle name="20% - Accent6 2 2 2 2 3 2" xfId="12629" xr:uid="{00000000-0005-0000-0000-000051280000}"/>
    <cellStyle name="20% - Accent6 2 2 2 2 3 2 2" xfId="7648" xr:uid="{00000000-0005-0000-0000-000052280000}"/>
    <cellStyle name="20% - Accent6 2 2 2 2 3 2 2 2" xfId="27122" xr:uid="{00000000-0005-0000-0000-000053280000}"/>
    <cellStyle name="20% - Accent6 2 2 2 2 3 2 2 2 2" xfId="24791" xr:uid="{00000000-0005-0000-0000-000054280000}"/>
    <cellStyle name="20% - Accent6 2 2 2 2 3 2 2 2 2 2" xfId="14185" xr:uid="{00000000-0005-0000-0000-000055280000}"/>
    <cellStyle name="20% - Accent6 2 2 2 2 3 2 2 2 3" xfId="9768" xr:uid="{00000000-0005-0000-0000-000056280000}"/>
    <cellStyle name="20% - Accent6 2 2 2 2 3 2 2 3" xfId="19990" xr:uid="{00000000-0005-0000-0000-000057280000}"/>
    <cellStyle name="20% - Accent6 2 2 2 2 3 2 2 3 2" xfId="11124" xr:uid="{00000000-0005-0000-0000-000058280000}"/>
    <cellStyle name="20% - Accent6 2 2 2 2 3 2 2 4" xfId="20007" xr:uid="{00000000-0005-0000-0000-000059280000}"/>
    <cellStyle name="20% - Accent6 2 2 2 2 3 2 3" xfId="7650" xr:uid="{00000000-0005-0000-0000-00005A280000}"/>
    <cellStyle name="20% - Accent6 2 2 2 2 3 2 3 2" xfId="12641" xr:uid="{00000000-0005-0000-0000-00005B280000}"/>
    <cellStyle name="20% - Accent6 2 2 2 2 3 2 3 2 2" xfId="2878" xr:uid="{00000000-0005-0000-0000-00005C280000}"/>
    <cellStyle name="20% - Accent6 2 2 2 2 3 2 3 3" xfId="12647" xr:uid="{00000000-0005-0000-0000-00005D280000}"/>
    <cellStyle name="20% - Accent6 2 2 2 2 3 2 4" xfId="12654" xr:uid="{00000000-0005-0000-0000-00005E280000}"/>
    <cellStyle name="20% - Accent6 2 2 2 2 3 2 4 2" xfId="6489" xr:uid="{00000000-0005-0000-0000-00005F280000}"/>
    <cellStyle name="20% - Accent6 2 2 2 2 3 2 5" xfId="12655" xr:uid="{00000000-0005-0000-0000-000060280000}"/>
    <cellStyle name="20% - Accent6 2 2 2 2 3 3" xfId="3885" xr:uid="{00000000-0005-0000-0000-000061280000}"/>
    <cellStyle name="20% - Accent6 2 2 2 2 3 3 2" xfId="7661" xr:uid="{00000000-0005-0000-0000-000062280000}"/>
    <cellStyle name="20% - Accent6 2 2 2 2 3 3 2 2" xfId="24503" xr:uid="{00000000-0005-0000-0000-000063280000}"/>
    <cellStyle name="20% - Accent6 2 2 2 2 3 3 2 2 2" xfId="11135" xr:uid="{00000000-0005-0000-0000-000064280000}"/>
    <cellStyle name="20% - Accent6 2 2 2 2 3 3 2 3" xfId="20029" xr:uid="{00000000-0005-0000-0000-000065280000}"/>
    <cellStyle name="20% - Accent6 2 2 2 2 3 3 3" xfId="12656" xr:uid="{00000000-0005-0000-0000-000066280000}"/>
    <cellStyle name="20% - Accent6 2 2 2 2 3 3 3 2" xfId="7856" xr:uid="{00000000-0005-0000-0000-000067280000}"/>
    <cellStyle name="20% - Accent6 2 2 2 2 3 3 4" xfId="12657" xr:uid="{00000000-0005-0000-0000-000068280000}"/>
    <cellStyle name="20% - Accent6 2 2 2 2 3 4" xfId="12658" xr:uid="{00000000-0005-0000-0000-000069280000}"/>
    <cellStyle name="20% - Accent6 2 2 2 2 3 4 2" xfId="12660" xr:uid="{00000000-0005-0000-0000-00006A280000}"/>
    <cellStyle name="20% - Accent6 2 2 2 2 3 4 2 2" xfId="16734" xr:uid="{00000000-0005-0000-0000-00006B280000}"/>
    <cellStyle name="20% - Accent6 2 2 2 2 3 4 3" xfId="12662" xr:uid="{00000000-0005-0000-0000-00006C280000}"/>
    <cellStyle name="20% - Accent6 2 2 2 2 3 5" xfId="31830" xr:uid="{00000000-0005-0000-0000-00006D280000}"/>
    <cellStyle name="20% - Accent6 2 2 2 2 3 5 2" xfId="12665" xr:uid="{00000000-0005-0000-0000-00006E280000}"/>
    <cellStyle name="20% - Accent6 2 2 2 2 3 6" xfId="11010" xr:uid="{00000000-0005-0000-0000-00006F280000}"/>
    <cellStyle name="20% - Accent6 2 2 2 2 4" xfId="12666" xr:uid="{00000000-0005-0000-0000-000070280000}"/>
    <cellStyle name="20% - Accent6 2 2 2 2 4 2" xfId="12667" xr:uid="{00000000-0005-0000-0000-000071280000}"/>
    <cellStyle name="20% - Accent6 2 2 2 2 4 2 2" xfId="7685" xr:uid="{00000000-0005-0000-0000-000072280000}"/>
    <cellStyle name="20% - Accent6 2 2 2 2 4 2 2 2" xfId="20060" xr:uid="{00000000-0005-0000-0000-000073280000}"/>
    <cellStyle name="20% - Accent6 2 2 2 2 4 2 2 2 2" xfId="11156" xr:uid="{00000000-0005-0000-0000-000074280000}"/>
    <cellStyle name="20% - Accent6 2 2 2 2 4 2 2 3" xfId="20065" xr:uid="{00000000-0005-0000-0000-000075280000}"/>
    <cellStyle name="20% - Accent6 2 2 2 2 4 2 3" xfId="12671" xr:uid="{00000000-0005-0000-0000-000076280000}"/>
    <cellStyle name="20% - Accent6 2 2 2 2 4 2 3 2" xfId="12675" xr:uid="{00000000-0005-0000-0000-000077280000}"/>
    <cellStyle name="20% - Accent6 2 2 2 2 4 2 4" xfId="5756" xr:uid="{00000000-0005-0000-0000-000078280000}"/>
    <cellStyle name="20% - Accent6 2 2 2 2 4 3" xfId="12680" xr:uid="{00000000-0005-0000-0000-000079280000}"/>
    <cellStyle name="20% - Accent6 2 2 2 2 4 3 2" xfId="12685" xr:uid="{00000000-0005-0000-0000-00007A280000}"/>
    <cellStyle name="20% - Accent6 2 2 2 2 4 3 2 2" xfId="19767" xr:uid="{00000000-0005-0000-0000-00007B280000}"/>
    <cellStyle name="20% - Accent6 2 2 2 2 4 3 3" xfId="14120" xr:uid="{00000000-0005-0000-0000-00007C280000}"/>
    <cellStyle name="20% - Accent6 2 2 2 2 4 4" xfId="10978" xr:uid="{00000000-0005-0000-0000-00007D280000}"/>
    <cellStyle name="20% - Accent6 2 2 2 2 4 4 2" xfId="22862" xr:uid="{00000000-0005-0000-0000-00007E280000}"/>
    <cellStyle name="20% - Accent6 2 2 2 2 4 5" xfId="11020" xr:uid="{00000000-0005-0000-0000-00007F280000}"/>
    <cellStyle name="20% - Accent6 2 2 2 2 5" xfId="10831" xr:uid="{00000000-0005-0000-0000-000080280000}"/>
    <cellStyle name="20% - Accent6 2 2 2 2 5 2" xfId="10835" xr:uid="{00000000-0005-0000-0000-000081280000}"/>
    <cellStyle name="20% - Accent6 2 2 2 2 5 2 2" xfId="26887" xr:uid="{00000000-0005-0000-0000-000082280000}"/>
    <cellStyle name="20% - Accent6 2 2 2 2 5 2 2 2" xfId="20071" xr:uid="{00000000-0005-0000-0000-000083280000}"/>
    <cellStyle name="20% - Accent6 2 2 2 2 5 2 3" xfId="29783" xr:uid="{00000000-0005-0000-0000-000084280000}"/>
    <cellStyle name="20% - Accent6 2 2 2 2 5 3" xfId="10843" xr:uid="{00000000-0005-0000-0000-000085280000}"/>
    <cellStyle name="20% - Accent6 2 2 2 2 5 3 2" xfId="12687" xr:uid="{00000000-0005-0000-0000-000086280000}"/>
    <cellStyle name="20% - Accent6 2 2 2 2 5 4" xfId="1301" xr:uid="{00000000-0005-0000-0000-000087280000}"/>
    <cellStyle name="20% - Accent6 2 2 2 2 6" xfId="10848" xr:uid="{00000000-0005-0000-0000-000088280000}"/>
    <cellStyle name="20% - Accent6 2 2 2 2 6 2" xfId="10851" xr:uid="{00000000-0005-0000-0000-000089280000}"/>
    <cellStyle name="20% - Accent6 2 2 2 2 6 2 2" xfId="28886" xr:uid="{00000000-0005-0000-0000-00008A280000}"/>
    <cellStyle name="20% - Accent6 2 2 2 2 6 3" xfId="18694" xr:uid="{00000000-0005-0000-0000-00008B280000}"/>
    <cellStyle name="20% - Accent6 2 2 2 2 7" xfId="10855" xr:uid="{00000000-0005-0000-0000-00008C280000}"/>
    <cellStyle name="20% - Accent6 2 2 2 2 7 2" xfId="20469" xr:uid="{00000000-0005-0000-0000-00008D280000}"/>
    <cellStyle name="20% - Accent6 2 2 2 2 8" xfId="12693" xr:uid="{00000000-0005-0000-0000-00008E280000}"/>
    <cellStyle name="20% - Accent6 2 2 2 3" xfId="2445" xr:uid="{00000000-0005-0000-0000-00008F280000}"/>
    <cellStyle name="20% - Accent6 2 2 2 3 2" xfId="2694" xr:uid="{00000000-0005-0000-0000-000090280000}"/>
    <cellStyle name="20% - Accent6 2 2 2 3 2 2" xfId="3898" xr:uid="{00000000-0005-0000-0000-000091280000}"/>
    <cellStyle name="20% - Accent6 2 2 2 3 2 2 2" xfId="31861" xr:uid="{00000000-0005-0000-0000-000092280000}"/>
    <cellStyle name="20% - Accent6 2 2 2 3 2 2 2 2" xfId="12695" xr:uid="{00000000-0005-0000-0000-000093280000}"/>
    <cellStyle name="20% - Accent6 2 2 2 3 2 2 2 2 2" xfId="14251" xr:uid="{00000000-0005-0000-0000-000094280000}"/>
    <cellStyle name="20% - Accent6 2 2 2 3 2 2 2 2 2 2" xfId="28674" xr:uid="{00000000-0005-0000-0000-000095280000}"/>
    <cellStyle name="20% - Accent6 2 2 2 3 2 2 2 2 3" xfId="32253" xr:uid="{00000000-0005-0000-0000-000096280000}"/>
    <cellStyle name="20% - Accent6 2 2 2 3 2 2 2 3" xfId="12699" xr:uid="{00000000-0005-0000-0000-000097280000}"/>
    <cellStyle name="20% - Accent6 2 2 2 3 2 2 2 3 2" xfId="11253" xr:uid="{00000000-0005-0000-0000-000098280000}"/>
    <cellStyle name="20% - Accent6 2 2 2 3 2 2 2 4" xfId="12701" xr:uid="{00000000-0005-0000-0000-000099280000}"/>
    <cellStyle name="20% - Accent6 2 2 2 3 2 2 3" xfId="8901" xr:uid="{00000000-0005-0000-0000-00009A280000}"/>
    <cellStyle name="20% - Accent6 2 2 2 3 2 2 3 2" xfId="27721" xr:uid="{00000000-0005-0000-0000-00009B280000}"/>
    <cellStyle name="20% - Accent6 2 2 2 3 2 2 3 2 2" xfId="11263" xr:uid="{00000000-0005-0000-0000-00009C280000}"/>
    <cellStyle name="20% - Accent6 2 2 2 3 2 2 3 3" xfId="12707" xr:uid="{00000000-0005-0000-0000-00009D280000}"/>
    <cellStyle name="20% - Accent6 2 2 2 3 2 2 4" xfId="12709" xr:uid="{00000000-0005-0000-0000-00009E280000}"/>
    <cellStyle name="20% - Accent6 2 2 2 3 2 2 4 2" xfId="8799" xr:uid="{00000000-0005-0000-0000-00009F280000}"/>
    <cellStyle name="20% - Accent6 2 2 2 3 2 2 5" xfId="12718" xr:uid="{00000000-0005-0000-0000-0000A0280000}"/>
    <cellStyle name="20% - Accent6 2 2 2 3 2 3" xfId="17324" xr:uid="{00000000-0005-0000-0000-0000A1280000}"/>
    <cellStyle name="20% - Accent6 2 2 2 3 2 3 2" xfId="5795" xr:uid="{00000000-0005-0000-0000-0000A2280000}"/>
    <cellStyle name="20% - Accent6 2 2 2 3 2 3 2 2" xfId="9417" xr:uid="{00000000-0005-0000-0000-0000A3280000}"/>
    <cellStyle name="20% - Accent6 2 2 2 3 2 3 2 2 2" xfId="8477" xr:uid="{00000000-0005-0000-0000-0000A4280000}"/>
    <cellStyle name="20% - Accent6 2 2 2 3 2 3 2 3" xfId="4015" xr:uid="{00000000-0005-0000-0000-0000A5280000}"/>
    <cellStyle name="20% - Accent6 2 2 2 3 2 3 3" xfId="12723" xr:uid="{00000000-0005-0000-0000-0000A6280000}"/>
    <cellStyle name="20% - Accent6 2 2 2 3 2 3 3 2" xfId="10285" xr:uid="{00000000-0005-0000-0000-0000A7280000}"/>
    <cellStyle name="20% - Accent6 2 2 2 3 2 3 4" xfId="14759" xr:uid="{00000000-0005-0000-0000-0000A8280000}"/>
    <cellStyle name="20% - Accent6 2 2 2 3 2 4" xfId="12728" xr:uid="{00000000-0005-0000-0000-0000A9280000}"/>
    <cellStyle name="20% - Accent6 2 2 2 3 2 4 2" xfId="12738" xr:uid="{00000000-0005-0000-0000-0000AA280000}"/>
    <cellStyle name="20% - Accent6 2 2 2 3 2 4 2 2" xfId="4055" xr:uid="{00000000-0005-0000-0000-0000AB280000}"/>
    <cellStyle name="20% - Accent6 2 2 2 3 2 4 3" xfId="12743" xr:uid="{00000000-0005-0000-0000-0000AC280000}"/>
    <cellStyle name="20% - Accent6 2 2 2 3 2 5" xfId="12748" xr:uid="{00000000-0005-0000-0000-0000AD280000}"/>
    <cellStyle name="20% - Accent6 2 2 2 3 2 5 2" xfId="31046" xr:uid="{00000000-0005-0000-0000-0000AE280000}"/>
    <cellStyle name="20% - Accent6 2 2 2 3 2 6" xfId="12753" xr:uid="{00000000-0005-0000-0000-0000AF280000}"/>
    <cellStyle name="20% - Accent6 2 2 2 3 3" xfId="2456" xr:uid="{00000000-0005-0000-0000-0000B0280000}"/>
    <cellStyle name="20% - Accent6 2 2 2 3 3 2" xfId="1635" xr:uid="{00000000-0005-0000-0000-0000B1280000}"/>
    <cellStyle name="20% - Accent6 2 2 2 3 3 2 2" xfId="7737" xr:uid="{00000000-0005-0000-0000-0000B2280000}"/>
    <cellStyle name="20% - Accent6 2 2 2 3 3 2 2 2" xfId="20966" xr:uid="{00000000-0005-0000-0000-0000B3280000}"/>
    <cellStyle name="20% - Accent6 2 2 2 3 3 2 2 2 2" xfId="10751" xr:uid="{00000000-0005-0000-0000-0000B4280000}"/>
    <cellStyle name="20% - Accent6 2 2 2 3 3 2 2 3" xfId="20226" xr:uid="{00000000-0005-0000-0000-0000B5280000}"/>
    <cellStyle name="20% - Accent6 2 2 2 3 3 2 3" xfId="13223" xr:uid="{00000000-0005-0000-0000-0000B6280000}"/>
    <cellStyle name="20% - Accent6 2 2 2 3 3 2 3 2" xfId="12758" xr:uid="{00000000-0005-0000-0000-0000B7280000}"/>
    <cellStyle name="20% - Accent6 2 2 2 3 3 2 4" xfId="16604" xr:uid="{00000000-0005-0000-0000-0000B8280000}"/>
    <cellStyle name="20% - Accent6 2 2 2 3 3 3" xfId="12764" xr:uid="{00000000-0005-0000-0000-0000B9280000}"/>
    <cellStyle name="20% - Accent6 2 2 2 3 3 3 2" xfId="16641" xr:uid="{00000000-0005-0000-0000-0000BA280000}"/>
    <cellStyle name="20% - Accent6 2 2 2 3 3 3 2 2" xfId="20236" xr:uid="{00000000-0005-0000-0000-0000BB280000}"/>
    <cellStyle name="20% - Accent6 2 2 2 3 3 3 3" xfId="12771" xr:uid="{00000000-0005-0000-0000-0000BC280000}"/>
    <cellStyle name="20% - Accent6 2 2 2 3 3 4" xfId="12774" xr:uid="{00000000-0005-0000-0000-0000BD280000}"/>
    <cellStyle name="20% - Accent6 2 2 2 3 3 4 2" xfId="12782" xr:uid="{00000000-0005-0000-0000-0000BE280000}"/>
    <cellStyle name="20% - Accent6 2 2 2 3 3 5" xfId="11029" xr:uid="{00000000-0005-0000-0000-0000BF280000}"/>
    <cellStyle name="20% - Accent6 2 2 2 3 4" xfId="2629" xr:uid="{00000000-0005-0000-0000-0000C0280000}"/>
    <cellStyle name="20% - Accent6 2 2 2 3 4 2" xfId="27001" xr:uid="{00000000-0005-0000-0000-0000C1280000}"/>
    <cellStyle name="20% - Accent6 2 2 2 3 4 2 2" xfId="12785" xr:uid="{00000000-0005-0000-0000-0000C2280000}"/>
    <cellStyle name="20% - Accent6 2 2 2 3 4 2 2 2" xfId="5260" xr:uid="{00000000-0005-0000-0000-0000C3280000}"/>
    <cellStyle name="20% - Accent6 2 2 2 3 4 2 3" xfId="12789" xr:uid="{00000000-0005-0000-0000-0000C4280000}"/>
    <cellStyle name="20% - Accent6 2 2 2 3 4 3" xfId="24773" xr:uid="{00000000-0005-0000-0000-0000C5280000}"/>
    <cellStyle name="20% - Accent6 2 2 2 3 4 3 2" xfId="12797" xr:uid="{00000000-0005-0000-0000-0000C6280000}"/>
    <cellStyle name="20% - Accent6 2 2 2 3 4 4" xfId="22533" xr:uid="{00000000-0005-0000-0000-0000C7280000}"/>
    <cellStyle name="20% - Accent6 2 2 2 3 5" xfId="10866" xr:uid="{00000000-0005-0000-0000-0000C8280000}"/>
    <cellStyle name="20% - Accent6 2 2 2 3 5 2" xfId="29462" xr:uid="{00000000-0005-0000-0000-0000C9280000}"/>
    <cellStyle name="20% - Accent6 2 2 2 3 5 2 2" xfId="12801" xr:uid="{00000000-0005-0000-0000-0000CA280000}"/>
    <cellStyle name="20% - Accent6 2 2 2 3 5 3" xfId="12804" xr:uid="{00000000-0005-0000-0000-0000CB280000}"/>
    <cellStyle name="20% - Accent6 2 2 2 3 6" xfId="10877" xr:uid="{00000000-0005-0000-0000-0000CC280000}"/>
    <cellStyle name="20% - Accent6 2 2 2 3 6 2" xfId="12807" xr:uid="{00000000-0005-0000-0000-0000CD280000}"/>
    <cellStyle name="20% - Accent6 2 2 2 3 7" xfId="13840" xr:uid="{00000000-0005-0000-0000-0000CE280000}"/>
    <cellStyle name="20% - Accent6 2 2 2 4" xfId="2471" xr:uid="{00000000-0005-0000-0000-0000CF280000}"/>
    <cellStyle name="20% - Accent6 2 2 2 4 2" xfId="2485" xr:uid="{00000000-0005-0000-0000-0000D0280000}"/>
    <cellStyle name="20% - Accent6 2 2 2 4 2 2" xfId="4103" xr:uid="{00000000-0005-0000-0000-0000D1280000}"/>
    <cellStyle name="20% - Accent6 2 2 2 4 2 2 2" xfId="32166" xr:uid="{00000000-0005-0000-0000-0000D2280000}"/>
    <cellStyle name="20% - Accent6 2 2 2 4 2 2 2 2" xfId="22291" xr:uid="{00000000-0005-0000-0000-0000D3280000}"/>
    <cellStyle name="20% - Accent6 2 2 2 4 2 2 2 2 2" xfId="14853" xr:uid="{00000000-0005-0000-0000-0000D4280000}"/>
    <cellStyle name="20% - Accent6 2 2 2 4 2 2 2 3" xfId="2114" xr:uid="{00000000-0005-0000-0000-0000D5280000}"/>
    <cellStyle name="20% - Accent6 2 2 2 4 2 2 3" xfId="23036" xr:uid="{00000000-0005-0000-0000-0000D6280000}"/>
    <cellStyle name="20% - Accent6 2 2 2 4 2 2 3 2" xfId="12817" xr:uid="{00000000-0005-0000-0000-0000D7280000}"/>
    <cellStyle name="20% - Accent6 2 2 2 4 2 2 4" xfId="27257" xr:uid="{00000000-0005-0000-0000-0000D8280000}"/>
    <cellStyle name="20% - Accent6 2 2 2 4 2 3" xfId="12826" xr:uid="{00000000-0005-0000-0000-0000D9280000}"/>
    <cellStyle name="20% - Accent6 2 2 2 4 2 3 2" xfId="14724" xr:uid="{00000000-0005-0000-0000-0000DA280000}"/>
    <cellStyle name="20% - Accent6 2 2 2 4 2 3 2 2" xfId="4203" xr:uid="{00000000-0005-0000-0000-0000DB280000}"/>
    <cellStyle name="20% - Accent6 2 2 2 4 2 3 3" xfId="21491" xr:uid="{00000000-0005-0000-0000-0000DC280000}"/>
    <cellStyle name="20% - Accent6 2 2 2 4 2 4" xfId="31041" xr:uid="{00000000-0005-0000-0000-0000DD280000}"/>
    <cellStyle name="20% - Accent6 2 2 2 4 2 4 2" xfId="25897" xr:uid="{00000000-0005-0000-0000-0000DE280000}"/>
    <cellStyle name="20% - Accent6 2 2 2 4 2 5" xfId="12828" xr:uid="{00000000-0005-0000-0000-0000DF280000}"/>
    <cellStyle name="20% - Accent6 2 2 2 4 3" xfId="2635" xr:uid="{00000000-0005-0000-0000-0000E0280000}"/>
    <cellStyle name="20% - Accent6 2 2 2 4 3 2" xfId="11676" xr:uid="{00000000-0005-0000-0000-0000E1280000}"/>
    <cellStyle name="20% - Accent6 2 2 2 4 3 2 2" xfId="16665" xr:uid="{00000000-0005-0000-0000-0000E2280000}"/>
    <cellStyle name="20% - Accent6 2 2 2 4 3 2 2 2" xfId="20336" xr:uid="{00000000-0005-0000-0000-0000E3280000}"/>
    <cellStyle name="20% - Accent6 2 2 2 4 3 2 3" xfId="7204" xr:uid="{00000000-0005-0000-0000-0000E4280000}"/>
    <cellStyle name="20% - Accent6 2 2 2 4 3 3" xfId="1671" xr:uid="{00000000-0005-0000-0000-0000E5280000}"/>
    <cellStyle name="20% - Accent6 2 2 2 4 3 3 2" xfId="12832" xr:uid="{00000000-0005-0000-0000-0000E6280000}"/>
    <cellStyle name="20% - Accent6 2 2 2 4 3 4" xfId="12836" xr:uid="{00000000-0005-0000-0000-0000E7280000}"/>
    <cellStyle name="20% - Accent6 2 2 2 4 4" xfId="12837" xr:uid="{00000000-0005-0000-0000-0000E8280000}"/>
    <cellStyle name="20% - Accent6 2 2 2 4 4 2" xfId="4559" xr:uid="{00000000-0005-0000-0000-0000E9280000}"/>
    <cellStyle name="20% - Accent6 2 2 2 4 4 2 2" xfId="12840" xr:uid="{00000000-0005-0000-0000-0000EA280000}"/>
    <cellStyle name="20% - Accent6 2 2 2 4 4 3" xfId="17223" xr:uid="{00000000-0005-0000-0000-0000EB280000}"/>
    <cellStyle name="20% - Accent6 2 2 2 4 5" xfId="10880" xr:uid="{00000000-0005-0000-0000-0000EC280000}"/>
    <cellStyle name="20% - Accent6 2 2 2 4 5 2" xfId="12844" xr:uid="{00000000-0005-0000-0000-0000ED280000}"/>
    <cellStyle name="20% - Accent6 2 2 2 4 6" xfId="12228" xr:uid="{00000000-0005-0000-0000-0000EE280000}"/>
    <cellStyle name="20% - Accent6 2 2 2 5" xfId="107" xr:uid="{00000000-0005-0000-0000-0000EF280000}"/>
    <cellStyle name="20% - Accent6 2 2 2 5 2" xfId="2643" xr:uid="{00000000-0005-0000-0000-0000F0280000}"/>
    <cellStyle name="20% - Accent6 2 2 2 5 2 2" xfId="2370" xr:uid="{00000000-0005-0000-0000-0000F1280000}"/>
    <cellStyle name="20% - Accent6 2 2 2 5 2 2 2" xfId="12846" xr:uid="{00000000-0005-0000-0000-0000F2280000}"/>
    <cellStyle name="20% - Accent6 2 2 2 5 2 2 2 2" xfId="12851" xr:uid="{00000000-0005-0000-0000-0000F3280000}"/>
    <cellStyle name="20% - Accent6 2 2 2 5 2 2 3" xfId="16878" xr:uid="{00000000-0005-0000-0000-0000F4280000}"/>
    <cellStyle name="20% - Accent6 2 2 2 5 2 3" xfId="12856" xr:uid="{00000000-0005-0000-0000-0000F5280000}"/>
    <cellStyle name="20% - Accent6 2 2 2 5 2 3 2" xfId="32276" xr:uid="{00000000-0005-0000-0000-0000F6280000}"/>
    <cellStyle name="20% - Accent6 2 2 2 5 2 4" xfId="17389" xr:uid="{00000000-0005-0000-0000-0000F7280000}"/>
    <cellStyle name="20% - Accent6 2 2 2 5 3" xfId="12867" xr:uid="{00000000-0005-0000-0000-0000F8280000}"/>
    <cellStyle name="20% - Accent6 2 2 2 5 3 2" xfId="3492" xr:uid="{00000000-0005-0000-0000-0000F9280000}"/>
    <cellStyle name="20% - Accent6 2 2 2 5 3 2 2" xfId="12870" xr:uid="{00000000-0005-0000-0000-0000FA280000}"/>
    <cellStyle name="20% - Accent6 2 2 2 5 3 3" xfId="12878" xr:uid="{00000000-0005-0000-0000-0000FB280000}"/>
    <cellStyle name="20% - Accent6 2 2 2 5 4" xfId="13150" xr:uid="{00000000-0005-0000-0000-0000FC280000}"/>
    <cellStyle name="20% - Accent6 2 2 2 5 4 2" xfId="18882" xr:uid="{00000000-0005-0000-0000-0000FD280000}"/>
    <cellStyle name="20% - Accent6 2 2 2 5 5" xfId="13153" xr:uid="{00000000-0005-0000-0000-0000FE280000}"/>
    <cellStyle name="20% - Accent6 2 2 2 6" xfId="2646" xr:uid="{00000000-0005-0000-0000-0000FF280000}"/>
    <cellStyle name="20% - Accent6 2 2 2 6 2" xfId="25809" xr:uid="{00000000-0005-0000-0000-000000290000}"/>
    <cellStyle name="20% - Accent6 2 2 2 6 2 2" xfId="12887" xr:uid="{00000000-0005-0000-0000-000001290000}"/>
    <cellStyle name="20% - Accent6 2 2 2 6 2 2 2" xfId="12890" xr:uid="{00000000-0005-0000-0000-000002290000}"/>
    <cellStyle name="20% - Accent6 2 2 2 6 2 3" xfId="6493" xr:uid="{00000000-0005-0000-0000-000003290000}"/>
    <cellStyle name="20% - Accent6 2 2 2 6 3" xfId="12895" xr:uid="{00000000-0005-0000-0000-000004290000}"/>
    <cellStyle name="20% - Accent6 2 2 2 6 3 2" xfId="21063" xr:uid="{00000000-0005-0000-0000-000005290000}"/>
    <cellStyle name="20% - Accent6 2 2 2 6 4" xfId="5334" xr:uid="{00000000-0005-0000-0000-000006290000}"/>
    <cellStyle name="20% - Accent6 2 2 2 7" xfId="12645" xr:uid="{00000000-0005-0000-0000-000007290000}"/>
    <cellStyle name="20% - Accent6 2 2 2 7 2" xfId="15718" xr:uid="{00000000-0005-0000-0000-000008290000}"/>
    <cellStyle name="20% - Accent6 2 2 2 7 2 2" xfId="24866" xr:uid="{00000000-0005-0000-0000-000009290000}"/>
    <cellStyle name="20% - Accent6 2 2 2 7 3" xfId="12898" xr:uid="{00000000-0005-0000-0000-00000A290000}"/>
    <cellStyle name="20% - Accent6 2 2 2 8" xfId="12901" xr:uid="{00000000-0005-0000-0000-00000B290000}"/>
    <cellStyle name="20% - Accent6 2 2 2 8 2" xfId="6830" xr:uid="{00000000-0005-0000-0000-00000C290000}"/>
    <cellStyle name="20% - Accent6 2 2 2 9" xfId="1187" xr:uid="{00000000-0005-0000-0000-00000D290000}"/>
    <cellStyle name="20% - Accent6 2 2 3" xfId="12903" xr:uid="{00000000-0005-0000-0000-00000E290000}"/>
    <cellStyle name="20% - Accent6 2 2 3 2" xfId="28147" xr:uid="{00000000-0005-0000-0000-00000F290000}"/>
    <cellStyle name="20% - Accent6 2 2 3 2 2" xfId="28614" xr:uid="{00000000-0005-0000-0000-000010290000}"/>
    <cellStyle name="20% - Accent6 2 2 3 2 2 2" xfId="14954" xr:uid="{00000000-0005-0000-0000-000011290000}"/>
    <cellStyle name="20% - Accent6 2 2 3 2 2 2 2" xfId="14190" xr:uid="{00000000-0005-0000-0000-000012290000}"/>
    <cellStyle name="20% - Accent6 2 2 3 2 2 2 2 2" xfId="12906" xr:uid="{00000000-0005-0000-0000-000013290000}"/>
    <cellStyle name="20% - Accent6 2 2 3 2 2 2 2 2 2" xfId="11475" xr:uid="{00000000-0005-0000-0000-000014290000}"/>
    <cellStyle name="20% - Accent6 2 2 3 2 2 2 2 2 2 2" xfId="29329" xr:uid="{00000000-0005-0000-0000-000015290000}"/>
    <cellStyle name="20% - Accent6 2 2 3 2 2 2 2 2 3" xfId="16038" xr:uid="{00000000-0005-0000-0000-000016290000}"/>
    <cellStyle name="20% - Accent6 2 2 3 2 2 2 2 3" xfId="14710" xr:uid="{00000000-0005-0000-0000-000017290000}"/>
    <cellStyle name="20% - Accent6 2 2 3 2 2 2 2 3 2" xfId="4080" xr:uid="{00000000-0005-0000-0000-000018290000}"/>
    <cellStyle name="20% - Accent6 2 2 3 2 2 2 2 4" xfId="28654" xr:uid="{00000000-0005-0000-0000-000019290000}"/>
    <cellStyle name="20% - Accent6 2 2 3 2 2 2 3" xfId="7953" xr:uid="{00000000-0005-0000-0000-00001A290000}"/>
    <cellStyle name="20% - Accent6 2 2 3 2 2 2 3 2" xfId="12909" xr:uid="{00000000-0005-0000-0000-00001B290000}"/>
    <cellStyle name="20% - Accent6 2 2 3 2 2 2 3 2 2" xfId="10060" xr:uid="{00000000-0005-0000-0000-00001C290000}"/>
    <cellStyle name="20% - Accent6 2 2 3 2 2 2 3 3" xfId="12911" xr:uid="{00000000-0005-0000-0000-00001D290000}"/>
    <cellStyle name="20% - Accent6 2 2 3 2 2 2 4" xfId="10535" xr:uid="{00000000-0005-0000-0000-00001E290000}"/>
    <cellStyle name="20% - Accent6 2 2 3 2 2 2 4 2" xfId="26160" xr:uid="{00000000-0005-0000-0000-00001F290000}"/>
    <cellStyle name="20% - Accent6 2 2 3 2 2 2 5" xfId="12915" xr:uid="{00000000-0005-0000-0000-000020290000}"/>
    <cellStyle name="20% - Accent6 2 2 3 2 2 3" xfId="12916" xr:uid="{00000000-0005-0000-0000-000021290000}"/>
    <cellStyle name="20% - Accent6 2 2 3 2 2 3 2" xfId="1729" xr:uid="{00000000-0005-0000-0000-000022290000}"/>
    <cellStyle name="20% - Accent6 2 2 3 2 2 3 2 2" xfId="12360" xr:uid="{00000000-0005-0000-0000-000023290000}"/>
    <cellStyle name="20% - Accent6 2 2 3 2 2 3 2 2 2" xfId="11485" xr:uid="{00000000-0005-0000-0000-000024290000}"/>
    <cellStyle name="20% - Accent6 2 2 3 2 2 3 2 3" xfId="33744" xr:uid="{00000000-0005-0000-0000-000025290000}"/>
    <cellStyle name="20% - Accent6 2 2 3 2 2 3 3" xfId="8858" xr:uid="{00000000-0005-0000-0000-000026290000}"/>
    <cellStyle name="20% - Accent6 2 2 3 2 2 3 3 2" xfId="12374" xr:uid="{00000000-0005-0000-0000-000027290000}"/>
    <cellStyle name="20% - Accent6 2 2 3 2 2 3 4" xfId="12919" xr:uid="{00000000-0005-0000-0000-000028290000}"/>
    <cellStyle name="20% - Accent6 2 2 3 2 2 4" xfId="18507" xr:uid="{00000000-0005-0000-0000-000029290000}"/>
    <cellStyle name="20% - Accent6 2 2 3 2 2 4 2" xfId="15775" xr:uid="{00000000-0005-0000-0000-00002A290000}"/>
    <cellStyle name="20% - Accent6 2 2 3 2 2 4 2 2" xfId="32893" xr:uid="{00000000-0005-0000-0000-00002B290000}"/>
    <cellStyle name="20% - Accent6 2 2 3 2 2 4 3" xfId="27521" xr:uid="{00000000-0005-0000-0000-00002C290000}"/>
    <cellStyle name="20% - Accent6 2 2 3 2 2 5" xfId="18509" xr:uid="{00000000-0005-0000-0000-00002D290000}"/>
    <cellStyle name="20% - Accent6 2 2 3 2 2 5 2" xfId="15806" xr:uid="{00000000-0005-0000-0000-00002E290000}"/>
    <cellStyle name="20% - Accent6 2 2 3 2 2 6" xfId="12923" xr:uid="{00000000-0005-0000-0000-00002F290000}"/>
    <cellStyle name="20% - Accent6 2 2 3 2 3" xfId="30593" xr:uid="{00000000-0005-0000-0000-000030290000}"/>
    <cellStyle name="20% - Accent6 2 2 3 2 3 2" xfId="31175" xr:uid="{00000000-0005-0000-0000-000031290000}"/>
    <cellStyle name="20% - Accent6 2 2 3 2 3 2 2" xfId="3114" xr:uid="{00000000-0005-0000-0000-000032290000}"/>
    <cellStyle name="20% - Accent6 2 2 3 2 3 2 2 2" xfId="14150" xr:uid="{00000000-0005-0000-0000-000033290000}"/>
    <cellStyle name="20% - Accent6 2 2 3 2 3 2 2 2 2" xfId="16466" xr:uid="{00000000-0005-0000-0000-000034290000}"/>
    <cellStyle name="20% - Accent6 2 2 3 2 3 2 2 3" xfId="33290" xr:uid="{00000000-0005-0000-0000-000035290000}"/>
    <cellStyle name="20% - Accent6 2 2 3 2 3 2 3" xfId="10589" xr:uid="{00000000-0005-0000-0000-000036290000}"/>
    <cellStyle name="20% - Accent6 2 2 3 2 3 2 3 2" xfId="12928" xr:uid="{00000000-0005-0000-0000-000037290000}"/>
    <cellStyle name="20% - Accent6 2 2 3 2 3 2 4" xfId="12935" xr:uid="{00000000-0005-0000-0000-000038290000}"/>
    <cellStyle name="20% - Accent6 2 2 3 2 3 3" xfId="30478" xr:uid="{00000000-0005-0000-0000-000039290000}"/>
    <cellStyle name="20% - Accent6 2 2 3 2 3 3 2" xfId="1614" xr:uid="{00000000-0005-0000-0000-00003A290000}"/>
    <cellStyle name="20% - Accent6 2 2 3 2 3 3 2 2" xfId="17497" xr:uid="{00000000-0005-0000-0000-00003B290000}"/>
    <cellStyle name="20% - Accent6 2 2 3 2 3 3 3" xfId="12937" xr:uid="{00000000-0005-0000-0000-00003C290000}"/>
    <cellStyle name="20% - Accent6 2 2 3 2 3 4" xfId="15739" xr:uid="{00000000-0005-0000-0000-00003D290000}"/>
    <cellStyle name="20% - Accent6 2 2 3 2 3 4 2" xfId="15868" xr:uid="{00000000-0005-0000-0000-00003E290000}"/>
    <cellStyle name="20% - Accent6 2 2 3 2 3 5" xfId="11030" xr:uid="{00000000-0005-0000-0000-00003F290000}"/>
    <cellStyle name="20% - Accent6 2 2 3 2 4" xfId="23503" xr:uid="{00000000-0005-0000-0000-000040290000}"/>
    <cellStyle name="20% - Accent6 2 2 3 2 4 2" xfId="30482" xr:uid="{00000000-0005-0000-0000-000041290000}"/>
    <cellStyle name="20% - Accent6 2 2 3 2 4 2 2" xfId="10601" xr:uid="{00000000-0005-0000-0000-000042290000}"/>
    <cellStyle name="20% - Accent6 2 2 3 2 4 2 2 2" xfId="12939" xr:uid="{00000000-0005-0000-0000-000043290000}"/>
    <cellStyle name="20% - Accent6 2 2 3 2 4 2 3" xfId="12945" xr:uid="{00000000-0005-0000-0000-000044290000}"/>
    <cellStyle name="20% - Accent6 2 2 3 2 4 3" xfId="32977" xr:uid="{00000000-0005-0000-0000-000045290000}"/>
    <cellStyle name="20% - Accent6 2 2 3 2 4 3 2" xfId="12951" xr:uid="{00000000-0005-0000-0000-000046290000}"/>
    <cellStyle name="20% - Accent6 2 2 3 2 4 4" xfId="11452" xr:uid="{00000000-0005-0000-0000-000047290000}"/>
    <cellStyle name="20% - Accent6 2 2 3 2 5" xfId="29161" xr:uid="{00000000-0005-0000-0000-000048290000}"/>
    <cellStyle name="20% - Accent6 2 2 3 2 5 2" xfId="10920" xr:uid="{00000000-0005-0000-0000-000049290000}"/>
    <cellStyle name="20% - Accent6 2 2 3 2 5 2 2" xfId="29457" xr:uid="{00000000-0005-0000-0000-00004A290000}"/>
    <cellStyle name="20% - Accent6 2 2 3 2 5 3" xfId="12953" xr:uid="{00000000-0005-0000-0000-00004B290000}"/>
    <cellStyle name="20% - Accent6 2 2 3 2 6" xfId="10922" xr:uid="{00000000-0005-0000-0000-00004C290000}"/>
    <cellStyle name="20% - Accent6 2 2 3 2 6 2" xfId="12956" xr:uid="{00000000-0005-0000-0000-00004D290000}"/>
    <cellStyle name="20% - Accent6 2 2 3 2 7" xfId="21882" xr:uid="{00000000-0005-0000-0000-00004E290000}"/>
    <cellStyle name="20% - Accent6 2 2 3 3" xfId="2515" xr:uid="{00000000-0005-0000-0000-00004F290000}"/>
    <cellStyle name="20% - Accent6 2 2 3 3 2" xfId="7464" xr:uid="{00000000-0005-0000-0000-000050290000}"/>
    <cellStyle name="20% - Accent6 2 2 3 3 2 2" xfId="4234" xr:uid="{00000000-0005-0000-0000-000051290000}"/>
    <cellStyle name="20% - Accent6 2 2 3 3 2 2 2" xfId="4522" xr:uid="{00000000-0005-0000-0000-000052290000}"/>
    <cellStyle name="20% - Accent6 2 2 3 3 2 2 2 2" xfId="20823" xr:uid="{00000000-0005-0000-0000-000053290000}"/>
    <cellStyle name="20% - Accent6 2 2 3 3 2 2 2 2 2" xfId="15582" xr:uid="{00000000-0005-0000-0000-000054290000}"/>
    <cellStyle name="20% - Accent6 2 2 3 3 2 2 2 3" xfId="881" xr:uid="{00000000-0005-0000-0000-000055290000}"/>
    <cellStyle name="20% - Accent6 2 2 3 3 2 2 3" xfId="10663" xr:uid="{00000000-0005-0000-0000-000056290000}"/>
    <cellStyle name="20% - Accent6 2 2 3 3 2 2 3 2" xfId="25876" xr:uid="{00000000-0005-0000-0000-000057290000}"/>
    <cellStyle name="20% - Accent6 2 2 3 3 2 2 4" xfId="15263" xr:uid="{00000000-0005-0000-0000-000058290000}"/>
    <cellStyle name="20% - Accent6 2 2 3 3 2 3" xfId="3607" xr:uid="{00000000-0005-0000-0000-000059290000}"/>
    <cellStyle name="20% - Accent6 2 2 3 3 2 3 2" xfId="10647" xr:uid="{00000000-0005-0000-0000-00005A290000}"/>
    <cellStyle name="20% - Accent6 2 2 3 3 2 3 2 2" xfId="3215" xr:uid="{00000000-0005-0000-0000-00005B290000}"/>
    <cellStyle name="20% - Accent6 2 2 3 3 2 3 3" xfId="10648" xr:uid="{00000000-0005-0000-0000-00005C290000}"/>
    <cellStyle name="20% - Accent6 2 2 3 3 2 4" xfId="18536" xr:uid="{00000000-0005-0000-0000-00005D290000}"/>
    <cellStyle name="20% - Accent6 2 2 3 3 2 4 2" xfId="16195" xr:uid="{00000000-0005-0000-0000-00005E290000}"/>
    <cellStyle name="20% - Accent6 2 2 3 3 2 5" xfId="8862" xr:uid="{00000000-0005-0000-0000-00005F290000}"/>
    <cellStyle name="20% - Accent6 2 2 3 3 3" xfId="5751" xr:uid="{00000000-0005-0000-0000-000060290000}"/>
    <cellStyle name="20% - Accent6 2 2 3 3 3 2" xfId="12959" xr:uid="{00000000-0005-0000-0000-000061290000}"/>
    <cellStyle name="20% - Accent6 2 2 3 3 3 2 2" xfId="10722" xr:uid="{00000000-0005-0000-0000-000062290000}"/>
    <cellStyle name="20% - Accent6 2 2 3 3 3 2 2 2" xfId="13316" xr:uid="{00000000-0005-0000-0000-000063290000}"/>
    <cellStyle name="20% - Accent6 2 2 3 3 3 2 3" xfId="12962" xr:uid="{00000000-0005-0000-0000-000064290000}"/>
    <cellStyle name="20% - Accent6 2 2 3 3 3 3" xfId="1717" xr:uid="{00000000-0005-0000-0000-000065290000}"/>
    <cellStyle name="20% - Accent6 2 2 3 3 3 3 2" xfId="29466" xr:uid="{00000000-0005-0000-0000-000066290000}"/>
    <cellStyle name="20% - Accent6 2 2 3 3 3 4" xfId="117" xr:uid="{00000000-0005-0000-0000-000067290000}"/>
    <cellStyle name="20% - Accent6 2 2 3 3 4" xfId="23510" xr:uid="{00000000-0005-0000-0000-000068290000}"/>
    <cellStyle name="20% - Accent6 2 2 3 3 4 2" xfId="12967" xr:uid="{00000000-0005-0000-0000-000069290000}"/>
    <cellStyle name="20% - Accent6 2 2 3 3 4 2 2" xfId="12972" xr:uid="{00000000-0005-0000-0000-00006A290000}"/>
    <cellStyle name="20% - Accent6 2 2 3 3 4 3" xfId="7221" xr:uid="{00000000-0005-0000-0000-00006B290000}"/>
    <cellStyle name="20% - Accent6 2 2 3 3 5" xfId="10928" xr:uid="{00000000-0005-0000-0000-00006C290000}"/>
    <cellStyle name="20% - Accent6 2 2 3 3 5 2" xfId="12975" xr:uid="{00000000-0005-0000-0000-00006D290000}"/>
    <cellStyle name="20% - Accent6 2 2 3 3 6" xfId="12243" xr:uid="{00000000-0005-0000-0000-00006E290000}"/>
    <cellStyle name="20% - Accent6 2 2 3 4" xfId="6763" xr:uid="{00000000-0005-0000-0000-00006F290000}"/>
    <cellStyle name="20% - Accent6 2 2 3 4 2" xfId="6016" xr:uid="{00000000-0005-0000-0000-000070290000}"/>
    <cellStyle name="20% - Accent6 2 2 3 4 2 2" xfId="12977" xr:uid="{00000000-0005-0000-0000-000071290000}"/>
    <cellStyle name="20% - Accent6 2 2 3 4 2 2 2" xfId="10812" xr:uid="{00000000-0005-0000-0000-000072290000}"/>
    <cellStyle name="20% - Accent6 2 2 3 4 2 2 2 2" xfId="12986" xr:uid="{00000000-0005-0000-0000-000073290000}"/>
    <cellStyle name="20% - Accent6 2 2 3 4 2 2 3" xfId="12989" xr:uid="{00000000-0005-0000-0000-000074290000}"/>
    <cellStyle name="20% - Accent6 2 2 3 4 2 3" xfId="7148" xr:uid="{00000000-0005-0000-0000-000075290000}"/>
    <cellStyle name="20% - Accent6 2 2 3 4 2 3 2" xfId="12407" xr:uid="{00000000-0005-0000-0000-000076290000}"/>
    <cellStyle name="20% - Accent6 2 2 3 4 2 4" xfId="23470" xr:uid="{00000000-0005-0000-0000-000077290000}"/>
    <cellStyle name="20% - Accent6 2 2 3 4 3" xfId="18946" xr:uid="{00000000-0005-0000-0000-000078290000}"/>
    <cellStyle name="20% - Accent6 2 2 3 4 3 2" xfId="7156" xr:uid="{00000000-0005-0000-0000-000079290000}"/>
    <cellStyle name="20% - Accent6 2 2 3 4 3 2 2" xfId="12689" xr:uid="{00000000-0005-0000-0000-00007A290000}"/>
    <cellStyle name="20% - Accent6 2 2 3 4 3 3" xfId="23478" xr:uid="{00000000-0005-0000-0000-00007B290000}"/>
    <cellStyle name="20% - Accent6 2 2 3 4 4" xfId="12990" xr:uid="{00000000-0005-0000-0000-00007C290000}"/>
    <cellStyle name="20% - Accent6 2 2 3 4 4 2" xfId="23577" xr:uid="{00000000-0005-0000-0000-00007D290000}"/>
    <cellStyle name="20% - Accent6 2 2 3 4 5" xfId="12244" xr:uid="{00000000-0005-0000-0000-00007E290000}"/>
    <cellStyle name="20% - Accent6 2 2 3 5" xfId="2669" xr:uid="{00000000-0005-0000-0000-00007F290000}"/>
    <cellStyle name="20% - Accent6 2 2 3 5 2" xfId="28989" xr:uid="{00000000-0005-0000-0000-000080290000}"/>
    <cellStyle name="20% - Accent6 2 2 3 5 2 2" xfId="12991" xr:uid="{00000000-0005-0000-0000-000081290000}"/>
    <cellStyle name="20% - Accent6 2 2 3 5 2 2 2" xfId="12994" xr:uid="{00000000-0005-0000-0000-000082290000}"/>
    <cellStyle name="20% - Accent6 2 2 3 5 2 3" xfId="23549" xr:uid="{00000000-0005-0000-0000-000083290000}"/>
    <cellStyle name="20% - Accent6 2 2 3 5 3" xfId="13000" xr:uid="{00000000-0005-0000-0000-000084290000}"/>
    <cellStyle name="20% - Accent6 2 2 3 5 3 2" xfId="13006" xr:uid="{00000000-0005-0000-0000-000085290000}"/>
    <cellStyle name="20% - Accent6 2 2 3 5 4" xfId="13301" xr:uid="{00000000-0005-0000-0000-000086290000}"/>
    <cellStyle name="20% - Accent6 2 2 3 6" xfId="73" xr:uid="{00000000-0005-0000-0000-000087290000}"/>
    <cellStyle name="20% - Accent6 2 2 3 6 2" xfId="13013" xr:uid="{00000000-0005-0000-0000-000088290000}"/>
    <cellStyle name="20% - Accent6 2 2 3 6 2 2" xfId="20408" xr:uid="{00000000-0005-0000-0000-000089290000}"/>
    <cellStyle name="20% - Accent6 2 2 3 6 3" xfId="13017" xr:uid="{00000000-0005-0000-0000-00008A290000}"/>
    <cellStyle name="20% - Accent6 2 2 3 7" xfId="27912" xr:uid="{00000000-0005-0000-0000-00008B290000}"/>
    <cellStyle name="20% - Accent6 2 2 3 7 2" xfId="23689" xr:uid="{00000000-0005-0000-0000-00008C290000}"/>
    <cellStyle name="20% - Accent6 2 2 3 8" xfId="33955" xr:uid="{00000000-0005-0000-0000-00008D290000}"/>
    <cellStyle name="20% - Accent6 2 2 4" xfId="13140" xr:uid="{00000000-0005-0000-0000-00008E290000}"/>
    <cellStyle name="20% - Accent6 2 2 4 2" xfId="13141" xr:uid="{00000000-0005-0000-0000-00008F290000}"/>
    <cellStyle name="20% - Accent6 2 2 4 2 2" xfId="13021" xr:uid="{00000000-0005-0000-0000-000090290000}"/>
    <cellStyle name="20% - Accent6 2 2 4 2 2 2" xfId="34022" xr:uid="{00000000-0005-0000-0000-000091290000}"/>
    <cellStyle name="20% - Accent6 2 2 4 2 2 2 2" xfId="7242" xr:uid="{00000000-0005-0000-0000-000092290000}"/>
    <cellStyle name="20% - Accent6 2 2 4 2 2 2 2 2" xfId="23215" xr:uid="{00000000-0005-0000-0000-000093290000}"/>
    <cellStyle name="20% - Accent6 2 2 4 2 2 2 2 2 2" xfId="11663" xr:uid="{00000000-0005-0000-0000-000094290000}"/>
    <cellStyle name="20% - Accent6 2 2 4 2 2 2 2 3" xfId="2429" xr:uid="{00000000-0005-0000-0000-000095290000}"/>
    <cellStyle name="20% - Accent6 2 2 4 2 2 2 3" xfId="3614" xr:uid="{00000000-0005-0000-0000-000096290000}"/>
    <cellStyle name="20% - Accent6 2 2 4 2 2 2 3 2" xfId="3658" xr:uid="{00000000-0005-0000-0000-000097290000}"/>
    <cellStyle name="20% - Accent6 2 2 4 2 2 2 4" xfId="8443" xr:uid="{00000000-0005-0000-0000-000098290000}"/>
    <cellStyle name="20% - Accent6 2 2 4 2 2 3" xfId="9234" xr:uid="{00000000-0005-0000-0000-000099290000}"/>
    <cellStyle name="20% - Accent6 2 2 4 2 2 3 2" xfId="7348" xr:uid="{00000000-0005-0000-0000-00009A290000}"/>
    <cellStyle name="20% - Accent6 2 2 4 2 2 3 2 2" xfId="1662" xr:uid="{00000000-0005-0000-0000-00009B290000}"/>
    <cellStyle name="20% - Accent6 2 2 4 2 2 3 3" xfId="3317" xr:uid="{00000000-0005-0000-0000-00009C290000}"/>
    <cellStyle name="20% - Accent6 2 2 4 2 2 4" xfId="18578" xr:uid="{00000000-0005-0000-0000-00009D290000}"/>
    <cellStyle name="20% - Accent6 2 2 4 2 2 4 2" xfId="17663" xr:uid="{00000000-0005-0000-0000-00009E290000}"/>
    <cellStyle name="20% - Accent6 2 2 4 2 2 5" xfId="3410" xr:uid="{00000000-0005-0000-0000-00009F290000}"/>
    <cellStyle name="20% - Accent6 2 2 4 2 3" xfId="24337" xr:uid="{00000000-0005-0000-0000-0000A0290000}"/>
    <cellStyle name="20% - Accent6 2 2 4 2 3 2" xfId="3832" xr:uid="{00000000-0005-0000-0000-0000A1290000}"/>
    <cellStyle name="20% - Accent6 2 2 4 2 3 2 2" xfId="7363" xr:uid="{00000000-0005-0000-0000-0000A2290000}"/>
    <cellStyle name="20% - Accent6 2 2 4 2 3 2 2 2" xfId="2809" xr:uid="{00000000-0005-0000-0000-0000A3290000}"/>
    <cellStyle name="20% - Accent6 2 2 4 2 3 2 3" xfId="3703" xr:uid="{00000000-0005-0000-0000-0000A4290000}"/>
    <cellStyle name="20% - Accent6 2 2 4 2 3 3" xfId="13025" xr:uid="{00000000-0005-0000-0000-0000A5290000}"/>
    <cellStyle name="20% - Accent6 2 2 4 2 3 3 2" xfId="1192" xr:uid="{00000000-0005-0000-0000-0000A6290000}"/>
    <cellStyle name="20% - Accent6 2 2 4 2 3 4" xfId="13026" xr:uid="{00000000-0005-0000-0000-0000A7290000}"/>
    <cellStyle name="20% - Accent6 2 2 4 2 4" xfId="13027" xr:uid="{00000000-0005-0000-0000-0000A8290000}"/>
    <cellStyle name="20% - Accent6 2 2 4 2 4 2" xfId="14762" xr:uid="{00000000-0005-0000-0000-0000A9290000}"/>
    <cellStyle name="20% - Accent6 2 2 4 2 4 2 2" xfId="407" xr:uid="{00000000-0005-0000-0000-0000AA290000}"/>
    <cellStyle name="20% - Accent6 2 2 4 2 4 3" xfId="13032" xr:uid="{00000000-0005-0000-0000-0000AB290000}"/>
    <cellStyle name="20% - Accent6 2 2 4 2 5" xfId="10945" xr:uid="{00000000-0005-0000-0000-0000AC290000}"/>
    <cellStyle name="20% - Accent6 2 2 4 2 5 2" xfId="5214" xr:uid="{00000000-0005-0000-0000-0000AD290000}"/>
    <cellStyle name="20% - Accent6 2 2 4 2 6" xfId="13419" xr:uid="{00000000-0005-0000-0000-0000AE290000}"/>
    <cellStyle name="20% - Accent6 2 2 4 3" xfId="6796" xr:uid="{00000000-0005-0000-0000-0000AF290000}"/>
    <cellStyle name="20% - Accent6 2 2 4 3 2" xfId="1633" xr:uid="{00000000-0005-0000-0000-0000B0290000}"/>
    <cellStyle name="20% - Accent6 2 2 4 3 2 2" xfId="33733" xr:uid="{00000000-0005-0000-0000-0000B1290000}"/>
    <cellStyle name="20% - Accent6 2 2 4 3 2 2 2" xfId="7399" xr:uid="{00000000-0005-0000-0000-0000B2290000}"/>
    <cellStyle name="20% - Accent6 2 2 4 3 2 2 2 2" xfId="5837" xr:uid="{00000000-0005-0000-0000-0000B3290000}"/>
    <cellStyle name="20% - Accent6 2 2 4 3 2 2 3" xfId="3356" xr:uid="{00000000-0005-0000-0000-0000B4290000}"/>
    <cellStyle name="20% - Accent6 2 2 4 3 2 3" xfId="3046" xr:uid="{00000000-0005-0000-0000-0000B5290000}"/>
    <cellStyle name="20% - Accent6 2 2 4 3 2 3 2" xfId="2100" xr:uid="{00000000-0005-0000-0000-0000B6290000}"/>
    <cellStyle name="20% - Accent6 2 2 4 3 2 4" xfId="1927" xr:uid="{00000000-0005-0000-0000-0000B7290000}"/>
    <cellStyle name="20% - Accent6 2 2 4 3 3" xfId="3839" xr:uid="{00000000-0005-0000-0000-0000B8290000}"/>
    <cellStyle name="20% - Accent6 2 2 4 3 3 2" xfId="13039" xr:uid="{00000000-0005-0000-0000-0000B9290000}"/>
    <cellStyle name="20% - Accent6 2 2 4 3 3 2 2" xfId="5876" xr:uid="{00000000-0005-0000-0000-0000BA290000}"/>
    <cellStyle name="20% - Accent6 2 2 4 3 3 3" xfId="10081" xr:uid="{00000000-0005-0000-0000-0000BB290000}"/>
    <cellStyle name="20% - Accent6 2 2 4 3 4" xfId="671" xr:uid="{00000000-0005-0000-0000-0000BC290000}"/>
    <cellStyle name="20% - Accent6 2 2 4 3 4 2" xfId="24145" xr:uid="{00000000-0005-0000-0000-0000BD290000}"/>
    <cellStyle name="20% - Accent6 2 2 4 3 5" xfId="12250" xr:uid="{00000000-0005-0000-0000-0000BE290000}"/>
    <cellStyle name="20% - Accent6 2 2 4 4" xfId="2675" xr:uid="{00000000-0005-0000-0000-0000BF290000}"/>
    <cellStyle name="20% - Accent6 2 2 4 4 2" xfId="13045" xr:uid="{00000000-0005-0000-0000-0000C0290000}"/>
    <cellStyle name="20% - Accent6 2 2 4 4 2 2" xfId="17964" xr:uid="{00000000-0005-0000-0000-0000C1290000}"/>
    <cellStyle name="20% - Accent6 2 2 4 4 2 2 2" xfId="2686" xr:uid="{00000000-0005-0000-0000-0000C2290000}"/>
    <cellStyle name="20% - Accent6 2 2 4 4 2 3" xfId="23721" xr:uid="{00000000-0005-0000-0000-0000C3290000}"/>
    <cellStyle name="20% - Accent6 2 2 4 4 3" xfId="13048" xr:uid="{00000000-0005-0000-0000-0000C4290000}"/>
    <cellStyle name="20% - Accent6 2 2 4 4 3 2" xfId="24092" xr:uid="{00000000-0005-0000-0000-0000C5290000}"/>
    <cellStyle name="20% - Accent6 2 2 4 4 4" xfId="13049" xr:uid="{00000000-0005-0000-0000-0000C6290000}"/>
    <cellStyle name="20% - Accent6 2 2 4 5" xfId="13051" xr:uid="{00000000-0005-0000-0000-0000C7290000}"/>
    <cellStyle name="20% - Accent6 2 2 4 5 2" xfId="13052" xr:uid="{00000000-0005-0000-0000-0000C8290000}"/>
    <cellStyle name="20% - Accent6 2 2 4 5 2 2" xfId="24177" xr:uid="{00000000-0005-0000-0000-0000C9290000}"/>
    <cellStyle name="20% - Accent6 2 2 4 5 3" xfId="9283" xr:uid="{00000000-0005-0000-0000-0000CA290000}"/>
    <cellStyle name="20% - Accent6 2 2 4 6" xfId="13055" xr:uid="{00000000-0005-0000-0000-0000CB290000}"/>
    <cellStyle name="20% - Accent6 2 2 4 6 2" xfId="12175" xr:uid="{00000000-0005-0000-0000-0000CC290000}"/>
    <cellStyle name="20% - Accent6 2 2 4 7" xfId="27902" xr:uid="{00000000-0005-0000-0000-0000CD290000}"/>
    <cellStyle name="20% - Accent6 2 2 5" xfId="13059" xr:uid="{00000000-0005-0000-0000-0000CE290000}"/>
    <cellStyle name="20% - Accent6 2 2 5 2" xfId="32842" xr:uid="{00000000-0005-0000-0000-0000CF290000}"/>
    <cellStyle name="20% - Accent6 2 2 5 2 2" xfId="6150" xr:uid="{00000000-0005-0000-0000-0000D0290000}"/>
    <cellStyle name="20% - Accent6 2 2 5 2 2 2" xfId="33160" xr:uid="{00000000-0005-0000-0000-0000D1290000}"/>
    <cellStyle name="20% - Accent6 2 2 5 2 2 2 2" xfId="1923" xr:uid="{00000000-0005-0000-0000-0000D2290000}"/>
    <cellStyle name="20% - Accent6 2 2 5 2 2 2 2 2" xfId="8267" xr:uid="{00000000-0005-0000-0000-0000D3290000}"/>
    <cellStyle name="20% - Accent6 2 2 5 2 2 2 3" xfId="4165" xr:uid="{00000000-0005-0000-0000-0000D4290000}"/>
    <cellStyle name="20% - Accent6 2 2 5 2 2 3" xfId="33167" xr:uid="{00000000-0005-0000-0000-0000D5290000}"/>
    <cellStyle name="20% - Accent6 2 2 5 2 2 3 2" xfId="4307" xr:uid="{00000000-0005-0000-0000-0000D6290000}"/>
    <cellStyle name="20% - Accent6 2 2 5 2 2 4" xfId="32067" xr:uid="{00000000-0005-0000-0000-0000D7290000}"/>
    <cellStyle name="20% - Accent6 2 2 5 2 3" xfId="3923" xr:uid="{00000000-0005-0000-0000-0000D8290000}"/>
    <cellStyle name="20% - Accent6 2 2 5 2 3 2" xfId="33517" xr:uid="{00000000-0005-0000-0000-0000D9290000}"/>
    <cellStyle name="20% - Accent6 2 2 5 2 3 2 2" xfId="4336" xr:uid="{00000000-0005-0000-0000-0000DA290000}"/>
    <cellStyle name="20% - Accent6 2 2 5 2 3 3" xfId="32662" xr:uid="{00000000-0005-0000-0000-0000DB290000}"/>
    <cellStyle name="20% - Accent6 2 2 5 2 4" xfId="15233" xr:uid="{00000000-0005-0000-0000-0000DC290000}"/>
    <cellStyle name="20% - Accent6 2 2 5 2 4 2" xfId="28040" xr:uid="{00000000-0005-0000-0000-0000DD290000}"/>
    <cellStyle name="20% - Accent6 2 2 5 2 5" xfId="20157" xr:uid="{00000000-0005-0000-0000-0000DE290000}"/>
    <cellStyle name="20% - Accent6 2 2 5 3" xfId="632" xr:uid="{00000000-0005-0000-0000-0000DF290000}"/>
    <cellStyle name="20% - Accent6 2 2 5 3 2" xfId="32194" xr:uid="{00000000-0005-0000-0000-0000E0290000}"/>
    <cellStyle name="20% - Accent6 2 2 5 3 2 2" xfId="33694" xr:uid="{00000000-0005-0000-0000-0000E1290000}"/>
    <cellStyle name="20% - Accent6 2 2 5 3 2 2 2" xfId="5667" xr:uid="{00000000-0005-0000-0000-0000E2290000}"/>
    <cellStyle name="20% - Accent6 2 2 5 3 2 3" xfId="32858" xr:uid="{00000000-0005-0000-0000-0000E3290000}"/>
    <cellStyle name="20% - Accent6 2 2 5 3 3" xfId="32800" xr:uid="{00000000-0005-0000-0000-0000E4290000}"/>
    <cellStyle name="20% - Accent6 2 2 5 3 3 2" xfId="32065" xr:uid="{00000000-0005-0000-0000-0000E5290000}"/>
    <cellStyle name="20% - Accent6 2 2 5 3 4" xfId="15241" xr:uid="{00000000-0005-0000-0000-0000E6290000}"/>
    <cellStyle name="20% - Accent6 2 2 5 4" xfId="13066" xr:uid="{00000000-0005-0000-0000-0000E7290000}"/>
    <cellStyle name="20% - Accent6 2 2 5 4 2" xfId="27083" xr:uid="{00000000-0005-0000-0000-0000E8290000}"/>
    <cellStyle name="20% - Accent6 2 2 5 4 2 2" xfId="24324" xr:uid="{00000000-0005-0000-0000-0000E9290000}"/>
    <cellStyle name="20% - Accent6 2 2 5 4 3" xfId="32867" xr:uid="{00000000-0005-0000-0000-0000EA290000}"/>
    <cellStyle name="20% - Accent6 2 2 5 5" xfId="21359" xr:uid="{00000000-0005-0000-0000-0000EB290000}"/>
    <cellStyle name="20% - Accent6 2 2 5 5 2" xfId="1392" xr:uid="{00000000-0005-0000-0000-0000EC290000}"/>
    <cellStyle name="20% - Accent6 2 2 5 6" xfId="21364" xr:uid="{00000000-0005-0000-0000-0000ED290000}"/>
    <cellStyle name="20% - Accent6 2 2 6" xfId="29594" xr:uid="{00000000-0005-0000-0000-0000EE290000}"/>
    <cellStyle name="20% - Accent6 2 2 6 2" xfId="30714" xr:uid="{00000000-0005-0000-0000-0000EF290000}"/>
    <cellStyle name="20% - Accent6 2 2 6 2 2" xfId="33005" xr:uid="{00000000-0005-0000-0000-0000F0290000}"/>
    <cellStyle name="20% - Accent6 2 2 6 2 2 2" xfId="33361" xr:uid="{00000000-0005-0000-0000-0000F1290000}"/>
    <cellStyle name="20% - Accent6 2 2 6 2 2 2 2" xfId="7335" xr:uid="{00000000-0005-0000-0000-0000F2290000}"/>
    <cellStyle name="20% - Accent6 2 2 6 2 2 3" xfId="1278" xr:uid="{00000000-0005-0000-0000-0000F3290000}"/>
    <cellStyle name="20% - Accent6 2 2 6 2 3" xfId="13077" xr:uid="{00000000-0005-0000-0000-0000F4290000}"/>
    <cellStyle name="20% - Accent6 2 2 6 2 3 2" xfId="29142" xr:uid="{00000000-0005-0000-0000-0000F5290000}"/>
    <cellStyle name="20% - Accent6 2 2 6 2 4" xfId="17086" xr:uid="{00000000-0005-0000-0000-0000F6290000}"/>
    <cellStyle name="20% - Accent6 2 2 6 3" xfId="30660" xr:uid="{00000000-0005-0000-0000-0000F7290000}"/>
    <cellStyle name="20% - Accent6 2 2 6 3 2" xfId="32887" xr:uid="{00000000-0005-0000-0000-0000F8290000}"/>
    <cellStyle name="20% - Accent6 2 2 6 3 2 2" xfId="32075" xr:uid="{00000000-0005-0000-0000-0000F9290000}"/>
    <cellStyle name="20% - Accent6 2 2 6 3 3" xfId="32880" xr:uid="{00000000-0005-0000-0000-0000FA290000}"/>
    <cellStyle name="20% - Accent6 2 2 6 4" xfId="30663" xr:uid="{00000000-0005-0000-0000-0000FB290000}"/>
    <cellStyle name="20% - Accent6 2 2 6 4 2" xfId="5404" xr:uid="{00000000-0005-0000-0000-0000FC290000}"/>
    <cellStyle name="20% - Accent6 2 2 6 5" xfId="21382" xr:uid="{00000000-0005-0000-0000-0000FD290000}"/>
    <cellStyle name="20% - Accent6 2 2 7" xfId="32774" xr:uid="{00000000-0005-0000-0000-0000FE290000}"/>
    <cellStyle name="20% - Accent6 2 2 7 2" xfId="30626" xr:uid="{00000000-0005-0000-0000-0000FF290000}"/>
    <cellStyle name="20% - Accent6 2 2 7 2 2" xfId="13078" xr:uid="{00000000-0005-0000-0000-0000002A0000}"/>
    <cellStyle name="20% - Accent6 2 2 7 2 2 2" xfId="32138" xr:uid="{00000000-0005-0000-0000-0000012A0000}"/>
    <cellStyle name="20% - Accent6 2 2 7 2 3" xfId="32890" xr:uid="{00000000-0005-0000-0000-0000022A0000}"/>
    <cellStyle name="20% - Accent6 2 2 7 3" xfId="22372" xr:uid="{00000000-0005-0000-0000-0000032A0000}"/>
    <cellStyle name="20% - Accent6 2 2 7 3 2" xfId="28276" xr:uid="{00000000-0005-0000-0000-0000042A0000}"/>
    <cellStyle name="20% - Accent6 2 2 7 4" xfId="24635" xr:uid="{00000000-0005-0000-0000-0000052A0000}"/>
    <cellStyle name="20% - Accent6 2 2 8" xfId="13079" xr:uid="{00000000-0005-0000-0000-0000062A0000}"/>
    <cellStyle name="20% - Accent6 2 2 8 2" xfId="13082" xr:uid="{00000000-0005-0000-0000-0000072A0000}"/>
    <cellStyle name="20% - Accent6 2 2 8 2 2" xfId="33643" xr:uid="{00000000-0005-0000-0000-0000082A0000}"/>
    <cellStyle name="20% - Accent6 2 2 8 3" xfId="13089" xr:uid="{00000000-0005-0000-0000-0000092A0000}"/>
    <cellStyle name="20% - Accent6 2 2 9" xfId="13093" xr:uid="{00000000-0005-0000-0000-00000A2A0000}"/>
    <cellStyle name="20% - Accent6 2 2 9 2" xfId="28944" xr:uid="{00000000-0005-0000-0000-00000B2A0000}"/>
    <cellStyle name="20% - Accent6 2 3" xfId="13095" xr:uid="{00000000-0005-0000-0000-00000C2A0000}"/>
    <cellStyle name="20% - Accent6 2 3 2" xfId="3512" xr:uid="{00000000-0005-0000-0000-00000D2A0000}"/>
    <cellStyle name="20% - Accent6 2 3 2 2" xfId="13149" xr:uid="{00000000-0005-0000-0000-00000E2A0000}"/>
    <cellStyle name="20% - Accent6 2 3 2 2 2" xfId="18878" xr:uid="{00000000-0005-0000-0000-00000F2A0000}"/>
    <cellStyle name="20% - Accent6 2 3 2 2 2 2" xfId="7946" xr:uid="{00000000-0005-0000-0000-0000102A0000}"/>
    <cellStyle name="20% - Accent6 2 3 2 2 2 2 2" xfId="7411" xr:uid="{00000000-0005-0000-0000-0000112A0000}"/>
    <cellStyle name="20% - Accent6 2 3 2 2 2 2 2 2" xfId="26641" xr:uid="{00000000-0005-0000-0000-0000122A0000}"/>
    <cellStyle name="20% - Accent6 2 3 2 2 2 2 2 2 2" xfId="11818" xr:uid="{00000000-0005-0000-0000-0000132A0000}"/>
    <cellStyle name="20% - Accent6 2 3 2 2 2 2 2 2 2 2" xfId="13098" xr:uid="{00000000-0005-0000-0000-0000142A0000}"/>
    <cellStyle name="20% - Accent6 2 3 2 2 2 2 2 2 3" xfId="17508" xr:uid="{00000000-0005-0000-0000-0000152A0000}"/>
    <cellStyle name="20% - Accent6 2 3 2 2 2 2 2 3" xfId="17372" xr:uid="{00000000-0005-0000-0000-0000162A0000}"/>
    <cellStyle name="20% - Accent6 2 3 2 2 2 2 2 3 2" xfId="11831" xr:uid="{00000000-0005-0000-0000-0000172A0000}"/>
    <cellStyle name="20% - Accent6 2 3 2 2 2 2 2 4" xfId="15948" xr:uid="{00000000-0005-0000-0000-0000182A0000}"/>
    <cellStyle name="20% - Accent6 2 3 2 2 2 2 3" xfId="7124" xr:uid="{00000000-0005-0000-0000-0000192A0000}"/>
    <cellStyle name="20% - Accent6 2 3 2 2 2 2 3 2" xfId="10657" xr:uid="{00000000-0005-0000-0000-00001A2A0000}"/>
    <cellStyle name="20% - Accent6 2 3 2 2 2 2 3 2 2" xfId="11841" xr:uid="{00000000-0005-0000-0000-00001B2A0000}"/>
    <cellStyle name="20% - Accent6 2 3 2 2 2 2 3 3" xfId="8577" xr:uid="{00000000-0005-0000-0000-00001C2A0000}"/>
    <cellStyle name="20% - Accent6 2 3 2 2 2 2 4" xfId="7762" xr:uid="{00000000-0005-0000-0000-00001D2A0000}"/>
    <cellStyle name="20% - Accent6 2 3 2 2 2 2 4 2" xfId="10643" xr:uid="{00000000-0005-0000-0000-00001E2A0000}"/>
    <cellStyle name="20% - Accent6 2 3 2 2 2 2 5" xfId="13100" xr:uid="{00000000-0005-0000-0000-00001F2A0000}"/>
    <cellStyle name="20% - Accent6 2 3 2 2 2 3" xfId="13102" xr:uid="{00000000-0005-0000-0000-0000202A0000}"/>
    <cellStyle name="20% - Accent6 2 3 2 2 2 3 2" xfId="23848" xr:uid="{00000000-0005-0000-0000-0000212A0000}"/>
    <cellStyle name="20% - Accent6 2 3 2 2 2 3 2 2" xfId="20556" xr:uid="{00000000-0005-0000-0000-0000222A0000}"/>
    <cellStyle name="20% - Accent6 2 3 2 2 2 3 2 2 2" xfId="23992" xr:uid="{00000000-0005-0000-0000-0000232A0000}"/>
    <cellStyle name="20% - Accent6 2 3 2 2 2 3 2 3" xfId="28566" xr:uid="{00000000-0005-0000-0000-0000242A0000}"/>
    <cellStyle name="20% - Accent6 2 3 2 2 2 3 3" xfId="14689" xr:uid="{00000000-0005-0000-0000-0000252A0000}"/>
    <cellStyle name="20% - Accent6 2 3 2 2 2 3 3 2" xfId="20622" xr:uid="{00000000-0005-0000-0000-0000262A0000}"/>
    <cellStyle name="20% - Accent6 2 3 2 2 2 3 4" xfId="13103" xr:uid="{00000000-0005-0000-0000-0000272A0000}"/>
    <cellStyle name="20% - Accent6 2 3 2 2 2 4" xfId="13108" xr:uid="{00000000-0005-0000-0000-0000282A0000}"/>
    <cellStyle name="20% - Accent6 2 3 2 2 2 4 2" xfId="756" xr:uid="{00000000-0005-0000-0000-0000292A0000}"/>
    <cellStyle name="20% - Accent6 2 3 2 2 2 4 2 2" xfId="20772" xr:uid="{00000000-0005-0000-0000-00002A2A0000}"/>
    <cellStyle name="20% - Accent6 2 3 2 2 2 4 3" xfId="13110" xr:uid="{00000000-0005-0000-0000-00002B2A0000}"/>
    <cellStyle name="20% - Accent6 2 3 2 2 2 5" xfId="13111" xr:uid="{00000000-0005-0000-0000-00002C2A0000}"/>
    <cellStyle name="20% - Accent6 2 3 2 2 2 5 2" xfId="13" xr:uid="{00000000-0005-0000-0000-00002D2A0000}"/>
    <cellStyle name="20% - Accent6 2 3 2 2 2 6" xfId="13114" xr:uid="{00000000-0005-0000-0000-00002E2A0000}"/>
    <cellStyle name="20% - Accent6 2 3 2 2 3" xfId="13115" xr:uid="{00000000-0005-0000-0000-00002F2A0000}"/>
    <cellStyle name="20% - Accent6 2 3 2 2 3 2" xfId="13116" xr:uid="{00000000-0005-0000-0000-0000302A0000}"/>
    <cellStyle name="20% - Accent6 2 3 2 2 3 2 2" xfId="1939" xr:uid="{00000000-0005-0000-0000-0000312A0000}"/>
    <cellStyle name="20% - Accent6 2 3 2 2 3 2 2 2" xfId="10789" xr:uid="{00000000-0005-0000-0000-0000322A0000}"/>
    <cellStyle name="20% - Accent6 2 3 2 2 3 2 2 2 2" xfId="11884" xr:uid="{00000000-0005-0000-0000-0000332A0000}"/>
    <cellStyle name="20% - Accent6 2 3 2 2 3 2 2 3" xfId="10153" xr:uid="{00000000-0005-0000-0000-0000342A0000}"/>
    <cellStyle name="20% - Accent6 2 3 2 2 3 2 3" xfId="3290" xr:uid="{00000000-0005-0000-0000-0000352A0000}"/>
    <cellStyle name="20% - Accent6 2 3 2 2 3 2 3 2" xfId="15904" xr:uid="{00000000-0005-0000-0000-0000362A0000}"/>
    <cellStyle name="20% - Accent6 2 3 2 2 3 2 4" xfId="13117" xr:uid="{00000000-0005-0000-0000-0000372A0000}"/>
    <cellStyle name="20% - Accent6 2 3 2 2 3 3" xfId="32847" xr:uid="{00000000-0005-0000-0000-0000382A0000}"/>
    <cellStyle name="20% - Accent6 2 3 2 2 3 3 2" xfId="13092" xr:uid="{00000000-0005-0000-0000-0000392A0000}"/>
    <cellStyle name="20% - Accent6 2 3 2 2 3 3 2 2" xfId="18612" xr:uid="{00000000-0005-0000-0000-00003A2A0000}"/>
    <cellStyle name="20% - Accent6 2 3 2 2 3 3 3" xfId="13119" xr:uid="{00000000-0005-0000-0000-00003B2A0000}"/>
    <cellStyle name="20% - Accent6 2 3 2 2 3 4" xfId="30262" xr:uid="{00000000-0005-0000-0000-00003C2A0000}"/>
    <cellStyle name="20% - Accent6 2 3 2 2 3 4 2" xfId="13120" xr:uid="{00000000-0005-0000-0000-00003D2A0000}"/>
    <cellStyle name="20% - Accent6 2 3 2 2 3 5" xfId="11063" xr:uid="{00000000-0005-0000-0000-00003E2A0000}"/>
    <cellStyle name="20% - Accent6 2 3 2 2 4" xfId="13121" xr:uid="{00000000-0005-0000-0000-00003F2A0000}"/>
    <cellStyle name="20% - Accent6 2 3 2 2 4 2" xfId="13123" xr:uid="{00000000-0005-0000-0000-0000402A0000}"/>
    <cellStyle name="20% - Accent6 2 3 2 2 4 2 2" xfId="31411" xr:uid="{00000000-0005-0000-0000-0000412A0000}"/>
    <cellStyle name="20% - Accent6 2 3 2 2 4 2 2 2" xfId="13420" xr:uid="{00000000-0005-0000-0000-0000422A0000}"/>
    <cellStyle name="20% - Accent6 2 3 2 2 4 2 3" xfId="11435" xr:uid="{00000000-0005-0000-0000-0000432A0000}"/>
    <cellStyle name="20% - Accent6 2 3 2 2 4 3" xfId="16045" xr:uid="{00000000-0005-0000-0000-0000442A0000}"/>
    <cellStyle name="20% - Accent6 2 3 2 2 4 3 2" xfId="11436" xr:uid="{00000000-0005-0000-0000-0000452A0000}"/>
    <cellStyle name="20% - Accent6 2 3 2 2 4 4" xfId="12280" xr:uid="{00000000-0005-0000-0000-0000462A0000}"/>
    <cellStyle name="20% - Accent6 2 3 2 2 5" xfId="12485" xr:uid="{00000000-0005-0000-0000-0000472A0000}"/>
    <cellStyle name="20% - Accent6 2 3 2 2 5 2" xfId="7512" xr:uid="{00000000-0005-0000-0000-0000482A0000}"/>
    <cellStyle name="20% - Accent6 2 3 2 2 5 2 2" xfId="11504" xr:uid="{00000000-0005-0000-0000-0000492A0000}"/>
    <cellStyle name="20% - Accent6 2 3 2 2 5 3" xfId="12488" xr:uid="{00000000-0005-0000-0000-00004A2A0000}"/>
    <cellStyle name="20% - Accent6 2 3 2 2 6" xfId="12491" xr:uid="{00000000-0005-0000-0000-00004B2A0000}"/>
    <cellStyle name="20% - Accent6 2 3 2 2 6 2" xfId="12940" xr:uid="{00000000-0005-0000-0000-00004C2A0000}"/>
    <cellStyle name="20% - Accent6 2 3 2 2 7" xfId="14562" xr:uid="{00000000-0005-0000-0000-00004D2A0000}"/>
    <cellStyle name="20% - Accent6 2 3 2 3" xfId="12924" xr:uid="{00000000-0005-0000-0000-00004E2A0000}"/>
    <cellStyle name="20% - Accent6 2 3 2 3 2" xfId="12565" xr:uid="{00000000-0005-0000-0000-00004F2A0000}"/>
    <cellStyle name="20% - Accent6 2 3 2 3 2 2" xfId="12567" xr:uid="{00000000-0005-0000-0000-0000502A0000}"/>
    <cellStyle name="20% - Accent6 2 3 2 3 2 2 2" xfId="2505" xr:uid="{00000000-0005-0000-0000-0000512A0000}"/>
    <cellStyle name="20% - Accent6 2 3 2 3 2 2 2 2" xfId="12420" xr:uid="{00000000-0005-0000-0000-0000522A0000}"/>
    <cellStyle name="20% - Accent6 2 3 2 3 2 2 2 2 2" xfId="3188" xr:uid="{00000000-0005-0000-0000-0000532A0000}"/>
    <cellStyle name="20% - Accent6 2 3 2 3 2 2 2 3" xfId="8310" xr:uid="{00000000-0005-0000-0000-0000542A0000}"/>
    <cellStyle name="20% - Accent6 2 3 2 3 2 2 3" xfId="2508" xr:uid="{00000000-0005-0000-0000-0000552A0000}"/>
    <cellStyle name="20% - Accent6 2 3 2 3 2 2 3 2" xfId="8263" xr:uid="{00000000-0005-0000-0000-0000562A0000}"/>
    <cellStyle name="20% - Accent6 2 3 2 3 2 2 4" xfId="9804" xr:uid="{00000000-0005-0000-0000-0000572A0000}"/>
    <cellStyle name="20% - Accent6 2 3 2 3 2 3" xfId="28968" xr:uid="{00000000-0005-0000-0000-0000582A0000}"/>
    <cellStyle name="20% - Accent6 2 3 2 3 2 3 2" xfId="2538" xr:uid="{00000000-0005-0000-0000-0000592A0000}"/>
    <cellStyle name="20% - Accent6 2 3 2 3 2 3 2 2" xfId="8271" xr:uid="{00000000-0005-0000-0000-00005A2A0000}"/>
    <cellStyle name="20% - Accent6 2 3 2 3 2 3 3" xfId="9829" xr:uid="{00000000-0005-0000-0000-00005B2A0000}"/>
    <cellStyle name="20% - Accent6 2 3 2 3 2 4" xfId="22143" xr:uid="{00000000-0005-0000-0000-00005C2A0000}"/>
    <cellStyle name="20% - Accent6 2 3 2 3 2 4 2" xfId="9841" xr:uid="{00000000-0005-0000-0000-00005D2A0000}"/>
    <cellStyle name="20% - Accent6 2 3 2 3 2 5" xfId="13133" xr:uid="{00000000-0005-0000-0000-00005E2A0000}"/>
    <cellStyle name="20% - Accent6 2 3 2 3 3" xfId="12905" xr:uid="{00000000-0005-0000-0000-00005F2A0000}"/>
    <cellStyle name="20% - Accent6 2 3 2 3 3 2" xfId="13135" xr:uid="{00000000-0005-0000-0000-0000602A0000}"/>
    <cellStyle name="20% - Accent6 2 3 2 3 3 2 2" xfId="1509" xr:uid="{00000000-0005-0000-0000-0000612A0000}"/>
    <cellStyle name="20% - Accent6 2 3 2 3 3 2 2 2" xfId="31606" xr:uid="{00000000-0005-0000-0000-0000622A0000}"/>
    <cellStyle name="20% - Accent6 2 3 2 3 3 2 3" xfId="14795" xr:uid="{00000000-0005-0000-0000-0000632A0000}"/>
    <cellStyle name="20% - Accent6 2 3 2 3 3 3" xfId="28981" xr:uid="{00000000-0005-0000-0000-0000642A0000}"/>
    <cellStyle name="20% - Accent6 2 3 2 3 3 3 2" xfId="9861" xr:uid="{00000000-0005-0000-0000-0000652A0000}"/>
    <cellStyle name="20% - Accent6 2 3 2 3 3 4" xfId="33082" xr:uid="{00000000-0005-0000-0000-0000662A0000}"/>
    <cellStyle name="20% - Accent6 2 3 2 3 4" xfId="13139" xr:uid="{00000000-0005-0000-0000-0000672A0000}"/>
    <cellStyle name="20% - Accent6 2 3 2 3 4 2" xfId="13145" xr:uid="{00000000-0005-0000-0000-0000682A0000}"/>
    <cellStyle name="20% - Accent6 2 3 2 3 4 2 2" xfId="9871" xr:uid="{00000000-0005-0000-0000-0000692A0000}"/>
    <cellStyle name="20% - Accent6 2 3 2 3 4 3" xfId="21168" xr:uid="{00000000-0005-0000-0000-00006A2A0000}"/>
    <cellStyle name="20% - Accent6 2 3 2 3 5" xfId="13061" xr:uid="{00000000-0005-0000-0000-00006B2A0000}"/>
    <cellStyle name="20% - Accent6 2 3 2 3 5 2" xfId="12494" xr:uid="{00000000-0005-0000-0000-00006C2A0000}"/>
    <cellStyle name="20% - Accent6 2 3 2 3 6" xfId="13070" xr:uid="{00000000-0005-0000-0000-00006D2A0000}"/>
    <cellStyle name="20% - Accent6 2 3 2 4" xfId="13096" xr:uid="{00000000-0005-0000-0000-00006E2A0000}"/>
    <cellStyle name="20% - Accent6 2 3 2 4 2" xfId="3514" xr:uid="{00000000-0005-0000-0000-00006F2A0000}"/>
    <cellStyle name="20% - Accent6 2 3 2 4 2 2" xfId="13151" xr:uid="{00000000-0005-0000-0000-0000702A0000}"/>
    <cellStyle name="20% - Accent6 2 3 2 4 2 2 2" xfId="1203" xr:uid="{00000000-0005-0000-0000-0000712A0000}"/>
    <cellStyle name="20% - Accent6 2 3 2 4 2 2 2 2" xfId="28653" xr:uid="{00000000-0005-0000-0000-0000722A0000}"/>
    <cellStyle name="20% - Accent6 2 3 2 4 2 2 3" xfId="10337" xr:uid="{00000000-0005-0000-0000-0000732A0000}"/>
    <cellStyle name="20% - Accent6 2 3 2 4 2 3" xfId="13154" xr:uid="{00000000-0005-0000-0000-0000742A0000}"/>
    <cellStyle name="20% - Accent6 2 3 2 4 2 3 2" xfId="30230" xr:uid="{00000000-0005-0000-0000-0000752A0000}"/>
    <cellStyle name="20% - Accent6 2 3 2 4 2 4" xfId="13157" xr:uid="{00000000-0005-0000-0000-0000762A0000}"/>
    <cellStyle name="20% - Accent6 2 3 2 4 3" xfId="13178" xr:uid="{00000000-0005-0000-0000-0000772A0000}"/>
    <cellStyle name="20% - Accent6 2 3 2 4 3 2" xfId="5338" xr:uid="{00000000-0005-0000-0000-0000782A0000}"/>
    <cellStyle name="20% - Accent6 2 3 2 4 3 2 2" xfId="29016" xr:uid="{00000000-0005-0000-0000-0000792A0000}"/>
    <cellStyle name="20% - Accent6 2 3 2 4 3 3" xfId="9495" xr:uid="{00000000-0005-0000-0000-00007A2A0000}"/>
    <cellStyle name="20% - Accent6 2 3 2 4 4" xfId="25768" xr:uid="{00000000-0005-0000-0000-00007B2A0000}"/>
    <cellStyle name="20% - Accent6 2 3 2 4 4 2" xfId="8939" xr:uid="{00000000-0005-0000-0000-00007C2A0000}"/>
    <cellStyle name="20% - Accent6 2 3 2 4 5" xfId="25771" xr:uid="{00000000-0005-0000-0000-00007D2A0000}"/>
    <cellStyle name="20% - Accent6 2 3 2 5" xfId="13881" xr:uid="{00000000-0005-0000-0000-00007E2A0000}"/>
    <cellStyle name="20% - Accent6 2 3 2 5 2" xfId="13296" xr:uid="{00000000-0005-0000-0000-00007F2A0000}"/>
    <cellStyle name="20% - Accent6 2 3 2 5 2 2" xfId="13302" xr:uid="{00000000-0005-0000-0000-0000802A0000}"/>
    <cellStyle name="20% - Accent6 2 3 2 5 2 2 2" xfId="10593" xr:uid="{00000000-0005-0000-0000-0000812A0000}"/>
    <cellStyle name="20% - Accent6 2 3 2 5 2 3" xfId="13160" xr:uid="{00000000-0005-0000-0000-0000822A0000}"/>
    <cellStyle name="20% - Accent6 2 3 2 5 3" xfId="13331" xr:uid="{00000000-0005-0000-0000-0000832A0000}"/>
    <cellStyle name="20% - Accent6 2 3 2 5 3 2" xfId="13336" xr:uid="{00000000-0005-0000-0000-0000842A0000}"/>
    <cellStyle name="20% - Accent6 2 3 2 5 4" xfId="25773" xr:uid="{00000000-0005-0000-0000-0000852A0000}"/>
    <cellStyle name="20% - Accent6 2 3 2 6" xfId="13891" xr:uid="{00000000-0005-0000-0000-0000862A0000}"/>
    <cellStyle name="20% - Accent6 2 3 2 6 2" xfId="13163" xr:uid="{00000000-0005-0000-0000-0000872A0000}"/>
    <cellStyle name="20% - Accent6 2 3 2 6 2 2" xfId="13166" xr:uid="{00000000-0005-0000-0000-0000882A0000}"/>
    <cellStyle name="20% - Accent6 2 3 2 6 3" xfId="13169" xr:uid="{00000000-0005-0000-0000-0000892A0000}"/>
    <cellStyle name="20% - Accent6 2 3 2 7" xfId="13171" xr:uid="{00000000-0005-0000-0000-00008A2A0000}"/>
    <cellStyle name="20% - Accent6 2 3 2 7 2" xfId="13174" xr:uid="{00000000-0005-0000-0000-00008B2A0000}"/>
    <cellStyle name="20% - Accent6 2 3 2 8" xfId="1262" xr:uid="{00000000-0005-0000-0000-00008C2A0000}"/>
    <cellStyle name="20% - Accent6 2 3 3" xfId="13176" xr:uid="{00000000-0005-0000-0000-00008D2A0000}"/>
    <cellStyle name="20% - Accent6 2 3 3 2" xfId="19618" xr:uid="{00000000-0005-0000-0000-00008E2A0000}"/>
    <cellStyle name="20% - Accent6 2 3 3 2 2" xfId="15157" xr:uid="{00000000-0005-0000-0000-00008F2A0000}"/>
    <cellStyle name="20% - Accent6 2 3 3 2 2 2" xfId="9884" xr:uid="{00000000-0005-0000-0000-0000902A0000}"/>
    <cellStyle name="20% - Accent6 2 3 3 2 2 2 2" xfId="4207" xr:uid="{00000000-0005-0000-0000-0000912A0000}"/>
    <cellStyle name="20% - Accent6 2 3 3 2 2 2 2 2" xfId="2103" xr:uid="{00000000-0005-0000-0000-0000922A0000}"/>
    <cellStyle name="20% - Accent6 2 3 3 2 2 2 2 2 2" xfId="12083" xr:uid="{00000000-0005-0000-0000-0000932A0000}"/>
    <cellStyle name="20% - Accent6 2 3 3 2 2 2 2 3" xfId="5095" xr:uid="{00000000-0005-0000-0000-0000942A0000}"/>
    <cellStyle name="20% - Accent6 2 3 3 2 2 2 3" xfId="8474" xr:uid="{00000000-0005-0000-0000-0000952A0000}"/>
    <cellStyle name="20% - Accent6 2 3 3 2 2 2 3 2" xfId="5986" xr:uid="{00000000-0005-0000-0000-0000962A0000}"/>
    <cellStyle name="20% - Accent6 2 3 3 2 2 2 4" xfId="2913" xr:uid="{00000000-0005-0000-0000-0000972A0000}"/>
    <cellStyle name="20% - Accent6 2 3 3 2 2 3" xfId="13180" xr:uid="{00000000-0005-0000-0000-0000982A0000}"/>
    <cellStyle name="20% - Accent6 2 3 3 2 2 3 2" xfId="10442" xr:uid="{00000000-0005-0000-0000-0000992A0000}"/>
    <cellStyle name="20% - Accent6 2 3 3 2 2 3 2 2" xfId="2123" xr:uid="{00000000-0005-0000-0000-00009A2A0000}"/>
    <cellStyle name="20% - Accent6 2 3 3 2 2 3 3" xfId="13181" xr:uid="{00000000-0005-0000-0000-00009B2A0000}"/>
    <cellStyle name="20% - Accent6 2 3 3 2 2 4" xfId="18638" xr:uid="{00000000-0005-0000-0000-00009C2A0000}"/>
    <cellStyle name="20% - Accent6 2 3 3 2 2 4 2" xfId="13183" xr:uid="{00000000-0005-0000-0000-00009D2A0000}"/>
    <cellStyle name="20% - Accent6 2 3 3 2 2 5" xfId="1009" xr:uid="{00000000-0005-0000-0000-00009E2A0000}"/>
    <cellStyle name="20% - Accent6 2 3 3 2 3" xfId="30497" xr:uid="{00000000-0005-0000-0000-00009F2A0000}"/>
    <cellStyle name="20% - Accent6 2 3 3 2 3 2" xfId="30500" xr:uid="{00000000-0005-0000-0000-0000A02A0000}"/>
    <cellStyle name="20% - Accent6 2 3 3 2 3 2 2" xfId="5511" xr:uid="{00000000-0005-0000-0000-0000A12A0000}"/>
    <cellStyle name="20% - Accent6 2 3 3 2 3 2 2 2" xfId="2261" xr:uid="{00000000-0005-0000-0000-0000A22A0000}"/>
    <cellStyle name="20% - Accent6 2 3 3 2 3 2 3" xfId="13187" xr:uid="{00000000-0005-0000-0000-0000A32A0000}"/>
    <cellStyle name="20% - Accent6 2 3 3 2 3 3" xfId="30286" xr:uid="{00000000-0005-0000-0000-0000A42A0000}"/>
    <cellStyle name="20% - Accent6 2 3 3 2 3 3 2" xfId="9676" xr:uid="{00000000-0005-0000-0000-0000A52A0000}"/>
    <cellStyle name="20% - Accent6 2 3 3 2 3 4" xfId="25215" xr:uid="{00000000-0005-0000-0000-0000A62A0000}"/>
    <cellStyle name="20% - Accent6 2 3 3 2 4" xfId="23541" xr:uid="{00000000-0005-0000-0000-0000A72A0000}"/>
    <cellStyle name="20% - Accent6 2 3 3 2 4 2" xfId="19608" xr:uid="{00000000-0005-0000-0000-0000A82A0000}"/>
    <cellStyle name="20% - Accent6 2 3 3 2 4 2 2" xfId="11625" xr:uid="{00000000-0005-0000-0000-0000A92A0000}"/>
    <cellStyle name="20% - Accent6 2 3 3 2 4 3" xfId="13188" xr:uid="{00000000-0005-0000-0000-0000AA2A0000}"/>
    <cellStyle name="20% - Accent6 2 3 3 2 5" xfId="5848" xr:uid="{00000000-0005-0000-0000-0000AB2A0000}"/>
    <cellStyle name="20% - Accent6 2 3 3 2 5 2" xfId="12522" xr:uid="{00000000-0005-0000-0000-0000AC2A0000}"/>
    <cellStyle name="20% - Accent6 2 3 3 2 6" xfId="12524" xr:uid="{00000000-0005-0000-0000-0000AD2A0000}"/>
    <cellStyle name="20% - Accent6 2 3 3 3" xfId="13426" xr:uid="{00000000-0005-0000-0000-0000AE2A0000}"/>
    <cellStyle name="20% - Accent6 2 3 3 3 2" xfId="13429" xr:uid="{00000000-0005-0000-0000-0000AF2A0000}"/>
    <cellStyle name="20% - Accent6 2 3 3 3 2 2" xfId="13431" xr:uid="{00000000-0005-0000-0000-0000B02A0000}"/>
    <cellStyle name="20% - Accent6 2 3 3 3 2 2 2" xfId="5761" xr:uid="{00000000-0005-0000-0000-0000B12A0000}"/>
    <cellStyle name="20% - Accent6 2 3 3 3 2 2 2 2" xfId="32594" xr:uid="{00000000-0005-0000-0000-0000B22A0000}"/>
    <cellStyle name="20% - Accent6 2 3 3 3 2 2 3" xfId="21636" xr:uid="{00000000-0005-0000-0000-0000B32A0000}"/>
    <cellStyle name="20% - Accent6 2 3 3 3 2 3" xfId="6256" xr:uid="{00000000-0005-0000-0000-0000B42A0000}"/>
    <cellStyle name="20% - Accent6 2 3 3 3 2 3 2" xfId="12275" xr:uid="{00000000-0005-0000-0000-0000B52A0000}"/>
    <cellStyle name="20% - Accent6 2 3 3 3 2 4" xfId="8378" xr:uid="{00000000-0005-0000-0000-0000B62A0000}"/>
    <cellStyle name="20% - Accent6 2 3 3 3 3" xfId="13190" xr:uid="{00000000-0005-0000-0000-0000B72A0000}"/>
    <cellStyle name="20% - Accent6 2 3 3 3 3 2" xfId="13584" xr:uid="{00000000-0005-0000-0000-0000B82A0000}"/>
    <cellStyle name="20% - Accent6 2 3 3 3 3 2 2" xfId="11738" xr:uid="{00000000-0005-0000-0000-0000B92A0000}"/>
    <cellStyle name="20% - Accent6 2 3 3 3 3 3" xfId="6862" xr:uid="{00000000-0005-0000-0000-0000BA2A0000}"/>
    <cellStyle name="20% - Accent6 2 3 3 3 4" xfId="16883" xr:uid="{00000000-0005-0000-0000-0000BB2A0000}"/>
    <cellStyle name="20% - Accent6 2 3 3 3 4 2" xfId="13196" xr:uid="{00000000-0005-0000-0000-0000BC2A0000}"/>
    <cellStyle name="20% - Accent6 2 3 3 3 5" xfId="1149" xr:uid="{00000000-0005-0000-0000-0000BD2A0000}"/>
    <cellStyle name="20% - Accent6 2 3 3 4" xfId="13318" xr:uid="{00000000-0005-0000-0000-0000BE2A0000}"/>
    <cellStyle name="20% - Accent6 2 3 3 4 2" xfId="13678" xr:uid="{00000000-0005-0000-0000-0000BF2A0000}"/>
    <cellStyle name="20% - Accent6 2 3 3 4 2 2" xfId="13683" xr:uid="{00000000-0005-0000-0000-0000C02A0000}"/>
    <cellStyle name="20% - Accent6 2 3 3 4 2 2 2" xfId="12158" xr:uid="{00000000-0005-0000-0000-0000C12A0000}"/>
    <cellStyle name="20% - Accent6 2 3 3 4 2 3" xfId="9140" xr:uid="{00000000-0005-0000-0000-0000C22A0000}"/>
    <cellStyle name="20% - Accent6 2 3 3 4 3" xfId="13199" xr:uid="{00000000-0005-0000-0000-0000C32A0000}"/>
    <cellStyle name="20% - Accent6 2 3 3 4 3 2" xfId="24745" xr:uid="{00000000-0005-0000-0000-0000C42A0000}"/>
    <cellStyle name="20% - Accent6 2 3 3 4 4" xfId="25783" xr:uid="{00000000-0005-0000-0000-0000C52A0000}"/>
    <cellStyle name="20% - Accent6 2 3 3 5" xfId="13321" xr:uid="{00000000-0005-0000-0000-0000C62A0000}"/>
    <cellStyle name="20% - Accent6 2 3 3 5 2" xfId="13779" xr:uid="{00000000-0005-0000-0000-0000C72A0000}"/>
    <cellStyle name="20% - Accent6 2 3 3 5 2 2" xfId="24798" xr:uid="{00000000-0005-0000-0000-0000C82A0000}"/>
    <cellStyle name="20% - Accent6 2 3 3 5 3" xfId="13203" xr:uid="{00000000-0005-0000-0000-0000C92A0000}"/>
    <cellStyle name="20% - Accent6 2 3 3 6" xfId="13206" xr:uid="{00000000-0005-0000-0000-0000CA2A0000}"/>
    <cellStyle name="20% - Accent6 2 3 3 6 2" xfId="8434" xr:uid="{00000000-0005-0000-0000-0000CB2A0000}"/>
    <cellStyle name="20% - Accent6 2 3 3 7" xfId="13208" xr:uid="{00000000-0005-0000-0000-0000CC2A0000}"/>
    <cellStyle name="20% - Accent6 2 3 4" xfId="859" xr:uid="{00000000-0005-0000-0000-0000CD2A0000}"/>
    <cellStyle name="20% - Accent6 2 3 4 2" xfId="8936" xr:uid="{00000000-0005-0000-0000-0000CE2A0000}"/>
    <cellStyle name="20% - Accent6 2 3 4 2 2" xfId="26945" xr:uid="{00000000-0005-0000-0000-0000CF2A0000}"/>
    <cellStyle name="20% - Accent6 2 3 4 2 2 2" xfId="4162" xr:uid="{00000000-0005-0000-0000-0000D02A0000}"/>
    <cellStyle name="20% - Accent6 2 3 4 2 2 2 2" xfId="24495" xr:uid="{00000000-0005-0000-0000-0000D12A0000}"/>
    <cellStyle name="20% - Accent6 2 3 4 2 2 2 2 2" xfId="9081" xr:uid="{00000000-0005-0000-0000-0000D22A0000}"/>
    <cellStyle name="20% - Accent6 2 3 4 2 2 2 3" xfId="31784" xr:uid="{00000000-0005-0000-0000-0000D32A0000}"/>
    <cellStyle name="20% - Accent6 2 3 4 2 2 3" xfId="13210" xr:uid="{00000000-0005-0000-0000-0000D42A0000}"/>
    <cellStyle name="20% - Accent6 2 3 4 2 2 3 2" xfId="13213" xr:uid="{00000000-0005-0000-0000-0000D52A0000}"/>
    <cellStyle name="20% - Accent6 2 3 4 2 2 4" xfId="4666" xr:uid="{00000000-0005-0000-0000-0000D62A0000}"/>
    <cellStyle name="20% - Accent6 2 3 4 2 3" xfId="30506" xr:uid="{00000000-0005-0000-0000-0000D72A0000}"/>
    <cellStyle name="20% - Accent6 2 3 4 2 3 2" xfId="13214" xr:uid="{00000000-0005-0000-0000-0000D82A0000}"/>
    <cellStyle name="20% - Accent6 2 3 4 2 3 2 2" xfId="9444" xr:uid="{00000000-0005-0000-0000-0000D92A0000}"/>
    <cellStyle name="20% - Accent6 2 3 4 2 3 3" xfId="13216" xr:uid="{00000000-0005-0000-0000-0000DA2A0000}"/>
    <cellStyle name="20% - Accent6 2 3 4 2 4" xfId="13220" xr:uid="{00000000-0005-0000-0000-0000DB2A0000}"/>
    <cellStyle name="20% - Accent6 2 3 4 2 4 2" xfId="13226" xr:uid="{00000000-0005-0000-0000-0000DC2A0000}"/>
    <cellStyle name="20% - Accent6 2 3 4 2 5" xfId="12544" xr:uid="{00000000-0005-0000-0000-0000DD2A0000}"/>
    <cellStyle name="20% - Accent6 2 3 4 3" xfId="13826" xr:uid="{00000000-0005-0000-0000-0000DE2A0000}"/>
    <cellStyle name="20% - Accent6 2 3 4 3 2" xfId="13230" xr:uid="{00000000-0005-0000-0000-0000DF2A0000}"/>
    <cellStyle name="20% - Accent6 2 3 4 3 2 2" xfId="13829" xr:uid="{00000000-0005-0000-0000-0000E02A0000}"/>
    <cellStyle name="20% - Accent6 2 3 4 3 2 2 2" xfId="13236" xr:uid="{00000000-0005-0000-0000-0000E12A0000}"/>
    <cellStyle name="20% - Accent6 2 3 4 3 2 3" xfId="10491" xr:uid="{00000000-0005-0000-0000-0000E22A0000}"/>
    <cellStyle name="20% - Accent6 2 3 4 3 3" xfId="13240" xr:uid="{00000000-0005-0000-0000-0000E32A0000}"/>
    <cellStyle name="20% - Accent6 2 3 4 3 3 2" xfId="13247" xr:uid="{00000000-0005-0000-0000-0000E42A0000}"/>
    <cellStyle name="20% - Accent6 2 3 4 3 4" xfId="13251" xr:uid="{00000000-0005-0000-0000-0000E52A0000}"/>
    <cellStyle name="20% - Accent6 2 3 4 4" xfId="13323" xr:uid="{00000000-0005-0000-0000-0000E62A0000}"/>
    <cellStyle name="20% - Accent6 2 3 4 4 2" xfId="13255" xr:uid="{00000000-0005-0000-0000-0000E72A0000}"/>
    <cellStyle name="20% - Accent6 2 3 4 4 2 2" xfId="12192" xr:uid="{00000000-0005-0000-0000-0000E82A0000}"/>
    <cellStyle name="20% - Accent6 2 3 4 4 3" xfId="13261" xr:uid="{00000000-0005-0000-0000-0000E92A0000}"/>
    <cellStyle name="20% - Accent6 2 3 4 5" xfId="13966" xr:uid="{00000000-0005-0000-0000-0000EA2A0000}"/>
    <cellStyle name="20% - Accent6 2 3 4 5 2" xfId="13968" xr:uid="{00000000-0005-0000-0000-0000EB2A0000}"/>
    <cellStyle name="20% - Accent6 2 3 4 6" xfId="13264" xr:uid="{00000000-0005-0000-0000-0000EC2A0000}"/>
    <cellStyle name="20% - Accent6 2 3 5" xfId="32250" xr:uid="{00000000-0005-0000-0000-0000ED2A0000}"/>
    <cellStyle name="20% - Accent6 2 3 5 2" xfId="31060" xr:uid="{00000000-0005-0000-0000-0000EE2A0000}"/>
    <cellStyle name="20% - Accent6 2 3 5 2 2" xfId="33466" xr:uid="{00000000-0005-0000-0000-0000EF2A0000}"/>
    <cellStyle name="20% - Accent6 2 3 5 2 2 2" xfId="30332" xr:uid="{00000000-0005-0000-0000-0000F02A0000}"/>
    <cellStyle name="20% - Accent6 2 3 5 2 2 2 2" xfId="15342" xr:uid="{00000000-0005-0000-0000-0000F12A0000}"/>
    <cellStyle name="20% - Accent6 2 3 5 2 2 3" xfId="13660" xr:uid="{00000000-0005-0000-0000-0000F22A0000}"/>
    <cellStyle name="20% - Accent6 2 3 5 2 3" xfId="13852" xr:uid="{00000000-0005-0000-0000-0000F32A0000}"/>
    <cellStyle name="20% - Accent6 2 3 5 2 3 2" xfId="31983" xr:uid="{00000000-0005-0000-0000-0000F42A0000}"/>
    <cellStyle name="20% - Accent6 2 3 5 2 4" xfId="13275" xr:uid="{00000000-0005-0000-0000-0000F52A0000}"/>
    <cellStyle name="20% - Accent6 2 3 5 3" xfId="14434" xr:uid="{00000000-0005-0000-0000-0000F62A0000}"/>
    <cellStyle name="20% - Accent6 2 3 5 3 2" xfId="13278" xr:uid="{00000000-0005-0000-0000-0000F72A0000}"/>
    <cellStyle name="20% - Accent6 2 3 5 3 2 2" xfId="14044" xr:uid="{00000000-0005-0000-0000-0000F82A0000}"/>
    <cellStyle name="20% - Accent6 2 3 5 3 3" xfId="8573" xr:uid="{00000000-0005-0000-0000-0000F92A0000}"/>
    <cellStyle name="20% - Accent6 2 3 5 4" xfId="14085" xr:uid="{00000000-0005-0000-0000-0000FA2A0000}"/>
    <cellStyle name="20% - Accent6 2 3 5 4 2" xfId="14089" xr:uid="{00000000-0005-0000-0000-0000FB2A0000}"/>
    <cellStyle name="20% - Accent6 2 3 5 5" xfId="14118" xr:uid="{00000000-0005-0000-0000-0000FC2A0000}"/>
    <cellStyle name="20% - Accent6 2 3 6" xfId="28402" xr:uid="{00000000-0005-0000-0000-0000FD2A0000}"/>
    <cellStyle name="20% - Accent6 2 3 6 2" xfId="32946" xr:uid="{00000000-0005-0000-0000-0000FE2A0000}"/>
    <cellStyle name="20% - Accent6 2 3 6 2 2" xfId="33359" xr:uid="{00000000-0005-0000-0000-0000FF2A0000}"/>
    <cellStyle name="20% - Accent6 2 3 6 2 2 2" xfId="32950" xr:uid="{00000000-0005-0000-0000-0000002B0000}"/>
    <cellStyle name="20% - Accent6 2 3 6 2 3" xfId="13743" xr:uid="{00000000-0005-0000-0000-0000012B0000}"/>
    <cellStyle name="20% - Accent6 2 3 6 3" xfId="14165" xr:uid="{00000000-0005-0000-0000-0000022B0000}"/>
    <cellStyle name="20% - Accent6 2 3 6 3 2" xfId="14171" xr:uid="{00000000-0005-0000-0000-0000032B0000}"/>
    <cellStyle name="20% - Accent6 2 3 6 4" xfId="14182" xr:uid="{00000000-0005-0000-0000-0000042B0000}"/>
    <cellStyle name="20% - Accent6 2 3 7" xfId="28185" xr:uid="{00000000-0005-0000-0000-0000052B0000}"/>
    <cellStyle name="20% - Accent6 2 3 7 2" xfId="13282" xr:uid="{00000000-0005-0000-0000-0000062B0000}"/>
    <cellStyle name="20% - Accent6 2 3 7 2 2" xfId="33667" xr:uid="{00000000-0005-0000-0000-0000072B0000}"/>
    <cellStyle name="20% - Accent6 2 3 7 3" xfId="13286" xr:uid="{00000000-0005-0000-0000-0000082B0000}"/>
    <cellStyle name="20% - Accent6 2 3 8" xfId="33580" xr:uid="{00000000-0005-0000-0000-0000092B0000}"/>
    <cellStyle name="20% - Accent6 2 3 8 2" xfId="13291" xr:uid="{00000000-0005-0000-0000-00000A2B0000}"/>
    <cellStyle name="20% - Accent6 2 3 9" xfId="13293" xr:uid="{00000000-0005-0000-0000-00000B2B0000}"/>
    <cellStyle name="20% - Accent6 2 4" xfId="13880" xr:uid="{00000000-0005-0000-0000-00000C2B0000}"/>
    <cellStyle name="20% - Accent6 2 4 2" xfId="24437" xr:uid="{00000000-0005-0000-0000-00000D2B0000}"/>
    <cellStyle name="20% - Accent6 2 4 2 2" xfId="13299" xr:uid="{00000000-0005-0000-0000-00000E2B0000}"/>
    <cellStyle name="20% - Accent6 2 4 2 2 2" xfId="14751" xr:uid="{00000000-0005-0000-0000-00000F2B0000}"/>
    <cellStyle name="20% - Accent6 2 4 2 2 2 2" xfId="11802" xr:uid="{00000000-0005-0000-0000-0000102B0000}"/>
    <cellStyle name="20% - Accent6 2 4 2 2 2 2 2" xfId="11805" xr:uid="{00000000-0005-0000-0000-0000112B0000}"/>
    <cellStyle name="20% - Accent6 2 4 2 2 2 2 2 2" xfId="30076" xr:uid="{00000000-0005-0000-0000-0000122B0000}"/>
    <cellStyle name="20% - Accent6 2 4 2 2 2 2 2 2 2" xfId="12217" xr:uid="{00000000-0005-0000-0000-0000132B0000}"/>
    <cellStyle name="20% - Accent6 2 4 2 2 2 2 2 3" xfId="19241" xr:uid="{00000000-0005-0000-0000-0000142B0000}"/>
    <cellStyle name="20% - Accent6 2 4 2 2 2 2 3" xfId="11809" xr:uid="{00000000-0005-0000-0000-0000152B0000}"/>
    <cellStyle name="20% - Accent6 2 4 2 2 2 2 3 2" xfId="5860" xr:uid="{00000000-0005-0000-0000-0000162B0000}"/>
    <cellStyle name="20% - Accent6 2 4 2 2 2 2 4" xfId="6561" xr:uid="{00000000-0005-0000-0000-0000172B0000}"/>
    <cellStyle name="20% - Accent6 2 4 2 2 2 3" xfId="13271" xr:uid="{00000000-0005-0000-0000-0000182B0000}"/>
    <cellStyle name="20% - Accent6 2 4 2 2 2 3 2" xfId="20344" xr:uid="{00000000-0005-0000-0000-0000192B0000}"/>
    <cellStyle name="20% - Accent6 2 4 2 2 2 3 2 2" xfId="767" xr:uid="{00000000-0005-0000-0000-00001A2B0000}"/>
    <cellStyle name="20% - Accent6 2 4 2 2 2 3 3" xfId="21773" xr:uid="{00000000-0005-0000-0000-00001B2B0000}"/>
    <cellStyle name="20% - Accent6 2 4 2 2 2 4" xfId="10364" xr:uid="{00000000-0005-0000-0000-00001C2B0000}"/>
    <cellStyle name="20% - Accent6 2 4 2 2 2 4 2" xfId="21782" xr:uid="{00000000-0005-0000-0000-00001D2B0000}"/>
    <cellStyle name="20% - Accent6 2 4 2 2 2 5" xfId="10378" xr:uid="{00000000-0005-0000-0000-00001E2B0000}"/>
    <cellStyle name="20% - Accent6 2 4 2 2 3" xfId="14753" xr:uid="{00000000-0005-0000-0000-00001F2B0000}"/>
    <cellStyle name="20% - Accent6 2 4 2 2 3 2" xfId="11845" xr:uid="{00000000-0005-0000-0000-0000202B0000}"/>
    <cellStyle name="20% - Accent6 2 4 2 2 3 2 2" xfId="11849" xr:uid="{00000000-0005-0000-0000-0000212B0000}"/>
    <cellStyle name="20% - Accent6 2 4 2 2 3 2 2 2" xfId="6249" xr:uid="{00000000-0005-0000-0000-0000222B0000}"/>
    <cellStyle name="20% - Accent6 2 4 2 2 3 2 3" xfId="3673" xr:uid="{00000000-0005-0000-0000-0000232B0000}"/>
    <cellStyle name="20% - Accent6 2 4 2 2 3 3" xfId="32997" xr:uid="{00000000-0005-0000-0000-0000242B0000}"/>
    <cellStyle name="20% - Accent6 2 4 2 2 3 3 2" xfId="20003" xr:uid="{00000000-0005-0000-0000-0000252B0000}"/>
    <cellStyle name="20% - Accent6 2 4 2 2 3 4" xfId="17613" xr:uid="{00000000-0005-0000-0000-0000262B0000}"/>
    <cellStyle name="20% - Accent6 2 4 2 2 4" xfId="9971" xr:uid="{00000000-0005-0000-0000-0000272B0000}"/>
    <cellStyle name="20% - Accent6 2 4 2 2 4 2" xfId="11866" xr:uid="{00000000-0005-0000-0000-0000282B0000}"/>
    <cellStyle name="20% - Accent6 2 4 2 2 4 2 2" xfId="3962" xr:uid="{00000000-0005-0000-0000-0000292B0000}"/>
    <cellStyle name="20% - Accent6 2 4 2 2 4 3" xfId="10671" xr:uid="{00000000-0005-0000-0000-00002A2B0000}"/>
    <cellStyle name="20% - Accent6 2 4 2 2 5" xfId="13305" xr:uid="{00000000-0005-0000-0000-00002B2B0000}"/>
    <cellStyle name="20% - Accent6 2 4 2 2 5 2" xfId="27856" xr:uid="{00000000-0005-0000-0000-00002C2B0000}"/>
    <cellStyle name="20% - Accent6 2 4 2 2 6" xfId="26224" xr:uid="{00000000-0005-0000-0000-00002D2B0000}"/>
    <cellStyle name="20% - Accent6 2 4 2 3" xfId="13159" xr:uid="{00000000-0005-0000-0000-00002E2B0000}"/>
    <cellStyle name="20% - Accent6 2 4 2 3 2" xfId="9007" xr:uid="{00000000-0005-0000-0000-00002F2B0000}"/>
    <cellStyle name="20% - Accent6 2 4 2 3 2 2" xfId="15172" xr:uid="{00000000-0005-0000-0000-0000302B0000}"/>
    <cellStyle name="20% - Accent6 2 4 2 3 2 2 2" xfId="11882" xr:uid="{00000000-0005-0000-0000-0000312B0000}"/>
    <cellStyle name="20% - Accent6 2 4 2 3 2 2 2 2" xfId="14414" xr:uid="{00000000-0005-0000-0000-0000322B0000}"/>
    <cellStyle name="20% - Accent6 2 4 2 3 2 2 3" xfId="418" xr:uid="{00000000-0005-0000-0000-0000332B0000}"/>
    <cellStyle name="20% - Accent6 2 4 2 3 2 3" xfId="17626" xr:uid="{00000000-0005-0000-0000-0000342B0000}"/>
    <cellStyle name="20% - Accent6 2 4 2 3 2 3 2" xfId="21834" xr:uid="{00000000-0005-0000-0000-0000352B0000}"/>
    <cellStyle name="20% - Accent6 2 4 2 3 2 4" xfId="17631" xr:uid="{00000000-0005-0000-0000-0000362B0000}"/>
    <cellStyle name="20% - Accent6 2 4 2 3 3" xfId="9974" xr:uid="{00000000-0005-0000-0000-0000372B0000}"/>
    <cellStyle name="20% - Accent6 2 4 2 3 3 2" xfId="12292" xr:uid="{00000000-0005-0000-0000-0000382B0000}"/>
    <cellStyle name="20% - Accent6 2 4 2 3 3 2 2" xfId="4443" xr:uid="{00000000-0005-0000-0000-0000392B0000}"/>
    <cellStyle name="20% - Accent6 2 4 2 3 3 3" xfId="12334" xr:uid="{00000000-0005-0000-0000-00003A2B0000}"/>
    <cellStyle name="20% - Accent6 2 4 2 3 4" xfId="17638" xr:uid="{00000000-0005-0000-0000-00003B2B0000}"/>
    <cellStyle name="20% - Accent6 2 4 2 3 4 2" xfId="12415" xr:uid="{00000000-0005-0000-0000-00003C2B0000}"/>
    <cellStyle name="20% - Accent6 2 4 2 3 5" xfId="17640" xr:uid="{00000000-0005-0000-0000-00003D2B0000}"/>
    <cellStyle name="20% - Accent6 2 4 2 4" xfId="17642" xr:uid="{00000000-0005-0000-0000-00003E2B0000}"/>
    <cellStyle name="20% - Accent6 2 4 2 4 2" xfId="9979" xr:uid="{00000000-0005-0000-0000-00003F2B0000}"/>
    <cellStyle name="20% - Accent6 2 4 2 4 2 2" xfId="14348" xr:uid="{00000000-0005-0000-0000-0000402B0000}"/>
    <cellStyle name="20% - Accent6 2 4 2 4 2 2 2" xfId="4783" xr:uid="{00000000-0005-0000-0000-0000412B0000}"/>
    <cellStyle name="20% - Accent6 2 4 2 4 2 3" xfId="17645" xr:uid="{00000000-0005-0000-0000-0000422B0000}"/>
    <cellStyle name="20% - Accent6 2 4 2 4 3" xfId="17647" xr:uid="{00000000-0005-0000-0000-0000432B0000}"/>
    <cellStyle name="20% - Accent6 2 4 2 4 3 2" xfId="14366" xr:uid="{00000000-0005-0000-0000-0000442B0000}"/>
    <cellStyle name="20% - Accent6 2 4 2 4 4" xfId="25849" xr:uid="{00000000-0005-0000-0000-0000452B0000}"/>
    <cellStyle name="20% - Accent6 2 4 2 5" xfId="17653" xr:uid="{00000000-0005-0000-0000-0000462B0000}"/>
    <cellStyle name="20% - Accent6 2 4 2 5 2" xfId="13326" xr:uid="{00000000-0005-0000-0000-0000472B0000}"/>
    <cellStyle name="20% - Accent6 2 4 2 5 2 2" xfId="17658" xr:uid="{00000000-0005-0000-0000-0000482B0000}"/>
    <cellStyle name="20% - Accent6 2 4 2 5 3" xfId="17660" xr:uid="{00000000-0005-0000-0000-0000492B0000}"/>
    <cellStyle name="20% - Accent6 2 4 2 6" xfId="17661" xr:uid="{00000000-0005-0000-0000-00004A2B0000}"/>
    <cellStyle name="20% - Accent6 2 4 2 6 2" xfId="17666" xr:uid="{00000000-0005-0000-0000-00004B2B0000}"/>
    <cellStyle name="20% - Accent6 2 4 2 7" xfId="13329" xr:uid="{00000000-0005-0000-0000-00004C2B0000}"/>
    <cellStyle name="20% - Accent6 2 4 3" xfId="23400" xr:uid="{00000000-0005-0000-0000-00004D2B0000}"/>
    <cellStyle name="20% - Accent6 2 4 3 2" xfId="13333" xr:uid="{00000000-0005-0000-0000-00004E2B0000}"/>
    <cellStyle name="20% - Accent6 2 4 3 2 2" xfId="4425" xr:uid="{00000000-0005-0000-0000-00004F2B0000}"/>
    <cellStyle name="20% - Accent6 2 4 3 2 2 2" xfId="13340" xr:uid="{00000000-0005-0000-0000-0000502B0000}"/>
    <cellStyle name="20% - Accent6 2 4 3 2 2 2 2" xfId="7088" xr:uid="{00000000-0005-0000-0000-0000512B0000}"/>
    <cellStyle name="20% - Accent6 2 4 3 2 2 2 2 2" xfId="33445" xr:uid="{00000000-0005-0000-0000-0000522B0000}"/>
    <cellStyle name="20% - Accent6 2 4 3 2 2 2 3" xfId="15968" xr:uid="{00000000-0005-0000-0000-0000532B0000}"/>
    <cellStyle name="20% - Accent6 2 4 3 2 2 3" xfId="13346" xr:uid="{00000000-0005-0000-0000-0000542B0000}"/>
    <cellStyle name="20% - Accent6 2 4 3 2 2 3 2" xfId="7869" xr:uid="{00000000-0005-0000-0000-0000552B0000}"/>
    <cellStyle name="20% - Accent6 2 4 3 2 2 4" xfId="1870" xr:uid="{00000000-0005-0000-0000-0000562B0000}"/>
    <cellStyle name="20% - Accent6 2 4 3 2 3" xfId="2160" xr:uid="{00000000-0005-0000-0000-0000572B0000}"/>
    <cellStyle name="20% - Accent6 2 4 3 2 3 2" xfId="11945" xr:uid="{00000000-0005-0000-0000-0000582B0000}"/>
    <cellStyle name="20% - Accent6 2 4 3 2 3 2 2" xfId="7879" xr:uid="{00000000-0005-0000-0000-0000592B0000}"/>
    <cellStyle name="20% - Accent6 2 4 3 2 3 3" xfId="1951" xr:uid="{00000000-0005-0000-0000-00005A2B0000}"/>
    <cellStyle name="20% - Accent6 2 4 3 2 4" xfId="6251" xr:uid="{00000000-0005-0000-0000-00005B2B0000}"/>
    <cellStyle name="20% - Accent6 2 4 3 2 4 2" xfId="1124" xr:uid="{00000000-0005-0000-0000-00005C2B0000}"/>
    <cellStyle name="20% - Accent6 2 4 3 2 5" xfId="13349" xr:uid="{00000000-0005-0000-0000-00005D2B0000}"/>
    <cellStyle name="20% - Accent6 2 4 3 3" xfId="17669" xr:uid="{00000000-0005-0000-0000-00005E2B0000}"/>
    <cellStyle name="20% - Accent6 2 4 3 3 2" xfId="9982" xr:uid="{00000000-0005-0000-0000-00005F2B0000}"/>
    <cellStyle name="20% - Accent6 2 4 3 3 2 2" xfId="17670" xr:uid="{00000000-0005-0000-0000-0000602B0000}"/>
    <cellStyle name="20% - Accent6 2 4 3 3 2 2 2" xfId="9109" xr:uid="{00000000-0005-0000-0000-0000612B0000}"/>
    <cellStyle name="20% - Accent6 2 4 3 3 2 3" xfId="17673" xr:uid="{00000000-0005-0000-0000-0000622B0000}"/>
    <cellStyle name="20% - Accent6 2 4 3 3 3" xfId="17675" xr:uid="{00000000-0005-0000-0000-0000632B0000}"/>
    <cellStyle name="20% - Accent6 2 4 3 3 3 2" xfId="7034" xr:uid="{00000000-0005-0000-0000-0000642B0000}"/>
    <cellStyle name="20% - Accent6 2 4 3 3 4" xfId="13351" xr:uid="{00000000-0005-0000-0000-0000652B0000}"/>
    <cellStyle name="20% - Accent6 2 4 3 4" xfId="17676" xr:uid="{00000000-0005-0000-0000-0000662B0000}"/>
    <cellStyle name="20% - Accent6 2 4 3 4 2" xfId="17680" xr:uid="{00000000-0005-0000-0000-0000672B0000}"/>
    <cellStyle name="20% - Accent6 2 4 3 4 2 2" xfId="22004" xr:uid="{00000000-0005-0000-0000-0000682B0000}"/>
    <cellStyle name="20% - Accent6 2 4 3 4 3" xfId="17682" xr:uid="{00000000-0005-0000-0000-0000692B0000}"/>
    <cellStyle name="20% - Accent6 2 4 3 5" xfId="17684" xr:uid="{00000000-0005-0000-0000-00006A2B0000}"/>
    <cellStyle name="20% - Accent6 2 4 3 5 2" xfId="17686" xr:uid="{00000000-0005-0000-0000-00006B2B0000}"/>
    <cellStyle name="20% - Accent6 2 4 3 6" xfId="17688" xr:uid="{00000000-0005-0000-0000-00006C2B0000}"/>
    <cellStyle name="20% - Accent6 2 4 4" xfId="25777" xr:uid="{00000000-0005-0000-0000-00006D2B0000}"/>
    <cellStyle name="20% - Accent6 2 4 4 2" xfId="28338" xr:uid="{00000000-0005-0000-0000-00006E2B0000}"/>
    <cellStyle name="20% - Accent6 2 4 4 2 2" xfId="9992" xr:uid="{00000000-0005-0000-0000-00006F2B0000}"/>
    <cellStyle name="20% - Accent6 2 4 4 2 2 2" xfId="11994" xr:uid="{00000000-0005-0000-0000-0000702B0000}"/>
    <cellStyle name="20% - Accent6 2 4 4 2 2 2 2" xfId="27314" xr:uid="{00000000-0005-0000-0000-0000712B0000}"/>
    <cellStyle name="20% - Accent6 2 4 4 2 2 3" xfId="19883" xr:uid="{00000000-0005-0000-0000-0000722B0000}"/>
    <cellStyle name="20% - Accent6 2 4 4 2 3" xfId="13364" xr:uid="{00000000-0005-0000-0000-0000732B0000}"/>
    <cellStyle name="20% - Accent6 2 4 4 2 3 2" xfId="563" xr:uid="{00000000-0005-0000-0000-0000742B0000}"/>
    <cellStyle name="20% - Accent6 2 4 4 2 4" xfId="13365" xr:uid="{00000000-0005-0000-0000-0000752B0000}"/>
    <cellStyle name="20% - Accent6 2 4 4 3" xfId="17689" xr:uid="{00000000-0005-0000-0000-0000762B0000}"/>
    <cellStyle name="20% - Accent6 2 4 4 3 2" xfId="17693" xr:uid="{00000000-0005-0000-0000-0000772B0000}"/>
    <cellStyle name="20% - Accent6 2 4 4 3 2 2" xfId="17694" xr:uid="{00000000-0005-0000-0000-0000782B0000}"/>
    <cellStyle name="20% - Accent6 2 4 4 3 3" xfId="17698" xr:uid="{00000000-0005-0000-0000-0000792B0000}"/>
    <cellStyle name="20% - Accent6 2 4 4 4" xfId="17699" xr:uid="{00000000-0005-0000-0000-00007A2B0000}"/>
    <cellStyle name="20% - Accent6 2 4 4 4 2" xfId="17703" xr:uid="{00000000-0005-0000-0000-00007B2B0000}"/>
    <cellStyle name="20% - Accent6 2 4 4 5" xfId="17706" xr:uid="{00000000-0005-0000-0000-00007C2B0000}"/>
    <cellStyle name="20% - Accent6 2 4 5" xfId="28369" xr:uid="{00000000-0005-0000-0000-00007D2B0000}"/>
    <cellStyle name="20% - Accent6 2 4 5 2" xfId="32546" xr:uid="{00000000-0005-0000-0000-00007E2B0000}"/>
    <cellStyle name="20% - Accent6 2 4 5 2 2" xfId="31260" xr:uid="{00000000-0005-0000-0000-00007F2B0000}"/>
    <cellStyle name="20% - Accent6 2 4 5 2 2 2" xfId="32989" xr:uid="{00000000-0005-0000-0000-0000802B0000}"/>
    <cellStyle name="20% - Accent6 2 4 5 2 3" xfId="31267" xr:uid="{00000000-0005-0000-0000-0000812B0000}"/>
    <cellStyle name="20% - Accent6 2 4 5 3" xfId="13376" xr:uid="{00000000-0005-0000-0000-0000822B0000}"/>
    <cellStyle name="20% - Accent6 2 4 5 3 2" xfId="17710" xr:uid="{00000000-0005-0000-0000-0000832B0000}"/>
    <cellStyle name="20% - Accent6 2 4 5 4" xfId="17713" xr:uid="{00000000-0005-0000-0000-0000842B0000}"/>
    <cellStyle name="20% - Accent6 2 4 6" xfId="13379" xr:uid="{00000000-0005-0000-0000-0000852B0000}"/>
    <cellStyle name="20% - Accent6 2 4 6 2" xfId="13382" xr:uid="{00000000-0005-0000-0000-0000862B0000}"/>
    <cellStyle name="20% - Accent6 2 4 6 2 2" xfId="31271" xr:uid="{00000000-0005-0000-0000-0000872B0000}"/>
    <cellStyle name="20% - Accent6 2 4 6 3" xfId="13383" xr:uid="{00000000-0005-0000-0000-0000882B0000}"/>
    <cellStyle name="20% - Accent6 2 4 7" xfId="9695" xr:uid="{00000000-0005-0000-0000-0000892B0000}"/>
    <cellStyle name="20% - Accent6 2 4 7 2" xfId="28380" xr:uid="{00000000-0005-0000-0000-00008A2B0000}"/>
    <cellStyle name="20% - Accent6 2 4 8" xfId="13386" xr:uid="{00000000-0005-0000-0000-00008B2B0000}"/>
    <cellStyle name="20% - Accent6 2 5" xfId="311" xr:uid="{00000000-0005-0000-0000-00008C2B0000}"/>
    <cellStyle name="20% - Accent6 2 5 2" xfId="6069" xr:uid="{00000000-0005-0000-0000-00008D2B0000}"/>
    <cellStyle name="20% - Accent6 2 5 2 2" xfId="1472" xr:uid="{00000000-0005-0000-0000-00008E2B0000}"/>
    <cellStyle name="20% - Accent6 2 5 2 2 2" xfId="13687" xr:uid="{00000000-0005-0000-0000-00008F2B0000}"/>
    <cellStyle name="20% - Accent6 2 5 2 2 2 2" xfId="21748" xr:uid="{00000000-0005-0000-0000-0000902B0000}"/>
    <cellStyle name="20% - Accent6 2 5 2 2 2 2 2" xfId="15588" xr:uid="{00000000-0005-0000-0000-0000912B0000}"/>
    <cellStyle name="20% - Accent6 2 5 2 2 2 2 2 2" xfId="4954" xr:uid="{00000000-0005-0000-0000-0000922B0000}"/>
    <cellStyle name="20% - Accent6 2 5 2 2 2 2 3" xfId="2059" xr:uid="{00000000-0005-0000-0000-0000932B0000}"/>
    <cellStyle name="20% - Accent6 2 5 2 2 2 3" xfId="11862" xr:uid="{00000000-0005-0000-0000-0000942B0000}"/>
    <cellStyle name="20% - Accent6 2 5 2 2 2 3 2" xfId="7151" xr:uid="{00000000-0005-0000-0000-0000952B0000}"/>
    <cellStyle name="20% - Accent6 2 5 2 2 2 4" xfId="11946" xr:uid="{00000000-0005-0000-0000-0000962B0000}"/>
    <cellStyle name="20% - Accent6 2 5 2 2 3" xfId="11628" xr:uid="{00000000-0005-0000-0000-0000972B0000}"/>
    <cellStyle name="20% - Accent6 2 5 2 2 3 2" xfId="15299" xr:uid="{00000000-0005-0000-0000-0000982B0000}"/>
    <cellStyle name="20% - Accent6 2 5 2 2 3 2 2" xfId="7201" xr:uid="{00000000-0005-0000-0000-0000992B0000}"/>
    <cellStyle name="20% - Accent6 2 5 2 2 3 3" xfId="12570" xr:uid="{00000000-0005-0000-0000-00009A2B0000}"/>
    <cellStyle name="20% - Accent6 2 5 2 2 4" xfId="11952" xr:uid="{00000000-0005-0000-0000-00009B2B0000}"/>
    <cellStyle name="20% - Accent6 2 5 2 2 4 2" xfId="12572" xr:uid="{00000000-0005-0000-0000-00009C2B0000}"/>
    <cellStyle name="20% - Accent6 2 5 2 2 5" xfId="11963" xr:uid="{00000000-0005-0000-0000-00009D2B0000}"/>
    <cellStyle name="20% - Accent6 2 5 2 3" xfId="4450" xr:uid="{00000000-0005-0000-0000-00009E2B0000}"/>
    <cellStyle name="20% - Accent6 2 5 2 3 2" xfId="5494" xr:uid="{00000000-0005-0000-0000-00009F2B0000}"/>
    <cellStyle name="20% - Accent6 2 5 2 3 2 2" xfId="16088" xr:uid="{00000000-0005-0000-0000-0000A02B0000}"/>
    <cellStyle name="20% - Accent6 2 5 2 3 2 2 2" xfId="2848" xr:uid="{00000000-0005-0000-0000-0000A12B0000}"/>
    <cellStyle name="20% - Accent6 2 5 2 3 2 3" xfId="17749" xr:uid="{00000000-0005-0000-0000-0000A22B0000}"/>
    <cellStyle name="20% - Accent6 2 5 2 3 3" xfId="17751" xr:uid="{00000000-0005-0000-0000-0000A32B0000}"/>
    <cellStyle name="20% - Accent6 2 5 2 3 3 2" xfId="12199" xr:uid="{00000000-0005-0000-0000-0000A42B0000}"/>
    <cellStyle name="20% - Accent6 2 5 2 3 4" xfId="17755" xr:uid="{00000000-0005-0000-0000-0000A52B0000}"/>
    <cellStyle name="20% - Accent6 2 5 2 4" xfId="17757" xr:uid="{00000000-0005-0000-0000-0000A62B0000}"/>
    <cellStyle name="20% - Accent6 2 5 2 4 2" xfId="17761" xr:uid="{00000000-0005-0000-0000-0000A72B0000}"/>
    <cellStyle name="20% - Accent6 2 5 2 4 2 2" xfId="15434" xr:uid="{00000000-0005-0000-0000-0000A82B0000}"/>
    <cellStyle name="20% - Accent6 2 5 2 4 3" xfId="17763" xr:uid="{00000000-0005-0000-0000-0000A92B0000}"/>
    <cellStyle name="20% - Accent6 2 5 2 5" xfId="17766" xr:uid="{00000000-0005-0000-0000-0000AA2B0000}"/>
    <cellStyle name="20% - Accent6 2 5 2 5 2" xfId="17771" xr:uid="{00000000-0005-0000-0000-0000AB2B0000}"/>
    <cellStyle name="20% - Accent6 2 5 2 6" xfId="22238" xr:uid="{00000000-0005-0000-0000-0000AC2B0000}"/>
    <cellStyle name="20% - Accent6 2 5 3" xfId="485" xr:uid="{00000000-0005-0000-0000-0000AD2B0000}"/>
    <cellStyle name="20% - Accent6 2 5 3 2" xfId="4785" xr:uid="{00000000-0005-0000-0000-0000AE2B0000}"/>
    <cellStyle name="20% - Accent6 2 5 3 2 2" xfId="11730" xr:uid="{00000000-0005-0000-0000-0000AF2B0000}"/>
    <cellStyle name="20% - Accent6 2 5 3 2 2 2" xfId="11999" xr:uid="{00000000-0005-0000-0000-0000B02B0000}"/>
    <cellStyle name="20% - Accent6 2 5 3 2 2 2 2" xfId="8226" xr:uid="{00000000-0005-0000-0000-0000B12B0000}"/>
    <cellStyle name="20% - Accent6 2 5 3 2 2 3" xfId="12005" xr:uid="{00000000-0005-0000-0000-0000B22B0000}"/>
    <cellStyle name="20% - Accent6 2 5 3 2 3" xfId="12010" xr:uid="{00000000-0005-0000-0000-0000B32B0000}"/>
    <cellStyle name="20% - Accent6 2 5 3 2 3 2" xfId="12599" xr:uid="{00000000-0005-0000-0000-0000B42B0000}"/>
    <cellStyle name="20% - Accent6 2 5 3 2 4" xfId="12018" xr:uid="{00000000-0005-0000-0000-0000B52B0000}"/>
    <cellStyle name="20% - Accent6 2 5 3 3" xfId="17774" xr:uid="{00000000-0005-0000-0000-0000B62B0000}"/>
    <cellStyle name="20% - Accent6 2 5 3 3 2" xfId="17777" xr:uid="{00000000-0005-0000-0000-0000B72B0000}"/>
    <cellStyle name="20% - Accent6 2 5 3 3 2 2" xfId="17781" xr:uid="{00000000-0005-0000-0000-0000B82B0000}"/>
    <cellStyle name="20% - Accent6 2 5 3 3 3" xfId="17784" xr:uid="{00000000-0005-0000-0000-0000B92B0000}"/>
    <cellStyle name="20% - Accent6 2 5 3 4" xfId="17786" xr:uid="{00000000-0005-0000-0000-0000BA2B0000}"/>
    <cellStyle name="20% - Accent6 2 5 3 4 2" xfId="17787" xr:uid="{00000000-0005-0000-0000-0000BB2B0000}"/>
    <cellStyle name="20% - Accent6 2 5 3 5" xfId="11876" xr:uid="{00000000-0005-0000-0000-0000BC2B0000}"/>
    <cellStyle name="20% - Accent6 2 5 4" xfId="2015" xr:uid="{00000000-0005-0000-0000-0000BD2B0000}"/>
    <cellStyle name="20% - Accent6 2 5 4 2" xfId="13392" xr:uid="{00000000-0005-0000-0000-0000BE2B0000}"/>
    <cellStyle name="20% - Accent6 2 5 4 2 2" xfId="12030" xr:uid="{00000000-0005-0000-0000-0000BF2B0000}"/>
    <cellStyle name="20% - Accent6 2 5 4 2 2 2" xfId="11509" xr:uid="{00000000-0005-0000-0000-0000C02B0000}"/>
    <cellStyle name="20% - Accent6 2 5 4 2 3" xfId="12035" xr:uid="{00000000-0005-0000-0000-0000C12B0000}"/>
    <cellStyle name="20% - Accent6 2 5 4 3" xfId="17791" xr:uid="{00000000-0005-0000-0000-0000C22B0000}"/>
    <cellStyle name="20% - Accent6 2 5 4 3 2" xfId="17795" xr:uid="{00000000-0005-0000-0000-0000C32B0000}"/>
    <cellStyle name="20% - Accent6 2 5 4 4" xfId="17796" xr:uid="{00000000-0005-0000-0000-0000C42B0000}"/>
    <cellStyle name="20% - Accent6 2 5 5" xfId="385" xr:uid="{00000000-0005-0000-0000-0000C52B0000}"/>
    <cellStyle name="20% - Accent6 2 5 5 2" xfId="32735" xr:uid="{00000000-0005-0000-0000-0000C62B0000}"/>
    <cellStyle name="20% - Accent6 2 5 5 2 2" xfId="31317" xr:uid="{00000000-0005-0000-0000-0000C72B0000}"/>
    <cellStyle name="20% - Accent6 2 5 5 3" xfId="17804" xr:uid="{00000000-0005-0000-0000-0000C82B0000}"/>
    <cellStyle name="20% - Accent6 2 5 6" xfId="1599" xr:uid="{00000000-0005-0000-0000-0000C92B0000}"/>
    <cellStyle name="20% - Accent6 2 5 6 2" xfId="31322" xr:uid="{00000000-0005-0000-0000-0000CA2B0000}"/>
    <cellStyle name="20% - Accent6 2 5 7" xfId="13409" xr:uid="{00000000-0005-0000-0000-0000CB2B0000}"/>
    <cellStyle name="20% - Accent6 2 6" xfId="6487" xr:uid="{00000000-0005-0000-0000-0000CC2B0000}"/>
    <cellStyle name="20% - Accent6 2 6 2" xfId="621" xr:uid="{00000000-0005-0000-0000-0000CD2B0000}"/>
    <cellStyle name="20% - Accent6 2 6 2 2" xfId="1960" xr:uid="{00000000-0005-0000-0000-0000CE2B0000}"/>
    <cellStyle name="20% - Accent6 2 6 2 2 2" xfId="7406" xr:uid="{00000000-0005-0000-0000-0000CF2B0000}"/>
    <cellStyle name="20% - Accent6 2 6 2 2 2 2" xfId="32438" xr:uid="{00000000-0005-0000-0000-0000D02B0000}"/>
    <cellStyle name="20% - Accent6 2 6 2 2 2 2 2" xfId="25782" xr:uid="{00000000-0005-0000-0000-0000D12B0000}"/>
    <cellStyle name="20% - Accent6 2 6 2 2 2 3" xfId="11273" xr:uid="{00000000-0005-0000-0000-0000D22B0000}"/>
    <cellStyle name="20% - Accent6 2 6 2 2 3" xfId="8780" xr:uid="{00000000-0005-0000-0000-0000D32B0000}"/>
    <cellStyle name="20% - Accent6 2 6 2 2 3 2" xfId="12621" xr:uid="{00000000-0005-0000-0000-0000D42B0000}"/>
    <cellStyle name="20% - Accent6 2 6 2 2 4" xfId="8789" xr:uid="{00000000-0005-0000-0000-0000D52B0000}"/>
    <cellStyle name="20% - Accent6 2 6 2 3" xfId="17826" xr:uid="{00000000-0005-0000-0000-0000D62B0000}"/>
    <cellStyle name="20% - Accent6 2 6 2 3 2" xfId="17565" xr:uid="{00000000-0005-0000-0000-0000D72B0000}"/>
    <cellStyle name="20% - Accent6 2 6 2 3 2 2" xfId="17833" xr:uid="{00000000-0005-0000-0000-0000D82B0000}"/>
    <cellStyle name="20% - Accent6 2 6 2 3 3" xfId="17574" xr:uid="{00000000-0005-0000-0000-0000D92B0000}"/>
    <cellStyle name="20% - Accent6 2 6 2 4" xfId="17836" xr:uid="{00000000-0005-0000-0000-0000DA2B0000}"/>
    <cellStyle name="20% - Accent6 2 6 2 4 2" xfId="17583" xr:uid="{00000000-0005-0000-0000-0000DB2B0000}"/>
    <cellStyle name="20% - Accent6 2 6 2 5" xfId="22256" xr:uid="{00000000-0005-0000-0000-0000DC2B0000}"/>
    <cellStyle name="20% - Accent6 2 6 3" xfId="30401" xr:uid="{00000000-0005-0000-0000-0000DD2B0000}"/>
    <cellStyle name="20% - Accent6 2 6 3 2" xfId="16140" xr:uid="{00000000-0005-0000-0000-0000DE2B0000}"/>
    <cellStyle name="20% - Accent6 2 6 3 2 2" xfId="23296" xr:uid="{00000000-0005-0000-0000-0000DF2B0000}"/>
    <cellStyle name="20% - Accent6 2 6 3 2 2 2" xfId="7457" xr:uid="{00000000-0005-0000-0000-0000E02B0000}"/>
    <cellStyle name="20% - Accent6 2 6 3 2 3" xfId="27592" xr:uid="{00000000-0005-0000-0000-0000E12B0000}"/>
    <cellStyle name="20% - Accent6 2 6 3 3" xfId="23032" xr:uid="{00000000-0005-0000-0000-0000E22B0000}"/>
    <cellStyle name="20% - Accent6 2 6 3 3 2" xfId="27230" xr:uid="{00000000-0005-0000-0000-0000E32B0000}"/>
    <cellStyle name="20% - Accent6 2 6 3 4" xfId="27255" xr:uid="{00000000-0005-0000-0000-0000E42B0000}"/>
    <cellStyle name="20% - Accent6 2 6 4" xfId="21470" xr:uid="{00000000-0005-0000-0000-0000E52B0000}"/>
    <cellStyle name="20% - Accent6 2 6 4 2" xfId="21478" xr:uid="{00000000-0005-0000-0000-0000E62B0000}"/>
    <cellStyle name="20% - Accent6 2 6 4 2 2" xfId="26704" xr:uid="{00000000-0005-0000-0000-0000E72B0000}"/>
    <cellStyle name="20% - Accent6 2 6 4 3" xfId="21488" xr:uid="{00000000-0005-0000-0000-0000E82B0000}"/>
    <cellStyle name="20% - Accent6 2 6 5" xfId="21500" xr:uid="{00000000-0005-0000-0000-0000E92B0000}"/>
    <cellStyle name="20% - Accent6 2 6 5 2" xfId="21506" xr:uid="{00000000-0005-0000-0000-0000EA2B0000}"/>
    <cellStyle name="20% - Accent6 2 6 6" xfId="18982" xr:uid="{00000000-0005-0000-0000-0000EB2B0000}"/>
    <cellStyle name="20% - Accent6 2 7" xfId="1154" xr:uid="{00000000-0005-0000-0000-0000EC2B0000}"/>
    <cellStyle name="20% - Accent6 2 7 2" xfId="4795" xr:uid="{00000000-0005-0000-0000-0000ED2B0000}"/>
    <cellStyle name="20% - Accent6 2 7 2 2" xfId="13413" xr:uid="{00000000-0005-0000-0000-0000EE2B0000}"/>
    <cellStyle name="20% - Accent6 2 7 2 2 2" xfId="8278" xr:uid="{00000000-0005-0000-0000-0000EF2B0000}"/>
    <cellStyle name="20% - Accent6 2 7 2 2 2 2" xfId="11951" xr:uid="{00000000-0005-0000-0000-0000F02B0000}"/>
    <cellStyle name="20% - Accent6 2 7 2 2 3" xfId="8870" xr:uid="{00000000-0005-0000-0000-0000F12B0000}"/>
    <cellStyle name="20% - Accent6 2 7 2 3" xfId="17867" xr:uid="{00000000-0005-0000-0000-0000F22B0000}"/>
    <cellStyle name="20% - Accent6 2 7 2 3 2" xfId="17632" xr:uid="{00000000-0005-0000-0000-0000F32B0000}"/>
    <cellStyle name="20% - Accent6 2 7 2 4" xfId="17873" xr:uid="{00000000-0005-0000-0000-0000F42B0000}"/>
    <cellStyle name="20% - Accent6 2 7 3" xfId="17559" xr:uid="{00000000-0005-0000-0000-0000F52B0000}"/>
    <cellStyle name="20% - Accent6 2 7 3 2" xfId="23042" xr:uid="{00000000-0005-0000-0000-0000F62B0000}"/>
    <cellStyle name="20% - Accent6 2 7 3 2 2" xfId="27599" xr:uid="{00000000-0005-0000-0000-0000F72B0000}"/>
    <cellStyle name="20% - Accent6 2 7 3 3" xfId="27603" xr:uid="{00000000-0005-0000-0000-0000F82B0000}"/>
    <cellStyle name="20% - Accent6 2 7 4" xfId="21515" xr:uid="{00000000-0005-0000-0000-0000F92B0000}"/>
    <cellStyle name="20% - Accent6 2 7 4 2" xfId="21522" xr:uid="{00000000-0005-0000-0000-0000FA2B0000}"/>
    <cellStyle name="20% - Accent6 2 7 5" xfId="21525" xr:uid="{00000000-0005-0000-0000-0000FB2B0000}"/>
    <cellStyle name="20% - Accent6 2 8" xfId="169" xr:uid="{00000000-0005-0000-0000-0000FC2B0000}"/>
    <cellStyle name="20% - Accent6 2 8 2" xfId="3685" xr:uid="{00000000-0005-0000-0000-0000FD2B0000}"/>
    <cellStyle name="20% - Accent6 2 8 2 2" xfId="13415" xr:uid="{00000000-0005-0000-0000-0000FE2B0000}"/>
    <cellStyle name="20% - Accent6 2 8 2 2 2" xfId="16424" xr:uid="{00000000-0005-0000-0000-0000FF2B0000}"/>
    <cellStyle name="20% - Accent6 2 8 2 3" xfId="13417" xr:uid="{00000000-0005-0000-0000-0000002C0000}"/>
    <cellStyle name="20% - Accent6 2 8 3" xfId="23046" xr:uid="{00000000-0005-0000-0000-0000012C0000}"/>
    <cellStyle name="20% - Accent6 2 8 3 2" xfId="26108" xr:uid="{00000000-0005-0000-0000-0000022C0000}"/>
    <cellStyle name="20% - Accent6 2 8 4" xfId="21534" xr:uid="{00000000-0005-0000-0000-0000032C0000}"/>
    <cellStyle name="20% - Accent6 2 9" xfId="3219" xr:uid="{00000000-0005-0000-0000-0000042C0000}"/>
    <cellStyle name="20% - Accent6 2 9 2" xfId="25676" xr:uid="{00000000-0005-0000-0000-0000052C0000}"/>
    <cellStyle name="20% - Accent6 2 9 2 2" xfId="13418" xr:uid="{00000000-0005-0000-0000-0000062C0000}"/>
    <cellStyle name="20% - Accent6 2 9 3" xfId="27610" xr:uid="{00000000-0005-0000-0000-0000072C0000}"/>
    <cellStyle name="20% - Accent6 3" xfId="12288" xr:uid="{00000000-0005-0000-0000-0000082C0000}"/>
    <cellStyle name="20% - Accent6 3 10" xfId="29789" xr:uid="{00000000-0005-0000-0000-0000092C0000}"/>
    <cellStyle name="20% - Accent6 3 2" xfId="13424" xr:uid="{00000000-0005-0000-0000-00000A2C0000}"/>
    <cellStyle name="20% - Accent6 3 2 2" xfId="13427" xr:uid="{00000000-0005-0000-0000-00000B2C0000}"/>
    <cellStyle name="20% - Accent6 3 2 2 2" xfId="13430" xr:uid="{00000000-0005-0000-0000-00000C2C0000}"/>
    <cellStyle name="20% - Accent6 3 2 2 2 2" xfId="13433" xr:uid="{00000000-0005-0000-0000-00000D2C0000}"/>
    <cellStyle name="20% - Accent6 3 2 2 2 2 2" xfId="12258" xr:uid="{00000000-0005-0000-0000-00000E2C0000}"/>
    <cellStyle name="20% - Accent6 3 2 2 2 2 2 2" xfId="3682" xr:uid="{00000000-0005-0000-0000-00000F2C0000}"/>
    <cellStyle name="20% - Accent6 3 2 2 2 2 2 2 2" xfId="10881" xr:uid="{00000000-0005-0000-0000-0000102C0000}"/>
    <cellStyle name="20% - Accent6 3 2 2 2 2 2 2 2 2" xfId="30840" xr:uid="{00000000-0005-0000-0000-0000112C0000}"/>
    <cellStyle name="20% - Accent6 3 2 2 2 2 2 2 2 2 2" xfId="12663" xr:uid="{00000000-0005-0000-0000-0000122C0000}"/>
    <cellStyle name="20% - Accent6 3 2 2 2 2 2 2 2 3" xfId="12632" xr:uid="{00000000-0005-0000-0000-0000132C0000}"/>
    <cellStyle name="20% - Accent6 3 2 2 2 2 2 2 3" xfId="12230" xr:uid="{00000000-0005-0000-0000-0000142C0000}"/>
    <cellStyle name="20% - Accent6 3 2 2 2 2 2 2 3 2" xfId="12644" xr:uid="{00000000-0005-0000-0000-0000152C0000}"/>
    <cellStyle name="20% - Accent6 3 2 2 2 2 2 2 4" xfId="13435" xr:uid="{00000000-0005-0000-0000-0000162C0000}"/>
    <cellStyle name="20% - Accent6 3 2 2 2 2 2 3" xfId="31377" xr:uid="{00000000-0005-0000-0000-0000172C0000}"/>
    <cellStyle name="20% - Accent6 3 2 2 2 2 2 3 2" xfId="12235" xr:uid="{00000000-0005-0000-0000-0000182C0000}"/>
    <cellStyle name="20% - Accent6 3 2 2 2 2 2 3 2 2" xfId="9691" xr:uid="{00000000-0005-0000-0000-0000192C0000}"/>
    <cellStyle name="20% - Accent6 3 2 2 2 2 2 3 3" xfId="13439" xr:uid="{00000000-0005-0000-0000-00001A2C0000}"/>
    <cellStyle name="20% - Accent6 3 2 2 2 2 2 4" xfId="31380" xr:uid="{00000000-0005-0000-0000-00001B2C0000}"/>
    <cellStyle name="20% - Accent6 3 2 2 2 2 2 4 2" xfId="7065" xr:uid="{00000000-0005-0000-0000-00001C2C0000}"/>
    <cellStyle name="20% - Accent6 3 2 2 2 2 2 5" xfId="13442" xr:uid="{00000000-0005-0000-0000-00001D2C0000}"/>
    <cellStyle name="20% - Accent6 3 2 2 2 2 3" xfId="13444" xr:uid="{00000000-0005-0000-0000-00001E2C0000}"/>
    <cellStyle name="20% - Accent6 3 2 2 2 2 3 2" xfId="14550" xr:uid="{00000000-0005-0000-0000-00001F2C0000}"/>
    <cellStyle name="20% - Accent6 3 2 2 2 2 3 2 2" xfId="12245" xr:uid="{00000000-0005-0000-0000-0000202C0000}"/>
    <cellStyle name="20% - Accent6 3 2 2 2 2 3 2 2 2" xfId="26772" xr:uid="{00000000-0005-0000-0000-0000212C0000}"/>
    <cellStyle name="20% - Accent6 3 2 2 2 2 3 2 3" xfId="13445" xr:uid="{00000000-0005-0000-0000-0000222C0000}"/>
    <cellStyle name="20% - Accent6 3 2 2 2 2 3 3" xfId="13448" xr:uid="{00000000-0005-0000-0000-0000232C0000}"/>
    <cellStyle name="20% - Accent6 3 2 2 2 2 3 3 2" xfId="13450" xr:uid="{00000000-0005-0000-0000-0000242C0000}"/>
    <cellStyle name="20% - Accent6 3 2 2 2 2 3 4" xfId="13453" xr:uid="{00000000-0005-0000-0000-0000252C0000}"/>
    <cellStyle name="20% - Accent6 3 2 2 2 2 4" xfId="13454" xr:uid="{00000000-0005-0000-0000-0000262C0000}"/>
    <cellStyle name="20% - Accent6 3 2 2 2 2 4 2" xfId="13455" xr:uid="{00000000-0005-0000-0000-0000272C0000}"/>
    <cellStyle name="20% - Accent6 3 2 2 2 2 4 2 2" xfId="28626" xr:uid="{00000000-0005-0000-0000-0000282C0000}"/>
    <cellStyle name="20% - Accent6 3 2 2 2 2 4 3" xfId="514" xr:uid="{00000000-0005-0000-0000-0000292C0000}"/>
    <cellStyle name="20% - Accent6 3 2 2 2 2 5" xfId="16498" xr:uid="{00000000-0005-0000-0000-00002A2C0000}"/>
    <cellStyle name="20% - Accent6 3 2 2 2 2 5 2" xfId="13462" xr:uid="{00000000-0005-0000-0000-00002B2C0000}"/>
    <cellStyle name="20% - Accent6 3 2 2 2 2 6" xfId="16501" xr:uid="{00000000-0005-0000-0000-00002C2C0000}"/>
    <cellStyle name="20% - Accent6 3 2 2 2 3" xfId="19967" xr:uid="{00000000-0005-0000-0000-00002D2C0000}"/>
    <cellStyle name="20% - Accent6 3 2 2 2 3 2" xfId="13465" xr:uid="{00000000-0005-0000-0000-00002E2C0000}"/>
    <cellStyle name="20% - Accent6 3 2 2 2 3 2 2" xfId="32924" xr:uid="{00000000-0005-0000-0000-00002F2C0000}"/>
    <cellStyle name="20% - Accent6 3 2 2 2 3 2 2 2" xfId="2231" xr:uid="{00000000-0005-0000-0000-0000302C0000}"/>
    <cellStyle name="20% - Accent6 3 2 2 2 3 2 2 2 2" xfId="21660" xr:uid="{00000000-0005-0000-0000-0000312C0000}"/>
    <cellStyle name="20% - Accent6 3 2 2 2 3 2 2 3" xfId="13468" xr:uid="{00000000-0005-0000-0000-0000322C0000}"/>
    <cellStyle name="20% - Accent6 3 2 2 2 3 2 3" xfId="17239" xr:uid="{00000000-0005-0000-0000-0000332C0000}"/>
    <cellStyle name="20% - Accent6 3 2 2 2 3 2 3 2" xfId="18907" xr:uid="{00000000-0005-0000-0000-0000342C0000}"/>
    <cellStyle name="20% - Accent6 3 2 2 2 3 2 4" xfId="17245" xr:uid="{00000000-0005-0000-0000-0000352C0000}"/>
    <cellStyle name="20% - Accent6 3 2 2 2 3 3" xfId="13469" xr:uid="{00000000-0005-0000-0000-0000362C0000}"/>
    <cellStyle name="20% - Accent6 3 2 2 2 3 3 2" xfId="13471" xr:uid="{00000000-0005-0000-0000-0000372C0000}"/>
    <cellStyle name="20% - Accent6 3 2 2 2 3 3 2 2" xfId="13480" xr:uid="{00000000-0005-0000-0000-0000382C0000}"/>
    <cellStyle name="20% - Accent6 3 2 2 2 3 3 3" xfId="9008" xr:uid="{00000000-0005-0000-0000-0000392C0000}"/>
    <cellStyle name="20% - Accent6 3 2 2 2 3 4" xfId="13482" xr:uid="{00000000-0005-0000-0000-00003A2C0000}"/>
    <cellStyle name="20% - Accent6 3 2 2 2 3 4 2" xfId="13487" xr:uid="{00000000-0005-0000-0000-00003B2C0000}"/>
    <cellStyle name="20% - Accent6 3 2 2 2 3 5" xfId="14410" xr:uid="{00000000-0005-0000-0000-00003C2C0000}"/>
    <cellStyle name="20% - Accent6 3 2 2 2 4" xfId="10216" xr:uid="{00000000-0005-0000-0000-00003D2C0000}"/>
    <cellStyle name="20% - Accent6 3 2 2 2 4 2" xfId="13490" xr:uid="{00000000-0005-0000-0000-00003E2C0000}"/>
    <cellStyle name="20% - Accent6 3 2 2 2 4 2 2" xfId="28244" xr:uid="{00000000-0005-0000-0000-00003F2C0000}"/>
    <cellStyle name="20% - Accent6 3 2 2 2 4 2 2 2" xfId="13497" xr:uid="{00000000-0005-0000-0000-0000402C0000}"/>
    <cellStyle name="20% - Accent6 3 2 2 2 4 2 3" xfId="17268" xr:uid="{00000000-0005-0000-0000-0000412C0000}"/>
    <cellStyle name="20% - Accent6 3 2 2 2 4 3" xfId="13501" xr:uid="{00000000-0005-0000-0000-0000422C0000}"/>
    <cellStyle name="20% - Accent6 3 2 2 2 4 3 2" xfId="30591" xr:uid="{00000000-0005-0000-0000-0000432C0000}"/>
    <cellStyle name="20% - Accent6 3 2 2 2 4 4" xfId="14831" xr:uid="{00000000-0005-0000-0000-0000442C0000}"/>
    <cellStyle name="20% - Accent6 3 2 2 2 5" xfId="2273" xr:uid="{00000000-0005-0000-0000-0000452C0000}"/>
    <cellStyle name="20% - Accent6 3 2 2 2 5 2" xfId="13054" xr:uid="{00000000-0005-0000-0000-0000462C0000}"/>
    <cellStyle name="20% - Accent6 3 2 2 2 5 2 2" xfId="13558" xr:uid="{00000000-0005-0000-0000-0000472C0000}"/>
    <cellStyle name="20% - Accent6 3 2 2 2 5 3" xfId="12171" xr:uid="{00000000-0005-0000-0000-0000482C0000}"/>
    <cellStyle name="20% - Accent6 3 2 2 2 6" xfId="549" xr:uid="{00000000-0005-0000-0000-0000492C0000}"/>
    <cellStyle name="20% - Accent6 3 2 2 2 6 2" xfId="12177" xr:uid="{00000000-0005-0000-0000-00004A2C0000}"/>
    <cellStyle name="20% - Accent6 3 2 2 2 7" xfId="13503" xr:uid="{00000000-0005-0000-0000-00004B2C0000}"/>
    <cellStyle name="20% - Accent6 3 2 2 3" xfId="2705" xr:uid="{00000000-0005-0000-0000-00004C2C0000}"/>
    <cellStyle name="20% - Accent6 3 2 2 3 2" xfId="2711" xr:uid="{00000000-0005-0000-0000-00004D2C0000}"/>
    <cellStyle name="20% - Accent6 3 2 2 3 2 2" xfId="6948" xr:uid="{00000000-0005-0000-0000-00004E2C0000}"/>
    <cellStyle name="20% - Accent6 3 2 2 3 2 2 2" xfId="31420" xr:uid="{00000000-0005-0000-0000-00004F2C0000}"/>
    <cellStyle name="20% - Accent6 3 2 2 3 2 2 2 2" xfId="12315" xr:uid="{00000000-0005-0000-0000-0000502C0000}"/>
    <cellStyle name="20% - Accent6 3 2 2 3 2 2 2 2 2" xfId="22036" xr:uid="{00000000-0005-0000-0000-0000512C0000}"/>
    <cellStyle name="20% - Accent6 3 2 2 3 2 2 2 3" xfId="13507" xr:uid="{00000000-0005-0000-0000-0000522C0000}"/>
    <cellStyle name="20% - Accent6 3 2 2 3 2 2 3" xfId="13508" xr:uid="{00000000-0005-0000-0000-0000532C0000}"/>
    <cellStyle name="20% - Accent6 3 2 2 3 2 2 3 2" xfId="13514" xr:uid="{00000000-0005-0000-0000-0000542C0000}"/>
    <cellStyle name="20% - Accent6 3 2 2 3 2 2 4" xfId="13515" xr:uid="{00000000-0005-0000-0000-0000552C0000}"/>
    <cellStyle name="20% - Accent6 3 2 2 3 2 3" xfId="3965" xr:uid="{00000000-0005-0000-0000-0000562C0000}"/>
    <cellStyle name="20% - Accent6 3 2 2 3 2 3 2" xfId="13504" xr:uid="{00000000-0005-0000-0000-0000572C0000}"/>
    <cellStyle name="20% - Accent6 3 2 2 3 2 3 2 2" xfId="10406" xr:uid="{00000000-0005-0000-0000-0000582C0000}"/>
    <cellStyle name="20% - Accent6 3 2 2 3 2 3 3" xfId="13524" xr:uid="{00000000-0005-0000-0000-0000592C0000}"/>
    <cellStyle name="20% - Accent6 3 2 2 3 2 4" xfId="14406" xr:uid="{00000000-0005-0000-0000-00005A2C0000}"/>
    <cellStyle name="20% - Accent6 3 2 2 3 2 4 2" xfId="22698" xr:uid="{00000000-0005-0000-0000-00005B2C0000}"/>
    <cellStyle name="20% - Accent6 3 2 2 3 2 5" xfId="6964" xr:uid="{00000000-0005-0000-0000-00005C2C0000}"/>
    <cellStyle name="20% - Accent6 3 2 2 3 3" xfId="2724" xr:uid="{00000000-0005-0000-0000-00005D2C0000}"/>
    <cellStyle name="20% - Accent6 3 2 2 3 3 2" xfId="13526" xr:uid="{00000000-0005-0000-0000-00005E2C0000}"/>
    <cellStyle name="20% - Accent6 3 2 2 3 3 2 2" xfId="29004" xr:uid="{00000000-0005-0000-0000-00005F2C0000}"/>
    <cellStyle name="20% - Accent6 3 2 2 3 3 2 2 2" xfId="9533" xr:uid="{00000000-0005-0000-0000-0000602C0000}"/>
    <cellStyle name="20% - Accent6 3 2 2 3 3 2 3" xfId="17340" xr:uid="{00000000-0005-0000-0000-0000612C0000}"/>
    <cellStyle name="20% - Accent6 3 2 2 3 3 3" xfId="4691" xr:uid="{00000000-0005-0000-0000-0000622C0000}"/>
    <cellStyle name="20% - Accent6 3 2 2 3 3 3 2" xfId="13533" xr:uid="{00000000-0005-0000-0000-0000632C0000}"/>
    <cellStyle name="20% - Accent6 3 2 2 3 3 4" xfId="12449" xr:uid="{00000000-0005-0000-0000-0000642C0000}"/>
    <cellStyle name="20% - Accent6 3 2 2 3 4" xfId="31025" xr:uid="{00000000-0005-0000-0000-0000652C0000}"/>
    <cellStyle name="20% - Accent6 3 2 2 3 4 2" xfId="13534" xr:uid="{00000000-0005-0000-0000-0000662C0000}"/>
    <cellStyle name="20% - Accent6 3 2 2 3 4 2 2" xfId="13541" xr:uid="{00000000-0005-0000-0000-0000672C0000}"/>
    <cellStyle name="20% - Accent6 3 2 2 3 4 3" xfId="8255" xr:uid="{00000000-0005-0000-0000-0000682C0000}"/>
    <cellStyle name="20% - Accent6 3 2 2 3 5" xfId="739" xr:uid="{00000000-0005-0000-0000-0000692C0000}"/>
    <cellStyle name="20% - Accent6 3 2 2 3 5 2" xfId="23971" xr:uid="{00000000-0005-0000-0000-00006A2C0000}"/>
    <cellStyle name="20% - Accent6 3 2 2 3 6" xfId="12307" xr:uid="{00000000-0005-0000-0000-00006B2C0000}"/>
    <cellStyle name="20% - Accent6 3 2 2 4" xfId="2731" xr:uid="{00000000-0005-0000-0000-00006C2C0000}"/>
    <cellStyle name="20% - Accent6 3 2 2 4 2" xfId="2742" xr:uid="{00000000-0005-0000-0000-00006D2C0000}"/>
    <cellStyle name="20% - Accent6 3 2 2 4 2 2" xfId="13542" xr:uid="{00000000-0005-0000-0000-00006E2C0000}"/>
    <cellStyle name="20% - Accent6 3 2 2 4 2 2 2" xfId="13547" xr:uid="{00000000-0005-0000-0000-00006F2C0000}"/>
    <cellStyle name="20% - Accent6 3 2 2 4 2 2 2 2" xfId="33090" xr:uid="{00000000-0005-0000-0000-0000702C0000}"/>
    <cellStyle name="20% - Accent6 3 2 2 4 2 2 3" xfId="13548" xr:uid="{00000000-0005-0000-0000-0000712C0000}"/>
    <cellStyle name="20% - Accent6 3 2 2 4 2 3" xfId="7170" xr:uid="{00000000-0005-0000-0000-0000722C0000}"/>
    <cellStyle name="20% - Accent6 3 2 2 4 2 3 2" xfId="9530" xr:uid="{00000000-0005-0000-0000-0000732C0000}"/>
    <cellStyle name="20% - Accent6 3 2 2 4 2 4" xfId="6986" xr:uid="{00000000-0005-0000-0000-0000742C0000}"/>
    <cellStyle name="20% - Accent6 3 2 2 4 3" xfId="2919" xr:uid="{00000000-0005-0000-0000-0000752C0000}"/>
    <cellStyle name="20% - Accent6 3 2 2 4 3 2" xfId="4735" xr:uid="{00000000-0005-0000-0000-0000762C0000}"/>
    <cellStyle name="20% - Accent6 3 2 2 4 3 2 2" xfId="13553" xr:uid="{00000000-0005-0000-0000-0000772C0000}"/>
    <cellStyle name="20% - Accent6 3 2 2 4 3 3" xfId="6992" xr:uid="{00000000-0005-0000-0000-0000782C0000}"/>
    <cellStyle name="20% - Accent6 3 2 2 4 4" xfId="31315" xr:uid="{00000000-0005-0000-0000-0000792C0000}"/>
    <cellStyle name="20% - Accent6 3 2 2 4 4 2" xfId="13554" xr:uid="{00000000-0005-0000-0000-00007A2C0000}"/>
    <cellStyle name="20% - Accent6 3 2 2 4 5" xfId="12316" xr:uid="{00000000-0005-0000-0000-00007B2C0000}"/>
    <cellStyle name="20% - Accent6 3 2 2 5" xfId="2746" xr:uid="{00000000-0005-0000-0000-00007C2C0000}"/>
    <cellStyle name="20% - Accent6 3 2 2 5 2" xfId="13556" xr:uid="{00000000-0005-0000-0000-00007D2C0000}"/>
    <cellStyle name="20% - Accent6 3 2 2 5 2 2" xfId="28271" xr:uid="{00000000-0005-0000-0000-00007E2C0000}"/>
    <cellStyle name="20% - Accent6 3 2 2 5 2 2 2" xfId="13563" xr:uid="{00000000-0005-0000-0000-00007F2C0000}"/>
    <cellStyle name="20% - Accent6 3 2 2 5 2 3" xfId="6998" xr:uid="{00000000-0005-0000-0000-0000802C0000}"/>
    <cellStyle name="20% - Accent6 3 2 2 5 3" xfId="31531" xr:uid="{00000000-0005-0000-0000-0000812C0000}"/>
    <cellStyle name="20% - Accent6 3 2 2 5 3 2" xfId="16395" xr:uid="{00000000-0005-0000-0000-0000822C0000}"/>
    <cellStyle name="20% - Accent6 3 2 2 5 4" xfId="14351" xr:uid="{00000000-0005-0000-0000-0000832C0000}"/>
    <cellStyle name="20% - Accent6 3 2 2 6" xfId="13568" xr:uid="{00000000-0005-0000-0000-0000842C0000}"/>
    <cellStyle name="20% - Accent6 3 2 2 6 2" xfId="13569" xr:uid="{00000000-0005-0000-0000-0000852C0000}"/>
    <cellStyle name="20% - Accent6 3 2 2 6 2 2" xfId="13571" xr:uid="{00000000-0005-0000-0000-0000862C0000}"/>
    <cellStyle name="20% - Accent6 3 2 2 6 3" xfId="13573" xr:uid="{00000000-0005-0000-0000-0000872C0000}"/>
    <cellStyle name="20% - Accent6 3 2 2 7" xfId="13575" xr:uid="{00000000-0005-0000-0000-0000882C0000}"/>
    <cellStyle name="20% - Accent6 3 2 2 7 2" xfId="13576" xr:uid="{00000000-0005-0000-0000-0000892C0000}"/>
    <cellStyle name="20% - Accent6 3 2 2 8" xfId="13580" xr:uid="{00000000-0005-0000-0000-00008A2C0000}"/>
    <cellStyle name="20% - Accent6 3 2 3" xfId="7234" xr:uid="{00000000-0005-0000-0000-00008B2C0000}"/>
    <cellStyle name="20% - Accent6 3 2 3 2" xfId="13582" xr:uid="{00000000-0005-0000-0000-00008C2C0000}"/>
    <cellStyle name="20% - Accent6 3 2 3 2 2" xfId="13587" xr:uid="{00000000-0005-0000-0000-00008D2C0000}"/>
    <cellStyle name="20% - Accent6 3 2 3 2 2 2" xfId="13592" xr:uid="{00000000-0005-0000-0000-00008E2C0000}"/>
    <cellStyle name="20% - Accent6 3 2 3 2 2 2 2" xfId="33503" xr:uid="{00000000-0005-0000-0000-00008F2C0000}"/>
    <cellStyle name="20% - Accent6 3 2 3 2 2 2 2 2" xfId="12384" xr:uid="{00000000-0005-0000-0000-0000902C0000}"/>
    <cellStyle name="20% - Accent6 3 2 3 2 2 2 2 2 2" xfId="10792" xr:uid="{00000000-0005-0000-0000-0000912C0000}"/>
    <cellStyle name="20% - Accent6 3 2 3 2 2 2 2 3" xfId="13595" xr:uid="{00000000-0005-0000-0000-0000922C0000}"/>
    <cellStyle name="20% - Accent6 3 2 3 2 2 2 3" xfId="2241" xr:uid="{00000000-0005-0000-0000-0000932C0000}"/>
    <cellStyle name="20% - Accent6 3 2 3 2 2 2 3 2" xfId="13600" xr:uid="{00000000-0005-0000-0000-0000942C0000}"/>
    <cellStyle name="20% - Accent6 3 2 3 2 2 2 4" xfId="13609" xr:uid="{00000000-0005-0000-0000-0000952C0000}"/>
    <cellStyle name="20% - Accent6 3 2 3 2 2 3" xfId="12220" xr:uid="{00000000-0005-0000-0000-0000962C0000}"/>
    <cellStyle name="20% - Accent6 3 2 3 2 2 3 2" xfId="1650" xr:uid="{00000000-0005-0000-0000-0000972C0000}"/>
    <cellStyle name="20% - Accent6 3 2 3 2 2 3 2 2" xfId="321" xr:uid="{00000000-0005-0000-0000-0000982C0000}"/>
    <cellStyle name="20% - Accent6 3 2 3 2 2 3 3" xfId="11610" xr:uid="{00000000-0005-0000-0000-0000992C0000}"/>
    <cellStyle name="20% - Accent6 3 2 3 2 2 4" xfId="26471" xr:uid="{00000000-0005-0000-0000-00009A2C0000}"/>
    <cellStyle name="20% - Accent6 3 2 3 2 2 4 2" xfId="29653" xr:uid="{00000000-0005-0000-0000-00009B2C0000}"/>
    <cellStyle name="20% - Accent6 3 2 3 2 2 5" xfId="16543" xr:uid="{00000000-0005-0000-0000-00009C2C0000}"/>
    <cellStyle name="20% - Accent6 3 2 3 2 3" xfId="32236" xr:uid="{00000000-0005-0000-0000-00009D2C0000}"/>
    <cellStyle name="20% - Accent6 3 2 3 2 3 2" xfId="30779" xr:uid="{00000000-0005-0000-0000-00009E2C0000}"/>
    <cellStyle name="20% - Accent6 3 2 3 2 3 2 2" xfId="1667" xr:uid="{00000000-0005-0000-0000-00009F2C0000}"/>
    <cellStyle name="20% - Accent6 3 2 3 2 3 2 2 2" xfId="13610" xr:uid="{00000000-0005-0000-0000-0000A02C0000}"/>
    <cellStyle name="20% - Accent6 3 2 3 2 3 2 3" xfId="17736" xr:uid="{00000000-0005-0000-0000-0000A12C0000}"/>
    <cellStyle name="20% - Accent6 3 2 3 2 3 3" xfId="13611" xr:uid="{00000000-0005-0000-0000-0000A22C0000}"/>
    <cellStyle name="20% - Accent6 3 2 3 2 3 3 2" xfId="11627" xr:uid="{00000000-0005-0000-0000-0000A32C0000}"/>
    <cellStyle name="20% - Accent6 3 2 3 2 3 4" xfId="13612" xr:uid="{00000000-0005-0000-0000-0000A42C0000}"/>
    <cellStyle name="20% - Accent6 3 2 3 2 4" xfId="24605" xr:uid="{00000000-0005-0000-0000-0000A52C0000}"/>
    <cellStyle name="20% - Accent6 3 2 3 2 4 2" xfId="13614" xr:uid="{00000000-0005-0000-0000-0000A62C0000}"/>
    <cellStyle name="20% - Accent6 3 2 3 2 4 2 2" xfId="28563" xr:uid="{00000000-0005-0000-0000-0000A72C0000}"/>
    <cellStyle name="20% - Accent6 3 2 3 2 4 3" xfId="13615" xr:uid="{00000000-0005-0000-0000-0000A82C0000}"/>
    <cellStyle name="20% - Accent6 3 2 3 2 5" xfId="2393" xr:uid="{00000000-0005-0000-0000-0000A92C0000}"/>
    <cellStyle name="20% - Accent6 3 2 3 2 5 2" xfId="13823" xr:uid="{00000000-0005-0000-0000-0000AA2C0000}"/>
    <cellStyle name="20% - Accent6 3 2 3 2 6" xfId="13617" xr:uid="{00000000-0005-0000-0000-0000AB2C0000}"/>
    <cellStyle name="20% - Accent6 3 2 3 3" xfId="6860" xr:uid="{00000000-0005-0000-0000-0000AC2C0000}"/>
    <cellStyle name="20% - Accent6 3 2 3 3 2" xfId="11473" xr:uid="{00000000-0005-0000-0000-0000AD2C0000}"/>
    <cellStyle name="20% - Accent6 3 2 3 3 2 2" xfId="13618" xr:uid="{00000000-0005-0000-0000-0000AE2C0000}"/>
    <cellStyle name="20% - Accent6 3 2 3 3 2 2 2" xfId="6855" xr:uid="{00000000-0005-0000-0000-0000AF2C0000}"/>
    <cellStyle name="20% - Accent6 3 2 3 3 2 2 2 2" xfId="16328" xr:uid="{00000000-0005-0000-0000-0000B02C0000}"/>
    <cellStyle name="20% - Accent6 3 2 3 3 2 2 3" xfId="13622" xr:uid="{00000000-0005-0000-0000-0000B12C0000}"/>
    <cellStyle name="20% - Accent6 3 2 3 3 2 3" xfId="8107" xr:uid="{00000000-0005-0000-0000-0000B22C0000}"/>
    <cellStyle name="20% - Accent6 3 2 3 3 2 3 2" xfId="11715" xr:uid="{00000000-0005-0000-0000-0000B32C0000}"/>
    <cellStyle name="20% - Accent6 3 2 3 3 2 4" xfId="7036" xr:uid="{00000000-0005-0000-0000-0000B42C0000}"/>
    <cellStyle name="20% - Accent6 3 2 3 3 3" xfId="24615" xr:uid="{00000000-0005-0000-0000-0000B52C0000}"/>
    <cellStyle name="20% - Accent6 3 2 3 3 3 2" xfId="13625" xr:uid="{00000000-0005-0000-0000-0000B62C0000}"/>
    <cellStyle name="20% - Accent6 3 2 3 3 3 2 2" xfId="13629" xr:uid="{00000000-0005-0000-0000-0000B72C0000}"/>
    <cellStyle name="20% - Accent6 3 2 3 3 3 3" xfId="1806" xr:uid="{00000000-0005-0000-0000-0000B82C0000}"/>
    <cellStyle name="20% - Accent6 3 2 3 3 4" xfId="31320" xr:uid="{00000000-0005-0000-0000-0000B92C0000}"/>
    <cellStyle name="20% - Accent6 3 2 3 3 4 2" xfId="13631" xr:uid="{00000000-0005-0000-0000-0000BA2C0000}"/>
    <cellStyle name="20% - Accent6 3 2 3 3 5" xfId="12073" xr:uid="{00000000-0005-0000-0000-0000BB2C0000}"/>
    <cellStyle name="20% - Accent6 3 2 3 4" xfId="2775" xr:uid="{00000000-0005-0000-0000-0000BC2C0000}"/>
    <cellStyle name="20% - Accent6 3 2 3 4 2" xfId="26328" xr:uid="{00000000-0005-0000-0000-0000BD2C0000}"/>
    <cellStyle name="20% - Accent6 3 2 3 4 2 2" xfId="13634" xr:uid="{00000000-0005-0000-0000-0000BE2C0000}"/>
    <cellStyle name="20% - Accent6 3 2 3 4 2 2 2" xfId="10953" xr:uid="{00000000-0005-0000-0000-0000BF2C0000}"/>
    <cellStyle name="20% - Accent6 3 2 3 4 2 3" xfId="7814" xr:uid="{00000000-0005-0000-0000-0000C02C0000}"/>
    <cellStyle name="20% - Accent6 3 2 3 4 3" xfId="24029" xr:uid="{00000000-0005-0000-0000-0000C12C0000}"/>
    <cellStyle name="20% - Accent6 3 2 3 4 3 2" xfId="25900" xr:uid="{00000000-0005-0000-0000-0000C22C0000}"/>
    <cellStyle name="20% - Accent6 3 2 3 4 4" xfId="7278" xr:uid="{00000000-0005-0000-0000-0000C32C0000}"/>
    <cellStyle name="20% - Accent6 3 2 3 5" xfId="13637" xr:uid="{00000000-0005-0000-0000-0000C42C0000}"/>
    <cellStyle name="20% - Accent6 3 2 3 5 2" xfId="5973" xr:uid="{00000000-0005-0000-0000-0000C52C0000}"/>
    <cellStyle name="20% - Accent6 3 2 3 5 2 2" xfId="26023" xr:uid="{00000000-0005-0000-0000-0000C62C0000}"/>
    <cellStyle name="20% - Accent6 3 2 3 5 3" xfId="1721" xr:uid="{00000000-0005-0000-0000-0000C72C0000}"/>
    <cellStyle name="20% - Accent6 3 2 3 6" xfId="13641" xr:uid="{00000000-0005-0000-0000-0000C82C0000}"/>
    <cellStyle name="20% - Accent6 3 2 3 6 2" xfId="5990" xr:uid="{00000000-0005-0000-0000-0000C92C0000}"/>
    <cellStyle name="20% - Accent6 3 2 3 7" xfId="23938" xr:uid="{00000000-0005-0000-0000-0000CA2C0000}"/>
    <cellStyle name="20% - Accent6 3 2 4" xfId="7245" xr:uid="{00000000-0005-0000-0000-0000CB2C0000}"/>
    <cellStyle name="20% - Accent6 3 2 4 2" xfId="13192" xr:uid="{00000000-0005-0000-0000-0000CC2C0000}"/>
    <cellStyle name="20% - Accent6 3 2 4 2 2" xfId="13642" xr:uid="{00000000-0005-0000-0000-0000CD2C0000}"/>
    <cellStyle name="20% - Accent6 3 2 4 2 2 2" xfId="24949" xr:uid="{00000000-0005-0000-0000-0000CE2C0000}"/>
    <cellStyle name="20% - Accent6 3 2 4 2 2 2 2" xfId="7761" xr:uid="{00000000-0005-0000-0000-0000CF2C0000}"/>
    <cellStyle name="20% - Accent6 3 2 4 2 2 2 2 2" xfId="14303" xr:uid="{00000000-0005-0000-0000-0000D02C0000}"/>
    <cellStyle name="20% - Accent6 3 2 4 2 2 2 3" xfId="13101" xr:uid="{00000000-0005-0000-0000-0000D12C0000}"/>
    <cellStyle name="20% - Accent6 3 2 4 2 2 3" xfId="24971" xr:uid="{00000000-0005-0000-0000-0000D22C0000}"/>
    <cellStyle name="20% - Accent6 3 2 4 2 2 3 2" xfId="13104" xr:uid="{00000000-0005-0000-0000-0000D32C0000}"/>
    <cellStyle name="20% - Accent6 3 2 4 2 2 4" xfId="24984" xr:uid="{00000000-0005-0000-0000-0000D42C0000}"/>
    <cellStyle name="20% - Accent6 3 2 4 2 3" xfId="31642" xr:uid="{00000000-0005-0000-0000-0000D52C0000}"/>
    <cellStyle name="20% - Accent6 3 2 4 2 3 2" xfId="25201" xr:uid="{00000000-0005-0000-0000-0000D62C0000}"/>
    <cellStyle name="20% - Accent6 3 2 4 2 3 2 2" xfId="13118" xr:uid="{00000000-0005-0000-0000-0000D72C0000}"/>
    <cellStyle name="20% - Accent6 3 2 4 2 3 3" xfId="25231" xr:uid="{00000000-0005-0000-0000-0000D82C0000}"/>
    <cellStyle name="20% - Accent6 3 2 4 2 4" xfId="13643" xr:uid="{00000000-0005-0000-0000-0000D92C0000}"/>
    <cellStyle name="20% - Accent6 3 2 4 2 4 2" xfId="25438" xr:uid="{00000000-0005-0000-0000-0000DA2C0000}"/>
    <cellStyle name="20% - Accent6 3 2 4 2 5" xfId="13644" xr:uid="{00000000-0005-0000-0000-0000DB2C0000}"/>
    <cellStyle name="20% - Accent6 3 2 4 3" xfId="2785" xr:uid="{00000000-0005-0000-0000-0000DC2C0000}"/>
    <cellStyle name="20% - Accent6 3 2 4 3 2" xfId="13645" xr:uid="{00000000-0005-0000-0000-0000DD2C0000}"/>
    <cellStyle name="20% - Accent6 3 2 4 3 2 2" xfId="24595" xr:uid="{00000000-0005-0000-0000-0000DE2C0000}"/>
    <cellStyle name="20% - Accent6 3 2 4 3 2 2 2" xfId="9802" xr:uid="{00000000-0005-0000-0000-0000DF2C0000}"/>
    <cellStyle name="20% - Accent6 3 2 4 3 2 3" xfId="26806" xr:uid="{00000000-0005-0000-0000-0000E02C0000}"/>
    <cellStyle name="20% - Accent6 3 2 4 3 3" xfId="27290" xr:uid="{00000000-0005-0000-0000-0000E12C0000}"/>
    <cellStyle name="20% - Accent6 3 2 4 3 3 2" xfId="30270" xr:uid="{00000000-0005-0000-0000-0000E22C0000}"/>
    <cellStyle name="20% - Accent6 3 2 4 3 4" xfId="12076" xr:uid="{00000000-0005-0000-0000-0000E32C0000}"/>
    <cellStyle name="20% - Accent6 3 2 4 4" xfId="13647" xr:uid="{00000000-0005-0000-0000-0000E42C0000}"/>
    <cellStyle name="20% - Accent6 3 2 4 4 2" xfId="13648" xr:uid="{00000000-0005-0000-0000-0000E52C0000}"/>
    <cellStyle name="20% - Accent6 3 2 4 4 2 2" xfId="30961" xr:uid="{00000000-0005-0000-0000-0000E62C0000}"/>
    <cellStyle name="20% - Accent6 3 2 4 4 3" xfId="13649" xr:uid="{00000000-0005-0000-0000-0000E72C0000}"/>
    <cellStyle name="20% - Accent6 3 2 4 5" xfId="13650" xr:uid="{00000000-0005-0000-0000-0000E82C0000}"/>
    <cellStyle name="20% - Accent6 3 2 4 5 2" xfId="1757" xr:uid="{00000000-0005-0000-0000-0000E92C0000}"/>
    <cellStyle name="20% - Accent6 3 2 4 6" xfId="13651" xr:uid="{00000000-0005-0000-0000-0000EA2C0000}"/>
    <cellStyle name="20% - Accent6 3 2 5" xfId="1146" xr:uid="{00000000-0005-0000-0000-0000EB2C0000}"/>
    <cellStyle name="20% - Accent6 3 2 5 2" xfId="30872" xr:uid="{00000000-0005-0000-0000-0000EC2C0000}"/>
    <cellStyle name="20% - Accent6 3 2 5 2 2" xfId="25535" xr:uid="{00000000-0005-0000-0000-0000ED2C0000}"/>
    <cellStyle name="20% - Accent6 3 2 5 2 2 2" xfId="29482" xr:uid="{00000000-0005-0000-0000-0000EE2C0000}"/>
    <cellStyle name="20% - Accent6 3 2 5 2 2 2 2" xfId="2914" xr:uid="{00000000-0005-0000-0000-0000EF2C0000}"/>
    <cellStyle name="20% - Accent6 3 2 5 2 2 3" xfId="33885" xr:uid="{00000000-0005-0000-0000-0000F02C0000}"/>
    <cellStyle name="20% - Accent6 3 2 5 2 3" xfId="13663" xr:uid="{00000000-0005-0000-0000-0000F12C0000}"/>
    <cellStyle name="20% - Accent6 3 2 5 2 3 2" xfId="30299" xr:uid="{00000000-0005-0000-0000-0000F22C0000}"/>
    <cellStyle name="20% - Accent6 3 2 5 2 4" xfId="15926" xr:uid="{00000000-0005-0000-0000-0000F32C0000}"/>
    <cellStyle name="20% - Accent6 3 2 5 3" xfId="30883" xr:uid="{00000000-0005-0000-0000-0000F42C0000}"/>
    <cellStyle name="20% - Accent6 3 2 5 3 2" xfId="12669" xr:uid="{00000000-0005-0000-0000-0000F52C0000}"/>
    <cellStyle name="20% - Accent6 3 2 5 3 2 2" xfId="30695" xr:uid="{00000000-0005-0000-0000-0000F62C0000}"/>
    <cellStyle name="20% - Accent6 3 2 5 3 3" xfId="30214" xr:uid="{00000000-0005-0000-0000-0000F72C0000}"/>
    <cellStyle name="20% - Accent6 3 2 5 4" xfId="29490" xr:uid="{00000000-0005-0000-0000-0000F82C0000}"/>
    <cellStyle name="20% - Accent6 3 2 5 4 2" xfId="30815" xr:uid="{00000000-0005-0000-0000-0000F92C0000}"/>
    <cellStyle name="20% - Accent6 3 2 5 5" xfId="21486" xr:uid="{00000000-0005-0000-0000-0000FA2C0000}"/>
    <cellStyle name="20% - Accent6 3 2 6" xfId="1160" xr:uid="{00000000-0005-0000-0000-0000FB2C0000}"/>
    <cellStyle name="20% - Accent6 3 2 6 2" xfId="23136" xr:uid="{00000000-0005-0000-0000-0000FC2C0000}"/>
    <cellStyle name="20% - Accent6 3 2 6 2 2" xfId="857" xr:uid="{00000000-0005-0000-0000-0000FD2C0000}"/>
    <cellStyle name="20% - Accent6 3 2 6 2 2 2" xfId="2753" xr:uid="{00000000-0005-0000-0000-0000FE2C0000}"/>
    <cellStyle name="20% - Accent6 3 2 6 2 3" xfId="862" xr:uid="{00000000-0005-0000-0000-0000FF2C0000}"/>
    <cellStyle name="20% - Accent6 3 2 6 3" xfId="29506" xr:uid="{00000000-0005-0000-0000-0000002D0000}"/>
    <cellStyle name="20% - Accent6 3 2 6 3 2" xfId="870" xr:uid="{00000000-0005-0000-0000-0000012D0000}"/>
    <cellStyle name="20% - Accent6 3 2 6 4" xfId="32127" xr:uid="{00000000-0005-0000-0000-0000022D0000}"/>
    <cellStyle name="20% - Accent6 3 2 7" xfId="7134" xr:uid="{00000000-0005-0000-0000-0000032D0000}"/>
    <cellStyle name="20% - Accent6 3 2 7 2" xfId="25695" xr:uid="{00000000-0005-0000-0000-0000042D0000}"/>
    <cellStyle name="20% - Accent6 3 2 7 2 2" xfId="2543" xr:uid="{00000000-0005-0000-0000-0000052D0000}"/>
    <cellStyle name="20% - Accent6 3 2 7 3" xfId="24393" xr:uid="{00000000-0005-0000-0000-0000062D0000}"/>
    <cellStyle name="20% - Accent6 3 2 8" xfId="8330" xr:uid="{00000000-0005-0000-0000-0000072D0000}"/>
    <cellStyle name="20% - Accent6 3 2 8 2" xfId="24770" xr:uid="{00000000-0005-0000-0000-0000082D0000}"/>
    <cellStyle name="20% - Accent6 3 2 9" xfId="13674" xr:uid="{00000000-0005-0000-0000-0000092D0000}"/>
    <cellStyle name="20% - Accent6 3 3" xfId="13315" xr:uid="{00000000-0005-0000-0000-00000A2D0000}"/>
    <cellStyle name="20% - Accent6 3 3 2" xfId="13676" xr:uid="{00000000-0005-0000-0000-00000B2D0000}"/>
    <cellStyle name="20% - Accent6 3 3 2 2" xfId="25775" xr:uid="{00000000-0005-0000-0000-00000C2D0000}"/>
    <cellStyle name="20% - Accent6 3 3 2 2 2" xfId="13684" xr:uid="{00000000-0005-0000-0000-00000D2D0000}"/>
    <cellStyle name="20% - Accent6 3 3 2 2 2 2" xfId="13693" xr:uid="{00000000-0005-0000-0000-00000E2D0000}"/>
    <cellStyle name="20% - Accent6 3 3 2 2 2 2 2" xfId="13694" xr:uid="{00000000-0005-0000-0000-00000F2D0000}"/>
    <cellStyle name="20% - Accent6 3 3 2 2 2 2 2 2" xfId="13697" xr:uid="{00000000-0005-0000-0000-0000102D0000}"/>
    <cellStyle name="20% - Accent6 3 3 2 2 2 2 2 2 2" xfId="7768" xr:uid="{00000000-0005-0000-0000-0000112D0000}"/>
    <cellStyle name="20% - Accent6 3 3 2 2 2 2 2 3" xfId="7346" xr:uid="{00000000-0005-0000-0000-0000122D0000}"/>
    <cellStyle name="20% - Accent6 3 3 2 2 2 2 3" xfId="9457" xr:uid="{00000000-0005-0000-0000-0000132D0000}"/>
    <cellStyle name="20% - Accent6 3 3 2 2 2 2 3 2" xfId="13698" xr:uid="{00000000-0005-0000-0000-0000142D0000}"/>
    <cellStyle name="20% - Accent6 3 3 2 2 2 2 4" xfId="13700" xr:uid="{00000000-0005-0000-0000-0000152D0000}"/>
    <cellStyle name="20% - Accent6 3 3 2 2 2 3" xfId="1481" xr:uid="{00000000-0005-0000-0000-0000162D0000}"/>
    <cellStyle name="20% - Accent6 3 3 2 2 2 3 2" xfId="3877" xr:uid="{00000000-0005-0000-0000-0000172D0000}"/>
    <cellStyle name="20% - Accent6 3 3 2 2 2 3 2 2" xfId="13706" xr:uid="{00000000-0005-0000-0000-0000182D0000}"/>
    <cellStyle name="20% - Accent6 3 3 2 2 2 3 3" xfId="13711" xr:uid="{00000000-0005-0000-0000-0000192D0000}"/>
    <cellStyle name="20% - Accent6 3 3 2 2 2 4" xfId="11414" xr:uid="{00000000-0005-0000-0000-00001A2D0000}"/>
    <cellStyle name="20% - Accent6 3 3 2 2 2 4 2" xfId="13713" xr:uid="{00000000-0005-0000-0000-00001B2D0000}"/>
    <cellStyle name="20% - Accent6 3 3 2 2 2 5" xfId="18386" xr:uid="{00000000-0005-0000-0000-00001C2D0000}"/>
    <cellStyle name="20% - Accent6 3 3 2 2 3" xfId="10225" xr:uid="{00000000-0005-0000-0000-00001D2D0000}"/>
    <cellStyle name="20% - Accent6 3 3 2 2 3 2" xfId="13715" xr:uid="{00000000-0005-0000-0000-00001E2D0000}"/>
    <cellStyle name="20% - Accent6 3 3 2 2 3 2 2" xfId="13716" xr:uid="{00000000-0005-0000-0000-00001F2D0000}"/>
    <cellStyle name="20% - Accent6 3 3 2 2 3 2 2 2" xfId="3581" xr:uid="{00000000-0005-0000-0000-0000202D0000}"/>
    <cellStyle name="20% - Accent6 3 3 2 2 3 2 3" xfId="22985" xr:uid="{00000000-0005-0000-0000-0000212D0000}"/>
    <cellStyle name="20% - Accent6 3 3 2 2 3 3" xfId="1536" xr:uid="{00000000-0005-0000-0000-0000222D0000}"/>
    <cellStyle name="20% - Accent6 3 3 2 2 3 3 2" xfId="13717" xr:uid="{00000000-0005-0000-0000-0000232D0000}"/>
    <cellStyle name="20% - Accent6 3 3 2 2 3 4" xfId="14134" xr:uid="{00000000-0005-0000-0000-0000242D0000}"/>
    <cellStyle name="20% - Accent6 3 3 2 2 4" xfId="13718" xr:uid="{00000000-0005-0000-0000-0000252D0000}"/>
    <cellStyle name="20% - Accent6 3 3 2 2 4 2" xfId="5380" xr:uid="{00000000-0005-0000-0000-0000262D0000}"/>
    <cellStyle name="20% - Accent6 3 3 2 2 4 2 2" xfId="13076" xr:uid="{00000000-0005-0000-0000-0000272D0000}"/>
    <cellStyle name="20% - Accent6 3 3 2 2 4 3" xfId="13719" xr:uid="{00000000-0005-0000-0000-0000282D0000}"/>
    <cellStyle name="20% - Accent6 3 3 2 2 5" xfId="888" xr:uid="{00000000-0005-0000-0000-0000292D0000}"/>
    <cellStyle name="20% - Accent6 3 3 2 2 5 2" xfId="29503" xr:uid="{00000000-0005-0000-0000-00002A2D0000}"/>
    <cellStyle name="20% - Accent6 3 3 2 2 6" xfId="31649" xr:uid="{00000000-0005-0000-0000-00002B2D0000}"/>
    <cellStyle name="20% - Accent6 3 3 2 3" xfId="17952" xr:uid="{00000000-0005-0000-0000-00002C2D0000}"/>
    <cellStyle name="20% - Accent6 3 3 2 3 2" xfId="17954" xr:uid="{00000000-0005-0000-0000-00002D2D0000}"/>
    <cellStyle name="20% - Accent6 3 3 2 3 2 2" xfId="17955" xr:uid="{00000000-0005-0000-0000-00002E2D0000}"/>
    <cellStyle name="20% - Accent6 3 3 2 3 2 2 2" xfId="13394" xr:uid="{00000000-0005-0000-0000-00002F2D0000}"/>
    <cellStyle name="20% - Accent6 3 3 2 3 2 2 2 2" xfId="13722" xr:uid="{00000000-0005-0000-0000-0000302D0000}"/>
    <cellStyle name="20% - Accent6 3 3 2 3 2 2 3" xfId="13397" xr:uid="{00000000-0005-0000-0000-0000312D0000}"/>
    <cellStyle name="20% - Accent6 3 3 2 3 2 3" xfId="17959" xr:uid="{00000000-0005-0000-0000-0000322D0000}"/>
    <cellStyle name="20% - Accent6 3 3 2 3 2 3 2" xfId="13408" xr:uid="{00000000-0005-0000-0000-0000332D0000}"/>
    <cellStyle name="20% - Accent6 3 3 2 3 2 4" xfId="17969" xr:uid="{00000000-0005-0000-0000-0000342D0000}"/>
    <cellStyle name="20% - Accent6 3 3 2 3 3" xfId="17981" xr:uid="{00000000-0005-0000-0000-0000352D0000}"/>
    <cellStyle name="20% - Accent6 3 3 2 3 3 2" xfId="32477" xr:uid="{00000000-0005-0000-0000-0000362D0000}"/>
    <cellStyle name="20% - Accent6 3 3 2 3 3 2 2" xfId="13411" xr:uid="{00000000-0005-0000-0000-0000372D0000}"/>
    <cellStyle name="20% - Accent6 3 3 2 3 3 3" xfId="8186" xr:uid="{00000000-0005-0000-0000-0000382D0000}"/>
    <cellStyle name="20% - Accent6 3 3 2 3 4" xfId="17983" xr:uid="{00000000-0005-0000-0000-0000392D0000}"/>
    <cellStyle name="20% - Accent6 3 3 2 3 4 2" xfId="13731" xr:uid="{00000000-0005-0000-0000-00003A2D0000}"/>
    <cellStyle name="20% - Accent6 3 3 2 3 5" xfId="17985" xr:uid="{00000000-0005-0000-0000-00003B2D0000}"/>
    <cellStyle name="20% - Accent6 3 3 2 4" xfId="17988" xr:uid="{00000000-0005-0000-0000-00003C2D0000}"/>
    <cellStyle name="20% - Accent6 3 3 2 4 2" xfId="17990" xr:uid="{00000000-0005-0000-0000-00003D2D0000}"/>
    <cellStyle name="20% - Accent6 3 3 2 4 2 2" xfId="17992" xr:uid="{00000000-0005-0000-0000-00003E2D0000}"/>
    <cellStyle name="20% - Accent6 3 3 2 4 2 2 2" xfId="13736" xr:uid="{00000000-0005-0000-0000-00003F2D0000}"/>
    <cellStyle name="20% - Accent6 3 3 2 4 2 3" xfId="17994" xr:uid="{00000000-0005-0000-0000-0000402D0000}"/>
    <cellStyle name="20% - Accent6 3 3 2 4 3" xfId="17996" xr:uid="{00000000-0005-0000-0000-0000412D0000}"/>
    <cellStyle name="20% - Accent6 3 3 2 4 3 2" xfId="8201" xr:uid="{00000000-0005-0000-0000-0000422D0000}"/>
    <cellStyle name="20% - Accent6 3 3 2 4 4" xfId="28934" xr:uid="{00000000-0005-0000-0000-0000432D0000}"/>
    <cellStyle name="20% - Accent6 3 3 2 5" xfId="17999" xr:uid="{00000000-0005-0000-0000-0000442D0000}"/>
    <cellStyle name="20% - Accent6 3 3 2 5 2" xfId="16612" xr:uid="{00000000-0005-0000-0000-0000452D0000}"/>
    <cellStyle name="20% - Accent6 3 3 2 5 2 2" xfId="18001" xr:uid="{00000000-0005-0000-0000-0000462D0000}"/>
    <cellStyle name="20% - Accent6 3 3 2 5 3" xfId="18003" xr:uid="{00000000-0005-0000-0000-0000472D0000}"/>
    <cellStyle name="20% - Accent6 3 3 2 6" xfId="18005" xr:uid="{00000000-0005-0000-0000-0000482D0000}"/>
    <cellStyle name="20% - Accent6 3 3 2 6 2" xfId="18010" xr:uid="{00000000-0005-0000-0000-0000492D0000}"/>
    <cellStyle name="20% - Accent6 3 3 2 7" xfId="13741" xr:uid="{00000000-0005-0000-0000-00004A2D0000}"/>
    <cellStyle name="20% - Accent6 3 3 3" xfId="5832" xr:uid="{00000000-0005-0000-0000-00004B2D0000}"/>
    <cellStyle name="20% - Accent6 3 3 3 2" xfId="24753" xr:uid="{00000000-0005-0000-0000-00004C2D0000}"/>
    <cellStyle name="20% - Accent6 3 3 3 2 2" xfId="19153" xr:uid="{00000000-0005-0000-0000-00004D2D0000}"/>
    <cellStyle name="20% - Accent6 3 3 3 2 2 2" xfId="13742" xr:uid="{00000000-0005-0000-0000-00004E2D0000}"/>
    <cellStyle name="20% - Accent6 3 3 3 2 2 2 2" xfId="33819" xr:uid="{00000000-0005-0000-0000-00004F2D0000}"/>
    <cellStyle name="20% - Accent6 3 3 3 2 2 2 2 2" xfId="13744" xr:uid="{00000000-0005-0000-0000-0000502D0000}"/>
    <cellStyle name="20% - Accent6 3 3 3 2 2 2 3" xfId="13746" xr:uid="{00000000-0005-0000-0000-0000512D0000}"/>
    <cellStyle name="20% - Accent6 3 3 3 2 2 3" xfId="7024" xr:uid="{00000000-0005-0000-0000-0000522D0000}"/>
    <cellStyle name="20% - Accent6 3 3 3 2 2 3 2" xfId="33144" xr:uid="{00000000-0005-0000-0000-0000532D0000}"/>
    <cellStyle name="20% - Accent6 3 3 3 2 2 4" xfId="1180" xr:uid="{00000000-0005-0000-0000-0000542D0000}"/>
    <cellStyle name="20% - Accent6 3 3 3 2 3" xfId="30561" xr:uid="{00000000-0005-0000-0000-0000552D0000}"/>
    <cellStyle name="20% - Accent6 3 3 3 2 3 2" xfId="13747" xr:uid="{00000000-0005-0000-0000-0000562D0000}"/>
    <cellStyle name="20% - Accent6 3 3 3 2 3 2 2" xfId="13749" xr:uid="{00000000-0005-0000-0000-0000572D0000}"/>
    <cellStyle name="20% - Accent6 3 3 3 2 3 3" xfId="13750" xr:uid="{00000000-0005-0000-0000-0000582D0000}"/>
    <cellStyle name="20% - Accent6 3 3 3 2 4" xfId="13752" xr:uid="{00000000-0005-0000-0000-0000592D0000}"/>
    <cellStyle name="20% - Accent6 3 3 3 2 4 2" xfId="12560" xr:uid="{00000000-0005-0000-0000-00005A2D0000}"/>
    <cellStyle name="20% - Accent6 3 3 3 2 5" xfId="31776" xr:uid="{00000000-0005-0000-0000-00005B2D0000}"/>
    <cellStyle name="20% - Accent6 3 3 3 3" xfId="25151" xr:uid="{00000000-0005-0000-0000-00005C2D0000}"/>
    <cellStyle name="20% - Accent6 3 3 3 3 2" xfId="18015" xr:uid="{00000000-0005-0000-0000-00005D2D0000}"/>
    <cellStyle name="20% - Accent6 3 3 3 3 2 2" xfId="18018" xr:uid="{00000000-0005-0000-0000-00005E2D0000}"/>
    <cellStyle name="20% - Accent6 3 3 3 3 2 2 2" xfId="24001" xr:uid="{00000000-0005-0000-0000-00005F2D0000}"/>
    <cellStyle name="20% - Accent6 3 3 3 3 2 3" xfId="18021" xr:uid="{00000000-0005-0000-0000-0000602D0000}"/>
    <cellStyle name="20% - Accent6 3 3 3 3 3" xfId="18025" xr:uid="{00000000-0005-0000-0000-0000612D0000}"/>
    <cellStyle name="20% - Accent6 3 3 3 3 3 2" xfId="13753" xr:uid="{00000000-0005-0000-0000-0000622D0000}"/>
    <cellStyle name="20% - Accent6 3 3 3 3 4" xfId="12086" xr:uid="{00000000-0005-0000-0000-0000632D0000}"/>
    <cellStyle name="20% - Accent6 3 3 3 4" xfId="18028" xr:uid="{00000000-0005-0000-0000-0000642D0000}"/>
    <cellStyle name="20% - Accent6 3 3 3 4 2" xfId="17013" xr:uid="{00000000-0005-0000-0000-0000652D0000}"/>
    <cellStyle name="20% - Accent6 3 3 3 4 2 2" xfId="16552" xr:uid="{00000000-0005-0000-0000-0000662D0000}"/>
    <cellStyle name="20% - Accent6 3 3 3 4 3" xfId="18030" xr:uid="{00000000-0005-0000-0000-0000672D0000}"/>
    <cellStyle name="20% - Accent6 3 3 3 5" xfId="18033" xr:uid="{00000000-0005-0000-0000-0000682D0000}"/>
    <cellStyle name="20% - Accent6 3 3 3 5 2" xfId="18035" xr:uid="{00000000-0005-0000-0000-0000692D0000}"/>
    <cellStyle name="20% - Accent6 3 3 3 6" xfId="18038" xr:uid="{00000000-0005-0000-0000-00006A2D0000}"/>
    <cellStyle name="20% - Accent6 3 3 4" xfId="31689" xr:uid="{00000000-0005-0000-0000-00006B2D0000}"/>
    <cellStyle name="20% - Accent6 3 3 4 2" xfId="13755" xr:uid="{00000000-0005-0000-0000-00006C2D0000}"/>
    <cellStyle name="20% - Accent6 3 3 4 2 2" xfId="10755" xr:uid="{00000000-0005-0000-0000-00006D2D0000}"/>
    <cellStyle name="20% - Accent6 3 3 4 2 2 2" xfId="13756" xr:uid="{00000000-0005-0000-0000-00006E2D0000}"/>
    <cellStyle name="20% - Accent6 3 3 4 2 2 2 2" xfId="6559" xr:uid="{00000000-0005-0000-0000-00006F2D0000}"/>
    <cellStyle name="20% - Accent6 3 3 4 2 2 3" xfId="13759" xr:uid="{00000000-0005-0000-0000-0000702D0000}"/>
    <cellStyle name="20% - Accent6 3 3 4 2 3" xfId="6456" xr:uid="{00000000-0005-0000-0000-0000712D0000}"/>
    <cellStyle name="20% - Accent6 3 3 4 2 3 2" xfId="13761" xr:uid="{00000000-0005-0000-0000-0000722D0000}"/>
    <cellStyle name="20% - Accent6 3 3 4 2 4" xfId="13763" xr:uid="{00000000-0005-0000-0000-0000732D0000}"/>
    <cellStyle name="20% - Accent6 3 3 4 3" xfId="18041" xr:uid="{00000000-0005-0000-0000-0000742D0000}"/>
    <cellStyle name="20% - Accent6 3 3 4 3 2" xfId="18042" xr:uid="{00000000-0005-0000-0000-0000752D0000}"/>
    <cellStyle name="20% - Accent6 3 3 4 3 2 2" xfId="18047" xr:uid="{00000000-0005-0000-0000-0000762D0000}"/>
    <cellStyle name="20% - Accent6 3 3 4 3 3" xfId="18051" xr:uid="{00000000-0005-0000-0000-0000772D0000}"/>
    <cellStyle name="20% - Accent6 3 3 4 4" xfId="18056" xr:uid="{00000000-0005-0000-0000-0000782D0000}"/>
    <cellStyle name="20% - Accent6 3 3 4 4 2" xfId="18057" xr:uid="{00000000-0005-0000-0000-0000792D0000}"/>
    <cellStyle name="20% - Accent6 3 3 4 5" xfId="18060" xr:uid="{00000000-0005-0000-0000-00007A2D0000}"/>
    <cellStyle name="20% - Accent6 3 3 5" xfId="1163" xr:uid="{00000000-0005-0000-0000-00007B2D0000}"/>
    <cellStyle name="20% - Accent6 3 3 5 2" xfId="29756" xr:uid="{00000000-0005-0000-0000-00007C2D0000}"/>
    <cellStyle name="20% - Accent6 3 3 5 2 2" xfId="32343" xr:uid="{00000000-0005-0000-0000-00007D2D0000}"/>
    <cellStyle name="20% - Accent6 3 3 5 2 2 2" xfId="27998" xr:uid="{00000000-0005-0000-0000-00007E2D0000}"/>
    <cellStyle name="20% - Accent6 3 3 5 2 3" xfId="30351" xr:uid="{00000000-0005-0000-0000-00007F2D0000}"/>
    <cellStyle name="20% - Accent6 3 3 5 3" xfId="13769" xr:uid="{00000000-0005-0000-0000-0000802D0000}"/>
    <cellStyle name="20% - Accent6 3 3 5 3 2" xfId="10832" xr:uid="{00000000-0005-0000-0000-0000812D0000}"/>
    <cellStyle name="20% - Accent6 3 3 5 4" xfId="18063" xr:uid="{00000000-0005-0000-0000-0000822D0000}"/>
    <cellStyle name="20% - Accent6 3 3 6" xfId="14053" xr:uid="{00000000-0005-0000-0000-0000832D0000}"/>
    <cellStyle name="20% - Accent6 3 3 6 2" xfId="32254" xr:uid="{00000000-0005-0000-0000-0000842D0000}"/>
    <cellStyle name="20% - Accent6 3 3 6 2 2" xfId="32707" xr:uid="{00000000-0005-0000-0000-0000852D0000}"/>
    <cellStyle name="20% - Accent6 3 3 6 3" xfId="11378" xr:uid="{00000000-0005-0000-0000-0000862D0000}"/>
    <cellStyle name="20% - Accent6 3 3 7" xfId="8333" xr:uid="{00000000-0005-0000-0000-0000872D0000}"/>
    <cellStyle name="20% - Accent6 3 3 7 2" xfId="3867" xr:uid="{00000000-0005-0000-0000-0000882D0000}"/>
    <cellStyle name="20% - Accent6 3 3 8" xfId="32425" xr:uid="{00000000-0005-0000-0000-0000892D0000}"/>
    <cellStyle name="20% - Accent6 3 4" xfId="31013" xr:uid="{00000000-0005-0000-0000-00008A2D0000}"/>
    <cellStyle name="20% - Accent6 3 4 2" xfId="13775" xr:uid="{00000000-0005-0000-0000-00008B2D0000}"/>
    <cellStyle name="20% - Accent6 3 4 2 2" xfId="24795" xr:uid="{00000000-0005-0000-0000-00008C2D0000}"/>
    <cellStyle name="20% - Accent6 3 4 2 2 2" xfId="10089" xr:uid="{00000000-0005-0000-0000-00008D2D0000}"/>
    <cellStyle name="20% - Accent6 3 4 2 2 2 2" xfId="29935" xr:uid="{00000000-0005-0000-0000-00008E2D0000}"/>
    <cellStyle name="20% - Accent6 3 4 2 2 2 2 2" xfId="12211" xr:uid="{00000000-0005-0000-0000-00008F2D0000}"/>
    <cellStyle name="20% - Accent6 3 4 2 2 2 2 2 2" xfId="15942" xr:uid="{00000000-0005-0000-0000-0000902D0000}"/>
    <cellStyle name="20% - Accent6 3 4 2 2 2 2 3" xfId="16252" xr:uid="{00000000-0005-0000-0000-0000912D0000}"/>
    <cellStyle name="20% - Accent6 3 4 2 2 2 3" xfId="31865" xr:uid="{00000000-0005-0000-0000-0000922D0000}"/>
    <cellStyle name="20% - Accent6 3 4 2 2 2 3 2" xfId="13780" xr:uid="{00000000-0005-0000-0000-0000932D0000}"/>
    <cellStyle name="20% - Accent6 3 4 2 2 2 4" xfId="29163" xr:uid="{00000000-0005-0000-0000-0000942D0000}"/>
    <cellStyle name="20% - Accent6 3 4 2 2 3" xfId="30676" xr:uid="{00000000-0005-0000-0000-0000952D0000}"/>
    <cellStyle name="20% - Accent6 3 4 2 2 3 2" xfId="30276" xr:uid="{00000000-0005-0000-0000-0000962D0000}"/>
    <cellStyle name="20% - Accent6 3 4 2 2 3 2 2" xfId="18483" xr:uid="{00000000-0005-0000-0000-0000972D0000}"/>
    <cellStyle name="20% - Accent6 3 4 2 2 3 3" xfId="31880" xr:uid="{00000000-0005-0000-0000-0000982D0000}"/>
    <cellStyle name="20% - Accent6 3 4 2 2 4" xfId="33936" xr:uid="{00000000-0005-0000-0000-0000992D0000}"/>
    <cellStyle name="20% - Accent6 3 4 2 2 4 2" xfId="31512" xr:uid="{00000000-0005-0000-0000-00009A2D0000}"/>
    <cellStyle name="20% - Accent6 3 4 2 2 5" xfId="31331" xr:uid="{00000000-0005-0000-0000-00009B2D0000}"/>
    <cellStyle name="20% - Accent6 3 4 2 3" xfId="18099" xr:uid="{00000000-0005-0000-0000-00009C2D0000}"/>
    <cellStyle name="20% - Accent6 3 4 2 3 2" xfId="11022" xr:uid="{00000000-0005-0000-0000-00009D2D0000}"/>
    <cellStyle name="20% - Accent6 3 4 2 3 2 2" xfId="18100" xr:uid="{00000000-0005-0000-0000-00009E2D0000}"/>
    <cellStyle name="20% - Accent6 3 4 2 3 2 2 2" xfId="9612" xr:uid="{00000000-0005-0000-0000-00009F2D0000}"/>
    <cellStyle name="20% - Accent6 3 4 2 3 2 3" xfId="18102" xr:uid="{00000000-0005-0000-0000-0000A02D0000}"/>
    <cellStyle name="20% - Accent6 3 4 2 3 3" xfId="18106" xr:uid="{00000000-0005-0000-0000-0000A12D0000}"/>
    <cellStyle name="20% - Accent6 3 4 2 3 3 2" xfId="13787" xr:uid="{00000000-0005-0000-0000-0000A22D0000}"/>
    <cellStyle name="20% - Accent6 3 4 2 3 4" xfId="18109" xr:uid="{00000000-0005-0000-0000-0000A32D0000}"/>
    <cellStyle name="20% - Accent6 3 4 2 4" xfId="18110" xr:uid="{00000000-0005-0000-0000-0000A42D0000}"/>
    <cellStyle name="20% - Accent6 3 4 2 4 2" xfId="18113" xr:uid="{00000000-0005-0000-0000-0000A52D0000}"/>
    <cellStyle name="20% - Accent6 3 4 2 4 2 2" xfId="18115" xr:uid="{00000000-0005-0000-0000-0000A62D0000}"/>
    <cellStyle name="20% - Accent6 3 4 2 4 3" xfId="18119" xr:uid="{00000000-0005-0000-0000-0000A72D0000}"/>
    <cellStyle name="20% - Accent6 3 4 2 5" xfId="18122" xr:uid="{00000000-0005-0000-0000-0000A82D0000}"/>
    <cellStyle name="20% - Accent6 3 4 2 5 2" xfId="18124" xr:uid="{00000000-0005-0000-0000-0000A92D0000}"/>
    <cellStyle name="20% - Accent6 3 4 2 6" xfId="32181" xr:uid="{00000000-0005-0000-0000-0000AA2D0000}"/>
    <cellStyle name="20% - Accent6 3 4 3" xfId="13200" xr:uid="{00000000-0005-0000-0000-0000AB2D0000}"/>
    <cellStyle name="20% - Accent6 3 4 3 2" xfId="13791" xr:uid="{00000000-0005-0000-0000-0000AC2D0000}"/>
    <cellStyle name="20% - Accent6 3 4 3 2 2" xfId="10097" xr:uid="{00000000-0005-0000-0000-0000AD2D0000}"/>
    <cellStyle name="20% - Accent6 3 4 3 2 2 2" xfId="13793" xr:uid="{00000000-0005-0000-0000-0000AE2D0000}"/>
    <cellStyle name="20% - Accent6 3 4 3 2 2 2 2" xfId="14255" xr:uid="{00000000-0005-0000-0000-0000AF2D0000}"/>
    <cellStyle name="20% - Accent6 3 4 3 2 2 3" xfId="31810" xr:uid="{00000000-0005-0000-0000-0000B02D0000}"/>
    <cellStyle name="20% - Accent6 3 4 3 2 3" xfId="24951" xr:uid="{00000000-0005-0000-0000-0000B12D0000}"/>
    <cellStyle name="20% - Accent6 3 4 3 2 3 2" xfId="18471" xr:uid="{00000000-0005-0000-0000-0000B22D0000}"/>
    <cellStyle name="20% - Accent6 3 4 3 2 4" xfId="18473" xr:uid="{00000000-0005-0000-0000-0000B32D0000}"/>
    <cellStyle name="20% - Accent6 3 4 3 3" xfId="18128" xr:uid="{00000000-0005-0000-0000-0000B42D0000}"/>
    <cellStyle name="20% - Accent6 3 4 3 3 2" xfId="18131" xr:uid="{00000000-0005-0000-0000-0000B52D0000}"/>
    <cellStyle name="20% - Accent6 3 4 3 3 2 2" xfId="18135" xr:uid="{00000000-0005-0000-0000-0000B62D0000}"/>
    <cellStyle name="20% - Accent6 3 4 3 3 3" xfId="18137" xr:uid="{00000000-0005-0000-0000-0000B72D0000}"/>
    <cellStyle name="20% - Accent6 3 4 3 4" xfId="18138" xr:uid="{00000000-0005-0000-0000-0000B82D0000}"/>
    <cellStyle name="20% - Accent6 3 4 3 4 2" xfId="18142" xr:uid="{00000000-0005-0000-0000-0000B92D0000}"/>
    <cellStyle name="20% - Accent6 3 4 3 5" xfId="18144" xr:uid="{00000000-0005-0000-0000-0000BA2D0000}"/>
    <cellStyle name="20% - Accent6 3 4 4" xfId="28374" xr:uid="{00000000-0005-0000-0000-0000BB2D0000}"/>
    <cellStyle name="20% - Accent6 3 4 4 2" xfId="26439" xr:uid="{00000000-0005-0000-0000-0000BC2D0000}"/>
    <cellStyle name="20% - Accent6 3 4 4 2 2" xfId="13796" xr:uid="{00000000-0005-0000-0000-0000BD2D0000}"/>
    <cellStyle name="20% - Accent6 3 4 4 2 2 2" xfId="12596" xr:uid="{00000000-0005-0000-0000-0000BE2D0000}"/>
    <cellStyle name="20% - Accent6 3 4 4 2 3" xfId="13799" xr:uid="{00000000-0005-0000-0000-0000BF2D0000}"/>
    <cellStyle name="20% - Accent6 3 4 4 3" xfId="18145" xr:uid="{00000000-0005-0000-0000-0000C02D0000}"/>
    <cellStyle name="20% - Accent6 3 4 4 3 2" xfId="18148" xr:uid="{00000000-0005-0000-0000-0000C12D0000}"/>
    <cellStyle name="20% - Accent6 3 4 4 4" xfId="18153" xr:uid="{00000000-0005-0000-0000-0000C22D0000}"/>
    <cellStyle name="20% - Accent6 3 4 5" xfId="13803" xr:uid="{00000000-0005-0000-0000-0000C32D0000}"/>
    <cellStyle name="20% - Accent6 3 4 5 2" xfId="14612" xr:uid="{00000000-0005-0000-0000-0000C42D0000}"/>
    <cellStyle name="20% - Accent6 3 4 5 2 2" xfId="31384" xr:uid="{00000000-0005-0000-0000-0000C52D0000}"/>
    <cellStyle name="20% - Accent6 3 4 5 3" xfId="18157" xr:uid="{00000000-0005-0000-0000-0000C62D0000}"/>
    <cellStyle name="20% - Accent6 3 4 6" xfId="18849" xr:uid="{00000000-0005-0000-0000-0000C72D0000}"/>
    <cellStyle name="20% - Accent6 3 4 6 2" xfId="15685" xr:uid="{00000000-0005-0000-0000-0000C82D0000}"/>
    <cellStyle name="20% - Accent6 3 4 7" xfId="18852" xr:uid="{00000000-0005-0000-0000-0000C92D0000}"/>
    <cellStyle name="20% - Accent6 3 5" xfId="24169" xr:uid="{00000000-0005-0000-0000-0000CA2D0000}"/>
    <cellStyle name="20% - Accent6 3 5 2" xfId="424" xr:uid="{00000000-0005-0000-0000-0000CB2D0000}"/>
    <cellStyle name="20% - Accent6 3 5 2 2" xfId="17801" xr:uid="{00000000-0005-0000-0000-0000CC2D0000}"/>
    <cellStyle name="20% - Accent6 3 5 2 2 2" xfId="14164" xr:uid="{00000000-0005-0000-0000-0000CD2D0000}"/>
    <cellStyle name="20% - Accent6 3 5 2 2 2 2" xfId="14169" xr:uid="{00000000-0005-0000-0000-0000CE2D0000}"/>
    <cellStyle name="20% - Accent6 3 5 2 2 2 2 2" xfId="11619" xr:uid="{00000000-0005-0000-0000-0000CF2D0000}"/>
    <cellStyle name="20% - Accent6 3 5 2 2 2 3" xfId="2144" xr:uid="{00000000-0005-0000-0000-0000D02D0000}"/>
    <cellStyle name="20% - Accent6 3 5 2 2 3" xfId="14181" xr:uid="{00000000-0005-0000-0000-0000D12D0000}"/>
    <cellStyle name="20% - Accent6 3 5 2 2 3 2" xfId="14186" xr:uid="{00000000-0005-0000-0000-0000D22D0000}"/>
    <cellStyle name="20% - Accent6 3 5 2 2 4" xfId="14193" xr:uid="{00000000-0005-0000-0000-0000D32D0000}"/>
    <cellStyle name="20% - Accent6 3 5 2 3" xfId="18174" xr:uid="{00000000-0005-0000-0000-0000D42D0000}"/>
    <cellStyle name="20% - Accent6 3 5 2 3 2" xfId="18176" xr:uid="{00000000-0005-0000-0000-0000D52D0000}"/>
    <cellStyle name="20% - Accent6 3 5 2 3 2 2" xfId="14204" xr:uid="{00000000-0005-0000-0000-0000D62D0000}"/>
    <cellStyle name="20% - Accent6 3 5 2 3 3" xfId="18178" xr:uid="{00000000-0005-0000-0000-0000D72D0000}"/>
    <cellStyle name="20% - Accent6 3 5 2 4" xfId="18180" xr:uid="{00000000-0005-0000-0000-0000D82D0000}"/>
    <cellStyle name="20% - Accent6 3 5 2 4 2" xfId="18182" xr:uid="{00000000-0005-0000-0000-0000D92D0000}"/>
    <cellStyle name="20% - Accent6 3 5 2 5" xfId="22292" xr:uid="{00000000-0005-0000-0000-0000DA2D0000}"/>
    <cellStyle name="20% - Accent6 3 5 3" xfId="28719" xr:uid="{00000000-0005-0000-0000-0000DB2D0000}"/>
    <cellStyle name="20% - Accent6 3 5 3 2" xfId="14260" xr:uid="{00000000-0005-0000-0000-0000DC2D0000}"/>
    <cellStyle name="20% - Accent6 3 5 3 2 2" xfId="6911" xr:uid="{00000000-0005-0000-0000-0000DD2D0000}"/>
    <cellStyle name="20% - Accent6 3 5 3 2 2 2" xfId="490" xr:uid="{00000000-0005-0000-0000-0000DE2D0000}"/>
    <cellStyle name="20% - Accent6 3 5 3 2 3" xfId="729" xr:uid="{00000000-0005-0000-0000-0000DF2D0000}"/>
    <cellStyle name="20% - Accent6 3 5 3 3" xfId="18184" xr:uid="{00000000-0005-0000-0000-0000E02D0000}"/>
    <cellStyle name="20% - Accent6 3 5 3 3 2" xfId="15350" xr:uid="{00000000-0005-0000-0000-0000E12D0000}"/>
    <cellStyle name="20% - Accent6 3 5 3 4" xfId="18190" xr:uid="{00000000-0005-0000-0000-0000E22D0000}"/>
    <cellStyle name="20% - Accent6 3 5 4" xfId="351" xr:uid="{00000000-0005-0000-0000-0000E32D0000}"/>
    <cellStyle name="20% - Accent6 3 5 4 2" xfId="13809" xr:uid="{00000000-0005-0000-0000-0000E42D0000}"/>
    <cellStyle name="20% - Accent6 3 5 4 2 2" xfId="758" xr:uid="{00000000-0005-0000-0000-0000E52D0000}"/>
    <cellStyle name="20% - Accent6 3 5 4 3" xfId="18191" xr:uid="{00000000-0005-0000-0000-0000E62D0000}"/>
    <cellStyle name="20% - Accent6 3 5 5" xfId="420" xr:uid="{00000000-0005-0000-0000-0000E72D0000}"/>
    <cellStyle name="20% - Accent6 3 5 5 2" xfId="33174" xr:uid="{00000000-0005-0000-0000-0000E82D0000}"/>
    <cellStyle name="20% - Accent6 3 5 6" xfId="18870" xr:uid="{00000000-0005-0000-0000-0000E92D0000}"/>
    <cellStyle name="20% - Accent6 3 6" xfId="1747" xr:uid="{00000000-0005-0000-0000-0000EA2D0000}"/>
    <cellStyle name="20% - Accent6 3 6 2" xfId="26995" xr:uid="{00000000-0005-0000-0000-0000EB2D0000}"/>
    <cellStyle name="20% - Accent6 3 6 2 2" xfId="13814" xr:uid="{00000000-0005-0000-0000-0000EC2D0000}"/>
    <cellStyle name="20% - Accent6 3 6 2 2 2" xfId="6888" xr:uid="{00000000-0005-0000-0000-0000ED2D0000}"/>
    <cellStyle name="20% - Accent6 3 6 2 2 2 2" xfId="29162" xr:uid="{00000000-0005-0000-0000-0000EE2D0000}"/>
    <cellStyle name="20% - Accent6 3 6 2 2 3" xfId="1497" xr:uid="{00000000-0005-0000-0000-0000EF2D0000}"/>
    <cellStyle name="20% - Accent6 3 6 2 3" xfId="18212" xr:uid="{00000000-0005-0000-0000-0000F02D0000}"/>
    <cellStyle name="20% - Accent6 3 6 2 3 2" xfId="17724" xr:uid="{00000000-0005-0000-0000-0000F12D0000}"/>
    <cellStyle name="20% - Accent6 3 6 2 4" xfId="18213" xr:uid="{00000000-0005-0000-0000-0000F22D0000}"/>
    <cellStyle name="20% - Accent6 3 6 3" xfId="23056" xr:uid="{00000000-0005-0000-0000-0000F32D0000}"/>
    <cellStyle name="20% - Accent6 3 6 3 2" xfId="13817" xr:uid="{00000000-0005-0000-0000-0000F42D0000}"/>
    <cellStyle name="20% - Accent6 3 6 3 2 2" xfId="27615" xr:uid="{00000000-0005-0000-0000-0000F52D0000}"/>
    <cellStyle name="20% - Accent6 3 6 3 3" xfId="27618" xr:uid="{00000000-0005-0000-0000-0000F62D0000}"/>
    <cellStyle name="20% - Accent6 3 6 4" xfId="23411" xr:uid="{00000000-0005-0000-0000-0000F72D0000}"/>
    <cellStyle name="20% - Accent6 3 6 4 2" xfId="21542" xr:uid="{00000000-0005-0000-0000-0000F82D0000}"/>
    <cellStyle name="20% - Accent6 3 6 5" xfId="21546" xr:uid="{00000000-0005-0000-0000-0000F92D0000}"/>
    <cellStyle name="20% - Accent6 3 7" xfId="2614" xr:uid="{00000000-0005-0000-0000-0000FA2D0000}"/>
    <cellStyle name="20% - Accent6 3 7 2" xfId="8140" xr:uid="{00000000-0005-0000-0000-0000FB2D0000}"/>
    <cellStyle name="20% - Accent6 3 7 2 2" xfId="8964" xr:uid="{00000000-0005-0000-0000-0000FC2D0000}"/>
    <cellStyle name="20% - Accent6 3 7 2 2 2" xfId="8664" xr:uid="{00000000-0005-0000-0000-0000FD2D0000}"/>
    <cellStyle name="20% - Accent6 3 7 2 3" xfId="17972" xr:uid="{00000000-0005-0000-0000-0000FE2D0000}"/>
    <cellStyle name="20% - Accent6 3 7 3" xfId="19220" xr:uid="{00000000-0005-0000-0000-0000FF2D0000}"/>
    <cellStyle name="20% - Accent6 3 7 3 2" xfId="27519" xr:uid="{00000000-0005-0000-0000-0000002E0000}"/>
    <cellStyle name="20% - Accent6 3 7 4" xfId="21551" xr:uid="{00000000-0005-0000-0000-0000012E0000}"/>
    <cellStyle name="20% - Accent6 3 8" xfId="2650" xr:uid="{00000000-0005-0000-0000-0000022E0000}"/>
    <cellStyle name="20% - Accent6 3 8 2" xfId="8164" xr:uid="{00000000-0005-0000-0000-0000032E0000}"/>
    <cellStyle name="20% - Accent6 3 8 2 2" xfId="8024" xr:uid="{00000000-0005-0000-0000-0000042E0000}"/>
    <cellStyle name="20% - Accent6 3 8 3" xfId="23861" xr:uid="{00000000-0005-0000-0000-0000052E0000}"/>
    <cellStyle name="20% - Accent6 3 9" xfId="3341" xr:uid="{00000000-0005-0000-0000-0000062E0000}"/>
    <cellStyle name="20% - Accent6 3 9 2" xfId="26262" xr:uid="{00000000-0005-0000-0000-0000072E0000}"/>
    <cellStyle name="20% - Accent6 4" xfId="13970" xr:uid="{00000000-0005-0000-0000-0000082E0000}"/>
    <cellStyle name="20% - Accent6 4 2" xfId="13824" xr:uid="{00000000-0005-0000-0000-0000092E0000}"/>
    <cellStyle name="20% - Accent6 4 2 2" xfId="9410" xr:uid="{00000000-0005-0000-0000-00000A2E0000}"/>
    <cellStyle name="20% - Accent6 4 2 2 2" xfId="13830" xr:uid="{00000000-0005-0000-0000-00000B2E0000}"/>
    <cellStyle name="20% - Accent6 4 2 2 2 2" xfId="13832" xr:uid="{00000000-0005-0000-0000-00000C2E0000}"/>
    <cellStyle name="20% - Accent6 4 2 2 2 2 2" xfId="13839" xr:uid="{00000000-0005-0000-0000-00000D2E0000}"/>
    <cellStyle name="20% - Accent6 4 2 2 2 2 2 2" xfId="26270" xr:uid="{00000000-0005-0000-0000-00000E2E0000}"/>
    <cellStyle name="20% - Accent6 4 2 2 2 2 2 2 2" xfId="13850" xr:uid="{00000000-0005-0000-0000-00000F2E0000}"/>
    <cellStyle name="20% - Accent6 4 2 2 2 2 2 2 2 2" xfId="3077" xr:uid="{00000000-0005-0000-0000-0000102E0000}"/>
    <cellStyle name="20% - Accent6 4 2 2 2 2 2 2 3" xfId="9401" xr:uid="{00000000-0005-0000-0000-0000112E0000}"/>
    <cellStyle name="20% - Accent6 4 2 2 2 2 2 3" xfId="31034" xr:uid="{00000000-0005-0000-0000-0000122E0000}"/>
    <cellStyle name="20% - Accent6 4 2 2 2 2 2 3 2" xfId="13856" xr:uid="{00000000-0005-0000-0000-0000132E0000}"/>
    <cellStyle name="20% - Accent6 4 2 2 2 2 2 4" xfId="13858" xr:uid="{00000000-0005-0000-0000-0000142E0000}"/>
    <cellStyle name="20% - Accent6 4 2 2 2 2 3" xfId="13859" xr:uid="{00000000-0005-0000-0000-0000152E0000}"/>
    <cellStyle name="20% - Accent6 4 2 2 2 2 3 2" xfId="13860" xr:uid="{00000000-0005-0000-0000-0000162E0000}"/>
    <cellStyle name="20% - Accent6 4 2 2 2 2 3 2 2" xfId="13863" xr:uid="{00000000-0005-0000-0000-0000172E0000}"/>
    <cellStyle name="20% - Accent6 4 2 2 2 2 3 3" xfId="13866" xr:uid="{00000000-0005-0000-0000-0000182E0000}"/>
    <cellStyle name="20% - Accent6 4 2 2 2 2 4" xfId="13867" xr:uid="{00000000-0005-0000-0000-0000192E0000}"/>
    <cellStyle name="20% - Accent6 4 2 2 2 2 4 2" xfId="13868" xr:uid="{00000000-0005-0000-0000-00001A2E0000}"/>
    <cellStyle name="20% - Accent6 4 2 2 2 2 5" xfId="13871" xr:uid="{00000000-0005-0000-0000-00001B2E0000}"/>
    <cellStyle name="20% - Accent6 4 2 2 2 3" xfId="10243" xr:uid="{00000000-0005-0000-0000-00001C2E0000}"/>
    <cellStyle name="20% - Accent6 4 2 2 2 3 2" xfId="13872" xr:uid="{00000000-0005-0000-0000-00001D2E0000}"/>
    <cellStyle name="20% - Accent6 4 2 2 2 3 2 2" xfId="33512" xr:uid="{00000000-0005-0000-0000-00001E2E0000}"/>
    <cellStyle name="20% - Accent6 4 2 2 2 3 2 2 2" xfId="18865" xr:uid="{00000000-0005-0000-0000-00001F2E0000}"/>
    <cellStyle name="20% - Accent6 4 2 2 2 3 2 3" xfId="13875" xr:uid="{00000000-0005-0000-0000-0000202E0000}"/>
    <cellStyle name="20% - Accent6 4 2 2 2 3 3" xfId="228" xr:uid="{00000000-0005-0000-0000-0000212E0000}"/>
    <cellStyle name="20% - Accent6 4 2 2 2 3 3 2" xfId="13877" xr:uid="{00000000-0005-0000-0000-0000222E0000}"/>
    <cellStyle name="20% - Accent6 4 2 2 2 3 4" xfId="13878" xr:uid="{00000000-0005-0000-0000-0000232E0000}"/>
    <cellStyle name="20% - Accent6 4 2 2 2 4" xfId="13879" xr:uid="{00000000-0005-0000-0000-0000242E0000}"/>
    <cellStyle name="20% - Accent6 4 2 2 2 4 2" xfId="13883" xr:uid="{00000000-0005-0000-0000-0000252E0000}"/>
    <cellStyle name="20% - Accent6 4 2 2 2 4 2 2" xfId="33638" xr:uid="{00000000-0005-0000-0000-0000262E0000}"/>
    <cellStyle name="20% - Accent6 4 2 2 2 4 3" xfId="13886" xr:uid="{00000000-0005-0000-0000-0000272E0000}"/>
    <cellStyle name="20% - Accent6 4 2 2 2 5" xfId="5867" xr:uid="{00000000-0005-0000-0000-0000282E0000}"/>
    <cellStyle name="20% - Accent6 4 2 2 2 5 2" xfId="13319" xr:uid="{00000000-0005-0000-0000-0000292E0000}"/>
    <cellStyle name="20% - Accent6 4 2 2 2 6" xfId="5875" xr:uid="{00000000-0005-0000-0000-00002A2E0000}"/>
    <cellStyle name="20% - Accent6 4 2 2 3" xfId="2822" xr:uid="{00000000-0005-0000-0000-00002B2E0000}"/>
    <cellStyle name="20% - Accent6 4 2 2 3 2" xfId="10523" xr:uid="{00000000-0005-0000-0000-00002C2E0000}"/>
    <cellStyle name="20% - Accent6 4 2 2 3 2 2" xfId="13893" xr:uid="{00000000-0005-0000-0000-00002D2E0000}"/>
    <cellStyle name="20% - Accent6 4 2 2 3 2 2 2" xfId="23445" xr:uid="{00000000-0005-0000-0000-00002E2E0000}"/>
    <cellStyle name="20% - Accent6 4 2 2 3 2 2 2 2" xfId="13085" xr:uid="{00000000-0005-0000-0000-00002F2E0000}"/>
    <cellStyle name="20% - Accent6 4 2 2 3 2 2 3" xfId="13899" xr:uid="{00000000-0005-0000-0000-0000302E0000}"/>
    <cellStyle name="20% - Accent6 4 2 2 3 2 3" xfId="7243" xr:uid="{00000000-0005-0000-0000-0000312E0000}"/>
    <cellStyle name="20% - Accent6 4 2 2 3 2 3 2" xfId="17418" xr:uid="{00000000-0005-0000-0000-0000322E0000}"/>
    <cellStyle name="20% - Accent6 4 2 2 3 2 4" xfId="3613" xr:uid="{00000000-0005-0000-0000-0000332E0000}"/>
    <cellStyle name="20% - Accent6 4 2 2 3 3" xfId="33693" xr:uid="{00000000-0005-0000-0000-0000342E0000}"/>
    <cellStyle name="20% - Accent6 4 2 2 3 3 2" xfId="26861" xr:uid="{00000000-0005-0000-0000-0000352E0000}"/>
    <cellStyle name="20% - Accent6 4 2 2 3 3 2 2" xfId="29310" xr:uid="{00000000-0005-0000-0000-0000362E0000}"/>
    <cellStyle name="20% - Accent6 4 2 2 3 3 3" xfId="7347" xr:uid="{00000000-0005-0000-0000-0000372E0000}"/>
    <cellStyle name="20% - Accent6 4 2 2 3 4" xfId="32857" xr:uid="{00000000-0005-0000-0000-0000382E0000}"/>
    <cellStyle name="20% - Accent6 4 2 2 3 4 2" xfId="17650" xr:uid="{00000000-0005-0000-0000-0000392E0000}"/>
    <cellStyle name="20% - Accent6 4 2 2 3 5" xfId="16431" xr:uid="{00000000-0005-0000-0000-00003A2E0000}"/>
    <cellStyle name="20% - Accent6 4 2 2 4" xfId="3020" xr:uid="{00000000-0005-0000-0000-00003B2E0000}"/>
    <cellStyle name="20% - Accent6 4 2 2 4 2" xfId="24440" xr:uid="{00000000-0005-0000-0000-00003C2E0000}"/>
    <cellStyle name="20% - Accent6 4 2 2 4 2 2" xfId="24442" xr:uid="{00000000-0005-0000-0000-00003D2E0000}"/>
    <cellStyle name="20% - Accent6 4 2 2 4 2 2 2" xfId="13906" xr:uid="{00000000-0005-0000-0000-00003E2E0000}"/>
    <cellStyle name="20% - Accent6 4 2 2 4 2 3" xfId="7361" xr:uid="{00000000-0005-0000-0000-00003F2E0000}"/>
    <cellStyle name="20% - Accent6 4 2 2 4 3" xfId="24444" xr:uid="{00000000-0005-0000-0000-0000402E0000}"/>
    <cellStyle name="20% - Accent6 4 2 2 4 3 2" xfId="13709" xr:uid="{00000000-0005-0000-0000-0000412E0000}"/>
    <cellStyle name="20% - Accent6 4 2 2 4 4" xfId="13907" xr:uid="{00000000-0005-0000-0000-0000422E0000}"/>
    <cellStyle name="20% - Accent6 4 2 2 5" xfId="13911" xr:uid="{00000000-0005-0000-0000-0000432E0000}"/>
    <cellStyle name="20% - Accent6 4 2 2 5 2" xfId="24451" xr:uid="{00000000-0005-0000-0000-0000442E0000}"/>
    <cellStyle name="20% - Accent6 4 2 2 5 2 2" xfId="31845" xr:uid="{00000000-0005-0000-0000-0000452E0000}"/>
    <cellStyle name="20% - Accent6 4 2 2 5 3" xfId="32670" xr:uid="{00000000-0005-0000-0000-0000462E0000}"/>
    <cellStyle name="20% - Accent6 4 2 2 6" xfId="13917" xr:uid="{00000000-0005-0000-0000-0000472E0000}"/>
    <cellStyle name="20% - Accent6 4 2 2 6 2" xfId="32794" xr:uid="{00000000-0005-0000-0000-0000482E0000}"/>
    <cellStyle name="20% - Accent6 4 2 2 7" xfId="13922" xr:uid="{00000000-0005-0000-0000-0000492E0000}"/>
    <cellStyle name="20% - Accent6 4 2 3" xfId="7266" xr:uid="{00000000-0005-0000-0000-00004A2E0000}"/>
    <cellStyle name="20% - Accent6 4 2 3 2" xfId="13245" xr:uid="{00000000-0005-0000-0000-00004B2E0000}"/>
    <cellStyle name="20% - Accent6 4 2 3 2 2" xfId="8195" xr:uid="{00000000-0005-0000-0000-00004C2E0000}"/>
    <cellStyle name="20% - Accent6 4 2 3 2 2 2" xfId="3538" xr:uid="{00000000-0005-0000-0000-00004D2E0000}"/>
    <cellStyle name="20% - Accent6 4 2 3 2 2 2 2" xfId="24002" xr:uid="{00000000-0005-0000-0000-00004E2E0000}"/>
    <cellStyle name="20% - Accent6 4 2 3 2 2 2 2 2" xfId="5905" xr:uid="{00000000-0005-0000-0000-00004F2E0000}"/>
    <cellStyle name="20% - Accent6 4 2 3 2 2 2 3" xfId="5925" xr:uid="{00000000-0005-0000-0000-0000502E0000}"/>
    <cellStyle name="20% - Accent6 4 2 3 2 2 3" xfId="4281" xr:uid="{00000000-0005-0000-0000-0000512E0000}"/>
    <cellStyle name="20% - Accent6 4 2 3 2 2 3 2" xfId="3550" xr:uid="{00000000-0005-0000-0000-0000522E0000}"/>
    <cellStyle name="20% - Accent6 4 2 3 2 2 4" xfId="3059" xr:uid="{00000000-0005-0000-0000-0000532E0000}"/>
    <cellStyle name="20% - Accent6 4 2 3 2 3" xfId="6025" xr:uid="{00000000-0005-0000-0000-0000542E0000}"/>
    <cellStyle name="20% - Accent6 4 2 3 2 3 2" xfId="3556" xr:uid="{00000000-0005-0000-0000-0000552E0000}"/>
    <cellStyle name="20% - Accent6 4 2 3 2 3 2 2" xfId="3558" xr:uid="{00000000-0005-0000-0000-0000562E0000}"/>
    <cellStyle name="20% - Accent6 4 2 3 2 3 3" xfId="3072" xr:uid="{00000000-0005-0000-0000-0000572E0000}"/>
    <cellStyle name="20% - Accent6 4 2 3 2 4" xfId="5007" xr:uid="{00000000-0005-0000-0000-0000582E0000}"/>
    <cellStyle name="20% - Accent6 4 2 3 2 4 2" xfId="14491" xr:uid="{00000000-0005-0000-0000-0000592E0000}"/>
    <cellStyle name="20% - Accent6 4 2 3 2 5" xfId="8178" xr:uid="{00000000-0005-0000-0000-00005A2E0000}"/>
    <cellStyle name="20% - Accent6 4 2 3 3" xfId="25904" xr:uid="{00000000-0005-0000-0000-00005B2E0000}"/>
    <cellStyle name="20% - Accent6 4 2 3 3 2" xfId="11506" xr:uid="{00000000-0005-0000-0000-00005C2E0000}"/>
    <cellStyle name="20% - Accent6 4 2 3 3 2 2" xfId="7471" xr:uid="{00000000-0005-0000-0000-00005D2E0000}"/>
    <cellStyle name="20% - Accent6 4 2 3 3 2 2 2" xfId="12052" xr:uid="{00000000-0005-0000-0000-00005E2E0000}"/>
    <cellStyle name="20% - Accent6 4 2 3 3 2 3" xfId="7397" xr:uid="{00000000-0005-0000-0000-00005F2E0000}"/>
    <cellStyle name="20% - Accent6 4 2 3 3 3" xfId="13067" xr:uid="{00000000-0005-0000-0000-0000602E0000}"/>
    <cellStyle name="20% - Accent6 4 2 3 3 3 2" xfId="3582" xr:uid="{00000000-0005-0000-0000-0000612E0000}"/>
    <cellStyle name="20% - Accent6 4 2 3 3 4" xfId="4051" xr:uid="{00000000-0005-0000-0000-0000622E0000}"/>
    <cellStyle name="20% - Accent6 4 2 3 4" xfId="8206" xr:uid="{00000000-0005-0000-0000-0000632E0000}"/>
    <cellStyle name="20% - Accent6 4 2 3 4 2" xfId="24458" xr:uid="{00000000-0005-0000-0000-0000642E0000}"/>
    <cellStyle name="20% - Accent6 4 2 3 4 2 2" xfId="10951" xr:uid="{00000000-0005-0000-0000-0000652E0000}"/>
    <cellStyle name="20% - Accent6 4 2 3 4 3" xfId="5882" xr:uid="{00000000-0005-0000-0000-0000662E0000}"/>
    <cellStyle name="20% - Accent6 4 2 3 5" xfId="7187" xr:uid="{00000000-0005-0000-0000-0000672E0000}"/>
    <cellStyle name="20% - Accent6 4 2 3 5 2" xfId="5934" xr:uid="{00000000-0005-0000-0000-0000682E0000}"/>
    <cellStyle name="20% - Accent6 4 2 3 6" xfId="3597" xr:uid="{00000000-0005-0000-0000-0000692E0000}"/>
    <cellStyle name="20% - Accent6 4 2 4" xfId="3443" xr:uid="{00000000-0005-0000-0000-00006A2E0000}"/>
    <cellStyle name="20% - Accent6 4 2 4 2" xfId="25165" xr:uid="{00000000-0005-0000-0000-00006B2E0000}"/>
    <cellStyle name="20% - Accent6 4 2 4 2 2" xfId="8230" xr:uid="{00000000-0005-0000-0000-00006C2E0000}"/>
    <cellStyle name="20% - Accent6 4 2 4 2 2 2" xfId="2661" xr:uid="{00000000-0005-0000-0000-00006D2E0000}"/>
    <cellStyle name="20% - Accent6 4 2 4 2 2 2 2" xfId="13704" xr:uid="{00000000-0005-0000-0000-00006E2E0000}"/>
    <cellStyle name="20% - Accent6 4 2 4 2 2 3" xfId="9959" xr:uid="{00000000-0005-0000-0000-00006F2E0000}"/>
    <cellStyle name="20% - Accent6 4 2 4 2 3" xfId="3753" xr:uid="{00000000-0005-0000-0000-0000702E0000}"/>
    <cellStyle name="20% - Accent6 4 2 4 2 3 2" xfId="3757" xr:uid="{00000000-0005-0000-0000-0000712E0000}"/>
    <cellStyle name="20% - Accent6 4 2 4 2 4" xfId="12942" xr:uid="{00000000-0005-0000-0000-0000722E0000}"/>
    <cellStyle name="20% - Accent6 4 2 4 3" xfId="8235" xr:uid="{00000000-0005-0000-0000-0000732E0000}"/>
    <cellStyle name="20% - Accent6 4 2 4 3 2" xfId="3768" xr:uid="{00000000-0005-0000-0000-0000742E0000}"/>
    <cellStyle name="20% - Accent6 4 2 4 3 2 2" xfId="3770" xr:uid="{00000000-0005-0000-0000-0000752E0000}"/>
    <cellStyle name="20% - Accent6 4 2 4 3 3" xfId="3773" xr:uid="{00000000-0005-0000-0000-0000762E0000}"/>
    <cellStyle name="20% - Accent6 4 2 4 4" xfId="3779" xr:uid="{00000000-0005-0000-0000-0000772E0000}"/>
    <cellStyle name="20% - Accent6 4 2 4 4 2" xfId="9302" xr:uid="{00000000-0005-0000-0000-0000782E0000}"/>
    <cellStyle name="20% - Accent6 4 2 4 5" xfId="3784" xr:uid="{00000000-0005-0000-0000-0000792E0000}"/>
    <cellStyle name="20% - Accent6 4 2 5" xfId="11609" xr:uid="{00000000-0005-0000-0000-00007A2E0000}"/>
    <cellStyle name="20% - Accent6 4 2 5 2" xfId="8247" xr:uid="{00000000-0005-0000-0000-00007B2E0000}"/>
    <cellStyle name="20% - Accent6 4 2 5 2 2" xfId="3887" xr:uid="{00000000-0005-0000-0000-00007C2E0000}"/>
    <cellStyle name="20% - Accent6 4 2 5 2 2 2" xfId="9369" xr:uid="{00000000-0005-0000-0000-00007D2E0000}"/>
    <cellStyle name="20% - Accent6 4 2 5 2 3" xfId="3891" xr:uid="{00000000-0005-0000-0000-00007E2E0000}"/>
    <cellStyle name="20% - Accent6 4 2 5 3" xfId="3900" xr:uid="{00000000-0005-0000-0000-00007F2E0000}"/>
    <cellStyle name="20% - Accent6 4 2 5 3 2" xfId="3903" xr:uid="{00000000-0005-0000-0000-0000802E0000}"/>
    <cellStyle name="20% - Accent6 4 2 5 4" xfId="3908" xr:uid="{00000000-0005-0000-0000-0000812E0000}"/>
    <cellStyle name="20% - Accent6 4 2 6" xfId="13925" xr:uid="{00000000-0005-0000-0000-0000822E0000}"/>
    <cellStyle name="20% - Accent6 4 2 6 2" xfId="3366" xr:uid="{00000000-0005-0000-0000-0000832E0000}"/>
    <cellStyle name="20% - Accent6 4 2 6 2 2" xfId="3939" xr:uid="{00000000-0005-0000-0000-0000842E0000}"/>
    <cellStyle name="20% - Accent6 4 2 6 3" xfId="3942" xr:uid="{00000000-0005-0000-0000-0000852E0000}"/>
    <cellStyle name="20% - Accent6 4 2 7" xfId="8340" xr:uid="{00000000-0005-0000-0000-0000862E0000}"/>
    <cellStyle name="20% - Accent6 4 2 7 2" xfId="13358" xr:uid="{00000000-0005-0000-0000-0000872E0000}"/>
    <cellStyle name="20% - Accent6 4 2 8" xfId="13926" xr:uid="{00000000-0005-0000-0000-0000882E0000}"/>
    <cellStyle name="20% - Accent6 4 3" xfId="13322" xr:uid="{00000000-0005-0000-0000-0000892E0000}"/>
    <cellStyle name="20% - Accent6 4 3 2" xfId="13253" xr:uid="{00000000-0005-0000-0000-00008A2E0000}"/>
    <cellStyle name="20% - Accent6 4 3 2 2" xfId="8003" xr:uid="{00000000-0005-0000-0000-00008B2E0000}"/>
    <cellStyle name="20% - Accent6 4 3 2 2 2" xfId="13928" xr:uid="{00000000-0005-0000-0000-00008C2E0000}"/>
    <cellStyle name="20% - Accent6 4 3 2 2 2 2" xfId="14215" xr:uid="{00000000-0005-0000-0000-00008D2E0000}"/>
    <cellStyle name="20% - Accent6 4 3 2 2 2 2 2" xfId="7594" xr:uid="{00000000-0005-0000-0000-00008E2E0000}"/>
    <cellStyle name="20% - Accent6 4 3 2 2 2 2 2 2" xfId="7825" xr:uid="{00000000-0005-0000-0000-00008F2E0000}"/>
    <cellStyle name="20% - Accent6 4 3 2 2 2 2 3" xfId="3307" xr:uid="{00000000-0005-0000-0000-0000902E0000}"/>
    <cellStyle name="20% - Accent6 4 3 2 2 2 3" xfId="5501" xr:uid="{00000000-0005-0000-0000-0000912E0000}"/>
    <cellStyle name="20% - Accent6 4 3 2 2 2 3 2" xfId="3376" xr:uid="{00000000-0005-0000-0000-0000922E0000}"/>
    <cellStyle name="20% - Accent6 4 3 2 2 2 4" xfId="14219" xr:uid="{00000000-0005-0000-0000-0000932E0000}"/>
    <cellStyle name="20% - Accent6 4 3 2 2 3" xfId="13929" xr:uid="{00000000-0005-0000-0000-0000942E0000}"/>
    <cellStyle name="20% - Accent6 4 3 2 2 3 2" xfId="13930" xr:uid="{00000000-0005-0000-0000-0000952E0000}"/>
    <cellStyle name="20% - Accent6 4 3 2 2 3 2 2" xfId="3397" xr:uid="{00000000-0005-0000-0000-0000962E0000}"/>
    <cellStyle name="20% - Accent6 4 3 2 2 3 3" xfId="29426" xr:uid="{00000000-0005-0000-0000-0000972E0000}"/>
    <cellStyle name="20% - Accent6 4 3 2 2 4" xfId="13932" xr:uid="{00000000-0005-0000-0000-0000982E0000}"/>
    <cellStyle name="20% - Accent6 4 3 2 2 4 2" xfId="13933" xr:uid="{00000000-0005-0000-0000-0000992E0000}"/>
    <cellStyle name="20% - Accent6 4 3 2 2 5" xfId="1292" xr:uid="{00000000-0005-0000-0000-00009A2E0000}"/>
    <cellStyle name="20% - Accent6 4 3 2 3" xfId="3907" xr:uid="{00000000-0005-0000-0000-00009B2E0000}"/>
    <cellStyle name="20% - Accent6 4 3 2 3 2" xfId="18271" xr:uid="{00000000-0005-0000-0000-00009C2E0000}"/>
    <cellStyle name="20% - Accent6 4 3 2 3 2 2" xfId="13936" xr:uid="{00000000-0005-0000-0000-00009D2E0000}"/>
    <cellStyle name="20% - Accent6 4 3 2 3 2 2 2" xfId="6587" xr:uid="{00000000-0005-0000-0000-00009E2E0000}"/>
    <cellStyle name="20% - Accent6 4 3 2 3 2 3" xfId="15035" xr:uid="{00000000-0005-0000-0000-00009F2E0000}"/>
    <cellStyle name="20% - Accent6 4 3 2 3 3" xfId="18274" xr:uid="{00000000-0005-0000-0000-0000A02E0000}"/>
    <cellStyle name="20% - Accent6 4 3 2 3 3 2" xfId="13725" xr:uid="{00000000-0005-0000-0000-0000A12E0000}"/>
    <cellStyle name="20% - Accent6 4 3 2 3 4" xfId="18277" xr:uid="{00000000-0005-0000-0000-0000A22E0000}"/>
    <cellStyle name="20% - Accent6 4 3 2 4" xfId="13940" xr:uid="{00000000-0005-0000-0000-0000A32E0000}"/>
    <cellStyle name="20% - Accent6 4 3 2 4 2" xfId="18279" xr:uid="{00000000-0005-0000-0000-0000A42E0000}"/>
    <cellStyle name="20% - Accent6 4 3 2 4 2 2" xfId="15041" xr:uid="{00000000-0005-0000-0000-0000A52E0000}"/>
    <cellStyle name="20% - Accent6 4 3 2 4 3" xfId="18285" xr:uid="{00000000-0005-0000-0000-0000A62E0000}"/>
    <cellStyle name="20% - Accent6 4 3 2 5" xfId="13943" xr:uid="{00000000-0005-0000-0000-0000A72E0000}"/>
    <cellStyle name="20% - Accent6 4 3 2 5 2" xfId="18287" xr:uid="{00000000-0005-0000-0000-0000A82E0000}"/>
    <cellStyle name="20% - Accent6 4 3 2 6" xfId="13955" xr:uid="{00000000-0005-0000-0000-0000A92E0000}"/>
    <cellStyle name="20% - Accent6 4 3 3" xfId="13259" xr:uid="{00000000-0005-0000-0000-0000AA2E0000}"/>
    <cellStyle name="20% - Accent6 4 3 3 2" xfId="9628" xr:uid="{00000000-0005-0000-0000-0000AB2E0000}"/>
    <cellStyle name="20% - Accent6 4 3 3 2 2" xfId="8260" xr:uid="{00000000-0005-0000-0000-0000AC2E0000}"/>
    <cellStyle name="20% - Accent6 4 3 3 2 2 2" xfId="4138" xr:uid="{00000000-0005-0000-0000-0000AD2E0000}"/>
    <cellStyle name="20% - Accent6 4 3 3 2 2 2 2" xfId="20671" xr:uid="{00000000-0005-0000-0000-0000AE2E0000}"/>
    <cellStyle name="20% - Accent6 4 3 3 2 2 3" xfId="4142" xr:uid="{00000000-0005-0000-0000-0000AF2E0000}"/>
    <cellStyle name="20% - Accent6 4 3 3 2 3" xfId="4149" xr:uid="{00000000-0005-0000-0000-0000B02E0000}"/>
    <cellStyle name="20% - Accent6 4 3 3 2 3 2" xfId="14679" xr:uid="{00000000-0005-0000-0000-0000B12E0000}"/>
    <cellStyle name="20% - Accent6 4 3 3 2 4" xfId="1250" xr:uid="{00000000-0005-0000-0000-0000B22E0000}"/>
    <cellStyle name="20% - Accent6 4 3 3 3" xfId="9941" xr:uid="{00000000-0005-0000-0000-0000B32E0000}"/>
    <cellStyle name="20% - Accent6 4 3 3 3 2" xfId="18288" xr:uid="{00000000-0005-0000-0000-0000B42E0000}"/>
    <cellStyle name="20% - Accent6 4 3 3 3 2 2" xfId="4158" xr:uid="{00000000-0005-0000-0000-0000B52E0000}"/>
    <cellStyle name="20% - Accent6 4 3 3 3 3" xfId="18294" xr:uid="{00000000-0005-0000-0000-0000B62E0000}"/>
    <cellStyle name="20% - Accent6 4 3 3 4" xfId="4167" xr:uid="{00000000-0005-0000-0000-0000B72E0000}"/>
    <cellStyle name="20% - Accent6 4 3 3 4 2" xfId="18296" xr:uid="{00000000-0005-0000-0000-0000B82E0000}"/>
    <cellStyle name="20% - Accent6 4 3 3 5" xfId="5770" xr:uid="{00000000-0005-0000-0000-0000B92E0000}"/>
    <cellStyle name="20% - Accent6 4 3 4" xfId="8562" xr:uid="{00000000-0005-0000-0000-0000BA2E0000}"/>
    <cellStyle name="20% - Accent6 4 3 4 2" xfId="4299" xr:uid="{00000000-0005-0000-0000-0000BB2E0000}"/>
    <cellStyle name="20% - Accent6 4 3 4 2 2" xfId="3803" xr:uid="{00000000-0005-0000-0000-0000BC2E0000}"/>
    <cellStyle name="20% - Accent6 4 3 4 2 2 2" xfId="4302" xr:uid="{00000000-0005-0000-0000-0000BD2E0000}"/>
    <cellStyle name="20% - Accent6 4 3 4 2 3" xfId="3626" xr:uid="{00000000-0005-0000-0000-0000BE2E0000}"/>
    <cellStyle name="20% - Accent6 4 3 4 3" xfId="4309" xr:uid="{00000000-0005-0000-0000-0000BF2E0000}"/>
    <cellStyle name="20% - Accent6 4 3 4 3 2" xfId="18298" xr:uid="{00000000-0005-0000-0000-0000C02E0000}"/>
    <cellStyle name="20% - Accent6 4 3 4 4" xfId="4315" xr:uid="{00000000-0005-0000-0000-0000C12E0000}"/>
    <cellStyle name="20% - Accent6 4 3 5" xfId="13960" xr:uid="{00000000-0005-0000-0000-0000C22E0000}"/>
    <cellStyle name="20% - Accent6 4 3 5 2" xfId="4399" xr:uid="{00000000-0005-0000-0000-0000C32E0000}"/>
    <cellStyle name="20% - Accent6 4 3 5 2 2" xfId="3819" xr:uid="{00000000-0005-0000-0000-0000C42E0000}"/>
    <cellStyle name="20% - Accent6 4 3 5 3" xfId="4413" xr:uid="{00000000-0005-0000-0000-0000C52E0000}"/>
    <cellStyle name="20% - Accent6 4 3 6" xfId="13962" xr:uid="{00000000-0005-0000-0000-0000C62E0000}"/>
    <cellStyle name="20% - Accent6 4 3 6 2" xfId="4444" xr:uid="{00000000-0005-0000-0000-0000C72E0000}"/>
    <cellStyle name="20% - Accent6 4 3 7" xfId="13963" xr:uid="{00000000-0005-0000-0000-0000C82E0000}"/>
    <cellStyle name="20% - Accent6 4 4" xfId="16399" xr:uid="{00000000-0005-0000-0000-0000C92E0000}"/>
    <cellStyle name="20% - Accent6 4 4 2" xfId="13967" xr:uid="{00000000-0005-0000-0000-0000CA2E0000}"/>
    <cellStyle name="20% - Accent6 4 4 2 2" xfId="23224" xr:uid="{00000000-0005-0000-0000-0000CB2E0000}"/>
    <cellStyle name="20% - Accent6 4 4 2 2 2" xfId="10134" xr:uid="{00000000-0005-0000-0000-0000CC2E0000}"/>
    <cellStyle name="20% - Accent6 4 4 2 2 2 2" xfId="13971" xr:uid="{00000000-0005-0000-0000-0000CD2E0000}"/>
    <cellStyle name="20% - Accent6 4 4 2 2 2 2 2" xfId="4057" xr:uid="{00000000-0005-0000-0000-0000CE2E0000}"/>
    <cellStyle name="20% - Accent6 4 4 2 2 2 3" xfId="13975" xr:uid="{00000000-0005-0000-0000-0000CF2E0000}"/>
    <cellStyle name="20% - Accent6 4 4 2 2 3" xfId="13977" xr:uid="{00000000-0005-0000-0000-0000D02E0000}"/>
    <cellStyle name="20% - Accent6 4 4 2 2 3 2" xfId="13980" xr:uid="{00000000-0005-0000-0000-0000D12E0000}"/>
    <cellStyle name="20% - Accent6 4 4 2 2 4" xfId="10436" xr:uid="{00000000-0005-0000-0000-0000D22E0000}"/>
    <cellStyle name="20% - Accent6 4 4 2 3" xfId="13983" xr:uid="{00000000-0005-0000-0000-0000D32E0000}"/>
    <cellStyle name="20% - Accent6 4 4 2 3 2" xfId="18315" xr:uid="{00000000-0005-0000-0000-0000D42E0000}"/>
    <cellStyle name="20% - Accent6 4 4 2 3 2 2" xfId="15801" xr:uid="{00000000-0005-0000-0000-0000D52E0000}"/>
    <cellStyle name="20% - Accent6 4 4 2 3 3" xfId="18317" xr:uid="{00000000-0005-0000-0000-0000D62E0000}"/>
    <cellStyle name="20% - Accent6 4 4 2 4" xfId="13991" xr:uid="{00000000-0005-0000-0000-0000D72E0000}"/>
    <cellStyle name="20% - Accent6 4 4 2 4 2" xfId="18318" xr:uid="{00000000-0005-0000-0000-0000D82E0000}"/>
    <cellStyle name="20% - Accent6 4 4 2 5" xfId="13996" xr:uid="{00000000-0005-0000-0000-0000D92E0000}"/>
    <cellStyle name="20% - Accent6 4 4 3" xfId="8568" xr:uid="{00000000-0005-0000-0000-0000DA2E0000}"/>
    <cellStyle name="20% - Accent6 4 4 3 2" xfId="4327" xr:uid="{00000000-0005-0000-0000-0000DB2E0000}"/>
    <cellStyle name="20% - Accent6 4 4 3 2 2" xfId="4639" xr:uid="{00000000-0005-0000-0000-0000DC2E0000}"/>
    <cellStyle name="20% - Accent6 4 4 3 2 2 2" xfId="9017" xr:uid="{00000000-0005-0000-0000-0000DD2E0000}"/>
    <cellStyle name="20% - Accent6 4 4 3 2 3" xfId="4648" xr:uid="{00000000-0005-0000-0000-0000DE2E0000}"/>
    <cellStyle name="20% - Accent6 4 4 3 3" xfId="4339" xr:uid="{00000000-0005-0000-0000-0000DF2E0000}"/>
    <cellStyle name="20% - Accent6 4 4 3 3 2" xfId="18323" xr:uid="{00000000-0005-0000-0000-0000E02E0000}"/>
    <cellStyle name="20% - Accent6 4 4 3 4" xfId="4657" xr:uid="{00000000-0005-0000-0000-0000E12E0000}"/>
    <cellStyle name="20% - Accent6 4 4 4" xfId="14000" xr:uid="{00000000-0005-0000-0000-0000E22E0000}"/>
    <cellStyle name="20% - Accent6 4 4 4 2" xfId="4352" xr:uid="{00000000-0005-0000-0000-0000E32E0000}"/>
    <cellStyle name="20% - Accent6 4 4 4 2 2" xfId="3862" xr:uid="{00000000-0005-0000-0000-0000E42E0000}"/>
    <cellStyle name="20% - Accent6 4 4 4 3" xfId="4749" xr:uid="{00000000-0005-0000-0000-0000E52E0000}"/>
    <cellStyle name="20% - Accent6 4 4 5" xfId="14002" xr:uid="{00000000-0005-0000-0000-0000E62E0000}"/>
    <cellStyle name="20% - Accent6 4 4 5 2" xfId="2242" xr:uid="{00000000-0005-0000-0000-0000E72E0000}"/>
    <cellStyle name="20% - Accent6 4 4 6" xfId="18914" xr:uid="{00000000-0005-0000-0000-0000E82E0000}"/>
    <cellStyle name="20% - Accent6 4 5" xfId="555" xr:uid="{00000000-0005-0000-0000-0000E92E0000}"/>
    <cellStyle name="20% - Accent6 4 5 2" xfId="3253" xr:uid="{00000000-0005-0000-0000-0000EA2E0000}"/>
    <cellStyle name="20% - Accent6 4 5 2 2" xfId="17183" xr:uid="{00000000-0005-0000-0000-0000EB2E0000}"/>
    <cellStyle name="20% - Accent6 4 5 2 2 2" xfId="6906" xr:uid="{00000000-0005-0000-0000-0000EC2E0000}"/>
    <cellStyle name="20% - Accent6 4 5 2 2 2 2" xfId="1810" xr:uid="{00000000-0005-0000-0000-0000ED2E0000}"/>
    <cellStyle name="20% - Accent6 4 5 2 2 3" xfId="2872" xr:uid="{00000000-0005-0000-0000-0000EE2E0000}"/>
    <cellStyle name="20% - Accent6 4 5 2 3" xfId="9535" xr:uid="{00000000-0005-0000-0000-0000EF2E0000}"/>
    <cellStyle name="20% - Accent6 4 5 2 3 2" xfId="18332" xr:uid="{00000000-0005-0000-0000-0000F02E0000}"/>
    <cellStyle name="20% - Accent6 4 5 2 4" xfId="14004" xr:uid="{00000000-0005-0000-0000-0000F12E0000}"/>
    <cellStyle name="20% - Accent6 4 5 3" xfId="1322" xr:uid="{00000000-0005-0000-0000-0000F22E0000}"/>
    <cellStyle name="20% - Accent6 4 5 3 2" xfId="4375" xr:uid="{00000000-0005-0000-0000-0000F32E0000}"/>
    <cellStyle name="20% - Accent6 4 5 3 2 2" xfId="4915" xr:uid="{00000000-0005-0000-0000-0000F42E0000}"/>
    <cellStyle name="20% - Accent6 4 5 3 3" xfId="4925" xr:uid="{00000000-0005-0000-0000-0000F52E0000}"/>
    <cellStyle name="20% - Accent6 4 5 4" xfId="1653" xr:uid="{00000000-0005-0000-0000-0000F62E0000}"/>
    <cellStyle name="20% - Accent6 4 5 4 2" xfId="4981" xr:uid="{00000000-0005-0000-0000-0000F72E0000}"/>
    <cellStyle name="20% - Accent6 4 5 5" xfId="2007" xr:uid="{00000000-0005-0000-0000-0000F82E0000}"/>
    <cellStyle name="20% - Accent6 4 6" xfId="3600" xr:uid="{00000000-0005-0000-0000-0000F92E0000}"/>
    <cellStyle name="20% - Accent6 4 6 2" xfId="3609" xr:uid="{00000000-0005-0000-0000-0000FA2E0000}"/>
    <cellStyle name="20% - Accent6 4 6 2 2" xfId="31977" xr:uid="{00000000-0005-0000-0000-0000FB2E0000}"/>
    <cellStyle name="20% - Accent6 4 6 2 2 2" xfId="9134" xr:uid="{00000000-0005-0000-0000-0000FC2E0000}"/>
    <cellStyle name="20% - Accent6 4 6 2 3" xfId="14008" xr:uid="{00000000-0005-0000-0000-0000FD2E0000}"/>
    <cellStyle name="20% - Accent6 4 6 3" xfId="23069" xr:uid="{00000000-0005-0000-0000-0000FE2E0000}"/>
    <cellStyle name="20% - Accent6 4 6 3 2" xfId="10258" xr:uid="{00000000-0005-0000-0000-0000FF2E0000}"/>
    <cellStyle name="20% - Accent6 4 6 4" xfId="21570" xr:uid="{00000000-0005-0000-0000-0000002F0000}"/>
    <cellStyle name="20% - Accent6 4 7" xfId="2149" xr:uid="{00000000-0005-0000-0000-0000012F0000}"/>
    <cellStyle name="20% - Accent6 4 7 2" xfId="8224" xr:uid="{00000000-0005-0000-0000-0000022F0000}"/>
    <cellStyle name="20% - Accent6 4 7 2 2" xfId="12777" xr:uid="{00000000-0005-0000-0000-0000032F0000}"/>
    <cellStyle name="20% - Accent6 4 7 3" xfId="27214" xr:uid="{00000000-0005-0000-0000-0000042F0000}"/>
    <cellStyle name="20% - Accent6 4 8" xfId="1506" xr:uid="{00000000-0005-0000-0000-0000052F0000}"/>
    <cellStyle name="20% - Accent6 4 8 2" xfId="7179" xr:uid="{00000000-0005-0000-0000-0000062F0000}"/>
    <cellStyle name="20% - Accent6 4 9" xfId="14015" xr:uid="{00000000-0005-0000-0000-0000072F0000}"/>
    <cellStyle name="20% - Accent6 5" xfId="14017" xr:uid="{00000000-0005-0000-0000-0000082F0000}"/>
    <cellStyle name="20% - Accent6 5 2" xfId="14433" xr:uid="{00000000-0005-0000-0000-0000092F0000}"/>
    <cellStyle name="20% - Accent6 5 2 2" xfId="13279" xr:uid="{00000000-0005-0000-0000-00000A2F0000}"/>
    <cellStyle name="20% - Accent6 5 2 2 2" xfId="14043" xr:uid="{00000000-0005-0000-0000-00000B2F0000}"/>
    <cellStyle name="20% - Accent6 5 2 2 2 2" xfId="14019" xr:uid="{00000000-0005-0000-0000-00000C2F0000}"/>
    <cellStyle name="20% - Accent6 5 2 2 2 2 2" xfId="14020" xr:uid="{00000000-0005-0000-0000-00000D2F0000}"/>
    <cellStyle name="20% - Accent6 5 2 2 2 2 2 2" xfId="322" xr:uid="{00000000-0005-0000-0000-00000E2F0000}"/>
    <cellStyle name="20% - Accent6 5 2 2 2 2 2 2 2" xfId="14022" xr:uid="{00000000-0005-0000-0000-00000F2F0000}"/>
    <cellStyle name="20% - Accent6 5 2 2 2 2 2 3" xfId="717" xr:uid="{00000000-0005-0000-0000-0000102F0000}"/>
    <cellStyle name="20% - Accent6 5 2 2 2 2 3" xfId="2026" xr:uid="{00000000-0005-0000-0000-0000112F0000}"/>
    <cellStyle name="20% - Accent6 5 2 2 2 2 3 2" xfId="18831" xr:uid="{00000000-0005-0000-0000-0000122F0000}"/>
    <cellStyle name="20% - Accent6 5 2 2 2 2 4" xfId="14023" xr:uid="{00000000-0005-0000-0000-0000132F0000}"/>
    <cellStyle name="20% - Accent6 5 2 2 2 3" xfId="14025" xr:uid="{00000000-0005-0000-0000-0000142F0000}"/>
    <cellStyle name="20% - Accent6 5 2 2 2 3 2" xfId="14026" xr:uid="{00000000-0005-0000-0000-0000152F0000}"/>
    <cellStyle name="20% - Accent6 5 2 2 2 3 2 2" xfId="6568" xr:uid="{00000000-0005-0000-0000-0000162F0000}"/>
    <cellStyle name="20% - Accent6 5 2 2 2 3 3" xfId="14031" xr:uid="{00000000-0005-0000-0000-0000172F0000}"/>
    <cellStyle name="20% - Accent6 5 2 2 2 4" xfId="14033" xr:uid="{00000000-0005-0000-0000-0000182F0000}"/>
    <cellStyle name="20% - Accent6 5 2 2 2 4 2" xfId="7275" xr:uid="{00000000-0005-0000-0000-0000192F0000}"/>
    <cellStyle name="20% - Accent6 5 2 2 2 5" xfId="7554" xr:uid="{00000000-0005-0000-0000-00001A2F0000}"/>
    <cellStyle name="20% - Accent6 5 2 2 3" xfId="27557" xr:uid="{00000000-0005-0000-0000-00001B2F0000}"/>
    <cellStyle name="20% - Accent6 5 2 2 3 2" xfId="27239" xr:uid="{00000000-0005-0000-0000-00001C2F0000}"/>
    <cellStyle name="20% - Accent6 5 2 2 3 2 2" xfId="19089" xr:uid="{00000000-0005-0000-0000-00001D2F0000}"/>
    <cellStyle name="20% - Accent6 5 2 2 3 2 2 2" xfId="14038" xr:uid="{00000000-0005-0000-0000-00001E2F0000}"/>
    <cellStyle name="20% - Accent6 5 2 2 3 2 3" xfId="24496" xr:uid="{00000000-0005-0000-0000-00001F2F0000}"/>
    <cellStyle name="20% - Accent6 5 2 2 3 3" xfId="29472" xr:uid="{00000000-0005-0000-0000-0000202F0000}"/>
    <cellStyle name="20% - Accent6 5 2 2 3 3 2" xfId="19104" xr:uid="{00000000-0005-0000-0000-0000212F0000}"/>
    <cellStyle name="20% - Accent6 5 2 2 3 4" xfId="14046" xr:uid="{00000000-0005-0000-0000-0000222F0000}"/>
    <cellStyle name="20% - Accent6 5 2 2 4" xfId="14051" xr:uid="{00000000-0005-0000-0000-0000232F0000}"/>
    <cellStyle name="20% - Accent6 5 2 2 4 2" xfId="14054" xr:uid="{00000000-0005-0000-0000-0000242F0000}"/>
    <cellStyle name="20% - Accent6 5 2 2 4 2 2" xfId="30964" xr:uid="{00000000-0005-0000-0000-0000252F0000}"/>
    <cellStyle name="20% - Accent6 5 2 2 4 3" xfId="14058" xr:uid="{00000000-0005-0000-0000-0000262F0000}"/>
    <cellStyle name="20% - Accent6 5 2 2 5" xfId="14060" xr:uid="{00000000-0005-0000-0000-0000272F0000}"/>
    <cellStyle name="20% - Accent6 5 2 2 5 2" xfId="14065" xr:uid="{00000000-0005-0000-0000-0000282F0000}"/>
    <cellStyle name="20% - Accent6 5 2 2 6" xfId="14070" xr:uid="{00000000-0005-0000-0000-0000292F0000}"/>
    <cellStyle name="20% - Accent6 5 2 3" xfId="8571" xr:uid="{00000000-0005-0000-0000-00002A2F0000}"/>
    <cellStyle name="20% - Accent6 5 2 3 2" xfId="9685" xr:uid="{00000000-0005-0000-0000-00002B2F0000}"/>
    <cellStyle name="20% - Accent6 5 2 3 2 2" xfId="8395" xr:uid="{00000000-0005-0000-0000-00002C2F0000}"/>
    <cellStyle name="20% - Accent6 5 2 3 2 2 2" xfId="5292" xr:uid="{00000000-0005-0000-0000-00002D2F0000}"/>
    <cellStyle name="20% - Accent6 5 2 3 2 2 2 2" xfId="7507" xr:uid="{00000000-0005-0000-0000-00002E2F0000}"/>
    <cellStyle name="20% - Accent6 5 2 3 2 2 3" xfId="5298" xr:uid="{00000000-0005-0000-0000-00002F2F0000}"/>
    <cellStyle name="20% - Accent6 5 2 3 2 3" xfId="5302" xr:uid="{00000000-0005-0000-0000-0000302F0000}"/>
    <cellStyle name="20% - Accent6 5 2 3 2 3 2" xfId="5306" xr:uid="{00000000-0005-0000-0000-0000312F0000}"/>
    <cellStyle name="20% - Accent6 5 2 3 2 4" xfId="5309" xr:uid="{00000000-0005-0000-0000-0000322F0000}"/>
    <cellStyle name="20% - Accent6 5 2 3 3" xfId="3620" xr:uid="{00000000-0005-0000-0000-0000332F0000}"/>
    <cellStyle name="20% - Accent6 5 2 3 3 2" xfId="5320" xr:uid="{00000000-0005-0000-0000-0000342F0000}"/>
    <cellStyle name="20% - Accent6 5 2 3 3 2 2" xfId="9572" xr:uid="{00000000-0005-0000-0000-0000352F0000}"/>
    <cellStyle name="20% - Accent6 5 2 3 3 3" xfId="20905" xr:uid="{00000000-0005-0000-0000-0000362F0000}"/>
    <cellStyle name="20% - Accent6 5 2 3 4" xfId="3374" xr:uid="{00000000-0005-0000-0000-0000372F0000}"/>
    <cellStyle name="20% - Accent6 5 2 3 4 2" xfId="8345" xr:uid="{00000000-0005-0000-0000-0000382F0000}"/>
    <cellStyle name="20% - Accent6 5 2 3 5" xfId="5347" xr:uid="{00000000-0005-0000-0000-0000392F0000}"/>
    <cellStyle name="20% - Accent6 5 2 4" xfId="8575" xr:uid="{00000000-0005-0000-0000-00003A2F0000}"/>
    <cellStyle name="20% - Accent6 5 2 4 2" xfId="5423" xr:uid="{00000000-0005-0000-0000-00003B2F0000}"/>
    <cellStyle name="20% - Accent6 5 2 4 2 2" xfId="14298" xr:uid="{00000000-0005-0000-0000-00003C2F0000}"/>
    <cellStyle name="20% - Accent6 5 2 4 2 2 2" xfId="12202" xr:uid="{00000000-0005-0000-0000-00003D2F0000}"/>
    <cellStyle name="20% - Accent6 5 2 4 2 3" xfId="5433" xr:uid="{00000000-0005-0000-0000-00003E2F0000}"/>
    <cellStyle name="20% - Accent6 5 2 4 3" xfId="5439" xr:uid="{00000000-0005-0000-0000-00003F2F0000}"/>
    <cellStyle name="20% - Accent6 5 2 4 3 2" xfId="5453" xr:uid="{00000000-0005-0000-0000-0000402F0000}"/>
    <cellStyle name="20% - Accent6 5 2 4 4" xfId="5461" xr:uid="{00000000-0005-0000-0000-0000412F0000}"/>
    <cellStyle name="20% - Accent6 5 2 5" xfId="14075" xr:uid="{00000000-0005-0000-0000-0000422F0000}"/>
    <cellStyle name="20% - Accent6 5 2 5 2" xfId="5504" xr:uid="{00000000-0005-0000-0000-0000432F0000}"/>
    <cellStyle name="20% - Accent6 5 2 5 2 2" xfId="4966" xr:uid="{00000000-0005-0000-0000-0000442F0000}"/>
    <cellStyle name="20% - Accent6 5 2 5 3" xfId="5510" xr:uid="{00000000-0005-0000-0000-0000452F0000}"/>
    <cellStyle name="20% - Accent6 5 2 6" xfId="14077" xr:uid="{00000000-0005-0000-0000-0000462F0000}"/>
    <cellStyle name="20% - Accent6 5 2 6 2" xfId="5536" xr:uid="{00000000-0005-0000-0000-0000472F0000}"/>
    <cellStyle name="20% - Accent6 5 2 7" xfId="14080" xr:uid="{00000000-0005-0000-0000-0000482F0000}"/>
    <cellStyle name="20% - Accent6 5 3" xfId="14083" xr:uid="{00000000-0005-0000-0000-0000492F0000}"/>
    <cellStyle name="20% - Accent6 5 3 2" xfId="14087" xr:uid="{00000000-0005-0000-0000-00004A2F0000}"/>
    <cellStyle name="20% - Accent6 5 3 2 2" xfId="26276" xr:uid="{00000000-0005-0000-0000-00004B2F0000}"/>
    <cellStyle name="20% - Accent6 5 3 2 2 2" xfId="9564" xr:uid="{00000000-0005-0000-0000-00004C2F0000}"/>
    <cellStyle name="20% - Accent6 5 3 2 2 2 2" xfId="14090" xr:uid="{00000000-0005-0000-0000-00004D2F0000}"/>
    <cellStyle name="20% - Accent6 5 3 2 2 2 2 2" xfId="5212" xr:uid="{00000000-0005-0000-0000-00004E2F0000}"/>
    <cellStyle name="20% - Accent6 5 3 2 2 2 3" xfId="6679" xr:uid="{00000000-0005-0000-0000-00004F2F0000}"/>
    <cellStyle name="20% - Accent6 5 3 2 2 3" xfId="9568" xr:uid="{00000000-0005-0000-0000-0000502F0000}"/>
    <cellStyle name="20% - Accent6 5 3 2 2 3 2" xfId="14096" xr:uid="{00000000-0005-0000-0000-0000512F0000}"/>
    <cellStyle name="20% - Accent6 5 3 2 2 4" xfId="14099" xr:uid="{00000000-0005-0000-0000-0000522F0000}"/>
    <cellStyle name="20% - Accent6 5 3 2 3" xfId="27543" xr:uid="{00000000-0005-0000-0000-0000532F0000}"/>
    <cellStyle name="20% - Accent6 5 3 2 3 2" xfId="18352" xr:uid="{00000000-0005-0000-0000-0000542F0000}"/>
    <cellStyle name="20% - Accent6 5 3 2 3 2 2" xfId="17167" xr:uid="{00000000-0005-0000-0000-0000552F0000}"/>
    <cellStyle name="20% - Accent6 5 3 2 3 3" xfId="18357" xr:uid="{00000000-0005-0000-0000-0000562F0000}"/>
    <cellStyle name="20% - Accent6 5 3 2 4" xfId="14100" xr:uid="{00000000-0005-0000-0000-0000572F0000}"/>
    <cellStyle name="20% - Accent6 5 3 2 4 2" xfId="18360" xr:uid="{00000000-0005-0000-0000-0000582F0000}"/>
    <cellStyle name="20% - Accent6 5 3 2 5" xfId="14106" xr:uid="{00000000-0005-0000-0000-0000592F0000}"/>
    <cellStyle name="20% - Accent6 5 3 3" xfId="8578" xr:uid="{00000000-0005-0000-0000-00005A2F0000}"/>
    <cellStyle name="20% - Accent6 5 3 3 2" xfId="19445" xr:uid="{00000000-0005-0000-0000-00005B2F0000}"/>
    <cellStyle name="20% - Accent6 5 3 3 2 2" xfId="5651" xr:uid="{00000000-0005-0000-0000-00005C2F0000}"/>
    <cellStyle name="20% - Accent6 5 3 3 2 2 2" xfId="5654" xr:uid="{00000000-0005-0000-0000-00005D2F0000}"/>
    <cellStyle name="20% - Accent6 5 3 3 2 3" xfId="5660" xr:uid="{00000000-0005-0000-0000-00005E2F0000}"/>
    <cellStyle name="20% - Accent6 5 3 3 3" xfId="8883" xr:uid="{00000000-0005-0000-0000-00005F2F0000}"/>
    <cellStyle name="20% - Accent6 5 3 3 3 2" xfId="5679" xr:uid="{00000000-0005-0000-0000-0000602F0000}"/>
    <cellStyle name="20% - Accent6 5 3 3 4" xfId="5903" xr:uid="{00000000-0005-0000-0000-0000612F0000}"/>
    <cellStyle name="20% - Accent6 5 3 4" xfId="14111" xr:uid="{00000000-0005-0000-0000-0000622F0000}"/>
    <cellStyle name="20% - Accent6 5 3 4 2" xfId="16625" xr:uid="{00000000-0005-0000-0000-0000632F0000}"/>
    <cellStyle name="20% - Accent6 5 3 4 2 2" xfId="9932" xr:uid="{00000000-0005-0000-0000-0000642F0000}"/>
    <cellStyle name="20% - Accent6 5 3 4 3" xfId="5912" xr:uid="{00000000-0005-0000-0000-0000652F0000}"/>
    <cellStyle name="20% - Accent6 5 3 5" xfId="14114" xr:uid="{00000000-0005-0000-0000-0000662F0000}"/>
    <cellStyle name="20% - Accent6 5 3 5 2" xfId="2290" xr:uid="{00000000-0005-0000-0000-0000672F0000}"/>
    <cellStyle name="20% - Accent6 5 3 6" xfId="14116" xr:uid="{00000000-0005-0000-0000-0000682F0000}"/>
    <cellStyle name="20% - Accent6 5 4" xfId="14117" xr:uid="{00000000-0005-0000-0000-0000692F0000}"/>
    <cellStyle name="20% - Accent6 5 4 2" xfId="9943" xr:uid="{00000000-0005-0000-0000-00006A2F0000}"/>
    <cellStyle name="20% - Accent6 5 4 2 2" xfId="20404" xr:uid="{00000000-0005-0000-0000-00006B2F0000}"/>
    <cellStyle name="20% - Accent6 5 4 2 2 2" xfId="9601" xr:uid="{00000000-0005-0000-0000-00006C2F0000}"/>
    <cellStyle name="20% - Accent6 5 4 2 2 2 2" xfId="14123" xr:uid="{00000000-0005-0000-0000-00006D2F0000}"/>
    <cellStyle name="20% - Accent6 5 4 2 2 3" xfId="11770" xr:uid="{00000000-0005-0000-0000-00006E2F0000}"/>
    <cellStyle name="20% - Accent6 5 4 2 3" xfId="14127" xr:uid="{00000000-0005-0000-0000-00006F2F0000}"/>
    <cellStyle name="20% - Accent6 5 4 2 3 2" xfId="18375" xr:uid="{00000000-0005-0000-0000-0000702F0000}"/>
    <cellStyle name="20% - Accent6 5 4 2 4" xfId="16950" xr:uid="{00000000-0005-0000-0000-0000712F0000}"/>
    <cellStyle name="20% - Accent6 5 4 3" xfId="14131" xr:uid="{00000000-0005-0000-0000-0000722F0000}"/>
    <cellStyle name="20% - Accent6 5 4 3 2" xfId="18746" xr:uid="{00000000-0005-0000-0000-0000732F0000}"/>
    <cellStyle name="20% - Accent6 5 4 3 2 2" xfId="5816" xr:uid="{00000000-0005-0000-0000-0000742F0000}"/>
    <cellStyle name="20% - Accent6 5 4 3 3" xfId="24625" xr:uid="{00000000-0005-0000-0000-0000752F0000}"/>
    <cellStyle name="20% - Accent6 5 4 4" xfId="14132" xr:uid="{00000000-0005-0000-0000-0000762F0000}"/>
    <cellStyle name="20% - Accent6 5 4 4 2" xfId="24473" xr:uid="{00000000-0005-0000-0000-0000772F0000}"/>
    <cellStyle name="20% - Accent6 5 4 5" xfId="15760" xr:uid="{00000000-0005-0000-0000-0000782F0000}"/>
    <cellStyle name="20% - Accent6 5 5" xfId="856" xr:uid="{00000000-0005-0000-0000-0000792F0000}"/>
    <cellStyle name="20% - Accent6 5 5 2" xfId="1403" xr:uid="{00000000-0005-0000-0000-00007A2F0000}"/>
    <cellStyle name="20% - Accent6 5 5 2 2" xfId="14135" xr:uid="{00000000-0005-0000-0000-00007B2F0000}"/>
    <cellStyle name="20% - Accent6 5 5 2 2 2" xfId="4004" xr:uid="{00000000-0005-0000-0000-00007C2F0000}"/>
    <cellStyle name="20% - Accent6 5 5 2 3" xfId="11208" xr:uid="{00000000-0005-0000-0000-00007D2F0000}"/>
    <cellStyle name="20% - Accent6 5 5 3" xfId="5020" xr:uid="{00000000-0005-0000-0000-00007E2F0000}"/>
    <cellStyle name="20% - Accent6 5 5 3 2" xfId="5033" xr:uid="{00000000-0005-0000-0000-00007F2F0000}"/>
    <cellStyle name="20% - Accent6 5 5 4" xfId="3142" xr:uid="{00000000-0005-0000-0000-0000802F0000}"/>
    <cellStyle name="20% - Accent6 5 6" xfId="9222" xr:uid="{00000000-0005-0000-0000-0000812F0000}"/>
    <cellStyle name="20% - Accent6 5 6 2" xfId="2072" xr:uid="{00000000-0005-0000-0000-0000822F0000}"/>
    <cellStyle name="20% - Accent6 5 6 2 2" xfId="14146" xr:uid="{00000000-0005-0000-0000-0000832F0000}"/>
    <cellStyle name="20% - Accent6 5 6 3" xfId="27636" xr:uid="{00000000-0005-0000-0000-0000842F0000}"/>
    <cellStyle name="20% - Accent6 5 7" xfId="2173" xr:uid="{00000000-0005-0000-0000-0000852F0000}"/>
    <cellStyle name="20% - Accent6 5 7 2" xfId="14153" xr:uid="{00000000-0005-0000-0000-0000862F0000}"/>
    <cellStyle name="20% - Accent6 5 8" xfId="14156" xr:uid="{00000000-0005-0000-0000-0000872F0000}"/>
    <cellStyle name="20% - Accent6 6" xfId="14158" xr:uid="{00000000-0005-0000-0000-0000882F0000}"/>
    <cellStyle name="20% - Accent6 6 2" xfId="14161" xr:uid="{00000000-0005-0000-0000-0000892F0000}"/>
    <cellStyle name="20% - Accent6 6 2 2" xfId="14167" xr:uid="{00000000-0005-0000-0000-00008A2F0000}"/>
    <cellStyle name="20% - Accent6 6 2 2 2" xfId="1412" xr:uid="{00000000-0005-0000-0000-00008B2F0000}"/>
    <cellStyle name="20% - Accent6 6 2 2 2 2" xfId="3268" xr:uid="{00000000-0005-0000-0000-00008C2F0000}"/>
    <cellStyle name="20% - Accent6 6 2 2 2 2 2" xfId="6508" xr:uid="{00000000-0005-0000-0000-00008D2F0000}"/>
    <cellStyle name="20% - Accent6 6 2 2 2 2 2 2" xfId="10484" xr:uid="{00000000-0005-0000-0000-00008E2F0000}"/>
    <cellStyle name="20% - Accent6 6 2 2 2 2 3" xfId="6520" xr:uid="{00000000-0005-0000-0000-00008F2F0000}"/>
    <cellStyle name="20% - Accent6 6 2 2 2 3" xfId="6529" xr:uid="{00000000-0005-0000-0000-0000902F0000}"/>
    <cellStyle name="20% - Accent6 6 2 2 2 3 2" xfId="6532" xr:uid="{00000000-0005-0000-0000-0000912F0000}"/>
    <cellStyle name="20% - Accent6 6 2 2 2 4" xfId="3006" xr:uid="{00000000-0005-0000-0000-0000922F0000}"/>
    <cellStyle name="20% - Accent6 6 2 2 3" xfId="16653" xr:uid="{00000000-0005-0000-0000-0000932F0000}"/>
    <cellStyle name="20% - Accent6 6 2 2 3 2" xfId="18246" xr:uid="{00000000-0005-0000-0000-0000942F0000}"/>
    <cellStyle name="20% - Accent6 6 2 2 3 2 2" xfId="21396" xr:uid="{00000000-0005-0000-0000-0000952F0000}"/>
    <cellStyle name="20% - Accent6 6 2 2 3 3" xfId="23657" xr:uid="{00000000-0005-0000-0000-0000962F0000}"/>
    <cellStyle name="20% - Accent6 6 2 2 4" xfId="8028" xr:uid="{00000000-0005-0000-0000-0000972F0000}"/>
    <cellStyle name="20% - Accent6 6 2 2 4 2" xfId="11031" xr:uid="{00000000-0005-0000-0000-0000982F0000}"/>
    <cellStyle name="20% - Accent6 6 2 2 5" xfId="6569" xr:uid="{00000000-0005-0000-0000-0000992F0000}"/>
    <cellStyle name="20% - Accent6 6 2 3" xfId="2143" xr:uid="{00000000-0005-0000-0000-00009A2F0000}"/>
    <cellStyle name="20% - Accent6 6 2 3 2" xfId="10212" xr:uid="{00000000-0005-0000-0000-00009B2F0000}"/>
    <cellStyle name="20% - Accent6 6 2 3 2 2" xfId="6602" xr:uid="{00000000-0005-0000-0000-00009C2F0000}"/>
    <cellStyle name="20% - Accent6 6 2 3 2 2 2" xfId="6042" xr:uid="{00000000-0005-0000-0000-00009D2F0000}"/>
    <cellStyle name="20% - Accent6 6 2 3 2 3" xfId="6607" xr:uid="{00000000-0005-0000-0000-00009E2F0000}"/>
    <cellStyle name="20% - Accent6 6 2 3 3" xfId="16658" xr:uid="{00000000-0005-0000-0000-00009F2F0000}"/>
    <cellStyle name="20% - Accent6 6 2 3 3 2" xfId="6632" xr:uid="{00000000-0005-0000-0000-0000A02F0000}"/>
    <cellStyle name="20% - Accent6 6 2 3 4" xfId="10107" xr:uid="{00000000-0005-0000-0000-0000A12F0000}"/>
    <cellStyle name="20% - Accent6 6 2 4" xfId="32543" xr:uid="{00000000-0005-0000-0000-0000A22F0000}"/>
    <cellStyle name="20% - Accent6 6 2 4 2" xfId="6659" xr:uid="{00000000-0005-0000-0000-0000A32F0000}"/>
    <cellStyle name="20% - Accent6 6 2 4 2 2" xfId="1348" xr:uid="{00000000-0005-0000-0000-0000A42F0000}"/>
    <cellStyle name="20% - Accent6 6 2 4 3" xfId="11817" xr:uid="{00000000-0005-0000-0000-0000A52F0000}"/>
    <cellStyle name="20% - Accent6 6 2 5" xfId="710" xr:uid="{00000000-0005-0000-0000-0000A62F0000}"/>
    <cellStyle name="20% - Accent6 6 2 5 2" xfId="23226" xr:uid="{00000000-0005-0000-0000-0000A72F0000}"/>
    <cellStyle name="20% - Accent6 6 2 6" xfId="14177" xr:uid="{00000000-0005-0000-0000-0000A82F0000}"/>
    <cellStyle name="20% - Accent6 6 3" xfId="14179" xr:uid="{00000000-0005-0000-0000-0000A92F0000}"/>
    <cellStyle name="20% - Accent6 6 3 2" xfId="14184" xr:uid="{00000000-0005-0000-0000-0000AA2F0000}"/>
    <cellStyle name="20% - Accent6 6 3 2 2" xfId="4095" xr:uid="{00000000-0005-0000-0000-0000AB2F0000}"/>
    <cellStyle name="20% - Accent6 6 3 2 2 2" xfId="1098" xr:uid="{00000000-0005-0000-0000-0000AC2F0000}"/>
    <cellStyle name="20% - Accent6 6 3 2 2 2 2" xfId="793" xr:uid="{00000000-0005-0000-0000-0000AD2F0000}"/>
    <cellStyle name="20% - Accent6 6 3 2 2 3" xfId="7058" xr:uid="{00000000-0005-0000-0000-0000AE2F0000}"/>
    <cellStyle name="20% - Accent6 6 3 2 3" xfId="16678" xr:uid="{00000000-0005-0000-0000-0000AF2F0000}"/>
    <cellStyle name="20% - Accent6 6 3 2 3 2" xfId="18418" xr:uid="{00000000-0005-0000-0000-0000B02F0000}"/>
    <cellStyle name="20% - Accent6 6 3 2 4" xfId="6146" xr:uid="{00000000-0005-0000-0000-0000B12F0000}"/>
    <cellStyle name="20% - Accent6 6 3 3" xfId="14187" xr:uid="{00000000-0005-0000-0000-0000B22F0000}"/>
    <cellStyle name="20% - Accent6 6 3 3 2" xfId="10219" xr:uid="{00000000-0005-0000-0000-0000B32F0000}"/>
    <cellStyle name="20% - Accent6 6 3 3 2 2" xfId="7080" xr:uid="{00000000-0005-0000-0000-0000B42F0000}"/>
    <cellStyle name="20% - Accent6 6 3 3 3" xfId="11530" xr:uid="{00000000-0005-0000-0000-0000B52F0000}"/>
    <cellStyle name="20% - Accent6 6 3 4" xfId="20074" xr:uid="{00000000-0005-0000-0000-0000B62F0000}"/>
    <cellStyle name="20% - Accent6 6 3 4 2" xfId="24290" xr:uid="{00000000-0005-0000-0000-0000B72F0000}"/>
    <cellStyle name="20% - Accent6 6 3 5" xfId="14189" xr:uid="{00000000-0005-0000-0000-0000B82F0000}"/>
    <cellStyle name="20% - Accent6 6 4" xfId="14192" xr:uid="{00000000-0005-0000-0000-0000B92F0000}"/>
    <cellStyle name="20% - Accent6 6 4 2" xfId="13309" xr:uid="{00000000-0005-0000-0000-0000BA2F0000}"/>
    <cellStyle name="20% - Accent6 6 4 2 2" xfId="10781" xr:uid="{00000000-0005-0000-0000-0000BB2F0000}"/>
    <cellStyle name="20% - Accent6 6 4 2 2 2" xfId="10786" xr:uid="{00000000-0005-0000-0000-0000BC2F0000}"/>
    <cellStyle name="20% - Accent6 6 4 2 3" xfId="10828" xr:uid="{00000000-0005-0000-0000-0000BD2F0000}"/>
    <cellStyle name="20% - Accent6 6 4 3" xfId="13310" xr:uid="{00000000-0005-0000-0000-0000BE2F0000}"/>
    <cellStyle name="20% - Accent6 6 4 3 2" xfId="24699" xr:uid="{00000000-0005-0000-0000-0000BF2F0000}"/>
    <cellStyle name="20% - Accent6 6 4 4" xfId="14194" xr:uid="{00000000-0005-0000-0000-0000C02F0000}"/>
    <cellStyle name="20% - Accent6 6 5" xfId="4499" xr:uid="{00000000-0005-0000-0000-0000C12F0000}"/>
    <cellStyle name="20% - Accent6 6 5 2" xfId="2102" xr:uid="{00000000-0005-0000-0000-0000C22F0000}"/>
    <cellStyle name="20% - Accent6 6 5 2 2" xfId="27891" xr:uid="{00000000-0005-0000-0000-0000C32F0000}"/>
    <cellStyle name="20% - Accent6 6 5 3" xfId="26841" xr:uid="{00000000-0005-0000-0000-0000C42F0000}"/>
    <cellStyle name="20% - Accent6 6 6" xfId="2394" xr:uid="{00000000-0005-0000-0000-0000C52F0000}"/>
    <cellStyle name="20% - Accent6 6 6 2" xfId="13499" xr:uid="{00000000-0005-0000-0000-0000C62F0000}"/>
    <cellStyle name="20% - Accent6 6 7" xfId="14197" xr:uid="{00000000-0005-0000-0000-0000C72F0000}"/>
    <cellStyle name="20% - Accent6 7" xfId="22449" xr:uid="{00000000-0005-0000-0000-0000C82F0000}"/>
    <cellStyle name="20% - Accent6 7 2" xfId="22453" xr:uid="{00000000-0005-0000-0000-0000C92F0000}"/>
    <cellStyle name="20% - Accent6 7 2 2" xfId="14202" xr:uid="{00000000-0005-0000-0000-0000CA2F0000}"/>
    <cellStyle name="20% - Accent6 7 2 2 2" xfId="12605" xr:uid="{00000000-0005-0000-0000-0000CB2F0000}"/>
    <cellStyle name="20% - Accent6 7 2 2 2 2" xfId="211" xr:uid="{00000000-0005-0000-0000-0000CC2F0000}"/>
    <cellStyle name="20% - Accent6 7 2 2 2 2 2" xfId="6850" xr:uid="{00000000-0005-0000-0000-0000CD2F0000}"/>
    <cellStyle name="20% - Accent6 7 2 2 2 3" xfId="14205" xr:uid="{00000000-0005-0000-0000-0000CE2F0000}"/>
    <cellStyle name="20% - Accent6 7 2 2 3" xfId="16687" xr:uid="{00000000-0005-0000-0000-0000CF2F0000}"/>
    <cellStyle name="20% - Accent6 7 2 2 3 2" xfId="30438" xr:uid="{00000000-0005-0000-0000-0000D02F0000}"/>
    <cellStyle name="20% - Accent6 7 2 2 4" xfId="30205" xr:uid="{00000000-0005-0000-0000-0000D12F0000}"/>
    <cellStyle name="20% - Accent6 7 2 3" xfId="14211" xr:uid="{00000000-0005-0000-0000-0000D22F0000}"/>
    <cellStyle name="20% - Accent6 7 2 3 2" xfId="6320" xr:uid="{00000000-0005-0000-0000-0000D32F0000}"/>
    <cellStyle name="20% - Accent6 7 2 3 2 2" xfId="6325" xr:uid="{00000000-0005-0000-0000-0000D42F0000}"/>
    <cellStyle name="20% - Accent6 7 2 3 3" xfId="6332" xr:uid="{00000000-0005-0000-0000-0000D52F0000}"/>
    <cellStyle name="20% - Accent6 7 2 4" xfId="23371" xr:uid="{00000000-0005-0000-0000-0000D62F0000}"/>
    <cellStyle name="20% - Accent6 7 2 4 2" xfId="18944" xr:uid="{00000000-0005-0000-0000-0000D72F0000}"/>
    <cellStyle name="20% - Accent6 7 2 5" xfId="17540" xr:uid="{00000000-0005-0000-0000-0000D82F0000}"/>
    <cellStyle name="20% - Accent6 7 3" xfId="22458" xr:uid="{00000000-0005-0000-0000-0000D92F0000}"/>
    <cellStyle name="20% - Accent6 7 3 2" xfId="2541" xr:uid="{00000000-0005-0000-0000-0000DA2F0000}"/>
    <cellStyle name="20% - Accent6 7 3 2 2" xfId="4112" xr:uid="{00000000-0005-0000-0000-0000DB2F0000}"/>
    <cellStyle name="20% - Accent6 7 3 2 2 2" xfId="1294" xr:uid="{00000000-0005-0000-0000-0000DC2F0000}"/>
    <cellStyle name="20% - Accent6 7 3 2 3" xfId="10967" xr:uid="{00000000-0005-0000-0000-0000DD2F0000}"/>
    <cellStyle name="20% - Accent6 7 3 3" xfId="14212" xr:uid="{00000000-0005-0000-0000-0000DE2F0000}"/>
    <cellStyle name="20% - Accent6 7 3 3 2" xfId="24732" xr:uid="{00000000-0005-0000-0000-0000DF2F0000}"/>
    <cellStyle name="20% - Accent6 7 3 4" xfId="17545" xr:uid="{00000000-0005-0000-0000-0000E02F0000}"/>
    <cellStyle name="20% - Accent6 7 4" xfId="14214" xr:uid="{00000000-0005-0000-0000-0000E12F0000}"/>
    <cellStyle name="20% - Accent6 7 4 2" xfId="13350" xr:uid="{00000000-0005-0000-0000-0000E22F0000}"/>
    <cellStyle name="20% - Accent6 7 4 2 2" xfId="13596" xr:uid="{00000000-0005-0000-0000-0000E32F0000}"/>
    <cellStyle name="20% - Accent6 7 4 3" xfId="14217" xr:uid="{00000000-0005-0000-0000-0000E42F0000}"/>
    <cellStyle name="20% - Accent6 7 5" xfId="5502" xr:uid="{00000000-0005-0000-0000-0000E52F0000}"/>
    <cellStyle name="20% - Accent6 7 5 2" xfId="32299" xr:uid="{00000000-0005-0000-0000-0000E62F0000}"/>
    <cellStyle name="20% - Accent6 7 6" xfId="14218" xr:uid="{00000000-0005-0000-0000-0000E72F0000}"/>
    <cellStyle name="20% - Accent6 8" xfId="22466" xr:uid="{00000000-0005-0000-0000-0000E82F0000}"/>
    <cellStyle name="20% - Accent6 8 2" xfId="22469" xr:uid="{00000000-0005-0000-0000-0000E92F0000}"/>
    <cellStyle name="20% - Accent6 8 2 2" xfId="14220" xr:uid="{00000000-0005-0000-0000-0000EA2F0000}"/>
    <cellStyle name="20% - Accent6 8 2 2 2" xfId="12649" xr:uid="{00000000-0005-0000-0000-0000EB2F0000}"/>
    <cellStyle name="20% - Accent6 8 2 2 2 2" xfId="12882" xr:uid="{00000000-0005-0000-0000-0000EC2F0000}"/>
    <cellStyle name="20% - Accent6 8 2 2 3" xfId="14227" xr:uid="{00000000-0005-0000-0000-0000ED2F0000}"/>
    <cellStyle name="20% - Accent6 8 2 3" xfId="14232" xr:uid="{00000000-0005-0000-0000-0000EE2F0000}"/>
    <cellStyle name="20% - Accent6 8 2 3 2" xfId="24740" xr:uid="{00000000-0005-0000-0000-0000EF2F0000}"/>
    <cellStyle name="20% - Accent6 8 2 4" xfId="17557" xr:uid="{00000000-0005-0000-0000-0000F02F0000}"/>
    <cellStyle name="20% - Accent6 8 3" xfId="5609" xr:uid="{00000000-0005-0000-0000-0000F12F0000}"/>
    <cellStyle name="20% - Accent6 8 3 2" xfId="14234" xr:uid="{00000000-0005-0000-0000-0000F22F0000}"/>
    <cellStyle name="20% - Accent6 8 3 2 2" xfId="1486" xr:uid="{00000000-0005-0000-0000-0000F32F0000}"/>
    <cellStyle name="20% - Accent6 8 3 3" xfId="14235" xr:uid="{00000000-0005-0000-0000-0000F42F0000}"/>
    <cellStyle name="20% - Accent6 8 4" xfId="13931" xr:uid="{00000000-0005-0000-0000-0000F52F0000}"/>
    <cellStyle name="20% - Accent6 8 4 2" xfId="14236" xr:uid="{00000000-0005-0000-0000-0000F62F0000}"/>
    <cellStyle name="20% - Accent6 8 5" xfId="29427" xr:uid="{00000000-0005-0000-0000-0000F72F0000}"/>
    <cellStyle name="20% - Accent6 9" xfId="14394" xr:uid="{00000000-0005-0000-0000-0000F82F0000}"/>
    <cellStyle name="20% - Accent6 9 2" xfId="14237" xr:uid="{00000000-0005-0000-0000-0000F92F0000}"/>
    <cellStyle name="20% - Accent6 9 2 2" xfId="14239" xr:uid="{00000000-0005-0000-0000-0000FA2F0000}"/>
    <cellStyle name="20% - Accent6 9 2 2 2" xfId="14244" xr:uid="{00000000-0005-0000-0000-0000FB2F0000}"/>
    <cellStyle name="20% - Accent6 9 2 3" xfId="14249" xr:uid="{00000000-0005-0000-0000-0000FC2F0000}"/>
    <cellStyle name="20% - Accent6 9 3" xfId="18615" xr:uid="{00000000-0005-0000-0000-0000FD2F0000}"/>
    <cellStyle name="20% - Accent6 9 3 2" xfId="14250" xr:uid="{00000000-0005-0000-0000-0000FE2F0000}"/>
    <cellStyle name="20% - Accent6 9 4" xfId="13934" xr:uid="{00000000-0005-0000-0000-0000FF2F0000}"/>
    <cellStyle name="40% - Accent1 10" xfId="33418" xr:uid="{00000000-0005-0000-0000-000000300000}"/>
    <cellStyle name="40% - Accent1 10 2" xfId="14261" xr:uid="{00000000-0005-0000-0000-000001300000}"/>
    <cellStyle name="40% - Accent1 10 2 2" xfId="31157" xr:uid="{00000000-0005-0000-0000-000002300000}"/>
    <cellStyle name="40% - Accent1 10 3" xfId="18792" xr:uid="{00000000-0005-0000-0000-000003300000}"/>
    <cellStyle name="40% - Accent1 11" xfId="14271" xr:uid="{00000000-0005-0000-0000-000004300000}"/>
    <cellStyle name="40% - Accent1 11 2" xfId="14274" xr:uid="{00000000-0005-0000-0000-000005300000}"/>
    <cellStyle name="40% - Accent1 12" xfId="7806" xr:uid="{00000000-0005-0000-0000-000006300000}"/>
    <cellStyle name="40% - Accent1 13" xfId="18654" xr:uid="{00000000-0005-0000-0000-000007300000}"/>
    <cellStyle name="40% - Accent1 2" xfId="30411" xr:uid="{00000000-0005-0000-0000-000008300000}"/>
    <cellStyle name="40% - Accent1 2 10" xfId="14279" xr:uid="{00000000-0005-0000-0000-000009300000}"/>
    <cellStyle name="40% - Accent1 2 10 2" xfId="24908" xr:uid="{00000000-0005-0000-0000-00000A300000}"/>
    <cellStyle name="40% - Accent1 2 11" xfId="14282" xr:uid="{00000000-0005-0000-0000-00000B300000}"/>
    <cellStyle name="40% - Accent1 2 2" xfId="14069" xr:uid="{00000000-0005-0000-0000-00000C300000}"/>
    <cellStyle name="40% - Accent1 2 2 10" xfId="13800" xr:uid="{00000000-0005-0000-0000-00000D300000}"/>
    <cellStyle name="40% - Accent1 2 2 2" xfId="31464" xr:uid="{00000000-0005-0000-0000-00000E300000}"/>
    <cellStyle name="40% - Accent1 2 2 2 2" xfId="5206" xr:uid="{00000000-0005-0000-0000-00000F300000}"/>
    <cellStyle name="40% - Accent1 2 2 2 2 2" xfId="1664" xr:uid="{00000000-0005-0000-0000-000010300000}"/>
    <cellStyle name="40% - Accent1 2 2 2 2 2 2" xfId="2010" xr:uid="{00000000-0005-0000-0000-000011300000}"/>
    <cellStyle name="40% - Accent1 2 2 2 2 2 2 2" xfId="23027" xr:uid="{00000000-0005-0000-0000-000012300000}"/>
    <cellStyle name="40% - Accent1 2 2 2 2 2 2 2 2" xfId="14286" xr:uid="{00000000-0005-0000-0000-000013300000}"/>
    <cellStyle name="40% - Accent1 2 2 2 2 2 2 2 2 2" xfId="32284" xr:uid="{00000000-0005-0000-0000-000014300000}"/>
    <cellStyle name="40% - Accent1 2 2 2 2 2 2 2 2 2 2" xfId="13952" xr:uid="{00000000-0005-0000-0000-000015300000}"/>
    <cellStyle name="40% - Accent1 2 2 2 2 2 2 2 2 2 2 2" xfId="14290" xr:uid="{00000000-0005-0000-0000-000016300000}"/>
    <cellStyle name="40% - Accent1 2 2 2 2 2 2 2 2 2 3" xfId="8227" xr:uid="{00000000-0005-0000-0000-000017300000}"/>
    <cellStyle name="40% - Accent1 2 2 2 2 2 2 2 2 3" xfId="13519" xr:uid="{00000000-0005-0000-0000-000018300000}"/>
    <cellStyle name="40% - Accent1 2 2 2 2 2 2 2 2 3 2" xfId="5695" xr:uid="{00000000-0005-0000-0000-000019300000}"/>
    <cellStyle name="40% - Accent1 2 2 2 2 2 2 2 2 4" xfId="14296" xr:uid="{00000000-0005-0000-0000-00001A300000}"/>
    <cellStyle name="40% - Accent1 2 2 2 2 2 2 2 3" xfId="7194" xr:uid="{00000000-0005-0000-0000-00001B300000}"/>
    <cellStyle name="40% - Accent1 2 2 2 2 2 2 2 3 2" xfId="18587" xr:uid="{00000000-0005-0000-0000-00001C300000}"/>
    <cellStyle name="40% - Accent1 2 2 2 2 2 2 2 3 2 2" xfId="5068" xr:uid="{00000000-0005-0000-0000-00001D300000}"/>
    <cellStyle name="40% - Accent1 2 2 2 2 2 2 2 3 3" xfId="18596" xr:uid="{00000000-0005-0000-0000-00001E300000}"/>
    <cellStyle name="40% - Accent1 2 2 2 2 2 2 2 4" xfId="3430" xr:uid="{00000000-0005-0000-0000-00001F300000}"/>
    <cellStyle name="40% - Accent1 2 2 2 2 2 2 2 4 2" xfId="18606" xr:uid="{00000000-0005-0000-0000-000020300000}"/>
    <cellStyle name="40% - Accent1 2 2 2 2 2 2 2 5" xfId="14310" xr:uid="{00000000-0005-0000-0000-000021300000}"/>
    <cellStyle name="40% - Accent1 2 2 2 2 2 2 3" xfId="14312" xr:uid="{00000000-0005-0000-0000-000022300000}"/>
    <cellStyle name="40% - Accent1 2 2 2 2 2 2 3 2" xfId="795" xr:uid="{00000000-0005-0000-0000-000023300000}"/>
    <cellStyle name="40% - Accent1 2 2 2 2 2 2 3 2 2" xfId="13529" xr:uid="{00000000-0005-0000-0000-000024300000}"/>
    <cellStyle name="40% - Accent1 2 2 2 2 2 2 3 2 2 2" xfId="7026" xr:uid="{00000000-0005-0000-0000-000025300000}"/>
    <cellStyle name="40% - Accent1 2 2 2 2 2 2 3 2 3" xfId="14316" xr:uid="{00000000-0005-0000-0000-000026300000}"/>
    <cellStyle name="40% - Accent1 2 2 2 2 2 2 3 3" xfId="4099" xr:uid="{00000000-0005-0000-0000-000027300000}"/>
    <cellStyle name="40% - Accent1 2 2 2 2 2 2 3 3 2" xfId="18677" xr:uid="{00000000-0005-0000-0000-000028300000}"/>
    <cellStyle name="40% - Accent1 2 2 2 2 2 2 3 4" xfId="7253" xr:uid="{00000000-0005-0000-0000-000029300000}"/>
    <cellStyle name="40% - Accent1 2 2 2 2 2 2 4" xfId="14324" xr:uid="{00000000-0005-0000-0000-00002A300000}"/>
    <cellStyle name="40% - Accent1 2 2 2 2 2 2 4 2" xfId="9197" xr:uid="{00000000-0005-0000-0000-00002B300000}"/>
    <cellStyle name="40% - Accent1 2 2 2 2 2 2 4 2 2" xfId="14328" xr:uid="{00000000-0005-0000-0000-00002C300000}"/>
    <cellStyle name="40% - Accent1 2 2 2 2 2 2 4 3" xfId="22947" xr:uid="{00000000-0005-0000-0000-00002D300000}"/>
    <cellStyle name="40% - Accent1 2 2 2 2 2 2 5" xfId="14330" xr:uid="{00000000-0005-0000-0000-00002E300000}"/>
    <cellStyle name="40% - Accent1 2 2 2 2 2 2 5 2" xfId="8958" xr:uid="{00000000-0005-0000-0000-00002F300000}"/>
    <cellStyle name="40% - Accent1 2 2 2 2 2 2 6" xfId="1394" xr:uid="{00000000-0005-0000-0000-000030300000}"/>
    <cellStyle name="40% - Accent1 2 2 2 2 2 3" xfId="14331" xr:uid="{00000000-0005-0000-0000-000031300000}"/>
    <cellStyle name="40% - Accent1 2 2 2 2 2 3 2" xfId="14332" xr:uid="{00000000-0005-0000-0000-000032300000}"/>
    <cellStyle name="40% - Accent1 2 2 2 2 2 3 2 2" xfId="14335" xr:uid="{00000000-0005-0000-0000-000033300000}"/>
    <cellStyle name="40% - Accent1 2 2 2 2 2 3 2 2 2" xfId="13550" xr:uid="{00000000-0005-0000-0000-000034300000}"/>
    <cellStyle name="40% - Accent1 2 2 2 2 2 3 2 2 2 2" xfId="2976" xr:uid="{00000000-0005-0000-0000-000035300000}"/>
    <cellStyle name="40% - Accent1 2 2 2 2 2 3 2 2 3" xfId="14339" xr:uid="{00000000-0005-0000-0000-000036300000}"/>
    <cellStyle name="40% - Accent1 2 2 2 2 2 3 2 3" xfId="618" xr:uid="{00000000-0005-0000-0000-000037300000}"/>
    <cellStyle name="40% - Accent1 2 2 2 2 2 3 2 3 2" xfId="14343" xr:uid="{00000000-0005-0000-0000-000038300000}"/>
    <cellStyle name="40% - Accent1 2 2 2 2 2 3 2 4" xfId="14346" xr:uid="{00000000-0005-0000-0000-000039300000}"/>
    <cellStyle name="40% - Accent1 2 2 2 2 2 3 3" xfId="9760" xr:uid="{00000000-0005-0000-0000-00003A300000}"/>
    <cellStyle name="40% - Accent1 2 2 2 2 2 3 3 2" xfId="8967" xr:uid="{00000000-0005-0000-0000-00003B300000}"/>
    <cellStyle name="40% - Accent1 2 2 2 2 2 3 3 2 2" xfId="2951" xr:uid="{00000000-0005-0000-0000-00003C300000}"/>
    <cellStyle name="40% - Accent1 2 2 2 2 2 3 3 3" xfId="8970" xr:uid="{00000000-0005-0000-0000-00003D300000}"/>
    <cellStyle name="40% - Accent1 2 2 2 2 2 3 4" xfId="9763" xr:uid="{00000000-0005-0000-0000-00003E300000}"/>
    <cellStyle name="40% - Accent1 2 2 2 2 2 3 4 2" xfId="7780" xr:uid="{00000000-0005-0000-0000-00003F300000}"/>
    <cellStyle name="40% - Accent1 2 2 2 2 2 3 5" xfId="14347" xr:uid="{00000000-0005-0000-0000-000040300000}"/>
    <cellStyle name="40% - Accent1 2 2 2 2 2 4" xfId="19878" xr:uid="{00000000-0005-0000-0000-000041300000}"/>
    <cellStyle name="40% - Accent1 2 2 2 2 2 4 2" xfId="14350" xr:uid="{00000000-0005-0000-0000-000042300000}"/>
    <cellStyle name="40% - Accent1 2 2 2 2 2 4 2 2" xfId="9177" xr:uid="{00000000-0005-0000-0000-000043300000}"/>
    <cellStyle name="40% - Accent1 2 2 2 2 2 4 2 2 2" xfId="14353" xr:uid="{00000000-0005-0000-0000-000044300000}"/>
    <cellStyle name="40% - Accent1 2 2 2 2 2 4 2 3" xfId="14360" xr:uid="{00000000-0005-0000-0000-000045300000}"/>
    <cellStyle name="40% - Accent1 2 2 2 2 2 4 3" xfId="17646" xr:uid="{00000000-0005-0000-0000-000046300000}"/>
    <cellStyle name="40% - Accent1 2 2 2 2 2 4 3 2" xfId="8972" xr:uid="{00000000-0005-0000-0000-000047300000}"/>
    <cellStyle name="40% - Accent1 2 2 2 2 2 4 4" xfId="14361" xr:uid="{00000000-0005-0000-0000-000048300000}"/>
    <cellStyle name="40% - Accent1 2 2 2 2 2 5" xfId="12382" xr:uid="{00000000-0005-0000-0000-000049300000}"/>
    <cellStyle name="40% - Accent1 2 2 2 2 2 5 2" xfId="14365" xr:uid="{00000000-0005-0000-0000-00004A300000}"/>
    <cellStyle name="40% - Accent1 2 2 2 2 2 5 2 2" xfId="1335" xr:uid="{00000000-0005-0000-0000-00004B300000}"/>
    <cellStyle name="40% - Accent1 2 2 2 2 2 5 3" xfId="14368" xr:uid="{00000000-0005-0000-0000-00004C300000}"/>
    <cellStyle name="40% - Accent1 2 2 2 2 2 6" xfId="14370" xr:uid="{00000000-0005-0000-0000-00004D300000}"/>
    <cellStyle name="40% - Accent1 2 2 2 2 2 6 2" xfId="29337" xr:uid="{00000000-0005-0000-0000-00004E300000}"/>
    <cellStyle name="40% - Accent1 2 2 2 2 2 7" xfId="31058" xr:uid="{00000000-0005-0000-0000-00004F300000}"/>
    <cellStyle name="40% - Accent1 2 2 2 2 3" xfId="2295" xr:uid="{00000000-0005-0000-0000-000050300000}"/>
    <cellStyle name="40% - Accent1 2 2 2 2 3 2" xfId="14374" xr:uid="{00000000-0005-0000-0000-000051300000}"/>
    <cellStyle name="40% - Accent1 2 2 2 2 3 2 2" xfId="14376" xr:uid="{00000000-0005-0000-0000-000052300000}"/>
    <cellStyle name="40% - Accent1 2 2 2 2 3 2 2 2" xfId="14379" xr:uid="{00000000-0005-0000-0000-000053300000}"/>
    <cellStyle name="40% - Accent1 2 2 2 2 3 2 2 2 2" xfId="13624" xr:uid="{00000000-0005-0000-0000-000054300000}"/>
    <cellStyle name="40% - Accent1 2 2 2 2 3 2 2 2 2 2" xfId="18031" xr:uid="{00000000-0005-0000-0000-000055300000}"/>
    <cellStyle name="40% - Accent1 2 2 2 2 3 2 2 2 3" xfId="14382" xr:uid="{00000000-0005-0000-0000-000056300000}"/>
    <cellStyle name="40% - Accent1 2 2 2 2 3 2 2 3" xfId="4113" xr:uid="{00000000-0005-0000-0000-000057300000}"/>
    <cellStyle name="40% - Accent1 2 2 2 2 3 2 2 3 2" xfId="28079" xr:uid="{00000000-0005-0000-0000-000058300000}"/>
    <cellStyle name="40% - Accent1 2 2 2 2 3 2 2 4" xfId="14383" xr:uid="{00000000-0005-0000-0000-000059300000}"/>
    <cellStyle name="40% - Accent1 2 2 2 2 3 2 3" xfId="5557" xr:uid="{00000000-0005-0000-0000-00005A300000}"/>
    <cellStyle name="40% - Accent1 2 2 2 2 3 2 3 2" xfId="2001" xr:uid="{00000000-0005-0000-0000-00005B300000}"/>
    <cellStyle name="40% - Accent1 2 2 2 2 3 2 3 2 2" xfId="14384" xr:uid="{00000000-0005-0000-0000-00005C300000}"/>
    <cellStyle name="40% - Accent1 2 2 2 2 3 2 3 3" xfId="1367" xr:uid="{00000000-0005-0000-0000-00005D300000}"/>
    <cellStyle name="40% - Accent1 2 2 2 2 3 2 4" xfId="13808" xr:uid="{00000000-0005-0000-0000-00005E300000}"/>
    <cellStyle name="40% - Accent1 2 2 2 2 3 2 4 2" xfId="393" xr:uid="{00000000-0005-0000-0000-00005F300000}"/>
    <cellStyle name="40% - Accent1 2 2 2 2 3 2 5" xfId="8362" xr:uid="{00000000-0005-0000-0000-000060300000}"/>
    <cellStyle name="40% - Accent1 2 2 2 2 3 3" xfId="14385" xr:uid="{00000000-0005-0000-0000-000061300000}"/>
    <cellStyle name="40% - Accent1 2 2 2 2 3 3 2" xfId="14387" xr:uid="{00000000-0005-0000-0000-000062300000}"/>
    <cellStyle name="40% - Accent1 2 2 2 2 3 3 2 2" xfId="14389" xr:uid="{00000000-0005-0000-0000-000063300000}"/>
    <cellStyle name="40% - Accent1 2 2 2 2 3 3 2 2 2" xfId="10958" xr:uid="{00000000-0005-0000-0000-000064300000}"/>
    <cellStyle name="40% - Accent1 2 2 2 2 3 3 2 3" xfId="14391" xr:uid="{00000000-0005-0000-0000-000065300000}"/>
    <cellStyle name="40% - Accent1 2 2 2 2 3 3 3" xfId="1329" xr:uid="{00000000-0005-0000-0000-000066300000}"/>
    <cellStyle name="40% - Accent1 2 2 2 2 3 3 3 2" xfId="133" xr:uid="{00000000-0005-0000-0000-000067300000}"/>
    <cellStyle name="40% - Accent1 2 2 2 2 3 3 4" xfId="17727" xr:uid="{00000000-0005-0000-0000-000068300000}"/>
    <cellStyle name="40% - Accent1 2 2 2 2 3 4" xfId="32815" xr:uid="{00000000-0005-0000-0000-000069300000}"/>
    <cellStyle name="40% - Accent1 2 2 2 2 3 4 2" xfId="17657" xr:uid="{00000000-0005-0000-0000-00006A300000}"/>
    <cellStyle name="40% - Accent1 2 2 2 2 3 4 2 2" xfId="14392" xr:uid="{00000000-0005-0000-0000-00006B300000}"/>
    <cellStyle name="40% - Accent1 2 2 2 2 3 4 3" xfId="3549" xr:uid="{00000000-0005-0000-0000-00006C300000}"/>
    <cellStyle name="40% - Accent1 2 2 2 2 3 5" xfId="13597" xr:uid="{00000000-0005-0000-0000-00006D300000}"/>
    <cellStyle name="40% - Accent1 2 2 2 2 3 5 2" xfId="14393" xr:uid="{00000000-0005-0000-0000-00006E300000}"/>
    <cellStyle name="40% - Accent1 2 2 2 2 3 6" xfId="14397" xr:uid="{00000000-0005-0000-0000-00006F300000}"/>
    <cellStyle name="40% - Accent1 2 2 2 2 4" xfId="6872" xr:uid="{00000000-0005-0000-0000-000070300000}"/>
    <cellStyle name="40% - Accent1 2 2 2 2 4 2" xfId="14402" xr:uid="{00000000-0005-0000-0000-000071300000}"/>
    <cellStyle name="40% - Accent1 2 2 2 2 4 2 2" xfId="16912" xr:uid="{00000000-0005-0000-0000-000072300000}"/>
    <cellStyle name="40% - Accent1 2 2 2 2 4 2 2 2" xfId="3036" xr:uid="{00000000-0005-0000-0000-000073300000}"/>
    <cellStyle name="40% - Accent1 2 2 2 2 4 2 2 2 2" xfId="14407" xr:uid="{00000000-0005-0000-0000-000074300000}"/>
    <cellStyle name="40% - Accent1 2 2 2 2 4 2 2 3" xfId="3429" xr:uid="{00000000-0005-0000-0000-000075300000}"/>
    <cellStyle name="40% - Accent1 2 2 2 2 4 2 3" xfId="9668" xr:uid="{00000000-0005-0000-0000-000076300000}"/>
    <cellStyle name="40% - Accent1 2 2 2 2 4 2 3 2" xfId="3063" xr:uid="{00000000-0005-0000-0000-000077300000}"/>
    <cellStyle name="40% - Accent1 2 2 2 2 4 2 4" xfId="18939" xr:uid="{00000000-0005-0000-0000-000078300000}"/>
    <cellStyle name="40% - Accent1 2 2 2 2 4 3" xfId="14647" xr:uid="{00000000-0005-0000-0000-000079300000}"/>
    <cellStyle name="40% - Accent1 2 2 2 2 4 3 2" xfId="16915" xr:uid="{00000000-0005-0000-0000-00007A300000}"/>
    <cellStyle name="40% - Accent1 2 2 2 2 4 3 2 2" xfId="3205" xr:uid="{00000000-0005-0000-0000-00007B300000}"/>
    <cellStyle name="40% - Accent1 2 2 2 2 4 3 3" xfId="5880" xr:uid="{00000000-0005-0000-0000-00007C300000}"/>
    <cellStyle name="40% - Accent1 2 2 2 2 4 4" xfId="13605" xr:uid="{00000000-0005-0000-0000-00007D300000}"/>
    <cellStyle name="40% - Accent1 2 2 2 2 4 4 2" xfId="30484" xr:uid="{00000000-0005-0000-0000-00007E300000}"/>
    <cellStyle name="40% - Accent1 2 2 2 2 4 5" xfId="14412" xr:uid="{00000000-0005-0000-0000-00007F300000}"/>
    <cellStyle name="40% - Accent1 2 2 2 2 5" xfId="6880" xr:uid="{00000000-0005-0000-0000-000080300000}"/>
    <cellStyle name="40% - Accent1 2 2 2 2 5 2" xfId="14656" xr:uid="{00000000-0005-0000-0000-000081300000}"/>
    <cellStyle name="40% - Accent1 2 2 2 2 5 2 2" xfId="2624" xr:uid="{00000000-0005-0000-0000-000082300000}"/>
    <cellStyle name="40% - Accent1 2 2 2 2 5 2 2 2" xfId="3728" xr:uid="{00000000-0005-0000-0000-000083300000}"/>
    <cellStyle name="40% - Accent1 2 2 2 2 5 2 3" xfId="30495" xr:uid="{00000000-0005-0000-0000-000084300000}"/>
    <cellStyle name="40% - Accent1 2 2 2 2 5 3" xfId="8155" xr:uid="{00000000-0005-0000-0000-000085300000}"/>
    <cellStyle name="40% - Accent1 2 2 2 2 5 3 2" xfId="30502" xr:uid="{00000000-0005-0000-0000-000086300000}"/>
    <cellStyle name="40% - Accent1 2 2 2 2 5 4" xfId="8162" xr:uid="{00000000-0005-0000-0000-000087300000}"/>
    <cellStyle name="40% - Accent1 2 2 2 2 6" xfId="14493" xr:uid="{00000000-0005-0000-0000-000088300000}"/>
    <cellStyle name="40% - Accent1 2 2 2 2 6 2" xfId="31096" xr:uid="{00000000-0005-0000-0000-000089300000}"/>
    <cellStyle name="40% - Accent1 2 2 2 2 6 2 2" xfId="29047" xr:uid="{00000000-0005-0000-0000-00008A300000}"/>
    <cellStyle name="40% - Accent1 2 2 2 2 6 3" xfId="8170" xr:uid="{00000000-0005-0000-0000-00008B300000}"/>
    <cellStyle name="40% - Accent1 2 2 2 2 7" xfId="31098" xr:uid="{00000000-0005-0000-0000-00008C300000}"/>
    <cellStyle name="40% - Accent1 2 2 2 2 7 2" xfId="33552" xr:uid="{00000000-0005-0000-0000-00008D300000}"/>
    <cellStyle name="40% - Accent1 2 2 2 2 8" xfId="12028" xr:uid="{00000000-0005-0000-0000-00008E300000}"/>
    <cellStyle name="40% - Accent1 2 2 2 3" xfId="3159" xr:uid="{00000000-0005-0000-0000-00008F300000}"/>
    <cellStyle name="40% - Accent1 2 2 2 3 2" xfId="1673" xr:uid="{00000000-0005-0000-0000-000090300000}"/>
    <cellStyle name="40% - Accent1 2 2 2 3 2 2" xfId="3015" xr:uid="{00000000-0005-0000-0000-000091300000}"/>
    <cellStyle name="40% - Accent1 2 2 2 3 2 2 2" xfId="19208" xr:uid="{00000000-0005-0000-0000-000092300000}"/>
    <cellStyle name="40% - Accent1 2 2 2 3 2 2 2 2" xfId="14429" xr:uid="{00000000-0005-0000-0000-000093300000}"/>
    <cellStyle name="40% - Accent1 2 2 2 3 2 2 2 2 2" xfId="13400" xr:uid="{00000000-0005-0000-0000-000094300000}"/>
    <cellStyle name="40% - Accent1 2 2 2 3 2 2 2 2 2 2" xfId="14436" xr:uid="{00000000-0005-0000-0000-000095300000}"/>
    <cellStyle name="40% - Accent1 2 2 2 3 2 2 2 2 3" xfId="14438" xr:uid="{00000000-0005-0000-0000-000096300000}"/>
    <cellStyle name="40% - Accent1 2 2 2 3 2 2 2 3" xfId="4266" xr:uid="{00000000-0005-0000-0000-000097300000}"/>
    <cellStyle name="40% - Accent1 2 2 2 3 2 2 2 3 2" xfId="14440" xr:uid="{00000000-0005-0000-0000-000098300000}"/>
    <cellStyle name="40% - Accent1 2 2 2 3 2 2 2 4" xfId="14442" xr:uid="{00000000-0005-0000-0000-000099300000}"/>
    <cellStyle name="40% - Accent1 2 2 2 3 2 2 3" xfId="14448" xr:uid="{00000000-0005-0000-0000-00009A300000}"/>
    <cellStyle name="40% - Accent1 2 2 2 3 2 2 3 2" xfId="10798" xr:uid="{00000000-0005-0000-0000-00009B300000}"/>
    <cellStyle name="40% - Accent1 2 2 2 3 2 2 3 2 2" xfId="172" xr:uid="{00000000-0005-0000-0000-00009C300000}"/>
    <cellStyle name="40% - Accent1 2 2 2 3 2 2 3 3" xfId="588" xr:uid="{00000000-0005-0000-0000-00009D300000}"/>
    <cellStyle name="40% - Accent1 2 2 2 3 2 2 4" xfId="14452" xr:uid="{00000000-0005-0000-0000-00009E300000}"/>
    <cellStyle name="40% - Accent1 2 2 2 3 2 2 4 2" xfId="10807" xr:uid="{00000000-0005-0000-0000-00009F300000}"/>
    <cellStyle name="40% - Accent1 2 2 2 3 2 2 5" xfId="19601" xr:uid="{00000000-0005-0000-0000-0000A0300000}"/>
    <cellStyle name="40% - Accent1 2 2 2 3 2 3" xfId="13757" xr:uid="{00000000-0005-0000-0000-0000A1300000}"/>
    <cellStyle name="40% - Accent1 2 2 2 3 2 3 2" xfId="19267" xr:uid="{00000000-0005-0000-0000-0000A2300000}"/>
    <cellStyle name="40% - Accent1 2 2 2 3 2 3 2 2" xfId="12668" xr:uid="{00000000-0005-0000-0000-0000A3300000}"/>
    <cellStyle name="40% - Accent1 2 2 2 3 2 3 2 2 2" xfId="14456" xr:uid="{00000000-0005-0000-0000-0000A4300000}"/>
    <cellStyle name="40% - Accent1 2 2 2 3 2 3 2 3" xfId="12683" xr:uid="{00000000-0005-0000-0000-0000A5300000}"/>
    <cellStyle name="40% - Accent1 2 2 2 3 2 3 3" xfId="3230" xr:uid="{00000000-0005-0000-0000-0000A6300000}"/>
    <cellStyle name="40% - Accent1 2 2 2 3 2 3 3 2" xfId="10836" xr:uid="{00000000-0005-0000-0000-0000A7300000}"/>
    <cellStyle name="40% - Accent1 2 2 2 3 2 3 4" xfId="3233" xr:uid="{00000000-0005-0000-0000-0000A8300000}"/>
    <cellStyle name="40% - Accent1 2 2 2 3 2 4" xfId="13758" xr:uid="{00000000-0005-0000-0000-0000A9300000}"/>
    <cellStyle name="40% - Accent1 2 2 2 3 2 4 2" xfId="22001" xr:uid="{00000000-0005-0000-0000-0000AA300000}"/>
    <cellStyle name="40% - Accent1 2 2 2 3 2 4 2 2" xfId="29258" xr:uid="{00000000-0005-0000-0000-0000AB300000}"/>
    <cellStyle name="40% - Accent1 2 2 2 3 2 4 3" xfId="3238" xr:uid="{00000000-0005-0000-0000-0000AC300000}"/>
    <cellStyle name="40% - Accent1 2 2 2 3 2 5" xfId="11144" xr:uid="{00000000-0005-0000-0000-0000AD300000}"/>
    <cellStyle name="40% - Accent1 2 2 2 3 2 5 2" xfId="4013" xr:uid="{00000000-0005-0000-0000-0000AE300000}"/>
    <cellStyle name="40% - Accent1 2 2 2 3 2 6" xfId="544" xr:uid="{00000000-0005-0000-0000-0000AF300000}"/>
    <cellStyle name="40% - Accent1 2 2 2 3 3" xfId="6498" xr:uid="{00000000-0005-0000-0000-0000B0300000}"/>
    <cellStyle name="40% - Accent1 2 2 2 3 3 2" xfId="5444" xr:uid="{00000000-0005-0000-0000-0000B1300000}"/>
    <cellStyle name="40% - Accent1 2 2 2 3 3 2 2" xfId="19998" xr:uid="{00000000-0005-0000-0000-0000B2300000}"/>
    <cellStyle name="40% - Accent1 2 2 2 3 3 2 2 2" xfId="14458" xr:uid="{00000000-0005-0000-0000-0000B3300000}"/>
    <cellStyle name="40% - Accent1 2 2 2 3 3 2 2 2 2" xfId="14460" xr:uid="{00000000-0005-0000-0000-0000B4300000}"/>
    <cellStyle name="40% - Accent1 2 2 2 3 3 2 2 3" xfId="14462" xr:uid="{00000000-0005-0000-0000-0000B5300000}"/>
    <cellStyle name="40% - Accent1 2 2 2 3 3 2 3" xfId="8454" xr:uid="{00000000-0005-0000-0000-0000B6300000}"/>
    <cellStyle name="40% - Accent1 2 2 2 3 3 2 3 2" xfId="10913" xr:uid="{00000000-0005-0000-0000-0000B7300000}"/>
    <cellStyle name="40% - Accent1 2 2 2 3 3 2 4" xfId="8463" xr:uid="{00000000-0005-0000-0000-0000B8300000}"/>
    <cellStyle name="40% - Accent1 2 2 2 3 3 3" xfId="13762" xr:uid="{00000000-0005-0000-0000-0000B9300000}"/>
    <cellStyle name="40% - Accent1 2 2 2 3 3 3 2" xfId="24482" xr:uid="{00000000-0005-0000-0000-0000BA300000}"/>
    <cellStyle name="40% - Accent1 2 2 2 3 3 3 2 2" xfId="12938" xr:uid="{00000000-0005-0000-0000-0000BB300000}"/>
    <cellStyle name="40% - Accent1 2 2 2 3 3 3 3" xfId="2547" xr:uid="{00000000-0005-0000-0000-0000BC300000}"/>
    <cellStyle name="40% - Accent1 2 2 2 3 3 4" xfId="28800" xr:uid="{00000000-0005-0000-0000-0000BD300000}"/>
    <cellStyle name="40% - Accent1 2 2 2 3 3 4 2" xfId="2563" xr:uid="{00000000-0005-0000-0000-0000BE300000}"/>
    <cellStyle name="40% - Accent1 2 2 2 3 3 5" xfId="718" xr:uid="{00000000-0005-0000-0000-0000BF300000}"/>
    <cellStyle name="40% - Accent1 2 2 2 3 4" xfId="3476" xr:uid="{00000000-0005-0000-0000-0000C0300000}"/>
    <cellStyle name="40% - Accent1 2 2 2 3 4 2" xfId="4836" xr:uid="{00000000-0005-0000-0000-0000C1300000}"/>
    <cellStyle name="40% - Accent1 2 2 2 3 4 2 2" xfId="22042" xr:uid="{00000000-0005-0000-0000-0000C2300000}"/>
    <cellStyle name="40% - Accent1 2 2 2 3 4 2 2 2" xfId="3814" xr:uid="{00000000-0005-0000-0000-0000C3300000}"/>
    <cellStyle name="40% - Accent1 2 2 2 3 4 2 3" xfId="31012" xr:uid="{00000000-0005-0000-0000-0000C4300000}"/>
    <cellStyle name="40% - Accent1 2 2 2 3 4 3" xfId="3499" xr:uid="{00000000-0005-0000-0000-0000C5300000}"/>
    <cellStyle name="40% - Accent1 2 2 2 3 4 3 2" xfId="2176" xr:uid="{00000000-0005-0000-0000-0000C6300000}"/>
    <cellStyle name="40% - Accent1 2 2 2 3 4 4" xfId="1464" xr:uid="{00000000-0005-0000-0000-0000C7300000}"/>
    <cellStyle name="40% - Accent1 2 2 2 3 5" xfId="4082" xr:uid="{00000000-0005-0000-0000-0000C8300000}"/>
    <cellStyle name="40% - Accent1 2 2 2 3 5 2" xfId="2588" xr:uid="{00000000-0005-0000-0000-0000C9300000}"/>
    <cellStyle name="40% - Accent1 2 2 2 3 5 2 2" xfId="30265" xr:uid="{00000000-0005-0000-0000-0000CA300000}"/>
    <cellStyle name="40% - Accent1 2 2 2 3 5 3" xfId="951" xr:uid="{00000000-0005-0000-0000-0000CB300000}"/>
    <cellStyle name="40% - Accent1 2 2 2 3 6" xfId="31100" xr:uid="{00000000-0005-0000-0000-0000CC300000}"/>
    <cellStyle name="40% - Accent1 2 2 2 3 6 2" xfId="5472" xr:uid="{00000000-0005-0000-0000-0000CD300000}"/>
    <cellStyle name="40% - Accent1 2 2 2 3 7" xfId="14467" xr:uid="{00000000-0005-0000-0000-0000CE300000}"/>
    <cellStyle name="40% - Accent1 2 2 2 4" xfId="9810" xr:uid="{00000000-0005-0000-0000-0000CF300000}"/>
    <cellStyle name="40% - Accent1 2 2 2 4 2" xfId="6696" xr:uid="{00000000-0005-0000-0000-0000D0300000}"/>
    <cellStyle name="40% - Accent1 2 2 2 4 2 2" xfId="22739" xr:uid="{00000000-0005-0000-0000-0000D1300000}"/>
    <cellStyle name="40% - Accent1 2 2 2 4 2 2 2" xfId="20846" xr:uid="{00000000-0005-0000-0000-0000D2300000}"/>
    <cellStyle name="40% - Accent1 2 2 2 4 2 2 2 2" xfId="14472" xr:uid="{00000000-0005-0000-0000-0000D3300000}"/>
    <cellStyle name="40% - Accent1 2 2 2 4 2 2 2 2 2" xfId="29232" xr:uid="{00000000-0005-0000-0000-0000D4300000}"/>
    <cellStyle name="40% - Accent1 2 2 2 4 2 2 2 3" xfId="14476" xr:uid="{00000000-0005-0000-0000-0000D5300000}"/>
    <cellStyle name="40% - Accent1 2 2 2 4 2 2 3" xfId="7479" xr:uid="{00000000-0005-0000-0000-0000D6300000}"/>
    <cellStyle name="40% - Accent1 2 2 2 4 2 2 3 2" xfId="12482" xr:uid="{00000000-0005-0000-0000-0000D7300000}"/>
    <cellStyle name="40% - Accent1 2 2 2 4 2 2 4" xfId="6015" xr:uid="{00000000-0005-0000-0000-0000D8300000}"/>
    <cellStyle name="40% - Accent1 2 2 2 4 2 3" xfId="18045" xr:uid="{00000000-0005-0000-0000-0000D9300000}"/>
    <cellStyle name="40% - Accent1 2 2 2 4 2 3 2" xfId="22122" xr:uid="{00000000-0005-0000-0000-0000DA300000}"/>
    <cellStyle name="40% - Accent1 2 2 2 4 2 3 2 2" xfId="13125" xr:uid="{00000000-0005-0000-0000-0000DB300000}"/>
    <cellStyle name="40% - Accent1 2 2 2 4 2 3 3" xfId="13895" xr:uid="{00000000-0005-0000-0000-0000DC300000}"/>
    <cellStyle name="40% - Accent1 2 2 2 4 2 4" xfId="6450" xr:uid="{00000000-0005-0000-0000-0000DD300000}"/>
    <cellStyle name="40% - Accent1 2 2 2 4 2 4 2" xfId="6604" xr:uid="{00000000-0005-0000-0000-0000DE300000}"/>
    <cellStyle name="40% - Accent1 2 2 2 4 2 5" xfId="32148" xr:uid="{00000000-0005-0000-0000-0000DF300000}"/>
    <cellStyle name="40% - Accent1 2 2 2 4 3" xfId="6700" xr:uid="{00000000-0005-0000-0000-0000E0300000}"/>
    <cellStyle name="40% - Accent1 2 2 2 4 3 2" xfId="15195" xr:uid="{00000000-0005-0000-0000-0000E1300000}"/>
    <cellStyle name="40% - Accent1 2 2 2 4 3 2 2" xfId="24885" xr:uid="{00000000-0005-0000-0000-0000E2300000}"/>
    <cellStyle name="40% - Accent1 2 2 2 4 3 2 2 2" xfId="14481" xr:uid="{00000000-0005-0000-0000-0000E3300000}"/>
    <cellStyle name="40% - Accent1 2 2 2 4 3 2 3" xfId="6099" xr:uid="{00000000-0005-0000-0000-0000E4300000}"/>
    <cellStyle name="40% - Accent1 2 2 2 4 3 3" xfId="6553" xr:uid="{00000000-0005-0000-0000-0000E5300000}"/>
    <cellStyle name="40% - Accent1 2 2 2 4 3 3 2" xfId="6646" xr:uid="{00000000-0005-0000-0000-0000E6300000}"/>
    <cellStyle name="40% - Accent1 2 2 2 4 3 4" xfId="6570" xr:uid="{00000000-0005-0000-0000-0000E7300000}"/>
    <cellStyle name="40% - Accent1 2 2 2 4 4" xfId="4094" xr:uid="{00000000-0005-0000-0000-0000E8300000}"/>
    <cellStyle name="40% - Accent1 2 2 2 4 4 2" xfId="6618" xr:uid="{00000000-0005-0000-0000-0000E9300000}"/>
    <cellStyle name="40% - Accent1 2 2 2 4 4 2 2" xfId="6121" xr:uid="{00000000-0005-0000-0000-0000EA300000}"/>
    <cellStyle name="40% - Accent1 2 2 2 4 4 3" xfId="6048" xr:uid="{00000000-0005-0000-0000-0000EB300000}"/>
    <cellStyle name="40% - Accent1 2 2 2 4 5" xfId="6912" xr:uid="{00000000-0005-0000-0000-0000EC300000}"/>
    <cellStyle name="40% - Accent1 2 2 2 4 5 2" xfId="6667" xr:uid="{00000000-0005-0000-0000-0000ED300000}"/>
    <cellStyle name="40% - Accent1 2 2 2 4 6" xfId="14484" xr:uid="{00000000-0005-0000-0000-0000EE300000}"/>
    <cellStyle name="40% - Accent1 2 2 2 5" xfId="9814" xr:uid="{00000000-0005-0000-0000-0000EF300000}"/>
    <cellStyle name="40% - Accent1 2 2 2 5 2" xfId="26814" xr:uid="{00000000-0005-0000-0000-0000F0300000}"/>
    <cellStyle name="40% - Accent1 2 2 2 5 2 2" xfId="15200" xr:uid="{00000000-0005-0000-0000-0000F1300000}"/>
    <cellStyle name="40% - Accent1 2 2 2 5 2 2 2" xfId="22183" xr:uid="{00000000-0005-0000-0000-0000F2300000}"/>
    <cellStyle name="40% - Accent1 2 2 2 5 2 2 2 2" xfId="1060" xr:uid="{00000000-0005-0000-0000-0000F3300000}"/>
    <cellStyle name="40% - Accent1 2 2 2 5 2 2 3" xfId="6170" xr:uid="{00000000-0005-0000-0000-0000F4300000}"/>
    <cellStyle name="40% - Accent1 2 2 2 5 2 3" xfId="15202" xr:uid="{00000000-0005-0000-0000-0000F5300000}"/>
    <cellStyle name="40% - Accent1 2 2 2 5 2 3 2" xfId="7070" xr:uid="{00000000-0005-0000-0000-0000F6300000}"/>
    <cellStyle name="40% - Accent1 2 2 2 5 2 4" xfId="7010" xr:uid="{00000000-0005-0000-0000-0000F7300000}"/>
    <cellStyle name="40% - Accent1 2 2 2 5 3" xfId="26715" xr:uid="{00000000-0005-0000-0000-0000F8300000}"/>
    <cellStyle name="40% - Accent1 2 2 2 5 3 2" xfId="23013" xr:uid="{00000000-0005-0000-0000-0000F9300000}"/>
    <cellStyle name="40% - Accent1 2 2 2 5 3 2 2" xfId="10766" xr:uid="{00000000-0005-0000-0000-0000FA300000}"/>
    <cellStyle name="40% - Accent1 2 2 2 5 3 3" xfId="8143" xr:uid="{00000000-0005-0000-0000-0000FB300000}"/>
    <cellStyle name="40% - Accent1 2 2 2 5 4" xfId="26727" xr:uid="{00000000-0005-0000-0000-0000FC300000}"/>
    <cellStyle name="40% - Accent1 2 2 2 5 4 2" xfId="6192" xr:uid="{00000000-0005-0000-0000-0000FD300000}"/>
    <cellStyle name="40% - Accent1 2 2 2 5 5" xfId="14485" xr:uid="{00000000-0005-0000-0000-0000FE300000}"/>
    <cellStyle name="40% - Accent1 2 2 2 6" xfId="14486" xr:uid="{00000000-0005-0000-0000-0000FF300000}"/>
    <cellStyle name="40% - Accent1 2 2 2 6 2" xfId="14494" xr:uid="{00000000-0005-0000-0000-000000310000}"/>
    <cellStyle name="40% - Accent1 2 2 2 6 2 2" xfId="14416" xr:uid="{00000000-0005-0000-0000-000001310000}"/>
    <cellStyle name="40% - Accent1 2 2 2 6 2 2 2" xfId="11934" xr:uid="{00000000-0005-0000-0000-000002310000}"/>
    <cellStyle name="40% - Accent1 2 2 2 6 2 3" xfId="13654" xr:uid="{00000000-0005-0000-0000-000003310000}"/>
    <cellStyle name="40% - Accent1 2 2 2 6 3" xfId="14424" xr:uid="{00000000-0005-0000-0000-000004310000}"/>
    <cellStyle name="40% - Accent1 2 2 2 6 3 2" xfId="18512" xr:uid="{00000000-0005-0000-0000-000005310000}"/>
    <cellStyle name="40% - Accent1 2 2 2 6 4" xfId="10151" xr:uid="{00000000-0005-0000-0000-000006310000}"/>
    <cellStyle name="40% - Accent1 2 2 2 7" xfId="14496" xr:uid="{00000000-0005-0000-0000-000007310000}"/>
    <cellStyle name="40% - Accent1 2 2 2 7 2" xfId="14501" xr:uid="{00000000-0005-0000-0000-000008310000}"/>
    <cellStyle name="40% - Accent1 2 2 2 7 2 2" xfId="18555" xr:uid="{00000000-0005-0000-0000-000009310000}"/>
    <cellStyle name="40% - Accent1 2 2 2 7 3" xfId="10159" xr:uid="{00000000-0005-0000-0000-00000A310000}"/>
    <cellStyle name="40% - Accent1 2 2 2 8" xfId="15727" xr:uid="{00000000-0005-0000-0000-00000B310000}"/>
    <cellStyle name="40% - Accent1 2 2 2 8 2" xfId="10160" xr:uid="{00000000-0005-0000-0000-00000C310000}"/>
    <cellStyle name="40% - Accent1 2 2 2 9" xfId="10051" xr:uid="{00000000-0005-0000-0000-00000D310000}"/>
    <cellStyle name="40% - Accent1 2 2 3" xfId="22124" xr:uid="{00000000-0005-0000-0000-00000E310000}"/>
    <cellStyle name="40% - Accent1 2 2 3 2" xfId="12138" xr:uid="{00000000-0005-0000-0000-00000F310000}"/>
    <cellStyle name="40% - Accent1 2 2 3 2 2" xfId="1677" xr:uid="{00000000-0005-0000-0000-000010310000}"/>
    <cellStyle name="40% - Accent1 2 2 3 2 2 2" xfId="14506" xr:uid="{00000000-0005-0000-0000-000011310000}"/>
    <cellStyle name="40% - Accent1 2 2 3 2 2 2 2" xfId="14510" xr:uid="{00000000-0005-0000-0000-000012310000}"/>
    <cellStyle name="40% - Accent1 2 2 3 2 2 2 2 2" xfId="14542" xr:uid="{00000000-0005-0000-0000-000013310000}"/>
    <cellStyle name="40% - Accent1 2 2 3 2 2 2 2 2 2" xfId="13901" xr:uid="{00000000-0005-0000-0000-000014310000}"/>
    <cellStyle name="40% - Accent1 2 2 3 2 2 2 2 2 2 2" xfId="14515" xr:uid="{00000000-0005-0000-0000-000015310000}"/>
    <cellStyle name="40% - Accent1 2 2 3 2 2 2 2 2 3" xfId="30424" xr:uid="{00000000-0005-0000-0000-000016310000}"/>
    <cellStyle name="40% - Accent1 2 2 3 2 2 2 2 3" xfId="14873" xr:uid="{00000000-0005-0000-0000-000017310000}"/>
    <cellStyle name="40% - Accent1 2 2 3 2 2 2 2 3 2" xfId="14516" xr:uid="{00000000-0005-0000-0000-000018310000}"/>
    <cellStyle name="40% - Accent1 2 2 3 2 2 2 2 4" xfId="11722" xr:uid="{00000000-0005-0000-0000-000019310000}"/>
    <cellStyle name="40% - Accent1 2 2 3 2 2 2 3" xfId="14517" xr:uid="{00000000-0005-0000-0000-00001A310000}"/>
    <cellStyle name="40% - Accent1 2 2 3 2 2 2 3 2" xfId="3152" xr:uid="{00000000-0005-0000-0000-00001B310000}"/>
    <cellStyle name="40% - Accent1 2 2 3 2 2 2 3 2 2" xfId="14519" xr:uid="{00000000-0005-0000-0000-00001C310000}"/>
    <cellStyle name="40% - Accent1 2 2 3 2 2 2 3 3" xfId="7777" xr:uid="{00000000-0005-0000-0000-00001D310000}"/>
    <cellStyle name="40% - Accent1 2 2 3 2 2 2 4" xfId="14521" xr:uid="{00000000-0005-0000-0000-00001E310000}"/>
    <cellStyle name="40% - Accent1 2 2 3 2 2 2 4 2" xfId="2904" xr:uid="{00000000-0005-0000-0000-00001F310000}"/>
    <cellStyle name="40% - Accent1 2 2 3 2 2 2 5" xfId="14522" xr:uid="{00000000-0005-0000-0000-000020310000}"/>
    <cellStyle name="40% - Accent1 2 2 3 2 2 3" xfId="14523" xr:uid="{00000000-0005-0000-0000-000021310000}"/>
    <cellStyle name="40% - Accent1 2 2 3 2 2 3 2" xfId="14524" xr:uid="{00000000-0005-0000-0000-000022310000}"/>
    <cellStyle name="40% - Accent1 2 2 3 2 2 3 2 2" xfId="14528" xr:uid="{00000000-0005-0000-0000-000023310000}"/>
    <cellStyle name="40% - Accent1 2 2 3 2 2 3 2 2 2" xfId="14530" xr:uid="{00000000-0005-0000-0000-000024310000}"/>
    <cellStyle name="40% - Accent1 2 2 3 2 2 3 2 3" xfId="14534" xr:uid="{00000000-0005-0000-0000-000025310000}"/>
    <cellStyle name="40% - Accent1 2 2 3 2 2 3 3" xfId="33221" xr:uid="{00000000-0005-0000-0000-000026310000}"/>
    <cellStyle name="40% - Accent1 2 2 3 2 2 3 3 2" xfId="5999" xr:uid="{00000000-0005-0000-0000-000027310000}"/>
    <cellStyle name="40% - Accent1 2 2 3 2 2 3 4" xfId="14536" xr:uid="{00000000-0005-0000-0000-000028310000}"/>
    <cellStyle name="40% - Accent1 2 2 3 2 2 4" xfId="10600" xr:uid="{00000000-0005-0000-0000-000029310000}"/>
    <cellStyle name="40% - Accent1 2 2 3 2 2 4 2" xfId="15432" xr:uid="{00000000-0005-0000-0000-00002A310000}"/>
    <cellStyle name="40% - Accent1 2 2 3 2 2 4 2 2" xfId="14538" xr:uid="{00000000-0005-0000-0000-00002B310000}"/>
    <cellStyle name="40% - Accent1 2 2 3 2 2 4 3" xfId="31375" xr:uid="{00000000-0005-0000-0000-00002C310000}"/>
    <cellStyle name="40% - Accent1 2 2 3 2 2 5" xfId="14546" xr:uid="{00000000-0005-0000-0000-00002D310000}"/>
    <cellStyle name="40% - Accent1 2 2 3 2 2 5 2" xfId="14548" xr:uid="{00000000-0005-0000-0000-00002E310000}"/>
    <cellStyle name="40% - Accent1 2 2 3 2 2 6" xfId="3952" xr:uid="{00000000-0005-0000-0000-00002F310000}"/>
    <cellStyle name="40% - Accent1 2 2 3 2 3" xfId="6915" xr:uid="{00000000-0005-0000-0000-000030310000}"/>
    <cellStyle name="40% - Accent1 2 2 3 2 3 2" xfId="6801" xr:uid="{00000000-0005-0000-0000-000031310000}"/>
    <cellStyle name="40% - Accent1 2 2 3 2 3 2 2" xfId="14552" xr:uid="{00000000-0005-0000-0000-000032310000}"/>
    <cellStyle name="40% - Accent1 2 2 3 2 3 2 2 2" xfId="14555" xr:uid="{00000000-0005-0000-0000-000033310000}"/>
    <cellStyle name="40% - Accent1 2 2 3 2 3 2 2 2 2" xfId="14557" xr:uid="{00000000-0005-0000-0000-000034310000}"/>
    <cellStyle name="40% - Accent1 2 2 3 2 3 2 2 3" xfId="19231" xr:uid="{00000000-0005-0000-0000-000035310000}"/>
    <cellStyle name="40% - Accent1 2 2 3 2 3 2 3" xfId="8318" xr:uid="{00000000-0005-0000-0000-000036310000}"/>
    <cellStyle name="40% - Accent1 2 2 3 2 3 2 3 2" xfId="6477" xr:uid="{00000000-0005-0000-0000-000037310000}"/>
    <cellStyle name="40% - Accent1 2 2 3 2 3 2 4" xfId="8671" xr:uid="{00000000-0005-0000-0000-000038310000}"/>
    <cellStyle name="40% - Accent1 2 2 3 2 3 3" xfId="14565" xr:uid="{00000000-0005-0000-0000-000039310000}"/>
    <cellStyle name="40% - Accent1 2 2 3 2 3 3 2" xfId="14571" xr:uid="{00000000-0005-0000-0000-00003A310000}"/>
    <cellStyle name="40% - Accent1 2 2 3 2 3 3 2 2" xfId="14575" xr:uid="{00000000-0005-0000-0000-00003B310000}"/>
    <cellStyle name="40% - Accent1 2 2 3 2 3 3 3" xfId="4384" xr:uid="{00000000-0005-0000-0000-00003C310000}"/>
    <cellStyle name="40% - Accent1 2 2 3 2 3 4" xfId="27680" xr:uid="{00000000-0005-0000-0000-00003D310000}"/>
    <cellStyle name="40% - Accent1 2 2 3 2 3 4 2" xfId="32923" xr:uid="{00000000-0005-0000-0000-00003E310000}"/>
    <cellStyle name="40% - Accent1 2 2 3 2 3 5" xfId="27819" xr:uid="{00000000-0005-0000-0000-00003F310000}"/>
    <cellStyle name="40% - Accent1 2 2 3 2 4" xfId="30877" xr:uid="{00000000-0005-0000-0000-000040310000}"/>
    <cellStyle name="40% - Accent1 2 2 3 2 4 2" xfId="14580" xr:uid="{00000000-0005-0000-0000-000041310000}"/>
    <cellStyle name="40% - Accent1 2 2 3 2 4 2 2" xfId="14584" xr:uid="{00000000-0005-0000-0000-000042310000}"/>
    <cellStyle name="40% - Accent1 2 2 3 2 4 2 2 2" xfId="3337" xr:uid="{00000000-0005-0000-0000-000043310000}"/>
    <cellStyle name="40% - Accent1 2 2 3 2 4 2 3" xfId="33541" xr:uid="{00000000-0005-0000-0000-000044310000}"/>
    <cellStyle name="40% - Accent1 2 2 3 2 4 3" xfId="27693" xr:uid="{00000000-0005-0000-0000-000045310000}"/>
    <cellStyle name="40% - Accent1 2 2 3 2 4 3 2" xfId="30123" xr:uid="{00000000-0005-0000-0000-000046310000}"/>
    <cellStyle name="40% - Accent1 2 2 3 2 4 4" xfId="30622" xr:uid="{00000000-0005-0000-0000-000047310000}"/>
    <cellStyle name="40% - Accent1 2 2 3 2 5" xfId="28345" xr:uid="{00000000-0005-0000-0000-000048310000}"/>
    <cellStyle name="40% - Accent1 2 2 3 2 5 2" xfId="29833" xr:uid="{00000000-0005-0000-0000-000049310000}"/>
    <cellStyle name="40% - Accent1 2 2 3 2 5 2 2" xfId="33449" xr:uid="{00000000-0005-0000-0000-00004A310000}"/>
    <cellStyle name="40% - Accent1 2 2 3 2 5 3" xfId="23784" xr:uid="{00000000-0005-0000-0000-00004B310000}"/>
    <cellStyle name="40% - Accent1 2 2 3 2 6" xfId="31141" xr:uid="{00000000-0005-0000-0000-00004C310000}"/>
    <cellStyle name="40% - Accent1 2 2 3 2 6 2" xfId="25913" xr:uid="{00000000-0005-0000-0000-00004D310000}"/>
    <cellStyle name="40% - Accent1 2 2 3 2 7" xfId="26539" xr:uid="{00000000-0005-0000-0000-00004E310000}"/>
    <cellStyle name="40% - Accent1 2 2 3 3" xfId="12365" xr:uid="{00000000-0005-0000-0000-00004F310000}"/>
    <cellStyle name="40% - Accent1 2 2 3 3 2" xfId="6586" xr:uid="{00000000-0005-0000-0000-000050310000}"/>
    <cellStyle name="40% - Accent1 2 2 3 3 2 2" xfId="33011" xr:uid="{00000000-0005-0000-0000-000051310000}"/>
    <cellStyle name="40% - Accent1 2 2 3 3 2 2 2" xfId="22286" xr:uid="{00000000-0005-0000-0000-000052310000}"/>
    <cellStyle name="40% - Accent1 2 2 3 3 2 2 2 2" xfId="28208" xr:uid="{00000000-0005-0000-0000-000053310000}"/>
    <cellStyle name="40% - Accent1 2 2 3 3 2 2 2 2 2" xfId="14559" xr:uid="{00000000-0005-0000-0000-000054310000}"/>
    <cellStyle name="40% - Accent1 2 2 3 3 2 2 2 3" xfId="14589" xr:uid="{00000000-0005-0000-0000-000055310000}"/>
    <cellStyle name="40% - Accent1 2 2 3 3 2 2 3" xfId="14595" xr:uid="{00000000-0005-0000-0000-000056310000}"/>
    <cellStyle name="40% - Accent1 2 2 3 3 2 2 3 2" xfId="2262" xr:uid="{00000000-0005-0000-0000-000057310000}"/>
    <cellStyle name="40% - Accent1 2 2 3 3 2 2 4" xfId="14598" xr:uid="{00000000-0005-0000-0000-000058310000}"/>
    <cellStyle name="40% - Accent1 2 2 3 3 2 3" xfId="27997" xr:uid="{00000000-0005-0000-0000-000059310000}"/>
    <cellStyle name="40% - Accent1 2 2 3 3 2 3 2" xfId="22319" xr:uid="{00000000-0005-0000-0000-00005A310000}"/>
    <cellStyle name="40% - Accent1 2 2 3 3 2 3 2 2" xfId="13493" xr:uid="{00000000-0005-0000-0000-00005B310000}"/>
    <cellStyle name="40% - Accent1 2 2 3 3 2 3 3" xfId="31404" xr:uid="{00000000-0005-0000-0000-00005C310000}"/>
    <cellStyle name="40% - Accent1 2 2 3 3 2 4" xfId="27605" xr:uid="{00000000-0005-0000-0000-00005D310000}"/>
    <cellStyle name="40% - Accent1 2 2 3 3 2 4 2" xfId="31291" xr:uid="{00000000-0005-0000-0000-00005E310000}"/>
    <cellStyle name="40% - Accent1 2 2 3 3 2 5" xfId="14601" xr:uid="{00000000-0005-0000-0000-00005F310000}"/>
    <cellStyle name="40% - Accent1 2 2 3 3 3" xfId="6596" xr:uid="{00000000-0005-0000-0000-000060310000}"/>
    <cellStyle name="40% - Accent1 2 2 3 3 3 2" xfId="33102" xr:uid="{00000000-0005-0000-0000-000061310000}"/>
    <cellStyle name="40% - Accent1 2 2 3 3 3 2 2" xfId="26301" xr:uid="{00000000-0005-0000-0000-000062310000}"/>
    <cellStyle name="40% - Accent1 2 2 3 3 3 2 2 2" xfId="14609" xr:uid="{00000000-0005-0000-0000-000063310000}"/>
    <cellStyle name="40% - Accent1 2 2 3 3 3 2 3" xfId="6784" xr:uid="{00000000-0005-0000-0000-000064310000}"/>
    <cellStyle name="40% - Accent1 2 2 3 3 3 3" xfId="27470" xr:uid="{00000000-0005-0000-0000-000065310000}"/>
    <cellStyle name="40% - Accent1 2 2 3 3 3 3 2" xfId="98" xr:uid="{00000000-0005-0000-0000-000066310000}"/>
    <cellStyle name="40% - Accent1 2 2 3 3 3 4" xfId="30705" xr:uid="{00000000-0005-0000-0000-000067310000}"/>
    <cellStyle name="40% - Accent1 2 2 3 3 4" xfId="33605" xr:uid="{00000000-0005-0000-0000-000068310000}"/>
    <cellStyle name="40% - Accent1 2 2 3 3 4 2" xfId="33781" xr:uid="{00000000-0005-0000-0000-000069310000}"/>
    <cellStyle name="40% - Accent1 2 2 3 3 4 2 2" xfId="11454" xr:uid="{00000000-0005-0000-0000-00006A310000}"/>
    <cellStyle name="40% - Accent1 2 2 3 3 4 3" xfId="5352" xr:uid="{00000000-0005-0000-0000-00006B310000}"/>
    <cellStyle name="40% - Accent1 2 2 3 3 5" xfId="22221" xr:uid="{00000000-0005-0000-0000-00006C310000}"/>
    <cellStyle name="40% - Accent1 2 2 3 3 5 2" xfId="14616" xr:uid="{00000000-0005-0000-0000-00006D310000}"/>
    <cellStyle name="40% - Accent1 2 2 3 3 6" xfId="18193" xr:uid="{00000000-0005-0000-0000-00006E310000}"/>
    <cellStyle name="40% - Accent1 2 2 3 4" xfId="9821" xr:uid="{00000000-0005-0000-0000-00006F310000}"/>
    <cellStyle name="40% - Accent1 2 2 3 4 2" xfId="6610" xr:uid="{00000000-0005-0000-0000-000070310000}"/>
    <cellStyle name="40% - Accent1 2 2 3 4 2 2" xfId="25053" xr:uid="{00000000-0005-0000-0000-000071310000}"/>
    <cellStyle name="40% - Accent1 2 2 3 4 2 2 2" xfId="24844" xr:uid="{00000000-0005-0000-0000-000072310000}"/>
    <cellStyle name="40% - Accent1 2 2 3 4 2 2 2 2" xfId="14620" xr:uid="{00000000-0005-0000-0000-000073310000}"/>
    <cellStyle name="40% - Accent1 2 2 3 4 2 2 3" xfId="6084" xr:uid="{00000000-0005-0000-0000-000074310000}"/>
    <cellStyle name="40% - Accent1 2 2 3 4 2 3" xfId="12586" xr:uid="{00000000-0005-0000-0000-000075310000}"/>
    <cellStyle name="40% - Accent1 2 2 3 4 2 3 2" xfId="6316" xr:uid="{00000000-0005-0000-0000-000076310000}"/>
    <cellStyle name="40% - Accent1 2 2 3 4 2 4" xfId="30765" xr:uid="{00000000-0005-0000-0000-000077310000}"/>
    <cellStyle name="40% - Accent1 2 2 3 4 3" xfId="14630" xr:uid="{00000000-0005-0000-0000-000078310000}"/>
    <cellStyle name="40% - Accent1 2 2 3 4 3 2" xfId="25127" xr:uid="{00000000-0005-0000-0000-000079310000}"/>
    <cellStyle name="40% - Accent1 2 2 3 4 3 2 2" xfId="6363" xr:uid="{00000000-0005-0000-0000-00007A310000}"/>
    <cellStyle name="40% - Accent1 2 2 3 4 3 3" xfId="25138" xr:uid="{00000000-0005-0000-0000-00007B310000}"/>
    <cellStyle name="40% - Accent1 2 2 3 4 4" xfId="18529" xr:uid="{00000000-0005-0000-0000-00007C310000}"/>
    <cellStyle name="40% - Accent1 2 2 3 4 4 2" xfId="6335" xr:uid="{00000000-0005-0000-0000-00007D310000}"/>
    <cellStyle name="40% - Accent1 2 2 3 4 5" xfId="33150" xr:uid="{00000000-0005-0000-0000-00007E310000}"/>
    <cellStyle name="40% - Accent1 2 2 3 5" xfId="82" xr:uid="{00000000-0005-0000-0000-00007F310000}"/>
    <cellStyle name="40% - Accent1 2 2 3 5 2" xfId="23085" xr:uid="{00000000-0005-0000-0000-000080310000}"/>
    <cellStyle name="40% - Accent1 2 2 3 5 2 2" xfId="25332" xr:uid="{00000000-0005-0000-0000-000081310000}"/>
    <cellStyle name="40% - Accent1 2 2 3 5 2 2 2" xfId="6383" xr:uid="{00000000-0005-0000-0000-000082310000}"/>
    <cellStyle name="40% - Accent1 2 2 3 5 2 3" xfId="21659" xr:uid="{00000000-0005-0000-0000-000083310000}"/>
    <cellStyle name="40% - Accent1 2 2 3 5 3" xfId="15741" xr:uid="{00000000-0005-0000-0000-000084310000}"/>
    <cellStyle name="40% - Accent1 2 2 3 5 3 2" xfId="1312" xr:uid="{00000000-0005-0000-0000-000085310000}"/>
    <cellStyle name="40% - Accent1 2 2 3 5 4" xfId="19281" xr:uid="{00000000-0005-0000-0000-000086310000}"/>
    <cellStyle name="40% - Accent1 2 2 3 6" xfId="11677" xr:uid="{00000000-0005-0000-0000-000087310000}"/>
    <cellStyle name="40% - Accent1 2 2 3 6 2" xfId="27367" xr:uid="{00000000-0005-0000-0000-000088310000}"/>
    <cellStyle name="40% - Accent1 2 2 3 6 2 2" xfId="11282" xr:uid="{00000000-0005-0000-0000-000089310000}"/>
    <cellStyle name="40% - Accent1 2 2 3 6 3" xfId="15403" xr:uid="{00000000-0005-0000-0000-00008A310000}"/>
    <cellStyle name="40% - Accent1 2 2 3 7" xfId="14641" xr:uid="{00000000-0005-0000-0000-00008B310000}"/>
    <cellStyle name="40% - Accent1 2 2 3 7 2" xfId="15410" xr:uid="{00000000-0005-0000-0000-00008C310000}"/>
    <cellStyle name="40% - Accent1 2 2 3 8" xfId="10652" xr:uid="{00000000-0005-0000-0000-00008D310000}"/>
    <cellStyle name="40% - Accent1 2 2 4" xfId="13897" xr:uid="{00000000-0005-0000-0000-00008E310000}"/>
    <cellStyle name="40% - Accent1 2 2 4 2" xfId="12139" xr:uid="{00000000-0005-0000-0000-00008F310000}"/>
    <cellStyle name="40% - Accent1 2 2 4 2 2" xfId="6926" xr:uid="{00000000-0005-0000-0000-000090310000}"/>
    <cellStyle name="40% - Accent1 2 2 4 2 2 2" xfId="22350" xr:uid="{00000000-0005-0000-0000-000091310000}"/>
    <cellStyle name="40% - Accent1 2 2 4 2 2 2 2" xfId="23315" xr:uid="{00000000-0005-0000-0000-000092310000}"/>
    <cellStyle name="40% - Accent1 2 2 4 2 2 2 2 2" xfId="26141" xr:uid="{00000000-0005-0000-0000-000093310000}"/>
    <cellStyle name="40% - Accent1 2 2 4 2 2 2 2 2 2" xfId="14644" xr:uid="{00000000-0005-0000-0000-000094310000}"/>
    <cellStyle name="40% - Accent1 2 2 4 2 2 2 2 3" xfId="21285" xr:uid="{00000000-0005-0000-0000-000095310000}"/>
    <cellStyle name="40% - Accent1 2 2 4 2 2 2 3" xfId="6889" xr:uid="{00000000-0005-0000-0000-000096310000}"/>
    <cellStyle name="40% - Accent1 2 2 4 2 2 2 3 2" xfId="4756" xr:uid="{00000000-0005-0000-0000-000097310000}"/>
    <cellStyle name="40% - Accent1 2 2 4 2 2 2 4" xfId="6893" xr:uid="{00000000-0005-0000-0000-000098310000}"/>
    <cellStyle name="40% - Accent1 2 2 4 2 2 3" xfId="14399" xr:uid="{00000000-0005-0000-0000-000099310000}"/>
    <cellStyle name="40% - Accent1 2 2 4 2 2 3 2" xfId="31601" xr:uid="{00000000-0005-0000-0000-00009A310000}"/>
    <cellStyle name="40% - Accent1 2 2 4 2 2 3 2 2" xfId="14645" xr:uid="{00000000-0005-0000-0000-00009B310000}"/>
    <cellStyle name="40% - Accent1 2 2 4 2 2 3 3" xfId="6896" xr:uid="{00000000-0005-0000-0000-00009C310000}"/>
    <cellStyle name="40% - Accent1 2 2 4 2 2 4" xfId="14651" xr:uid="{00000000-0005-0000-0000-00009D310000}"/>
    <cellStyle name="40% - Accent1 2 2 4 2 2 4 2" xfId="33502" xr:uid="{00000000-0005-0000-0000-00009E310000}"/>
    <cellStyle name="40% - Accent1 2 2 4 2 2 5" xfId="13604" xr:uid="{00000000-0005-0000-0000-00009F310000}"/>
    <cellStyle name="40% - Accent1 2 2 4 2 3" xfId="12015" xr:uid="{00000000-0005-0000-0000-0000A0310000}"/>
    <cellStyle name="40% - Accent1 2 2 4 2 3 2" xfId="15272" xr:uid="{00000000-0005-0000-0000-0000A1310000}"/>
    <cellStyle name="40% - Accent1 2 2 4 2 3 2 2" xfId="14653" xr:uid="{00000000-0005-0000-0000-0000A2310000}"/>
    <cellStyle name="40% - Accent1 2 2 4 2 3 2 2 2" xfId="14654" xr:uid="{00000000-0005-0000-0000-0000A3310000}"/>
    <cellStyle name="40% - Accent1 2 2 4 2 3 2 3" xfId="8875" xr:uid="{00000000-0005-0000-0000-0000A4310000}"/>
    <cellStyle name="40% - Accent1 2 2 4 2 3 3" xfId="14659" xr:uid="{00000000-0005-0000-0000-0000A5310000}"/>
    <cellStyle name="40% - Accent1 2 2 4 2 3 3 2" xfId="33879" xr:uid="{00000000-0005-0000-0000-0000A6310000}"/>
    <cellStyle name="40% - Accent1 2 2 4 2 3 4" xfId="14662" xr:uid="{00000000-0005-0000-0000-0000A7310000}"/>
    <cellStyle name="40% - Accent1 2 2 4 2 4" xfId="14665" xr:uid="{00000000-0005-0000-0000-0000A8310000}"/>
    <cellStyle name="40% - Accent1 2 2 4 2 4 2" xfId="15292" xr:uid="{00000000-0005-0000-0000-0000A9310000}"/>
    <cellStyle name="40% - Accent1 2 2 4 2 4 2 2" xfId="33506" xr:uid="{00000000-0005-0000-0000-0000AA310000}"/>
    <cellStyle name="40% - Accent1 2 2 4 2 4 3" xfId="14671" xr:uid="{00000000-0005-0000-0000-0000AB310000}"/>
    <cellStyle name="40% - Accent1 2 2 4 2 5" xfId="2532" xr:uid="{00000000-0005-0000-0000-0000AC310000}"/>
    <cellStyle name="40% - Accent1 2 2 4 2 5 2" xfId="5132" xr:uid="{00000000-0005-0000-0000-0000AD310000}"/>
    <cellStyle name="40% - Accent1 2 2 4 2 6" xfId="1051" xr:uid="{00000000-0005-0000-0000-0000AE310000}"/>
    <cellStyle name="40% - Accent1 2 2 4 3" xfId="12907" xr:uid="{00000000-0005-0000-0000-0000AF310000}"/>
    <cellStyle name="40% - Accent1 2 2 4 3 2" xfId="6649" xr:uid="{00000000-0005-0000-0000-0000B0310000}"/>
    <cellStyle name="40% - Accent1 2 2 4 3 2 2" xfId="14675" xr:uid="{00000000-0005-0000-0000-0000B1310000}"/>
    <cellStyle name="40% - Accent1 2 2 4 3 2 2 2" xfId="22539" xr:uid="{00000000-0005-0000-0000-0000B2310000}"/>
    <cellStyle name="40% - Accent1 2 2 4 3 2 2 2 2" xfId="14363" xr:uid="{00000000-0005-0000-0000-0000B3310000}"/>
    <cellStyle name="40% - Accent1 2 2 4 3 2 2 3" xfId="29001" xr:uid="{00000000-0005-0000-0000-0000B4310000}"/>
    <cellStyle name="40% - Accent1 2 2 4 3 2 3" xfId="14681" xr:uid="{00000000-0005-0000-0000-0000B5310000}"/>
    <cellStyle name="40% - Accent1 2 2 4 3 2 3 2" xfId="14683" xr:uid="{00000000-0005-0000-0000-0000B6310000}"/>
    <cellStyle name="40% - Accent1 2 2 4 3 2 4" xfId="14687" xr:uid="{00000000-0005-0000-0000-0000B7310000}"/>
    <cellStyle name="40% - Accent1 2 2 4 3 3" xfId="15575" xr:uid="{00000000-0005-0000-0000-0000B8310000}"/>
    <cellStyle name="40% - Accent1 2 2 4 3 3 2" xfId="14694" xr:uid="{00000000-0005-0000-0000-0000B9310000}"/>
    <cellStyle name="40% - Accent1 2 2 4 3 3 2 2" xfId="19429" xr:uid="{00000000-0005-0000-0000-0000BA310000}"/>
    <cellStyle name="40% - Accent1 2 2 4 3 3 3" xfId="14699" xr:uid="{00000000-0005-0000-0000-0000BB310000}"/>
    <cellStyle name="40% - Accent1 2 2 4 3 4" xfId="14702" xr:uid="{00000000-0005-0000-0000-0000BC310000}"/>
    <cellStyle name="40% - Accent1 2 2 4 3 4 2" xfId="14708" xr:uid="{00000000-0005-0000-0000-0000BD310000}"/>
    <cellStyle name="40% - Accent1 2 2 4 3 5" xfId="3469" xr:uid="{00000000-0005-0000-0000-0000BE310000}"/>
    <cellStyle name="40% - Accent1 2 2 4 4" xfId="33514" xr:uid="{00000000-0005-0000-0000-0000BF310000}"/>
    <cellStyle name="40% - Accent1 2 2 4 4 2" xfId="31076" xr:uid="{00000000-0005-0000-0000-0000C0310000}"/>
    <cellStyle name="40% - Accent1 2 2 4 4 2 2" xfId="12636" xr:uid="{00000000-0005-0000-0000-0000C1310000}"/>
    <cellStyle name="40% - Accent1 2 2 4 4 2 2 2" xfId="8012" xr:uid="{00000000-0005-0000-0000-0000C2310000}"/>
    <cellStyle name="40% - Accent1 2 2 4 4 2 3" xfId="15218" xr:uid="{00000000-0005-0000-0000-0000C3310000}"/>
    <cellStyle name="40% - Accent1 2 2 4 4 3" xfId="31080" xr:uid="{00000000-0005-0000-0000-0000C4310000}"/>
    <cellStyle name="40% - Accent1 2 2 4 4 3 2" xfId="20079" xr:uid="{00000000-0005-0000-0000-0000C5310000}"/>
    <cellStyle name="40% - Accent1 2 2 4 4 4" xfId="32057" xr:uid="{00000000-0005-0000-0000-0000C6310000}"/>
    <cellStyle name="40% - Accent1 2 2 4 5" xfId="28652" xr:uid="{00000000-0005-0000-0000-0000C7310000}"/>
    <cellStyle name="40% - Accent1 2 2 4 5 2" xfId="23498" xr:uid="{00000000-0005-0000-0000-0000C8310000}"/>
    <cellStyle name="40% - Accent1 2 2 4 5 2 2" xfId="2389" xr:uid="{00000000-0005-0000-0000-0000C9310000}"/>
    <cellStyle name="40% - Accent1 2 2 4 5 3" xfId="6402" xr:uid="{00000000-0005-0000-0000-0000CA310000}"/>
    <cellStyle name="40% - Accent1 2 2 4 6" xfId="25680" xr:uid="{00000000-0005-0000-0000-0000CB310000}"/>
    <cellStyle name="40% - Accent1 2 2 4 6 2" xfId="23946" xr:uid="{00000000-0005-0000-0000-0000CC310000}"/>
    <cellStyle name="40% - Accent1 2 2 4 7" xfId="30088" xr:uid="{00000000-0005-0000-0000-0000CD310000}"/>
    <cellStyle name="40% - Accent1 2 2 5" xfId="28988" xr:uid="{00000000-0005-0000-0000-0000CE310000}"/>
    <cellStyle name="40% - Accent1 2 2 5 2" xfId="29240" xr:uid="{00000000-0005-0000-0000-0000CF310000}"/>
    <cellStyle name="40% - Accent1 2 2 5 2 2" xfId="6944" xr:uid="{00000000-0005-0000-0000-0000D0310000}"/>
    <cellStyle name="40% - Accent1 2 2 5 2 2 2" xfId="15921" xr:uid="{00000000-0005-0000-0000-0000D1310000}"/>
    <cellStyle name="40% - Accent1 2 2 5 2 2 2 2" xfId="14719" xr:uid="{00000000-0005-0000-0000-0000D2310000}"/>
    <cellStyle name="40% - Accent1 2 2 5 2 2 2 2 2" xfId="26269" xr:uid="{00000000-0005-0000-0000-0000D3310000}"/>
    <cellStyle name="40% - Accent1 2 2 5 2 2 2 3" xfId="7055" xr:uid="{00000000-0005-0000-0000-0000D4310000}"/>
    <cellStyle name="40% - Accent1 2 2 5 2 2 3" xfId="14579" xr:uid="{00000000-0005-0000-0000-0000D5310000}"/>
    <cellStyle name="40% - Accent1 2 2 5 2 2 3 2" xfId="13638" xr:uid="{00000000-0005-0000-0000-0000D6310000}"/>
    <cellStyle name="40% - Accent1 2 2 5 2 2 4" xfId="14721" xr:uid="{00000000-0005-0000-0000-0000D7310000}"/>
    <cellStyle name="40% - Accent1 2 2 5 2 3" xfId="14723" xr:uid="{00000000-0005-0000-0000-0000D8310000}"/>
    <cellStyle name="40% - Accent1 2 2 5 2 3 2" xfId="15936" xr:uid="{00000000-0005-0000-0000-0000D9310000}"/>
    <cellStyle name="40% - Accent1 2 2 5 2 3 2 2" xfId="14730" xr:uid="{00000000-0005-0000-0000-0000DA310000}"/>
    <cellStyle name="40% - Accent1 2 2 5 2 3 3" xfId="14585" xr:uid="{00000000-0005-0000-0000-0000DB310000}"/>
    <cellStyle name="40% - Accent1 2 2 5 2 4" xfId="14731" xr:uid="{00000000-0005-0000-0000-0000DC310000}"/>
    <cellStyle name="40% - Accent1 2 2 5 2 4 2" xfId="15952" xr:uid="{00000000-0005-0000-0000-0000DD310000}"/>
    <cellStyle name="40% - Accent1 2 2 5 2 5" xfId="5650" xr:uid="{00000000-0005-0000-0000-0000DE310000}"/>
    <cellStyle name="40% - Accent1 2 2 5 3" xfId="23551" xr:uid="{00000000-0005-0000-0000-0000DF310000}"/>
    <cellStyle name="40% - Accent1 2 2 5 3 2" xfId="15609" xr:uid="{00000000-0005-0000-0000-0000E0310000}"/>
    <cellStyle name="40% - Accent1 2 2 5 3 2 2" xfId="12079" xr:uid="{00000000-0005-0000-0000-0000E1310000}"/>
    <cellStyle name="40% - Accent1 2 2 5 3 2 2 2" xfId="14736" xr:uid="{00000000-0005-0000-0000-0000E2310000}"/>
    <cellStyle name="40% - Accent1 2 2 5 3 2 3" xfId="14739" xr:uid="{00000000-0005-0000-0000-0000E3310000}"/>
    <cellStyle name="40% - Accent1 2 2 5 3 3" xfId="25895" xr:uid="{00000000-0005-0000-0000-0000E4310000}"/>
    <cellStyle name="40% - Accent1 2 2 5 3 3 2" xfId="11753" xr:uid="{00000000-0005-0000-0000-0000E5310000}"/>
    <cellStyle name="40% - Accent1 2 2 5 3 4" xfId="12811" xr:uid="{00000000-0005-0000-0000-0000E6310000}"/>
    <cellStyle name="40% - Accent1 2 2 5 4" xfId="12913" xr:uid="{00000000-0005-0000-0000-0000E7310000}"/>
    <cellStyle name="40% - Accent1 2 2 5 4 2" xfId="27815" xr:uid="{00000000-0005-0000-0000-0000E8310000}"/>
    <cellStyle name="40% - Accent1 2 2 5 4 2 2" xfId="32526" xr:uid="{00000000-0005-0000-0000-0000E9310000}"/>
    <cellStyle name="40% - Accent1 2 2 5 4 3" xfId="32347" xr:uid="{00000000-0005-0000-0000-0000EA310000}"/>
    <cellStyle name="40% - Accent1 2 2 5 5" xfId="28696" xr:uid="{00000000-0005-0000-0000-0000EB310000}"/>
    <cellStyle name="40% - Accent1 2 2 5 5 2" xfId="27825" xr:uid="{00000000-0005-0000-0000-0000EC310000}"/>
    <cellStyle name="40% - Accent1 2 2 5 6" xfId="28704" xr:uid="{00000000-0005-0000-0000-0000ED310000}"/>
    <cellStyle name="40% - Accent1 2 2 6" xfId="13001" xr:uid="{00000000-0005-0000-0000-0000EE310000}"/>
    <cellStyle name="40% - Accent1 2 2 6 2" xfId="13008" xr:uid="{00000000-0005-0000-0000-0000EF310000}"/>
    <cellStyle name="40% - Accent1 2 2 6 2 2" xfId="14744" xr:uid="{00000000-0005-0000-0000-0000F0310000}"/>
    <cellStyle name="40% - Accent1 2 2 6 2 2 2" xfId="16272" xr:uid="{00000000-0005-0000-0000-0000F1310000}"/>
    <cellStyle name="40% - Accent1 2 2 6 2 2 2 2" xfId="14745" xr:uid="{00000000-0005-0000-0000-0000F2310000}"/>
    <cellStyle name="40% - Accent1 2 2 6 2 2 3" xfId="14669" xr:uid="{00000000-0005-0000-0000-0000F3310000}"/>
    <cellStyle name="40% - Accent1 2 2 6 2 3" xfId="12830" xr:uid="{00000000-0005-0000-0000-0000F4310000}"/>
    <cellStyle name="40% - Accent1 2 2 6 2 3 2" xfId="16283" xr:uid="{00000000-0005-0000-0000-0000F5310000}"/>
    <cellStyle name="40% - Accent1 2 2 6 2 4" xfId="11498" xr:uid="{00000000-0005-0000-0000-0000F6310000}"/>
    <cellStyle name="40% - Accent1 2 2 6 3" xfId="26157" xr:uid="{00000000-0005-0000-0000-0000F7310000}"/>
    <cellStyle name="40% - Accent1 2 2 6 3 2" xfId="14746" xr:uid="{00000000-0005-0000-0000-0000F8310000}"/>
    <cellStyle name="40% - Accent1 2 2 6 3 2 2" xfId="14748" xr:uid="{00000000-0005-0000-0000-0000F9310000}"/>
    <cellStyle name="40% - Accent1 2 2 6 3 3" xfId="13072" xr:uid="{00000000-0005-0000-0000-0000FA310000}"/>
    <cellStyle name="40% - Accent1 2 2 6 4" xfId="10965" xr:uid="{00000000-0005-0000-0000-0000FB310000}"/>
    <cellStyle name="40% - Accent1 2 2 6 4 2" xfId="14505" xr:uid="{00000000-0005-0000-0000-0000FC310000}"/>
    <cellStyle name="40% - Accent1 2 2 6 5" xfId="551" xr:uid="{00000000-0005-0000-0000-0000FD310000}"/>
    <cellStyle name="40% - Accent1 2 2 7" xfId="13297" xr:uid="{00000000-0005-0000-0000-0000FE310000}"/>
    <cellStyle name="40% - Accent1 2 2 7 2" xfId="14750" xr:uid="{00000000-0005-0000-0000-0000FF310000}"/>
    <cellStyle name="40% - Accent1 2 2 7 2 2" xfId="11803" xr:uid="{00000000-0005-0000-0000-000000320000}"/>
    <cellStyle name="40% - Accent1 2 2 7 2 2 2" xfId="16415" xr:uid="{00000000-0005-0000-0000-000001320000}"/>
    <cellStyle name="40% - Accent1 2 2 7 2 3" xfId="13273" xr:uid="{00000000-0005-0000-0000-000002320000}"/>
    <cellStyle name="40% - Accent1 2 2 7 3" xfId="14752" xr:uid="{00000000-0005-0000-0000-000003320000}"/>
    <cellStyle name="40% - Accent1 2 2 7 3 2" xfId="11846" xr:uid="{00000000-0005-0000-0000-000004320000}"/>
    <cellStyle name="40% - Accent1 2 2 7 4" xfId="9969" xr:uid="{00000000-0005-0000-0000-000005320000}"/>
    <cellStyle name="40% - Accent1 2 2 8" xfId="2020" xr:uid="{00000000-0005-0000-0000-000006320000}"/>
    <cellStyle name="40% - Accent1 2 2 8 2" xfId="2353" xr:uid="{00000000-0005-0000-0000-000007320000}"/>
    <cellStyle name="40% - Accent1 2 2 8 2 2" xfId="27416" xr:uid="{00000000-0005-0000-0000-000008320000}"/>
    <cellStyle name="40% - Accent1 2 2 8 3" xfId="9975" xr:uid="{00000000-0005-0000-0000-000009320000}"/>
    <cellStyle name="40% - Accent1 2 2 9" xfId="5127" xr:uid="{00000000-0005-0000-0000-00000A320000}"/>
    <cellStyle name="40% - Accent1 2 2 9 2" xfId="9980" xr:uid="{00000000-0005-0000-0000-00000B320000}"/>
    <cellStyle name="40% - Accent1 2 3" xfId="14761" xr:uid="{00000000-0005-0000-0000-00000C320000}"/>
    <cellStyle name="40% - Accent1 2 3 2" xfId="28263" xr:uid="{00000000-0005-0000-0000-00000D320000}"/>
    <cellStyle name="40% - Accent1 2 3 2 2" xfId="14767" xr:uid="{00000000-0005-0000-0000-00000E320000}"/>
    <cellStyle name="40% - Accent1 2 3 2 2 2" xfId="14768" xr:uid="{00000000-0005-0000-0000-00000F320000}"/>
    <cellStyle name="40% - Accent1 2 3 2 2 2 2" xfId="14769" xr:uid="{00000000-0005-0000-0000-000010320000}"/>
    <cellStyle name="40% - Accent1 2 3 2 2 2 2 2" xfId="14770" xr:uid="{00000000-0005-0000-0000-000011320000}"/>
    <cellStyle name="40% - Accent1 2 3 2 2 2 2 2 2" xfId="5387" xr:uid="{00000000-0005-0000-0000-000012320000}"/>
    <cellStyle name="40% - Accent1 2 3 2 2 2 2 2 2 2" xfId="25582" xr:uid="{00000000-0005-0000-0000-000013320000}"/>
    <cellStyle name="40% - Accent1 2 3 2 2 2 2 2 2 2 2" xfId="10716" xr:uid="{00000000-0005-0000-0000-000014320000}"/>
    <cellStyle name="40% - Accent1 2 3 2 2 2 2 2 2 3" xfId="33484" xr:uid="{00000000-0005-0000-0000-000015320000}"/>
    <cellStyle name="40% - Accent1 2 3 2 2 2 2 2 3" xfId="14771" xr:uid="{00000000-0005-0000-0000-000016320000}"/>
    <cellStyle name="40% - Accent1 2 3 2 2 2 2 2 3 2" xfId="6907" xr:uid="{00000000-0005-0000-0000-000017320000}"/>
    <cellStyle name="40% - Accent1 2 3 2 2 2 2 2 4" xfId="14772" xr:uid="{00000000-0005-0000-0000-000018320000}"/>
    <cellStyle name="40% - Accent1 2 3 2 2 2 2 3" xfId="14774" xr:uid="{00000000-0005-0000-0000-000019320000}"/>
    <cellStyle name="40% - Accent1 2 3 2 2 2 2 3 2" xfId="14775" xr:uid="{00000000-0005-0000-0000-00001A320000}"/>
    <cellStyle name="40% - Accent1 2 3 2 2 2 2 3 2 2" xfId="14776" xr:uid="{00000000-0005-0000-0000-00001B320000}"/>
    <cellStyle name="40% - Accent1 2 3 2 2 2 2 3 3" xfId="14780" xr:uid="{00000000-0005-0000-0000-00001C320000}"/>
    <cellStyle name="40% - Accent1 2 3 2 2 2 2 4" xfId="14781" xr:uid="{00000000-0005-0000-0000-00001D320000}"/>
    <cellStyle name="40% - Accent1 2 3 2 2 2 2 4 2" xfId="33130" xr:uid="{00000000-0005-0000-0000-00001E320000}"/>
    <cellStyle name="40% - Accent1 2 3 2 2 2 2 5" xfId="14785" xr:uid="{00000000-0005-0000-0000-00001F320000}"/>
    <cellStyle name="40% - Accent1 2 3 2 2 2 3" xfId="14788" xr:uid="{00000000-0005-0000-0000-000020320000}"/>
    <cellStyle name="40% - Accent1 2 3 2 2 2 3 2" xfId="14789" xr:uid="{00000000-0005-0000-0000-000021320000}"/>
    <cellStyle name="40% - Accent1 2 3 2 2 2 3 2 2" xfId="14790" xr:uid="{00000000-0005-0000-0000-000022320000}"/>
    <cellStyle name="40% - Accent1 2 3 2 2 2 3 2 2 2" xfId="26609" xr:uid="{00000000-0005-0000-0000-000023320000}"/>
    <cellStyle name="40% - Accent1 2 3 2 2 2 3 2 3" xfId="14791" xr:uid="{00000000-0005-0000-0000-000024320000}"/>
    <cellStyle name="40% - Accent1 2 3 2 2 2 3 3" xfId="14792" xr:uid="{00000000-0005-0000-0000-000025320000}"/>
    <cellStyle name="40% - Accent1 2 3 2 2 2 3 3 2" xfId="14793" xr:uid="{00000000-0005-0000-0000-000026320000}"/>
    <cellStyle name="40% - Accent1 2 3 2 2 2 3 4" xfId="32493" xr:uid="{00000000-0005-0000-0000-000027320000}"/>
    <cellStyle name="40% - Accent1 2 3 2 2 2 4" xfId="12212" xr:uid="{00000000-0005-0000-0000-000028320000}"/>
    <cellStyle name="40% - Accent1 2 3 2 2 2 4 2" xfId="18116" xr:uid="{00000000-0005-0000-0000-000029320000}"/>
    <cellStyle name="40% - Accent1 2 3 2 2 2 4 2 2" xfId="14794" xr:uid="{00000000-0005-0000-0000-00002A320000}"/>
    <cellStyle name="40% - Accent1 2 3 2 2 2 4 3" xfId="10164" xr:uid="{00000000-0005-0000-0000-00002B320000}"/>
    <cellStyle name="40% - Accent1 2 3 2 2 2 5" xfId="16253" xr:uid="{00000000-0005-0000-0000-00002C320000}"/>
    <cellStyle name="40% - Accent1 2 3 2 2 2 5 2" xfId="28155" xr:uid="{00000000-0005-0000-0000-00002D320000}"/>
    <cellStyle name="40% - Accent1 2 3 2 2 2 6" xfId="12183" xr:uid="{00000000-0005-0000-0000-00002E320000}"/>
    <cellStyle name="40% - Accent1 2 3 2 2 3" xfId="14797" xr:uid="{00000000-0005-0000-0000-00002F320000}"/>
    <cellStyle name="40% - Accent1 2 3 2 2 3 2" xfId="14800" xr:uid="{00000000-0005-0000-0000-000030320000}"/>
    <cellStyle name="40% - Accent1 2 3 2 2 3 2 2" xfId="14802" xr:uid="{00000000-0005-0000-0000-000031320000}"/>
    <cellStyle name="40% - Accent1 2 3 2 2 3 2 2 2" xfId="14803" xr:uid="{00000000-0005-0000-0000-000032320000}"/>
    <cellStyle name="40% - Accent1 2 3 2 2 3 2 2 2 2" xfId="14804" xr:uid="{00000000-0005-0000-0000-000033320000}"/>
    <cellStyle name="40% - Accent1 2 3 2 2 3 2 2 3" xfId="14807" xr:uid="{00000000-0005-0000-0000-000034320000}"/>
    <cellStyle name="40% - Accent1 2 3 2 2 3 2 3" xfId="14808" xr:uid="{00000000-0005-0000-0000-000035320000}"/>
    <cellStyle name="40% - Accent1 2 3 2 2 3 2 3 2" xfId="14809" xr:uid="{00000000-0005-0000-0000-000036320000}"/>
    <cellStyle name="40% - Accent1 2 3 2 2 3 2 4" xfId="14811" xr:uid="{00000000-0005-0000-0000-000037320000}"/>
    <cellStyle name="40% - Accent1 2 3 2 2 3 3" xfId="14814" xr:uid="{00000000-0005-0000-0000-000038320000}"/>
    <cellStyle name="40% - Accent1 2 3 2 2 3 3 2" xfId="14816" xr:uid="{00000000-0005-0000-0000-000039320000}"/>
    <cellStyle name="40% - Accent1 2 3 2 2 3 3 2 2" xfId="14817" xr:uid="{00000000-0005-0000-0000-00003A320000}"/>
    <cellStyle name="40% - Accent1 2 3 2 2 3 3 3" xfId="14818" xr:uid="{00000000-0005-0000-0000-00003B320000}"/>
    <cellStyle name="40% - Accent1 2 3 2 2 3 4" xfId="13782" xr:uid="{00000000-0005-0000-0000-00003C320000}"/>
    <cellStyle name="40% - Accent1 2 3 2 2 3 4 2" xfId="24642" xr:uid="{00000000-0005-0000-0000-00003D320000}"/>
    <cellStyle name="40% - Accent1 2 3 2 2 3 5" xfId="16261" xr:uid="{00000000-0005-0000-0000-00003E320000}"/>
    <cellStyle name="40% - Accent1 2 3 2 2 4" xfId="14820" xr:uid="{00000000-0005-0000-0000-00003F320000}"/>
    <cellStyle name="40% - Accent1 2 3 2 2 4 2" xfId="15006" xr:uid="{00000000-0005-0000-0000-000040320000}"/>
    <cellStyle name="40% - Accent1 2 3 2 2 4 2 2" xfId="14827" xr:uid="{00000000-0005-0000-0000-000041320000}"/>
    <cellStyle name="40% - Accent1 2 3 2 2 4 2 2 2" xfId="14830" xr:uid="{00000000-0005-0000-0000-000042320000}"/>
    <cellStyle name="40% - Accent1 2 3 2 2 4 2 3" xfId="10135" xr:uid="{00000000-0005-0000-0000-000043320000}"/>
    <cellStyle name="40% - Accent1 2 3 2 2 4 3" xfId="32186" xr:uid="{00000000-0005-0000-0000-000044320000}"/>
    <cellStyle name="40% - Accent1 2 3 2 2 4 3 2" xfId="14839" xr:uid="{00000000-0005-0000-0000-000045320000}"/>
    <cellStyle name="40% - Accent1 2 3 2 2 4 4" xfId="14573" xr:uid="{00000000-0005-0000-0000-000046320000}"/>
    <cellStyle name="40% - Accent1 2 3 2 2 5" xfId="14843" xr:uid="{00000000-0005-0000-0000-000047320000}"/>
    <cellStyle name="40% - Accent1 2 3 2 2 5 2" xfId="15017" xr:uid="{00000000-0005-0000-0000-000048320000}"/>
    <cellStyle name="40% - Accent1 2 3 2 2 5 2 2" xfId="14846" xr:uid="{00000000-0005-0000-0000-000049320000}"/>
    <cellStyle name="40% - Accent1 2 3 2 2 5 3" xfId="14847" xr:uid="{00000000-0005-0000-0000-00004A320000}"/>
    <cellStyle name="40% - Accent1 2 3 2 2 6" xfId="31277" xr:uid="{00000000-0005-0000-0000-00004B320000}"/>
    <cellStyle name="40% - Accent1 2 3 2 2 6 2" xfId="31583" xr:uid="{00000000-0005-0000-0000-00004C320000}"/>
    <cellStyle name="40% - Accent1 2 3 2 2 7" xfId="14858" xr:uid="{00000000-0005-0000-0000-00004D320000}"/>
    <cellStyle name="40% - Accent1 2 3 2 3" xfId="14859" xr:uid="{00000000-0005-0000-0000-00004E320000}"/>
    <cellStyle name="40% - Accent1 2 3 2 3 2" xfId="14861" xr:uid="{00000000-0005-0000-0000-00004F320000}"/>
    <cellStyle name="40% - Accent1 2 3 2 3 2 2" xfId="14862" xr:uid="{00000000-0005-0000-0000-000050320000}"/>
    <cellStyle name="40% - Accent1 2 3 2 3 2 2 2" xfId="14864" xr:uid="{00000000-0005-0000-0000-000051320000}"/>
    <cellStyle name="40% - Accent1 2 3 2 3 2 2 2 2" xfId="6544" xr:uid="{00000000-0005-0000-0000-000052320000}"/>
    <cellStyle name="40% - Accent1 2 3 2 3 2 2 2 2 2" xfId="10464" xr:uid="{00000000-0005-0000-0000-000053320000}"/>
    <cellStyle name="40% - Accent1 2 3 2 3 2 2 2 3" xfId="21751" xr:uid="{00000000-0005-0000-0000-000054320000}"/>
    <cellStyle name="40% - Accent1 2 3 2 3 2 2 3" xfId="14867" xr:uid="{00000000-0005-0000-0000-000055320000}"/>
    <cellStyle name="40% - Accent1 2 3 2 3 2 2 3 2" xfId="2815" xr:uid="{00000000-0005-0000-0000-000056320000}"/>
    <cellStyle name="40% - Accent1 2 3 2 3 2 2 4" xfId="14876" xr:uid="{00000000-0005-0000-0000-000057320000}"/>
    <cellStyle name="40% - Accent1 2 3 2 3 2 3" xfId="12597" xr:uid="{00000000-0005-0000-0000-000058320000}"/>
    <cellStyle name="40% - Accent1 2 3 2 3 2 3 2" xfId="29220" xr:uid="{00000000-0005-0000-0000-000059320000}"/>
    <cellStyle name="40% - Accent1 2 3 2 3 2 3 2 2" xfId="3293" xr:uid="{00000000-0005-0000-0000-00005A320000}"/>
    <cellStyle name="40% - Accent1 2 3 2 3 2 3 3" xfId="14879" xr:uid="{00000000-0005-0000-0000-00005B320000}"/>
    <cellStyle name="40% - Accent1 2 3 2 3 2 4" xfId="18486" xr:uid="{00000000-0005-0000-0000-00005C320000}"/>
    <cellStyle name="40% - Accent1 2 3 2 3 2 4 2" xfId="26971" xr:uid="{00000000-0005-0000-0000-00005D320000}"/>
    <cellStyle name="40% - Accent1 2 3 2 3 2 5" xfId="16288" xr:uid="{00000000-0005-0000-0000-00005E320000}"/>
    <cellStyle name="40% - Accent1 2 3 2 3 3" xfId="9580" xr:uid="{00000000-0005-0000-0000-00005F320000}"/>
    <cellStyle name="40% - Accent1 2 3 2 3 3 2" xfId="9954" xr:uid="{00000000-0005-0000-0000-000060320000}"/>
    <cellStyle name="40% - Accent1 2 3 2 3 3 2 2" xfId="8567" xr:uid="{00000000-0005-0000-0000-000061320000}"/>
    <cellStyle name="40% - Accent1 2 3 2 3 3 2 2 2" xfId="3975" xr:uid="{00000000-0005-0000-0000-000062320000}"/>
    <cellStyle name="40% - Accent1 2 3 2 3 3 2 3" xfId="11745" xr:uid="{00000000-0005-0000-0000-000063320000}"/>
    <cellStyle name="40% - Accent1 2 3 2 3 3 3" xfId="3742" xr:uid="{00000000-0005-0000-0000-000064320000}"/>
    <cellStyle name="40% - Accent1 2 3 2 3 3 3 2" xfId="19014" xr:uid="{00000000-0005-0000-0000-000065320000}"/>
    <cellStyle name="40% - Accent1 2 3 2 3 3 4" xfId="12189" xr:uid="{00000000-0005-0000-0000-000066320000}"/>
    <cellStyle name="40% - Accent1 2 3 2 3 4" xfId="14882" xr:uid="{00000000-0005-0000-0000-000067320000}"/>
    <cellStyle name="40% - Accent1 2 3 2 3 4 2" xfId="15025" xr:uid="{00000000-0005-0000-0000-000068320000}"/>
    <cellStyle name="40% - Accent1 2 3 2 3 4 2 2" xfId="9000" xr:uid="{00000000-0005-0000-0000-000069320000}"/>
    <cellStyle name="40% - Accent1 2 3 2 3 4 3" xfId="14886" xr:uid="{00000000-0005-0000-0000-00006A320000}"/>
    <cellStyle name="40% - Accent1 2 3 2 3 5" xfId="1530" xr:uid="{00000000-0005-0000-0000-00006B320000}"/>
    <cellStyle name="40% - Accent1 2 3 2 3 5 2" xfId="14894" xr:uid="{00000000-0005-0000-0000-00006C320000}"/>
    <cellStyle name="40% - Accent1 2 3 2 3 6" xfId="14897" xr:uid="{00000000-0005-0000-0000-00006D320000}"/>
    <cellStyle name="40% - Accent1 2 3 2 4" xfId="14898" xr:uid="{00000000-0005-0000-0000-00006E320000}"/>
    <cellStyle name="40% - Accent1 2 3 2 4 2" xfId="14899" xr:uid="{00000000-0005-0000-0000-00006F320000}"/>
    <cellStyle name="40% - Accent1 2 3 2 4 2 2" xfId="1754" xr:uid="{00000000-0005-0000-0000-000070320000}"/>
    <cellStyle name="40% - Accent1 2 3 2 4 2 2 2" xfId="17260" xr:uid="{00000000-0005-0000-0000-000071320000}"/>
    <cellStyle name="40% - Accent1 2 3 2 4 2 2 2 2" xfId="8968" xr:uid="{00000000-0005-0000-0000-000072320000}"/>
    <cellStyle name="40% - Accent1 2 3 2 4 2 2 3" xfId="14901" xr:uid="{00000000-0005-0000-0000-000073320000}"/>
    <cellStyle name="40% - Accent1 2 3 2 4 2 3" xfId="3998" xr:uid="{00000000-0005-0000-0000-000074320000}"/>
    <cellStyle name="40% - Accent1 2 3 2 4 2 3 2" xfId="17280" xr:uid="{00000000-0005-0000-0000-000075320000}"/>
    <cellStyle name="40% - Accent1 2 3 2 4 2 4" xfId="7029" xr:uid="{00000000-0005-0000-0000-000076320000}"/>
    <cellStyle name="40% - Accent1 2 3 2 4 3" xfId="14905" xr:uid="{00000000-0005-0000-0000-000077320000}"/>
    <cellStyle name="40% - Accent1 2 3 2 4 3 2" xfId="291" xr:uid="{00000000-0005-0000-0000-000078320000}"/>
    <cellStyle name="40% - Accent1 2 3 2 4 3 2 2" xfId="14838" xr:uid="{00000000-0005-0000-0000-000079320000}"/>
    <cellStyle name="40% - Accent1 2 3 2 4 3 3" xfId="1794" xr:uid="{00000000-0005-0000-0000-00007A320000}"/>
    <cellStyle name="40% - Accent1 2 3 2 4 4" xfId="27348" xr:uid="{00000000-0005-0000-0000-00007B320000}"/>
    <cellStyle name="40% - Accent1 2 3 2 4 4 2" xfId="1813" xr:uid="{00000000-0005-0000-0000-00007C320000}"/>
    <cellStyle name="40% - Accent1 2 3 2 4 5" xfId="14907" xr:uid="{00000000-0005-0000-0000-00007D320000}"/>
    <cellStyle name="40% - Accent1 2 3 2 5" xfId="14908" xr:uid="{00000000-0005-0000-0000-00007E320000}"/>
    <cellStyle name="40% - Accent1 2 3 2 5 2" xfId="20611" xr:uid="{00000000-0005-0000-0000-00007F320000}"/>
    <cellStyle name="40% - Accent1 2 3 2 5 2 2" xfId="23905" xr:uid="{00000000-0005-0000-0000-000080320000}"/>
    <cellStyle name="40% - Accent1 2 3 2 5 2 2 2" xfId="17744" xr:uid="{00000000-0005-0000-0000-000081320000}"/>
    <cellStyle name="40% - Accent1 2 3 2 5 2 3" xfId="7475" xr:uid="{00000000-0005-0000-0000-000082320000}"/>
    <cellStyle name="40% - Accent1 2 3 2 5 3" xfId="22073" xr:uid="{00000000-0005-0000-0000-000083320000}"/>
    <cellStyle name="40% - Accent1 2 3 2 5 3 2" xfId="4899" xr:uid="{00000000-0005-0000-0000-000084320000}"/>
    <cellStyle name="40% - Accent1 2 3 2 5 4" xfId="14909" xr:uid="{00000000-0005-0000-0000-000085320000}"/>
    <cellStyle name="40% - Accent1 2 3 2 6" xfId="11688" xr:uid="{00000000-0005-0000-0000-000086320000}"/>
    <cellStyle name="40% - Accent1 2 3 2 6 2" xfId="14857" xr:uid="{00000000-0005-0000-0000-000087320000}"/>
    <cellStyle name="40% - Accent1 2 3 2 6 2 2" xfId="23927" xr:uid="{00000000-0005-0000-0000-000088320000}"/>
    <cellStyle name="40% - Accent1 2 3 2 6 3" xfId="4178" xr:uid="{00000000-0005-0000-0000-000089320000}"/>
    <cellStyle name="40% - Accent1 2 3 2 7" xfId="15125" xr:uid="{00000000-0005-0000-0000-00008A320000}"/>
    <cellStyle name="40% - Accent1 2 3 2 7 2" xfId="10265" xr:uid="{00000000-0005-0000-0000-00008B320000}"/>
    <cellStyle name="40% - Accent1 2 3 2 8" xfId="10269" xr:uid="{00000000-0005-0000-0000-00008C320000}"/>
    <cellStyle name="40% - Accent1 2 3 3" xfId="6935" xr:uid="{00000000-0005-0000-0000-00008D320000}"/>
    <cellStyle name="40% - Accent1 2 3 3 2" xfId="14910" xr:uid="{00000000-0005-0000-0000-00008E320000}"/>
    <cellStyle name="40% - Accent1 2 3 3 2 2" xfId="14911" xr:uid="{00000000-0005-0000-0000-00008F320000}"/>
    <cellStyle name="40% - Accent1 2 3 3 2 2 2" xfId="14912" xr:uid="{00000000-0005-0000-0000-000090320000}"/>
    <cellStyle name="40% - Accent1 2 3 3 2 2 2 2" xfId="23459" xr:uid="{00000000-0005-0000-0000-000091320000}"/>
    <cellStyle name="40% - Accent1 2 3 3 2 2 2 2 2" xfId="3872" xr:uid="{00000000-0005-0000-0000-000092320000}"/>
    <cellStyle name="40% - Accent1 2 3 3 2 2 2 2 2 2" xfId="9343" xr:uid="{00000000-0005-0000-0000-000093320000}"/>
    <cellStyle name="40% - Accent1 2 3 3 2 2 2 2 3" xfId="12637" xr:uid="{00000000-0005-0000-0000-000094320000}"/>
    <cellStyle name="40% - Accent1 2 3 3 2 2 2 3" xfId="14913" xr:uid="{00000000-0005-0000-0000-000095320000}"/>
    <cellStyle name="40% - Accent1 2 3 3 2 2 2 3 2" xfId="14916" xr:uid="{00000000-0005-0000-0000-000096320000}"/>
    <cellStyle name="40% - Accent1 2 3 3 2 2 2 4" xfId="14919" xr:uid="{00000000-0005-0000-0000-000097320000}"/>
    <cellStyle name="40% - Accent1 2 3 3 2 2 3" xfId="14921" xr:uid="{00000000-0005-0000-0000-000098320000}"/>
    <cellStyle name="40% - Accent1 2 3 3 2 2 3 2" xfId="17348" xr:uid="{00000000-0005-0000-0000-000099320000}"/>
    <cellStyle name="40% - Accent1 2 3 3 2 2 3 2 2" xfId="14924" xr:uid="{00000000-0005-0000-0000-00009A320000}"/>
    <cellStyle name="40% - Accent1 2 3 3 2 2 3 3" xfId="14926" xr:uid="{00000000-0005-0000-0000-00009B320000}"/>
    <cellStyle name="40% - Accent1 2 3 3 2 2 4" xfId="9613" xr:uid="{00000000-0005-0000-0000-00009C320000}"/>
    <cellStyle name="40% - Accent1 2 3 3 2 2 4 2" xfId="20129" xr:uid="{00000000-0005-0000-0000-00009D320000}"/>
    <cellStyle name="40% - Accent1 2 3 3 2 2 5" xfId="10865" xr:uid="{00000000-0005-0000-0000-00009E320000}"/>
    <cellStyle name="40% - Accent1 2 3 3 2 3" xfId="14929" xr:uid="{00000000-0005-0000-0000-00009F320000}"/>
    <cellStyle name="40% - Accent1 2 3 3 2 3 2" xfId="14933" xr:uid="{00000000-0005-0000-0000-0000A0320000}"/>
    <cellStyle name="40% - Accent1 2 3 3 2 3 2 2" xfId="14937" xr:uid="{00000000-0005-0000-0000-0000A1320000}"/>
    <cellStyle name="40% - Accent1 2 3 3 2 3 2 2 2" xfId="14939" xr:uid="{00000000-0005-0000-0000-0000A2320000}"/>
    <cellStyle name="40% - Accent1 2 3 3 2 3 2 3" xfId="14941" xr:uid="{00000000-0005-0000-0000-0000A3320000}"/>
    <cellStyle name="40% - Accent1 2 3 3 2 3 3" xfId="14942" xr:uid="{00000000-0005-0000-0000-0000A4320000}"/>
    <cellStyle name="40% - Accent1 2 3 3 2 3 3 2" xfId="14945" xr:uid="{00000000-0005-0000-0000-0000A5320000}"/>
    <cellStyle name="40% - Accent1 2 3 3 2 3 4" xfId="3547" xr:uid="{00000000-0005-0000-0000-0000A6320000}"/>
    <cellStyle name="40% - Accent1 2 3 3 2 4" xfId="14946" xr:uid="{00000000-0005-0000-0000-0000A7320000}"/>
    <cellStyle name="40% - Accent1 2 3 3 2 4 2" xfId="22887" xr:uid="{00000000-0005-0000-0000-0000A8320000}"/>
    <cellStyle name="40% - Accent1 2 3 3 2 4 2 2" xfId="14958" xr:uid="{00000000-0005-0000-0000-0000A9320000}"/>
    <cellStyle name="40% - Accent1 2 3 3 2 4 3" xfId="22899" xr:uid="{00000000-0005-0000-0000-0000AA320000}"/>
    <cellStyle name="40% - Accent1 2 3 3 2 5" xfId="15428" xr:uid="{00000000-0005-0000-0000-0000AB320000}"/>
    <cellStyle name="40% - Accent1 2 3 3 2 5 2" xfId="21679" xr:uid="{00000000-0005-0000-0000-0000AC320000}"/>
    <cellStyle name="40% - Accent1 2 3 3 2 6" xfId="14961" xr:uid="{00000000-0005-0000-0000-0000AD320000}"/>
    <cellStyle name="40% - Accent1 2 3 3 3" xfId="14962" xr:uid="{00000000-0005-0000-0000-0000AE320000}"/>
    <cellStyle name="40% - Accent1 2 3 3 3 2" xfId="261" xr:uid="{00000000-0005-0000-0000-0000AF320000}"/>
    <cellStyle name="40% - Accent1 2 3 3 3 2 2" xfId="7942" xr:uid="{00000000-0005-0000-0000-0000B0320000}"/>
    <cellStyle name="40% - Accent1 2 3 3 3 2 2 2" xfId="15306" xr:uid="{00000000-0005-0000-0000-0000B1320000}"/>
    <cellStyle name="40% - Accent1 2 3 3 3 2 2 2 2" xfId="14963" xr:uid="{00000000-0005-0000-0000-0000B2320000}"/>
    <cellStyle name="40% - Accent1 2 3 3 3 2 2 3" xfId="14974" xr:uid="{00000000-0005-0000-0000-0000B3320000}"/>
    <cellStyle name="40% - Accent1 2 3 3 3 2 3" xfId="3275" xr:uid="{00000000-0005-0000-0000-0000B4320000}"/>
    <cellStyle name="40% - Accent1 2 3 3 3 2 3 2" xfId="15334" xr:uid="{00000000-0005-0000-0000-0000B5320000}"/>
    <cellStyle name="40% - Accent1 2 3 3 3 2 4" xfId="1493" xr:uid="{00000000-0005-0000-0000-0000B6320000}"/>
    <cellStyle name="40% - Accent1 2 3 3 3 3" xfId="10633" xr:uid="{00000000-0005-0000-0000-0000B7320000}"/>
    <cellStyle name="40% - Accent1 2 3 3 3 3 2" xfId="14975" xr:uid="{00000000-0005-0000-0000-0000B8320000}"/>
    <cellStyle name="40% - Accent1 2 3 3 3 3 2 2" xfId="15959" xr:uid="{00000000-0005-0000-0000-0000B9320000}"/>
    <cellStyle name="40% - Accent1 2 3 3 3 3 3" xfId="14979" xr:uid="{00000000-0005-0000-0000-0000BA320000}"/>
    <cellStyle name="40% - Accent1 2 3 3 3 4" xfId="14980" xr:uid="{00000000-0005-0000-0000-0000BB320000}"/>
    <cellStyle name="40% - Accent1 2 3 3 3 4 2" xfId="23049" xr:uid="{00000000-0005-0000-0000-0000BC320000}"/>
    <cellStyle name="40% - Accent1 2 3 3 3 5" xfId="14987" xr:uid="{00000000-0005-0000-0000-0000BD320000}"/>
    <cellStyle name="40% - Accent1 2 3 3 4" xfId="8814" xr:uid="{00000000-0005-0000-0000-0000BE320000}"/>
    <cellStyle name="40% - Accent1 2 3 3 4 2" xfId="10639" xr:uid="{00000000-0005-0000-0000-0000BF320000}"/>
    <cellStyle name="40% - Accent1 2 3 3 4 2 2" xfId="2032" xr:uid="{00000000-0005-0000-0000-0000C0320000}"/>
    <cellStyle name="40% - Accent1 2 3 3 4 2 2 2" xfId="27208" xr:uid="{00000000-0005-0000-0000-0000C1320000}"/>
    <cellStyle name="40% - Accent1 2 3 3 4 2 3" xfId="6001" xr:uid="{00000000-0005-0000-0000-0000C2320000}"/>
    <cellStyle name="40% - Accent1 2 3 3 4 3" xfId="1696" xr:uid="{00000000-0005-0000-0000-0000C3320000}"/>
    <cellStyle name="40% - Accent1 2 3 3 4 3 2" xfId="30455" xr:uid="{00000000-0005-0000-0000-0000C4320000}"/>
    <cellStyle name="40% - Accent1 2 3 3 4 4" xfId="17357" xr:uid="{00000000-0005-0000-0000-0000C5320000}"/>
    <cellStyle name="40% - Accent1 2 3 3 5" xfId="22692" xr:uid="{00000000-0005-0000-0000-0000C6320000}"/>
    <cellStyle name="40% - Accent1 2 3 3 5 2" xfId="20660" xr:uid="{00000000-0005-0000-0000-0000C7320000}"/>
    <cellStyle name="40% - Accent1 2 3 3 5 2 2" xfId="5059" xr:uid="{00000000-0005-0000-0000-0000C8320000}"/>
    <cellStyle name="40% - Accent1 2 3 3 5 3" xfId="14989" xr:uid="{00000000-0005-0000-0000-0000C9320000}"/>
    <cellStyle name="40% - Accent1 2 3 3 6" xfId="14243" xr:uid="{00000000-0005-0000-0000-0000CA320000}"/>
    <cellStyle name="40% - Accent1 2 3 3 6 2" xfId="12381" xr:uid="{00000000-0005-0000-0000-0000CB320000}"/>
    <cellStyle name="40% - Accent1 2 3 3 7" xfId="11223" xr:uid="{00000000-0005-0000-0000-0000CC320000}"/>
    <cellStyle name="40% - Accent1 2 3 4" xfId="14990" xr:uid="{00000000-0005-0000-0000-0000CD320000}"/>
    <cellStyle name="40% - Accent1 2 3 4 2" xfId="14992" xr:uid="{00000000-0005-0000-0000-0000CE320000}"/>
    <cellStyle name="40% - Accent1 2 3 4 2 2" xfId="2884" xr:uid="{00000000-0005-0000-0000-0000CF320000}"/>
    <cellStyle name="40% - Accent1 2 3 4 2 2 2" xfId="17338" xr:uid="{00000000-0005-0000-0000-0000D0320000}"/>
    <cellStyle name="40% - Accent1 2 3 4 2 2 2 2" xfId="14994" xr:uid="{00000000-0005-0000-0000-0000D1320000}"/>
    <cellStyle name="40% - Accent1 2 3 4 2 2 2 2 2" xfId="14998" xr:uid="{00000000-0005-0000-0000-0000D2320000}"/>
    <cellStyle name="40% - Accent1 2 3 4 2 2 2 3" xfId="15002" xr:uid="{00000000-0005-0000-0000-0000D3320000}"/>
    <cellStyle name="40% - Accent1 2 3 4 2 2 3" xfId="15005" xr:uid="{00000000-0005-0000-0000-0000D4320000}"/>
    <cellStyle name="40% - Accent1 2 3 4 2 2 3 2" xfId="15010" xr:uid="{00000000-0005-0000-0000-0000D5320000}"/>
    <cellStyle name="40% - Accent1 2 3 4 2 2 4" xfId="14835" xr:uid="{00000000-0005-0000-0000-0000D6320000}"/>
    <cellStyle name="40% - Accent1 2 3 4 2 3" xfId="5194" xr:uid="{00000000-0005-0000-0000-0000D7320000}"/>
    <cellStyle name="40% - Accent1 2 3 4 2 3 2" xfId="17381" xr:uid="{00000000-0005-0000-0000-0000D8320000}"/>
    <cellStyle name="40% - Accent1 2 3 4 2 3 2 2" xfId="15014" xr:uid="{00000000-0005-0000-0000-0000D9320000}"/>
    <cellStyle name="40% - Accent1 2 3 4 2 3 3" xfId="15016" xr:uid="{00000000-0005-0000-0000-0000DA320000}"/>
    <cellStyle name="40% - Accent1 2 3 4 2 4" xfId="872" xr:uid="{00000000-0005-0000-0000-0000DB320000}"/>
    <cellStyle name="40% - Accent1 2 3 4 2 4 2" xfId="22315" xr:uid="{00000000-0005-0000-0000-0000DC320000}"/>
    <cellStyle name="40% - Accent1 2 3 4 2 5" xfId="15020" xr:uid="{00000000-0005-0000-0000-0000DD320000}"/>
    <cellStyle name="40% - Accent1 2 3 4 3" xfId="12362" xr:uid="{00000000-0005-0000-0000-0000DE320000}"/>
    <cellStyle name="40% - Accent1 2 3 4 3 2" xfId="27975" xr:uid="{00000000-0005-0000-0000-0000DF320000}"/>
    <cellStyle name="40% - Accent1 2 3 4 3 2 2" xfId="15023" xr:uid="{00000000-0005-0000-0000-0000E0320000}"/>
    <cellStyle name="40% - Accent1 2 3 4 3 2 2 2" xfId="19383" xr:uid="{00000000-0005-0000-0000-0000E1320000}"/>
    <cellStyle name="40% - Accent1 2 3 4 3 2 3" xfId="15029" xr:uid="{00000000-0005-0000-0000-0000E2320000}"/>
    <cellStyle name="40% - Accent1 2 3 4 3 3" xfId="644" xr:uid="{00000000-0005-0000-0000-0000E3320000}"/>
    <cellStyle name="40% - Accent1 2 3 4 3 3 2" xfId="17435" xr:uid="{00000000-0005-0000-0000-0000E4320000}"/>
    <cellStyle name="40% - Accent1 2 3 4 3 4" xfId="15034" xr:uid="{00000000-0005-0000-0000-0000E5320000}"/>
    <cellStyle name="40% - Accent1 2 3 4 4" xfId="33745" xr:uid="{00000000-0005-0000-0000-0000E6320000}"/>
    <cellStyle name="40% - Accent1 2 3 4 4 2" xfId="7506" xr:uid="{00000000-0005-0000-0000-0000E7320000}"/>
    <cellStyle name="40% - Accent1 2 3 4 4 2 2" xfId="2069" xr:uid="{00000000-0005-0000-0000-0000E8320000}"/>
    <cellStyle name="40% - Accent1 2 3 4 4 3" xfId="7508" xr:uid="{00000000-0005-0000-0000-0000E9320000}"/>
    <cellStyle name="40% - Accent1 2 3 4 5" xfId="29151" xr:uid="{00000000-0005-0000-0000-0000EA320000}"/>
    <cellStyle name="40% - Accent1 2 3 4 5 2" xfId="7513" xr:uid="{00000000-0005-0000-0000-0000EB320000}"/>
    <cellStyle name="40% - Accent1 2 3 4 6" xfId="10272" xr:uid="{00000000-0005-0000-0000-0000EC320000}"/>
    <cellStyle name="40% - Accent1 2 3 5" xfId="13015" xr:uid="{00000000-0005-0000-0000-0000ED320000}"/>
    <cellStyle name="40% - Accent1 2 3 5 2" xfId="20410" xr:uid="{00000000-0005-0000-0000-0000EE320000}"/>
    <cellStyle name="40% - Accent1 2 3 5 2 2" xfId="11099" xr:uid="{00000000-0005-0000-0000-0000EF320000}"/>
    <cellStyle name="40% - Accent1 2 3 5 2 2 2" xfId="17820" xr:uid="{00000000-0005-0000-0000-0000F0320000}"/>
    <cellStyle name="40% - Accent1 2 3 5 2 2 2 2" xfId="11787" xr:uid="{00000000-0005-0000-0000-0000F1320000}"/>
    <cellStyle name="40% - Accent1 2 3 5 2 2 3" xfId="14953" xr:uid="{00000000-0005-0000-0000-0000F2320000}"/>
    <cellStyle name="40% - Accent1 2 3 5 2 3" xfId="12860" xr:uid="{00000000-0005-0000-0000-0000F3320000}"/>
    <cellStyle name="40% - Accent1 2 3 5 2 3 2" xfId="17835" xr:uid="{00000000-0005-0000-0000-0000F4320000}"/>
    <cellStyle name="40% - Accent1 2 3 5 2 4" xfId="15037" xr:uid="{00000000-0005-0000-0000-0000F5320000}"/>
    <cellStyle name="40% - Accent1 2 3 5 3" xfId="12375" xr:uid="{00000000-0005-0000-0000-0000F6320000}"/>
    <cellStyle name="40% - Accent1 2 3 5 3 2" xfId="7994" xr:uid="{00000000-0005-0000-0000-0000F7320000}"/>
    <cellStyle name="40% - Accent1 2 3 5 3 2 2" xfId="17860" xr:uid="{00000000-0005-0000-0000-0000F8320000}"/>
    <cellStyle name="40% - Accent1 2 3 5 3 3" xfId="15039" xr:uid="{00000000-0005-0000-0000-0000F9320000}"/>
    <cellStyle name="40% - Accent1 2 3 5 4" xfId="21673" xr:uid="{00000000-0005-0000-0000-0000FA320000}"/>
    <cellStyle name="40% - Accent1 2 3 5 4 2" xfId="9191" xr:uid="{00000000-0005-0000-0000-0000FB320000}"/>
    <cellStyle name="40% - Accent1 2 3 5 5" xfId="29190" xr:uid="{00000000-0005-0000-0000-0000FC320000}"/>
    <cellStyle name="40% - Accent1 2 3 6" xfId="13019" xr:uid="{00000000-0005-0000-0000-0000FD320000}"/>
    <cellStyle name="40% - Accent1 2 3 6 2" xfId="26268" xr:uid="{00000000-0005-0000-0000-0000FE320000}"/>
    <cellStyle name="40% - Accent1 2 3 6 2 2" xfId="10305" xr:uid="{00000000-0005-0000-0000-0000FF320000}"/>
    <cellStyle name="40% - Accent1 2 3 6 2 2 2" xfId="18205" xr:uid="{00000000-0005-0000-0000-000000330000}"/>
    <cellStyle name="40% - Accent1 2 3 6 2 3" xfId="15043" xr:uid="{00000000-0005-0000-0000-000001330000}"/>
    <cellStyle name="40% - Accent1 2 3 6 3" xfId="30530" xr:uid="{00000000-0005-0000-0000-000002330000}"/>
    <cellStyle name="40% - Accent1 2 3 6 3 2" xfId="15045" xr:uid="{00000000-0005-0000-0000-000003330000}"/>
    <cellStyle name="40% - Accent1 2 3 6 4" xfId="24026" xr:uid="{00000000-0005-0000-0000-000004330000}"/>
    <cellStyle name="40% - Accent1 2 3 7" xfId="13335" xr:uid="{00000000-0005-0000-0000-000005330000}"/>
    <cellStyle name="40% - Accent1 2 3 7 2" xfId="4426" xr:uid="{00000000-0005-0000-0000-000006330000}"/>
    <cellStyle name="40% - Accent1 2 3 7 2 2" xfId="13345" xr:uid="{00000000-0005-0000-0000-000007330000}"/>
    <cellStyle name="40% - Accent1 2 3 7 3" xfId="2161" xr:uid="{00000000-0005-0000-0000-000008330000}"/>
    <cellStyle name="40% - Accent1 2 3 8" xfId="11503" xr:uid="{00000000-0005-0000-0000-000009330000}"/>
    <cellStyle name="40% - Accent1 2 3 8 2" xfId="9983" xr:uid="{00000000-0005-0000-0000-00000A330000}"/>
    <cellStyle name="40% - Accent1 2 3 9" xfId="17678" xr:uid="{00000000-0005-0000-0000-00000B330000}"/>
    <cellStyle name="40% - Accent1 2 4" xfId="13561" xr:uid="{00000000-0005-0000-0000-00000C330000}"/>
    <cellStyle name="40% - Accent1 2 4 2" xfId="28275" xr:uid="{00000000-0005-0000-0000-00000D330000}"/>
    <cellStyle name="40% - Accent1 2 4 2 2" xfId="15047" xr:uid="{00000000-0005-0000-0000-00000E330000}"/>
    <cellStyle name="40% - Accent1 2 4 2 2 2" xfId="13265" xr:uid="{00000000-0005-0000-0000-00000F330000}"/>
    <cellStyle name="40% - Accent1 2 4 2 2 2 2" xfId="8873" xr:uid="{00000000-0005-0000-0000-000010330000}"/>
    <cellStyle name="40% - Accent1 2 4 2 2 2 2 2" xfId="15048" xr:uid="{00000000-0005-0000-0000-000011330000}"/>
    <cellStyle name="40% - Accent1 2 4 2 2 2 2 2 2" xfId="31733" xr:uid="{00000000-0005-0000-0000-000012330000}"/>
    <cellStyle name="40% - Accent1 2 4 2 2 2 2 2 2 2" xfId="15858" xr:uid="{00000000-0005-0000-0000-000013330000}"/>
    <cellStyle name="40% - Accent1 2 4 2 2 2 2 2 3" xfId="30474" xr:uid="{00000000-0005-0000-0000-000014330000}"/>
    <cellStyle name="40% - Accent1 2 4 2 2 2 2 3" xfId="15049" xr:uid="{00000000-0005-0000-0000-000015330000}"/>
    <cellStyle name="40% - Accent1 2 4 2 2 2 2 3 2" xfId="30480" xr:uid="{00000000-0005-0000-0000-000016330000}"/>
    <cellStyle name="40% - Accent1 2 4 2 2 2 2 4" xfId="32196" xr:uid="{00000000-0005-0000-0000-000017330000}"/>
    <cellStyle name="40% - Accent1 2 4 2 2 2 3" xfId="15050" xr:uid="{00000000-0005-0000-0000-000018330000}"/>
    <cellStyle name="40% - Accent1 2 4 2 2 2 3 2" xfId="5995" xr:uid="{00000000-0005-0000-0000-000019330000}"/>
    <cellStyle name="40% - Accent1 2 4 2 2 2 3 2 2" xfId="5443" xr:uid="{00000000-0005-0000-0000-00001A330000}"/>
    <cellStyle name="40% - Accent1 2 4 2 2 2 3 3" xfId="31666" xr:uid="{00000000-0005-0000-0000-00001B330000}"/>
    <cellStyle name="40% - Accent1 2 4 2 2 2 4" xfId="14256" xr:uid="{00000000-0005-0000-0000-00001C330000}"/>
    <cellStyle name="40% - Accent1 2 4 2 2 2 4 2" xfId="19879" xr:uid="{00000000-0005-0000-0000-00001D330000}"/>
    <cellStyle name="40% - Accent1 2 4 2 2 2 5" xfId="18186" xr:uid="{00000000-0005-0000-0000-00001E330000}"/>
    <cellStyle name="40% - Accent1 2 4 2 2 3" xfId="15235" xr:uid="{00000000-0005-0000-0000-00001F330000}"/>
    <cellStyle name="40% - Accent1 2 4 2 2 3 2" xfId="15055" xr:uid="{00000000-0005-0000-0000-000020330000}"/>
    <cellStyle name="40% - Accent1 2 4 2 2 3 2 2" xfId="15058" xr:uid="{00000000-0005-0000-0000-000021330000}"/>
    <cellStyle name="40% - Accent1 2 4 2 2 3 2 2 2" xfId="15059" xr:uid="{00000000-0005-0000-0000-000022330000}"/>
    <cellStyle name="40% - Accent1 2 4 2 2 3 2 3" xfId="2977" xr:uid="{00000000-0005-0000-0000-000023330000}"/>
    <cellStyle name="40% - Accent1 2 4 2 2 3 3" xfId="15061" xr:uid="{00000000-0005-0000-0000-000024330000}"/>
    <cellStyle name="40% - Accent1 2 4 2 2 3 3 2" xfId="17095" xr:uid="{00000000-0005-0000-0000-000025330000}"/>
    <cellStyle name="40% - Accent1 2 4 2 2 3 4" xfId="13810" xr:uid="{00000000-0005-0000-0000-000026330000}"/>
    <cellStyle name="40% - Accent1 2 4 2 2 4" xfId="15068" xr:uid="{00000000-0005-0000-0000-000027330000}"/>
    <cellStyle name="40% - Accent1 2 4 2 2 4 2" xfId="15187" xr:uid="{00000000-0005-0000-0000-000028330000}"/>
    <cellStyle name="40% - Accent1 2 4 2 2 4 2 2" xfId="32292" xr:uid="{00000000-0005-0000-0000-000029330000}"/>
    <cellStyle name="40% - Accent1 2 4 2 2 4 3" xfId="32092" xr:uid="{00000000-0005-0000-0000-00002A330000}"/>
    <cellStyle name="40% - Accent1 2 4 2 2 5" xfId="15075" xr:uid="{00000000-0005-0000-0000-00002B330000}"/>
    <cellStyle name="40% - Accent1 2 4 2 2 5 2" xfId="15078" xr:uid="{00000000-0005-0000-0000-00002C330000}"/>
    <cellStyle name="40% - Accent1 2 4 2 2 6" xfId="13463" xr:uid="{00000000-0005-0000-0000-00002D330000}"/>
    <cellStyle name="40% - Accent1 2 4 2 3" xfId="15083" xr:uid="{00000000-0005-0000-0000-00002E330000}"/>
    <cellStyle name="40% - Accent1 2 4 2 3 2" xfId="30851" xr:uid="{00000000-0005-0000-0000-00002F330000}"/>
    <cellStyle name="40% - Accent1 2 4 2 3 2 2" xfId="15084" xr:uid="{00000000-0005-0000-0000-000030330000}"/>
    <cellStyle name="40% - Accent1 2 4 2 3 2 2 2" xfId="15087" xr:uid="{00000000-0005-0000-0000-000031330000}"/>
    <cellStyle name="40% - Accent1 2 4 2 3 2 2 2 2" xfId="15088" xr:uid="{00000000-0005-0000-0000-000032330000}"/>
    <cellStyle name="40% - Accent1 2 4 2 3 2 2 3" xfId="15092" xr:uid="{00000000-0005-0000-0000-000033330000}"/>
    <cellStyle name="40% - Accent1 2 4 2 3 2 3" xfId="3874" xr:uid="{00000000-0005-0000-0000-000034330000}"/>
    <cellStyle name="40% - Accent1 2 4 2 3 2 3 2" xfId="6164" xr:uid="{00000000-0005-0000-0000-000035330000}"/>
    <cellStyle name="40% - Accent1 2 4 2 3 2 4" xfId="13818" xr:uid="{00000000-0005-0000-0000-000036330000}"/>
    <cellStyle name="40% - Accent1 2 4 2 3 3" xfId="26307" xr:uid="{00000000-0005-0000-0000-000037330000}"/>
    <cellStyle name="40% - Accent1 2 4 2 3 3 2" xfId="15094" xr:uid="{00000000-0005-0000-0000-000038330000}"/>
    <cellStyle name="40% - Accent1 2 4 2 3 3 2 2" xfId="26396" xr:uid="{00000000-0005-0000-0000-000039330000}"/>
    <cellStyle name="40% - Accent1 2 4 2 3 3 3" xfId="15098" xr:uid="{00000000-0005-0000-0000-00003A330000}"/>
    <cellStyle name="40% - Accent1 2 4 2 3 4" xfId="15101" xr:uid="{00000000-0005-0000-0000-00003B330000}"/>
    <cellStyle name="40% - Accent1 2 4 2 3 4 2" xfId="15104" xr:uid="{00000000-0005-0000-0000-00003C330000}"/>
    <cellStyle name="40% - Accent1 2 4 2 3 5" xfId="902" xr:uid="{00000000-0005-0000-0000-00003D330000}"/>
    <cellStyle name="40% - Accent1 2 4 2 4" xfId="17050" xr:uid="{00000000-0005-0000-0000-00003E330000}"/>
    <cellStyle name="40% - Accent1 2 4 2 4 2" xfId="30859" xr:uid="{00000000-0005-0000-0000-00003F330000}"/>
    <cellStyle name="40% - Accent1 2 4 2 4 2 2" xfId="141" xr:uid="{00000000-0005-0000-0000-000040330000}"/>
    <cellStyle name="40% - Accent1 2 4 2 4 2 2 2" xfId="15107" xr:uid="{00000000-0005-0000-0000-000041330000}"/>
    <cellStyle name="40% - Accent1 2 4 2 4 2 3" xfId="6058" xr:uid="{00000000-0005-0000-0000-000042330000}"/>
    <cellStyle name="40% - Accent1 2 4 2 4 3" xfId="15109" xr:uid="{00000000-0005-0000-0000-000043330000}"/>
    <cellStyle name="40% - Accent1 2 4 2 4 3 2" xfId="2439" xr:uid="{00000000-0005-0000-0000-000044330000}"/>
    <cellStyle name="40% - Accent1 2 4 2 4 4" xfId="15112" xr:uid="{00000000-0005-0000-0000-000045330000}"/>
    <cellStyle name="40% - Accent1 2 4 2 5" xfId="15114" xr:uid="{00000000-0005-0000-0000-000046330000}"/>
    <cellStyle name="40% - Accent1 2 4 2 5 2" xfId="15117" xr:uid="{00000000-0005-0000-0000-000047330000}"/>
    <cellStyle name="40% - Accent1 2 4 2 5 2 2" xfId="4904" xr:uid="{00000000-0005-0000-0000-000048330000}"/>
    <cellStyle name="40% - Accent1 2 4 2 5 3" xfId="15127" xr:uid="{00000000-0005-0000-0000-000049330000}"/>
    <cellStyle name="40% - Accent1 2 4 2 6" xfId="5809" xr:uid="{00000000-0005-0000-0000-00004A330000}"/>
    <cellStyle name="40% - Accent1 2 4 2 6 2" xfId="10354" xr:uid="{00000000-0005-0000-0000-00004B330000}"/>
    <cellStyle name="40% - Accent1 2 4 2 7" xfId="11234" xr:uid="{00000000-0005-0000-0000-00004C330000}"/>
    <cellStyle name="40% - Accent1 2 4 3" xfId="15129" xr:uid="{00000000-0005-0000-0000-00004D330000}"/>
    <cellStyle name="40% - Accent1 2 4 3 2" xfId="15131" xr:uid="{00000000-0005-0000-0000-00004E330000}"/>
    <cellStyle name="40% - Accent1 2 4 3 2 2" xfId="15132" xr:uid="{00000000-0005-0000-0000-00004F330000}"/>
    <cellStyle name="40% - Accent1 2 4 3 2 2 2" xfId="32756" xr:uid="{00000000-0005-0000-0000-000050330000}"/>
    <cellStyle name="40% - Accent1 2 4 3 2 2 2 2" xfId="6726" xr:uid="{00000000-0005-0000-0000-000051330000}"/>
    <cellStyle name="40% - Accent1 2 4 3 2 2 2 2 2" xfId="33488" xr:uid="{00000000-0005-0000-0000-000052330000}"/>
    <cellStyle name="40% - Accent1 2 4 3 2 2 2 3" xfId="8252" xr:uid="{00000000-0005-0000-0000-000053330000}"/>
    <cellStyle name="40% - Accent1 2 4 3 2 2 3" xfId="15137" xr:uid="{00000000-0005-0000-0000-000054330000}"/>
    <cellStyle name="40% - Accent1 2 4 3 2 2 3 2" xfId="21584" xr:uid="{00000000-0005-0000-0000-000055330000}"/>
    <cellStyle name="40% - Accent1 2 4 3 2 2 4" xfId="4376" xr:uid="{00000000-0005-0000-0000-000056330000}"/>
    <cellStyle name="40% - Accent1 2 4 3 2 3" xfId="26342" xr:uid="{00000000-0005-0000-0000-000057330000}"/>
    <cellStyle name="40% - Accent1 2 4 3 2 3 2" xfId="15146" xr:uid="{00000000-0005-0000-0000-000058330000}"/>
    <cellStyle name="40% - Accent1 2 4 3 2 3 2 2" xfId="28623" xr:uid="{00000000-0005-0000-0000-000059330000}"/>
    <cellStyle name="40% - Accent1 2 4 3 2 3 3" xfId="15149" xr:uid="{00000000-0005-0000-0000-00005A330000}"/>
    <cellStyle name="40% - Accent1 2 4 3 2 4" xfId="15153" xr:uid="{00000000-0005-0000-0000-00005B330000}"/>
    <cellStyle name="40% - Accent1 2 4 3 2 4 2" xfId="22402" xr:uid="{00000000-0005-0000-0000-00005C330000}"/>
    <cellStyle name="40% - Accent1 2 4 3 2 5" xfId="15159" xr:uid="{00000000-0005-0000-0000-00005D330000}"/>
    <cellStyle name="40% - Accent1 2 4 3 3" xfId="15160" xr:uid="{00000000-0005-0000-0000-00005E330000}"/>
    <cellStyle name="40% - Accent1 2 4 3 3 2" xfId="33316" xr:uid="{00000000-0005-0000-0000-00005F330000}"/>
    <cellStyle name="40% - Accent1 2 4 3 3 2 2" xfId="15162" xr:uid="{00000000-0005-0000-0000-000060330000}"/>
    <cellStyle name="40% - Accent1 2 4 3 3 2 2 2" xfId="9989" xr:uid="{00000000-0005-0000-0000-000061330000}"/>
    <cellStyle name="40% - Accent1 2 4 3 3 2 3" xfId="29481" xr:uid="{00000000-0005-0000-0000-000062330000}"/>
    <cellStyle name="40% - Accent1 2 4 3 3 3" xfId="15166" xr:uid="{00000000-0005-0000-0000-000063330000}"/>
    <cellStyle name="40% - Accent1 2 4 3 3 3 2" xfId="15170" xr:uid="{00000000-0005-0000-0000-000064330000}"/>
    <cellStyle name="40% - Accent1 2 4 3 3 4" xfId="15176" xr:uid="{00000000-0005-0000-0000-000065330000}"/>
    <cellStyle name="40% - Accent1 2 4 3 4" xfId="17058" xr:uid="{00000000-0005-0000-0000-000066330000}"/>
    <cellStyle name="40% - Accent1 2 4 3 4 2" xfId="27" xr:uid="{00000000-0005-0000-0000-000067330000}"/>
    <cellStyle name="40% - Accent1 2 4 3 4 2 2" xfId="2665" xr:uid="{00000000-0005-0000-0000-000068330000}"/>
    <cellStyle name="40% - Accent1 2 4 3 4 3" xfId="15177" xr:uid="{00000000-0005-0000-0000-000069330000}"/>
    <cellStyle name="40% - Accent1 2 4 3 5" xfId="15180" xr:uid="{00000000-0005-0000-0000-00006A330000}"/>
    <cellStyle name="40% - Accent1 2 4 3 5 2" xfId="15182" xr:uid="{00000000-0005-0000-0000-00006B330000}"/>
    <cellStyle name="40% - Accent1 2 4 3 6" xfId="10358" xr:uid="{00000000-0005-0000-0000-00006C330000}"/>
    <cellStyle name="40% - Accent1 2 4 4" xfId="15184" xr:uid="{00000000-0005-0000-0000-00006D330000}"/>
    <cellStyle name="40% - Accent1 2 4 4 2" xfId="15185" xr:uid="{00000000-0005-0000-0000-00006E330000}"/>
    <cellStyle name="40% - Accent1 2 4 4 2 2" xfId="5240" xr:uid="{00000000-0005-0000-0000-00006F330000}"/>
    <cellStyle name="40% - Accent1 2 4 4 2 2 2" xfId="17844" xr:uid="{00000000-0005-0000-0000-000070330000}"/>
    <cellStyle name="40% - Accent1 2 4 4 2 2 2 2" xfId="12454" xr:uid="{00000000-0005-0000-0000-000071330000}"/>
    <cellStyle name="40% - Accent1 2 4 4 2 2 3" xfId="15191" xr:uid="{00000000-0005-0000-0000-000072330000}"/>
    <cellStyle name="40% - Accent1 2 4 4 2 3" xfId="5244" xr:uid="{00000000-0005-0000-0000-000073330000}"/>
    <cellStyle name="40% - Accent1 2 4 4 2 3 2" xfId="17880" xr:uid="{00000000-0005-0000-0000-000074330000}"/>
    <cellStyle name="40% - Accent1 2 4 4 2 4" xfId="672" xr:uid="{00000000-0005-0000-0000-000075330000}"/>
    <cellStyle name="40% - Accent1 2 4 4 3" xfId="28393" xr:uid="{00000000-0005-0000-0000-000076330000}"/>
    <cellStyle name="40% - Accent1 2 4 4 3 2" xfId="5252" xr:uid="{00000000-0005-0000-0000-000077330000}"/>
    <cellStyle name="40% - Accent1 2 4 4 3 2 2" xfId="18218" xr:uid="{00000000-0005-0000-0000-000078330000}"/>
    <cellStyle name="40% - Accent1 2 4 4 3 3" xfId="531" xr:uid="{00000000-0005-0000-0000-000079330000}"/>
    <cellStyle name="40% - Accent1 2 4 4 4" xfId="31094" xr:uid="{00000000-0005-0000-0000-00007A330000}"/>
    <cellStyle name="40% - Accent1 2 4 4 4 2" xfId="3786" xr:uid="{00000000-0005-0000-0000-00007B330000}"/>
    <cellStyle name="40% - Accent1 2 4 4 5" xfId="15885" xr:uid="{00000000-0005-0000-0000-00007C330000}"/>
    <cellStyle name="40% - Accent1 2 4 5" xfId="23691" xr:uid="{00000000-0005-0000-0000-00007D330000}"/>
    <cellStyle name="40% - Accent1 2 4 5 2" xfId="26466" xr:uid="{00000000-0005-0000-0000-00007E330000}"/>
    <cellStyle name="40% - Accent1 2 4 5 2 2" xfId="13459" xr:uid="{00000000-0005-0000-0000-00007F330000}"/>
    <cellStyle name="40% - Accent1 2 4 5 2 2 2" xfId="19745" xr:uid="{00000000-0005-0000-0000-000080330000}"/>
    <cellStyle name="40% - Accent1 2 4 5 2 3" xfId="15205" xr:uid="{00000000-0005-0000-0000-000081330000}"/>
    <cellStyle name="40% - Accent1 2 4 5 3" xfId="28609" xr:uid="{00000000-0005-0000-0000-000082330000}"/>
    <cellStyle name="40% - Accent1 2 4 5 3 2" xfId="15206" xr:uid="{00000000-0005-0000-0000-000083330000}"/>
    <cellStyle name="40% - Accent1 2 4 5 4" xfId="24099" xr:uid="{00000000-0005-0000-0000-000084330000}"/>
    <cellStyle name="40% - Accent1 2 4 6" xfId="6836" xr:uid="{00000000-0005-0000-0000-000085330000}"/>
    <cellStyle name="40% - Accent1 2 4 6 2" xfId="15371" xr:uid="{00000000-0005-0000-0000-000086330000}"/>
    <cellStyle name="40% - Accent1 2 4 6 2 2" xfId="13601" xr:uid="{00000000-0005-0000-0000-000087330000}"/>
    <cellStyle name="40% - Accent1 2 4 6 3" xfId="30538" xr:uid="{00000000-0005-0000-0000-000088330000}"/>
    <cellStyle name="40% - Accent1 2 4 7" xfId="13360" xr:uid="{00000000-0005-0000-0000-000089330000}"/>
    <cellStyle name="40% - Accent1 2 4 7 2" xfId="9993" xr:uid="{00000000-0005-0000-0000-00008A330000}"/>
    <cellStyle name="40% - Accent1 2 4 8" xfId="13369" xr:uid="{00000000-0005-0000-0000-00008B330000}"/>
    <cellStyle name="40% - Accent1 2 5" xfId="7000" xr:uid="{00000000-0005-0000-0000-00008C330000}"/>
    <cellStyle name="40% - Accent1 2 5 2" xfId="15207" xr:uid="{00000000-0005-0000-0000-00008D330000}"/>
    <cellStyle name="40% - Accent1 2 5 2 2" xfId="22347" xr:uid="{00000000-0005-0000-0000-00008E330000}"/>
    <cellStyle name="40% - Accent1 2 5 2 2 2" xfId="17590" xr:uid="{00000000-0005-0000-0000-00008F330000}"/>
    <cellStyle name="40% - Accent1 2 5 2 2 2 2" xfId="4772" xr:uid="{00000000-0005-0000-0000-000090330000}"/>
    <cellStyle name="40% - Accent1 2 5 2 2 2 2 2" xfId="15209" xr:uid="{00000000-0005-0000-0000-000091330000}"/>
    <cellStyle name="40% - Accent1 2 5 2 2 2 2 2 2" xfId="15211" xr:uid="{00000000-0005-0000-0000-000092330000}"/>
    <cellStyle name="40% - Accent1 2 5 2 2 2 2 3" xfId="15217" xr:uid="{00000000-0005-0000-0000-000093330000}"/>
    <cellStyle name="40% - Accent1 2 5 2 2 2 3" xfId="2061" xr:uid="{00000000-0005-0000-0000-000094330000}"/>
    <cellStyle name="40% - Accent1 2 5 2 2 2 3 2" xfId="15221" xr:uid="{00000000-0005-0000-0000-000095330000}"/>
    <cellStyle name="40% - Accent1 2 5 2 2 2 4" xfId="15222" xr:uid="{00000000-0005-0000-0000-000096330000}"/>
    <cellStyle name="40% - Accent1 2 5 2 2 3" xfId="28740" xr:uid="{00000000-0005-0000-0000-000097330000}"/>
    <cellStyle name="40% - Accent1 2 5 2 2 3 2" xfId="7153" xr:uid="{00000000-0005-0000-0000-000098330000}"/>
    <cellStyle name="40% - Accent1 2 5 2 2 3 2 2" xfId="15224" xr:uid="{00000000-0005-0000-0000-000099330000}"/>
    <cellStyle name="40% - Accent1 2 5 2 2 3 3" xfId="29685" xr:uid="{00000000-0005-0000-0000-00009A330000}"/>
    <cellStyle name="40% - Accent1 2 5 2 2 4" xfId="28302" xr:uid="{00000000-0005-0000-0000-00009B330000}"/>
    <cellStyle name="40% - Accent1 2 5 2 2 4 2" xfId="15226" xr:uid="{00000000-0005-0000-0000-00009C330000}"/>
    <cellStyle name="40% - Accent1 2 5 2 2 5" xfId="15229" xr:uid="{00000000-0005-0000-0000-00009D330000}"/>
    <cellStyle name="40% - Accent1 2 5 2 3" xfId="22351" xr:uid="{00000000-0005-0000-0000-00009E330000}"/>
    <cellStyle name="40% - Accent1 2 5 2 3 2" xfId="15232" xr:uid="{00000000-0005-0000-0000-00009F330000}"/>
    <cellStyle name="40% - Accent1 2 5 2 3 2 2" xfId="7202" xr:uid="{00000000-0005-0000-0000-0000A0330000}"/>
    <cellStyle name="40% - Accent1 2 5 2 3 2 2 2" xfId="21532" xr:uid="{00000000-0005-0000-0000-0000A1330000}"/>
    <cellStyle name="40% - Accent1 2 5 2 3 2 3" xfId="15237" xr:uid="{00000000-0005-0000-0000-0000A2330000}"/>
    <cellStyle name="40% - Accent1 2 5 2 3 3" xfId="26101" xr:uid="{00000000-0005-0000-0000-0000A3330000}"/>
    <cellStyle name="40% - Accent1 2 5 2 3 3 2" xfId="15239" xr:uid="{00000000-0005-0000-0000-0000A4330000}"/>
    <cellStyle name="40% - Accent1 2 5 2 3 4" xfId="15240" xr:uid="{00000000-0005-0000-0000-0000A5330000}"/>
    <cellStyle name="40% - Accent1 2 5 2 4" xfId="14398" xr:uid="{00000000-0005-0000-0000-0000A6330000}"/>
    <cellStyle name="40% - Accent1 2 5 2 4 2" xfId="15244" xr:uid="{00000000-0005-0000-0000-0000A7330000}"/>
    <cellStyle name="40% - Accent1 2 5 2 4 2 2" xfId="96" xr:uid="{00000000-0005-0000-0000-0000A8330000}"/>
    <cellStyle name="40% - Accent1 2 5 2 4 3" xfId="15246" xr:uid="{00000000-0005-0000-0000-0000A9330000}"/>
    <cellStyle name="40% - Accent1 2 5 2 5" xfId="14649" xr:uid="{00000000-0005-0000-0000-0000AA330000}"/>
    <cellStyle name="40% - Accent1 2 5 2 5 2" xfId="25223" xr:uid="{00000000-0005-0000-0000-0000AB330000}"/>
    <cellStyle name="40% - Accent1 2 5 2 6" xfId="13603" xr:uid="{00000000-0005-0000-0000-0000AC330000}"/>
    <cellStyle name="40% - Accent1 2 5 3" xfId="15248" xr:uid="{00000000-0005-0000-0000-0000AD330000}"/>
    <cellStyle name="40% - Accent1 2 5 3 2" xfId="22378" xr:uid="{00000000-0005-0000-0000-0000AE330000}"/>
    <cellStyle name="40% - Accent1 2 5 3 2 2" xfId="15250" xr:uid="{00000000-0005-0000-0000-0000AF330000}"/>
    <cellStyle name="40% - Accent1 2 5 3 2 2 2" xfId="2849" xr:uid="{00000000-0005-0000-0000-0000B0330000}"/>
    <cellStyle name="40% - Accent1 2 5 3 2 2 2 2" xfId="2973" xr:uid="{00000000-0005-0000-0000-0000B1330000}"/>
    <cellStyle name="40% - Accent1 2 5 3 2 2 3" xfId="15258" xr:uid="{00000000-0005-0000-0000-0000B2330000}"/>
    <cellStyle name="40% - Accent1 2 5 3 2 3" xfId="15264" xr:uid="{00000000-0005-0000-0000-0000B3330000}"/>
    <cellStyle name="40% - Accent1 2 5 3 2 3 2" xfId="15267" xr:uid="{00000000-0005-0000-0000-0000B4330000}"/>
    <cellStyle name="40% - Accent1 2 5 3 2 4" xfId="15270" xr:uid="{00000000-0005-0000-0000-0000B5330000}"/>
    <cellStyle name="40% - Accent1 2 5 3 3" xfId="15273" xr:uid="{00000000-0005-0000-0000-0000B6330000}"/>
    <cellStyle name="40% - Accent1 2 5 3 3 2" xfId="15278" xr:uid="{00000000-0005-0000-0000-0000B7330000}"/>
    <cellStyle name="40% - Accent1 2 5 3 3 2 2" xfId="15280" xr:uid="{00000000-0005-0000-0000-0000B8330000}"/>
    <cellStyle name="40% - Accent1 2 5 3 3 3" xfId="15282" xr:uid="{00000000-0005-0000-0000-0000B9330000}"/>
    <cellStyle name="40% - Accent1 2 5 3 4" xfId="14658" xr:uid="{00000000-0005-0000-0000-0000BA330000}"/>
    <cellStyle name="40% - Accent1 2 5 3 4 2" xfId="15284" xr:uid="{00000000-0005-0000-0000-0000BB330000}"/>
    <cellStyle name="40% - Accent1 2 5 3 5" xfId="14663" xr:uid="{00000000-0005-0000-0000-0000BC330000}"/>
    <cellStyle name="40% - Accent1 2 5 4" xfId="15287" xr:uid="{00000000-0005-0000-0000-0000BD330000}"/>
    <cellStyle name="40% - Accent1 2 5 4 2" xfId="15288" xr:uid="{00000000-0005-0000-0000-0000BE330000}"/>
    <cellStyle name="40% - Accent1 2 5 4 2 2" xfId="10904" xr:uid="{00000000-0005-0000-0000-0000BF330000}"/>
    <cellStyle name="40% - Accent1 2 5 4 2 2 2" xfId="21765" xr:uid="{00000000-0005-0000-0000-0000C0330000}"/>
    <cellStyle name="40% - Accent1 2 5 4 2 3" xfId="15290" xr:uid="{00000000-0005-0000-0000-0000C1330000}"/>
    <cellStyle name="40% - Accent1 2 5 4 3" xfId="15293" xr:uid="{00000000-0005-0000-0000-0000C2330000}"/>
    <cellStyle name="40% - Accent1 2 5 4 3 2" xfId="15296" xr:uid="{00000000-0005-0000-0000-0000C3330000}"/>
    <cellStyle name="40% - Accent1 2 5 4 4" xfId="14670" xr:uid="{00000000-0005-0000-0000-0000C4330000}"/>
    <cellStyle name="40% - Accent1 2 5 5" xfId="6838" xr:uid="{00000000-0005-0000-0000-0000C5330000}"/>
    <cellStyle name="40% - Accent1 2 5 5 2" xfId="377" xr:uid="{00000000-0005-0000-0000-0000C6330000}"/>
    <cellStyle name="40% - Accent1 2 5 5 2 2" xfId="19627" xr:uid="{00000000-0005-0000-0000-0000C7330000}"/>
    <cellStyle name="40% - Accent1 2 5 5 3" xfId="5131" xr:uid="{00000000-0005-0000-0000-0000C8330000}"/>
    <cellStyle name="40% - Accent1 2 5 6" xfId="27923" xr:uid="{00000000-0005-0000-0000-0000C9330000}"/>
    <cellStyle name="40% - Accent1 2 5 6 2" xfId="5040" xr:uid="{00000000-0005-0000-0000-0000CA330000}"/>
    <cellStyle name="40% - Accent1 2 5 7" xfId="29221" xr:uid="{00000000-0005-0000-0000-0000CB330000}"/>
    <cellStyle name="40% - Accent1 2 6" xfId="27235" xr:uid="{00000000-0005-0000-0000-0000CC330000}"/>
    <cellStyle name="40% - Accent1 2 6 2" xfId="15307" xr:uid="{00000000-0005-0000-0000-0000CD330000}"/>
    <cellStyle name="40% - Accent1 2 6 2 2" xfId="15309" xr:uid="{00000000-0005-0000-0000-0000CE330000}"/>
    <cellStyle name="40% - Accent1 2 6 2 2 2" xfId="15311" xr:uid="{00000000-0005-0000-0000-0000CF330000}"/>
    <cellStyle name="40% - Accent1 2 6 2 2 2 2" xfId="8228" xr:uid="{00000000-0005-0000-0000-0000D0330000}"/>
    <cellStyle name="40% - Accent1 2 6 2 2 2 2 2" xfId="9235" xr:uid="{00000000-0005-0000-0000-0000D1330000}"/>
    <cellStyle name="40% - Accent1 2 6 2 2 2 3" xfId="8302" xr:uid="{00000000-0005-0000-0000-0000D2330000}"/>
    <cellStyle name="40% - Accent1 2 6 2 2 3" xfId="15314" xr:uid="{00000000-0005-0000-0000-0000D3330000}"/>
    <cellStyle name="40% - Accent1 2 6 2 2 3 2" xfId="15318" xr:uid="{00000000-0005-0000-0000-0000D4330000}"/>
    <cellStyle name="40% - Accent1 2 6 2 2 4" xfId="15320" xr:uid="{00000000-0005-0000-0000-0000D5330000}"/>
    <cellStyle name="40% - Accent1 2 6 2 3" xfId="14674" xr:uid="{00000000-0005-0000-0000-0000D6330000}"/>
    <cellStyle name="40% - Accent1 2 6 2 3 2" xfId="9700" xr:uid="{00000000-0005-0000-0000-0000D7330000}"/>
    <cellStyle name="40% - Accent1 2 6 2 3 2 2" xfId="7176" xr:uid="{00000000-0005-0000-0000-0000D8330000}"/>
    <cellStyle name="40% - Accent1 2 6 2 3 3" xfId="462" xr:uid="{00000000-0005-0000-0000-0000D9330000}"/>
    <cellStyle name="40% - Accent1 2 6 2 4" xfId="14680" xr:uid="{00000000-0005-0000-0000-0000DA330000}"/>
    <cellStyle name="40% - Accent1 2 6 2 4 2" xfId="3602" xr:uid="{00000000-0005-0000-0000-0000DB330000}"/>
    <cellStyle name="40% - Accent1 2 6 2 5" xfId="14685" xr:uid="{00000000-0005-0000-0000-0000DC330000}"/>
    <cellStyle name="40% - Accent1 2 6 3" xfId="2767" xr:uid="{00000000-0005-0000-0000-0000DD330000}"/>
    <cellStyle name="40% - Accent1 2 6 3 2" xfId="3202" xr:uid="{00000000-0005-0000-0000-0000DE330000}"/>
    <cellStyle name="40% - Accent1 2 6 3 2 2" xfId="15321" xr:uid="{00000000-0005-0000-0000-0000DF330000}"/>
    <cellStyle name="40% - Accent1 2 6 3 2 2 2" xfId="15323" xr:uid="{00000000-0005-0000-0000-0000E0330000}"/>
    <cellStyle name="40% - Accent1 2 6 3 2 3" xfId="15326" xr:uid="{00000000-0005-0000-0000-0000E1330000}"/>
    <cellStyle name="40% - Accent1 2 6 3 3" xfId="14693" xr:uid="{00000000-0005-0000-0000-0000E2330000}"/>
    <cellStyle name="40% - Accent1 2 6 3 3 2" xfId="1231" xr:uid="{00000000-0005-0000-0000-0000E3330000}"/>
    <cellStyle name="40% - Accent1 2 6 3 4" xfId="14701" xr:uid="{00000000-0005-0000-0000-0000E4330000}"/>
    <cellStyle name="40% - Accent1 2 6 4" xfId="15328" xr:uid="{00000000-0005-0000-0000-0000E5330000}"/>
    <cellStyle name="40% - Accent1 2 6 4 2" xfId="341" xr:uid="{00000000-0005-0000-0000-0000E6330000}"/>
    <cellStyle name="40% - Accent1 2 6 4 2 2" xfId="15329" xr:uid="{00000000-0005-0000-0000-0000E7330000}"/>
    <cellStyle name="40% - Accent1 2 6 4 3" xfId="14707" xr:uid="{00000000-0005-0000-0000-0000E8330000}"/>
    <cellStyle name="40% - Accent1 2 6 5" xfId="27926" xr:uid="{00000000-0005-0000-0000-0000E9330000}"/>
    <cellStyle name="40% - Accent1 2 6 5 2" xfId="3967" xr:uid="{00000000-0005-0000-0000-0000EA330000}"/>
    <cellStyle name="40% - Accent1 2 6 6" xfId="33414" xr:uid="{00000000-0005-0000-0000-0000EB330000}"/>
    <cellStyle name="40% - Accent1 2 7" xfId="15335" xr:uid="{00000000-0005-0000-0000-0000EC330000}"/>
    <cellStyle name="40% - Accent1 2 7 2" xfId="918" xr:uid="{00000000-0005-0000-0000-0000ED330000}"/>
    <cellStyle name="40% - Accent1 2 7 2 2" xfId="715" xr:uid="{00000000-0005-0000-0000-0000EE330000}"/>
    <cellStyle name="40% - Accent1 2 7 2 2 2" xfId="329" xr:uid="{00000000-0005-0000-0000-0000EF330000}"/>
    <cellStyle name="40% - Accent1 2 7 2 2 2 2" xfId="26036" xr:uid="{00000000-0005-0000-0000-0000F0330000}"/>
    <cellStyle name="40% - Accent1 2 7 2 2 3" xfId="281" xr:uid="{00000000-0005-0000-0000-0000F1330000}"/>
    <cellStyle name="40% - Accent1 2 7 2 3" xfId="12635" xr:uid="{00000000-0005-0000-0000-0000F2330000}"/>
    <cellStyle name="40% - Accent1 2 7 2 3 2" xfId="3852" xr:uid="{00000000-0005-0000-0000-0000F3330000}"/>
    <cellStyle name="40% - Accent1 2 7 2 4" xfId="15219" xr:uid="{00000000-0005-0000-0000-0000F4330000}"/>
    <cellStyle name="40% - Accent1 2 7 3" xfId="1988" xr:uid="{00000000-0005-0000-0000-0000F5330000}"/>
    <cellStyle name="40% - Accent1 2 7 3 2" xfId="2314" xr:uid="{00000000-0005-0000-0000-0000F6330000}"/>
    <cellStyle name="40% - Accent1 2 7 3 2 2" xfId="358" xr:uid="{00000000-0005-0000-0000-0000F7330000}"/>
    <cellStyle name="40% - Accent1 2 7 3 3" xfId="20080" xr:uid="{00000000-0005-0000-0000-0000F8330000}"/>
    <cellStyle name="40% - Accent1 2 7 4" xfId="8676" xr:uid="{00000000-0005-0000-0000-0000F9330000}"/>
    <cellStyle name="40% - Accent1 2 7 4 2" xfId="667" xr:uid="{00000000-0005-0000-0000-0000FA330000}"/>
    <cellStyle name="40% - Accent1 2 7 5" xfId="5177" xr:uid="{00000000-0005-0000-0000-0000FB330000}"/>
    <cellStyle name="40% - Accent1 2 8" xfId="15337" xr:uid="{00000000-0005-0000-0000-0000FC330000}"/>
    <cellStyle name="40% - Accent1 2 8 2" xfId="8766" xr:uid="{00000000-0005-0000-0000-0000FD330000}"/>
    <cellStyle name="40% - Accent1 2 8 2 2" xfId="855" xr:uid="{00000000-0005-0000-0000-0000FE330000}"/>
    <cellStyle name="40% - Accent1 2 8 2 2 2" xfId="18963" xr:uid="{00000000-0005-0000-0000-0000FF330000}"/>
    <cellStyle name="40% - Accent1 2 8 2 3" xfId="2388" xr:uid="{00000000-0005-0000-0000-000000340000}"/>
    <cellStyle name="40% - Accent1 2 8 3" xfId="4493" xr:uid="{00000000-0005-0000-0000-000001340000}"/>
    <cellStyle name="40% - Accent1 2 8 3 2" xfId="4498" xr:uid="{00000000-0005-0000-0000-000002340000}"/>
    <cellStyle name="40% - Accent1 2 8 4" xfId="4822" xr:uid="{00000000-0005-0000-0000-000003340000}"/>
    <cellStyle name="40% - Accent1 2 9" xfId="7340" xr:uid="{00000000-0005-0000-0000-000004340000}"/>
    <cellStyle name="40% - Accent1 2 9 2" xfId="30250" xr:uid="{00000000-0005-0000-0000-000005340000}"/>
    <cellStyle name="40% - Accent1 2 9 2 2" xfId="12985" xr:uid="{00000000-0005-0000-0000-000006340000}"/>
    <cellStyle name="40% - Accent1 2 9 3" xfId="1378" xr:uid="{00000000-0005-0000-0000-000007340000}"/>
    <cellStyle name="40% - Accent1 3" xfId="4079" xr:uid="{00000000-0005-0000-0000-000008340000}"/>
    <cellStyle name="40% - Accent1 3 10" xfId="17922" xr:uid="{00000000-0005-0000-0000-000009340000}"/>
    <cellStyle name="40% - Accent1 3 2" xfId="15338" xr:uid="{00000000-0005-0000-0000-00000A340000}"/>
    <cellStyle name="40% - Accent1 3 2 2" xfId="7076" xr:uid="{00000000-0005-0000-0000-00000B340000}"/>
    <cellStyle name="40% - Accent1 3 2 2 2" xfId="15339" xr:uid="{00000000-0005-0000-0000-00000C340000}"/>
    <cellStyle name="40% - Accent1 3 2 2 2 2" xfId="31759" xr:uid="{00000000-0005-0000-0000-00000D340000}"/>
    <cellStyle name="40% - Accent1 3 2 2 2 2 2" xfId="33892" xr:uid="{00000000-0005-0000-0000-00000E340000}"/>
    <cellStyle name="40% - Accent1 3 2 2 2 2 2 2" xfId="26431" xr:uid="{00000000-0005-0000-0000-00000F340000}"/>
    <cellStyle name="40% - Accent1 3 2 2 2 2 2 2 2" xfId="15340" xr:uid="{00000000-0005-0000-0000-000010340000}"/>
    <cellStyle name="40% - Accent1 3 2 2 2 2 2 2 2 2" xfId="15343" xr:uid="{00000000-0005-0000-0000-000011340000}"/>
    <cellStyle name="40% - Accent1 3 2 2 2 2 2 2 2 2 2" xfId="28755" xr:uid="{00000000-0005-0000-0000-000012340000}"/>
    <cellStyle name="40% - Accent1 3 2 2 2 2 2 2 2 3" xfId="33816" xr:uid="{00000000-0005-0000-0000-000013340000}"/>
    <cellStyle name="40% - Accent1 3 2 2 2 2 2 2 3" xfId="9245" xr:uid="{00000000-0005-0000-0000-000014340000}"/>
    <cellStyle name="40% - Accent1 3 2 2 2 2 2 2 3 2" xfId="4626" xr:uid="{00000000-0005-0000-0000-000015340000}"/>
    <cellStyle name="40% - Accent1 3 2 2 2 2 2 2 4" xfId="24225" xr:uid="{00000000-0005-0000-0000-000016340000}"/>
    <cellStyle name="40% - Accent1 3 2 2 2 2 2 3" xfId="28735" xr:uid="{00000000-0005-0000-0000-000017340000}"/>
    <cellStyle name="40% - Accent1 3 2 2 2 2 2 3 2" xfId="15345" xr:uid="{00000000-0005-0000-0000-000018340000}"/>
    <cellStyle name="40% - Accent1 3 2 2 2 2 2 3 2 2" xfId="15347" xr:uid="{00000000-0005-0000-0000-000019340000}"/>
    <cellStyle name="40% - Accent1 3 2 2 2 2 2 3 3" xfId="24232" xr:uid="{00000000-0005-0000-0000-00001A340000}"/>
    <cellStyle name="40% - Accent1 3 2 2 2 2 2 4" xfId="15658" xr:uid="{00000000-0005-0000-0000-00001B340000}"/>
    <cellStyle name="40% - Accent1 3 2 2 2 2 2 4 2" xfId="15351" xr:uid="{00000000-0005-0000-0000-00001C340000}"/>
    <cellStyle name="40% - Accent1 3 2 2 2 2 2 5" xfId="15352" xr:uid="{00000000-0005-0000-0000-00001D340000}"/>
    <cellStyle name="40% - Accent1 3 2 2 2 2 3" xfId="29379" xr:uid="{00000000-0005-0000-0000-00001E340000}"/>
    <cellStyle name="40% - Accent1 3 2 2 2 2 3 2" xfId="15354" xr:uid="{00000000-0005-0000-0000-00001F340000}"/>
    <cellStyle name="40% - Accent1 3 2 2 2 2 3 2 2" xfId="15358" xr:uid="{00000000-0005-0000-0000-000020340000}"/>
    <cellStyle name="40% - Accent1 3 2 2 2 2 3 2 2 2" xfId="15360" xr:uid="{00000000-0005-0000-0000-000021340000}"/>
    <cellStyle name="40% - Accent1 3 2 2 2 2 3 2 3" xfId="15362" xr:uid="{00000000-0005-0000-0000-000022340000}"/>
    <cellStyle name="40% - Accent1 3 2 2 2 2 3 3" xfId="21587" xr:uid="{00000000-0005-0000-0000-000023340000}"/>
    <cellStyle name="40% - Accent1 3 2 2 2 2 3 3 2" xfId="28420" xr:uid="{00000000-0005-0000-0000-000024340000}"/>
    <cellStyle name="40% - Accent1 3 2 2 2 2 3 4" xfId="15366" xr:uid="{00000000-0005-0000-0000-000025340000}"/>
    <cellStyle name="40% - Accent1 3 2 2 2 2 4" xfId="15368" xr:uid="{00000000-0005-0000-0000-000026340000}"/>
    <cellStyle name="40% - Accent1 3 2 2 2 2 4 2" xfId="25078" xr:uid="{00000000-0005-0000-0000-000027340000}"/>
    <cellStyle name="40% - Accent1 3 2 2 2 2 4 2 2" xfId="24733" xr:uid="{00000000-0005-0000-0000-000028340000}"/>
    <cellStyle name="40% - Accent1 3 2 2 2 2 4 3" xfId="15377" xr:uid="{00000000-0005-0000-0000-000029340000}"/>
    <cellStyle name="40% - Accent1 3 2 2 2 2 5" xfId="15380" xr:uid="{00000000-0005-0000-0000-00002A340000}"/>
    <cellStyle name="40% - Accent1 3 2 2 2 2 5 2" xfId="32230" xr:uid="{00000000-0005-0000-0000-00002B340000}"/>
    <cellStyle name="40% - Accent1 3 2 2 2 2 6" xfId="15385" xr:uid="{00000000-0005-0000-0000-00002C340000}"/>
    <cellStyle name="40% - Accent1 3 2 2 2 3" xfId="33385" xr:uid="{00000000-0005-0000-0000-00002D340000}"/>
    <cellStyle name="40% - Accent1 3 2 2 2 3 2" xfId="21617" xr:uid="{00000000-0005-0000-0000-00002E340000}"/>
    <cellStyle name="40% - Accent1 3 2 2 2 3 2 2" xfId="26488" xr:uid="{00000000-0005-0000-0000-00002F340000}"/>
    <cellStyle name="40% - Accent1 3 2 2 2 3 2 2 2" xfId="15387" xr:uid="{00000000-0005-0000-0000-000030340000}"/>
    <cellStyle name="40% - Accent1 3 2 2 2 3 2 2 2 2" xfId="1430" xr:uid="{00000000-0005-0000-0000-000031340000}"/>
    <cellStyle name="40% - Accent1 3 2 2 2 3 2 2 3" xfId="24250" xr:uid="{00000000-0005-0000-0000-000032340000}"/>
    <cellStyle name="40% - Accent1 3 2 2 2 3 2 3" xfId="31074" xr:uid="{00000000-0005-0000-0000-000033340000}"/>
    <cellStyle name="40% - Accent1 3 2 2 2 3 2 3 2" xfId="15389" xr:uid="{00000000-0005-0000-0000-000034340000}"/>
    <cellStyle name="40% - Accent1 3 2 2 2 3 2 4" xfId="32281" xr:uid="{00000000-0005-0000-0000-000035340000}"/>
    <cellStyle name="40% - Accent1 3 2 2 2 3 3" xfId="21619" xr:uid="{00000000-0005-0000-0000-000036340000}"/>
    <cellStyle name="40% - Accent1 3 2 2 2 3 3 2" xfId="21671" xr:uid="{00000000-0005-0000-0000-000037340000}"/>
    <cellStyle name="40% - Accent1 3 2 2 2 3 3 2 2" xfId="15390" xr:uid="{00000000-0005-0000-0000-000038340000}"/>
    <cellStyle name="40% - Accent1 3 2 2 2 3 3 3" xfId="33114" xr:uid="{00000000-0005-0000-0000-000039340000}"/>
    <cellStyle name="40% - Accent1 3 2 2 2 3 4" xfId="12612" xr:uid="{00000000-0005-0000-0000-00003A340000}"/>
    <cellStyle name="40% - Accent1 3 2 2 2 3 4 2" xfId="25110" xr:uid="{00000000-0005-0000-0000-00003B340000}"/>
    <cellStyle name="40% - Accent1 3 2 2 2 3 5" xfId="14207" xr:uid="{00000000-0005-0000-0000-00003C340000}"/>
    <cellStyle name="40% - Accent1 3 2 2 2 4" xfId="28344" xr:uid="{00000000-0005-0000-0000-00003D340000}"/>
    <cellStyle name="40% - Accent1 3 2 2 2 4 2" xfId="15391" xr:uid="{00000000-0005-0000-0000-00003E340000}"/>
    <cellStyle name="40% - Accent1 3 2 2 2 4 2 2" xfId="14757" xr:uid="{00000000-0005-0000-0000-00003F340000}"/>
    <cellStyle name="40% - Accent1 3 2 2 2 4 2 2 2" xfId="21629" xr:uid="{00000000-0005-0000-0000-000040340000}"/>
    <cellStyle name="40% - Accent1 3 2 2 2 4 2 3" xfId="9972" xr:uid="{00000000-0005-0000-0000-000041340000}"/>
    <cellStyle name="40% - Accent1 3 2 2 2 4 3" xfId="6322" xr:uid="{00000000-0005-0000-0000-000042340000}"/>
    <cellStyle name="40% - Accent1 3 2 2 2 4 3 2" xfId="9977" xr:uid="{00000000-0005-0000-0000-000043340000}"/>
    <cellStyle name="40% - Accent1 3 2 2 2 4 4" xfId="17570" xr:uid="{00000000-0005-0000-0000-000044340000}"/>
    <cellStyle name="40% - Accent1 3 2 2 2 5" xfId="29413" xr:uid="{00000000-0005-0000-0000-000045340000}"/>
    <cellStyle name="40% - Accent1 3 2 2 2 5 2" xfId="15395" xr:uid="{00000000-0005-0000-0000-000046340000}"/>
    <cellStyle name="40% - Accent1 3 2 2 2 5 2 2" xfId="2162" xr:uid="{00000000-0005-0000-0000-000047340000}"/>
    <cellStyle name="40% - Accent1 3 2 2 2 5 3" xfId="6364" xr:uid="{00000000-0005-0000-0000-000048340000}"/>
    <cellStyle name="40% - Accent1 3 2 2 2 6" xfId="29416" xr:uid="{00000000-0005-0000-0000-000049340000}"/>
    <cellStyle name="40% - Accent1 3 2 2 2 6 2" xfId="15397" xr:uid="{00000000-0005-0000-0000-00004A340000}"/>
    <cellStyle name="40% - Accent1 3 2 2 2 7" xfId="29429" xr:uid="{00000000-0005-0000-0000-00004B340000}"/>
    <cellStyle name="40% - Accent1 3 2 2 3" xfId="19393" xr:uid="{00000000-0005-0000-0000-00004C340000}"/>
    <cellStyle name="40% - Accent1 3 2 2 3 2" xfId="20698" xr:uid="{00000000-0005-0000-0000-00004D340000}"/>
    <cellStyle name="40% - Accent1 3 2 2 3 2 2" xfId="15399" xr:uid="{00000000-0005-0000-0000-00004E340000}"/>
    <cellStyle name="40% - Accent1 3 2 2 3 2 2 2" xfId="23219" xr:uid="{00000000-0005-0000-0000-00004F340000}"/>
    <cellStyle name="40% - Accent1 3 2 2 3 2 2 2 2" xfId="15400" xr:uid="{00000000-0005-0000-0000-000050340000}"/>
    <cellStyle name="40% - Accent1 3 2 2 3 2 2 2 2 2" xfId="15401" xr:uid="{00000000-0005-0000-0000-000051340000}"/>
    <cellStyle name="40% - Accent1 3 2 2 3 2 2 2 3" xfId="24379" xr:uid="{00000000-0005-0000-0000-000052340000}"/>
    <cellStyle name="40% - Accent1 3 2 2 3 2 2 3" xfId="27366" xr:uid="{00000000-0005-0000-0000-000053340000}"/>
    <cellStyle name="40% - Accent1 3 2 2 3 2 2 3 2" xfId="14860" xr:uid="{00000000-0005-0000-0000-000054340000}"/>
    <cellStyle name="40% - Accent1 3 2 2 3 2 2 4" xfId="15404" xr:uid="{00000000-0005-0000-0000-000055340000}"/>
    <cellStyle name="40% - Accent1 3 2 2 3 2 3" xfId="4303" xr:uid="{00000000-0005-0000-0000-000056340000}"/>
    <cellStyle name="40% - Accent1 3 2 2 3 2 3 2" xfId="22220" xr:uid="{00000000-0005-0000-0000-000057340000}"/>
    <cellStyle name="40% - Accent1 3 2 2 3 2 3 2 2" xfId="15406" xr:uid="{00000000-0005-0000-0000-000058340000}"/>
    <cellStyle name="40% - Accent1 3 2 2 3 2 3 3" xfId="15409" xr:uid="{00000000-0005-0000-0000-000059340000}"/>
    <cellStyle name="40% - Accent1 3 2 2 3 2 4" xfId="10859" xr:uid="{00000000-0005-0000-0000-00005A340000}"/>
    <cellStyle name="40% - Accent1 3 2 2 3 2 4 2" xfId="19685" xr:uid="{00000000-0005-0000-0000-00005B340000}"/>
    <cellStyle name="40% - Accent1 3 2 2 3 2 5" xfId="15413" xr:uid="{00000000-0005-0000-0000-00005C340000}"/>
    <cellStyle name="40% - Accent1 3 2 2 3 3" xfId="4301" xr:uid="{00000000-0005-0000-0000-00005D340000}"/>
    <cellStyle name="40% - Accent1 3 2 2 3 3 2" xfId="15416" xr:uid="{00000000-0005-0000-0000-00005E340000}"/>
    <cellStyle name="40% - Accent1 3 2 2 3 3 2 2" xfId="6730" xr:uid="{00000000-0005-0000-0000-00005F340000}"/>
    <cellStyle name="40% - Accent1 3 2 2 3 3 2 2 2" xfId="15418" xr:uid="{00000000-0005-0000-0000-000060340000}"/>
    <cellStyle name="40% - Accent1 3 2 2 3 3 2 3" xfId="23947" xr:uid="{00000000-0005-0000-0000-000061340000}"/>
    <cellStyle name="40% - Accent1 3 2 2 3 3 3" xfId="6482" xr:uid="{00000000-0005-0000-0000-000062340000}"/>
    <cellStyle name="40% - Accent1 3 2 2 3 3 3 2" xfId="9609" xr:uid="{00000000-0005-0000-0000-000063340000}"/>
    <cellStyle name="40% - Accent1 3 2 2 3 3 4" xfId="10970" xr:uid="{00000000-0005-0000-0000-000064340000}"/>
    <cellStyle name="40% - Accent1 3 2 2 3 4" xfId="31823" xr:uid="{00000000-0005-0000-0000-000065340000}"/>
    <cellStyle name="40% - Accent1 3 2 2 3 4 2" xfId="15421" xr:uid="{00000000-0005-0000-0000-000066340000}"/>
    <cellStyle name="40% - Accent1 3 2 2 3 4 2 2" xfId="11632" xr:uid="{00000000-0005-0000-0000-000067340000}"/>
    <cellStyle name="40% - Accent1 3 2 2 3 4 3" xfId="6395" xr:uid="{00000000-0005-0000-0000-000068340000}"/>
    <cellStyle name="40% - Accent1 3 2 2 3 5" xfId="15423" xr:uid="{00000000-0005-0000-0000-000069340000}"/>
    <cellStyle name="40% - Accent1 3 2 2 3 5 2" xfId="15425" xr:uid="{00000000-0005-0000-0000-00006A340000}"/>
    <cellStyle name="40% - Accent1 3 2 2 3 6" xfId="33562" xr:uid="{00000000-0005-0000-0000-00006B340000}"/>
    <cellStyle name="40% - Accent1 3 2 2 4" xfId="19401" xr:uid="{00000000-0005-0000-0000-00006C340000}"/>
    <cellStyle name="40% - Accent1 3 2 2 4 2" xfId="15427" xr:uid="{00000000-0005-0000-0000-00006D340000}"/>
    <cellStyle name="40% - Accent1 3 2 2 4 2 2" xfId="11966" xr:uid="{00000000-0005-0000-0000-00006E340000}"/>
    <cellStyle name="40% - Accent1 3 2 2 4 2 2 2" xfId="15429" xr:uid="{00000000-0005-0000-0000-00006F340000}"/>
    <cellStyle name="40% - Accent1 3 2 2 4 2 2 2 2" xfId="15435" xr:uid="{00000000-0005-0000-0000-000070340000}"/>
    <cellStyle name="40% - Accent1 3 2 2 4 2 2 3" xfId="12380" xr:uid="{00000000-0005-0000-0000-000071340000}"/>
    <cellStyle name="40% - Accent1 3 2 2 4 2 3" xfId="4955" xr:uid="{00000000-0005-0000-0000-000072340000}"/>
    <cellStyle name="40% - Accent1 3 2 2 4 2 3 2" xfId="15437" xr:uid="{00000000-0005-0000-0000-000073340000}"/>
    <cellStyle name="40% - Accent1 3 2 2 4 2 4" xfId="12727" xr:uid="{00000000-0005-0000-0000-000074340000}"/>
    <cellStyle name="40% - Accent1 3 2 2 4 3" xfId="15439" xr:uid="{00000000-0005-0000-0000-000075340000}"/>
    <cellStyle name="40% - Accent1 3 2 2 4 3 2" xfId="4994" xr:uid="{00000000-0005-0000-0000-000076340000}"/>
    <cellStyle name="40% - Accent1 3 2 2 4 3 2 2" xfId="7319" xr:uid="{00000000-0005-0000-0000-000077340000}"/>
    <cellStyle name="40% - Accent1 3 2 2 4 3 3" xfId="4127" xr:uid="{00000000-0005-0000-0000-000078340000}"/>
    <cellStyle name="40% - Accent1 3 2 2 4 4" xfId="15440" xr:uid="{00000000-0005-0000-0000-000079340000}"/>
    <cellStyle name="40% - Accent1 3 2 2 4 4 2" xfId="5004" xr:uid="{00000000-0005-0000-0000-00007A340000}"/>
    <cellStyle name="40% - Accent1 3 2 2 4 5" xfId="15441" xr:uid="{00000000-0005-0000-0000-00007B340000}"/>
    <cellStyle name="40% - Accent1 3 2 2 5" xfId="15442" xr:uid="{00000000-0005-0000-0000-00007C340000}"/>
    <cellStyle name="40% - Accent1 3 2 2 5 2" xfId="15443" xr:uid="{00000000-0005-0000-0000-00007D340000}"/>
    <cellStyle name="40% - Accent1 3 2 2 5 2 2" xfId="4186" xr:uid="{00000000-0005-0000-0000-00007E340000}"/>
    <cellStyle name="40% - Accent1 3 2 2 5 2 2 2" xfId="15444" xr:uid="{00000000-0005-0000-0000-00007F340000}"/>
    <cellStyle name="40% - Accent1 3 2 2 5 2 3" xfId="33970" xr:uid="{00000000-0005-0000-0000-000080340000}"/>
    <cellStyle name="40% - Accent1 3 2 2 5 3" xfId="15445" xr:uid="{00000000-0005-0000-0000-000081340000}"/>
    <cellStyle name="40% - Accent1 3 2 2 5 3 2" xfId="4219" xr:uid="{00000000-0005-0000-0000-000082340000}"/>
    <cellStyle name="40% - Accent1 3 2 2 5 4" xfId="15446" xr:uid="{00000000-0005-0000-0000-000083340000}"/>
    <cellStyle name="40% - Accent1 3 2 2 6" xfId="10119" xr:uid="{00000000-0005-0000-0000-000084340000}"/>
    <cellStyle name="40% - Accent1 3 2 2 6 2" xfId="3378" xr:uid="{00000000-0005-0000-0000-000085340000}"/>
    <cellStyle name="40% - Accent1 3 2 2 6 2 2" xfId="3648" xr:uid="{00000000-0005-0000-0000-000086340000}"/>
    <cellStyle name="40% - Accent1 3 2 2 6 3" xfId="32624" xr:uid="{00000000-0005-0000-0000-000087340000}"/>
    <cellStyle name="40% - Accent1 3 2 2 7" xfId="9620" xr:uid="{00000000-0005-0000-0000-000088340000}"/>
    <cellStyle name="40% - Accent1 3 2 2 7 2" xfId="32638" xr:uid="{00000000-0005-0000-0000-000089340000}"/>
    <cellStyle name="40% - Accent1 3 2 2 8" xfId="10232" xr:uid="{00000000-0005-0000-0000-00008A340000}"/>
    <cellStyle name="40% - Accent1 3 2 3" xfId="20931" xr:uid="{00000000-0005-0000-0000-00008B340000}"/>
    <cellStyle name="40% - Accent1 3 2 3 2" xfId="15447" xr:uid="{00000000-0005-0000-0000-00008C340000}"/>
    <cellStyle name="40% - Accent1 3 2 3 2 2" xfId="14137" xr:uid="{00000000-0005-0000-0000-00008D340000}"/>
    <cellStyle name="40% - Accent1 3 2 3 2 2 2" xfId="15449" xr:uid="{00000000-0005-0000-0000-00008E340000}"/>
    <cellStyle name="40% - Accent1 3 2 3 2 2 2 2" xfId="15454" xr:uid="{00000000-0005-0000-0000-00008F340000}"/>
    <cellStyle name="40% - Accent1 3 2 3 2 2 2 2 2" xfId="23921" xr:uid="{00000000-0005-0000-0000-000090340000}"/>
    <cellStyle name="40% - Accent1 3 2 3 2 2 2 2 2 2" xfId="43" xr:uid="{00000000-0005-0000-0000-000091340000}"/>
    <cellStyle name="40% - Accent1 3 2 3 2 2 2 2 3" xfId="15460" xr:uid="{00000000-0005-0000-0000-000092340000}"/>
    <cellStyle name="40% - Accent1 3 2 3 2 2 2 3" xfId="26072" xr:uid="{00000000-0005-0000-0000-000093340000}"/>
    <cellStyle name="40% - Accent1 3 2 3 2 2 2 3 2" xfId="15467" xr:uid="{00000000-0005-0000-0000-000094340000}"/>
    <cellStyle name="40% - Accent1 3 2 3 2 2 2 4" xfId="15471" xr:uid="{00000000-0005-0000-0000-000095340000}"/>
    <cellStyle name="40% - Accent1 3 2 3 2 2 3" xfId="15474" xr:uid="{00000000-0005-0000-0000-000096340000}"/>
    <cellStyle name="40% - Accent1 3 2 3 2 2 3 2" xfId="15475" xr:uid="{00000000-0005-0000-0000-000097340000}"/>
    <cellStyle name="40% - Accent1 3 2 3 2 2 3 2 2" xfId="25021" xr:uid="{00000000-0005-0000-0000-000098340000}"/>
    <cellStyle name="40% - Accent1 3 2 3 2 2 3 3" xfId="15478" xr:uid="{00000000-0005-0000-0000-000099340000}"/>
    <cellStyle name="40% - Accent1 3 2 3 2 2 4" xfId="15484" xr:uid="{00000000-0005-0000-0000-00009A340000}"/>
    <cellStyle name="40% - Accent1 3 2 3 2 2 4 2" xfId="16059" xr:uid="{00000000-0005-0000-0000-00009B340000}"/>
    <cellStyle name="40% - Accent1 3 2 3 2 2 5" xfId="15489" xr:uid="{00000000-0005-0000-0000-00009C340000}"/>
    <cellStyle name="40% - Accent1 3 2 3 2 3" xfId="11210" xr:uid="{00000000-0005-0000-0000-00009D340000}"/>
    <cellStyle name="40% - Accent1 3 2 3 2 3 2" xfId="15495" xr:uid="{00000000-0005-0000-0000-00009E340000}"/>
    <cellStyle name="40% - Accent1 3 2 3 2 3 2 2" xfId="26124" xr:uid="{00000000-0005-0000-0000-00009F340000}"/>
    <cellStyle name="40% - Accent1 3 2 3 2 3 2 2 2" xfId="33669" xr:uid="{00000000-0005-0000-0000-0000A0340000}"/>
    <cellStyle name="40% - Accent1 3 2 3 2 3 2 3" xfId="15501" xr:uid="{00000000-0005-0000-0000-0000A1340000}"/>
    <cellStyle name="40% - Accent1 3 2 3 2 3 3" xfId="12652" xr:uid="{00000000-0005-0000-0000-0000A2340000}"/>
    <cellStyle name="40% - Accent1 3 2 3 2 3 3 2" xfId="15503" xr:uid="{00000000-0005-0000-0000-0000A3340000}"/>
    <cellStyle name="40% - Accent1 3 2 3 2 3 4" xfId="14223" xr:uid="{00000000-0005-0000-0000-0000A4340000}"/>
    <cellStyle name="40% - Accent1 3 2 3 2 4" xfId="15504" xr:uid="{00000000-0005-0000-0000-0000A5340000}"/>
    <cellStyle name="40% - Accent1 3 2 3 2 4 2" xfId="15508" xr:uid="{00000000-0005-0000-0000-0000A6340000}"/>
    <cellStyle name="40% - Accent1 3 2 3 2 4 2 2" xfId="29765" xr:uid="{00000000-0005-0000-0000-0000A7340000}"/>
    <cellStyle name="40% - Accent1 3 2 3 2 4 3" xfId="11512" xr:uid="{00000000-0005-0000-0000-0000A8340000}"/>
    <cellStyle name="40% - Accent1 3 2 3 2 5" xfId="15511" xr:uid="{00000000-0005-0000-0000-0000A9340000}"/>
    <cellStyle name="40% - Accent1 3 2 3 2 5 2" xfId="15516" xr:uid="{00000000-0005-0000-0000-0000AA340000}"/>
    <cellStyle name="40% - Accent1 3 2 3 2 6" xfId="15518" xr:uid="{00000000-0005-0000-0000-0000AB340000}"/>
    <cellStyle name="40% - Accent1 3 2 3 3" xfId="18201" xr:uid="{00000000-0005-0000-0000-0000AC340000}"/>
    <cellStyle name="40% - Accent1 3 2 3 3 2" xfId="11101" xr:uid="{00000000-0005-0000-0000-0000AD340000}"/>
    <cellStyle name="40% - Accent1 3 2 3 3 2 2" xfId="10949" xr:uid="{00000000-0005-0000-0000-0000AE340000}"/>
    <cellStyle name="40% - Accent1 3 2 3 3 2 2 2" xfId="26340" xr:uid="{00000000-0005-0000-0000-0000AF340000}"/>
    <cellStyle name="40% - Accent1 3 2 3 3 2 2 2 2" xfId="15520" xr:uid="{00000000-0005-0000-0000-0000B0340000}"/>
    <cellStyle name="40% - Accent1 3 2 3 3 2 2 3" xfId="11556" xr:uid="{00000000-0005-0000-0000-0000B1340000}"/>
    <cellStyle name="40% - Accent1 3 2 3 3 2 3" xfId="12255" xr:uid="{00000000-0005-0000-0000-0000B2340000}"/>
    <cellStyle name="40% - Accent1 3 2 3 3 2 3 2" xfId="9767" xr:uid="{00000000-0005-0000-0000-0000B3340000}"/>
    <cellStyle name="40% - Accent1 3 2 3 3 2 4" xfId="15524" xr:uid="{00000000-0005-0000-0000-0000B4340000}"/>
    <cellStyle name="40% - Accent1 3 2 3 3 3" xfId="12263" xr:uid="{00000000-0005-0000-0000-0000B5340000}"/>
    <cellStyle name="40% - Accent1 3 2 3 3 3 2" xfId="12268" xr:uid="{00000000-0005-0000-0000-0000B6340000}"/>
    <cellStyle name="40% - Accent1 3 2 3 3 3 2 2" xfId="33461" xr:uid="{00000000-0005-0000-0000-0000B7340000}"/>
    <cellStyle name="40% - Accent1 3 2 3 3 3 3" xfId="11525" xr:uid="{00000000-0005-0000-0000-0000B8340000}"/>
    <cellStyle name="40% - Accent1 3 2 3 3 4" xfId="12273" xr:uid="{00000000-0005-0000-0000-0000B9340000}"/>
    <cellStyle name="40% - Accent1 3 2 3 3 4 2" xfId="15526" xr:uid="{00000000-0005-0000-0000-0000BA340000}"/>
    <cellStyle name="40% - Accent1 3 2 3 3 5" xfId="15530" xr:uid="{00000000-0005-0000-0000-0000BB340000}"/>
    <cellStyle name="40% - Accent1 3 2 3 4" xfId="15533" xr:uid="{00000000-0005-0000-0000-0000BC340000}"/>
    <cellStyle name="40% - Accent1 3 2 3 4 2" xfId="5182" xr:uid="{00000000-0005-0000-0000-0000BD340000}"/>
    <cellStyle name="40% - Accent1 3 2 3 4 2 2" xfId="5581" xr:uid="{00000000-0005-0000-0000-0000BE340000}"/>
    <cellStyle name="40% - Accent1 3 2 3 4 2 2 2" xfId="15534" xr:uid="{00000000-0005-0000-0000-0000BF340000}"/>
    <cellStyle name="40% - Accent1 3 2 3 4 2 3" xfId="14729" xr:uid="{00000000-0005-0000-0000-0000C0340000}"/>
    <cellStyle name="40% - Accent1 3 2 3 4 3" xfId="11533" xr:uid="{00000000-0005-0000-0000-0000C1340000}"/>
    <cellStyle name="40% - Accent1 3 2 3 4 3 2" xfId="11538" xr:uid="{00000000-0005-0000-0000-0000C2340000}"/>
    <cellStyle name="40% - Accent1 3 2 3 4 4" xfId="24815" xr:uid="{00000000-0005-0000-0000-0000C3340000}"/>
    <cellStyle name="40% - Accent1 3 2 3 5" xfId="15536" xr:uid="{00000000-0005-0000-0000-0000C4340000}"/>
    <cellStyle name="40% - Accent1 3 2 3 5 2" xfId="11546" xr:uid="{00000000-0005-0000-0000-0000C5340000}"/>
    <cellStyle name="40% - Accent1 3 2 3 5 2 2" xfId="11550" xr:uid="{00000000-0005-0000-0000-0000C6340000}"/>
    <cellStyle name="40% - Accent1 3 2 3 5 3" xfId="15537" xr:uid="{00000000-0005-0000-0000-0000C7340000}"/>
    <cellStyle name="40% - Accent1 3 2 3 6" xfId="11554" xr:uid="{00000000-0005-0000-0000-0000C8340000}"/>
    <cellStyle name="40% - Accent1 3 2 3 6 2" xfId="11555" xr:uid="{00000000-0005-0000-0000-0000C9340000}"/>
    <cellStyle name="40% - Accent1 3 2 3 7" xfId="7677" xr:uid="{00000000-0005-0000-0000-0000CA340000}"/>
    <cellStyle name="40% - Accent1 3 2 4" xfId="15540" xr:uid="{00000000-0005-0000-0000-0000CB340000}"/>
    <cellStyle name="40% - Accent1 3 2 4 2" xfId="15541" xr:uid="{00000000-0005-0000-0000-0000CC340000}"/>
    <cellStyle name="40% - Accent1 3 2 4 2 2" xfId="14145" xr:uid="{00000000-0005-0000-0000-0000CD340000}"/>
    <cellStyle name="40% - Accent1 3 2 4 2 2 2" xfId="15544" xr:uid="{00000000-0005-0000-0000-0000CE340000}"/>
    <cellStyle name="40% - Accent1 3 2 4 2 2 2 2" xfId="14783" xr:uid="{00000000-0005-0000-0000-0000CF340000}"/>
    <cellStyle name="40% - Accent1 3 2 4 2 2 2 2 2" xfId="21262" xr:uid="{00000000-0005-0000-0000-0000D0340000}"/>
    <cellStyle name="40% - Accent1 3 2 4 2 2 2 3" xfId="14786" xr:uid="{00000000-0005-0000-0000-0000D1340000}"/>
    <cellStyle name="40% - Accent1 3 2 4 2 2 3" xfId="15549" xr:uid="{00000000-0005-0000-0000-0000D2340000}"/>
    <cellStyle name="40% - Accent1 3 2 4 2 2 3 2" xfId="32494" xr:uid="{00000000-0005-0000-0000-0000D3340000}"/>
    <cellStyle name="40% - Accent1 3 2 4 2 2 4" xfId="15551" xr:uid="{00000000-0005-0000-0000-0000D4340000}"/>
    <cellStyle name="40% - Accent1 3 2 4 2 3" xfId="15557" xr:uid="{00000000-0005-0000-0000-0000D5340000}"/>
    <cellStyle name="40% - Accent1 3 2 4 2 3 2" xfId="15559" xr:uid="{00000000-0005-0000-0000-0000D6340000}"/>
    <cellStyle name="40% - Accent1 3 2 4 2 3 2 2" xfId="14813" xr:uid="{00000000-0005-0000-0000-0000D7340000}"/>
    <cellStyle name="40% - Accent1 3 2 4 2 3 3" xfId="14246" xr:uid="{00000000-0005-0000-0000-0000D8340000}"/>
    <cellStyle name="40% - Accent1 3 2 4 2 4" xfId="15564" xr:uid="{00000000-0005-0000-0000-0000D9340000}"/>
    <cellStyle name="40% - Accent1 3 2 4 2 4 2" xfId="15571" xr:uid="{00000000-0005-0000-0000-0000DA340000}"/>
    <cellStyle name="40% - Accent1 3 2 4 2 5" xfId="15578" xr:uid="{00000000-0005-0000-0000-0000DB340000}"/>
    <cellStyle name="40% - Accent1 3 2 4 3" xfId="14152" xr:uid="{00000000-0005-0000-0000-0000DC340000}"/>
    <cellStyle name="40% - Accent1 3 2 4 3 2" xfId="12326" xr:uid="{00000000-0005-0000-0000-0000DD340000}"/>
    <cellStyle name="40% - Accent1 3 2 4 3 2 2" xfId="4258" xr:uid="{00000000-0005-0000-0000-0000DE340000}"/>
    <cellStyle name="40% - Accent1 3 2 4 3 2 2 2" xfId="21939" xr:uid="{00000000-0005-0000-0000-0000DF340000}"/>
    <cellStyle name="40% - Accent1 3 2 4 3 2 3" xfId="15581" xr:uid="{00000000-0005-0000-0000-0000E0340000}"/>
    <cellStyle name="40% - Accent1 3 2 4 3 3" xfId="12331" xr:uid="{00000000-0005-0000-0000-0000E1340000}"/>
    <cellStyle name="40% - Accent1 3 2 4 3 3 2" xfId="15583" xr:uid="{00000000-0005-0000-0000-0000E2340000}"/>
    <cellStyle name="40% - Accent1 3 2 4 3 4" xfId="15589" xr:uid="{00000000-0005-0000-0000-0000E3340000}"/>
    <cellStyle name="40% - Accent1 3 2 4 4" xfId="12926" xr:uid="{00000000-0005-0000-0000-0000E4340000}"/>
    <cellStyle name="40% - Accent1 3 2 4 4 2" xfId="8441" xr:uid="{00000000-0005-0000-0000-0000E5340000}"/>
    <cellStyle name="40% - Accent1 3 2 4 4 2 2" xfId="20495" xr:uid="{00000000-0005-0000-0000-0000E6340000}"/>
    <cellStyle name="40% - Accent1 3 2 4 4 3" xfId="15591" xr:uid="{00000000-0005-0000-0000-0000E7340000}"/>
    <cellStyle name="40% - Accent1 3 2 4 5" xfId="15594" xr:uid="{00000000-0005-0000-0000-0000E8340000}"/>
    <cellStyle name="40% - Accent1 3 2 4 5 2" xfId="7517" xr:uid="{00000000-0005-0000-0000-0000E9340000}"/>
    <cellStyle name="40% - Accent1 3 2 4 6" xfId="11584" xr:uid="{00000000-0005-0000-0000-0000EA340000}"/>
    <cellStyle name="40% - Accent1 3 2 5" xfId="13053" xr:uid="{00000000-0005-0000-0000-0000EB340000}"/>
    <cellStyle name="40% - Accent1 3 2 5 2" xfId="14154" xr:uid="{00000000-0005-0000-0000-0000EC340000}"/>
    <cellStyle name="40% - Accent1 3 2 5 2 2" xfId="15596" xr:uid="{00000000-0005-0000-0000-0000ED340000}"/>
    <cellStyle name="40% - Accent1 3 2 5 2 2 2" xfId="15599" xr:uid="{00000000-0005-0000-0000-0000EE340000}"/>
    <cellStyle name="40% - Accent1 3 2 5 2 2 2 2" xfId="14920" xr:uid="{00000000-0005-0000-0000-0000EF340000}"/>
    <cellStyle name="40% - Accent1 3 2 5 2 2 3" xfId="15600" xr:uid="{00000000-0005-0000-0000-0000F0340000}"/>
    <cellStyle name="40% - Accent1 3 2 5 2 3" xfId="12408" xr:uid="{00000000-0005-0000-0000-0000F1340000}"/>
    <cellStyle name="40% - Accent1 3 2 5 2 3 2" xfId="15603" xr:uid="{00000000-0005-0000-0000-0000F2340000}"/>
    <cellStyle name="40% - Accent1 3 2 5 2 4" xfId="15608" xr:uid="{00000000-0005-0000-0000-0000F3340000}"/>
    <cellStyle name="40% - Accent1 3 2 5 3" xfId="21074" xr:uid="{00000000-0005-0000-0000-0000F4340000}"/>
    <cellStyle name="40% - Accent1 3 2 5 3 2" xfId="12339" xr:uid="{00000000-0005-0000-0000-0000F5340000}"/>
    <cellStyle name="40% - Accent1 3 2 5 3 2 2" xfId="16969" xr:uid="{00000000-0005-0000-0000-0000F6340000}"/>
    <cellStyle name="40% - Accent1 3 2 5 3 3" xfId="15612" xr:uid="{00000000-0005-0000-0000-0000F7340000}"/>
    <cellStyle name="40% - Accent1 3 2 5 4" xfId="15614" xr:uid="{00000000-0005-0000-0000-0000F8340000}"/>
    <cellStyle name="40% - Accent1 3 2 5 4 2" xfId="15616" xr:uid="{00000000-0005-0000-0000-0000F9340000}"/>
    <cellStyle name="40% - Accent1 3 2 5 5" xfId="15618" xr:uid="{00000000-0005-0000-0000-0000FA340000}"/>
    <cellStyle name="40% - Accent1 3 2 6" xfId="12170" xr:uid="{00000000-0005-0000-0000-0000FB340000}"/>
    <cellStyle name="40% - Accent1 3 2 6 2" xfId="15033" xr:uid="{00000000-0005-0000-0000-0000FC340000}"/>
    <cellStyle name="40% - Accent1 3 2 6 2 2" xfId="1120" xr:uid="{00000000-0005-0000-0000-0000FD340000}"/>
    <cellStyle name="40% - Accent1 3 2 6 2 2 2" xfId="15622" xr:uid="{00000000-0005-0000-0000-0000FE340000}"/>
    <cellStyle name="40% - Accent1 3 2 6 2 3" xfId="11614" xr:uid="{00000000-0005-0000-0000-0000FF340000}"/>
    <cellStyle name="40% - Accent1 3 2 6 3" xfId="11618" xr:uid="{00000000-0005-0000-0000-000000350000}"/>
    <cellStyle name="40% - Accent1 3 2 6 3 2" xfId="11620" xr:uid="{00000000-0005-0000-0000-000001350000}"/>
    <cellStyle name="40% - Accent1 3 2 6 4" xfId="11624" xr:uid="{00000000-0005-0000-0000-000002350000}"/>
    <cellStyle name="40% - Accent1 3 2 7" xfId="746" xr:uid="{00000000-0005-0000-0000-000003350000}"/>
    <cellStyle name="40% - Accent1 3 2 7 2" xfId="13691" xr:uid="{00000000-0005-0000-0000-000004350000}"/>
    <cellStyle name="40% - Accent1 3 2 7 2 2" xfId="11941" xr:uid="{00000000-0005-0000-0000-000005350000}"/>
    <cellStyle name="40% - Accent1 3 2 7 3" xfId="11634" xr:uid="{00000000-0005-0000-0000-000006350000}"/>
    <cellStyle name="40% - Accent1 3 2 8" xfId="638" xr:uid="{00000000-0005-0000-0000-000007350000}"/>
    <cellStyle name="40% - Accent1 3 2 8 2" xfId="11636" xr:uid="{00000000-0005-0000-0000-000008350000}"/>
    <cellStyle name="40% - Accent1 3 2 9" xfId="17759" xr:uid="{00000000-0005-0000-0000-000009350000}"/>
    <cellStyle name="40% - Accent1 3 3" xfId="29453" xr:uid="{00000000-0005-0000-0000-00000A350000}"/>
    <cellStyle name="40% - Accent1 3 3 2" xfId="33524" xr:uid="{00000000-0005-0000-0000-00000B350000}"/>
    <cellStyle name="40% - Accent1 3 3 2 2" xfId="15624" xr:uid="{00000000-0005-0000-0000-00000C350000}"/>
    <cellStyle name="40% - Accent1 3 3 2 2 2" xfId="15626" xr:uid="{00000000-0005-0000-0000-00000D350000}"/>
    <cellStyle name="40% - Accent1 3 3 2 2 2 2" xfId="15627" xr:uid="{00000000-0005-0000-0000-00000E350000}"/>
    <cellStyle name="40% - Accent1 3 3 2 2 2 2 2" xfId="15629" xr:uid="{00000000-0005-0000-0000-00000F350000}"/>
    <cellStyle name="40% - Accent1 3 3 2 2 2 2 2 2" xfId="33999" xr:uid="{00000000-0005-0000-0000-000010350000}"/>
    <cellStyle name="40% - Accent1 3 3 2 2 2 2 2 2 2" xfId="15631" xr:uid="{00000000-0005-0000-0000-000011350000}"/>
    <cellStyle name="40% - Accent1 3 3 2 2 2 2 2 3" xfId="26353" xr:uid="{00000000-0005-0000-0000-000012350000}"/>
    <cellStyle name="40% - Accent1 3 3 2 2 2 2 3" xfId="15632" xr:uid="{00000000-0005-0000-0000-000013350000}"/>
    <cellStyle name="40% - Accent1 3 3 2 2 2 2 3 2" xfId="12041" xr:uid="{00000000-0005-0000-0000-000014350000}"/>
    <cellStyle name="40% - Accent1 3 3 2 2 2 2 4" xfId="16737" xr:uid="{00000000-0005-0000-0000-000015350000}"/>
    <cellStyle name="40% - Accent1 3 3 2 2 2 3" xfId="15634" xr:uid="{00000000-0005-0000-0000-000016350000}"/>
    <cellStyle name="40% - Accent1 3 3 2 2 2 3 2" xfId="4380" xr:uid="{00000000-0005-0000-0000-000017350000}"/>
    <cellStyle name="40% - Accent1 3 3 2 2 2 3 2 2" xfId="27225" xr:uid="{00000000-0005-0000-0000-000018350000}"/>
    <cellStyle name="40% - Accent1 3 3 2 2 2 3 3" xfId="4933" xr:uid="{00000000-0005-0000-0000-000019350000}"/>
    <cellStyle name="40% - Accent1 3 3 2 2 2 4" xfId="11041" xr:uid="{00000000-0005-0000-0000-00001A350000}"/>
    <cellStyle name="40% - Accent1 3 3 2 2 2 4 2" xfId="4985" xr:uid="{00000000-0005-0000-0000-00001B350000}"/>
    <cellStyle name="40% - Accent1 3 3 2 2 2 5" xfId="15640" xr:uid="{00000000-0005-0000-0000-00001C350000}"/>
    <cellStyle name="40% - Accent1 3 3 2 2 3" xfId="9922" xr:uid="{00000000-0005-0000-0000-00001D350000}"/>
    <cellStyle name="40% - Accent1 3 3 2 2 3 2" xfId="15643" xr:uid="{00000000-0005-0000-0000-00001E350000}"/>
    <cellStyle name="40% - Accent1 3 3 2 2 3 2 2" xfId="15645" xr:uid="{00000000-0005-0000-0000-00001F350000}"/>
    <cellStyle name="40% - Accent1 3 3 2 2 3 2 2 2" xfId="1379" xr:uid="{00000000-0005-0000-0000-000020350000}"/>
    <cellStyle name="40% - Accent1 3 3 2 2 3 2 3" xfId="31348" xr:uid="{00000000-0005-0000-0000-000021350000}"/>
    <cellStyle name="40% - Accent1 3 3 2 2 3 3" xfId="24329" xr:uid="{00000000-0005-0000-0000-000022350000}"/>
    <cellStyle name="40% - Accent1 3 3 2 2 3 3 2" xfId="5089" xr:uid="{00000000-0005-0000-0000-000023350000}"/>
    <cellStyle name="40% - Accent1 3 3 2 2 3 4" xfId="15651" xr:uid="{00000000-0005-0000-0000-000024350000}"/>
    <cellStyle name="40% - Accent1 3 3 2 2 4" xfId="15653" xr:uid="{00000000-0005-0000-0000-000025350000}"/>
    <cellStyle name="40% - Accent1 3 3 2 2 4 2" xfId="15659" xr:uid="{00000000-0005-0000-0000-000026350000}"/>
    <cellStyle name="40% - Accent1 3 3 2 2 4 2 2" xfId="15662" xr:uid="{00000000-0005-0000-0000-000027350000}"/>
    <cellStyle name="40% - Accent1 3 3 2 2 4 3" xfId="15663" xr:uid="{00000000-0005-0000-0000-000028350000}"/>
    <cellStyle name="40% - Accent1 3 3 2 2 5" xfId="15664" xr:uid="{00000000-0005-0000-0000-000029350000}"/>
    <cellStyle name="40% - Accent1 3 3 2 2 5 2" xfId="15669" xr:uid="{00000000-0005-0000-0000-00002A350000}"/>
    <cellStyle name="40% - Accent1 3 3 2 2 6" xfId="30184" xr:uid="{00000000-0005-0000-0000-00002B350000}"/>
    <cellStyle name="40% - Accent1 3 3 2 3" xfId="19405" xr:uid="{00000000-0005-0000-0000-00002C350000}"/>
    <cellStyle name="40% - Accent1 3 3 2 3 2" xfId="15671" xr:uid="{00000000-0005-0000-0000-00002D350000}"/>
    <cellStyle name="40% - Accent1 3 3 2 3 2 2" xfId="15672" xr:uid="{00000000-0005-0000-0000-00002E350000}"/>
    <cellStyle name="40% - Accent1 3 3 2 3 2 2 2" xfId="15674" xr:uid="{00000000-0005-0000-0000-00002F350000}"/>
    <cellStyle name="40% - Accent1 3 3 2 3 2 2 2 2" xfId="27940" xr:uid="{00000000-0005-0000-0000-000030350000}"/>
    <cellStyle name="40% - Accent1 3 3 2 3 2 2 3" xfId="15679" xr:uid="{00000000-0005-0000-0000-000031350000}"/>
    <cellStyle name="40% - Accent1 3 3 2 3 2 3" xfId="4291" xr:uid="{00000000-0005-0000-0000-000032350000}"/>
    <cellStyle name="40% - Accent1 3 3 2 3 2 3 2" xfId="32252" xr:uid="{00000000-0005-0000-0000-000033350000}"/>
    <cellStyle name="40% - Accent1 3 3 2 3 2 4" xfId="15690" xr:uid="{00000000-0005-0000-0000-000034350000}"/>
    <cellStyle name="40% - Accent1 3 3 2 3 3" xfId="15692" xr:uid="{00000000-0005-0000-0000-000035350000}"/>
    <cellStyle name="40% - Accent1 3 3 2 3 3 2" xfId="27250" xr:uid="{00000000-0005-0000-0000-000036350000}"/>
    <cellStyle name="40% - Accent1 3 3 2 3 3 2 2" xfId="4484" xr:uid="{00000000-0005-0000-0000-000037350000}"/>
    <cellStyle name="40% - Accent1 3 3 2 3 3 3" xfId="15693" xr:uid="{00000000-0005-0000-0000-000038350000}"/>
    <cellStyle name="40% - Accent1 3 3 2 3 4" xfId="15694" xr:uid="{00000000-0005-0000-0000-000039350000}"/>
    <cellStyle name="40% - Accent1 3 3 2 3 4 2" xfId="15697" xr:uid="{00000000-0005-0000-0000-00003A350000}"/>
    <cellStyle name="40% - Accent1 3 3 2 3 5" xfId="15698" xr:uid="{00000000-0005-0000-0000-00003B350000}"/>
    <cellStyle name="40% - Accent1 3 3 2 4" xfId="15699" xr:uid="{00000000-0005-0000-0000-00003C350000}"/>
    <cellStyle name="40% - Accent1 3 3 2 4 2" xfId="15700" xr:uid="{00000000-0005-0000-0000-00003D350000}"/>
    <cellStyle name="40% - Accent1 3 3 2 4 2 2" xfId="5255" xr:uid="{00000000-0005-0000-0000-00003E350000}"/>
    <cellStyle name="40% - Accent1 3 3 2 4 2 2 2" xfId="31928" xr:uid="{00000000-0005-0000-0000-00003F350000}"/>
    <cellStyle name="40% - Accent1 3 3 2 4 2 3" xfId="6140" xr:uid="{00000000-0005-0000-0000-000040350000}"/>
    <cellStyle name="40% - Accent1 3 3 2 4 3" xfId="15701" xr:uid="{00000000-0005-0000-0000-000041350000}"/>
    <cellStyle name="40% - Accent1 3 3 2 4 3 2" xfId="5286" xr:uid="{00000000-0005-0000-0000-000042350000}"/>
    <cellStyle name="40% - Accent1 3 3 2 4 4" xfId="15702" xr:uid="{00000000-0005-0000-0000-000043350000}"/>
    <cellStyle name="40% - Accent1 3 3 2 5" xfId="15703" xr:uid="{00000000-0005-0000-0000-000044350000}"/>
    <cellStyle name="40% - Accent1 3 3 2 5 2" xfId="15705" xr:uid="{00000000-0005-0000-0000-000045350000}"/>
    <cellStyle name="40% - Accent1 3 3 2 5 2 2" xfId="8764" xr:uid="{00000000-0005-0000-0000-000046350000}"/>
    <cellStyle name="40% - Accent1 3 3 2 5 3" xfId="15706" xr:uid="{00000000-0005-0000-0000-000047350000}"/>
    <cellStyle name="40% - Accent1 3 3 2 6" xfId="1945" xr:uid="{00000000-0005-0000-0000-000048350000}"/>
    <cellStyle name="40% - Accent1 3 3 2 6 2" xfId="33730" xr:uid="{00000000-0005-0000-0000-000049350000}"/>
    <cellStyle name="40% - Accent1 3 3 2 7" xfId="1086" xr:uid="{00000000-0005-0000-0000-00004A350000}"/>
    <cellStyle name="40% - Accent1 3 3 3" xfId="15708" xr:uid="{00000000-0005-0000-0000-00004B350000}"/>
    <cellStyle name="40% - Accent1 3 3 3 2" xfId="15709" xr:uid="{00000000-0005-0000-0000-00004C350000}"/>
    <cellStyle name="40% - Accent1 3 3 3 2 2" xfId="28895" xr:uid="{00000000-0005-0000-0000-00004D350000}"/>
    <cellStyle name="40% - Accent1 3 3 3 2 2 2" xfId="15714" xr:uid="{00000000-0005-0000-0000-00004E350000}"/>
    <cellStyle name="40% - Accent1 3 3 3 2 2 2 2" xfId="25826" xr:uid="{00000000-0005-0000-0000-00004F350000}"/>
    <cellStyle name="40% - Accent1 3 3 3 2 2 2 2 2" xfId="15716" xr:uid="{00000000-0005-0000-0000-000050350000}"/>
    <cellStyle name="40% - Accent1 3 3 3 2 2 2 3" xfId="15719" xr:uid="{00000000-0005-0000-0000-000051350000}"/>
    <cellStyle name="40% - Accent1 3 3 3 2 2 3" xfId="15725" xr:uid="{00000000-0005-0000-0000-000052350000}"/>
    <cellStyle name="40% - Accent1 3 3 3 2 2 3 2" xfId="5605" xr:uid="{00000000-0005-0000-0000-000053350000}"/>
    <cellStyle name="40% - Accent1 3 3 3 2 2 4" xfId="15730" xr:uid="{00000000-0005-0000-0000-000054350000}"/>
    <cellStyle name="40% - Accent1 3 3 3 2 3" xfId="15736" xr:uid="{00000000-0005-0000-0000-000055350000}"/>
    <cellStyle name="40% - Accent1 3 3 3 2 3 2" xfId="26616" xr:uid="{00000000-0005-0000-0000-000056350000}"/>
    <cellStyle name="40% - Accent1 3 3 3 2 3 2 2" xfId="2648" xr:uid="{00000000-0005-0000-0000-000057350000}"/>
    <cellStyle name="40% - Accent1 3 3 3 2 3 3" xfId="15744" xr:uid="{00000000-0005-0000-0000-000058350000}"/>
    <cellStyle name="40% - Accent1 3 3 3 2 4" xfId="15747" xr:uid="{00000000-0005-0000-0000-000059350000}"/>
    <cellStyle name="40% - Accent1 3 3 3 2 4 2" xfId="26543" xr:uid="{00000000-0005-0000-0000-00005A350000}"/>
    <cellStyle name="40% - Accent1 3 3 3 2 5" xfId="15752" xr:uid="{00000000-0005-0000-0000-00005B350000}"/>
    <cellStyle name="40% - Accent1 3 3 3 3" xfId="27537" xr:uid="{00000000-0005-0000-0000-00005C350000}"/>
    <cellStyle name="40% - Accent1 3 3 3 3 2" xfId="12388" xr:uid="{00000000-0005-0000-0000-00005D350000}"/>
    <cellStyle name="40% - Accent1 3 3 3 3 2 2" xfId="30164" xr:uid="{00000000-0005-0000-0000-00005E350000}"/>
    <cellStyle name="40% - Accent1 3 3 3 3 2 2 2" xfId="27727" xr:uid="{00000000-0005-0000-0000-00005F350000}"/>
    <cellStyle name="40% - Accent1 3 3 3 3 2 3" xfId="15756" xr:uid="{00000000-0005-0000-0000-000060350000}"/>
    <cellStyle name="40% - Accent1 3 3 3 3 3" xfId="12396" xr:uid="{00000000-0005-0000-0000-000061350000}"/>
    <cellStyle name="40% - Accent1 3 3 3 3 3 2" xfId="15762" xr:uid="{00000000-0005-0000-0000-000062350000}"/>
    <cellStyle name="40% - Accent1 3 3 3 3 4" xfId="15766" xr:uid="{00000000-0005-0000-0000-000063350000}"/>
    <cellStyle name="40% - Accent1 3 3 3 4" xfId="15768" xr:uid="{00000000-0005-0000-0000-000064350000}"/>
    <cellStyle name="40% - Accent1 3 3 3 4 2" xfId="11694" xr:uid="{00000000-0005-0000-0000-000065350000}"/>
    <cellStyle name="40% - Accent1 3 3 3 4 2 2" xfId="9525" xr:uid="{00000000-0005-0000-0000-000066350000}"/>
    <cellStyle name="40% - Accent1 3 3 3 4 3" xfId="15771" xr:uid="{00000000-0005-0000-0000-000067350000}"/>
    <cellStyle name="40% - Accent1 3 3 3 5" xfId="15774" xr:uid="{00000000-0005-0000-0000-000068350000}"/>
    <cellStyle name="40% - Accent1 3 3 3 5 2" xfId="15778" xr:uid="{00000000-0005-0000-0000-000069350000}"/>
    <cellStyle name="40% - Accent1 3 3 3 6" xfId="12921" xr:uid="{00000000-0005-0000-0000-00006A350000}"/>
    <cellStyle name="40% - Accent1 3 3 4" xfId="15780" xr:uid="{00000000-0005-0000-0000-00006B350000}"/>
    <cellStyle name="40% - Accent1 3 3 4 2" xfId="15781" xr:uid="{00000000-0005-0000-0000-00006C350000}"/>
    <cellStyle name="40% - Accent1 3 3 4 2 2" xfId="5361" xr:uid="{00000000-0005-0000-0000-00006D350000}"/>
    <cellStyle name="40% - Accent1 3 3 4 2 2 2" xfId="16995" xr:uid="{00000000-0005-0000-0000-00006E350000}"/>
    <cellStyle name="40% - Accent1 3 3 4 2 2 2 2" xfId="32197" xr:uid="{00000000-0005-0000-0000-00006F350000}"/>
    <cellStyle name="40% - Accent1 3 3 4 2 2 3" xfId="15784" xr:uid="{00000000-0005-0000-0000-000070350000}"/>
    <cellStyle name="40% - Accent1 3 3 4 2 3" xfId="5544" xr:uid="{00000000-0005-0000-0000-000071350000}"/>
    <cellStyle name="40% - Accent1 3 3 4 2 3 2" xfId="15787" xr:uid="{00000000-0005-0000-0000-000072350000}"/>
    <cellStyle name="40% - Accent1 3 3 4 2 4" xfId="15789" xr:uid="{00000000-0005-0000-0000-000073350000}"/>
    <cellStyle name="40% - Accent1 3 3 4 3" xfId="11868" xr:uid="{00000000-0005-0000-0000-000074350000}"/>
    <cellStyle name="40% - Accent1 3 3 4 3 2" xfId="12428" xr:uid="{00000000-0005-0000-0000-000075350000}"/>
    <cellStyle name="40% - Accent1 3 3 4 3 2 2" xfId="15796" xr:uid="{00000000-0005-0000-0000-000076350000}"/>
    <cellStyle name="40% - Accent1 3 3 4 3 3" xfId="15800" xr:uid="{00000000-0005-0000-0000-000077350000}"/>
    <cellStyle name="40% - Accent1 3 3 4 4" xfId="15804" xr:uid="{00000000-0005-0000-0000-000078350000}"/>
    <cellStyle name="40% - Accent1 3 3 4 4 2" xfId="11709" xr:uid="{00000000-0005-0000-0000-000079350000}"/>
    <cellStyle name="40% - Accent1 3 3 4 5" xfId="15807" xr:uid="{00000000-0005-0000-0000-00007A350000}"/>
    <cellStyle name="40% - Accent1 3 3 5" xfId="12178" xr:uid="{00000000-0005-0000-0000-00007B350000}"/>
    <cellStyle name="40% - Accent1 3 3 5 2" xfId="32993" xr:uid="{00000000-0005-0000-0000-00007C350000}"/>
    <cellStyle name="40% - Accent1 3 3 5 2 2" xfId="8588" xr:uid="{00000000-0005-0000-0000-00007D350000}"/>
    <cellStyle name="40% - Accent1 3 3 5 2 2 2" xfId="9809" xr:uid="{00000000-0005-0000-0000-00007E350000}"/>
    <cellStyle name="40% - Accent1 3 3 5 2 3" xfId="15809" xr:uid="{00000000-0005-0000-0000-00007F350000}"/>
    <cellStyle name="40% - Accent1 3 3 5 3" xfId="15812" xr:uid="{00000000-0005-0000-0000-000080350000}"/>
    <cellStyle name="40% - Accent1 3 3 5 3 2" xfId="15814" xr:uid="{00000000-0005-0000-0000-000081350000}"/>
    <cellStyle name="40% - Accent1 3 3 5 4" xfId="24278" xr:uid="{00000000-0005-0000-0000-000082350000}"/>
    <cellStyle name="40% - Accent1 3 3 6" xfId="8792" xr:uid="{00000000-0005-0000-0000-000083350000}"/>
    <cellStyle name="40% - Accent1 3 3 6 2" xfId="11718" xr:uid="{00000000-0005-0000-0000-000084350000}"/>
    <cellStyle name="40% - Accent1 3 3 6 2 2" xfId="11719" xr:uid="{00000000-0005-0000-0000-000085350000}"/>
    <cellStyle name="40% - Accent1 3 3 6 3" xfId="11724" xr:uid="{00000000-0005-0000-0000-000086350000}"/>
    <cellStyle name="40% - Accent1 3 3 7" xfId="297" xr:uid="{00000000-0005-0000-0000-000087350000}"/>
    <cellStyle name="40% - Accent1 3 3 7 2" xfId="11731" xr:uid="{00000000-0005-0000-0000-000088350000}"/>
    <cellStyle name="40% - Accent1 3 3 8" xfId="17776" xr:uid="{00000000-0005-0000-0000-000089350000}"/>
    <cellStyle name="40% - Accent1 3 4" xfId="16396" xr:uid="{00000000-0005-0000-0000-00008A350000}"/>
    <cellStyle name="40% - Accent1 3 4 2" xfId="30199" xr:uid="{00000000-0005-0000-0000-00008B350000}"/>
    <cellStyle name="40% - Accent1 3 4 2 2" xfId="28822" xr:uid="{00000000-0005-0000-0000-00008C350000}"/>
    <cellStyle name="40% - Accent1 3 4 2 2 2" xfId="15816" xr:uid="{00000000-0005-0000-0000-00008D350000}"/>
    <cellStyle name="40% - Accent1 3 4 2 2 2 2" xfId="9392" xr:uid="{00000000-0005-0000-0000-00008E350000}"/>
    <cellStyle name="40% - Accent1 3 4 2 2 2 2 2" xfId="32179" xr:uid="{00000000-0005-0000-0000-00008F350000}"/>
    <cellStyle name="40% - Accent1 3 4 2 2 2 2 2 2" xfId="27095" xr:uid="{00000000-0005-0000-0000-000090350000}"/>
    <cellStyle name="40% - Accent1 3 4 2 2 2 2 3" xfId="15817" xr:uid="{00000000-0005-0000-0000-000091350000}"/>
    <cellStyle name="40% - Accent1 3 4 2 2 2 3" xfId="15819" xr:uid="{00000000-0005-0000-0000-000092350000}"/>
    <cellStyle name="40% - Accent1 3 4 2 2 2 3 2" xfId="15821" xr:uid="{00000000-0005-0000-0000-000093350000}"/>
    <cellStyle name="40% - Accent1 3 4 2 2 2 4" xfId="15823" xr:uid="{00000000-0005-0000-0000-000094350000}"/>
    <cellStyle name="40% - Accent1 3 4 2 2 3" xfId="30152" xr:uid="{00000000-0005-0000-0000-000095350000}"/>
    <cellStyle name="40% - Accent1 3 4 2 2 3 2" xfId="26109" xr:uid="{00000000-0005-0000-0000-000096350000}"/>
    <cellStyle name="40% - Accent1 3 4 2 2 3 2 2" xfId="15825" xr:uid="{00000000-0005-0000-0000-000097350000}"/>
    <cellStyle name="40% - Accent1 3 4 2 2 3 3" xfId="16835" xr:uid="{00000000-0005-0000-0000-000098350000}"/>
    <cellStyle name="40% - Accent1 3 4 2 2 4" xfId="15826" xr:uid="{00000000-0005-0000-0000-000099350000}"/>
    <cellStyle name="40% - Accent1 3 4 2 2 4 2" xfId="28647" xr:uid="{00000000-0005-0000-0000-00009A350000}"/>
    <cellStyle name="40% - Accent1 3 4 2 2 5" xfId="15829" xr:uid="{00000000-0005-0000-0000-00009B350000}"/>
    <cellStyle name="40% - Accent1 3 4 2 3" xfId="15830" xr:uid="{00000000-0005-0000-0000-00009C350000}"/>
    <cellStyle name="40% - Accent1 3 4 2 3 2" xfId="15832" xr:uid="{00000000-0005-0000-0000-00009D350000}"/>
    <cellStyle name="40% - Accent1 3 4 2 3 2 2" xfId="19205" xr:uid="{00000000-0005-0000-0000-00009E350000}"/>
    <cellStyle name="40% - Accent1 3 4 2 3 2 2 2" xfId="15835" xr:uid="{00000000-0005-0000-0000-00009F350000}"/>
    <cellStyle name="40% - Accent1 3 4 2 3 2 3" xfId="33943" xr:uid="{00000000-0005-0000-0000-0000A0350000}"/>
    <cellStyle name="40% - Accent1 3 4 2 3 3" xfId="15836" xr:uid="{00000000-0005-0000-0000-0000A1350000}"/>
    <cellStyle name="40% - Accent1 3 4 2 3 3 2" xfId="3223" xr:uid="{00000000-0005-0000-0000-0000A2350000}"/>
    <cellStyle name="40% - Accent1 3 4 2 3 4" xfId="15838" xr:uid="{00000000-0005-0000-0000-0000A3350000}"/>
    <cellStyle name="40% - Accent1 3 4 2 4" xfId="33703" xr:uid="{00000000-0005-0000-0000-0000A4350000}"/>
    <cellStyle name="40% - Accent1 3 4 2 4 2" xfId="15839" xr:uid="{00000000-0005-0000-0000-0000A5350000}"/>
    <cellStyle name="40% - Accent1 3 4 2 4 2 2" xfId="6014" xr:uid="{00000000-0005-0000-0000-0000A6350000}"/>
    <cellStyle name="40% - Accent1 3 4 2 4 3" xfId="32737" xr:uid="{00000000-0005-0000-0000-0000A7350000}"/>
    <cellStyle name="40% - Accent1 3 4 2 5" xfId="24428" xr:uid="{00000000-0005-0000-0000-0000A8350000}"/>
    <cellStyle name="40% - Accent1 3 4 2 5 2" xfId="27213" xr:uid="{00000000-0005-0000-0000-0000A9350000}"/>
    <cellStyle name="40% - Accent1 3 4 2 6" xfId="1289" xr:uid="{00000000-0005-0000-0000-0000AA350000}"/>
    <cellStyle name="40% - Accent1 3 4 3" xfId="15841" xr:uid="{00000000-0005-0000-0000-0000AB350000}"/>
    <cellStyle name="40% - Accent1 3 4 3 2" xfId="25916" xr:uid="{00000000-0005-0000-0000-0000AC350000}"/>
    <cellStyle name="40% - Accent1 3 4 3 2 2" xfId="15843" xr:uid="{00000000-0005-0000-0000-0000AD350000}"/>
    <cellStyle name="40% - Accent1 3 4 3 2 2 2" xfId="19354" xr:uid="{00000000-0005-0000-0000-0000AE350000}"/>
    <cellStyle name="40% - Accent1 3 4 3 2 2 2 2" xfId="24919" xr:uid="{00000000-0005-0000-0000-0000AF350000}"/>
    <cellStyle name="40% - Accent1 3 4 3 2 2 3" xfId="15845" xr:uid="{00000000-0005-0000-0000-0000B0350000}"/>
    <cellStyle name="40% - Accent1 3 4 3 2 3" xfId="15850" xr:uid="{00000000-0005-0000-0000-0000B1350000}"/>
    <cellStyle name="40% - Accent1 3 4 3 2 3 2" xfId="15854" xr:uid="{00000000-0005-0000-0000-0000B2350000}"/>
    <cellStyle name="40% - Accent1 3 4 3 2 4" xfId="15857" xr:uid="{00000000-0005-0000-0000-0000B3350000}"/>
    <cellStyle name="40% - Accent1 3 4 3 3" xfId="31238" xr:uid="{00000000-0005-0000-0000-0000B4350000}"/>
    <cellStyle name="40% - Accent1 3 4 3 3 2" xfId="12466" xr:uid="{00000000-0005-0000-0000-0000B5350000}"/>
    <cellStyle name="40% - Accent1 3 4 3 3 2 2" xfId="14417" xr:uid="{00000000-0005-0000-0000-0000B6350000}"/>
    <cellStyle name="40% - Accent1 3 4 3 3 3" xfId="15861" xr:uid="{00000000-0005-0000-0000-0000B7350000}"/>
    <cellStyle name="40% - Accent1 3 4 3 4" xfId="15863" xr:uid="{00000000-0005-0000-0000-0000B8350000}"/>
    <cellStyle name="40% - Accent1 3 4 3 4 2" xfId="15866" xr:uid="{00000000-0005-0000-0000-0000B9350000}"/>
    <cellStyle name="40% - Accent1 3 4 3 5" xfId="15869" xr:uid="{00000000-0005-0000-0000-0000BA350000}"/>
    <cellStyle name="40% - Accent1 3 4 4" xfId="15871" xr:uid="{00000000-0005-0000-0000-0000BB350000}"/>
    <cellStyle name="40% - Accent1 3 4 4 2" xfId="15873" xr:uid="{00000000-0005-0000-0000-0000BC350000}"/>
    <cellStyle name="40% - Accent1 3 4 4 2 2" xfId="5401" xr:uid="{00000000-0005-0000-0000-0000BD350000}"/>
    <cellStyle name="40% - Accent1 3 4 4 2 2 2" xfId="15877" xr:uid="{00000000-0005-0000-0000-0000BE350000}"/>
    <cellStyle name="40% - Accent1 3 4 4 2 3" xfId="15882" xr:uid="{00000000-0005-0000-0000-0000BF350000}"/>
    <cellStyle name="40% - Accent1 3 4 4 3" xfId="15887" xr:uid="{00000000-0005-0000-0000-0000C0350000}"/>
    <cellStyle name="40% - Accent1 3 4 4 3 2" xfId="15892" xr:uid="{00000000-0005-0000-0000-0000C1350000}"/>
    <cellStyle name="40% - Accent1 3 4 4 4" xfId="15897" xr:uid="{00000000-0005-0000-0000-0000C2350000}"/>
    <cellStyle name="40% - Accent1 3 4 5" xfId="5966" xr:uid="{00000000-0005-0000-0000-0000C3350000}"/>
    <cellStyle name="40% - Accent1 3 4 5 2" xfId="21890" xr:uid="{00000000-0005-0000-0000-0000C4350000}"/>
    <cellStyle name="40% - Accent1 3 4 5 2 2" xfId="15902" xr:uid="{00000000-0005-0000-0000-0000C5350000}"/>
    <cellStyle name="40% - Accent1 3 4 5 3" xfId="15907" xr:uid="{00000000-0005-0000-0000-0000C6350000}"/>
    <cellStyle name="40% - Accent1 3 4 6" xfId="28843" xr:uid="{00000000-0005-0000-0000-0000C7350000}"/>
    <cellStyle name="40% - Accent1 3 4 6 2" xfId="14531" xr:uid="{00000000-0005-0000-0000-0000C8350000}"/>
    <cellStyle name="40% - Accent1 3 4 7" xfId="13388" xr:uid="{00000000-0005-0000-0000-0000C9350000}"/>
    <cellStyle name="40% - Accent1 3 5" xfId="15909" xr:uid="{00000000-0005-0000-0000-0000CA350000}"/>
    <cellStyle name="40% - Accent1 3 5 2" xfId="15910" xr:uid="{00000000-0005-0000-0000-0000CB350000}"/>
    <cellStyle name="40% - Accent1 3 5 2 2" xfId="9587" xr:uid="{00000000-0005-0000-0000-0000CC350000}"/>
    <cellStyle name="40% - Accent1 3 5 2 2 2" xfId="15911" xr:uid="{00000000-0005-0000-0000-0000CD350000}"/>
    <cellStyle name="40% - Accent1 3 5 2 2 2 2" xfId="983" xr:uid="{00000000-0005-0000-0000-0000CE350000}"/>
    <cellStyle name="40% - Accent1 3 5 2 2 2 2 2" xfId="15912" xr:uid="{00000000-0005-0000-0000-0000CF350000}"/>
    <cellStyle name="40% - Accent1 3 5 2 2 2 3" xfId="15915" xr:uid="{00000000-0005-0000-0000-0000D0350000}"/>
    <cellStyle name="40% - Accent1 3 5 2 2 3" xfId="15917" xr:uid="{00000000-0005-0000-0000-0000D1350000}"/>
    <cellStyle name="40% - Accent1 3 5 2 2 3 2" xfId="15918" xr:uid="{00000000-0005-0000-0000-0000D2350000}"/>
    <cellStyle name="40% - Accent1 3 5 2 2 4" xfId="15919" xr:uid="{00000000-0005-0000-0000-0000D3350000}"/>
    <cellStyle name="40% - Accent1 3 5 2 3" xfId="15920" xr:uid="{00000000-0005-0000-0000-0000D4350000}"/>
    <cellStyle name="40% - Accent1 3 5 2 3 2" xfId="15925" xr:uid="{00000000-0005-0000-0000-0000D5350000}"/>
    <cellStyle name="40% - Accent1 3 5 2 3 2 2" xfId="33267" xr:uid="{00000000-0005-0000-0000-0000D6350000}"/>
    <cellStyle name="40% - Accent1 3 5 2 3 3" xfId="29154" xr:uid="{00000000-0005-0000-0000-0000D7350000}"/>
    <cellStyle name="40% - Accent1 3 5 2 4" xfId="14578" xr:uid="{00000000-0005-0000-0000-0000D8350000}"/>
    <cellStyle name="40% - Accent1 3 5 2 4 2" xfId="29830" xr:uid="{00000000-0005-0000-0000-0000D9350000}"/>
    <cellStyle name="40% - Accent1 3 5 2 5" xfId="14720" xr:uid="{00000000-0005-0000-0000-0000DA350000}"/>
    <cellStyle name="40% - Accent1 3 5 3" xfId="15928" xr:uid="{00000000-0005-0000-0000-0000DB350000}"/>
    <cellStyle name="40% - Accent1 3 5 3 2" xfId="29867" xr:uid="{00000000-0005-0000-0000-0000DC350000}"/>
    <cellStyle name="40% - Accent1 3 5 3 2 2" xfId="4058" xr:uid="{00000000-0005-0000-0000-0000DD350000}"/>
    <cellStyle name="40% - Accent1 3 5 3 2 2 2" xfId="15932" xr:uid="{00000000-0005-0000-0000-0000DE350000}"/>
    <cellStyle name="40% - Accent1 3 5 3 2 3" xfId="18887" xr:uid="{00000000-0005-0000-0000-0000DF350000}"/>
    <cellStyle name="40% - Accent1 3 5 3 3" xfId="15934" xr:uid="{00000000-0005-0000-0000-0000E0350000}"/>
    <cellStyle name="40% - Accent1 3 5 3 3 2" xfId="15938" xr:uid="{00000000-0005-0000-0000-0000E1350000}"/>
    <cellStyle name="40% - Accent1 3 5 3 4" xfId="14586" xr:uid="{00000000-0005-0000-0000-0000E2350000}"/>
    <cellStyle name="40% - Accent1 3 5 4" xfId="15940" xr:uid="{00000000-0005-0000-0000-0000E3350000}"/>
    <cellStyle name="40% - Accent1 3 5 4 2" xfId="15941" xr:uid="{00000000-0005-0000-0000-0000E4350000}"/>
    <cellStyle name="40% - Accent1 3 5 4 2 2" xfId="15944" xr:uid="{00000000-0005-0000-0000-0000E5350000}"/>
    <cellStyle name="40% - Accent1 3 5 4 3" xfId="15950" xr:uid="{00000000-0005-0000-0000-0000E6350000}"/>
    <cellStyle name="40% - Accent1 3 5 5" xfId="30310" xr:uid="{00000000-0005-0000-0000-0000E7350000}"/>
    <cellStyle name="40% - Accent1 3 5 5 2" xfId="2106" xr:uid="{00000000-0005-0000-0000-0000E8350000}"/>
    <cellStyle name="40% - Accent1 3 5 6" xfId="30926" xr:uid="{00000000-0005-0000-0000-0000E9350000}"/>
    <cellStyle name="40% - Accent1 3 6" xfId="15960" xr:uid="{00000000-0005-0000-0000-0000EA350000}"/>
    <cellStyle name="40% - Accent1 3 6 2" xfId="15961" xr:uid="{00000000-0005-0000-0000-0000EB350000}"/>
    <cellStyle name="40% - Accent1 3 6 2 2" xfId="6580" xr:uid="{00000000-0005-0000-0000-0000EC350000}"/>
    <cellStyle name="40% - Accent1 3 6 2 2 2" xfId="15962" xr:uid="{00000000-0005-0000-0000-0000ED350000}"/>
    <cellStyle name="40% - Accent1 3 6 2 2 2 2" xfId="2956" xr:uid="{00000000-0005-0000-0000-0000EE350000}"/>
    <cellStyle name="40% - Accent1 3 6 2 2 3" xfId="15963" xr:uid="{00000000-0005-0000-0000-0000EF350000}"/>
    <cellStyle name="40% - Accent1 3 6 2 3" xfId="12080" xr:uid="{00000000-0005-0000-0000-0000F0350000}"/>
    <cellStyle name="40% - Accent1 3 6 2 3 2" xfId="940" xr:uid="{00000000-0005-0000-0000-0000F1350000}"/>
    <cellStyle name="40% - Accent1 3 6 2 4" xfId="14738" xr:uid="{00000000-0005-0000-0000-0000F2350000}"/>
    <cellStyle name="40% - Accent1 3 6 3" xfId="15965" xr:uid="{00000000-0005-0000-0000-0000F3350000}"/>
    <cellStyle name="40% - Accent1 3 6 3 2" xfId="11746" xr:uid="{00000000-0005-0000-0000-0000F4350000}"/>
    <cellStyle name="40% - Accent1 3 6 3 2 2" xfId="15970" xr:uid="{00000000-0005-0000-0000-0000F5350000}"/>
    <cellStyle name="40% - Accent1 3 6 3 3" xfId="11751" xr:uid="{00000000-0005-0000-0000-0000F6350000}"/>
    <cellStyle name="40% - Accent1 3 6 4" xfId="33931" xr:uid="{00000000-0005-0000-0000-0000F7350000}"/>
    <cellStyle name="40% - Accent1 3 6 4 2" xfId="15972" xr:uid="{00000000-0005-0000-0000-0000F8350000}"/>
    <cellStyle name="40% - Accent1 3 6 5" xfId="31798" xr:uid="{00000000-0005-0000-0000-0000F9350000}"/>
    <cellStyle name="40% - Accent1 3 7" xfId="15974" xr:uid="{00000000-0005-0000-0000-0000FA350000}"/>
    <cellStyle name="40% - Accent1 3 7 2" xfId="7730" xr:uid="{00000000-0005-0000-0000-0000FB350000}"/>
    <cellStyle name="40% - Accent1 3 7 2 2" xfId="25175" xr:uid="{00000000-0005-0000-0000-0000FC350000}"/>
    <cellStyle name="40% - Accent1 3 7 2 2 2" xfId="814" xr:uid="{00000000-0005-0000-0000-0000FD350000}"/>
    <cellStyle name="40% - Accent1 3 7 2 3" xfId="32527" xr:uid="{00000000-0005-0000-0000-0000FE350000}"/>
    <cellStyle name="40% - Accent1 3 7 3" xfId="3260" xr:uid="{00000000-0005-0000-0000-0000FF350000}"/>
    <cellStyle name="40% - Accent1 3 7 3 2" xfId="11756" xr:uid="{00000000-0005-0000-0000-000000360000}"/>
    <cellStyle name="40% - Accent1 3 7 4" xfId="3310" xr:uid="{00000000-0005-0000-0000-000001360000}"/>
    <cellStyle name="40% - Accent1 3 8" xfId="2285" xr:uid="{00000000-0005-0000-0000-000002360000}"/>
    <cellStyle name="40% - Accent1 3 8 2" xfId="11958" xr:uid="{00000000-0005-0000-0000-000003360000}"/>
    <cellStyle name="40% - Accent1 3 8 2 2" xfId="25427" xr:uid="{00000000-0005-0000-0000-000004360000}"/>
    <cellStyle name="40% - Accent1 3 8 3" xfId="1881" xr:uid="{00000000-0005-0000-0000-000005360000}"/>
    <cellStyle name="40% - Accent1 3 9" xfId="5626" xr:uid="{00000000-0005-0000-0000-000006360000}"/>
    <cellStyle name="40% - Accent1 3 9 2" xfId="23034" xr:uid="{00000000-0005-0000-0000-000007360000}"/>
    <cellStyle name="40% - Accent1 4" xfId="4090" xr:uid="{00000000-0005-0000-0000-000008360000}"/>
    <cellStyle name="40% - Accent1 4 2" xfId="15977" xr:uid="{00000000-0005-0000-0000-000009360000}"/>
    <cellStyle name="40% - Accent1 4 2 2" xfId="15978" xr:uid="{00000000-0005-0000-0000-00000A360000}"/>
    <cellStyle name="40% - Accent1 4 2 2 2" xfId="15981" xr:uid="{00000000-0005-0000-0000-00000B360000}"/>
    <cellStyle name="40% - Accent1 4 2 2 2 2" xfId="15982" xr:uid="{00000000-0005-0000-0000-00000C360000}"/>
    <cellStyle name="40% - Accent1 4 2 2 2 2 2" xfId="15987" xr:uid="{00000000-0005-0000-0000-00000D360000}"/>
    <cellStyle name="40% - Accent1 4 2 2 2 2 2 2" xfId="2340" xr:uid="{00000000-0005-0000-0000-00000E360000}"/>
    <cellStyle name="40% - Accent1 4 2 2 2 2 2 2 2" xfId="32200" xr:uid="{00000000-0005-0000-0000-00000F360000}"/>
    <cellStyle name="40% - Accent1 4 2 2 2 2 2 2 2 2" xfId="15990" xr:uid="{00000000-0005-0000-0000-000010360000}"/>
    <cellStyle name="40% - Accent1 4 2 2 2 2 2 2 3" xfId="32020" xr:uid="{00000000-0005-0000-0000-000011360000}"/>
    <cellStyle name="40% - Accent1 4 2 2 2 2 2 3" xfId="3181" xr:uid="{00000000-0005-0000-0000-000012360000}"/>
    <cellStyle name="40% - Accent1 4 2 2 2 2 2 3 2" xfId="30999" xr:uid="{00000000-0005-0000-0000-000013360000}"/>
    <cellStyle name="40% - Accent1 4 2 2 2 2 2 4" xfId="15991" xr:uid="{00000000-0005-0000-0000-000014360000}"/>
    <cellStyle name="40% - Accent1 4 2 2 2 2 3" xfId="14766" xr:uid="{00000000-0005-0000-0000-000015360000}"/>
    <cellStyle name="40% - Accent1 4 2 2 2 2 3 2" xfId="190" xr:uid="{00000000-0005-0000-0000-000016360000}"/>
    <cellStyle name="40% - Accent1 4 2 2 2 2 3 2 2" xfId="6213" xr:uid="{00000000-0005-0000-0000-000017360000}"/>
    <cellStyle name="40% - Accent1 4 2 2 2 2 3 3" xfId="15995" xr:uid="{00000000-0005-0000-0000-000018360000}"/>
    <cellStyle name="40% - Accent1 4 2 2 2 2 4" xfId="13029" xr:uid="{00000000-0005-0000-0000-000019360000}"/>
    <cellStyle name="40% - Accent1 4 2 2 2 2 4 2" xfId="22412" xr:uid="{00000000-0005-0000-0000-00001A360000}"/>
    <cellStyle name="40% - Accent1 4 2 2 2 2 5" xfId="16000" xr:uid="{00000000-0005-0000-0000-00001B360000}"/>
    <cellStyle name="40% - Accent1 4 2 2 2 3" xfId="4008" xr:uid="{00000000-0005-0000-0000-00001C360000}"/>
    <cellStyle name="40% - Accent1 4 2 2 2 3 2" xfId="16002" xr:uid="{00000000-0005-0000-0000-00001D360000}"/>
    <cellStyle name="40% - Accent1 4 2 2 2 3 2 2" xfId="1906" xr:uid="{00000000-0005-0000-0000-00001E360000}"/>
    <cellStyle name="40% - Accent1 4 2 2 2 3 2 2 2" xfId="16004" xr:uid="{00000000-0005-0000-0000-00001F360000}"/>
    <cellStyle name="40% - Accent1 4 2 2 2 3 2 3" xfId="32914" xr:uid="{00000000-0005-0000-0000-000020360000}"/>
    <cellStyle name="40% - Accent1 4 2 2 2 3 3" xfId="5312" xr:uid="{00000000-0005-0000-0000-000021360000}"/>
    <cellStyle name="40% - Accent1 4 2 2 2 3 3 2" xfId="16008" xr:uid="{00000000-0005-0000-0000-000022360000}"/>
    <cellStyle name="40% - Accent1 4 2 2 2 3 4" xfId="16011" xr:uid="{00000000-0005-0000-0000-000023360000}"/>
    <cellStyle name="40% - Accent1 4 2 2 2 4" xfId="16014" xr:uid="{00000000-0005-0000-0000-000024360000}"/>
    <cellStyle name="40% - Accent1 4 2 2 2 4 2" xfId="16015" xr:uid="{00000000-0005-0000-0000-000025360000}"/>
    <cellStyle name="40% - Accent1 4 2 2 2 4 2 2" xfId="16347" xr:uid="{00000000-0005-0000-0000-000026360000}"/>
    <cellStyle name="40% - Accent1 4 2 2 2 4 3" xfId="16016" xr:uid="{00000000-0005-0000-0000-000027360000}"/>
    <cellStyle name="40% - Accent1 4 2 2 2 5" xfId="7997" xr:uid="{00000000-0005-0000-0000-000028360000}"/>
    <cellStyle name="40% - Accent1 4 2 2 2 5 2" xfId="16018" xr:uid="{00000000-0005-0000-0000-000029360000}"/>
    <cellStyle name="40% - Accent1 4 2 2 2 6" xfId="8002" xr:uid="{00000000-0005-0000-0000-00002A360000}"/>
    <cellStyle name="40% - Accent1 4 2 2 3" xfId="24761" xr:uid="{00000000-0005-0000-0000-00002B360000}"/>
    <cellStyle name="40% - Accent1 4 2 2 3 2" xfId="16019" xr:uid="{00000000-0005-0000-0000-00002C360000}"/>
    <cellStyle name="40% - Accent1 4 2 2 3 2 2" xfId="16023" xr:uid="{00000000-0005-0000-0000-00002D360000}"/>
    <cellStyle name="40% - Accent1 4 2 2 3 2 2 2" xfId="30293" xr:uid="{00000000-0005-0000-0000-00002E360000}"/>
    <cellStyle name="40% - Accent1 4 2 2 3 2 2 2 2" xfId="16027" xr:uid="{00000000-0005-0000-0000-00002F360000}"/>
    <cellStyle name="40% - Accent1 4 2 2 3 2 2 3" xfId="16031" xr:uid="{00000000-0005-0000-0000-000030360000}"/>
    <cellStyle name="40% - Accent1 4 2 2 3 2 3" xfId="13043" xr:uid="{00000000-0005-0000-0000-000031360000}"/>
    <cellStyle name="40% - Accent1 4 2 2 3 2 3 2" xfId="16039" xr:uid="{00000000-0005-0000-0000-000032360000}"/>
    <cellStyle name="40% - Accent1 4 2 2 3 2 4" xfId="15452" xr:uid="{00000000-0005-0000-0000-000033360000}"/>
    <cellStyle name="40% - Accent1 4 2 2 3 3" xfId="16042" xr:uid="{00000000-0005-0000-0000-000034360000}"/>
    <cellStyle name="40% - Accent1 4 2 2 3 3 2" xfId="16043" xr:uid="{00000000-0005-0000-0000-000035360000}"/>
    <cellStyle name="40% - Accent1 4 2 2 3 3 2 2" xfId="708" xr:uid="{00000000-0005-0000-0000-000036360000}"/>
    <cellStyle name="40% - Accent1 4 2 2 3 3 3" xfId="16047" xr:uid="{00000000-0005-0000-0000-000037360000}"/>
    <cellStyle name="40% - Accent1 4 2 2 3 4" xfId="16049" xr:uid="{00000000-0005-0000-0000-000038360000}"/>
    <cellStyle name="40% - Accent1 4 2 2 3 4 2" xfId="16052" xr:uid="{00000000-0005-0000-0000-000039360000}"/>
    <cellStyle name="40% - Accent1 4 2 2 3 5" xfId="8005" xr:uid="{00000000-0005-0000-0000-00003A360000}"/>
    <cellStyle name="40% - Accent1 4 2 2 4" xfId="16054" xr:uid="{00000000-0005-0000-0000-00003B360000}"/>
    <cellStyle name="40% - Accent1 4 2 2 4 2" xfId="16055" xr:uid="{00000000-0005-0000-0000-00003C360000}"/>
    <cellStyle name="40% - Accent1 4 2 2 4 2 2" xfId="1414" xr:uid="{00000000-0005-0000-0000-00003D360000}"/>
    <cellStyle name="40% - Accent1 4 2 2 4 2 2 2" xfId="16056" xr:uid="{00000000-0005-0000-0000-00003E360000}"/>
    <cellStyle name="40% - Accent1 4 2 2 4 2 3" xfId="7968" xr:uid="{00000000-0005-0000-0000-00003F360000}"/>
    <cellStyle name="40% - Accent1 4 2 2 4 3" xfId="16061" xr:uid="{00000000-0005-0000-0000-000040360000}"/>
    <cellStyle name="40% - Accent1 4 2 2 4 3 2" xfId="4880" xr:uid="{00000000-0005-0000-0000-000041360000}"/>
    <cellStyle name="40% - Accent1 4 2 2 4 4" xfId="16062" xr:uid="{00000000-0005-0000-0000-000042360000}"/>
    <cellStyle name="40% - Accent1 4 2 2 5" xfId="33544" xr:uid="{00000000-0005-0000-0000-000043360000}"/>
    <cellStyle name="40% - Accent1 4 2 2 5 2" xfId="16063" xr:uid="{00000000-0005-0000-0000-000044360000}"/>
    <cellStyle name="40% - Accent1 4 2 2 5 2 2" xfId="9107" xr:uid="{00000000-0005-0000-0000-000045360000}"/>
    <cellStyle name="40% - Accent1 4 2 2 5 3" xfId="16064" xr:uid="{00000000-0005-0000-0000-000046360000}"/>
    <cellStyle name="40% - Accent1 4 2 2 6" xfId="10551" xr:uid="{00000000-0005-0000-0000-000047360000}"/>
    <cellStyle name="40% - Accent1 4 2 2 6 2" xfId="1525" xr:uid="{00000000-0005-0000-0000-000048360000}"/>
    <cellStyle name="40% - Accent1 4 2 2 7" xfId="10556" xr:uid="{00000000-0005-0000-0000-000049360000}"/>
    <cellStyle name="40% - Accent1 4 2 3" xfId="16066" xr:uid="{00000000-0005-0000-0000-00004A360000}"/>
    <cellStyle name="40% - Accent1 4 2 3 2" xfId="16067" xr:uid="{00000000-0005-0000-0000-00004B360000}"/>
    <cellStyle name="40% - Accent1 4 2 3 2 2" xfId="2250" xr:uid="{00000000-0005-0000-0000-00004C360000}"/>
    <cellStyle name="40% - Accent1 4 2 3 2 2 2" xfId="16073" xr:uid="{00000000-0005-0000-0000-00004D360000}"/>
    <cellStyle name="40% - Accent1 4 2 3 2 2 2 2" xfId="2476" xr:uid="{00000000-0005-0000-0000-00004E360000}"/>
    <cellStyle name="40% - Accent1 4 2 3 2 2 2 2 2" xfId="16076" xr:uid="{00000000-0005-0000-0000-00004F360000}"/>
    <cellStyle name="40% - Accent1 4 2 3 2 2 2 3" xfId="16078" xr:uid="{00000000-0005-0000-0000-000050360000}"/>
    <cellStyle name="40% - Accent1 4 2 3 2 2 3" xfId="13062" xr:uid="{00000000-0005-0000-0000-000051360000}"/>
    <cellStyle name="40% - Accent1 4 2 3 2 2 3 2" xfId="18809" xr:uid="{00000000-0005-0000-0000-000052360000}"/>
    <cellStyle name="40% - Accent1 4 2 3 2 2 4" xfId="16087" xr:uid="{00000000-0005-0000-0000-000053360000}"/>
    <cellStyle name="40% - Accent1 4 2 3 2 3" xfId="16093" xr:uid="{00000000-0005-0000-0000-000054360000}"/>
    <cellStyle name="40% - Accent1 4 2 3 2 3 2" xfId="11905" xr:uid="{00000000-0005-0000-0000-000055360000}"/>
    <cellStyle name="40% - Accent1 4 2 3 2 3 2 2" xfId="16095" xr:uid="{00000000-0005-0000-0000-000056360000}"/>
    <cellStyle name="40% - Accent1 4 2 3 2 3 3" xfId="12095" xr:uid="{00000000-0005-0000-0000-000057360000}"/>
    <cellStyle name="40% - Accent1 4 2 3 2 4" xfId="16098" xr:uid="{00000000-0005-0000-0000-000058360000}"/>
    <cellStyle name="40% - Accent1 4 2 3 2 4 2" xfId="12099" xr:uid="{00000000-0005-0000-0000-000059360000}"/>
    <cellStyle name="40% - Accent1 4 2 3 2 5" xfId="8008" xr:uid="{00000000-0005-0000-0000-00005A360000}"/>
    <cellStyle name="40% - Accent1 4 2 3 3" xfId="16101" xr:uid="{00000000-0005-0000-0000-00005B360000}"/>
    <cellStyle name="40% - Accent1 4 2 3 3 2" xfId="13912" xr:uid="{00000000-0005-0000-0000-00005C360000}"/>
    <cellStyle name="40% - Accent1 4 2 3 3 2 2" xfId="13915" xr:uid="{00000000-0005-0000-0000-00005D360000}"/>
    <cellStyle name="40% - Accent1 4 2 3 3 2 2 2" xfId="16102" xr:uid="{00000000-0005-0000-0000-00005E360000}"/>
    <cellStyle name="40% - Accent1 4 2 3 3 2 3" xfId="13844" xr:uid="{00000000-0005-0000-0000-00005F360000}"/>
    <cellStyle name="40% - Accent1 4 2 3 3 3" xfId="13918" xr:uid="{00000000-0005-0000-0000-000060360000}"/>
    <cellStyle name="40% - Accent1 4 2 3 3 3 2" xfId="13920" xr:uid="{00000000-0005-0000-0000-000061360000}"/>
    <cellStyle name="40% - Accent1 4 2 3 3 4" xfId="13923" xr:uid="{00000000-0005-0000-0000-000062360000}"/>
    <cellStyle name="40% - Accent1 4 2 3 4" xfId="16107" xr:uid="{00000000-0005-0000-0000-000063360000}"/>
    <cellStyle name="40% - Accent1 4 2 3 4 2" xfId="12103" xr:uid="{00000000-0005-0000-0000-000064360000}"/>
    <cellStyle name="40% - Accent1 4 2 3 4 2 2" xfId="12106" xr:uid="{00000000-0005-0000-0000-000065360000}"/>
    <cellStyle name="40% - Accent1 4 2 3 4 3" xfId="12110" xr:uid="{00000000-0005-0000-0000-000066360000}"/>
    <cellStyle name="40% - Accent1 4 2 3 5" xfId="16110" xr:uid="{00000000-0005-0000-0000-000067360000}"/>
    <cellStyle name="40% - Accent1 4 2 3 5 2" xfId="12114" xr:uid="{00000000-0005-0000-0000-000068360000}"/>
    <cellStyle name="40% - Accent1 4 2 3 6" xfId="12115" xr:uid="{00000000-0005-0000-0000-000069360000}"/>
    <cellStyle name="40% - Accent1 4 2 4" xfId="16113" xr:uid="{00000000-0005-0000-0000-00006A360000}"/>
    <cellStyle name="40% - Accent1 4 2 4 2" xfId="3755" xr:uid="{00000000-0005-0000-0000-00006B360000}"/>
    <cellStyle name="40% - Accent1 4 2 4 2 2" xfId="10367" xr:uid="{00000000-0005-0000-0000-00006C360000}"/>
    <cellStyle name="40% - Accent1 4 2 4 2 2 2" xfId="16114" xr:uid="{00000000-0005-0000-0000-00006D360000}"/>
    <cellStyle name="40% - Accent1 4 2 4 2 2 2 2" xfId="16738" xr:uid="{00000000-0005-0000-0000-00006E360000}"/>
    <cellStyle name="40% - Accent1 4 2 4 2 2 3" xfId="16116" xr:uid="{00000000-0005-0000-0000-00006F360000}"/>
    <cellStyle name="40% - Accent1 4 2 4 2 3" xfId="16119" xr:uid="{00000000-0005-0000-0000-000070360000}"/>
    <cellStyle name="40% - Accent1 4 2 4 2 3 2" xfId="7129" xr:uid="{00000000-0005-0000-0000-000071360000}"/>
    <cellStyle name="40% - Accent1 4 2 4 2 4" xfId="16121" xr:uid="{00000000-0005-0000-0000-000072360000}"/>
    <cellStyle name="40% - Accent1 4 2 4 3" xfId="12943" xr:uid="{00000000-0005-0000-0000-000073360000}"/>
    <cellStyle name="40% - Accent1 4 2 4 3 2" xfId="13946" xr:uid="{00000000-0005-0000-0000-000074360000}"/>
    <cellStyle name="40% - Accent1 4 2 4 3 2 2" xfId="13948" xr:uid="{00000000-0005-0000-0000-000075360000}"/>
    <cellStyle name="40% - Accent1 4 2 4 3 3" xfId="13950" xr:uid="{00000000-0005-0000-0000-000076360000}"/>
    <cellStyle name="40% - Accent1 4 2 4 4" xfId="28799" xr:uid="{00000000-0005-0000-0000-000077360000}"/>
    <cellStyle name="40% - Accent1 4 2 4 4 2" xfId="5373" xr:uid="{00000000-0005-0000-0000-000078360000}"/>
    <cellStyle name="40% - Accent1 4 2 4 5" xfId="30517" xr:uid="{00000000-0005-0000-0000-000079360000}"/>
    <cellStyle name="40% - Accent1 4 2 5" xfId="23970" xr:uid="{00000000-0005-0000-0000-00007A360000}"/>
    <cellStyle name="40% - Accent1 4 2 5 2" xfId="3775" xr:uid="{00000000-0005-0000-0000-00007B360000}"/>
    <cellStyle name="40% - Accent1 4 2 5 2 2" xfId="16125" xr:uid="{00000000-0005-0000-0000-00007C360000}"/>
    <cellStyle name="40% - Accent1 4 2 5 2 2 2" xfId="16126" xr:uid="{00000000-0005-0000-0000-00007D360000}"/>
    <cellStyle name="40% - Accent1 4 2 5 2 3" xfId="16128" xr:uid="{00000000-0005-0000-0000-00007E360000}"/>
    <cellStyle name="40% - Accent1 4 2 5 3" xfId="16130" xr:uid="{00000000-0005-0000-0000-00007F360000}"/>
    <cellStyle name="40% - Accent1 4 2 5 3 2" xfId="13998" xr:uid="{00000000-0005-0000-0000-000080360000}"/>
    <cellStyle name="40% - Accent1 4 2 5 4" xfId="28827" xr:uid="{00000000-0005-0000-0000-000081360000}"/>
    <cellStyle name="40% - Accent1 4 2 6" xfId="16132" xr:uid="{00000000-0005-0000-0000-000082360000}"/>
    <cellStyle name="40% - Accent1 4 2 6 2" xfId="20329" xr:uid="{00000000-0005-0000-0000-000083360000}"/>
    <cellStyle name="40% - Accent1 4 2 6 2 2" xfId="11085" xr:uid="{00000000-0005-0000-0000-000084360000}"/>
    <cellStyle name="40% - Accent1 4 2 6 3" xfId="12124" xr:uid="{00000000-0005-0000-0000-000085360000}"/>
    <cellStyle name="40% - Accent1 4 2 7" xfId="326" xr:uid="{00000000-0005-0000-0000-000086360000}"/>
    <cellStyle name="40% - Accent1 4 2 7 2" xfId="12131" xr:uid="{00000000-0005-0000-0000-000087360000}"/>
    <cellStyle name="40% - Accent1 4 2 8" xfId="17825" xr:uid="{00000000-0005-0000-0000-000088360000}"/>
    <cellStyle name="40% - Accent1 4 3" xfId="33607" xr:uid="{00000000-0005-0000-0000-000089360000}"/>
    <cellStyle name="40% - Accent1 4 3 2" xfId="16133" xr:uid="{00000000-0005-0000-0000-00008A360000}"/>
    <cellStyle name="40% - Accent1 4 3 2 2" xfId="31623" xr:uid="{00000000-0005-0000-0000-00008B360000}"/>
    <cellStyle name="40% - Accent1 4 3 2 2 2" xfId="16134" xr:uid="{00000000-0005-0000-0000-00008C360000}"/>
    <cellStyle name="40% - Accent1 4 3 2 2 2 2" xfId="16137" xr:uid="{00000000-0005-0000-0000-00008D360000}"/>
    <cellStyle name="40% - Accent1 4 3 2 2 2 2 2" xfId="5317" xr:uid="{00000000-0005-0000-0000-00008E360000}"/>
    <cellStyle name="40% - Accent1 4 3 2 2 2 2 2 2" xfId="19172" xr:uid="{00000000-0005-0000-0000-00008F360000}"/>
    <cellStyle name="40% - Accent1 4 3 2 2 2 2 3" xfId="5327" xr:uid="{00000000-0005-0000-0000-000090360000}"/>
    <cellStyle name="40% - Accent1 4 3 2 2 2 3" xfId="13228" xr:uid="{00000000-0005-0000-0000-000091360000}"/>
    <cellStyle name="40% - Accent1 4 3 2 2 2 3 2" xfId="5340" xr:uid="{00000000-0005-0000-0000-000092360000}"/>
    <cellStyle name="40% - Accent1 4 3 2 2 2 4" xfId="13010" xr:uid="{00000000-0005-0000-0000-000093360000}"/>
    <cellStyle name="40% - Accent1 4 3 2 2 3" xfId="16142" xr:uid="{00000000-0005-0000-0000-000094360000}"/>
    <cellStyle name="40% - Accent1 4 3 2 2 3 2" xfId="16146" xr:uid="{00000000-0005-0000-0000-000095360000}"/>
    <cellStyle name="40% - Accent1 4 3 2 2 3 2 2" xfId="5449" xr:uid="{00000000-0005-0000-0000-000096360000}"/>
    <cellStyle name="40% - Accent1 4 3 2 2 3 3" xfId="30080" xr:uid="{00000000-0005-0000-0000-000097360000}"/>
    <cellStyle name="40% - Accent1 4 3 2 2 4" xfId="16149" xr:uid="{00000000-0005-0000-0000-000098360000}"/>
    <cellStyle name="40% - Accent1 4 3 2 2 4 2" xfId="16153" xr:uid="{00000000-0005-0000-0000-000099360000}"/>
    <cellStyle name="40% - Accent1 4 3 2 2 5" xfId="8014" xr:uid="{00000000-0005-0000-0000-00009A360000}"/>
    <cellStyle name="40% - Accent1 4 3 2 3" xfId="29066" xr:uid="{00000000-0005-0000-0000-00009B360000}"/>
    <cellStyle name="40% - Accent1 4 3 2 3 2" xfId="16155" xr:uid="{00000000-0005-0000-0000-00009C360000}"/>
    <cellStyle name="40% - Accent1 4 3 2 3 2 2" xfId="27658" xr:uid="{00000000-0005-0000-0000-00009D360000}"/>
    <cellStyle name="40% - Accent1 4 3 2 3 2 2 2" xfId="5673" xr:uid="{00000000-0005-0000-0000-00009E360000}"/>
    <cellStyle name="40% - Accent1 4 3 2 3 2 3" xfId="24060" xr:uid="{00000000-0005-0000-0000-00009F360000}"/>
    <cellStyle name="40% - Accent1 4 3 2 3 3" xfId="2467" xr:uid="{00000000-0005-0000-0000-0000A0360000}"/>
    <cellStyle name="40% - Accent1 4 3 2 3 3 2" xfId="16157" xr:uid="{00000000-0005-0000-0000-0000A1360000}"/>
    <cellStyle name="40% - Accent1 4 3 2 3 4" xfId="16158" xr:uid="{00000000-0005-0000-0000-0000A2360000}"/>
    <cellStyle name="40% - Accent1 4 3 2 4" xfId="16159" xr:uid="{00000000-0005-0000-0000-0000A3360000}"/>
    <cellStyle name="40% - Accent1 4 3 2 4 2" xfId="25170" xr:uid="{00000000-0005-0000-0000-0000A4360000}"/>
    <cellStyle name="40% - Accent1 4 3 2 4 2 2" xfId="8057" xr:uid="{00000000-0005-0000-0000-0000A5360000}"/>
    <cellStyle name="40% - Accent1 4 3 2 4 3" xfId="29484" xr:uid="{00000000-0005-0000-0000-0000A6360000}"/>
    <cellStyle name="40% - Accent1 4 3 2 5" xfId="16161" xr:uid="{00000000-0005-0000-0000-0000A7360000}"/>
    <cellStyle name="40% - Accent1 4 3 2 5 2" xfId="16162" xr:uid="{00000000-0005-0000-0000-0000A8360000}"/>
    <cellStyle name="40% - Accent1 4 3 2 6" xfId="15459" xr:uid="{00000000-0005-0000-0000-0000A9360000}"/>
    <cellStyle name="40% - Accent1 4 3 3" xfId="16163" xr:uid="{00000000-0005-0000-0000-0000AA360000}"/>
    <cellStyle name="40% - Accent1 4 3 3 2" xfId="16165" xr:uid="{00000000-0005-0000-0000-0000AB360000}"/>
    <cellStyle name="40% - Accent1 4 3 3 2 2" xfId="16168" xr:uid="{00000000-0005-0000-0000-0000AC360000}"/>
    <cellStyle name="40% - Accent1 4 3 3 2 2 2" xfId="16177" xr:uid="{00000000-0005-0000-0000-0000AD360000}"/>
    <cellStyle name="40% - Accent1 4 3 3 2 2 2 2" xfId="6627" xr:uid="{00000000-0005-0000-0000-0000AE360000}"/>
    <cellStyle name="40% - Accent1 4 3 3 2 2 3" xfId="16183" xr:uid="{00000000-0005-0000-0000-0000AF360000}"/>
    <cellStyle name="40% - Accent1 4 3 3 2 3" xfId="16185" xr:uid="{00000000-0005-0000-0000-0000B0360000}"/>
    <cellStyle name="40% - Accent1 4 3 3 2 3 2" xfId="12150" xr:uid="{00000000-0005-0000-0000-0000B1360000}"/>
    <cellStyle name="40% - Accent1 4 3 3 2 4" xfId="16187" xr:uid="{00000000-0005-0000-0000-0000B2360000}"/>
    <cellStyle name="40% - Accent1 4 3 3 3" xfId="16189" xr:uid="{00000000-0005-0000-0000-0000B3360000}"/>
    <cellStyle name="40% - Accent1 4 3 3 3 2" xfId="14062" xr:uid="{00000000-0005-0000-0000-0000B4360000}"/>
    <cellStyle name="40% - Accent1 4 3 3 3 2 2" xfId="14067" xr:uid="{00000000-0005-0000-0000-0000B5360000}"/>
    <cellStyle name="40% - Accent1 4 3 3 3 3" xfId="14072" xr:uid="{00000000-0005-0000-0000-0000B6360000}"/>
    <cellStyle name="40% - Accent1 4 3 3 4" xfId="16191" xr:uid="{00000000-0005-0000-0000-0000B7360000}"/>
    <cellStyle name="40% - Accent1 4 3 3 4 2" xfId="12156" xr:uid="{00000000-0005-0000-0000-0000B8360000}"/>
    <cellStyle name="40% - Accent1 4 3 3 5" xfId="16194" xr:uid="{00000000-0005-0000-0000-0000B9360000}"/>
    <cellStyle name="40% - Accent1 4 3 4" xfId="16196" xr:uid="{00000000-0005-0000-0000-0000BA360000}"/>
    <cellStyle name="40% - Accent1 4 3 4 2" xfId="3893" xr:uid="{00000000-0005-0000-0000-0000BB360000}"/>
    <cellStyle name="40% - Accent1 4 3 4 2 2" xfId="8295" xr:uid="{00000000-0005-0000-0000-0000BC360000}"/>
    <cellStyle name="40% - Accent1 4 3 4 2 2 2" xfId="16199" xr:uid="{00000000-0005-0000-0000-0000BD360000}"/>
    <cellStyle name="40% - Accent1 4 3 4 2 3" xfId="24645" xr:uid="{00000000-0005-0000-0000-0000BE360000}"/>
    <cellStyle name="40% - Accent1 4 3 4 3" xfId="16201" xr:uid="{00000000-0005-0000-0000-0000BF360000}"/>
    <cellStyle name="40% - Accent1 4 3 4 3 2" xfId="14107" xr:uid="{00000000-0005-0000-0000-0000C0360000}"/>
    <cellStyle name="40% - Accent1 4 3 4 4" xfId="31108" xr:uid="{00000000-0005-0000-0000-0000C1360000}"/>
    <cellStyle name="40% - Accent1 4 3 5" xfId="8824" xr:uid="{00000000-0005-0000-0000-0000C2360000}"/>
    <cellStyle name="40% - Accent1 4 3 5 2" xfId="16204" xr:uid="{00000000-0005-0000-0000-0000C3360000}"/>
    <cellStyle name="40% - Accent1 4 3 5 2 2" xfId="16206" xr:uid="{00000000-0005-0000-0000-0000C4360000}"/>
    <cellStyle name="40% - Accent1 4 3 5 3" xfId="16208" xr:uid="{00000000-0005-0000-0000-0000C5360000}"/>
    <cellStyle name="40% - Accent1 4 3 6" xfId="3836" xr:uid="{00000000-0005-0000-0000-0000C6360000}"/>
    <cellStyle name="40% - Accent1 4 3 6 2" xfId="12163" xr:uid="{00000000-0005-0000-0000-0000C7360000}"/>
    <cellStyle name="40% - Accent1 4 3 7" xfId="16141" xr:uid="{00000000-0005-0000-0000-0000C8360000}"/>
    <cellStyle name="40% - Accent1 4 4" xfId="26252" xr:uid="{00000000-0005-0000-0000-0000C9360000}"/>
    <cellStyle name="40% - Accent1 4 4 2" xfId="16210" xr:uid="{00000000-0005-0000-0000-0000CA360000}"/>
    <cellStyle name="40% - Accent1 4 4 2 2" xfId="20438" xr:uid="{00000000-0005-0000-0000-0000CB360000}"/>
    <cellStyle name="40% - Accent1 4 4 2 2 2" xfId="16214" xr:uid="{00000000-0005-0000-0000-0000CC360000}"/>
    <cellStyle name="40% - Accent1 4 4 2 2 2 2" xfId="16216" xr:uid="{00000000-0005-0000-0000-0000CD360000}"/>
    <cellStyle name="40% - Accent1 4 4 2 2 2 2 2" xfId="4267" xr:uid="{00000000-0005-0000-0000-0000CE360000}"/>
    <cellStyle name="40% - Accent1 4 4 2 2 2 3" xfId="23116" xr:uid="{00000000-0005-0000-0000-0000CF360000}"/>
    <cellStyle name="40% - Accent1 4 4 2 2 3" xfId="23574" xr:uid="{00000000-0005-0000-0000-0000D0360000}"/>
    <cellStyle name="40% - Accent1 4 4 2 2 3 2" xfId="32038" xr:uid="{00000000-0005-0000-0000-0000D1360000}"/>
    <cellStyle name="40% - Accent1 4 4 2 2 4" xfId="15" xr:uid="{00000000-0005-0000-0000-0000D2360000}"/>
    <cellStyle name="40% - Accent1 4 4 2 3" xfId="33134" xr:uid="{00000000-0005-0000-0000-0000D3360000}"/>
    <cellStyle name="40% - Accent1 4 4 2 3 2" xfId="16217" xr:uid="{00000000-0005-0000-0000-0000D4360000}"/>
    <cellStyle name="40% - Accent1 4 4 2 3 2 2" xfId="14865" xr:uid="{00000000-0005-0000-0000-0000D5360000}"/>
    <cellStyle name="40% - Accent1 4 4 2 3 3" xfId="16220" xr:uid="{00000000-0005-0000-0000-0000D6360000}"/>
    <cellStyle name="40% - Accent1 4 4 2 4" xfId="16221" xr:uid="{00000000-0005-0000-0000-0000D7360000}"/>
    <cellStyle name="40% - Accent1 4 4 2 4 2" xfId="16224" xr:uid="{00000000-0005-0000-0000-0000D8360000}"/>
    <cellStyle name="40% - Accent1 4 4 2 5" xfId="16228" xr:uid="{00000000-0005-0000-0000-0000D9360000}"/>
    <cellStyle name="40% - Accent1 4 4 3" xfId="16231" xr:uid="{00000000-0005-0000-0000-0000DA360000}"/>
    <cellStyle name="40% - Accent1 4 4 3 2" xfId="32054" xr:uid="{00000000-0005-0000-0000-0000DB360000}"/>
    <cellStyle name="40% - Accent1 4 4 3 2 2" xfId="16236" xr:uid="{00000000-0005-0000-0000-0000DC360000}"/>
    <cellStyle name="40% - Accent1 4 4 3 2 2 2" xfId="10476" xr:uid="{00000000-0005-0000-0000-0000DD360000}"/>
    <cellStyle name="40% - Accent1 4 4 3 2 3" xfId="16238" xr:uid="{00000000-0005-0000-0000-0000DE360000}"/>
    <cellStyle name="40% - Accent1 4 4 3 3" xfId="16240" xr:uid="{00000000-0005-0000-0000-0000DF360000}"/>
    <cellStyle name="40% - Accent1 4 4 3 3 2" xfId="10483" xr:uid="{00000000-0005-0000-0000-0000E0360000}"/>
    <cellStyle name="40% - Accent1 4 4 3 4" xfId="16243" xr:uid="{00000000-0005-0000-0000-0000E1360000}"/>
    <cellStyle name="40% - Accent1 4 4 4" xfId="16246" xr:uid="{00000000-0005-0000-0000-0000E2360000}"/>
    <cellStyle name="40% - Accent1 4 4 4 2" xfId="16250" xr:uid="{00000000-0005-0000-0000-0000E3360000}"/>
    <cellStyle name="40% - Accent1 4 4 4 2 2" xfId="16257" xr:uid="{00000000-0005-0000-0000-0000E4360000}"/>
    <cellStyle name="40% - Accent1 4 4 4 3" xfId="16259" xr:uid="{00000000-0005-0000-0000-0000E5360000}"/>
    <cellStyle name="40% - Accent1 4 4 5" xfId="27934" xr:uid="{00000000-0005-0000-0000-0000E6360000}"/>
    <cellStyle name="40% - Accent1 4 4 5 2" xfId="16263" xr:uid="{00000000-0005-0000-0000-0000E7360000}"/>
    <cellStyle name="40% - Accent1 4 4 6" xfId="3856" xr:uid="{00000000-0005-0000-0000-0000E8360000}"/>
    <cellStyle name="40% - Accent1 4 5" xfId="16265" xr:uid="{00000000-0005-0000-0000-0000E9360000}"/>
    <cellStyle name="40% - Accent1 4 5 2" xfId="16266" xr:uid="{00000000-0005-0000-0000-0000EA360000}"/>
    <cellStyle name="40% - Accent1 4 5 2 2" xfId="33443" xr:uid="{00000000-0005-0000-0000-0000EB360000}"/>
    <cellStyle name="40% - Accent1 4 5 2 2 2" xfId="33447" xr:uid="{00000000-0005-0000-0000-0000EC360000}"/>
    <cellStyle name="40% - Accent1 4 5 2 2 2 2" xfId="16269" xr:uid="{00000000-0005-0000-0000-0000ED360000}"/>
    <cellStyle name="40% - Accent1 4 5 2 2 3" xfId="16270" xr:uid="{00000000-0005-0000-0000-0000EE360000}"/>
    <cellStyle name="40% - Accent1 4 5 2 3" xfId="16273" xr:uid="{00000000-0005-0000-0000-0000EF360000}"/>
    <cellStyle name="40% - Accent1 4 5 2 3 2" xfId="16276" xr:uid="{00000000-0005-0000-0000-0000F0360000}"/>
    <cellStyle name="40% - Accent1 4 5 2 4" xfId="14668" xr:uid="{00000000-0005-0000-0000-0000F1360000}"/>
    <cellStyle name="40% - Accent1 4 5 3" xfId="31134" xr:uid="{00000000-0005-0000-0000-0000F2360000}"/>
    <cellStyle name="40% - Accent1 4 5 3 2" xfId="16277" xr:uid="{00000000-0005-0000-0000-0000F3360000}"/>
    <cellStyle name="40% - Accent1 4 5 3 2 2" xfId="15382" xr:uid="{00000000-0005-0000-0000-0000F4360000}"/>
    <cellStyle name="40% - Accent1 4 5 3 3" xfId="16282" xr:uid="{00000000-0005-0000-0000-0000F5360000}"/>
    <cellStyle name="40% - Accent1 4 5 4" xfId="16285" xr:uid="{00000000-0005-0000-0000-0000F6360000}"/>
    <cellStyle name="40% - Accent1 4 5 4 2" xfId="16287" xr:uid="{00000000-0005-0000-0000-0000F7360000}"/>
    <cellStyle name="40% - Accent1 4 5 5" xfId="16289" xr:uid="{00000000-0005-0000-0000-0000F8360000}"/>
    <cellStyle name="40% - Accent1 4 6" xfId="16291" xr:uid="{00000000-0005-0000-0000-0000F9360000}"/>
    <cellStyle name="40% - Accent1 4 6 2" xfId="21159" xr:uid="{00000000-0005-0000-0000-0000FA360000}"/>
    <cellStyle name="40% - Accent1 4 6 2 2" xfId="31852" xr:uid="{00000000-0005-0000-0000-0000FB360000}"/>
    <cellStyle name="40% - Accent1 4 6 2 2 2" xfId="23351" xr:uid="{00000000-0005-0000-0000-0000FC360000}"/>
    <cellStyle name="40% - Accent1 4 6 2 3" xfId="14749" xr:uid="{00000000-0005-0000-0000-0000FD360000}"/>
    <cellStyle name="40% - Accent1 4 6 3" xfId="1383" xr:uid="{00000000-0005-0000-0000-0000FE360000}"/>
    <cellStyle name="40% - Accent1 4 6 3 2" xfId="30147" xr:uid="{00000000-0005-0000-0000-0000FF360000}"/>
    <cellStyle name="40% - Accent1 4 6 4" xfId="16294" xr:uid="{00000000-0005-0000-0000-000000370000}"/>
    <cellStyle name="40% - Accent1 4 7" xfId="16296" xr:uid="{00000000-0005-0000-0000-000001370000}"/>
    <cellStyle name="40% - Accent1 4 7 2" xfId="1708" xr:uid="{00000000-0005-0000-0000-000002370000}"/>
    <cellStyle name="40% - Accent1 4 7 2 2" xfId="1087" xr:uid="{00000000-0005-0000-0000-000003370000}"/>
    <cellStyle name="40% - Accent1 4 7 3" xfId="5107" xr:uid="{00000000-0005-0000-0000-000004370000}"/>
    <cellStyle name="40% - Accent1 4 8" xfId="1990" xr:uid="{00000000-0005-0000-0000-000005370000}"/>
    <cellStyle name="40% - Accent1 4 8 2" xfId="2311" xr:uid="{00000000-0005-0000-0000-000006370000}"/>
    <cellStyle name="40% - Accent1 4 9" xfId="2321" xr:uid="{00000000-0005-0000-0000-000007370000}"/>
    <cellStyle name="40% - Accent1 5" xfId="5489" xr:uid="{00000000-0005-0000-0000-000008370000}"/>
    <cellStyle name="40% - Accent1 5 2" xfId="16297" xr:uid="{00000000-0005-0000-0000-000009370000}"/>
    <cellStyle name="40% - Accent1 5 2 2" xfId="16300" xr:uid="{00000000-0005-0000-0000-00000A370000}"/>
    <cellStyle name="40% - Accent1 5 2 2 2" xfId="4824" xr:uid="{00000000-0005-0000-0000-00000B370000}"/>
    <cellStyle name="40% - Accent1 5 2 2 2 2" xfId="4826" xr:uid="{00000000-0005-0000-0000-00000C370000}"/>
    <cellStyle name="40% - Accent1 5 2 2 2 2 2" xfId="16301" xr:uid="{00000000-0005-0000-0000-00000D370000}"/>
    <cellStyle name="40% - Accent1 5 2 2 2 2 2 2" xfId="17321" xr:uid="{00000000-0005-0000-0000-00000E370000}"/>
    <cellStyle name="40% - Accent1 5 2 2 2 2 2 2 2" xfId="4161" xr:uid="{00000000-0005-0000-0000-00000F370000}"/>
    <cellStyle name="40% - Accent1 5 2 2 2 2 2 3" xfId="16304" xr:uid="{00000000-0005-0000-0000-000010370000}"/>
    <cellStyle name="40% - Accent1 5 2 2 2 2 3" xfId="25443" xr:uid="{00000000-0005-0000-0000-000011370000}"/>
    <cellStyle name="40% - Accent1 5 2 2 2 2 3 2" xfId="16306" xr:uid="{00000000-0005-0000-0000-000012370000}"/>
    <cellStyle name="40% - Accent1 5 2 2 2 2 4" xfId="16307" xr:uid="{00000000-0005-0000-0000-000013370000}"/>
    <cellStyle name="40% - Accent1 5 2 2 2 3" xfId="2135" xr:uid="{00000000-0005-0000-0000-000014370000}"/>
    <cellStyle name="40% - Accent1 5 2 2 2 3 2" xfId="2142" xr:uid="{00000000-0005-0000-0000-000015370000}"/>
    <cellStyle name="40% - Accent1 5 2 2 2 3 2 2" xfId="16309" xr:uid="{00000000-0005-0000-0000-000016370000}"/>
    <cellStyle name="40% - Accent1 5 2 2 2 3 3" xfId="6224" xr:uid="{00000000-0005-0000-0000-000017370000}"/>
    <cellStyle name="40% - Accent1 5 2 2 2 4" xfId="706" xr:uid="{00000000-0005-0000-0000-000018370000}"/>
    <cellStyle name="40% - Accent1 5 2 2 2 4 2" xfId="6245" xr:uid="{00000000-0005-0000-0000-000019370000}"/>
    <cellStyle name="40% - Accent1 5 2 2 2 5" xfId="6266" xr:uid="{00000000-0005-0000-0000-00001A370000}"/>
    <cellStyle name="40% - Accent1 5 2 2 3" xfId="3286" xr:uid="{00000000-0005-0000-0000-00001B370000}"/>
    <cellStyle name="40% - Accent1 5 2 2 3 2" xfId="21824" xr:uid="{00000000-0005-0000-0000-00001C370000}"/>
    <cellStyle name="40% - Accent1 5 2 2 3 2 2" xfId="21826" xr:uid="{00000000-0005-0000-0000-00001D370000}"/>
    <cellStyle name="40% - Accent1 5 2 2 3 2 2 2" xfId="466" xr:uid="{00000000-0005-0000-0000-00001E370000}"/>
    <cellStyle name="40% - Accent1 5 2 2 3 2 3" xfId="28577" xr:uid="{00000000-0005-0000-0000-00001F370000}"/>
    <cellStyle name="40% - Accent1 5 2 2 3 3" xfId="21828" xr:uid="{00000000-0005-0000-0000-000020370000}"/>
    <cellStyle name="40% - Accent1 5 2 2 3 3 2" xfId="3124" xr:uid="{00000000-0005-0000-0000-000021370000}"/>
    <cellStyle name="40% - Accent1 5 2 2 3 4" xfId="6280" xr:uid="{00000000-0005-0000-0000-000022370000}"/>
    <cellStyle name="40% - Accent1 5 2 2 4" xfId="30405" xr:uid="{00000000-0005-0000-0000-000023370000}"/>
    <cellStyle name="40% - Accent1 5 2 2 4 2" xfId="21837" xr:uid="{00000000-0005-0000-0000-000024370000}"/>
    <cellStyle name="40% - Accent1 5 2 2 4 2 2" xfId="27058" xr:uid="{00000000-0005-0000-0000-000025370000}"/>
    <cellStyle name="40% - Accent1 5 2 2 4 3" xfId="14329" xr:uid="{00000000-0005-0000-0000-000026370000}"/>
    <cellStyle name="40% - Accent1 5 2 2 5" xfId="16310" xr:uid="{00000000-0005-0000-0000-000027370000}"/>
    <cellStyle name="40% - Accent1 5 2 2 5 2" xfId="16311" xr:uid="{00000000-0005-0000-0000-000028370000}"/>
    <cellStyle name="40% - Accent1 5 2 2 6" xfId="10774" xr:uid="{00000000-0005-0000-0000-000029370000}"/>
    <cellStyle name="40% - Accent1 5 2 3" xfId="16313" xr:uid="{00000000-0005-0000-0000-00002A370000}"/>
    <cellStyle name="40% - Accent1 5 2 3 2" xfId="3296" xr:uid="{00000000-0005-0000-0000-00002B370000}"/>
    <cellStyle name="40% - Accent1 5 2 3 2 2" xfId="16314" xr:uid="{00000000-0005-0000-0000-00002C370000}"/>
    <cellStyle name="40% - Accent1 5 2 3 2 2 2" xfId="6138" xr:uid="{00000000-0005-0000-0000-00002D370000}"/>
    <cellStyle name="40% - Accent1 5 2 3 2 2 2 2" xfId="4045" xr:uid="{00000000-0005-0000-0000-00002E370000}"/>
    <cellStyle name="40% - Accent1 5 2 3 2 2 3" xfId="12303" xr:uid="{00000000-0005-0000-0000-00002F370000}"/>
    <cellStyle name="40% - Accent1 5 2 3 2 3" xfId="2283" xr:uid="{00000000-0005-0000-0000-000030370000}"/>
    <cellStyle name="40% - Accent1 5 2 3 2 3 2" xfId="12311" xr:uid="{00000000-0005-0000-0000-000031370000}"/>
    <cellStyle name="40% - Accent1 5 2 3 2 4" xfId="12320" xr:uid="{00000000-0005-0000-0000-000032370000}"/>
    <cellStyle name="40% - Accent1 5 2 3 3" xfId="16318" xr:uid="{00000000-0005-0000-0000-000033370000}"/>
    <cellStyle name="40% - Accent1 5 2 3 3 2" xfId="21850" xr:uid="{00000000-0005-0000-0000-000034370000}"/>
    <cellStyle name="40% - Accent1 5 2 3 3 2 2" xfId="12070" xr:uid="{00000000-0005-0000-0000-000035370000}"/>
    <cellStyle name="40% - Accent1 5 2 3 3 3" xfId="12322" xr:uid="{00000000-0005-0000-0000-000036370000}"/>
    <cellStyle name="40% - Accent1 5 2 3 4" xfId="12324" xr:uid="{00000000-0005-0000-0000-000037370000}"/>
    <cellStyle name="40% - Accent1 5 2 3 4 2" xfId="16319" xr:uid="{00000000-0005-0000-0000-000038370000}"/>
    <cellStyle name="40% - Accent1 5 2 3 5" xfId="12329" xr:uid="{00000000-0005-0000-0000-000039370000}"/>
    <cellStyle name="40% - Accent1 5 2 4" xfId="16322" xr:uid="{00000000-0005-0000-0000-00003A370000}"/>
    <cellStyle name="40% - Accent1 5 2 4 2" xfId="9219" xr:uid="{00000000-0005-0000-0000-00003B370000}"/>
    <cellStyle name="40% - Accent1 5 2 4 2 2" xfId="16326" xr:uid="{00000000-0005-0000-0000-00003C370000}"/>
    <cellStyle name="40% - Accent1 5 2 4 2 2 2" xfId="9877" xr:uid="{00000000-0005-0000-0000-00003D370000}"/>
    <cellStyle name="40% - Accent1 5 2 4 2 3" xfId="1055" xr:uid="{00000000-0005-0000-0000-00003E370000}"/>
    <cellStyle name="40% - Accent1 5 2 4 3" xfId="16330" xr:uid="{00000000-0005-0000-0000-00003F370000}"/>
    <cellStyle name="40% - Accent1 5 2 4 3 2" xfId="16332" xr:uid="{00000000-0005-0000-0000-000040370000}"/>
    <cellStyle name="40% - Accent1 5 2 4 4" xfId="30190" xr:uid="{00000000-0005-0000-0000-000041370000}"/>
    <cellStyle name="40% - Accent1 5 2 5" xfId="16334" xr:uid="{00000000-0005-0000-0000-000042370000}"/>
    <cellStyle name="40% - Accent1 5 2 5 2" xfId="16335" xr:uid="{00000000-0005-0000-0000-000043370000}"/>
    <cellStyle name="40% - Accent1 5 2 5 2 2" xfId="16338" xr:uid="{00000000-0005-0000-0000-000044370000}"/>
    <cellStyle name="40% - Accent1 5 2 5 3" xfId="16340" xr:uid="{00000000-0005-0000-0000-000045370000}"/>
    <cellStyle name="40% - Accent1 5 2 6" xfId="16342" xr:uid="{00000000-0005-0000-0000-000046370000}"/>
    <cellStyle name="40% - Accent1 5 2 6 2" xfId="7669" xr:uid="{00000000-0005-0000-0000-000047370000}"/>
    <cellStyle name="40% - Accent1 5 2 7" xfId="13414" xr:uid="{00000000-0005-0000-0000-000048370000}"/>
    <cellStyle name="40% - Accent1 5 3" xfId="8123" xr:uid="{00000000-0005-0000-0000-000049370000}"/>
    <cellStyle name="40% - Accent1 5 3 2" xfId="9443" xr:uid="{00000000-0005-0000-0000-00004A370000}"/>
    <cellStyle name="40% - Accent1 5 3 2 2" xfId="3315" xr:uid="{00000000-0005-0000-0000-00004B370000}"/>
    <cellStyle name="40% - Accent1 5 3 2 2 2" xfId="16344" xr:uid="{00000000-0005-0000-0000-00004C370000}"/>
    <cellStyle name="40% - Accent1 5 3 2 2 2 2" xfId="16346" xr:uid="{00000000-0005-0000-0000-00004D370000}"/>
    <cellStyle name="40% - Accent1 5 3 2 2 2 2 2" xfId="16349" xr:uid="{00000000-0005-0000-0000-00004E370000}"/>
    <cellStyle name="40% - Accent1 5 3 2 2 2 3" xfId="16351" xr:uid="{00000000-0005-0000-0000-00004F370000}"/>
    <cellStyle name="40% - Accent1 5 3 2 2 3" xfId="817" xr:uid="{00000000-0005-0000-0000-000050370000}"/>
    <cellStyle name="40% - Accent1 5 3 2 2 3 2" xfId="8717" xr:uid="{00000000-0005-0000-0000-000051370000}"/>
    <cellStyle name="40% - Accent1 5 3 2 2 4" xfId="1584" xr:uid="{00000000-0005-0000-0000-000052370000}"/>
    <cellStyle name="40% - Accent1 5 3 2 3" xfId="16352" xr:uid="{00000000-0005-0000-0000-000053370000}"/>
    <cellStyle name="40% - Accent1 5 3 2 3 2" xfId="32600" xr:uid="{00000000-0005-0000-0000-000054370000}"/>
    <cellStyle name="40% - Accent1 5 3 2 3 2 2" xfId="24954" xr:uid="{00000000-0005-0000-0000-000055370000}"/>
    <cellStyle name="40% - Accent1 5 3 2 3 3" xfId="1045" xr:uid="{00000000-0005-0000-0000-000056370000}"/>
    <cellStyle name="40% - Accent1 5 3 2 4" xfId="16354" xr:uid="{00000000-0005-0000-0000-000057370000}"/>
    <cellStyle name="40% - Accent1 5 3 2 4 2" xfId="16355" xr:uid="{00000000-0005-0000-0000-000058370000}"/>
    <cellStyle name="40% - Accent1 5 3 2 5" xfId="6595" xr:uid="{00000000-0005-0000-0000-000059370000}"/>
    <cellStyle name="40% - Accent1 5 3 3" xfId="1784" xr:uid="{00000000-0005-0000-0000-00005A370000}"/>
    <cellStyle name="40% - Accent1 5 3 3 2" xfId="16357" xr:uid="{00000000-0005-0000-0000-00005B370000}"/>
    <cellStyle name="40% - Accent1 5 3 3 2 2" xfId="16361" xr:uid="{00000000-0005-0000-0000-00005C370000}"/>
    <cellStyle name="40% - Accent1 5 3 3 2 2 2" xfId="13024" xr:uid="{00000000-0005-0000-0000-00005D370000}"/>
    <cellStyle name="40% - Accent1 5 3 3 2 3" xfId="5889" xr:uid="{00000000-0005-0000-0000-00005E370000}"/>
    <cellStyle name="40% - Accent1 5 3 3 3" xfId="22215" xr:uid="{00000000-0005-0000-0000-00005F370000}"/>
    <cellStyle name="40% - Accent1 5 3 3 3 2" xfId="16364" xr:uid="{00000000-0005-0000-0000-000060370000}"/>
    <cellStyle name="40% - Accent1 5 3 3 4" xfId="12337" xr:uid="{00000000-0005-0000-0000-000061370000}"/>
    <cellStyle name="40% - Accent1 5 3 4" xfId="16365" xr:uid="{00000000-0005-0000-0000-000062370000}"/>
    <cellStyle name="40% - Accent1 5 3 4 2" xfId="16370" xr:uid="{00000000-0005-0000-0000-000063370000}"/>
    <cellStyle name="40% - Accent1 5 3 4 2 2" xfId="16373" xr:uid="{00000000-0005-0000-0000-000064370000}"/>
    <cellStyle name="40% - Accent1 5 3 4 3" xfId="16375" xr:uid="{00000000-0005-0000-0000-000065370000}"/>
    <cellStyle name="40% - Accent1 5 3 5" xfId="16377" xr:uid="{00000000-0005-0000-0000-000066370000}"/>
    <cellStyle name="40% - Accent1 5 3 5 2" xfId="16379" xr:uid="{00000000-0005-0000-0000-000067370000}"/>
    <cellStyle name="40% - Accent1 5 3 6" xfId="3864" xr:uid="{00000000-0005-0000-0000-000068370000}"/>
    <cellStyle name="40% - Accent1 5 4" xfId="1762" xr:uid="{00000000-0005-0000-0000-000069370000}"/>
    <cellStyle name="40% - Accent1 5 4 2" xfId="9180" xr:uid="{00000000-0005-0000-0000-00006A370000}"/>
    <cellStyle name="40% - Accent1 5 4 2 2" xfId="16382" xr:uid="{00000000-0005-0000-0000-00006B370000}"/>
    <cellStyle name="40% - Accent1 5 4 2 2 2" xfId="16386" xr:uid="{00000000-0005-0000-0000-00006C370000}"/>
    <cellStyle name="40% - Accent1 5 4 2 2 2 2" xfId="23388" xr:uid="{00000000-0005-0000-0000-00006D370000}"/>
    <cellStyle name="40% - Accent1 5 4 2 2 3" xfId="24148" xr:uid="{00000000-0005-0000-0000-00006E370000}"/>
    <cellStyle name="40% - Accent1 5 4 2 3" xfId="16387" xr:uid="{00000000-0005-0000-0000-00006F370000}"/>
    <cellStyle name="40% - Accent1 5 4 2 3 2" xfId="16389" xr:uid="{00000000-0005-0000-0000-000070370000}"/>
    <cellStyle name="40% - Accent1 5 4 2 4" xfId="16390" xr:uid="{00000000-0005-0000-0000-000071370000}"/>
    <cellStyle name="40% - Accent1 5 4 3" xfId="1713" xr:uid="{00000000-0005-0000-0000-000072370000}"/>
    <cellStyle name="40% - Accent1 5 4 3 2" xfId="16397" xr:uid="{00000000-0005-0000-0000-000073370000}"/>
    <cellStyle name="40% - Accent1 5 4 3 2 2" xfId="16401" xr:uid="{00000000-0005-0000-0000-000074370000}"/>
    <cellStyle name="40% - Accent1 5 4 3 3" xfId="16403" xr:uid="{00000000-0005-0000-0000-000075370000}"/>
    <cellStyle name="40% - Accent1 5 4 4" xfId="16405" xr:uid="{00000000-0005-0000-0000-000076370000}"/>
    <cellStyle name="40% - Accent1 5 4 4 2" xfId="3385" xr:uid="{00000000-0005-0000-0000-000077370000}"/>
    <cellStyle name="40% - Accent1 5 4 5" xfId="16407" xr:uid="{00000000-0005-0000-0000-000078370000}"/>
    <cellStyle name="40% - Accent1 5 5" xfId="2257" xr:uid="{00000000-0005-0000-0000-000079370000}"/>
    <cellStyle name="40% - Accent1 5 5 2" xfId="6762" xr:uid="{00000000-0005-0000-0000-00007A370000}"/>
    <cellStyle name="40% - Accent1 5 5 2 2" xfId="16409" xr:uid="{00000000-0005-0000-0000-00007B370000}"/>
    <cellStyle name="40% - Accent1 5 5 2 2 2" xfId="16413" xr:uid="{00000000-0005-0000-0000-00007C370000}"/>
    <cellStyle name="40% - Accent1 5 5 2 3" xfId="16414" xr:uid="{00000000-0005-0000-0000-00007D370000}"/>
    <cellStyle name="40% - Accent1 5 5 3" xfId="16416" xr:uid="{00000000-0005-0000-0000-00007E370000}"/>
    <cellStyle name="40% - Accent1 5 5 3 2" xfId="16422" xr:uid="{00000000-0005-0000-0000-00007F370000}"/>
    <cellStyle name="40% - Accent1 5 5 4" xfId="16425" xr:uid="{00000000-0005-0000-0000-000080370000}"/>
    <cellStyle name="40% - Accent1 5 6" xfId="16428" xr:uid="{00000000-0005-0000-0000-000081370000}"/>
    <cellStyle name="40% - Accent1 5 6 2" xfId="13904" xr:uid="{00000000-0005-0000-0000-000082370000}"/>
    <cellStyle name="40% - Accent1 5 6 2 2" xfId="16429" xr:uid="{00000000-0005-0000-0000-000083370000}"/>
    <cellStyle name="40% - Accent1 5 6 3" xfId="16432" xr:uid="{00000000-0005-0000-0000-000084370000}"/>
    <cellStyle name="40% - Accent1 5 7" xfId="16436" xr:uid="{00000000-0005-0000-0000-000085370000}"/>
    <cellStyle name="40% - Accent1 5 7 2" xfId="13910" xr:uid="{00000000-0005-0000-0000-000086370000}"/>
    <cellStyle name="40% - Accent1 5 8" xfId="7863" xr:uid="{00000000-0005-0000-0000-000087370000}"/>
    <cellStyle name="40% - Accent1 6" xfId="16258" xr:uid="{00000000-0005-0000-0000-000088370000}"/>
    <cellStyle name="40% - Accent1 6 2" xfId="606" xr:uid="{00000000-0005-0000-0000-000089370000}"/>
    <cellStyle name="40% - Accent1 6 2 2" xfId="16438" xr:uid="{00000000-0005-0000-0000-00008A370000}"/>
    <cellStyle name="40% - Accent1 6 2 2 2" xfId="3344" xr:uid="{00000000-0005-0000-0000-00008B370000}"/>
    <cellStyle name="40% - Accent1 6 2 2 2 2" xfId="16009" xr:uid="{00000000-0005-0000-0000-00008C370000}"/>
    <cellStyle name="40% - Accent1 6 2 2 2 2 2" xfId="15957" xr:uid="{00000000-0005-0000-0000-00008D370000}"/>
    <cellStyle name="40% - Accent1 6 2 2 2 2 2 2" xfId="16439" xr:uid="{00000000-0005-0000-0000-00008E370000}"/>
    <cellStyle name="40% - Accent1 6 2 2 2 2 3" xfId="13947" xr:uid="{00000000-0005-0000-0000-00008F370000}"/>
    <cellStyle name="40% - Accent1 6 2 2 2 3" xfId="16440" xr:uid="{00000000-0005-0000-0000-000090370000}"/>
    <cellStyle name="40% - Accent1 6 2 2 2 3 2" xfId="4169" xr:uid="{00000000-0005-0000-0000-000091370000}"/>
    <cellStyle name="40% - Accent1 6 2 2 2 4" xfId="16441" xr:uid="{00000000-0005-0000-0000-000092370000}"/>
    <cellStyle name="40% - Accent1 6 2 2 3" xfId="27507" xr:uid="{00000000-0005-0000-0000-000093370000}"/>
    <cellStyle name="40% - Accent1 6 2 2 3 2" xfId="24939" xr:uid="{00000000-0005-0000-0000-000094370000}"/>
    <cellStyle name="40% - Accent1 6 2 2 3 2 2" xfId="13992" xr:uid="{00000000-0005-0000-0000-000095370000}"/>
    <cellStyle name="40% - Accent1 6 2 2 3 3" xfId="16442" xr:uid="{00000000-0005-0000-0000-000096370000}"/>
    <cellStyle name="40% - Accent1 6 2 2 4" xfId="16443" xr:uid="{00000000-0005-0000-0000-000097370000}"/>
    <cellStyle name="40% - Accent1 6 2 2 4 2" xfId="16444" xr:uid="{00000000-0005-0000-0000-000098370000}"/>
    <cellStyle name="40% - Accent1 6 2 2 5" xfId="16445" xr:uid="{00000000-0005-0000-0000-000099370000}"/>
    <cellStyle name="40% - Accent1 6 2 3" xfId="16447" xr:uid="{00000000-0005-0000-0000-00009A370000}"/>
    <cellStyle name="40% - Accent1 6 2 3 2" xfId="16450" xr:uid="{00000000-0005-0000-0000-00009B370000}"/>
    <cellStyle name="40% - Accent1 6 2 3 2 2" xfId="16454" xr:uid="{00000000-0005-0000-0000-00009C370000}"/>
    <cellStyle name="40% - Accent1 6 2 3 2 2 2" xfId="30227" xr:uid="{00000000-0005-0000-0000-00009D370000}"/>
    <cellStyle name="40% - Accent1 6 2 3 2 3" xfId="16456" xr:uid="{00000000-0005-0000-0000-00009E370000}"/>
    <cellStyle name="40% - Accent1 6 2 3 3" xfId="16458" xr:uid="{00000000-0005-0000-0000-00009F370000}"/>
    <cellStyle name="40% - Accent1 6 2 3 3 2" xfId="16460" xr:uid="{00000000-0005-0000-0000-0000A0370000}"/>
    <cellStyle name="40% - Accent1 6 2 3 4" xfId="21234" xr:uid="{00000000-0005-0000-0000-0000A1370000}"/>
    <cellStyle name="40% - Accent1 6 2 4" xfId="16461" xr:uid="{00000000-0005-0000-0000-0000A2370000}"/>
    <cellStyle name="40% - Accent1 6 2 4 2" xfId="16465" xr:uid="{00000000-0005-0000-0000-0000A3370000}"/>
    <cellStyle name="40% - Accent1 6 2 4 2 2" xfId="16467" xr:uid="{00000000-0005-0000-0000-0000A4370000}"/>
    <cellStyle name="40% - Accent1 6 2 4 3" xfId="16470" xr:uid="{00000000-0005-0000-0000-0000A5370000}"/>
    <cellStyle name="40% - Accent1 6 2 5" xfId="2391" xr:uid="{00000000-0005-0000-0000-0000A6370000}"/>
    <cellStyle name="40% - Accent1 6 2 5 2" xfId="16472" xr:uid="{00000000-0005-0000-0000-0000A7370000}"/>
    <cellStyle name="40% - Accent1 6 2 6" xfId="16474" xr:uid="{00000000-0005-0000-0000-0000A8370000}"/>
    <cellStyle name="40% - Accent1 6 3" xfId="3653" xr:uid="{00000000-0005-0000-0000-0000A9370000}"/>
    <cellStyle name="40% - Accent1 6 3 2" xfId="2178" xr:uid="{00000000-0005-0000-0000-0000AA370000}"/>
    <cellStyle name="40% - Accent1 6 3 2 2" xfId="16475" xr:uid="{00000000-0005-0000-0000-0000AB370000}"/>
    <cellStyle name="40% - Accent1 6 3 2 2 2" xfId="11434" xr:uid="{00000000-0005-0000-0000-0000AC370000}"/>
    <cellStyle name="40% - Accent1 6 3 2 2 2 2" xfId="16478" xr:uid="{00000000-0005-0000-0000-0000AD370000}"/>
    <cellStyle name="40% - Accent1 6 3 2 2 3" xfId="16479" xr:uid="{00000000-0005-0000-0000-0000AE370000}"/>
    <cellStyle name="40% - Accent1 6 3 2 3" xfId="16480" xr:uid="{00000000-0005-0000-0000-0000AF370000}"/>
    <cellStyle name="40% - Accent1 6 3 2 3 2" xfId="16481" xr:uid="{00000000-0005-0000-0000-0000B0370000}"/>
    <cellStyle name="40% - Accent1 6 3 2 4" xfId="16482" xr:uid="{00000000-0005-0000-0000-0000B1370000}"/>
    <cellStyle name="40% - Accent1 6 3 3" xfId="16483" xr:uid="{00000000-0005-0000-0000-0000B2370000}"/>
    <cellStyle name="40% - Accent1 6 3 3 2" xfId="16484" xr:uid="{00000000-0005-0000-0000-0000B3370000}"/>
    <cellStyle name="40% - Accent1 6 3 3 2 2" xfId="16488" xr:uid="{00000000-0005-0000-0000-0000B4370000}"/>
    <cellStyle name="40% - Accent1 6 3 3 3" xfId="16489" xr:uid="{00000000-0005-0000-0000-0000B5370000}"/>
    <cellStyle name="40% - Accent1 6 3 4" xfId="16491" xr:uid="{00000000-0005-0000-0000-0000B6370000}"/>
    <cellStyle name="40% - Accent1 6 3 4 2" xfId="16493" xr:uid="{00000000-0005-0000-0000-0000B7370000}"/>
    <cellStyle name="40% - Accent1 6 3 5" xfId="16496" xr:uid="{00000000-0005-0000-0000-0000B8370000}"/>
    <cellStyle name="40% - Accent1 6 4" xfId="1798" xr:uid="{00000000-0005-0000-0000-0000B9370000}"/>
    <cellStyle name="40% - Accent1 6 4 2" xfId="3509" xr:uid="{00000000-0005-0000-0000-0000BA370000}"/>
    <cellStyle name="40% - Accent1 6 4 2 2" xfId="16497" xr:uid="{00000000-0005-0000-0000-0000BB370000}"/>
    <cellStyle name="40% - Accent1 6 4 2 2 2" xfId="16499" xr:uid="{00000000-0005-0000-0000-0000BC370000}"/>
    <cellStyle name="40% - Accent1 6 4 2 3" xfId="16500" xr:uid="{00000000-0005-0000-0000-0000BD370000}"/>
    <cellStyle name="40% - Accent1 6 4 3" xfId="16502" xr:uid="{00000000-0005-0000-0000-0000BE370000}"/>
    <cellStyle name="40% - Accent1 6 4 3 2" xfId="14408" xr:uid="{00000000-0005-0000-0000-0000BF370000}"/>
    <cellStyle name="40% - Accent1 6 4 4" xfId="16503" xr:uid="{00000000-0005-0000-0000-0000C0370000}"/>
    <cellStyle name="40% - Accent1 6 5" xfId="16504" xr:uid="{00000000-0005-0000-0000-0000C1370000}"/>
    <cellStyle name="40% - Accent1 6 5 2" xfId="16505" xr:uid="{00000000-0005-0000-0000-0000C2370000}"/>
    <cellStyle name="40% - Accent1 6 5 2 2" xfId="6965" xr:uid="{00000000-0005-0000-0000-0000C3370000}"/>
    <cellStyle name="40% - Accent1 6 5 3" xfId="16506" xr:uid="{00000000-0005-0000-0000-0000C4370000}"/>
    <cellStyle name="40% - Accent1 6 6" xfId="16508" xr:uid="{00000000-0005-0000-0000-0000C5370000}"/>
    <cellStyle name="40% - Accent1 6 6 2" xfId="16509" xr:uid="{00000000-0005-0000-0000-0000C6370000}"/>
    <cellStyle name="40% - Accent1 6 7" xfId="16512" xr:uid="{00000000-0005-0000-0000-0000C7370000}"/>
    <cellStyle name="40% - Accent1 7" xfId="16514" xr:uid="{00000000-0005-0000-0000-0000C8370000}"/>
    <cellStyle name="40% - Accent1 7 2" xfId="4269" xr:uid="{00000000-0005-0000-0000-0000C9370000}"/>
    <cellStyle name="40% - Accent1 7 2 2" xfId="16515" xr:uid="{00000000-0005-0000-0000-0000CA370000}"/>
    <cellStyle name="40% - Accent1 7 2 2 2" xfId="16518" xr:uid="{00000000-0005-0000-0000-0000CB370000}"/>
    <cellStyle name="40% - Accent1 7 2 2 2 2" xfId="21808" xr:uid="{00000000-0005-0000-0000-0000CC370000}"/>
    <cellStyle name="40% - Accent1 7 2 2 2 2 2" xfId="16520" xr:uid="{00000000-0005-0000-0000-0000CD370000}"/>
    <cellStyle name="40% - Accent1 7 2 2 2 3" xfId="16521" xr:uid="{00000000-0005-0000-0000-0000CE370000}"/>
    <cellStyle name="40% - Accent1 7 2 2 3" xfId="16522" xr:uid="{00000000-0005-0000-0000-0000CF370000}"/>
    <cellStyle name="40% - Accent1 7 2 2 3 2" xfId="11813" xr:uid="{00000000-0005-0000-0000-0000D0370000}"/>
    <cellStyle name="40% - Accent1 7 2 2 4" xfId="16523" xr:uid="{00000000-0005-0000-0000-0000D1370000}"/>
    <cellStyle name="40% - Accent1 7 2 3" xfId="29965" xr:uid="{00000000-0005-0000-0000-0000D2370000}"/>
    <cellStyle name="40% - Accent1 7 2 3 2" xfId="16524" xr:uid="{00000000-0005-0000-0000-0000D3370000}"/>
    <cellStyle name="40% - Accent1 7 2 3 2 2" xfId="16527" xr:uid="{00000000-0005-0000-0000-0000D4370000}"/>
    <cellStyle name="40% - Accent1 7 2 3 3" xfId="16529" xr:uid="{00000000-0005-0000-0000-0000D5370000}"/>
    <cellStyle name="40% - Accent1 7 2 4" xfId="29080" xr:uid="{00000000-0005-0000-0000-0000D6370000}"/>
    <cellStyle name="40% - Accent1 7 2 4 2" xfId="4239" xr:uid="{00000000-0005-0000-0000-0000D7370000}"/>
    <cellStyle name="40% - Accent1 7 2 5" xfId="16530" xr:uid="{00000000-0005-0000-0000-0000D8370000}"/>
    <cellStyle name="40% - Accent1 7 3" xfId="14447" xr:uid="{00000000-0005-0000-0000-0000D9370000}"/>
    <cellStyle name="40% - Accent1 7 3 2" xfId="16533" xr:uid="{00000000-0005-0000-0000-0000DA370000}"/>
    <cellStyle name="40% - Accent1 7 3 2 2" xfId="21914" xr:uid="{00000000-0005-0000-0000-0000DB370000}"/>
    <cellStyle name="40% - Accent1 7 3 2 2 2" xfId="16535" xr:uid="{00000000-0005-0000-0000-0000DC370000}"/>
    <cellStyle name="40% - Accent1 7 3 2 3" xfId="16536" xr:uid="{00000000-0005-0000-0000-0000DD370000}"/>
    <cellStyle name="40% - Accent1 7 3 3" xfId="30344" xr:uid="{00000000-0005-0000-0000-0000DE370000}"/>
    <cellStyle name="40% - Accent1 7 3 3 2" xfId="16537" xr:uid="{00000000-0005-0000-0000-0000DF370000}"/>
    <cellStyle name="40% - Accent1 7 3 4" xfId="9033" xr:uid="{00000000-0005-0000-0000-0000E0370000}"/>
    <cellStyle name="40% - Accent1 7 4" xfId="16539" xr:uid="{00000000-0005-0000-0000-0000E1370000}"/>
    <cellStyle name="40% - Accent1 7 4 2" xfId="16541" xr:uid="{00000000-0005-0000-0000-0000E2370000}"/>
    <cellStyle name="40% - Accent1 7 4 2 2" xfId="16542" xr:uid="{00000000-0005-0000-0000-0000E3370000}"/>
    <cellStyle name="40% - Accent1 7 4 3" xfId="14082" xr:uid="{00000000-0005-0000-0000-0000E4370000}"/>
    <cellStyle name="40% - Accent1 7 5" xfId="16545" xr:uid="{00000000-0005-0000-0000-0000E5370000}"/>
    <cellStyle name="40% - Accent1 7 5 2" xfId="16549" xr:uid="{00000000-0005-0000-0000-0000E6370000}"/>
    <cellStyle name="40% - Accent1 7 6" xfId="16551" xr:uid="{00000000-0005-0000-0000-0000E7370000}"/>
    <cellStyle name="40% - Accent1 8" xfId="16555" xr:uid="{00000000-0005-0000-0000-0000E8370000}"/>
    <cellStyle name="40% - Accent1 8 2" xfId="590" xr:uid="{00000000-0005-0000-0000-0000E9370000}"/>
    <cellStyle name="40% - Accent1 8 2 2" xfId="22076" xr:uid="{00000000-0005-0000-0000-0000EA370000}"/>
    <cellStyle name="40% - Accent1 8 2 2 2" xfId="16557" xr:uid="{00000000-0005-0000-0000-0000EB370000}"/>
    <cellStyle name="40% - Accent1 8 2 2 2 2" xfId="16562" xr:uid="{00000000-0005-0000-0000-0000EC370000}"/>
    <cellStyle name="40% - Accent1 8 2 2 3" xfId="16565" xr:uid="{00000000-0005-0000-0000-0000ED370000}"/>
    <cellStyle name="40% - Accent1 8 2 3" xfId="28599" xr:uid="{00000000-0005-0000-0000-0000EE370000}"/>
    <cellStyle name="40% - Accent1 8 2 3 2" xfId="16569" xr:uid="{00000000-0005-0000-0000-0000EF370000}"/>
    <cellStyle name="40% - Accent1 8 2 4" xfId="16571" xr:uid="{00000000-0005-0000-0000-0000F0370000}"/>
    <cellStyle name="40% - Accent1 8 3" xfId="16573" xr:uid="{00000000-0005-0000-0000-0000F1370000}"/>
    <cellStyle name="40% - Accent1 8 3 2" xfId="16576" xr:uid="{00000000-0005-0000-0000-0000F2370000}"/>
    <cellStyle name="40% - Accent1 8 3 2 2" xfId="16579" xr:uid="{00000000-0005-0000-0000-0000F3370000}"/>
    <cellStyle name="40% - Accent1 8 3 3" xfId="8625" xr:uid="{00000000-0005-0000-0000-0000F4370000}"/>
    <cellStyle name="40% - Accent1 8 4" xfId="7305" xr:uid="{00000000-0005-0000-0000-0000F5370000}"/>
    <cellStyle name="40% - Accent1 8 4 2" xfId="16581" xr:uid="{00000000-0005-0000-0000-0000F6370000}"/>
    <cellStyle name="40% - Accent1 8 5" xfId="16876" xr:uid="{00000000-0005-0000-0000-0000F7370000}"/>
    <cellStyle name="40% - Accent1 9" xfId="16583" xr:uid="{00000000-0005-0000-0000-0000F8370000}"/>
    <cellStyle name="40% - Accent1 9 2" xfId="1930" xr:uid="{00000000-0005-0000-0000-0000F9370000}"/>
    <cellStyle name="40% - Accent1 9 2 2" xfId="3970" xr:uid="{00000000-0005-0000-0000-0000FA370000}"/>
    <cellStyle name="40% - Accent1 9 2 2 2" xfId="16589" xr:uid="{00000000-0005-0000-0000-0000FB370000}"/>
    <cellStyle name="40% - Accent1 9 2 3" xfId="25638" xr:uid="{00000000-0005-0000-0000-0000FC370000}"/>
    <cellStyle name="40% - Accent1 9 3" xfId="16592" xr:uid="{00000000-0005-0000-0000-0000FD370000}"/>
    <cellStyle name="40% - Accent1 9 3 2" xfId="16598" xr:uid="{00000000-0005-0000-0000-0000FE370000}"/>
    <cellStyle name="40% - Accent1 9 4" xfId="7309" xr:uid="{00000000-0005-0000-0000-0000FF370000}"/>
    <cellStyle name="40% - Accent2 10" xfId="7738" xr:uid="{00000000-0005-0000-0000-000000380000}"/>
    <cellStyle name="40% - Accent2 10 2" xfId="25261" xr:uid="{00000000-0005-0000-0000-000001380000}"/>
    <cellStyle name="40% - Accent2 10 2 2" xfId="25925" xr:uid="{00000000-0005-0000-0000-000002380000}"/>
    <cellStyle name="40% - Accent2 10 3" xfId="984" xr:uid="{00000000-0005-0000-0000-000003380000}"/>
    <cellStyle name="40% - Accent2 11" xfId="13225" xr:uid="{00000000-0005-0000-0000-000004380000}"/>
    <cellStyle name="40% - Accent2 11 2" xfId="16601" xr:uid="{00000000-0005-0000-0000-000005380000}"/>
    <cellStyle name="40% - Accent2 12" xfId="16605" xr:uid="{00000000-0005-0000-0000-000006380000}"/>
    <cellStyle name="40% - Accent2 13" xfId="16607" xr:uid="{00000000-0005-0000-0000-000007380000}"/>
    <cellStyle name="40% - Accent2 2" xfId="30418" xr:uid="{00000000-0005-0000-0000-000008380000}"/>
    <cellStyle name="40% - Accent2 2 10" xfId="11404" xr:uid="{00000000-0005-0000-0000-000009380000}"/>
    <cellStyle name="40% - Accent2 2 10 2" xfId="11500" xr:uid="{00000000-0005-0000-0000-00000A380000}"/>
    <cellStyle name="40% - Accent2 2 11" xfId="4738" xr:uid="{00000000-0005-0000-0000-00000B380000}"/>
    <cellStyle name="40% - Accent2 2 2" xfId="16609" xr:uid="{00000000-0005-0000-0000-00000C380000}"/>
    <cellStyle name="40% - Accent2 2 2 10" xfId="16611" xr:uid="{00000000-0005-0000-0000-00000D380000}"/>
    <cellStyle name="40% - Accent2 2 2 2" xfId="16615" xr:uid="{00000000-0005-0000-0000-00000E380000}"/>
    <cellStyle name="40% - Accent2 2 2 2 2" xfId="16616" xr:uid="{00000000-0005-0000-0000-00000F380000}"/>
    <cellStyle name="40% - Accent2 2 2 2 2 2" xfId="16617" xr:uid="{00000000-0005-0000-0000-000010380000}"/>
    <cellStyle name="40% - Accent2 2 2 2 2 2 2" xfId="18152" xr:uid="{00000000-0005-0000-0000-000011380000}"/>
    <cellStyle name="40% - Accent2 2 2 2 2 2 2 2" xfId="20240" xr:uid="{00000000-0005-0000-0000-000012380000}"/>
    <cellStyle name="40% - Accent2 2 2 2 2 2 2 2 2" xfId="19448" xr:uid="{00000000-0005-0000-0000-000013380000}"/>
    <cellStyle name="40% - Accent2 2 2 2 2 2 2 2 2 2" xfId="17027" xr:uid="{00000000-0005-0000-0000-000014380000}"/>
    <cellStyle name="40% - Accent2 2 2 2 2 2 2 2 2 2 2" xfId="16618" xr:uid="{00000000-0005-0000-0000-000015380000}"/>
    <cellStyle name="40% - Accent2 2 2 2 2 2 2 2 2 2 2 2" xfId="16620" xr:uid="{00000000-0005-0000-0000-000016380000}"/>
    <cellStyle name="40% - Accent2 2 2 2 2 2 2 2 2 2 3" xfId="16622" xr:uid="{00000000-0005-0000-0000-000017380000}"/>
    <cellStyle name="40% - Accent2 2 2 2 2 2 2 2 2 3" xfId="16624" xr:uid="{00000000-0005-0000-0000-000018380000}"/>
    <cellStyle name="40% - Accent2 2 2 2 2 2 2 2 2 3 2" xfId="17889" xr:uid="{00000000-0005-0000-0000-000019380000}"/>
    <cellStyle name="40% - Accent2 2 2 2 2 2 2 2 2 4" xfId="3929" xr:uid="{00000000-0005-0000-0000-00001A380000}"/>
    <cellStyle name="40% - Accent2 2 2 2 2 2 2 2 3" xfId="16626" xr:uid="{00000000-0005-0000-0000-00001B380000}"/>
    <cellStyle name="40% - Accent2 2 2 2 2 2 2 2 3 2" xfId="16629" xr:uid="{00000000-0005-0000-0000-00001C380000}"/>
    <cellStyle name="40% - Accent2 2 2 2 2 2 2 2 3 2 2" xfId="18547" xr:uid="{00000000-0005-0000-0000-00001D380000}"/>
    <cellStyle name="40% - Accent2 2 2 2 2 2 2 2 3 3" xfId="16635" xr:uid="{00000000-0005-0000-0000-00001E380000}"/>
    <cellStyle name="40% - Accent2 2 2 2 2 2 2 2 4" xfId="16637" xr:uid="{00000000-0005-0000-0000-00001F380000}"/>
    <cellStyle name="40% - Accent2 2 2 2 2 2 2 2 4 2" xfId="16640" xr:uid="{00000000-0005-0000-0000-000020380000}"/>
    <cellStyle name="40% - Accent2 2 2 2 2 2 2 2 5" xfId="16642" xr:uid="{00000000-0005-0000-0000-000021380000}"/>
    <cellStyle name="40% - Accent2 2 2 2 2 2 2 3" xfId="17205" xr:uid="{00000000-0005-0000-0000-000022380000}"/>
    <cellStyle name="40% - Accent2 2 2 2 2 2 2 3 2" xfId="30930" xr:uid="{00000000-0005-0000-0000-000023380000}"/>
    <cellStyle name="40% - Accent2 2 2 2 2 2 2 3 2 2" xfId="16643" xr:uid="{00000000-0005-0000-0000-000024380000}"/>
    <cellStyle name="40% - Accent2 2 2 2 2 2 2 3 2 2 2" xfId="16644" xr:uid="{00000000-0005-0000-0000-000025380000}"/>
    <cellStyle name="40% - Accent2 2 2 2 2 2 2 3 2 3" xfId="16646" xr:uid="{00000000-0005-0000-0000-000026380000}"/>
    <cellStyle name="40% - Accent2 2 2 2 2 2 2 3 3" xfId="16647" xr:uid="{00000000-0005-0000-0000-000027380000}"/>
    <cellStyle name="40% - Accent2 2 2 2 2 2 2 3 3 2" xfId="16649" xr:uid="{00000000-0005-0000-0000-000028380000}"/>
    <cellStyle name="40% - Accent2 2 2 2 2 2 2 3 4" xfId="16651" xr:uid="{00000000-0005-0000-0000-000029380000}"/>
    <cellStyle name="40% - Accent2 2 2 2 2 2 2 4" xfId="27305" xr:uid="{00000000-0005-0000-0000-00002A380000}"/>
    <cellStyle name="40% - Accent2 2 2 2 2 2 2 4 2" xfId="16654" xr:uid="{00000000-0005-0000-0000-00002B380000}"/>
    <cellStyle name="40% - Accent2 2 2 2 2 2 2 4 2 2" xfId="16655" xr:uid="{00000000-0005-0000-0000-00002C380000}"/>
    <cellStyle name="40% - Accent2 2 2 2 2 2 2 4 3" xfId="8027" xr:uid="{00000000-0005-0000-0000-00002D380000}"/>
    <cellStyle name="40% - Accent2 2 2 2 2 2 2 5" xfId="25198" xr:uid="{00000000-0005-0000-0000-00002E380000}"/>
    <cellStyle name="40% - Accent2 2 2 2 2 2 2 5 2" xfId="16657" xr:uid="{00000000-0005-0000-0000-00002F380000}"/>
    <cellStyle name="40% - Accent2 2 2 2 2 2 2 6" xfId="17254" xr:uid="{00000000-0005-0000-0000-000030380000}"/>
    <cellStyle name="40% - Accent2 2 2 2 2 2 3" xfId="16659" xr:uid="{00000000-0005-0000-0000-000031380000}"/>
    <cellStyle name="40% - Accent2 2 2 2 2 2 3 2" xfId="2608" xr:uid="{00000000-0005-0000-0000-000032380000}"/>
    <cellStyle name="40% - Accent2 2 2 2 2 2 3 2 2" xfId="6825" xr:uid="{00000000-0005-0000-0000-000033380000}"/>
    <cellStyle name="40% - Accent2 2 2 2 2 2 3 2 2 2" xfId="29977" xr:uid="{00000000-0005-0000-0000-000034380000}"/>
    <cellStyle name="40% - Accent2 2 2 2 2 2 3 2 2 2 2" xfId="2038" xr:uid="{00000000-0005-0000-0000-000035380000}"/>
    <cellStyle name="40% - Accent2 2 2 2 2 2 3 2 2 3" xfId="16660" xr:uid="{00000000-0005-0000-0000-000036380000}"/>
    <cellStyle name="40% - Accent2 2 2 2 2 2 3 2 3" xfId="16664" xr:uid="{00000000-0005-0000-0000-000037380000}"/>
    <cellStyle name="40% - Accent2 2 2 2 2 2 3 2 3 2" xfId="16669" xr:uid="{00000000-0005-0000-0000-000038380000}"/>
    <cellStyle name="40% - Accent2 2 2 2 2 2 3 2 4" xfId="16672" xr:uid="{00000000-0005-0000-0000-000039380000}"/>
    <cellStyle name="40% - Accent2 2 2 2 2 2 3 3" xfId="8656" xr:uid="{00000000-0005-0000-0000-00003A380000}"/>
    <cellStyle name="40% - Accent2 2 2 2 2 2 3 3 2" xfId="18404" xr:uid="{00000000-0005-0000-0000-00003B380000}"/>
    <cellStyle name="40% - Accent2 2 2 2 2 2 3 3 2 2" xfId="16673" xr:uid="{00000000-0005-0000-0000-00003C380000}"/>
    <cellStyle name="40% - Accent2 2 2 2 2 2 3 3 3" xfId="18412" xr:uid="{00000000-0005-0000-0000-00003D380000}"/>
    <cellStyle name="40% - Accent2 2 2 2 2 2 3 4" xfId="30289" xr:uid="{00000000-0005-0000-0000-00003E380000}"/>
    <cellStyle name="40% - Accent2 2 2 2 2 2 3 4 2" xfId="16676" xr:uid="{00000000-0005-0000-0000-00003F380000}"/>
    <cellStyle name="40% - Accent2 2 2 2 2 2 3 5" xfId="17273" xr:uid="{00000000-0005-0000-0000-000040380000}"/>
    <cellStyle name="40% - Accent2 2 2 2 2 2 4" xfId="15254" xr:uid="{00000000-0005-0000-0000-000041380000}"/>
    <cellStyle name="40% - Accent2 2 2 2 2 2 4 2" xfId="1310" xr:uid="{00000000-0005-0000-0000-000042380000}"/>
    <cellStyle name="40% - Accent2 2 2 2 2 2 4 2 2" xfId="7251" xr:uid="{00000000-0005-0000-0000-000043380000}"/>
    <cellStyle name="40% - Accent2 2 2 2 2 2 4 2 2 2" xfId="5861" xr:uid="{00000000-0005-0000-0000-000044380000}"/>
    <cellStyle name="40% - Accent2 2 2 2 2 2 4 2 3" xfId="16680" xr:uid="{00000000-0005-0000-0000-000045380000}"/>
    <cellStyle name="40% - Accent2 2 2 2 2 2 4 3" xfId="17283" xr:uid="{00000000-0005-0000-0000-000046380000}"/>
    <cellStyle name="40% - Accent2 2 2 2 2 2 4 3 2" xfId="18423" xr:uid="{00000000-0005-0000-0000-000047380000}"/>
    <cellStyle name="40% - Accent2 2 2 2 2 2 4 4" xfId="17290" xr:uid="{00000000-0005-0000-0000-000048380000}"/>
    <cellStyle name="40% - Accent2 2 2 2 2 2 5" xfId="22277" xr:uid="{00000000-0005-0000-0000-000049380000}"/>
    <cellStyle name="40% - Accent2 2 2 2 2 2 5 2" xfId="3168" xr:uid="{00000000-0005-0000-0000-00004A380000}"/>
    <cellStyle name="40% - Accent2 2 2 2 2 2 5 2 2" xfId="14283" xr:uid="{00000000-0005-0000-0000-00004B380000}"/>
    <cellStyle name="40% - Accent2 2 2 2 2 2 5 3" xfId="17304" xr:uid="{00000000-0005-0000-0000-00004C380000}"/>
    <cellStyle name="40% - Accent2 2 2 2 2 2 6" xfId="15271" xr:uid="{00000000-0005-0000-0000-00004D380000}"/>
    <cellStyle name="40% - Accent2 2 2 2 2 2 6 2" xfId="4868" xr:uid="{00000000-0005-0000-0000-00004E380000}"/>
    <cellStyle name="40% - Accent2 2 2 2 2 2 7" xfId="33209" xr:uid="{00000000-0005-0000-0000-00004F380000}"/>
    <cellStyle name="40% - Accent2 2 2 2 2 3" xfId="16681" xr:uid="{00000000-0005-0000-0000-000050380000}"/>
    <cellStyle name="40% - Accent2 2 2 2 2 3 2" xfId="913" xr:uid="{00000000-0005-0000-0000-000051380000}"/>
    <cellStyle name="40% - Accent2 2 2 2 2 3 2 2" xfId="1949" xr:uid="{00000000-0005-0000-0000-000052380000}"/>
    <cellStyle name="40% - Accent2 2 2 2 2 3 2 2 2" xfId="16682" xr:uid="{00000000-0005-0000-0000-000053380000}"/>
    <cellStyle name="40% - Accent2 2 2 2 2 3 2 2 2 2" xfId="28761" xr:uid="{00000000-0005-0000-0000-000054380000}"/>
    <cellStyle name="40% - Accent2 2 2 2 2 3 2 2 2 2 2" xfId="30625" xr:uid="{00000000-0005-0000-0000-000055380000}"/>
    <cellStyle name="40% - Accent2 2 2 2 2 3 2 2 2 3" xfId="28767" xr:uid="{00000000-0005-0000-0000-000056380000}"/>
    <cellStyle name="40% - Accent2 2 2 2 2 3 2 2 3" xfId="16683" xr:uid="{00000000-0005-0000-0000-000057380000}"/>
    <cellStyle name="40% - Accent2 2 2 2 2 3 2 2 3 2" xfId="10092" xr:uid="{00000000-0005-0000-0000-000058380000}"/>
    <cellStyle name="40% - Accent2 2 2 2 2 3 2 2 4" xfId="16684" xr:uid="{00000000-0005-0000-0000-000059380000}"/>
    <cellStyle name="40% - Accent2 2 2 2 2 3 2 3" xfId="19698" xr:uid="{00000000-0005-0000-0000-00005A380000}"/>
    <cellStyle name="40% - Accent2 2 2 2 2 3 2 3 2" xfId="16685" xr:uid="{00000000-0005-0000-0000-00005B380000}"/>
    <cellStyle name="40% - Accent2 2 2 2 2 3 2 3 2 2" xfId="4262" xr:uid="{00000000-0005-0000-0000-00005C380000}"/>
    <cellStyle name="40% - Accent2 2 2 2 2 3 2 3 3" xfId="16686" xr:uid="{00000000-0005-0000-0000-00005D380000}"/>
    <cellStyle name="40% - Accent2 2 2 2 2 3 2 4" xfId="17337" xr:uid="{00000000-0005-0000-0000-00005E380000}"/>
    <cellStyle name="40% - Accent2 2 2 2 2 3 2 4 2" xfId="16688" xr:uid="{00000000-0005-0000-0000-00005F380000}"/>
    <cellStyle name="40% - Accent2 2 2 2 2 3 2 5" xfId="15003" xr:uid="{00000000-0005-0000-0000-000060380000}"/>
    <cellStyle name="40% - Accent2 2 2 2 2 3 3" xfId="10895" xr:uid="{00000000-0005-0000-0000-000061380000}"/>
    <cellStyle name="40% - Accent2 2 2 2 2 3 3 2" xfId="1703" xr:uid="{00000000-0005-0000-0000-000062380000}"/>
    <cellStyle name="40% - Accent2 2 2 2 2 3 3 2 2" xfId="16689" xr:uid="{00000000-0005-0000-0000-000063380000}"/>
    <cellStyle name="40% - Accent2 2 2 2 2 3 3 2 2 2" xfId="6507" xr:uid="{00000000-0005-0000-0000-000064380000}"/>
    <cellStyle name="40% - Accent2 2 2 2 2 3 3 2 3" xfId="15210" xr:uid="{00000000-0005-0000-0000-000065380000}"/>
    <cellStyle name="40% - Accent2 2 2 2 2 3 3 3" xfId="17353" xr:uid="{00000000-0005-0000-0000-000066380000}"/>
    <cellStyle name="40% - Accent2 2 2 2 2 3 3 3 2" xfId="18440" xr:uid="{00000000-0005-0000-0000-000067380000}"/>
    <cellStyle name="40% - Accent2 2 2 2 2 3 3 4" xfId="17380" xr:uid="{00000000-0005-0000-0000-000068380000}"/>
    <cellStyle name="40% - Accent2 2 2 2 2 3 4" xfId="15279" xr:uid="{00000000-0005-0000-0000-000069380000}"/>
    <cellStyle name="40% - Accent2 2 2 2 2 3 4 2" xfId="22972" xr:uid="{00000000-0005-0000-0000-00006A380000}"/>
    <cellStyle name="40% - Accent2 2 2 2 2 3 4 2 2" xfId="16690" xr:uid="{00000000-0005-0000-0000-00006B380000}"/>
    <cellStyle name="40% - Accent2 2 2 2 2 3 4 3" xfId="22980" xr:uid="{00000000-0005-0000-0000-00006C380000}"/>
    <cellStyle name="40% - Accent2 2 2 2 2 3 5" xfId="15283" xr:uid="{00000000-0005-0000-0000-00006D380000}"/>
    <cellStyle name="40% - Accent2 2 2 2 2 3 5 2" xfId="21356" xr:uid="{00000000-0005-0000-0000-00006E380000}"/>
    <cellStyle name="40% - Accent2 2 2 2 2 3 6" xfId="16692" xr:uid="{00000000-0005-0000-0000-00006F380000}"/>
    <cellStyle name="40% - Accent2 2 2 2 2 4" xfId="16693" xr:uid="{00000000-0005-0000-0000-000070380000}"/>
    <cellStyle name="40% - Accent2 2 2 2 2 4 2" xfId="10898" xr:uid="{00000000-0005-0000-0000-000071380000}"/>
    <cellStyle name="40% - Accent2 2 2 2 2 4 2 2" xfId="1420" xr:uid="{00000000-0005-0000-0000-000072380000}"/>
    <cellStyle name="40% - Accent2 2 2 2 2 4 2 2 2" xfId="16694" xr:uid="{00000000-0005-0000-0000-000073380000}"/>
    <cellStyle name="40% - Accent2 2 2 2 2 4 2 2 2 2" xfId="10241" xr:uid="{00000000-0005-0000-0000-000074380000}"/>
    <cellStyle name="40% - Accent2 2 2 2 2 4 2 2 3" xfId="16695" xr:uid="{00000000-0005-0000-0000-000075380000}"/>
    <cellStyle name="40% - Accent2 2 2 2 2 4 2 3" xfId="17423" xr:uid="{00000000-0005-0000-0000-000076380000}"/>
    <cellStyle name="40% - Accent2 2 2 2 2 4 2 3 2" xfId="16696" xr:uid="{00000000-0005-0000-0000-000077380000}"/>
    <cellStyle name="40% - Accent2 2 2 2 2 4 2 4" xfId="15021" xr:uid="{00000000-0005-0000-0000-000078380000}"/>
    <cellStyle name="40% - Accent2 2 2 2 2 4 3" xfId="16697" xr:uid="{00000000-0005-0000-0000-000079380000}"/>
    <cellStyle name="40% - Accent2 2 2 2 2 4 3 2" xfId="30379" xr:uid="{00000000-0005-0000-0000-00007A380000}"/>
    <cellStyle name="40% - Accent2 2 2 2 2 4 3 2 2" xfId="16698" xr:uid="{00000000-0005-0000-0000-00007B380000}"/>
    <cellStyle name="40% - Accent2 2 2 2 2 4 3 3" xfId="1038" xr:uid="{00000000-0005-0000-0000-00007C380000}"/>
    <cellStyle name="40% - Accent2 2 2 2 2 4 4" xfId="15285" xr:uid="{00000000-0005-0000-0000-00007D380000}"/>
    <cellStyle name="40% - Accent2 2 2 2 2 4 4 2" xfId="22997" xr:uid="{00000000-0005-0000-0000-00007E380000}"/>
    <cellStyle name="40% - Accent2 2 2 2 2 4 5" xfId="16699" xr:uid="{00000000-0005-0000-0000-00007F380000}"/>
    <cellStyle name="40% - Accent2 2 2 2 2 5" xfId="18544" xr:uid="{00000000-0005-0000-0000-000080380000}"/>
    <cellStyle name="40% - Accent2 2 2 2 2 5 2" xfId="26250" xr:uid="{00000000-0005-0000-0000-000081380000}"/>
    <cellStyle name="40% - Accent2 2 2 2 2 5 2 2" xfId="9800" xr:uid="{00000000-0005-0000-0000-000082380000}"/>
    <cellStyle name="40% - Accent2 2 2 2 2 5 2 2 2" xfId="16700" xr:uid="{00000000-0005-0000-0000-000083380000}"/>
    <cellStyle name="40% - Accent2 2 2 2 2 5 2 3" xfId="2957" xr:uid="{00000000-0005-0000-0000-000084380000}"/>
    <cellStyle name="40% - Accent2 2 2 2 2 5 3" xfId="21830" xr:uid="{00000000-0005-0000-0000-000085380000}"/>
    <cellStyle name="40% - Accent2 2 2 2 2 5 3 2" xfId="1141" xr:uid="{00000000-0005-0000-0000-000086380000}"/>
    <cellStyle name="40% - Accent2 2 2 2 2 5 4" xfId="21842" xr:uid="{00000000-0005-0000-0000-000087380000}"/>
    <cellStyle name="40% - Accent2 2 2 2 2 6" xfId="20022" xr:uid="{00000000-0005-0000-0000-000088380000}"/>
    <cellStyle name="40% - Accent2 2 2 2 2 6 2" xfId="24505" xr:uid="{00000000-0005-0000-0000-000089380000}"/>
    <cellStyle name="40% - Accent2 2 2 2 2 6 2 2" xfId="17651" xr:uid="{00000000-0005-0000-0000-00008A380000}"/>
    <cellStyle name="40% - Accent2 2 2 2 2 6 3" xfId="20031" xr:uid="{00000000-0005-0000-0000-00008B380000}"/>
    <cellStyle name="40% - Accent2 2 2 2 2 7" xfId="20034" xr:uid="{00000000-0005-0000-0000-00008C380000}"/>
    <cellStyle name="40% - Accent2 2 2 2 2 7 2" xfId="7854" xr:uid="{00000000-0005-0000-0000-00008D380000}"/>
    <cellStyle name="40% - Accent2 2 2 2 2 8" xfId="20039" xr:uid="{00000000-0005-0000-0000-00008E380000}"/>
    <cellStyle name="40% - Accent2 2 2 2 3" xfId="16701" xr:uid="{00000000-0005-0000-0000-00008F380000}"/>
    <cellStyle name="40% - Accent2 2 2 2 3 2" xfId="16702" xr:uid="{00000000-0005-0000-0000-000090380000}"/>
    <cellStyle name="40% - Accent2 2 2 2 3 2 2" xfId="16703" xr:uid="{00000000-0005-0000-0000-000091380000}"/>
    <cellStyle name="40% - Accent2 2 2 2 3 2 2 2" xfId="1465" xr:uid="{00000000-0005-0000-0000-000092380000}"/>
    <cellStyle name="40% - Accent2 2 2 2 3 2 2 2 2" xfId="16704" xr:uid="{00000000-0005-0000-0000-000093380000}"/>
    <cellStyle name="40% - Accent2 2 2 2 3 2 2 2 2 2" xfId="16705" xr:uid="{00000000-0005-0000-0000-000094380000}"/>
    <cellStyle name="40% - Accent2 2 2 2 3 2 2 2 2 2 2" xfId="11012" xr:uid="{00000000-0005-0000-0000-000095380000}"/>
    <cellStyle name="40% - Accent2 2 2 2 3 2 2 2 2 3" xfId="12451" xr:uid="{00000000-0005-0000-0000-000096380000}"/>
    <cellStyle name="40% - Accent2 2 2 2 3 2 2 2 3" xfId="16706" xr:uid="{00000000-0005-0000-0000-000097380000}"/>
    <cellStyle name="40% - Accent2 2 2 2 3 2 2 2 3 2" xfId="15031" xr:uid="{00000000-0005-0000-0000-000098380000}"/>
    <cellStyle name="40% - Accent2 2 2 2 3 2 2 2 4" xfId="16708" xr:uid="{00000000-0005-0000-0000-000099380000}"/>
    <cellStyle name="40% - Accent2 2 2 2 3 2 2 3" xfId="17719" xr:uid="{00000000-0005-0000-0000-00009A380000}"/>
    <cellStyle name="40% - Accent2 2 2 2 3 2 2 3 2" xfId="16710" xr:uid="{00000000-0005-0000-0000-00009B380000}"/>
    <cellStyle name="40% - Accent2 2 2 2 3 2 2 3 2 2" xfId="1220" xr:uid="{00000000-0005-0000-0000-00009C380000}"/>
    <cellStyle name="40% - Accent2 2 2 2 3 2 2 3 3" xfId="16711" xr:uid="{00000000-0005-0000-0000-00009D380000}"/>
    <cellStyle name="40% - Accent2 2 2 2 3 2 2 4" xfId="17733" xr:uid="{00000000-0005-0000-0000-00009E380000}"/>
    <cellStyle name="40% - Accent2 2 2 2 3 2 2 4 2" xfId="16712" xr:uid="{00000000-0005-0000-0000-00009F380000}"/>
    <cellStyle name="40% - Accent2 2 2 2 3 2 2 5" xfId="17740" xr:uid="{00000000-0005-0000-0000-0000A0380000}"/>
    <cellStyle name="40% - Accent2 2 2 2 3 2 3" xfId="5272" xr:uid="{00000000-0005-0000-0000-0000A1380000}"/>
    <cellStyle name="40% - Accent2 2 2 2 3 2 3 2" xfId="1471" xr:uid="{00000000-0005-0000-0000-0000A2380000}"/>
    <cellStyle name="40% - Accent2 2 2 2 3 2 3 2 2" xfId="16713" xr:uid="{00000000-0005-0000-0000-0000A3380000}"/>
    <cellStyle name="40% - Accent2 2 2 2 3 2 3 2 2 2" xfId="16714" xr:uid="{00000000-0005-0000-0000-0000A4380000}"/>
    <cellStyle name="40% - Accent2 2 2 2 3 2 3 2 3" xfId="16715" xr:uid="{00000000-0005-0000-0000-0000A5380000}"/>
    <cellStyle name="40% - Accent2 2 2 2 3 2 3 3" xfId="4448" xr:uid="{00000000-0005-0000-0000-0000A6380000}"/>
    <cellStyle name="40% - Accent2 2 2 2 3 2 3 3 2" xfId="20356" xr:uid="{00000000-0005-0000-0000-0000A7380000}"/>
    <cellStyle name="40% - Accent2 2 2 2 3 2 3 4" xfId="17756" xr:uid="{00000000-0005-0000-0000-0000A8380000}"/>
    <cellStyle name="40% - Accent2 2 2 2 3 2 4" xfId="5275" xr:uid="{00000000-0005-0000-0000-0000A9380000}"/>
    <cellStyle name="40% - Accent2 2 2 2 3 2 4 2" xfId="4784" xr:uid="{00000000-0005-0000-0000-0000AA380000}"/>
    <cellStyle name="40% - Accent2 2 2 2 3 2 4 2 2" xfId="16716" xr:uid="{00000000-0005-0000-0000-0000AB380000}"/>
    <cellStyle name="40% - Accent2 2 2 2 3 2 4 3" xfId="17773" xr:uid="{00000000-0005-0000-0000-0000AC380000}"/>
    <cellStyle name="40% - Accent2 2 2 2 3 2 5" xfId="15291" xr:uid="{00000000-0005-0000-0000-0000AD380000}"/>
    <cellStyle name="40% - Accent2 2 2 2 3 2 5 2" xfId="13390" xr:uid="{00000000-0005-0000-0000-0000AE380000}"/>
    <cellStyle name="40% - Accent2 2 2 2 3 2 6" xfId="16717" xr:uid="{00000000-0005-0000-0000-0000AF380000}"/>
    <cellStyle name="40% - Accent2 2 2 2 3 3" xfId="5428" xr:uid="{00000000-0005-0000-0000-0000B0380000}"/>
    <cellStyle name="40% - Accent2 2 2 2 3 3 2" xfId="10915" xr:uid="{00000000-0005-0000-0000-0000B1380000}"/>
    <cellStyle name="40% - Accent2 2 2 2 3 3 2 2" xfId="478" xr:uid="{00000000-0005-0000-0000-0000B2380000}"/>
    <cellStyle name="40% - Accent2 2 2 2 3 3 2 2 2" xfId="16718" xr:uid="{00000000-0005-0000-0000-0000B3380000}"/>
    <cellStyle name="40% - Accent2 2 2 2 3 3 2 2 2 2" xfId="10814" xr:uid="{00000000-0005-0000-0000-0000B4380000}"/>
    <cellStyle name="40% - Accent2 2 2 2 3 3 2 2 3" xfId="16719" xr:uid="{00000000-0005-0000-0000-0000B5380000}"/>
    <cellStyle name="40% - Accent2 2 2 2 3 3 2 3" xfId="17810" xr:uid="{00000000-0005-0000-0000-0000B6380000}"/>
    <cellStyle name="40% - Accent2 2 2 2 3 3 2 3 2" xfId="16720" xr:uid="{00000000-0005-0000-0000-0000B7380000}"/>
    <cellStyle name="40% - Accent2 2 2 2 3 3 2 4" xfId="17821" xr:uid="{00000000-0005-0000-0000-0000B8380000}"/>
    <cellStyle name="40% - Accent2 2 2 2 3 3 3" xfId="5276" xr:uid="{00000000-0005-0000-0000-0000B9380000}"/>
    <cellStyle name="40% - Accent2 2 2 2 3 3 3 2" xfId="1959" xr:uid="{00000000-0005-0000-0000-0000BA380000}"/>
    <cellStyle name="40% - Accent2 2 2 2 3 3 3 2 2" xfId="16721" xr:uid="{00000000-0005-0000-0000-0000BB380000}"/>
    <cellStyle name="40% - Accent2 2 2 2 3 3 3 3" xfId="17827" xr:uid="{00000000-0005-0000-0000-0000BC380000}"/>
    <cellStyle name="40% - Accent2 2 2 2 3 3 4" xfId="15298" xr:uid="{00000000-0005-0000-0000-0000BD380000}"/>
    <cellStyle name="40% - Accent2 2 2 2 3 3 4 2" xfId="16139" xr:uid="{00000000-0005-0000-0000-0000BE380000}"/>
    <cellStyle name="40% - Accent2 2 2 2 3 3 5" xfId="16722" xr:uid="{00000000-0005-0000-0000-0000BF380000}"/>
    <cellStyle name="40% - Accent2 2 2 2 3 4" xfId="16723" xr:uid="{00000000-0005-0000-0000-0000C0380000}"/>
    <cellStyle name="40% - Accent2 2 2 2 3 4 2" xfId="16724" xr:uid="{00000000-0005-0000-0000-0000C1380000}"/>
    <cellStyle name="40% - Accent2 2 2 2 3 4 2 2" xfId="8174" xr:uid="{00000000-0005-0000-0000-0000C2380000}"/>
    <cellStyle name="40% - Accent2 2 2 2 3 4 2 2 2" xfId="16725" xr:uid="{00000000-0005-0000-0000-0000C3380000}"/>
    <cellStyle name="40% - Accent2 2 2 2 3 4 2 3" xfId="17855" xr:uid="{00000000-0005-0000-0000-0000C4380000}"/>
    <cellStyle name="40% - Accent2 2 2 2 3 4 3" xfId="7625" xr:uid="{00000000-0005-0000-0000-0000C5380000}"/>
    <cellStyle name="40% - Accent2 2 2 2 3 4 3 2" xfId="13412" xr:uid="{00000000-0005-0000-0000-0000C6380000}"/>
    <cellStyle name="40% - Accent2 2 2 2 3 4 4" xfId="16726" xr:uid="{00000000-0005-0000-0000-0000C7380000}"/>
    <cellStyle name="40% - Accent2 2 2 2 3 5" xfId="16728" xr:uid="{00000000-0005-0000-0000-0000C8380000}"/>
    <cellStyle name="40% - Accent2 2 2 2 3 5 2" xfId="16730" xr:uid="{00000000-0005-0000-0000-0000C9380000}"/>
    <cellStyle name="40% - Accent2 2 2 2 3 5 2 2" xfId="21615" xr:uid="{00000000-0005-0000-0000-0000CA380000}"/>
    <cellStyle name="40% - Accent2 2 2 2 3 5 3" xfId="21867" xr:uid="{00000000-0005-0000-0000-0000CB380000}"/>
    <cellStyle name="40% - Accent2 2 2 2 3 6" xfId="16733" xr:uid="{00000000-0005-0000-0000-0000CC380000}"/>
    <cellStyle name="40% - Accent2 2 2 2 3 6 2" xfId="16736" xr:uid="{00000000-0005-0000-0000-0000CD380000}"/>
    <cellStyle name="40% - Accent2 2 2 2 3 7" xfId="20043" xr:uid="{00000000-0005-0000-0000-0000CE380000}"/>
    <cellStyle name="40% - Accent2 2 2 2 4" xfId="16740" xr:uid="{00000000-0005-0000-0000-0000CF380000}"/>
    <cellStyle name="40% - Accent2 2 2 2 4 2" xfId="16741" xr:uid="{00000000-0005-0000-0000-0000D0380000}"/>
    <cellStyle name="40% - Accent2 2 2 2 4 2 2" xfId="4049" xr:uid="{00000000-0005-0000-0000-0000D1380000}"/>
    <cellStyle name="40% - Accent2 2 2 2 4 2 2 2" xfId="21162" xr:uid="{00000000-0005-0000-0000-0000D2380000}"/>
    <cellStyle name="40% - Accent2 2 2 2 4 2 2 2 2" xfId="16743" xr:uid="{00000000-0005-0000-0000-0000D3380000}"/>
    <cellStyle name="40% - Accent2 2 2 2 4 2 2 2 2 2" xfId="16744" xr:uid="{00000000-0005-0000-0000-0000D4380000}"/>
    <cellStyle name="40% - Accent2 2 2 2 4 2 2 2 3" xfId="16746" xr:uid="{00000000-0005-0000-0000-0000D5380000}"/>
    <cellStyle name="40% - Accent2 2 2 2 4 2 2 3" xfId="18161" xr:uid="{00000000-0005-0000-0000-0000D6380000}"/>
    <cellStyle name="40% - Accent2 2 2 2 4 2 2 3 2" xfId="16747" xr:uid="{00000000-0005-0000-0000-0000D7380000}"/>
    <cellStyle name="40% - Accent2 2 2 2 4 2 2 4" xfId="18167" xr:uid="{00000000-0005-0000-0000-0000D8380000}"/>
    <cellStyle name="40% - Accent2 2 2 2 4 2 3" xfId="30255" xr:uid="{00000000-0005-0000-0000-0000D9380000}"/>
    <cellStyle name="40% - Accent2 2 2 2 4 2 3 2" xfId="17800" xr:uid="{00000000-0005-0000-0000-0000DA380000}"/>
    <cellStyle name="40% - Accent2 2 2 2 4 2 3 2 2" xfId="11242" xr:uid="{00000000-0005-0000-0000-0000DB380000}"/>
    <cellStyle name="40% - Accent2 2 2 2 4 2 3 3" xfId="18173" xr:uid="{00000000-0005-0000-0000-0000DC380000}"/>
    <cellStyle name="40% - Accent2 2 2 2 4 2 4" xfId="19629" xr:uid="{00000000-0005-0000-0000-0000DD380000}"/>
    <cellStyle name="40% - Accent2 2 2 2 4 2 4 2" xfId="14259" xr:uid="{00000000-0005-0000-0000-0000DE380000}"/>
    <cellStyle name="40% - Accent2 2 2 2 4 2 5" xfId="16748" xr:uid="{00000000-0005-0000-0000-0000DF380000}"/>
    <cellStyle name="40% - Accent2 2 2 2 4 3" xfId="16750" xr:uid="{00000000-0005-0000-0000-0000E0380000}"/>
    <cellStyle name="40% - Accent2 2 2 2 4 3 2" xfId="16752" xr:uid="{00000000-0005-0000-0000-0000E1380000}"/>
    <cellStyle name="40% - Accent2 2 2 2 4 3 2 2" xfId="8" xr:uid="{00000000-0005-0000-0000-0000E2380000}"/>
    <cellStyle name="40% - Accent2 2 2 2 4 3 2 2 2" xfId="12236" xr:uid="{00000000-0005-0000-0000-0000E3380000}"/>
    <cellStyle name="40% - Accent2 2 2 2 4 3 2 3" xfId="18197" xr:uid="{00000000-0005-0000-0000-0000E4380000}"/>
    <cellStyle name="40% - Accent2 2 2 2 4 3 3" xfId="16753" xr:uid="{00000000-0005-0000-0000-0000E5380000}"/>
    <cellStyle name="40% - Accent2 2 2 2 4 3 3 2" xfId="13813" xr:uid="{00000000-0005-0000-0000-0000E6380000}"/>
    <cellStyle name="40% - Accent2 2 2 2 4 3 4" xfId="16754" xr:uid="{00000000-0005-0000-0000-0000E7380000}"/>
    <cellStyle name="40% - Accent2 2 2 2 4 4" xfId="16755" xr:uid="{00000000-0005-0000-0000-0000E8380000}"/>
    <cellStyle name="40% - Accent2 2 2 2 4 4 2" xfId="16756" xr:uid="{00000000-0005-0000-0000-0000E9380000}"/>
    <cellStyle name="40% - Accent2 2 2 2 4 4 2 2" xfId="1455" xr:uid="{00000000-0005-0000-0000-0000EA380000}"/>
    <cellStyle name="40% - Accent2 2 2 2 4 4 3" xfId="1128" xr:uid="{00000000-0005-0000-0000-0000EB380000}"/>
    <cellStyle name="40% - Accent2 2 2 2 4 5" xfId="16757" xr:uid="{00000000-0005-0000-0000-0000EC380000}"/>
    <cellStyle name="40% - Accent2 2 2 2 4 5 2" xfId="27525" xr:uid="{00000000-0005-0000-0000-0000ED380000}"/>
    <cellStyle name="40% - Accent2 2 2 2 4 6" xfId="20045" xr:uid="{00000000-0005-0000-0000-0000EE380000}"/>
    <cellStyle name="40% - Accent2 2 2 2 5" xfId="32649" xr:uid="{00000000-0005-0000-0000-0000EF380000}"/>
    <cellStyle name="40% - Accent2 2 2 2 5 2" xfId="16759" xr:uid="{00000000-0005-0000-0000-0000F0380000}"/>
    <cellStyle name="40% - Accent2 2 2 2 5 2 2" xfId="16762" xr:uid="{00000000-0005-0000-0000-0000F1380000}"/>
    <cellStyle name="40% - Accent2 2 2 2 5 2 2 2" xfId="9488" xr:uid="{00000000-0005-0000-0000-0000F2380000}"/>
    <cellStyle name="40% - Accent2 2 2 2 5 2 2 2 2" xfId="16764" xr:uid="{00000000-0005-0000-0000-0000F3380000}"/>
    <cellStyle name="40% - Accent2 2 2 2 5 2 2 3" xfId="18326" xr:uid="{00000000-0005-0000-0000-0000F4380000}"/>
    <cellStyle name="40% - Accent2 2 2 2 5 2 3" xfId="28220" xr:uid="{00000000-0005-0000-0000-0000F5380000}"/>
    <cellStyle name="40% - Accent2 2 2 2 5 2 3 2" xfId="17184" xr:uid="{00000000-0005-0000-0000-0000F6380000}"/>
    <cellStyle name="40% - Accent2 2 2 2 5 2 4" xfId="28225" xr:uid="{00000000-0005-0000-0000-0000F7380000}"/>
    <cellStyle name="40% - Accent2 2 2 2 5 3" xfId="16765" xr:uid="{00000000-0005-0000-0000-0000F8380000}"/>
    <cellStyle name="40% - Accent2 2 2 2 5 3 2" xfId="28048" xr:uid="{00000000-0005-0000-0000-0000F9380000}"/>
    <cellStyle name="40% - Accent2 2 2 2 5 3 2 2" xfId="17870" xr:uid="{00000000-0005-0000-0000-0000FA380000}"/>
    <cellStyle name="40% - Accent2 2 2 2 5 3 3" xfId="27402" xr:uid="{00000000-0005-0000-0000-0000FB380000}"/>
    <cellStyle name="40% - Accent2 2 2 2 5 4" xfId="16767" xr:uid="{00000000-0005-0000-0000-0000FC380000}"/>
    <cellStyle name="40% - Accent2 2 2 2 5 4 2" xfId="16768" xr:uid="{00000000-0005-0000-0000-0000FD380000}"/>
    <cellStyle name="40% - Accent2 2 2 2 5 5" xfId="21895" xr:uid="{00000000-0005-0000-0000-0000FE380000}"/>
    <cellStyle name="40% - Accent2 2 2 2 6" xfId="25063" xr:uid="{00000000-0005-0000-0000-0000FF380000}"/>
    <cellStyle name="40% - Accent2 2 2 2 6 2" xfId="27464" xr:uid="{00000000-0005-0000-0000-000000390000}"/>
    <cellStyle name="40% - Accent2 2 2 2 6 2 2" xfId="31195" xr:uid="{00000000-0005-0000-0000-000001390000}"/>
    <cellStyle name="40% - Accent2 2 2 2 6 2 2 2" xfId="11413" xr:uid="{00000000-0005-0000-0000-000002390000}"/>
    <cellStyle name="40% - Accent2 2 2 2 6 2 3" xfId="32877" xr:uid="{00000000-0005-0000-0000-000003390000}"/>
    <cellStyle name="40% - Accent2 2 2 2 6 3" xfId="32083" xr:uid="{00000000-0005-0000-0000-000004390000}"/>
    <cellStyle name="40% - Accent2 2 2 2 6 3 2" xfId="32941" xr:uid="{00000000-0005-0000-0000-000005390000}"/>
    <cellStyle name="40% - Accent2 2 2 2 6 4" xfId="12034" xr:uid="{00000000-0005-0000-0000-000006390000}"/>
    <cellStyle name="40% - Accent2 2 2 2 7" xfId="34000" xr:uid="{00000000-0005-0000-0000-000007390000}"/>
    <cellStyle name="40% - Accent2 2 2 2 7 2" xfId="33230" xr:uid="{00000000-0005-0000-0000-000008390000}"/>
    <cellStyle name="40% - Accent2 2 2 2 7 2 2" xfId="11519" xr:uid="{00000000-0005-0000-0000-000009390000}"/>
    <cellStyle name="40% - Accent2 2 2 2 7 3" xfId="32098" xr:uid="{00000000-0005-0000-0000-00000A390000}"/>
    <cellStyle name="40% - Accent2 2 2 2 8" xfId="27407" xr:uid="{00000000-0005-0000-0000-00000B390000}"/>
    <cellStyle name="40% - Accent2 2 2 2 8 2" xfId="33785" xr:uid="{00000000-0005-0000-0000-00000C390000}"/>
    <cellStyle name="40% - Accent2 2 2 2 9" xfId="20958" xr:uid="{00000000-0005-0000-0000-00000D390000}"/>
    <cellStyle name="40% - Accent2 2 2 3" xfId="7071" xr:uid="{00000000-0005-0000-0000-00000E390000}"/>
    <cellStyle name="40% - Accent2 2 2 3 2" xfId="16769" xr:uid="{00000000-0005-0000-0000-00000F390000}"/>
    <cellStyle name="40% - Accent2 2 2 3 2 2" xfId="16770" xr:uid="{00000000-0005-0000-0000-000010390000}"/>
    <cellStyle name="40% - Accent2 2 2 3 2 2 2" xfId="16771" xr:uid="{00000000-0005-0000-0000-000011390000}"/>
    <cellStyle name="40% - Accent2 2 2 3 2 2 2 2" xfId="14513" xr:uid="{00000000-0005-0000-0000-000012390000}"/>
    <cellStyle name="40% - Accent2 2 2 3 2 2 2 2 2" xfId="29144" xr:uid="{00000000-0005-0000-0000-000013390000}"/>
    <cellStyle name="40% - Accent2 2 2 3 2 2 2 2 2 2" xfId="17603" xr:uid="{00000000-0005-0000-0000-000014390000}"/>
    <cellStyle name="40% - Accent2 2 2 3 2 2 2 2 2 2 2" xfId="6338" xr:uid="{00000000-0005-0000-0000-000015390000}"/>
    <cellStyle name="40% - Accent2 2 2 3 2 2 2 2 2 3" xfId="16772" xr:uid="{00000000-0005-0000-0000-000016390000}"/>
    <cellStyle name="40% - Accent2 2 2 3 2 2 2 2 3" xfId="16775" xr:uid="{00000000-0005-0000-0000-000017390000}"/>
    <cellStyle name="40% - Accent2 2 2 3 2 2 2 2 3 2" xfId="16778" xr:uid="{00000000-0005-0000-0000-000018390000}"/>
    <cellStyle name="40% - Accent2 2 2 3 2 2 2 2 4" xfId="16782" xr:uid="{00000000-0005-0000-0000-000019390000}"/>
    <cellStyle name="40% - Accent2 2 2 3 2 2 2 3" xfId="22767" xr:uid="{00000000-0005-0000-0000-00001A390000}"/>
    <cellStyle name="40% - Accent2 2 2 3 2 2 2 3 2" xfId="30700" xr:uid="{00000000-0005-0000-0000-00001B390000}"/>
    <cellStyle name="40% - Accent2 2 2 3 2 2 2 3 2 2" xfId="16784" xr:uid="{00000000-0005-0000-0000-00001C390000}"/>
    <cellStyle name="40% - Accent2 2 2 3 2 2 2 3 3" xfId="18728" xr:uid="{00000000-0005-0000-0000-00001D390000}"/>
    <cellStyle name="40% - Accent2 2 2 3 2 2 2 4" xfId="17401" xr:uid="{00000000-0005-0000-0000-00001E390000}"/>
    <cellStyle name="40% - Accent2 2 2 3 2 2 2 4 2" xfId="25738" xr:uid="{00000000-0005-0000-0000-00001F390000}"/>
    <cellStyle name="40% - Accent2 2 2 3 2 2 2 5" xfId="17412" xr:uid="{00000000-0005-0000-0000-000020390000}"/>
    <cellStyle name="40% - Accent2 2 2 3 2 2 3" xfId="16787" xr:uid="{00000000-0005-0000-0000-000021390000}"/>
    <cellStyle name="40% - Accent2 2 2 3 2 2 3 2" xfId="28707" xr:uid="{00000000-0005-0000-0000-000022390000}"/>
    <cellStyle name="40% - Accent2 2 2 3 2 2 3 2 2" xfId="14955" xr:uid="{00000000-0005-0000-0000-000023390000}"/>
    <cellStyle name="40% - Accent2 2 2 3 2 2 3 2 2 2" xfId="16789" xr:uid="{00000000-0005-0000-0000-000024390000}"/>
    <cellStyle name="40% - Accent2 2 2 3 2 2 3 2 3" xfId="12917" xr:uid="{00000000-0005-0000-0000-000025390000}"/>
    <cellStyle name="40% - Accent2 2 2 3 2 2 3 3" xfId="22086" xr:uid="{00000000-0005-0000-0000-000026390000}"/>
    <cellStyle name="40% - Accent2 2 2 3 2 2 3 3 2" xfId="31176" xr:uid="{00000000-0005-0000-0000-000027390000}"/>
    <cellStyle name="40% - Accent2 2 2 3 2 2 3 4" xfId="17445" xr:uid="{00000000-0005-0000-0000-000028390000}"/>
    <cellStyle name="40% - Accent2 2 2 3 2 2 4" xfId="15322" xr:uid="{00000000-0005-0000-0000-000029390000}"/>
    <cellStyle name="40% - Accent2 2 2 3 2 2 4 2" xfId="3593" xr:uid="{00000000-0005-0000-0000-00002A390000}"/>
    <cellStyle name="40% - Accent2 2 2 3 2 2 4 2 2" xfId="4235" xr:uid="{00000000-0005-0000-0000-00002B390000}"/>
    <cellStyle name="40% - Accent2 2 2 3 2 2 4 3" xfId="20192" xr:uid="{00000000-0005-0000-0000-00002C390000}"/>
    <cellStyle name="40% - Accent2 2 2 3 2 2 5" xfId="15327" xr:uid="{00000000-0005-0000-0000-00002D390000}"/>
    <cellStyle name="40% - Accent2 2 2 3 2 2 5 2" xfId="32432" xr:uid="{00000000-0005-0000-0000-00002E390000}"/>
    <cellStyle name="40% - Accent2 2 2 3 2 2 6" xfId="16791" xr:uid="{00000000-0005-0000-0000-00002F390000}"/>
    <cellStyle name="40% - Accent2 2 2 3 2 3" xfId="16792" xr:uid="{00000000-0005-0000-0000-000030390000}"/>
    <cellStyle name="40% - Accent2 2 2 3 2 3 2" xfId="10933" xr:uid="{00000000-0005-0000-0000-000031390000}"/>
    <cellStyle name="40% - Accent2 2 2 3 2 3 2 2" xfId="21375" xr:uid="{00000000-0005-0000-0000-000032390000}"/>
    <cellStyle name="40% - Accent2 2 2 3 2 3 2 2 2" xfId="30920" xr:uid="{00000000-0005-0000-0000-000033390000}"/>
    <cellStyle name="40% - Accent2 2 2 3 2 3 2 2 2 2" xfId="11938" xr:uid="{00000000-0005-0000-0000-000034390000}"/>
    <cellStyle name="40% - Accent2 2 2 3 2 3 2 2 3" xfId="16793" xr:uid="{00000000-0005-0000-0000-000035390000}"/>
    <cellStyle name="40% - Accent2 2 2 3 2 3 2 3" xfId="23301" xr:uid="{00000000-0005-0000-0000-000036390000}"/>
    <cellStyle name="40% - Accent2 2 2 3 2 3 2 3 2" xfId="53" xr:uid="{00000000-0005-0000-0000-000037390000}"/>
    <cellStyle name="40% - Accent2 2 2 3 2 3 2 4" xfId="17846" xr:uid="{00000000-0005-0000-0000-000038390000}"/>
    <cellStyle name="40% - Accent2 2 2 3 2 3 3" xfId="16795" xr:uid="{00000000-0005-0000-0000-000039390000}"/>
    <cellStyle name="40% - Accent2 2 2 3 2 3 3 2" xfId="9484" xr:uid="{00000000-0005-0000-0000-00003A390000}"/>
    <cellStyle name="40% - Accent2 2 2 3 2 3 3 2 2" xfId="34023" xr:uid="{00000000-0005-0000-0000-00003B390000}"/>
    <cellStyle name="40% - Accent2 2 2 3 2 3 3 3" xfId="22113" xr:uid="{00000000-0005-0000-0000-00003C390000}"/>
    <cellStyle name="40% - Accent2 2 2 3 2 3 4" xfId="1232" xr:uid="{00000000-0005-0000-0000-00003D390000}"/>
    <cellStyle name="40% - Accent2 2 2 3 2 3 4 2" xfId="24749" xr:uid="{00000000-0005-0000-0000-00003E390000}"/>
    <cellStyle name="40% - Accent2 2 2 3 2 3 5" xfId="6941" xr:uid="{00000000-0005-0000-0000-00003F390000}"/>
    <cellStyle name="40% - Accent2 2 2 3 2 4" xfId="16796" xr:uid="{00000000-0005-0000-0000-000040390000}"/>
    <cellStyle name="40% - Accent2 2 2 3 2 4 2" xfId="16797" xr:uid="{00000000-0005-0000-0000-000041390000}"/>
    <cellStyle name="40% - Accent2 2 2 3 2 4 2 2" xfId="14545" xr:uid="{00000000-0005-0000-0000-000042390000}"/>
    <cellStyle name="40% - Accent2 2 2 3 2 4 2 2 2" xfId="32184" xr:uid="{00000000-0005-0000-0000-000043390000}"/>
    <cellStyle name="40% - Accent2 2 2 3 2 4 2 3" xfId="18209" xr:uid="{00000000-0005-0000-0000-000044390000}"/>
    <cellStyle name="40% - Accent2 2 2 3 2 4 3" xfId="16800" xr:uid="{00000000-0005-0000-0000-000045390000}"/>
    <cellStyle name="40% - Accent2 2 2 3 2 4 3 2" xfId="16801" xr:uid="{00000000-0005-0000-0000-000046390000}"/>
    <cellStyle name="40% - Accent2 2 2 3 2 4 4" xfId="493" xr:uid="{00000000-0005-0000-0000-000047390000}"/>
    <cellStyle name="40% - Accent2 2 2 3 2 5" xfId="22659" xr:uid="{00000000-0005-0000-0000-000048390000}"/>
    <cellStyle name="40% - Accent2 2 2 3 2 5 2" xfId="19254" xr:uid="{00000000-0005-0000-0000-000049390000}"/>
    <cellStyle name="40% - Accent2 2 2 3 2 5 2 2" xfId="9273" xr:uid="{00000000-0005-0000-0000-00004A390000}"/>
    <cellStyle name="40% - Accent2 2 2 3 2 5 3" xfId="22662" xr:uid="{00000000-0005-0000-0000-00004B390000}"/>
    <cellStyle name="40% - Accent2 2 2 3 2 6" xfId="19763" xr:uid="{00000000-0005-0000-0000-00004C390000}"/>
    <cellStyle name="40% - Accent2 2 2 3 2 6 2" xfId="19766" xr:uid="{00000000-0005-0000-0000-00004D390000}"/>
    <cellStyle name="40% - Accent2 2 2 3 2 7" xfId="19777" xr:uid="{00000000-0005-0000-0000-00004E390000}"/>
    <cellStyle name="40% - Accent2 2 2 3 3" xfId="16802" xr:uid="{00000000-0005-0000-0000-00004F390000}"/>
    <cellStyle name="40% - Accent2 2 2 3 3 2" xfId="16803" xr:uid="{00000000-0005-0000-0000-000050390000}"/>
    <cellStyle name="40% - Accent2 2 2 3 3 2 2" xfId="24351" xr:uid="{00000000-0005-0000-0000-000051390000}"/>
    <cellStyle name="40% - Accent2 2 2 3 3 2 2 2" xfId="14556" xr:uid="{00000000-0005-0000-0000-000052390000}"/>
    <cellStyle name="40% - Accent2 2 2 3 3 2 2 2 2" xfId="33905" xr:uid="{00000000-0005-0000-0000-000053390000}"/>
    <cellStyle name="40% - Accent2 2 2 3 3 2 2 2 2 2" xfId="16805" xr:uid="{00000000-0005-0000-0000-000054390000}"/>
    <cellStyle name="40% - Accent2 2 2 3 3 2 2 2 3" xfId="16808" xr:uid="{00000000-0005-0000-0000-000055390000}"/>
    <cellStyle name="40% - Accent2 2 2 3 3 2 2 3" xfId="19235" xr:uid="{00000000-0005-0000-0000-000056390000}"/>
    <cellStyle name="40% - Accent2 2 2 3 3 2 2 3 2" xfId="32232" xr:uid="{00000000-0005-0000-0000-000057390000}"/>
    <cellStyle name="40% - Accent2 2 2 3 3 2 2 4" xfId="19258" xr:uid="{00000000-0005-0000-0000-000058390000}"/>
    <cellStyle name="40% - Accent2 2 2 3 3 2 3" xfId="21071" xr:uid="{00000000-0005-0000-0000-000059390000}"/>
    <cellStyle name="40% - Accent2 2 2 3 3 2 3 2" xfId="9515" xr:uid="{00000000-0005-0000-0000-00005A390000}"/>
    <cellStyle name="40% - Accent2 2 2 3 3 2 3 2 2" xfId="9885" xr:uid="{00000000-0005-0000-0000-00005B390000}"/>
    <cellStyle name="40% - Accent2 2 2 3 3 2 3 3" xfId="18526" xr:uid="{00000000-0005-0000-0000-00005C390000}"/>
    <cellStyle name="40% - Accent2 2 2 3 3 2 4" xfId="15330" xr:uid="{00000000-0005-0000-0000-00005D390000}"/>
    <cellStyle name="40% - Accent2 2 2 3 3 2 4 2" xfId="16812" xr:uid="{00000000-0005-0000-0000-00005E390000}"/>
    <cellStyle name="40% - Accent2 2 2 3 3 2 5" xfId="13491" xr:uid="{00000000-0005-0000-0000-00005F390000}"/>
    <cellStyle name="40% - Accent2 2 2 3 3 3" xfId="16818" xr:uid="{00000000-0005-0000-0000-000060390000}"/>
    <cellStyle name="40% - Accent2 2 2 3 3 3 2" xfId="11195" xr:uid="{00000000-0005-0000-0000-000061390000}"/>
    <cellStyle name="40% - Accent2 2 2 3 3 3 2 2" xfId="14576" xr:uid="{00000000-0005-0000-0000-000062390000}"/>
    <cellStyle name="40% - Accent2 2 2 3 3 3 2 2 2" xfId="1126" xr:uid="{00000000-0005-0000-0000-000063390000}"/>
    <cellStyle name="40% - Accent2 2 2 3 3 3 2 3" xfId="19720" xr:uid="{00000000-0005-0000-0000-000064390000}"/>
    <cellStyle name="40% - Accent2 2 2 3 3 3 3" xfId="16821" xr:uid="{00000000-0005-0000-0000-000065390000}"/>
    <cellStyle name="40% - Accent2 2 2 3 3 3 3 2" xfId="16822" xr:uid="{00000000-0005-0000-0000-000066390000}"/>
    <cellStyle name="40% - Accent2 2 2 3 3 3 4" xfId="1982" xr:uid="{00000000-0005-0000-0000-000067390000}"/>
    <cellStyle name="40% - Accent2 2 2 3 3 4" xfId="16823" xr:uid="{00000000-0005-0000-0000-000068390000}"/>
    <cellStyle name="40% - Accent2 2 2 3 3 4 2" xfId="16824" xr:uid="{00000000-0005-0000-0000-000069390000}"/>
    <cellStyle name="40% - Accent2 2 2 3 3 4 2 2" xfId="16826" xr:uid="{00000000-0005-0000-0000-00006A390000}"/>
    <cellStyle name="40% - Accent2 2 2 3 3 4 3" xfId="16827" xr:uid="{00000000-0005-0000-0000-00006B390000}"/>
    <cellStyle name="40% - Accent2 2 2 3 3 5" xfId="16829" xr:uid="{00000000-0005-0000-0000-00006C390000}"/>
    <cellStyle name="40% - Accent2 2 2 3 3 5 2" xfId="22670" xr:uid="{00000000-0005-0000-0000-00006D390000}"/>
    <cellStyle name="40% - Accent2 2 2 3 3 6" xfId="19782" xr:uid="{00000000-0005-0000-0000-00006E390000}"/>
    <cellStyle name="40% - Accent2 2 2 3 4" xfId="16831" xr:uid="{00000000-0005-0000-0000-00006F390000}"/>
    <cellStyle name="40% - Accent2 2 2 3 4 2" xfId="16833" xr:uid="{00000000-0005-0000-0000-000070390000}"/>
    <cellStyle name="40% - Accent2 2 2 3 4 2 2" xfId="11345" xr:uid="{00000000-0005-0000-0000-000071390000}"/>
    <cellStyle name="40% - Accent2 2 2 3 4 2 2 2" xfId="3339" xr:uid="{00000000-0005-0000-0000-000072390000}"/>
    <cellStyle name="40% - Accent2 2 2 3 4 2 2 2 2" xfId="5223" xr:uid="{00000000-0005-0000-0000-000073390000}"/>
    <cellStyle name="40% - Accent2 2 2 3 4 2 2 3" xfId="19976" xr:uid="{00000000-0005-0000-0000-000074390000}"/>
    <cellStyle name="40% - Accent2 2 2 3 4 2 3" xfId="16836" xr:uid="{00000000-0005-0000-0000-000075390000}"/>
    <cellStyle name="40% - Accent2 2 2 3 4 2 3 2" xfId="16837" xr:uid="{00000000-0005-0000-0000-000076390000}"/>
    <cellStyle name="40% - Accent2 2 2 3 4 2 4" xfId="16839" xr:uid="{00000000-0005-0000-0000-000077390000}"/>
    <cellStyle name="40% - Accent2 2 2 3 4 3" xfId="16840" xr:uid="{00000000-0005-0000-0000-000078390000}"/>
    <cellStyle name="40% - Accent2 2 2 3 4 3 2" xfId="16841" xr:uid="{00000000-0005-0000-0000-000079390000}"/>
    <cellStyle name="40% - Accent2 2 2 3 4 3 2 2" xfId="16842" xr:uid="{00000000-0005-0000-0000-00007A390000}"/>
    <cellStyle name="40% - Accent2 2 2 3 4 3 3" xfId="16843" xr:uid="{00000000-0005-0000-0000-00007B390000}"/>
    <cellStyle name="40% - Accent2 2 2 3 4 4" xfId="16844" xr:uid="{00000000-0005-0000-0000-00007C390000}"/>
    <cellStyle name="40% - Accent2 2 2 3 4 4 2" xfId="31529" xr:uid="{00000000-0005-0000-0000-00007D390000}"/>
    <cellStyle name="40% - Accent2 2 2 3 4 5" xfId="22678" xr:uid="{00000000-0005-0000-0000-00007E390000}"/>
    <cellStyle name="40% - Accent2 2 2 3 5" xfId="16849" xr:uid="{00000000-0005-0000-0000-00007F390000}"/>
    <cellStyle name="40% - Accent2 2 2 3 5 2" xfId="16851" xr:uid="{00000000-0005-0000-0000-000080390000}"/>
    <cellStyle name="40% - Accent2 2 2 3 5 2 2" xfId="16852" xr:uid="{00000000-0005-0000-0000-000081390000}"/>
    <cellStyle name="40% - Accent2 2 2 3 5 2 2 2" xfId="16853" xr:uid="{00000000-0005-0000-0000-000082390000}"/>
    <cellStyle name="40% - Accent2 2 2 3 5 2 3" xfId="16854" xr:uid="{00000000-0005-0000-0000-000083390000}"/>
    <cellStyle name="40% - Accent2 2 2 3 5 3" xfId="16855" xr:uid="{00000000-0005-0000-0000-000084390000}"/>
    <cellStyle name="40% - Accent2 2 2 3 5 3 2" xfId="16856" xr:uid="{00000000-0005-0000-0000-000085390000}"/>
    <cellStyle name="40% - Accent2 2 2 3 5 4" xfId="32323" xr:uid="{00000000-0005-0000-0000-000086390000}"/>
    <cellStyle name="40% - Accent2 2 2 3 6" xfId="12039" xr:uid="{00000000-0005-0000-0000-000087390000}"/>
    <cellStyle name="40% - Accent2 2 2 3 6 2" xfId="15680" xr:uid="{00000000-0005-0000-0000-000088390000}"/>
    <cellStyle name="40% - Accent2 2 2 3 6 2 2" xfId="3961" xr:uid="{00000000-0005-0000-0000-000089390000}"/>
    <cellStyle name="40% - Accent2 2 2 3 6 3" xfId="16028" xr:uid="{00000000-0005-0000-0000-00008A390000}"/>
    <cellStyle name="40% - Accent2 2 2 3 7" xfId="12042" xr:uid="{00000000-0005-0000-0000-00008B390000}"/>
    <cellStyle name="40% - Accent2 2 2 3 7 2" xfId="12044" xr:uid="{00000000-0005-0000-0000-00008C390000}"/>
    <cellStyle name="40% - Accent2 2 2 3 8" xfId="12046" xr:uid="{00000000-0005-0000-0000-00008D390000}"/>
    <cellStyle name="40% - Accent2 2 2 4" xfId="16857" xr:uid="{00000000-0005-0000-0000-00008E390000}"/>
    <cellStyle name="40% - Accent2 2 2 4 2" xfId="16858" xr:uid="{00000000-0005-0000-0000-00008F390000}"/>
    <cellStyle name="40% - Accent2 2 2 4 2 2" xfId="16860" xr:uid="{00000000-0005-0000-0000-000090390000}"/>
    <cellStyle name="40% - Accent2 2 2 4 2 2 2" xfId="16863" xr:uid="{00000000-0005-0000-0000-000091390000}"/>
    <cellStyle name="40% - Accent2 2 2 4 2 2 2 2" xfId="28209" xr:uid="{00000000-0005-0000-0000-000092390000}"/>
    <cellStyle name="40% - Accent2 2 2 4 2 2 2 2 2" xfId="16864" xr:uid="{00000000-0005-0000-0000-000093390000}"/>
    <cellStyle name="40% - Accent2 2 2 4 2 2 2 2 2 2" xfId="18089" xr:uid="{00000000-0005-0000-0000-000094390000}"/>
    <cellStyle name="40% - Accent2 2 2 4 2 2 2 2 3" xfId="2910" xr:uid="{00000000-0005-0000-0000-000095390000}"/>
    <cellStyle name="40% - Accent2 2 2 4 2 2 2 3" xfId="20143" xr:uid="{00000000-0005-0000-0000-000096390000}"/>
    <cellStyle name="40% - Accent2 2 2 4 2 2 2 3 2" xfId="30744" xr:uid="{00000000-0005-0000-0000-000097390000}"/>
    <cellStyle name="40% - Accent2 2 2 4 2 2 2 4" xfId="21592" xr:uid="{00000000-0005-0000-0000-000098390000}"/>
    <cellStyle name="40% - Accent2 2 2 4 2 2 3" xfId="16866" xr:uid="{00000000-0005-0000-0000-000099390000}"/>
    <cellStyle name="40% - Accent2 2 2 4 2 2 3 2" xfId="9703" xr:uid="{00000000-0005-0000-0000-00009A390000}"/>
    <cellStyle name="40% - Accent2 2 2 4 2 2 3 2 2" xfId="13593" xr:uid="{00000000-0005-0000-0000-00009B390000}"/>
    <cellStyle name="40% - Accent2 2 2 4 2 2 3 3" xfId="18567" xr:uid="{00000000-0005-0000-0000-00009C390000}"/>
    <cellStyle name="40% - Accent2 2 2 4 2 2 4" xfId="8934" xr:uid="{00000000-0005-0000-0000-00009D390000}"/>
    <cellStyle name="40% - Accent2 2 2 4 2 2 4 2" xfId="6931" xr:uid="{00000000-0005-0000-0000-00009E390000}"/>
    <cellStyle name="40% - Accent2 2 2 4 2 2 5" xfId="9264" xr:uid="{00000000-0005-0000-0000-00009F390000}"/>
    <cellStyle name="40% - Accent2 2 2 4 2 3" xfId="16867" xr:uid="{00000000-0005-0000-0000-0000A0390000}"/>
    <cellStyle name="40% - Accent2 2 2 4 2 3 2" xfId="16869" xr:uid="{00000000-0005-0000-0000-0000A1390000}"/>
    <cellStyle name="40% - Accent2 2 2 4 2 3 2 2" xfId="13494" xr:uid="{00000000-0005-0000-0000-0000A2390000}"/>
    <cellStyle name="40% - Accent2 2 2 4 2 3 2 2 2" xfId="16871" xr:uid="{00000000-0005-0000-0000-0000A3390000}"/>
    <cellStyle name="40% - Accent2 2 2 4 2 3 2 3" xfId="21758" xr:uid="{00000000-0005-0000-0000-0000A4390000}"/>
    <cellStyle name="40% - Accent2 2 2 4 2 3 3" xfId="16872" xr:uid="{00000000-0005-0000-0000-0000A5390000}"/>
    <cellStyle name="40% - Accent2 2 2 4 2 3 3 2" xfId="14577" xr:uid="{00000000-0005-0000-0000-0000A6390000}"/>
    <cellStyle name="40% - Accent2 2 2 4 2 3 4" xfId="2623" xr:uid="{00000000-0005-0000-0000-0000A7390000}"/>
    <cellStyle name="40% - Accent2 2 2 4 2 4" xfId="763" xr:uid="{00000000-0005-0000-0000-0000A8390000}"/>
    <cellStyle name="40% - Accent2 2 2 4 2 4 2" xfId="16874" xr:uid="{00000000-0005-0000-0000-0000A9390000}"/>
    <cellStyle name="40% - Accent2 2 2 4 2 4 2 2" xfId="16877" xr:uid="{00000000-0005-0000-0000-0000AA390000}"/>
    <cellStyle name="40% - Accent2 2 2 4 2 4 3" xfId="16881" xr:uid="{00000000-0005-0000-0000-0000AB390000}"/>
    <cellStyle name="40% - Accent2 2 2 4 2 5" xfId="18105" xr:uid="{00000000-0005-0000-0000-0000AC390000}"/>
    <cellStyle name="40% - Accent2 2 2 4 2 5 2" xfId="22848" xr:uid="{00000000-0005-0000-0000-0000AD390000}"/>
    <cellStyle name="40% - Accent2 2 2 4 2 6" xfId="19750" xr:uid="{00000000-0005-0000-0000-0000AE390000}"/>
    <cellStyle name="40% - Accent2 2 2 4 3" xfId="20825" xr:uid="{00000000-0005-0000-0000-0000AF390000}"/>
    <cellStyle name="40% - Accent2 2 2 4 3 2" xfId="26076" xr:uid="{00000000-0005-0000-0000-0000B0390000}"/>
    <cellStyle name="40% - Accent2 2 2 4 3 2 2" xfId="22048" xr:uid="{00000000-0005-0000-0000-0000B1390000}"/>
    <cellStyle name="40% - Accent2 2 2 4 3 2 2 2" xfId="14615" xr:uid="{00000000-0005-0000-0000-0000B2390000}"/>
    <cellStyle name="40% - Accent2 2 2 4 3 2 2 2 2" xfId="16886" xr:uid="{00000000-0005-0000-0000-0000B3390000}"/>
    <cellStyle name="40% - Accent2 2 2 4 3 2 2 3" xfId="24038" xr:uid="{00000000-0005-0000-0000-0000B4390000}"/>
    <cellStyle name="40% - Accent2 2 2 4 3 2 3" xfId="22054" xr:uid="{00000000-0005-0000-0000-0000B5390000}"/>
    <cellStyle name="40% - Accent2 2 2 4 3 2 3 2" xfId="16887" xr:uid="{00000000-0005-0000-0000-0000B6390000}"/>
    <cellStyle name="40% - Accent2 2 2 4 3 2 4" xfId="4491" xr:uid="{00000000-0005-0000-0000-0000B7390000}"/>
    <cellStyle name="40% - Accent2 2 2 4 3 3" xfId="16888" xr:uid="{00000000-0005-0000-0000-0000B8390000}"/>
    <cellStyle name="40% - Accent2 2 2 4 3 3 2" xfId="22059" xr:uid="{00000000-0005-0000-0000-0000B9390000}"/>
    <cellStyle name="40% - Accent2 2 2 4 3 3 2 2" xfId="16890" xr:uid="{00000000-0005-0000-0000-0000BA390000}"/>
    <cellStyle name="40% - Accent2 2 2 4 3 3 3" xfId="16892" xr:uid="{00000000-0005-0000-0000-0000BB390000}"/>
    <cellStyle name="40% - Accent2 2 2 4 3 4" xfId="569" xr:uid="{00000000-0005-0000-0000-0000BC390000}"/>
    <cellStyle name="40% - Accent2 2 2 4 3 4 2" xfId="16894" xr:uid="{00000000-0005-0000-0000-0000BD390000}"/>
    <cellStyle name="40% - Accent2 2 2 4 3 5" xfId="22859" xr:uid="{00000000-0005-0000-0000-0000BE390000}"/>
    <cellStyle name="40% - Accent2 2 2 4 4" xfId="883" xr:uid="{00000000-0005-0000-0000-0000BF390000}"/>
    <cellStyle name="40% - Accent2 2 2 4 4 2" xfId="32413" xr:uid="{00000000-0005-0000-0000-0000C0390000}"/>
    <cellStyle name="40% - Accent2 2 2 4 4 2 2" xfId="24424" xr:uid="{00000000-0005-0000-0000-0000C1390000}"/>
    <cellStyle name="40% - Accent2 2 2 4 4 2 2 2" xfId="11347" xr:uid="{00000000-0005-0000-0000-0000C2390000}"/>
    <cellStyle name="40% - Accent2 2 2 4 4 2 3" xfId="16896" xr:uid="{00000000-0005-0000-0000-0000C3390000}"/>
    <cellStyle name="40% - Accent2 2 2 4 4 3" xfId="31253" xr:uid="{00000000-0005-0000-0000-0000C4390000}"/>
    <cellStyle name="40% - Accent2 2 2 4 4 3 2" xfId="16897" xr:uid="{00000000-0005-0000-0000-0000C5390000}"/>
    <cellStyle name="40% - Accent2 2 2 4 4 4" xfId="3328" xr:uid="{00000000-0005-0000-0000-0000C6390000}"/>
    <cellStyle name="40% - Accent2 2 2 4 5" xfId="32388" xr:uid="{00000000-0005-0000-0000-0000C7390000}"/>
    <cellStyle name="40% - Accent2 2 2 4 5 2" xfId="16898" xr:uid="{00000000-0005-0000-0000-0000C8390000}"/>
    <cellStyle name="40% - Accent2 2 2 4 5 2 2" xfId="26447" xr:uid="{00000000-0005-0000-0000-0000C9390000}"/>
    <cellStyle name="40% - Accent2 2 2 4 5 3" xfId="16899" xr:uid="{00000000-0005-0000-0000-0000CA390000}"/>
    <cellStyle name="40% - Accent2 2 2 4 6" xfId="1150" xr:uid="{00000000-0005-0000-0000-0000CB390000}"/>
    <cellStyle name="40% - Accent2 2 2 4 6 2" xfId="12048" xr:uid="{00000000-0005-0000-0000-0000CC390000}"/>
    <cellStyle name="40% - Accent2 2 2 4 7" xfId="1280" xr:uid="{00000000-0005-0000-0000-0000CD390000}"/>
    <cellStyle name="40% - Accent2 2 2 5" xfId="13777" xr:uid="{00000000-0005-0000-0000-0000CE390000}"/>
    <cellStyle name="40% - Accent2 2 2 5 2" xfId="24800" xr:uid="{00000000-0005-0000-0000-0000CF390000}"/>
    <cellStyle name="40% - Accent2 2 2 5 2 2" xfId="30549" xr:uid="{00000000-0005-0000-0000-0000D0390000}"/>
    <cellStyle name="40% - Accent2 2 2 5 2 2 2" xfId="30407" xr:uid="{00000000-0005-0000-0000-0000D1390000}"/>
    <cellStyle name="40% - Accent2 2 2 5 2 2 2 2" xfId="14625" xr:uid="{00000000-0005-0000-0000-0000D2390000}"/>
    <cellStyle name="40% - Accent2 2 2 5 2 2 2 2 2" xfId="28721" xr:uid="{00000000-0005-0000-0000-0000D3390000}"/>
    <cellStyle name="40% - Accent2 2 2 5 2 2 2 3" xfId="7633" xr:uid="{00000000-0005-0000-0000-0000D4390000}"/>
    <cellStyle name="40% - Accent2 2 2 5 2 2 3" xfId="33176" xr:uid="{00000000-0005-0000-0000-0000D5390000}"/>
    <cellStyle name="40% - Accent2 2 2 5 2 2 3 2" xfId="16900" xr:uid="{00000000-0005-0000-0000-0000D6390000}"/>
    <cellStyle name="40% - Accent2 2 2 5 2 2 4" xfId="2655" xr:uid="{00000000-0005-0000-0000-0000D7390000}"/>
    <cellStyle name="40% - Accent2 2 2 5 2 3" xfId="30231" xr:uid="{00000000-0005-0000-0000-0000D8390000}"/>
    <cellStyle name="40% - Accent2 2 2 5 2 3 2" xfId="33654" xr:uid="{00000000-0005-0000-0000-0000D9390000}"/>
    <cellStyle name="40% - Accent2 2 2 5 2 3 2 2" xfId="16901" xr:uid="{00000000-0005-0000-0000-0000DA390000}"/>
    <cellStyle name="40% - Accent2 2 2 5 2 3 3" xfId="30385" xr:uid="{00000000-0005-0000-0000-0000DB390000}"/>
    <cellStyle name="40% - Accent2 2 2 5 2 4" xfId="613" xr:uid="{00000000-0005-0000-0000-0000DC390000}"/>
    <cellStyle name="40% - Accent2 2 2 5 2 4 2" xfId="16902" xr:uid="{00000000-0005-0000-0000-0000DD390000}"/>
    <cellStyle name="40% - Accent2 2 2 5 2 5" xfId="23062" xr:uid="{00000000-0005-0000-0000-0000DE390000}"/>
    <cellStyle name="40% - Accent2 2 2 5 3" xfId="28414" xr:uid="{00000000-0005-0000-0000-0000DF390000}"/>
    <cellStyle name="40% - Accent2 2 2 5 3 2" xfId="16904" xr:uid="{00000000-0005-0000-0000-0000E0390000}"/>
    <cellStyle name="40% - Accent2 2 2 5 3 2 2" xfId="23930" xr:uid="{00000000-0005-0000-0000-0000E1390000}"/>
    <cellStyle name="40% - Accent2 2 2 5 3 2 2 2" xfId="11936" xr:uid="{00000000-0005-0000-0000-0000E2390000}"/>
    <cellStyle name="40% - Accent2 2 2 5 3 2 3" xfId="23935" xr:uid="{00000000-0005-0000-0000-0000E3390000}"/>
    <cellStyle name="40% - Accent2 2 2 5 3 3" xfId="18224" xr:uid="{00000000-0005-0000-0000-0000E4390000}"/>
    <cellStyle name="40% - Accent2 2 2 5 3 3 2" xfId="18226" xr:uid="{00000000-0005-0000-0000-0000E5390000}"/>
    <cellStyle name="40% - Accent2 2 2 5 3 4" xfId="3357" xr:uid="{00000000-0005-0000-0000-0000E6390000}"/>
    <cellStyle name="40% - Accent2 2 2 5 4" xfId="31227" xr:uid="{00000000-0005-0000-0000-0000E7390000}"/>
    <cellStyle name="40% - Accent2 2 2 5 4 2" xfId="32433" xr:uid="{00000000-0005-0000-0000-0000E8390000}"/>
    <cellStyle name="40% - Accent2 2 2 5 4 2 2" xfId="16905" xr:uid="{00000000-0005-0000-0000-0000E9390000}"/>
    <cellStyle name="40% - Accent2 2 2 5 4 3" xfId="17973" xr:uid="{00000000-0005-0000-0000-0000EA390000}"/>
    <cellStyle name="40% - Accent2 2 2 5 5" xfId="24079" xr:uid="{00000000-0005-0000-0000-0000EB390000}"/>
    <cellStyle name="40% - Accent2 2 2 5 5 2" xfId="5285" xr:uid="{00000000-0005-0000-0000-0000EC390000}"/>
    <cellStyle name="40% - Accent2 2 2 5 6" xfId="1166" xr:uid="{00000000-0005-0000-0000-0000ED390000}"/>
    <cellStyle name="40% - Accent2 2 2 6" xfId="13204" xr:uid="{00000000-0005-0000-0000-0000EE390000}"/>
    <cellStyle name="40% - Accent2 2 2 6 2" xfId="29121" xr:uid="{00000000-0005-0000-0000-0000EF390000}"/>
    <cellStyle name="40% - Accent2 2 2 6 2 2" xfId="30463" xr:uid="{00000000-0005-0000-0000-0000F0390000}"/>
    <cellStyle name="40% - Accent2 2 2 6 2 2 2" xfId="29917" xr:uid="{00000000-0005-0000-0000-0000F1390000}"/>
    <cellStyle name="40% - Accent2 2 2 6 2 2 2 2" xfId="16907" xr:uid="{00000000-0005-0000-0000-0000F2390000}"/>
    <cellStyle name="40% - Accent2 2 2 6 2 2 3" xfId="28851" xr:uid="{00000000-0005-0000-0000-0000F3390000}"/>
    <cellStyle name="40% - Accent2 2 2 6 2 3" xfId="16909" xr:uid="{00000000-0005-0000-0000-0000F4390000}"/>
    <cellStyle name="40% - Accent2 2 2 6 2 3 2" xfId="19497" xr:uid="{00000000-0005-0000-0000-0000F5390000}"/>
    <cellStyle name="40% - Accent2 2 2 6 2 4" xfId="9665" xr:uid="{00000000-0005-0000-0000-0000F6390000}"/>
    <cellStyle name="40% - Accent2 2 2 6 3" xfId="29133" xr:uid="{00000000-0005-0000-0000-0000F7390000}"/>
    <cellStyle name="40% - Accent2 2 2 6 3 2" xfId="32602" xr:uid="{00000000-0005-0000-0000-0000F8390000}"/>
    <cellStyle name="40% - Accent2 2 2 6 3 2 2" xfId="3329" xr:uid="{00000000-0005-0000-0000-0000F9390000}"/>
    <cellStyle name="40% - Accent2 2 2 6 3 3" xfId="16914" xr:uid="{00000000-0005-0000-0000-0000FA390000}"/>
    <cellStyle name="40% - Accent2 2 2 6 4" xfId="16916" xr:uid="{00000000-0005-0000-0000-0000FB390000}"/>
    <cellStyle name="40% - Accent2 2 2 6 4 2" xfId="16917" xr:uid="{00000000-0005-0000-0000-0000FC390000}"/>
    <cellStyle name="40% - Accent2 2 2 6 5" xfId="27628" xr:uid="{00000000-0005-0000-0000-0000FD390000}"/>
    <cellStyle name="40% - Accent2 2 2 7" xfId="24796" xr:uid="{00000000-0005-0000-0000-0000FE390000}"/>
    <cellStyle name="40% - Accent2 2 2 7 2" xfId="10090" xr:uid="{00000000-0005-0000-0000-0000FF390000}"/>
    <cellStyle name="40% - Accent2 2 2 7 2 2" xfId="29937" xr:uid="{00000000-0005-0000-0000-0000003A0000}"/>
    <cellStyle name="40% - Accent2 2 2 7 2 2 2" xfId="29940" xr:uid="{00000000-0005-0000-0000-0000013A0000}"/>
    <cellStyle name="40% - Accent2 2 2 7 2 3" xfId="12213" xr:uid="{00000000-0005-0000-0000-0000023A0000}"/>
    <cellStyle name="40% - Accent2 2 2 7 3" xfId="30677" xr:uid="{00000000-0005-0000-0000-0000033A0000}"/>
    <cellStyle name="40% - Accent2 2 2 7 3 2" xfId="30278" xr:uid="{00000000-0005-0000-0000-0000043A0000}"/>
    <cellStyle name="40% - Accent2 2 2 7 4" xfId="33937" xr:uid="{00000000-0005-0000-0000-0000053A0000}"/>
    <cellStyle name="40% - Accent2 2 2 8" xfId="774" xr:uid="{00000000-0005-0000-0000-0000063A0000}"/>
    <cellStyle name="40% - Accent2 2 2 8 2" xfId="11024" xr:uid="{00000000-0005-0000-0000-0000073A0000}"/>
    <cellStyle name="40% - Accent2 2 2 8 2 2" xfId="23857" xr:uid="{00000000-0005-0000-0000-0000083A0000}"/>
    <cellStyle name="40% - Accent2 2 2 8 3" xfId="30193" xr:uid="{00000000-0005-0000-0000-0000093A0000}"/>
    <cellStyle name="40% - Accent2 2 2 9" xfId="18112" xr:uid="{00000000-0005-0000-0000-00000A3A0000}"/>
    <cellStyle name="40% - Accent2 2 2 9 2" xfId="33721" xr:uid="{00000000-0005-0000-0000-00000B3A0000}"/>
    <cellStyle name="40% - Accent2 2 3" xfId="29469" xr:uid="{00000000-0005-0000-0000-00000C3A0000}"/>
    <cellStyle name="40% - Accent2 2 3 2" xfId="16920" xr:uid="{00000000-0005-0000-0000-00000D3A0000}"/>
    <cellStyle name="40% - Accent2 2 3 2 2" xfId="16921" xr:uid="{00000000-0005-0000-0000-00000E3A0000}"/>
    <cellStyle name="40% - Accent2 2 3 2 2 2" xfId="16923" xr:uid="{00000000-0005-0000-0000-00000F3A0000}"/>
    <cellStyle name="40% - Accent2 2 3 2 2 2 2" xfId="16925" xr:uid="{00000000-0005-0000-0000-0000103A0000}"/>
    <cellStyle name="40% - Accent2 2 3 2 2 2 2 2" xfId="6191" xr:uid="{00000000-0005-0000-0000-0000113A0000}"/>
    <cellStyle name="40% - Accent2 2 3 2 2 2 2 2 2" xfId="22012" xr:uid="{00000000-0005-0000-0000-0000123A0000}"/>
    <cellStyle name="40% - Accent2 2 3 2 2 2 2 2 2 2" xfId="16926" xr:uid="{00000000-0005-0000-0000-0000133A0000}"/>
    <cellStyle name="40% - Accent2 2 3 2 2 2 2 2 2 2 2" xfId="16927" xr:uid="{00000000-0005-0000-0000-0000143A0000}"/>
    <cellStyle name="40% - Accent2 2 3 2 2 2 2 2 2 3" xfId="16930" xr:uid="{00000000-0005-0000-0000-0000153A0000}"/>
    <cellStyle name="40% - Accent2 2 3 2 2 2 2 2 3" xfId="16932" xr:uid="{00000000-0005-0000-0000-0000163A0000}"/>
    <cellStyle name="40% - Accent2 2 3 2 2 2 2 2 3 2" xfId="16933" xr:uid="{00000000-0005-0000-0000-0000173A0000}"/>
    <cellStyle name="40% - Accent2 2 3 2 2 2 2 2 4" xfId="16934" xr:uid="{00000000-0005-0000-0000-0000183A0000}"/>
    <cellStyle name="40% - Accent2 2 3 2 2 2 2 3" xfId="18373" xr:uid="{00000000-0005-0000-0000-0000193A0000}"/>
    <cellStyle name="40% - Accent2 2 3 2 2 2 2 3 2" xfId="16935" xr:uid="{00000000-0005-0000-0000-00001A3A0000}"/>
    <cellStyle name="40% - Accent2 2 3 2 2 2 2 3 2 2" xfId="16936" xr:uid="{00000000-0005-0000-0000-00001B3A0000}"/>
    <cellStyle name="40% - Accent2 2 3 2 2 2 2 3 3" xfId="16937" xr:uid="{00000000-0005-0000-0000-00001C3A0000}"/>
    <cellStyle name="40% - Accent2 2 3 2 2 2 2 4" xfId="14970" xr:uid="{00000000-0005-0000-0000-00001D3A0000}"/>
    <cellStyle name="40% - Accent2 2 3 2 2 2 2 4 2" xfId="16938" xr:uid="{00000000-0005-0000-0000-00001E3A0000}"/>
    <cellStyle name="40% - Accent2 2 3 2 2 2 2 5" xfId="16943" xr:uid="{00000000-0005-0000-0000-00001F3A0000}"/>
    <cellStyle name="40% - Accent2 2 3 2 2 2 3" xfId="16946" xr:uid="{00000000-0005-0000-0000-0000203A0000}"/>
    <cellStyle name="40% - Accent2 2 3 2 2 2 3 2" xfId="16947" xr:uid="{00000000-0005-0000-0000-0000213A0000}"/>
    <cellStyle name="40% - Accent2 2 3 2 2 2 3 2 2" xfId="16954" xr:uid="{00000000-0005-0000-0000-0000223A0000}"/>
    <cellStyle name="40% - Accent2 2 3 2 2 2 3 2 2 2" xfId="16956" xr:uid="{00000000-0005-0000-0000-0000233A0000}"/>
    <cellStyle name="40% - Accent2 2 3 2 2 2 3 2 3" xfId="16957" xr:uid="{00000000-0005-0000-0000-0000243A0000}"/>
    <cellStyle name="40% - Accent2 2 3 2 2 2 3 3" xfId="16958" xr:uid="{00000000-0005-0000-0000-0000253A0000}"/>
    <cellStyle name="40% - Accent2 2 3 2 2 2 3 3 2" xfId="16963" xr:uid="{00000000-0005-0000-0000-0000263A0000}"/>
    <cellStyle name="40% - Accent2 2 3 2 2 2 3 4" xfId="28771" xr:uid="{00000000-0005-0000-0000-0000273A0000}"/>
    <cellStyle name="40% - Accent2 2 3 2 2 2 4" xfId="4060" xr:uid="{00000000-0005-0000-0000-0000283A0000}"/>
    <cellStyle name="40% - Accent2 2 3 2 2 2 4 2" xfId="16972" xr:uid="{00000000-0005-0000-0000-0000293A0000}"/>
    <cellStyle name="40% - Accent2 2 3 2 2 2 4 2 2" xfId="16974" xr:uid="{00000000-0005-0000-0000-00002A3A0000}"/>
    <cellStyle name="40% - Accent2 2 3 2 2 2 4 3" xfId="16975" xr:uid="{00000000-0005-0000-0000-00002B3A0000}"/>
    <cellStyle name="40% - Accent2 2 3 2 2 2 5" xfId="18885" xr:uid="{00000000-0005-0000-0000-00002C3A0000}"/>
    <cellStyle name="40% - Accent2 2 3 2 2 2 5 2" xfId="16978" xr:uid="{00000000-0005-0000-0000-00002D3A0000}"/>
    <cellStyle name="40% - Accent2 2 3 2 2 2 6" xfId="16981" xr:uid="{00000000-0005-0000-0000-00002E3A0000}"/>
    <cellStyle name="40% - Accent2 2 3 2 2 3" xfId="16984" xr:uid="{00000000-0005-0000-0000-00002F3A0000}"/>
    <cellStyle name="40% - Accent2 2 3 2 2 3 2" xfId="12501" xr:uid="{00000000-0005-0000-0000-0000303A0000}"/>
    <cellStyle name="40% - Accent2 2 3 2 2 3 2 2" xfId="16987" xr:uid="{00000000-0005-0000-0000-0000313A0000}"/>
    <cellStyle name="40% - Accent2 2 3 2 2 3 2 2 2" xfId="16989" xr:uid="{00000000-0005-0000-0000-0000323A0000}"/>
    <cellStyle name="40% - Accent2 2 3 2 2 3 2 2 2 2" xfId="15872" xr:uid="{00000000-0005-0000-0000-0000333A0000}"/>
    <cellStyle name="40% - Accent2 2 3 2 2 3 2 2 3" xfId="16990" xr:uid="{00000000-0005-0000-0000-0000343A0000}"/>
    <cellStyle name="40% - Accent2 2 3 2 2 3 2 3" xfId="16991" xr:uid="{00000000-0005-0000-0000-0000353A0000}"/>
    <cellStyle name="40% - Accent2 2 3 2 2 3 2 3 2" xfId="31492" xr:uid="{00000000-0005-0000-0000-0000363A0000}"/>
    <cellStyle name="40% - Accent2 2 3 2 2 3 2 4" xfId="16993" xr:uid="{00000000-0005-0000-0000-0000373A0000}"/>
    <cellStyle name="40% - Accent2 2 3 2 2 3 3" xfId="12506" xr:uid="{00000000-0005-0000-0000-0000383A0000}"/>
    <cellStyle name="40% - Accent2 2 3 2 2 3 3 2" xfId="17003" xr:uid="{00000000-0005-0000-0000-0000393A0000}"/>
    <cellStyle name="40% - Accent2 2 3 2 2 3 3 2 2" xfId="9019" xr:uid="{00000000-0005-0000-0000-00003A3A0000}"/>
    <cellStyle name="40% - Accent2 2 3 2 2 3 3 3" xfId="30408" xr:uid="{00000000-0005-0000-0000-00003B3A0000}"/>
    <cellStyle name="40% - Accent2 2 3 2 2 3 4" xfId="15939" xr:uid="{00000000-0005-0000-0000-00003C3A0000}"/>
    <cellStyle name="40% - Accent2 2 3 2 2 3 4 2" xfId="25360" xr:uid="{00000000-0005-0000-0000-00003D3A0000}"/>
    <cellStyle name="40% - Accent2 2 3 2 2 3 5" xfId="31555" xr:uid="{00000000-0005-0000-0000-00003E3A0000}"/>
    <cellStyle name="40% - Accent2 2 3 2 2 4" xfId="17007" xr:uid="{00000000-0005-0000-0000-00003F3A0000}"/>
    <cellStyle name="40% - Accent2 2 3 2 2 4 2" xfId="2735" xr:uid="{00000000-0005-0000-0000-0000403A0000}"/>
    <cellStyle name="40% - Accent2 2 3 2 2 4 2 2" xfId="12398" xr:uid="{00000000-0005-0000-0000-0000413A0000}"/>
    <cellStyle name="40% - Accent2 2 3 2 2 4 2 2 2" xfId="17011" xr:uid="{00000000-0005-0000-0000-0000423A0000}"/>
    <cellStyle name="40% - Accent2 2 3 2 2 4 2 3" xfId="15767" xr:uid="{00000000-0005-0000-0000-0000433A0000}"/>
    <cellStyle name="40% - Accent2 2 3 2 2 4 3" xfId="17014" xr:uid="{00000000-0005-0000-0000-0000443A0000}"/>
    <cellStyle name="40% - Accent2 2 3 2 2 4 3 2" xfId="15772" xr:uid="{00000000-0005-0000-0000-0000453A0000}"/>
    <cellStyle name="40% - Accent2 2 3 2 2 4 4" xfId="17015" xr:uid="{00000000-0005-0000-0000-0000463A0000}"/>
    <cellStyle name="40% - Accent2 2 3 2 2 5" xfId="24480" xr:uid="{00000000-0005-0000-0000-0000473A0000}"/>
    <cellStyle name="40% - Accent2 2 3 2 2 5 2" xfId="24487" xr:uid="{00000000-0005-0000-0000-0000483A0000}"/>
    <cellStyle name="40% - Accent2 2 3 2 2 5 2 2" xfId="15798" xr:uid="{00000000-0005-0000-0000-0000493A0000}"/>
    <cellStyle name="40% - Accent2 2 3 2 2 5 3" xfId="24518" xr:uid="{00000000-0005-0000-0000-00004A3A0000}"/>
    <cellStyle name="40% - Accent2 2 3 2 2 6" xfId="17019" xr:uid="{00000000-0005-0000-0000-00004B3A0000}"/>
    <cellStyle name="40% - Accent2 2 3 2 2 6 2" xfId="20238" xr:uid="{00000000-0005-0000-0000-00004C3A0000}"/>
    <cellStyle name="40% - Accent2 2 3 2 2 7" xfId="20251" xr:uid="{00000000-0005-0000-0000-00004D3A0000}"/>
    <cellStyle name="40% - Accent2 2 3 2 3" xfId="17021" xr:uid="{00000000-0005-0000-0000-00004E3A0000}"/>
    <cellStyle name="40% - Accent2 2 3 2 3 2" xfId="17022" xr:uid="{00000000-0005-0000-0000-00004F3A0000}"/>
    <cellStyle name="40% - Accent2 2 3 2 3 2 2" xfId="17024" xr:uid="{00000000-0005-0000-0000-0000503A0000}"/>
    <cellStyle name="40% - Accent2 2 3 2 3 2 2 2" xfId="17025" xr:uid="{00000000-0005-0000-0000-0000513A0000}"/>
    <cellStyle name="40% - Accent2 2 3 2 3 2 2 2 2" xfId="17030" xr:uid="{00000000-0005-0000-0000-0000523A0000}"/>
    <cellStyle name="40% - Accent2 2 3 2 3 2 2 2 2 2" xfId="17033" xr:uid="{00000000-0005-0000-0000-0000533A0000}"/>
    <cellStyle name="40% - Accent2 2 3 2 3 2 2 2 3" xfId="17034" xr:uid="{00000000-0005-0000-0000-0000543A0000}"/>
    <cellStyle name="40% - Accent2 2 3 2 3 2 2 3" xfId="17035" xr:uid="{00000000-0005-0000-0000-0000553A0000}"/>
    <cellStyle name="40% - Accent2 2 3 2 3 2 2 3 2" xfId="17036" xr:uid="{00000000-0005-0000-0000-0000563A0000}"/>
    <cellStyle name="40% - Accent2 2 3 2 3 2 2 4" xfId="17040" xr:uid="{00000000-0005-0000-0000-0000573A0000}"/>
    <cellStyle name="40% - Accent2 2 3 2 3 2 3" xfId="5414" xr:uid="{00000000-0005-0000-0000-0000583A0000}"/>
    <cellStyle name="40% - Accent2 2 3 2 3 2 3 2" xfId="17042" xr:uid="{00000000-0005-0000-0000-0000593A0000}"/>
    <cellStyle name="40% - Accent2 2 3 2 3 2 3 2 2" xfId="17043" xr:uid="{00000000-0005-0000-0000-00005A3A0000}"/>
    <cellStyle name="40% - Accent2 2 3 2 3 2 3 3" xfId="31577" xr:uid="{00000000-0005-0000-0000-00005B3A0000}"/>
    <cellStyle name="40% - Accent2 2 3 2 3 2 4" xfId="15949" xr:uid="{00000000-0005-0000-0000-00005C3A0000}"/>
    <cellStyle name="40% - Accent2 2 3 2 3 2 4 2" xfId="17044" xr:uid="{00000000-0005-0000-0000-00005D3A0000}"/>
    <cellStyle name="40% - Accent2 2 3 2 3 2 5" xfId="17045" xr:uid="{00000000-0005-0000-0000-00005E3A0000}"/>
    <cellStyle name="40% - Accent2 2 3 2 3 3" xfId="17046" xr:uid="{00000000-0005-0000-0000-00005F3A0000}"/>
    <cellStyle name="40% - Accent2 2 3 2 3 3 2" xfId="16570" xr:uid="{00000000-0005-0000-0000-0000603A0000}"/>
    <cellStyle name="40% - Accent2 2 3 2 3 3 2 2" xfId="17047" xr:uid="{00000000-0005-0000-0000-0000613A0000}"/>
    <cellStyle name="40% - Accent2 2 3 2 3 3 2 2 2" xfId="17052" xr:uid="{00000000-0005-0000-0000-0000623A0000}"/>
    <cellStyle name="40% - Accent2 2 3 2 3 3 2 3" xfId="805" xr:uid="{00000000-0005-0000-0000-0000633A0000}"/>
    <cellStyle name="40% - Accent2 2 3 2 3 3 3" xfId="17053" xr:uid="{00000000-0005-0000-0000-0000643A0000}"/>
    <cellStyle name="40% - Accent2 2 3 2 3 3 3 2" xfId="17054" xr:uid="{00000000-0005-0000-0000-0000653A0000}"/>
    <cellStyle name="40% - Accent2 2 3 2 3 3 4" xfId="17060" xr:uid="{00000000-0005-0000-0000-0000663A0000}"/>
    <cellStyle name="40% - Accent2 2 3 2 3 4" xfId="17062" xr:uid="{00000000-0005-0000-0000-0000673A0000}"/>
    <cellStyle name="40% - Accent2 2 3 2 3 4 2" xfId="17065" xr:uid="{00000000-0005-0000-0000-0000683A0000}"/>
    <cellStyle name="40% - Accent2 2 3 2 3 4 2 2" xfId="15862" xr:uid="{00000000-0005-0000-0000-0000693A0000}"/>
    <cellStyle name="40% - Accent2 2 3 2 3 4 3" xfId="17066" xr:uid="{00000000-0005-0000-0000-00006A3A0000}"/>
    <cellStyle name="40% - Accent2 2 3 2 3 5" xfId="17067" xr:uid="{00000000-0005-0000-0000-00006B3A0000}"/>
    <cellStyle name="40% - Accent2 2 3 2 3 5 2" xfId="24574" xr:uid="{00000000-0005-0000-0000-00006C3A0000}"/>
    <cellStyle name="40% - Accent2 2 3 2 3 6" xfId="20257" xr:uid="{00000000-0005-0000-0000-00006D3A0000}"/>
    <cellStyle name="40% - Accent2 2 3 2 4" xfId="17069" xr:uid="{00000000-0005-0000-0000-00006E3A0000}"/>
    <cellStyle name="40% - Accent2 2 3 2 4 2" xfId="2568" xr:uid="{00000000-0005-0000-0000-00006F3A0000}"/>
    <cellStyle name="40% - Accent2 2 3 2 4 2 2" xfId="17071" xr:uid="{00000000-0005-0000-0000-0000703A0000}"/>
    <cellStyle name="40% - Accent2 2 3 2 4 2 2 2" xfId="17072" xr:uid="{00000000-0005-0000-0000-0000713A0000}"/>
    <cellStyle name="40% - Accent2 2 3 2 4 2 2 2 2" xfId="16783" xr:uid="{00000000-0005-0000-0000-0000723A0000}"/>
    <cellStyle name="40% - Accent2 2 3 2 4 2 2 3" xfId="17073" xr:uid="{00000000-0005-0000-0000-0000733A0000}"/>
    <cellStyle name="40% - Accent2 2 3 2 4 2 3" xfId="17074" xr:uid="{00000000-0005-0000-0000-0000743A0000}"/>
    <cellStyle name="40% - Accent2 2 3 2 4 2 3 2" xfId="17075" xr:uid="{00000000-0005-0000-0000-0000753A0000}"/>
    <cellStyle name="40% - Accent2 2 3 2 4 2 4" xfId="17078" xr:uid="{00000000-0005-0000-0000-0000763A0000}"/>
    <cellStyle name="40% - Accent2 2 3 2 4 3" xfId="959" xr:uid="{00000000-0005-0000-0000-0000773A0000}"/>
    <cellStyle name="40% - Accent2 2 3 2 4 3 2" xfId="17079" xr:uid="{00000000-0005-0000-0000-0000783A0000}"/>
    <cellStyle name="40% - Accent2 2 3 2 4 3 2 2" xfId="17080" xr:uid="{00000000-0005-0000-0000-0000793A0000}"/>
    <cellStyle name="40% - Accent2 2 3 2 4 3 3" xfId="17081" xr:uid="{00000000-0005-0000-0000-00007A3A0000}"/>
    <cellStyle name="40% - Accent2 2 3 2 4 4" xfId="2300" xr:uid="{00000000-0005-0000-0000-00007B3A0000}"/>
    <cellStyle name="40% - Accent2 2 3 2 4 4 2" xfId="17082" xr:uid="{00000000-0005-0000-0000-00007C3A0000}"/>
    <cellStyle name="40% - Accent2 2 3 2 4 5" xfId="24598" xr:uid="{00000000-0005-0000-0000-00007D3A0000}"/>
    <cellStyle name="40% - Accent2 2 3 2 5" xfId="205" xr:uid="{00000000-0005-0000-0000-00007E3A0000}"/>
    <cellStyle name="40% - Accent2 2 3 2 5 2" xfId="975" xr:uid="{00000000-0005-0000-0000-00007F3A0000}"/>
    <cellStyle name="40% - Accent2 2 3 2 5 2 2" xfId="32113" xr:uid="{00000000-0005-0000-0000-0000803A0000}"/>
    <cellStyle name="40% - Accent2 2 3 2 5 2 2 2" xfId="17083" xr:uid="{00000000-0005-0000-0000-0000813A0000}"/>
    <cellStyle name="40% - Accent2 2 3 2 5 2 3" xfId="21303" xr:uid="{00000000-0005-0000-0000-0000823A0000}"/>
    <cellStyle name="40% - Accent2 2 3 2 5 3" xfId="990" xr:uid="{00000000-0005-0000-0000-0000833A0000}"/>
    <cellStyle name="40% - Accent2 2 3 2 5 3 2" xfId="31336" xr:uid="{00000000-0005-0000-0000-0000843A0000}"/>
    <cellStyle name="40% - Accent2 2 3 2 5 4" xfId="17085" xr:uid="{00000000-0005-0000-0000-0000853A0000}"/>
    <cellStyle name="40% - Accent2 2 3 2 6" xfId="33948" xr:uid="{00000000-0005-0000-0000-0000863A0000}"/>
    <cellStyle name="40% - Accent2 2 3 2 6 2" xfId="7785" xr:uid="{00000000-0005-0000-0000-0000873A0000}"/>
    <cellStyle name="40% - Accent2 2 3 2 6 2 2" xfId="7792" xr:uid="{00000000-0005-0000-0000-0000883A0000}"/>
    <cellStyle name="40% - Accent2 2 3 2 6 3" xfId="7796" xr:uid="{00000000-0005-0000-0000-0000893A0000}"/>
    <cellStyle name="40% - Accent2 2 3 2 7" xfId="32134" xr:uid="{00000000-0005-0000-0000-00008A3A0000}"/>
    <cellStyle name="40% - Accent2 2 3 2 7 2" xfId="7803" xr:uid="{00000000-0005-0000-0000-00008B3A0000}"/>
    <cellStyle name="40% - Accent2 2 3 2 8" xfId="32150" xr:uid="{00000000-0005-0000-0000-00008C3A0000}"/>
    <cellStyle name="40% - Accent2 2 3 3" xfId="17088" xr:uid="{00000000-0005-0000-0000-00008D3A0000}"/>
    <cellStyle name="40% - Accent2 2 3 3 2" xfId="12164" xr:uid="{00000000-0005-0000-0000-00008E3A0000}"/>
    <cellStyle name="40% - Accent2 2 3 3 2 2" xfId="17091" xr:uid="{00000000-0005-0000-0000-00008F3A0000}"/>
    <cellStyle name="40% - Accent2 2 3 3 2 2 2" xfId="17093" xr:uid="{00000000-0005-0000-0000-0000903A0000}"/>
    <cellStyle name="40% - Accent2 2 3 3 2 2 2 2" xfId="33500" xr:uid="{00000000-0005-0000-0000-0000913A0000}"/>
    <cellStyle name="40% - Accent2 2 3 3 2 2 2 2 2" xfId="17094" xr:uid="{00000000-0005-0000-0000-0000923A0000}"/>
    <cellStyle name="40% - Accent2 2 3 3 2 2 2 2 2 2" xfId="24807" xr:uid="{00000000-0005-0000-0000-0000933A0000}"/>
    <cellStyle name="40% - Accent2 2 3 3 2 2 2 2 3" xfId="17097" xr:uid="{00000000-0005-0000-0000-0000943A0000}"/>
    <cellStyle name="40% - Accent2 2 3 3 2 2 2 3" xfId="4636" xr:uid="{00000000-0005-0000-0000-0000953A0000}"/>
    <cellStyle name="40% - Accent2 2 3 3 2 2 2 3 2" xfId="19594" xr:uid="{00000000-0005-0000-0000-0000963A0000}"/>
    <cellStyle name="40% - Accent2 2 3 3 2 2 2 4" xfId="17104" xr:uid="{00000000-0005-0000-0000-0000973A0000}"/>
    <cellStyle name="40% - Accent2 2 3 3 2 2 3" xfId="17106" xr:uid="{00000000-0005-0000-0000-0000983A0000}"/>
    <cellStyle name="40% - Accent2 2 3 3 2 2 3 2" xfId="10147" xr:uid="{00000000-0005-0000-0000-0000993A0000}"/>
    <cellStyle name="40% - Accent2 2 3 3 2 2 3 2 2" xfId="33689" xr:uid="{00000000-0005-0000-0000-00009A3A0000}"/>
    <cellStyle name="40% - Accent2 2 3 3 2 2 3 3" xfId="17107" xr:uid="{00000000-0005-0000-0000-00009B3A0000}"/>
    <cellStyle name="40% - Accent2 2 3 3 2 2 4" xfId="15971" xr:uid="{00000000-0005-0000-0000-00009C3A0000}"/>
    <cellStyle name="40% - Accent2 2 3 3 2 2 4 2" xfId="17108" xr:uid="{00000000-0005-0000-0000-00009D3A0000}"/>
    <cellStyle name="40% - Accent2 2 3 3 2 2 5" xfId="33754" xr:uid="{00000000-0005-0000-0000-00009E3A0000}"/>
    <cellStyle name="40% - Accent2 2 3 3 2 3" xfId="17109" xr:uid="{00000000-0005-0000-0000-00009F3A0000}"/>
    <cellStyle name="40% - Accent2 2 3 3 2 3 2" xfId="12539" xr:uid="{00000000-0005-0000-0000-0000A03A0000}"/>
    <cellStyle name="40% - Accent2 2 3 3 2 3 2 2" xfId="14646" xr:uid="{00000000-0005-0000-0000-0000A13A0000}"/>
    <cellStyle name="40% - Accent2 2 3 3 2 3 2 2 2" xfId="17110" xr:uid="{00000000-0005-0000-0000-0000A23A0000}"/>
    <cellStyle name="40% - Accent2 2 3 3 2 3 2 3" xfId="17111" xr:uid="{00000000-0005-0000-0000-0000A33A0000}"/>
    <cellStyle name="40% - Accent2 2 3 3 2 3 3" xfId="17112" xr:uid="{00000000-0005-0000-0000-0000A43A0000}"/>
    <cellStyle name="40% - Accent2 2 3 3 2 3 3 2" xfId="17113" xr:uid="{00000000-0005-0000-0000-0000A53A0000}"/>
    <cellStyle name="40% - Accent2 2 3 3 2 3 4" xfId="867" xr:uid="{00000000-0005-0000-0000-0000A63A0000}"/>
    <cellStyle name="40% - Accent2 2 3 3 2 4" xfId="17114" xr:uid="{00000000-0005-0000-0000-0000A73A0000}"/>
    <cellStyle name="40% - Accent2 2 3 3 2 4 2" xfId="17118" xr:uid="{00000000-0005-0000-0000-0000A83A0000}"/>
    <cellStyle name="40% - Accent2 2 3 3 2 4 2 2" xfId="14073" xr:uid="{00000000-0005-0000-0000-0000A93A0000}"/>
    <cellStyle name="40% - Accent2 2 3 3 2 4 3" xfId="17123" xr:uid="{00000000-0005-0000-0000-0000AA3A0000}"/>
    <cellStyle name="40% - Accent2 2 3 3 2 5" xfId="24974" xr:uid="{00000000-0005-0000-0000-0000AB3A0000}"/>
    <cellStyle name="40% - Accent2 2 3 3 2 5 2" xfId="9489" xr:uid="{00000000-0005-0000-0000-0000AC3A0000}"/>
    <cellStyle name="40% - Accent2 2 3 3 2 6" xfId="19788" xr:uid="{00000000-0005-0000-0000-0000AD3A0000}"/>
    <cellStyle name="40% - Accent2 2 3 3 3" xfId="7999" xr:uid="{00000000-0005-0000-0000-0000AE3A0000}"/>
    <cellStyle name="40% - Accent2 2 3 3 3 2" xfId="17124" xr:uid="{00000000-0005-0000-0000-0000AF3A0000}"/>
    <cellStyle name="40% - Accent2 2 3 3 3 2 2" xfId="11914" xr:uid="{00000000-0005-0000-0000-0000B03A0000}"/>
    <cellStyle name="40% - Accent2 2 3 3 3 2 2 2" xfId="14655" xr:uid="{00000000-0005-0000-0000-0000B13A0000}"/>
    <cellStyle name="40% - Accent2 2 3 3 3 2 2 2 2" xfId="17125" xr:uid="{00000000-0005-0000-0000-0000B23A0000}"/>
    <cellStyle name="40% - Accent2 2 3 3 3 2 2 3" xfId="17127" xr:uid="{00000000-0005-0000-0000-0000B33A0000}"/>
    <cellStyle name="40% - Accent2 2 3 3 3 2 3" xfId="17128" xr:uid="{00000000-0005-0000-0000-0000B43A0000}"/>
    <cellStyle name="40% - Accent2 2 3 3 3 2 3 2" xfId="17130" xr:uid="{00000000-0005-0000-0000-0000B53A0000}"/>
    <cellStyle name="40% - Accent2 2 3 3 3 2 4" xfId="17131" xr:uid="{00000000-0005-0000-0000-0000B63A0000}"/>
    <cellStyle name="40% - Accent2 2 3 3 3 3" xfId="17132" xr:uid="{00000000-0005-0000-0000-0000B73A0000}"/>
    <cellStyle name="40% - Accent2 2 3 3 3 3 2" xfId="17133" xr:uid="{00000000-0005-0000-0000-0000B83A0000}"/>
    <cellStyle name="40% - Accent2 2 3 3 3 3 2 2" xfId="17135" xr:uid="{00000000-0005-0000-0000-0000B93A0000}"/>
    <cellStyle name="40% - Accent2 2 3 3 3 3 3" xfId="17136" xr:uid="{00000000-0005-0000-0000-0000BA3A0000}"/>
    <cellStyle name="40% - Accent2 2 3 3 3 4" xfId="17137" xr:uid="{00000000-0005-0000-0000-0000BB3A0000}"/>
    <cellStyle name="40% - Accent2 2 3 3 3 4 2" xfId="17139" xr:uid="{00000000-0005-0000-0000-0000BC3A0000}"/>
    <cellStyle name="40% - Accent2 2 3 3 3 5" xfId="24986" xr:uid="{00000000-0005-0000-0000-0000BD3A0000}"/>
    <cellStyle name="40% - Accent2 2 3 3 4" xfId="17140" xr:uid="{00000000-0005-0000-0000-0000BE3A0000}"/>
    <cellStyle name="40% - Accent2 2 3 3 4 2" xfId="1869" xr:uid="{00000000-0005-0000-0000-0000BF3A0000}"/>
    <cellStyle name="40% - Accent2 2 3 3 4 2 2" xfId="17142" xr:uid="{00000000-0005-0000-0000-0000C03A0000}"/>
    <cellStyle name="40% - Accent2 2 3 3 4 2 2 2" xfId="17144" xr:uid="{00000000-0005-0000-0000-0000C13A0000}"/>
    <cellStyle name="40% - Accent2 2 3 3 4 2 3" xfId="17145" xr:uid="{00000000-0005-0000-0000-0000C23A0000}"/>
    <cellStyle name="40% - Accent2 2 3 3 4 3" xfId="1032" xr:uid="{00000000-0005-0000-0000-0000C33A0000}"/>
    <cellStyle name="40% - Accent2 2 3 3 4 3 2" xfId="17146" xr:uid="{00000000-0005-0000-0000-0000C43A0000}"/>
    <cellStyle name="40% - Accent2 2 3 3 4 4" xfId="28230" xr:uid="{00000000-0005-0000-0000-0000C53A0000}"/>
    <cellStyle name="40% - Accent2 2 3 3 5" xfId="17147" xr:uid="{00000000-0005-0000-0000-0000C63A0000}"/>
    <cellStyle name="40% - Accent2 2 3 3 5 2" xfId="1580" xr:uid="{00000000-0005-0000-0000-0000C73A0000}"/>
    <cellStyle name="40% - Accent2 2 3 3 5 2 2" xfId="21648" xr:uid="{00000000-0005-0000-0000-0000C83A0000}"/>
    <cellStyle name="40% - Accent2 2 3 3 5 3" xfId="32601" xr:uid="{00000000-0005-0000-0000-0000C93A0000}"/>
    <cellStyle name="40% - Accent2 2 3 3 6" xfId="12129" xr:uid="{00000000-0005-0000-0000-0000CA3A0000}"/>
    <cellStyle name="40% - Accent2 2 3 3 6 2" xfId="7894" xr:uid="{00000000-0005-0000-0000-0000CB3A0000}"/>
    <cellStyle name="40% - Accent2 2 3 3 7" xfId="12133" xr:uid="{00000000-0005-0000-0000-0000CC3A0000}"/>
    <cellStyle name="40% - Accent2 2 3 4" xfId="17149" xr:uid="{00000000-0005-0000-0000-0000CD3A0000}"/>
    <cellStyle name="40% - Accent2 2 3 4 2" xfId="8650" xr:uid="{00000000-0005-0000-0000-0000CE3A0000}"/>
    <cellStyle name="40% - Accent2 2 3 4 2 2" xfId="5562" xr:uid="{00000000-0005-0000-0000-0000CF3A0000}"/>
    <cellStyle name="40% - Accent2 2 3 4 2 2 2" xfId="17479" xr:uid="{00000000-0005-0000-0000-0000D03A0000}"/>
    <cellStyle name="40% - Accent2 2 3 4 2 2 2 2" xfId="14364" xr:uid="{00000000-0005-0000-0000-0000D13A0000}"/>
    <cellStyle name="40% - Accent2 2 3 4 2 2 2 2 2" xfId="17150" xr:uid="{00000000-0005-0000-0000-0000D23A0000}"/>
    <cellStyle name="40% - Accent2 2 3 4 2 2 2 3" xfId="17152" xr:uid="{00000000-0005-0000-0000-0000D33A0000}"/>
    <cellStyle name="40% - Accent2 2 3 4 2 2 3" xfId="17153" xr:uid="{00000000-0005-0000-0000-0000D43A0000}"/>
    <cellStyle name="40% - Accent2 2 3 4 2 2 3 2" xfId="17154" xr:uid="{00000000-0005-0000-0000-0000D53A0000}"/>
    <cellStyle name="40% - Accent2 2 3 4 2 2 4" xfId="6689" xr:uid="{00000000-0005-0000-0000-0000D63A0000}"/>
    <cellStyle name="40% - Accent2 2 3 4 2 3" xfId="9027" xr:uid="{00000000-0005-0000-0000-0000D73A0000}"/>
    <cellStyle name="40% - Accent2 2 3 4 2 3 2" xfId="17155" xr:uid="{00000000-0005-0000-0000-0000D83A0000}"/>
    <cellStyle name="40% - Accent2 2 3 4 2 3 2 2" xfId="17156" xr:uid="{00000000-0005-0000-0000-0000D93A0000}"/>
    <cellStyle name="40% - Accent2 2 3 4 2 3 3" xfId="17157" xr:uid="{00000000-0005-0000-0000-0000DA3A0000}"/>
    <cellStyle name="40% - Accent2 2 3 4 2 4" xfId="920" xr:uid="{00000000-0005-0000-0000-0000DB3A0000}"/>
    <cellStyle name="40% - Accent2 2 3 4 2 4 2" xfId="17159" xr:uid="{00000000-0005-0000-0000-0000DC3A0000}"/>
    <cellStyle name="40% - Accent2 2 3 4 2 5" xfId="25236" xr:uid="{00000000-0005-0000-0000-0000DD3A0000}"/>
    <cellStyle name="40% - Accent2 2 3 4 3" xfId="3216" xr:uid="{00000000-0005-0000-0000-0000DE3A0000}"/>
    <cellStyle name="40% - Accent2 2 3 4 3 2" xfId="5572" xr:uid="{00000000-0005-0000-0000-0000DF3A0000}"/>
    <cellStyle name="40% - Accent2 2 3 4 3 2 2" xfId="17163" xr:uid="{00000000-0005-0000-0000-0000E03A0000}"/>
    <cellStyle name="40% - Accent2 2 3 4 3 2 2 2" xfId="32591" xr:uid="{00000000-0005-0000-0000-0000E13A0000}"/>
    <cellStyle name="40% - Accent2 2 3 4 3 2 3" xfId="17165" xr:uid="{00000000-0005-0000-0000-0000E23A0000}"/>
    <cellStyle name="40% - Accent2 2 3 4 3 3" xfId="17166" xr:uid="{00000000-0005-0000-0000-0000E33A0000}"/>
    <cellStyle name="40% - Accent2 2 3 4 3 3 2" xfId="17169" xr:uid="{00000000-0005-0000-0000-0000E43A0000}"/>
    <cellStyle name="40% - Accent2 2 3 4 3 4" xfId="927" xr:uid="{00000000-0005-0000-0000-0000E53A0000}"/>
    <cellStyle name="40% - Accent2 2 3 4 4" xfId="31263" xr:uid="{00000000-0005-0000-0000-0000E63A0000}"/>
    <cellStyle name="40% - Accent2 2 3 4 4 2" xfId="5381" xr:uid="{00000000-0005-0000-0000-0000E73A0000}"/>
    <cellStyle name="40% - Accent2 2 3 4 4 2 2" xfId="17170" xr:uid="{00000000-0005-0000-0000-0000E83A0000}"/>
    <cellStyle name="40% - Accent2 2 3 4 4 3" xfId="17171" xr:uid="{00000000-0005-0000-0000-0000E93A0000}"/>
    <cellStyle name="40% - Accent2 2 3 4 5" xfId="1101" xr:uid="{00000000-0005-0000-0000-0000EA3A0000}"/>
    <cellStyle name="40% - Accent2 2 3 4 5 2" xfId="24738" xr:uid="{00000000-0005-0000-0000-0000EB3A0000}"/>
    <cellStyle name="40% - Accent2 2 3 4 6" xfId="1911" xr:uid="{00000000-0005-0000-0000-0000EC3A0000}"/>
    <cellStyle name="40% - Accent2 2 3 5" xfId="8437" xr:uid="{00000000-0005-0000-0000-0000ED3A0000}"/>
    <cellStyle name="40% - Accent2 2 3 5 2" xfId="23942" xr:uid="{00000000-0005-0000-0000-0000EE3A0000}"/>
    <cellStyle name="40% - Accent2 2 3 5 2 2" xfId="10544" xr:uid="{00000000-0005-0000-0000-0000EF3A0000}"/>
    <cellStyle name="40% - Accent2 2 3 5 2 2 2" xfId="17173" xr:uid="{00000000-0005-0000-0000-0000F03A0000}"/>
    <cellStyle name="40% - Accent2 2 3 5 2 2 2 2" xfId="31381" xr:uid="{00000000-0005-0000-0000-0000F13A0000}"/>
    <cellStyle name="40% - Accent2 2 3 5 2 2 3" xfId="17175" xr:uid="{00000000-0005-0000-0000-0000F23A0000}"/>
    <cellStyle name="40% - Accent2 2 3 5 2 3" xfId="17177" xr:uid="{00000000-0005-0000-0000-0000F33A0000}"/>
    <cellStyle name="40% - Accent2 2 3 5 2 3 2" xfId="17178" xr:uid="{00000000-0005-0000-0000-0000F43A0000}"/>
    <cellStyle name="40% - Accent2 2 3 5 2 4" xfId="195" xr:uid="{00000000-0005-0000-0000-0000F53A0000}"/>
    <cellStyle name="40% - Accent2 2 3 5 3" xfId="17179" xr:uid="{00000000-0005-0000-0000-0000F63A0000}"/>
    <cellStyle name="40% - Accent2 2 3 5 3 2" xfId="17180" xr:uid="{00000000-0005-0000-0000-0000F73A0000}"/>
    <cellStyle name="40% - Accent2 2 3 5 3 2 2" xfId="17181" xr:uid="{00000000-0005-0000-0000-0000F83A0000}"/>
    <cellStyle name="40% - Accent2 2 3 5 3 3" xfId="17182" xr:uid="{00000000-0005-0000-0000-0000F93A0000}"/>
    <cellStyle name="40% - Accent2 2 3 5 4" xfId="17187" xr:uid="{00000000-0005-0000-0000-0000FA3A0000}"/>
    <cellStyle name="40% - Accent2 2 3 5 4 2" xfId="17190" xr:uid="{00000000-0005-0000-0000-0000FB3A0000}"/>
    <cellStyle name="40% - Accent2 2 3 5 5" xfId="17194" xr:uid="{00000000-0005-0000-0000-0000FC3A0000}"/>
    <cellStyle name="40% - Accent2 2 3 6" xfId="6892" xr:uid="{00000000-0005-0000-0000-0000FD3A0000}"/>
    <cellStyle name="40% - Accent2 2 3 6 2" xfId="17196" xr:uid="{00000000-0005-0000-0000-0000FE3A0000}"/>
    <cellStyle name="40% - Accent2 2 3 6 2 2" xfId="17197" xr:uid="{00000000-0005-0000-0000-0000FF3A0000}"/>
    <cellStyle name="40% - Accent2 2 3 6 2 2 2" xfId="17198" xr:uid="{00000000-0005-0000-0000-0000003B0000}"/>
    <cellStyle name="40% - Accent2 2 3 6 2 3" xfId="17200" xr:uid="{00000000-0005-0000-0000-0000013B0000}"/>
    <cellStyle name="40% - Accent2 2 3 6 3" xfId="34010" xr:uid="{00000000-0005-0000-0000-0000023B0000}"/>
    <cellStyle name="40% - Accent2 2 3 6 3 2" xfId="17201" xr:uid="{00000000-0005-0000-0000-0000033B0000}"/>
    <cellStyle name="40% - Accent2 2 3 6 4" xfId="17203" xr:uid="{00000000-0005-0000-0000-0000043B0000}"/>
    <cellStyle name="40% - Accent2 2 3 7" xfId="13792" xr:uid="{00000000-0005-0000-0000-0000053B0000}"/>
    <cellStyle name="40% - Accent2 2 3 7 2" xfId="10098" xr:uid="{00000000-0005-0000-0000-0000063B0000}"/>
    <cellStyle name="40% - Accent2 2 3 7 2 2" xfId="13795" xr:uid="{00000000-0005-0000-0000-0000073B0000}"/>
    <cellStyle name="40% - Accent2 2 3 7 3" xfId="24955" xr:uid="{00000000-0005-0000-0000-0000083B0000}"/>
    <cellStyle name="40% - Accent2 2 3 8" xfId="18130" xr:uid="{00000000-0005-0000-0000-0000093B0000}"/>
    <cellStyle name="40% - Accent2 2 3 8 2" xfId="18133" xr:uid="{00000000-0005-0000-0000-00000A3B0000}"/>
    <cellStyle name="40% - Accent2 2 3 9" xfId="18140" xr:uid="{00000000-0005-0000-0000-00000B3B0000}"/>
    <cellStyle name="40% - Accent2 2 4" xfId="13572" xr:uid="{00000000-0005-0000-0000-00000C3B0000}"/>
    <cellStyle name="40% - Accent2 2 4 2" xfId="17204" xr:uid="{00000000-0005-0000-0000-00000D3B0000}"/>
    <cellStyle name="40% - Accent2 2 4 2 2" xfId="17206" xr:uid="{00000000-0005-0000-0000-00000E3B0000}"/>
    <cellStyle name="40% - Accent2 2 4 2 2 2" xfId="8552" xr:uid="{00000000-0005-0000-0000-00000F3B0000}"/>
    <cellStyle name="40% - Accent2 2 4 2 2 2 2" xfId="17236" xr:uid="{00000000-0005-0000-0000-0000103B0000}"/>
    <cellStyle name="40% - Accent2 2 4 2 2 2 2 2" xfId="15373" xr:uid="{00000000-0005-0000-0000-0000113B0000}"/>
    <cellStyle name="40% - Accent2 2 4 2 2 2 2 2 2" xfId="24735" xr:uid="{00000000-0005-0000-0000-0000123B0000}"/>
    <cellStyle name="40% - Accent2 2 4 2 2 2 2 2 2 2" xfId="17207" xr:uid="{00000000-0005-0000-0000-0000133B0000}"/>
    <cellStyle name="40% - Accent2 2 4 2 2 2 2 2 3" xfId="17209" xr:uid="{00000000-0005-0000-0000-0000143B0000}"/>
    <cellStyle name="40% - Accent2 2 4 2 2 2 2 3" xfId="15378" xr:uid="{00000000-0005-0000-0000-0000153B0000}"/>
    <cellStyle name="40% - Accent2 2 4 2 2 2 2 3 2" xfId="28433" xr:uid="{00000000-0005-0000-0000-0000163B0000}"/>
    <cellStyle name="40% - Accent2 2 4 2 2 2 2 4" xfId="17216" xr:uid="{00000000-0005-0000-0000-0000173B0000}"/>
    <cellStyle name="40% - Accent2 2 4 2 2 2 3" xfId="31102" xr:uid="{00000000-0005-0000-0000-0000183B0000}"/>
    <cellStyle name="40% - Accent2 2 4 2 2 2 3 2" xfId="32228" xr:uid="{00000000-0005-0000-0000-0000193B0000}"/>
    <cellStyle name="40% - Accent2 2 4 2 2 2 3 2 2" xfId="17218" xr:uid="{00000000-0005-0000-0000-00001A3B0000}"/>
    <cellStyle name="40% - Accent2 2 4 2 2 2 3 3" xfId="17219" xr:uid="{00000000-0005-0000-0000-00001B3B0000}"/>
    <cellStyle name="40% - Accent2 2 4 2 2 2 4" xfId="15386" xr:uid="{00000000-0005-0000-0000-00001C3B0000}"/>
    <cellStyle name="40% - Accent2 2 4 2 2 2 4 2" xfId="17220" xr:uid="{00000000-0005-0000-0000-00001D3B0000}"/>
    <cellStyle name="40% - Accent2 2 4 2 2 2 5" xfId="26484" xr:uid="{00000000-0005-0000-0000-00001E3B0000}"/>
    <cellStyle name="40% - Accent2 2 4 2 2 3" xfId="30800" xr:uid="{00000000-0005-0000-0000-00001F3B0000}"/>
    <cellStyle name="40% - Accent2 2 4 2 2 3 2" xfId="12616" xr:uid="{00000000-0005-0000-0000-0000203B0000}"/>
    <cellStyle name="40% - Accent2 2 4 2 2 3 2 2" xfId="31624" xr:uid="{00000000-0005-0000-0000-0000213B0000}"/>
    <cellStyle name="40% - Accent2 2 4 2 2 3 2 2 2" xfId="17222" xr:uid="{00000000-0005-0000-0000-0000223B0000}"/>
    <cellStyle name="40% - Accent2 2 4 2 2 3 2 3" xfId="17225" xr:uid="{00000000-0005-0000-0000-0000233B0000}"/>
    <cellStyle name="40% - Accent2 2 4 2 2 3 3" xfId="30206" xr:uid="{00000000-0005-0000-0000-0000243B0000}"/>
    <cellStyle name="40% - Accent2 2 4 2 2 3 3 2" xfId="17227" xr:uid="{00000000-0005-0000-0000-0000253B0000}"/>
    <cellStyle name="40% - Accent2 2 4 2 2 3 4" xfId="32362" xr:uid="{00000000-0005-0000-0000-0000263B0000}"/>
    <cellStyle name="40% - Accent2 2 4 2 2 4" xfId="17229" xr:uid="{00000000-0005-0000-0000-0000273B0000}"/>
    <cellStyle name="40% - Accent2 2 4 2 2 4 2" xfId="6334" xr:uid="{00000000-0005-0000-0000-0000283B0000}"/>
    <cellStyle name="40% - Accent2 2 4 2 2 4 2 2" xfId="17649" xr:uid="{00000000-0005-0000-0000-0000293B0000}"/>
    <cellStyle name="40% - Accent2 2 4 2 2 4 3" xfId="29402" xr:uid="{00000000-0005-0000-0000-00002A3B0000}"/>
    <cellStyle name="40% - Accent2 2 4 2 2 5" xfId="26508" xr:uid="{00000000-0005-0000-0000-00002B3B0000}"/>
    <cellStyle name="40% - Accent2 2 4 2 2 5 2" xfId="17233" xr:uid="{00000000-0005-0000-0000-00002C3B0000}"/>
    <cellStyle name="40% - Accent2 2 4 2 2 6" xfId="20339" xr:uid="{00000000-0005-0000-0000-00002D3B0000}"/>
    <cellStyle name="40% - Accent2 2 4 2 3" xfId="27304" xr:uid="{00000000-0005-0000-0000-00002E3B0000}"/>
    <cellStyle name="40% - Accent2 2 4 2 3 2" xfId="17238" xr:uid="{00000000-0005-0000-0000-00002F3B0000}"/>
    <cellStyle name="40% - Accent2 2 4 2 3 2 2" xfId="4109" xr:uid="{00000000-0005-0000-0000-0000303B0000}"/>
    <cellStyle name="40% - Accent2 2 4 2 3 2 2 2" xfId="33070" xr:uid="{00000000-0005-0000-0000-0000313B0000}"/>
    <cellStyle name="40% - Accent2 2 4 2 3 2 2 2 2" xfId="17240" xr:uid="{00000000-0005-0000-0000-0000323B0000}"/>
    <cellStyle name="40% - Accent2 2 4 2 3 2 2 3" xfId="17241" xr:uid="{00000000-0005-0000-0000-0000333B0000}"/>
    <cellStyle name="40% - Accent2 2 4 2 3 2 3" xfId="15414" xr:uid="{00000000-0005-0000-0000-0000343B0000}"/>
    <cellStyle name="40% - Accent2 2 4 2 3 2 3 2" xfId="17242" xr:uid="{00000000-0005-0000-0000-0000353B0000}"/>
    <cellStyle name="40% - Accent2 2 4 2 3 2 4" xfId="17243" xr:uid="{00000000-0005-0000-0000-0000363B0000}"/>
    <cellStyle name="40% - Accent2 2 4 2 3 3" xfId="17244" xr:uid="{00000000-0005-0000-0000-0000373B0000}"/>
    <cellStyle name="40% - Accent2 2 4 2 3 3 2" xfId="1311" xr:uid="{00000000-0005-0000-0000-0000383B0000}"/>
    <cellStyle name="40% - Accent2 2 4 2 3 3 2 2" xfId="5849" xr:uid="{00000000-0005-0000-0000-0000393B0000}"/>
    <cellStyle name="40% - Accent2 2 4 2 3 3 3" xfId="17246" xr:uid="{00000000-0005-0000-0000-00003A3B0000}"/>
    <cellStyle name="40% - Accent2 2 4 2 3 4" xfId="17248" xr:uid="{00000000-0005-0000-0000-00003B3B0000}"/>
    <cellStyle name="40% - Accent2 2 4 2 3 4 2" xfId="17026" xr:uid="{00000000-0005-0000-0000-00003C3B0000}"/>
    <cellStyle name="40% - Accent2 2 4 2 3 5" xfId="26521" xr:uid="{00000000-0005-0000-0000-00003D3B0000}"/>
    <cellStyle name="40% - Accent2 2 4 2 4" xfId="25197" xr:uid="{00000000-0005-0000-0000-00003E3B0000}"/>
    <cellStyle name="40% - Accent2 2 4 2 4 2" xfId="9009" xr:uid="{00000000-0005-0000-0000-00003F3B0000}"/>
    <cellStyle name="40% - Accent2 2 4 2 4 2 2" xfId="764" xr:uid="{00000000-0005-0000-0000-0000403B0000}"/>
    <cellStyle name="40% - Accent2 2 4 2 4 2 2 2" xfId="32617" xr:uid="{00000000-0005-0000-0000-0000413B0000}"/>
    <cellStyle name="40% - Accent2 2 4 2 4 2 3" xfId="15256" xr:uid="{00000000-0005-0000-0000-0000423B0000}"/>
    <cellStyle name="40% - Accent2 2 4 2 4 3" xfId="4367" xr:uid="{00000000-0005-0000-0000-0000433B0000}"/>
    <cellStyle name="40% - Accent2 2 4 2 4 3 2" xfId="1668" xr:uid="{00000000-0005-0000-0000-0000443B0000}"/>
    <cellStyle name="40% - Accent2 2 4 2 4 4" xfId="17250" xr:uid="{00000000-0005-0000-0000-0000453B0000}"/>
    <cellStyle name="40% - Accent2 2 4 2 5" xfId="17253" xr:uid="{00000000-0005-0000-0000-0000463B0000}"/>
    <cellStyle name="40% - Accent2 2 4 2 5 2" xfId="4961" xr:uid="{00000000-0005-0000-0000-0000473B0000}"/>
    <cellStyle name="40% - Accent2 2 4 2 5 2 2" xfId="32910" xr:uid="{00000000-0005-0000-0000-0000483B0000}"/>
    <cellStyle name="40% - Accent2 2 4 2 5 3" xfId="32175" xr:uid="{00000000-0005-0000-0000-0000493B0000}"/>
    <cellStyle name="40% - Accent2 2 4 2 6" xfId="14903" xr:uid="{00000000-0005-0000-0000-00004A3B0000}"/>
    <cellStyle name="40% - Accent2 2 4 2 6 2" xfId="7571" xr:uid="{00000000-0005-0000-0000-00004B3B0000}"/>
    <cellStyle name="40% - Accent2 2 4 2 7" xfId="20423" xr:uid="{00000000-0005-0000-0000-00004C3B0000}"/>
    <cellStyle name="40% - Accent2 2 4 3" xfId="17261" xr:uid="{00000000-0005-0000-0000-00004D3B0000}"/>
    <cellStyle name="40% - Accent2 2 4 3 2" xfId="8655" xr:uid="{00000000-0005-0000-0000-00004E3B0000}"/>
    <cellStyle name="40% - Accent2 2 4 3 2 2" xfId="17262" xr:uid="{00000000-0005-0000-0000-00004F3B0000}"/>
    <cellStyle name="40% - Accent2 2 4 3 2 2 2" xfId="15485" xr:uid="{00000000-0005-0000-0000-0000503B0000}"/>
    <cellStyle name="40% - Accent2 2 4 3 2 2 2 2" xfId="26271" xr:uid="{00000000-0005-0000-0000-0000513B0000}"/>
    <cellStyle name="40% - Accent2 2 4 3 2 2 2 2 2" xfId="30005" xr:uid="{00000000-0005-0000-0000-0000523B0000}"/>
    <cellStyle name="40% - Accent2 2 4 3 2 2 2 3" xfId="31035" xr:uid="{00000000-0005-0000-0000-0000533B0000}"/>
    <cellStyle name="40% - Accent2 2 4 3 2 2 3" xfId="15490" xr:uid="{00000000-0005-0000-0000-0000543B0000}"/>
    <cellStyle name="40% - Accent2 2 4 3 2 2 3 2" xfId="13861" xr:uid="{00000000-0005-0000-0000-0000553B0000}"/>
    <cellStyle name="40% - Accent2 2 4 3 2 2 4" xfId="17263" xr:uid="{00000000-0005-0000-0000-0000563B0000}"/>
    <cellStyle name="40% - Accent2 2 4 3 2 3" xfId="17265" xr:uid="{00000000-0005-0000-0000-0000573B0000}"/>
    <cellStyle name="40% - Accent2 2 4 3 2 3 2" xfId="14228" xr:uid="{00000000-0005-0000-0000-0000583B0000}"/>
    <cellStyle name="40% - Accent2 2 4 3 2 3 2 2" xfId="13873" xr:uid="{00000000-0005-0000-0000-0000593B0000}"/>
    <cellStyle name="40% - Accent2 2 4 3 2 3 3" xfId="17266" xr:uid="{00000000-0005-0000-0000-00005A3B0000}"/>
    <cellStyle name="40% - Accent2 2 4 3 2 4" xfId="17267" xr:uid="{00000000-0005-0000-0000-00005B3B0000}"/>
    <cellStyle name="40% - Accent2 2 4 3 2 4 2" xfId="3751" xr:uid="{00000000-0005-0000-0000-00005C3B0000}"/>
    <cellStyle name="40% - Accent2 2 4 3 2 5" xfId="26624" xr:uid="{00000000-0005-0000-0000-00005D3B0000}"/>
    <cellStyle name="40% - Accent2 2 4 3 3" xfId="30288" xr:uid="{00000000-0005-0000-0000-00005E3B0000}"/>
    <cellStyle name="40% - Accent2 2 4 3 3 2" xfId="17269" xr:uid="{00000000-0005-0000-0000-00005F3B0000}"/>
    <cellStyle name="40% - Accent2 2 4 3 3 2 2" xfId="29885" xr:uid="{00000000-0005-0000-0000-0000603B0000}"/>
    <cellStyle name="40% - Accent2 2 4 3 3 2 2 2" xfId="13896" xr:uid="{00000000-0005-0000-0000-0000613B0000}"/>
    <cellStyle name="40% - Accent2 2 4 3 3 2 3" xfId="10749" xr:uid="{00000000-0005-0000-0000-0000623B0000}"/>
    <cellStyle name="40% - Accent2 2 4 3 3 3" xfId="17270" xr:uid="{00000000-0005-0000-0000-0000633B0000}"/>
    <cellStyle name="40% - Accent2 2 4 3 3 3 2" xfId="17271" xr:uid="{00000000-0005-0000-0000-0000643B0000}"/>
    <cellStyle name="40% - Accent2 2 4 3 3 4" xfId="17272" xr:uid="{00000000-0005-0000-0000-0000653B0000}"/>
    <cellStyle name="40% - Accent2 2 4 3 4" xfId="17274" xr:uid="{00000000-0005-0000-0000-0000663B0000}"/>
    <cellStyle name="40% - Accent2 2 4 3 4 2" xfId="1157" xr:uid="{00000000-0005-0000-0000-0000673B0000}"/>
    <cellStyle name="40% - Accent2 2 4 3 4 2 2" xfId="305" xr:uid="{00000000-0005-0000-0000-0000683B0000}"/>
    <cellStyle name="40% - Accent2 2 4 3 4 3" xfId="17277" xr:uid="{00000000-0005-0000-0000-0000693B0000}"/>
    <cellStyle name="40% - Accent2 2 4 3 5" xfId="17278" xr:uid="{00000000-0005-0000-0000-00006A3B0000}"/>
    <cellStyle name="40% - Accent2 2 4 3 5 2" xfId="17281" xr:uid="{00000000-0005-0000-0000-00006B3B0000}"/>
    <cellStyle name="40% - Accent2 2 4 3 6" xfId="12169" xr:uid="{00000000-0005-0000-0000-00006C3B0000}"/>
    <cellStyle name="40% - Accent2 2 4 4" xfId="17282" xr:uid="{00000000-0005-0000-0000-00006D3B0000}"/>
    <cellStyle name="40% - Accent2 2 4 4 2" xfId="17284" xr:uid="{00000000-0005-0000-0000-00006E3B0000}"/>
    <cellStyle name="40% - Accent2 2 4 4 2 2" xfId="216" xr:uid="{00000000-0005-0000-0000-00006F3B0000}"/>
    <cellStyle name="40% - Accent2 2 4 4 2 2 2" xfId="15556" xr:uid="{00000000-0005-0000-0000-0000703B0000}"/>
    <cellStyle name="40% - Accent2 2 4 4 2 2 2 2" xfId="33927" xr:uid="{00000000-0005-0000-0000-0000713B0000}"/>
    <cellStyle name="40% - Accent2 2 4 4 2 2 3" xfId="17285" xr:uid="{00000000-0005-0000-0000-0000723B0000}"/>
    <cellStyle name="40% - Accent2 2 4 4 2 3" xfId="17286" xr:uid="{00000000-0005-0000-0000-0000733B0000}"/>
    <cellStyle name="40% - Accent2 2 4 4 2 3 2" xfId="17288" xr:uid="{00000000-0005-0000-0000-0000743B0000}"/>
    <cellStyle name="40% - Accent2 2 4 4 2 4" xfId="7718" xr:uid="{00000000-0005-0000-0000-0000753B0000}"/>
    <cellStyle name="40% - Accent2 2 4 4 3" xfId="17291" xr:uid="{00000000-0005-0000-0000-0000763B0000}"/>
    <cellStyle name="40% - Accent2 2 4 4 3 2" xfId="17295" xr:uid="{00000000-0005-0000-0000-0000773B0000}"/>
    <cellStyle name="40% - Accent2 2 4 4 3 2 2" xfId="17296" xr:uid="{00000000-0005-0000-0000-0000783B0000}"/>
    <cellStyle name="40% - Accent2 2 4 4 3 3" xfId="17298" xr:uid="{00000000-0005-0000-0000-0000793B0000}"/>
    <cellStyle name="40% - Accent2 2 4 4 4" xfId="31273" xr:uid="{00000000-0005-0000-0000-00007A3B0000}"/>
    <cellStyle name="40% - Accent2 2 4 4 4 2" xfId="17299" xr:uid="{00000000-0005-0000-0000-00007B3B0000}"/>
    <cellStyle name="40% - Accent2 2 4 4 5" xfId="17302" xr:uid="{00000000-0005-0000-0000-00007C3B0000}"/>
    <cellStyle name="40% - Accent2 2 4 5" xfId="6895" xr:uid="{00000000-0005-0000-0000-00007D3B0000}"/>
    <cellStyle name="40% - Accent2 2 4 5 2" xfId="17303" xr:uid="{00000000-0005-0000-0000-00007E3B0000}"/>
    <cellStyle name="40% - Accent2 2 4 5 2 2" xfId="17308" xr:uid="{00000000-0005-0000-0000-00007F3B0000}"/>
    <cellStyle name="40% - Accent2 2 4 5 2 2 2" xfId="17309" xr:uid="{00000000-0005-0000-0000-0000803B0000}"/>
    <cellStyle name="40% - Accent2 2 4 5 2 3" xfId="33147" xr:uid="{00000000-0005-0000-0000-0000813B0000}"/>
    <cellStyle name="40% - Accent2 2 4 5 3" xfId="17310" xr:uid="{00000000-0005-0000-0000-0000823B0000}"/>
    <cellStyle name="40% - Accent2 2 4 5 3 2" xfId="17313" xr:uid="{00000000-0005-0000-0000-0000833B0000}"/>
    <cellStyle name="40% - Accent2 2 4 5 4" xfId="17315" xr:uid="{00000000-0005-0000-0000-0000843B0000}"/>
    <cellStyle name="40% - Accent2 2 4 6" xfId="27941" xr:uid="{00000000-0005-0000-0000-0000853B0000}"/>
    <cellStyle name="40% - Accent2 2 4 6 2" xfId="17318" xr:uid="{00000000-0005-0000-0000-0000863B0000}"/>
    <cellStyle name="40% - Accent2 2 4 6 2 2" xfId="17320" xr:uid="{00000000-0005-0000-0000-0000873B0000}"/>
    <cellStyle name="40% - Accent2 2 4 6 3" xfId="17323" xr:uid="{00000000-0005-0000-0000-0000883B0000}"/>
    <cellStyle name="40% - Accent2 2 4 7" xfId="26442" xr:uid="{00000000-0005-0000-0000-0000893B0000}"/>
    <cellStyle name="40% - Accent2 2 4 7 2" xfId="13797" xr:uid="{00000000-0005-0000-0000-00008A3B0000}"/>
    <cellStyle name="40% - Accent2 2 4 8" xfId="18147" xr:uid="{00000000-0005-0000-0000-00008B3B0000}"/>
    <cellStyle name="40% - Accent2 2 5" xfId="17325" xr:uid="{00000000-0005-0000-0000-00008C3B0000}"/>
    <cellStyle name="40% - Accent2 2 5 2" xfId="17326" xr:uid="{00000000-0005-0000-0000-00008D3B0000}"/>
    <cellStyle name="40% - Accent2 2 5 2 2" xfId="19700" xr:uid="{00000000-0005-0000-0000-00008E3B0000}"/>
    <cellStyle name="40% - Accent2 2 5 2 2 2" xfId="32537" xr:uid="{00000000-0005-0000-0000-00008F3B0000}"/>
    <cellStyle name="40% - Accent2 2 5 2 2 2 2" xfId="2328" xr:uid="{00000000-0005-0000-0000-0000903B0000}"/>
    <cellStyle name="40% - Accent2 2 5 2 2 2 2 2" xfId="4987" xr:uid="{00000000-0005-0000-0000-0000913B0000}"/>
    <cellStyle name="40% - Accent2 2 5 2 2 2 2 2 2" xfId="20421" xr:uid="{00000000-0005-0000-0000-0000923B0000}"/>
    <cellStyle name="40% - Accent2 2 5 2 2 2 2 3" xfId="33952" xr:uid="{00000000-0005-0000-0000-0000933B0000}"/>
    <cellStyle name="40% - Accent2 2 5 2 2 2 3" xfId="15641" xr:uid="{00000000-0005-0000-0000-0000943B0000}"/>
    <cellStyle name="40% - Accent2 2 5 2 2 2 3 2" xfId="24567" xr:uid="{00000000-0005-0000-0000-0000953B0000}"/>
    <cellStyle name="40% - Accent2 2 5 2 2 2 4" xfId="17327" xr:uid="{00000000-0005-0000-0000-0000963B0000}"/>
    <cellStyle name="40% - Accent2 2 5 2 2 3" xfId="17329" xr:uid="{00000000-0005-0000-0000-0000973B0000}"/>
    <cellStyle name="40% - Accent2 2 5 2 2 3 2" xfId="15652" xr:uid="{00000000-0005-0000-0000-0000983B0000}"/>
    <cellStyle name="40% - Accent2 2 5 2 2 3 2 2" xfId="17330" xr:uid="{00000000-0005-0000-0000-0000993B0000}"/>
    <cellStyle name="40% - Accent2 2 5 2 2 3 3" xfId="17331" xr:uid="{00000000-0005-0000-0000-00009A3B0000}"/>
    <cellStyle name="40% - Accent2 2 5 2 2 4" xfId="17334" xr:uid="{00000000-0005-0000-0000-00009B3B0000}"/>
    <cellStyle name="40% - Accent2 2 5 2 2 4 2" xfId="17335" xr:uid="{00000000-0005-0000-0000-00009C3B0000}"/>
    <cellStyle name="40% - Accent2 2 5 2 2 5" xfId="26255" xr:uid="{00000000-0005-0000-0000-00009D3B0000}"/>
    <cellStyle name="40% - Accent2 2 5 2 3" xfId="17336" xr:uid="{00000000-0005-0000-0000-00009E3B0000}"/>
    <cellStyle name="40% - Accent2 2 5 2 3 2" xfId="17341" xr:uid="{00000000-0005-0000-0000-00009F3B0000}"/>
    <cellStyle name="40% - Accent2 2 5 2 3 2 2" xfId="15691" xr:uid="{00000000-0005-0000-0000-0000A03B0000}"/>
    <cellStyle name="40% - Accent2 2 5 2 3 2 2 2" xfId="17343" xr:uid="{00000000-0005-0000-0000-0000A13B0000}"/>
    <cellStyle name="40% - Accent2 2 5 2 3 2 3" xfId="17345" xr:uid="{00000000-0005-0000-0000-0000A23B0000}"/>
    <cellStyle name="40% - Accent2 2 5 2 3 3" xfId="17349" xr:uid="{00000000-0005-0000-0000-0000A33B0000}"/>
    <cellStyle name="40% - Accent2 2 5 2 3 3 2" xfId="17350" xr:uid="{00000000-0005-0000-0000-0000A43B0000}"/>
    <cellStyle name="40% - Accent2 2 5 2 3 4" xfId="17352" xr:uid="{00000000-0005-0000-0000-0000A53B0000}"/>
    <cellStyle name="40% - Accent2 2 5 2 4" xfId="15004" xr:uid="{00000000-0005-0000-0000-0000A63B0000}"/>
    <cellStyle name="40% - Accent2 2 5 2 4 2" xfId="2376" xr:uid="{00000000-0005-0000-0000-0000A73B0000}"/>
    <cellStyle name="40% - Accent2 2 5 2 4 2 2" xfId="6154" xr:uid="{00000000-0005-0000-0000-0000A83B0000}"/>
    <cellStyle name="40% - Accent2 2 5 2 4 3" xfId="33692" xr:uid="{00000000-0005-0000-0000-0000A93B0000}"/>
    <cellStyle name="40% - Accent2 2 5 2 5" xfId="14833" xr:uid="{00000000-0005-0000-0000-0000AA3B0000}"/>
    <cellStyle name="40% - Accent2 2 5 2 5 2" xfId="25322" xr:uid="{00000000-0005-0000-0000-0000AB3B0000}"/>
    <cellStyle name="40% - Accent2 2 5 2 6" xfId="12186" xr:uid="{00000000-0005-0000-0000-0000AC3B0000}"/>
    <cellStyle name="40% - Accent2 2 5 3" xfId="31370" xr:uid="{00000000-0005-0000-0000-0000AD3B0000}"/>
    <cellStyle name="40% - Accent2 2 5 3 2" xfId="17354" xr:uid="{00000000-0005-0000-0000-0000AE3B0000}"/>
    <cellStyle name="40% - Accent2 2 5 3 2 2" xfId="25052" xr:uid="{00000000-0005-0000-0000-0000AF3B0000}"/>
    <cellStyle name="40% - Accent2 2 5 3 2 2 2" xfId="15735" xr:uid="{00000000-0005-0000-0000-0000B03B0000}"/>
    <cellStyle name="40% - Accent2 2 5 3 2 2 2 2" xfId="7595" xr:uid="{00000000-0005-0000-0000-0000B13B0000}"/>
    <cellStyle name="40% - Accent2 2 5 3 2 2 3" xfId="17363" xr:uid="{00000000-0005-0000-0000-0000B23B0000}"/>
    <cellStyle name="40% - Accent2 2 5 3 2 3" xfId="17368" xr:uid="{00000000-0005-0000-0000-0000B33B0000}"/>
    <cellStyle name="40% - Accent2 2 5 3 2 3 2" xfId="17370" xr:uid="{00000000-0005-0000-0000-0000B43B0000}"/>
    <cellStyle name="40% - Accent2 2 5 3 2 4" xfId="17374" xr:uid="{00000000-0005-0000-0000-0000B53B0000}"/>
    <cellStyle name="40% - Accent2 2 5 3 3" xfId="17379" xr:uid="{00000000-0005-0000-0000-0000B63B0000}"/>
    <cellStyle name="40% - Accent2 2 5 3 3 2" xfId="17387" xr:uid="{00000000-0005-0000-0000-0000B73B0000}"/>
    <cellStyle name="40% - Accent2 2 5 3 3 2 2" xfId="17390" xr:uid="{00000000-0005-0000-0000-0000B83B0000}"/>
    <cellStyle name="40% - Accent2 2 5 3 3 3" xfId="17392" xr:uid="{00000000-0005-0000-0000-0000B93B0000}"/>
    <cellStyle name="40% - Accent2 2 5 3 4" xfId="15015" xr:uid="{00000000-0005-0000-0000-0000BA3B0000}"/>
    <cellStyle name="40% - Accent2 2 5 3 4 2" xfId="17395" xr:uid="{00000000-0005-0000-0000-0000BB3B0000}"/>
    <cellStyle name="40% - Accent2 2 5 3 5" xfId="14849" xr:uid="{00000000-0005-0000-0000-0000BC3B0000}"/>
    <cellStyle name="40% - Accent2 2 5 4" xfId="17398" xr:uid="{00000000-0005-0000-0000-0000BD3B0000}"/>
    <cellStyle name="40% - Accent2 2 5 4 2" xfId="22981" xr:uid="{00000000-0005-0000-0000-0000BE3B0000}"/>
    <cellStyle name="40% - Accent2 2 5 4 2 2" xfId="22992" xr:uid="{00000000-0005-0000-0000-0000BF3B0000}"/>
    <cellStyle name="40% - Accent2 2 5 4 2 2 2" xfId="17405" xr:uid="{00000000-0005-0000-0000-0000C03B0000}"/>
    <cellStyle name="40% - Accent2 2 5 4 2 3" xfId="27023" xr:uid="{00000000-0005-0000-0000-0000C13B0000}"/>
    <cellStyle name="40% - Accent2 2 5 4 3" xfId="22313" xr:uid="{00000000-0005-0000-0000-0000C23B0000}"/>
    <cellStyle name="40% - Accent2 2 5 4 3 2" xfId="19926" xr:uid="{00000000-0005-0000-0000-0000C33B0000}"/>
    <cellStyle name="40% - Accent2 2 5 4 4" xfId="27548" xr:uid="{00000000-0005-0000-0000-0000C43B0000}"/>
    <cellStyle name="40% - Accent2 2 5 5" xfId="29956" xr:uid="{00000000-0005-0000-0000-0000C53B0000}"/>
    <cellStyle name="40% - Accent2 2 5 5 2" xfId="21370" xr:uid="{00000000-0005-0000-0000-0000C63B0000}"/>
    <cellStyle name="40% - Accent2 2 5 5 2 2" xfId="27554" xr:uid="{00000000-0005-0000-0000-0000C73B0000}"/>
    <cellStyle name="40% - Accent2 2 5 5 3" xfId="5102" xr:uid="{00000000-0005-0000-0000-0000C83B0000}"/>
    <cellStyle name="40% - Accent2 2 5 6" xfId="30954" xr:uid="{00000000-0005-0000-0000-0000C93B0000}"/>
    <cellStyle name="40% - Accent2 2 5 6 2" xfId="21386" xr:uid="{00000000-0005-0000-0000-0000CA3B0000}"/>
    <cellStyle name="40% - Accent2 2 5 7" xfId="14613" xr:uid="{00000000-0005-0000-0000-0000CB3B0000}"/>
    <cellStyle name="40% - Accent2 2 6" xfId="17421" xr:uid="{00000000-0005-0000-0000-0000CC3B0000}"/>
    <cellStyle name="40% - Accent2 2 6 2" xfId="4663" xr:uid="{00000000-0005-0000-0000-0000CD3B0000}"/>
    <cellStyle name="40% - Accent2 2 6 2 2" xfId="17424" xr:uid="{00000000-0005-0000-0000-0000CE3B0000}"/>
    <cellStyle name="40% - Accent2 2 6 2 2 2" xfId="17425" xr:uid="{00000000-0005-0000-0000-0000CF3B0000}"/>
    <cellStyle name="40% - Accent2 2 6 2 2 2 2" xfId="15824" xr:uid="{00000000-0005-0000-0000-0000D03B0000}"/>
    <cellStyle name="40% - Accent2 2 6 2 2 2 2 2" xfId="15255" xr:uid="{00000000-0005-0000-0000-0000D13B0000}"/>
    <cellStyle name="40% - Accent2 2 6 2 2 2 3" xfId="17427" xr:uid="{00000000-0005-0000-0000-0000D23B0000}"/>
    <cellStyle name="40% - Accent2 2 6 2 2 3" xfId="17428" xr:uid="{00000000-0005-0000-0000-0000D33B0000}"/>
    <cellStyle name="40% - Accent2 2 6 2 2 3 2" xfId="7437" xr:uid="{00000000-0005-0000-0000-0000D43B0000}"/>
    <cellStyle name="40% - Accent2 2 6 2 2 4" xfId="17430" xr:uid="{00000000-0005-0000-0000-0000D53B0000}"/>
    <cellStyle name="40% - Accent2 2 6 2 3" xfId="15022" xr:uid="{00000000-0005-0000-0000-0000D63B0000}"/>
    <cellStyle name="40% - Accent2 2 6 2 3 2" xfId="17431" xr:uid="{00000000-0005-0000-0000-0000D73B0000}"/>
    <cellStyle name="40% - Accent2 2 6 2 3 2 2" xfId="14454" xr:uid="{00000000-0005-0000-0000-0000D83B0000}"/>
    <cellStyle name="40% - Accent2 2 6 2 3 3" xfId="17432" xr:uid="{00000000-0005-0000-0000-0000D93B0000}"/>
    <cellStyle name="40% - Accent2 2 6 2 4" xfId="15028" xr:uid="{00000000-0005-0000-0000-0000DA3B0000}"/>
    <cellStyle name="40% - Accent2 2 6 2 4 2" xfId="17433" xr:uid="{00000000-0005-0000-0000-0000DB3B0000}"/>
    <cellStyle name="40% - Accent2 2 6 2 5" xfId="14888" xr:uid="{00000000-0005-0000-0000-0000DC3B0000}"/>
    <cellStyle name="40% - Accent2 2 6 3" xfId="22085" xr:uid="{00000000-0005-0000-0000-0000DD3B0000}"/>
    <cellStyle name="40% - Accent2 2 6 3 2" xfId="1039" xr:uid="{00000000-0005-0000-0000-0000DE3B0000}"/>
    <cellStyle name="40% - Accent2 2 6 3 2 2" xfId="7515" xr:uid="{00000000-0005-0000-0000-0000DF3B0000}"/>
    <cellStyle name="40% - Accent2 2 6 3 2 2 2" xfId="2486" xr:uid="{00000000-0005-0000-0000-0000E03B0000}"/>
    <cellStyle name="40% - Accent2 2 6 3 2 3" xfId="7521" xr:uid="{00000000-0005-0000-0000-0000E13B0000}"/>
    <cellStyle name="40% - Accent2 2 6 3 3" xfId="17436" xr:uid="{00000000-0005-0000-0000-0000E23B0000}"/>
    <cellStyle name="40% - Accent2 2 6 3 3 2" xfId="7536" xr:uid="{00000000-0005-0000-0000-0000E33B0000}"/>
    <cellStyle name="40% - Accent2 2 6 3 4" xfId="14892" xr:uid="{00000000-0005-0000-0000-0000E43B0000}"/>
    <cellStyle name="40% - Accent2 2 6 4" xfId="17442" xr:uid="{00000000-0005-0000-0000-0000E53B0000}"/>
    <cellStyle name="40% - Accent2 2 6 4 2" xfId="23006" xr:uid="{00000000-0005-0000-0000-0000E63B0000}"/>
    <cellStyle name="40% - Accent2 2 6 4 2 2" xfId="27566" xr:uid="{00000000-0005-0000-0000-0000E73B0000}"/>
    <cellStyle name="40% - Accent2 2 6 4 3" xfId="17449" xr:uid="{00000000-0005-0000-0000-0000E83B0000}"/>
    <cellStyle name="40% - Accent2 2 6 5" xfId="17452" xr:uid="{00000000-0005-0000-0000-0000E93B0000}"/>
    <cellStyle name="40% - Accent2 2 6 5 2" xfId="21414" xr:uid="{00000000-0005-0000-0000-0000EA3B0000}"/>
    <cellStyle name="40% - Accent2 2 6 6" xfId="32269" xr:uid="{00000000-0005-0000-0000-0000EB3B0000}"/>
    <cellStyle name="40% - Accent2 2 7" xfId="17456" xr:uid="{00000000-0005-0000-0000-0000EC3B0000}"/>
    <cellStyle name="40% - Accent2 2 7 2" xfId="1114" xr:uid="{00000000-0005-0000-0000-0000ED3B0000}"/>
    <cellStyle name="40% - Accent2 2 7 2 2" xfId="2958" xr:uid="{00000000-0005-0000-0000-0000EE3B0000}"/>
    <cellStyle name="40% - Accent2 2 7 2 2 2" xfId="1452" xr:uid="{00000000-0005-0000-0000-0000EF3B0000}"/>
    <cellStyle name="40% - Accent2 2 7 2 2 2 2" xfId="17458" xr:uid="{00000000-0005-0000-0000-0000F03B0000}"/>
    <cellStyle name="40% - Accent2 2 7 2 2 3" xfId="1803" xr:uid="{00000000-0005-0000-0000-0000F13B0000}"/>
    <cellStyle name="40% - Accent2 2 7 2 3" xfId="2068" xr:uid="{00000000-0005-0000-0000-0000F23B0000}"/>
    <cellStyle name="40% - Accent2 2 7 2 3 2" xfId="1808" xr:uid="{00000000-0005-0000-0000-0000F33B0000}"/>
    <cellStyle name="40% - Accent2 2 7 2 4" xfId="28072" xr:uid="{00000000-0005-0000-0000-0000F43B0000}"/>
    <cellStyle name="40% - Accent2 2 7 3" xfId="2358" xr:uid="{00000000-0005-0000-0000-0000F53B0000}"/>
    <cellStyle name="40% - Accent2 2 7 3 2" xfId="2342" xr:uid="{00000000-0005-0000-0000-0000F63B0000}"/>
    <cellStyle name="40% - Accent2 2 7 3 2 2" xfId="12310" xr:uid="{00000000-0005-0000-0000-0000F73B0000}"/>
    <cellStyle name="40% - Accent2 2 7 3 3" xfId="2596" xr:uid="{00000000-0005-0000-0000-0000F83B0000}"/>
    <cellStyle name="40% - Accent2 2 7 4" xfId="3330" xr:uid="{00000000-0005-0000-0000-0000F93B0000}"/>
    <cellStyle name="40% - Accent2 2 7 4 2" xfId="27577" xr:uid="{00000000-0005-0000-0000-0000FA3B0000}"/>
    <cellStyle name="40% - Accent2 2 7 5" xfId="10992" xr:uid="{00000000-0005-0000-0000-0000FB3B0000}"/>
    <cellStyle name="40% - Accent2 2 8" xfId="17459" xr:uid="{00000000-0005-0000-0000-0000FC3B0000}"/>
    <cellStyle name="40% - Accent2 2 8 2" xfId="24941" xr:uid="{00000000-0005-0000-0000-0000FD3B0000}"/>
    <cellStyle name="40% - Accent2 2 8 2 2" xfId="1904" xr:uid="{00000000-0005-0000-0000-0000FE3B0000}"/>
    <cellStyle name="40% - Accent2 2 8 2 2 2" xfId="27114" xr:uid="{00000000-0005-0000-0000-0000FF3B0000}"/>
    <cellStyle name="40% - Accent2 2 8 2 3" xfId="4913" xr:uid="{00000000-0005-0000-0000-0000003C0000}"/>
    <cellStyle name="40% - Accent2 2 8 3" xfId="748" xr:uid="{00000000-0005-0000-0000-0000013C0000}"/>
    <cellStyle name="40% - Accent2 2 8 3 2" xfId="1907" xr:uid="{00000000-0005-0000-0000-0000023C0000}"/>
    <cellStyle name="40% - Accent2 2 8 4" xfId="3346" xr:uid="{00000000-0005-0000-0000-0000033C0000}"/>
    <cellStyle name="40% - Accent2 2 9" xfId="5693" xr:uid="{00000000-0005-0000-0000-0000043C0000}"/>
    <cellStyle name="40% - Accent2 2 9 2" xfId="475" xr:uid="{00000000-0005-0000-0000-0000053C0000}"/>
    <cellStyle name="40% - Accent2 2 9 2 2" xfId="1932" xr:uid="{00000000-0005-0000-0000-0000063C0000}"/>
    <cellStyle name="40% - Accent2 2 9 3" xfId="1937" xr:uid="{00000000-0005-0000-0000-0000073C0000}"/>
    <cellStyle name="40% - Accent2 3" xfId="4096" xr:uid="{00000000-0005-0000-0000-0000083C0000}"/>
    <cellStyle name="40% - Accent2 3 10" xfId="27332" xr:uid="{00000000-0005-0000-0000-0000093C0000}"/>
    <cellStyle name="40% - Accent2 3 2" xfId="1099" xr:uid="{00000000-0005-0000-0000-00000A3C0000}"/>
    <cellStyle name="40% - Accent2 3 2 2" xfId="794" xr:uid="{00000000-0005-0000-0000-00000B3C0000}"/>
    <cellStyle name="40% - Accent2 3 2 2 2" xfId="17461" xr:uid="{00000000-0005-0000-0000-00000C3C0000}"/>
    <cellStyle name="40% - Accent2 3 2 2 2 2" xfId="17462" xr:uid="{00000000-0005-0000-0000-00000D3C0000}"/>
    <cellStyle name="40% - Accent2 3 2 2 2 2 2" xfId="17463" xr:uid="{00000000-0005-0000-0000-00000E3C0000}"/>
    <cellStyle name="40% - Accent2 3 2 2 2 2 2 2" xfId="3787" xr:uid="{00000000-0005-0000-0000-00000F3C0000}"/>
    <cellStyle name="40% - Accent2 3 2 2 2 2 2 2 2" xfId="12181" xr:uid="{00000000-0005-0000-0000-0000103C0000}"/>
    <cellStyle name="40% - Accent2 3 2 2 2 2 2 2 2 2" xfId="7381" xr:uid="{00000000-0005-0000-0000-0000113C0000}"/>
    <cellStyle name="40% - Accent2 3 2 2 2 2 2 2 2 2 2" xfId="8102" xr:uid="{00000000-0005-0000-0000-0000123C0000}"/>
    <cellStyle name="40% - Accent2 3 2 2 2 2 2 2 2 3" xfId="11118" xr:uid="{00000000-0005-0000-0000-0000133C0000}"/>
    <cellStyle name="40% - Accent2 3 2 2 2 2 2 2 3" xfId="11927" xr:uid="{00000000-0005-0000-0000-0000143C0000}"/>
    <cellStyle name="40% - Accent2 3 2 2 2 2 2 2 3 2" xfId="11129" xr:uid="{00000000-0005-0000-0000-0000153C0000}"/>
    <cellStyle name="40% - Accent2 3 2 2 2 2 2 2 4" xfId="12676" xr:uid="{00000000-0005-0000-0000-0000163C0000}"/>
    <cellStyle name="40% - Accent2 3 2 2 2 2 2 3" xfId="17464" xr:uid="{00000000-0005-0000-0000-0000173C0000}"/>
    <cellStyle name="40% - Accent2 3 2 2 2 2 2 3 2" xfId="1069" xr:uid="{00000000-0005-0000-0000-0000183C0000}"/>
    <cellStyle name="40% - Accent2 3 2 2 2 2 2 3 2 2" xfId="10016" xr:uid="{00000000-0005-0000-0000-0000193C0000}"/>
    <cellStyle name="40% - Accent2 3 2 2 2 2 2 3 3" xfId="1621" xr:uid="{00000000-0005-0000-0000-00001A3C0000}"/>
    <cellStyle name="40% - Accent2 3 2 2 2 2 2 4" xfId="15089" xr:uid="{00000000-0005-0000-0000-00001B3C0000}"/>
    <cellStyle name="40% - Accent2 3 2 2 2 2 2 4 2" xfId="1637" xr:uid="{00000000-0005-0000-0000-00001C3C0000}"/>
    <cellStyle name="40% - Accent2 3 2 2 2 2 2 5" xfId="17465" xr:uid="{00000000-0005-0000-0000-00001D3C0000}"/>
    <cellStyle name="40% - Accent2 3 2 2 2 2 3" xfId="33066" xr:uid="{00000000-0005-0000-0000-00001E3C0000}"/>
    <cellStyle name="40% - Accent2 3 2 2 2 2 3 2" xfId="17466" xr:uid="{00000000-0005-0000-0000-00001F3C0000}"/>
    <cellStyle name="40% - Accent2 3 2 2 2 2 3 2 2" xfId="4952" xr:uid="{00000000-0005-0000-0000-0000203C0000}"/>
    <cellStyle name="40% - Accent2 3 2 2 2 2 3 2 2 2" xfId="11297" xr:uid="{00000000-0005-0000-0000-0000213C0000}"/>
    <cellStyle name="40% - Accent2 3 2 2 2 2 3 2 3" xfId="3635" xr:uid="{00000000-0005-0000-0000-0000223C0000}"/>
    <cellStyle name="40% - Accent2 3 2 2 2 2 3 3" xfId="17467" xr:uid="{00000000-0005-0000-0000-0000233C0000}"/>
    <cellStyle name="40% - Accent2 3 2 2 2 2 3 3 2" xfId="1660" xr:uid="{00000000-0005-0000-0000-0000243C0000}"/>
    <cellStyle name="40% - Accent2 3 2 2 2 2 3 4" xfId="17468" xr:uid="{00000000-0005-0000-0000-0000253C0000}"/>
    <cellStyle name="40% - Accent2 3 2 2 2 2 4" xfId="17359" xr:uid="{00000000-0005-0000-0000-0000263C0000}"/>
    <cellStyle name="40% - Accent2 3 2 2 2 2 4 2" xfId="17469" xr:uid="{00000000-0005-0000-0000-0000273C0000}"/>
    <cellStyle name="40% - Accent2 3 2 2 2 2 4 2 2" xfId="4196" xr:uid="{00000000-0005-0000-0000-0000283C0000}"/>
    <cellStyle name="40% - Accent2 3 2 2 2 2 4 3" xfId="17472" xr:uid="{00000000-0005-0000-0000-0000293C0000}"/>
    <cellStyle name="40% - Accent2 3 2 2 2 2 5" xfId="17365" xr:uid="{00000000-0005-0000-0000-00002A3C0000}"/>
    <cellStyle name="40% - Accent2 3 2 2 2 2 5 2" xfId="17474" xr:uid="{00000000-0005-0000-0000-00002B3C0000}"/>
    <cellStyle name="40% - Accent2 3 2 2 2 2 6" xfId="17375" xr:uid="{00000000-0005-0000-0000-00002C3C0000}"/>
    <cellStyle name="40% - Accent2 3 2 2 2 3" xfId="17476" xr:uid="{00000000-0005-0000-0000-00002D3C0000}"/>
    <cellStyle name="40% - Accent2 3 2 2 2 3 2" xfId="17477" xr:uid="{00000000-0005-0000-0000-00002E3C0000}"/>
    <cellStyle name="40% - Accent2 3 2 2 2 3 2 2" xfId="17478" xr:uid="{00000000-0005-0000-0000-00002F3C0000}"/>
    <cellStyle name="40% - Accent2 3 2 2 2 3 2 2 2" xfId="5835" xr:uid="{00000000-0005-0000-0000-0000303C0000}"/>
    <cellStyle name="40% - Accent2 3 2 2 2 3 2 2 2 2" xfId="15481" xr:uid="{00000000-0005-0000-0000-0000313C0000}"/>
    <cellStyle name="40% - Accent2 3 2 2 2 3 2 2 3" xfId="5844" xr:uid="{00000000-0005-0000-0000-0000323C0000}"/>
    <cellStyle name="40% - Accent2 3 2 2 2 3 2 3" xfId="32972" xr:uid="{00000000-0005-0000-0000-0000333C0000}"/>
    <cellStyle name="40% - Accent2 3 2 2 2 3 2 3 2" xfId="5858" xr:uid="{00000000-0005-0000-0000-0000343C0000}"/>
    <cellStyle name="40% - Accent2 3 2 2 2 3 2 4" xfId="17480" xr:uid="{00000000-0005-0000-0000-0000353C0000}"/>
    <cellStyle name="40% - Accent2 3 2 2 2 3 3" xfId="17482" xr:uid="{00000000-0005-0000-0000-0000363C0000}"/>
    <cellStyle name="40% - Accent2 3 2 2 2 3 3 2" xfId="17483" xr:uid="{00000000-0005-0000-0000-0000373C0000}"/>
    <cellStyle name="40% - Accent2 3 2 2 2 3 3 2 2" xfId="766" xr:uid="{00000000-0005-0000-0000-0000383C0000}"/>
    <cellStyle name="40% - Accent2 3 2 2 2 3 3 3" xfId="30750" xr:uid="{00000000-0005-0000-0000-0000393C0000}"/>
    <cellStyle name="40% - Accent2 3 2 2 2 3 4" xfId="17385" xr:uid="{00000000-0005-0000-0000-00003A3C0000}"/>
    <cellStyle name="40% - Accent2 3 2 2 2 3 4 2" xfId="17486" xr:uid="{00000000-0005-0000-0000-00003B3C0000}"/>
    <cellStyle name="40% - Accent2 3 2 2 2 3 5" xfId="17393" xr:uid="{00000000-0005-0000-0000-00003C3C0000}"/>
    <cellStyle name="40% - Accent2 3 2 2 2 4" xfId="17488" xr:uid="{00000000-0005-0000-0000-00003D3C0000}"/>
    <cellStyle name="40% - Accent2 3 2 2 2 4 2" xfId="17489" xr:uid="{00000000-0005-0000-0000-00003E3C0000}"/>
    <cellStyle name="40% - Accent2 3 2 2 2 4 2 2" xfId="17490" xr:uid="{00000000-0005-0000-0000-00003F3C0000}"/>
    <cellStyle name="40% - Accent2 3 2 2 2 4 2 2 2" xfId="6248" xr:uid="{00000000-0005-0000-0000-0000403C0000}"/>
    <cellStyle name="40% - Accent2 3 2 2 2 4 2 3" xfId="17492" xr:uid="{00000000-0005-0000-0000-0000413C0000}"/>
    <cellStyle name="40% - Accent2 3 2 2 2 4 3" xfId="2916" xr:uid="{00000000-0005-0000-0000-0000423C0000}"/>
    <cellStyle name="40% - Accent2 3 2 2 2 4 3 2" xfId="28346" xr:uid="{00000000-0005-0000-0000-0000433C0000}"/>
    <cellStyle name="40% - Accent2 3 2 2 2 4 4" xfId="17396" xr:uid="{00000000-0005-0000-0000-0000443C0000}"/>
    <cellStyle name="40% - Accent2 3 2 2 2 5" xfId="17493" xr:uid="{00000000-0005-0000-0000-0000453C0000}"/>
    <cellStyle name="40% - Accent2 3 2 2 2 5 2" xfId="17494" xr:uid="{00000000-0005-0000-0000-0000463C0000}"/>
    <cellStyle name="40% - Accent2 3 2 2 2 5 2 2" xfId="23113" xr:uid="{00000000-0005-0000-0000-0000473C0000}"/>
    <cellStyle name="40% - Accent2 3 2 2 2 5 3" xfId="17495" xr:uid="{00000000-0005-0000-0000-0000483C0000}"/>
    <cellStyle name="40% - Accent2 3 2 2 2 6" xfId="17496" xr:uid="{00000000-0005-0000-0000-0000493C0000}"/>
    <cellStyle name="40% - Accent2 3 2 2 2 6 2" xfId="17498" xr:uid="{00000000-0005-0000-0000-00004A3C0000}"/>
    <cellStyle name="40% - Accent2 3 2 2 2 7" xfId="17500" xr:uid="{00000000-0005-0000-0000-00004B3C0000}"/>
    <cellStyle name="40% - Accent2 3 2 2 3" xfId="19462" xr:uid="{00000000-0005-0000-0000-00004C3C0000}"/>
    <cellStyle name="40% - Accent2 3 2 2 3 2" xfId="17502" xr:uid="{00000000-0005-0000-0000-00004D3C0000}"/>
    <cellStyle name="40% - Accent2 3 2 2 3 2 2" xfId="17503" xr:uid="{00000000-0005-0000-0000-00004E3C0000}"/>
    <cellStyle name="40% - Accent2 3 2 2 3 2 2 2" xfId="16727" xr:uid="{00000000-0005-0000-0000-00004F3C0000}"/>
    <cellStyle name="40% - Accent2 3 2 2 3 2 2 2 2" xfId="7680" xr:uid="{00000000-0005-0000-0000-0000503C0000}"/>
    <cellStyle name="40% - Accent2 3 2 2 3 2 2 2 2 2" xfId="27418" xr:uid="{00000000-0005-0000-0000-0000513C0000}"/>
    <cellStyle name="40% - Accent2 3 2 2 3 2 2 2 3" xfId="7705" xr:uid="{00000000-0005-0000-0000-0000523C0000}"/>
    <cellStyle name="40% - Accent2 3 2 2 3 2 2 3" xfId="17504" xr:uid="{00000000-0005-0000-0000-0000533C0000}"/>
    <cellStyle name="40% - Accent2 3 2 2 3 2 2 3 2" xfId="22249" xr:uid="{00000000-0005-0000-0000-0000543C0000}"/>
    <cellStyle name="40% - Accent2 3 2 2 3 2 2 4" xfId="17506" xr:uid="{00000000-0005-0000-0000-0000553C0000}"/>
    <cellStyle name="40% - Accent2 3 2 2 3 2 3" xfId="5632" xr:uid="{00000000-0005-0000-0000-0000563C0000}"/>
    <cellStyle name="40% - Accent2 3 2 2 3 2 3 2" xfId="17507" xr:uid="{00000000-0005-0000-0000-0000573C0000}"/>
    <cellStyle name="40% - Accent2 3 2 2 3 2 3 2 2" xfId="5265" xr:uid="{00000000-0005-0000-0000-0000583C0000}"/>
    <cellStyle name="40% - Accent2 3 2 2 3 2 3 3" xfId="17509" xr:uid="{00000000-0005-0000-0000-0000593C0000}"/>
    <cellStyle name="40% - Accent2 3 2 2 3 2 4" xfId="22989" xr:uid="{00000000-0005-0000-0000-00005A3C0000}"/>
    <cellStyle name="40% - Accent2 3 2 2 3 2 4 2" xfId="17510" xr:uid="{00000000-0005-0000-0000-00005B3C0000}"/>
    <cellStyle name="40% - Accent2 3 2 2 3 2 5" xfId="31037" xr:uid="{00000000-0005-0000-0000-00005C3C0000}"/>
    <cellStyle name="40% - Accent2 3 2 2 3 3" xfId="17512" xr:uid="{00000000-0005-0000-0000-00005D3C0000}"/>
    <cellStyle name="40% - Accent2 3 2 2 3 3 2" xfId="17513" xr:uid="{00000000-0005-0000-0000-00005E3C0000}"/>
    <cellStyle name="40% - Accent2 3 2 2 3 3 2 2" xfId="39" xr:uid="{00000000-0005-0000-0000-00005F3C0000}"/>
    <cellStyle name="40% - Accent2 3 2 2 3 3 2 2 2" xfId="6859" xr:uid="{00000000-0005-0000-0000-0000603C0000}"/>
    <cellStyle name="40% - Accent2 3 2 2 3 3 2 3" xfId="3826" xr:uid="{00000000-0005-0000-0000-0000613C0000}"/>
    <cellStyle name="40% - Accent2 3 2 2 3 3 3" xfId="17514" xr:uid="{00000000-0005-0000-0000-0000623C0000}"/>
    <cellStyle name="40% - Accent2 3 2 2 3 3 3 2" xfId="428" xr:uid="{00000000-0005-0000-0000-0000633C0000}"/>
    <cellStyle name="40% - Accent2 3 2 2 3 3 4" xfId="19924" xr:uid="{00000000-0005-0000-0000-0000643C0000}"/>
    <cellStyle name="40% - Accent2 3 2 2 3 4" xfId="25745" xr:uid="{00000000-0005-0000-0000-0000653C0000}"/>
    <cellStyle name="40% - Accent2 3 2 2 3 4 2" xfId="17515" xr:uid="{00000000-0005-0000-0000-0000663C0000}"/>
    <cellStyle name="40% - Accent2 3 2 2 3 4 2 2" xfId="4702" xr:uid="{00000000-0005-0000-0000-0000673C0000}"/>
    <cellStyle name="40% - Accent2 3 2 2 3 4 3" xfId="17516" xr:uid="{00000000-0005-0000-0000-0000683C0000}"/>
    <cellStyle name="40% - Accent2 3 2 2 3 5" xfId="21749" xr:uid="{00000000-0005-0000-0000-0000693C0000}"/>
    <cellStyle name="40% - Accent2 3 2 2 3 5 2" xfId="17517" xr:uid="{00000000-0005-0000-0000-00006A3C0000}"/>
    <cellStyle name="40% - Accent2 3 2 2 3 6" xfId="25749" xr:uid="{00000000-0005-0000-0000-00006B3C0000}"/>
    <cellStyle name="40% - Accent2 3 2 2 4" xfId="17518" xr:uid="{00000000-0005-0000-0000-00006C3C0000}"/>
    <cellStyle name="40% - Accent2 3 2 2 4 2" xfId="17520" xr:uid="{00000000-0005-0000-0000-00006D3C0000}"/>
    <cellStyle name="40% - Accent2 3 2 2 4 2 2" xfId="17521" xr:uid="{00000000-0005-0000-0000-00006E3C0000}"/>
    <cellStyle name="40% - Accent2 3 2 2 4 2 2 2" xfId="23985" xr:uid="{00000000-0005-0000-0000-00006F3C0000}"/>
    <cellStyle name="40% - Accent2 3 2 2 4 2 2 2 2" xfId="2496" xr:uid="{00000000-0005-0000-0000-0000703C0000}"/>
    <cellStyle name="40% - Accent2 3 2 2 4 2 2 3" xfId="12182" xr:uid="{00000000-0005-0000-0000-0000713C0000}"/>
    <cellStyle name="40% - Accent2 3 2 2 4 2 3" xfId="17522" xr:uid="{00000000-0005-0000-0000-0000723C0000}"/>
    <cellStyle name="40% - Accent2 3 2 2 4 2 3 2" xfId="14508" xr:uid="{00000000-0005-0000-0000-0000733C0000}"/>
    <cellStyle name="40% - Accent2 3 2 2 4 2 4" xfId="30180" xr:uid="{00000000-0005-0000-0000-0000743C0000}"/>
    <cellStyle name="40% - Accent2 3 2 2 4 3" xfId="17523" xr:uid="{00000000-0005-0000-0000-0000753C0000}"/>
    <cellStyle name="40% - Accent2 3 2 2 4 3 2" xfId="17524" xr:uid="{00000000-0005-0000-0000-0000763C0000}"/>
    <cellStyle name="40% - Accent2 3 2 2 4 3 2 2" xfId="5954" xr:uid="{00000000-0005-0000-0000-0000773C0000}"/>
    <cellStyle name="40% - Accent2 3 2 2 4 3 3" xfId="17525" xr:uid="{00000000-0005-0000-0000-0000783C0000}"/>
    <cellStyle name="40% - Accent2 3 2 2 4 4" xfId="25753" xr:uid="{00000000-0005-0000-0000-0000793C0000}"/>
    <cellStyle name="40% - Accent2 3 2 2 4 4 2" xfId="17526" xr:uid="{00000000-0005-0000-0000-00007A3C0000}"/>
    <cellStyle name="40% - Accent2 3 2 2 4 5" xfId="18355" xr:uid="{00000000-0005-0000-0000-00007B3C0000}"/>
    <cellStyle name="40% - Accent2 3 2 2 5" xfId="27155" xr:uid="{00000000-0005-0000-0000-00007C3C0000}"/>
    <cellStyle name="40% - Accent2 3 2 2 5 2" xfId="25935" xr:uid="{00000000-0005-0000-0000-00007D3C0000}"/>
    <cellStyle name="40% - Accent2 3 2 2 5 2 2" xfId="19446" xr:uid="{00000000-0005-0000-0000-00007E3C0000}"/>
    <cellStyle name="40% - Accent2 3 2 2 5 2 2 2" xfId="94" xr:uid="{00000000-0005-0000-0000-00007F3C0000}"/>
    <cellStyle name="40% - Accent2 3 2 2 5 2 3" xfId="32516" xr:uid="{00000000-0005-0000-0000-0000803C0000}"/>
    <cellStyle name="40% - Accent2 3 2 2 5 3" xfId="33828" xr:uid="{00000000-0005-0000-0000-0000813C0000}"/>
    <cellStyle name="40% - Accent2 3 2 2 5 3 2" xfId="32632" xr:uid="{00000000-0005-0000-0000-0000823C0000}"/>
    <cellStyle name="40% - Accent2 3 2 2 5 4" xfId="25758" xr:uid="{00000000-0005-0000-0000-0000833C0000}"/>
    <cellStyle name="40% - Accent2 3 2 2 6" xfId="9690" xr:uid="{00000000-0005-0000-0000-0000843C0000}"/>
    <cellStyle name="40% - Accent2 3 2 2 6 2" xfId="32675" xr:uid="{00000000-0005-0000-0000-0000853C0000}"/>
    <cellStyle name="40% - Accent2 3 2 2 6 2 2" xfId="1550" xr:uid="{00000000-0005-0000-0000-0000863C0000}"/>
    <cellStyle name="40% - Accent2 3 2 2 6 3" xfId="755" xr:uid="{00000000-0005-0000-0000-0000873C0000}"/>
    <cellStyle name="40% - Accent2 3 2 2 7" xfId="1381" xr:uid="{00000000-0005-0000-0000-0000883C0000}"/>
    <cellStyle name="40% - Accent2 3 2 2 7 2" xfId="575" xr:uid="{00000000-0005-0000-0000-0000893C0000}"/>
    <cellStyle name="40% - Accent2 3 2 2 8" xfId="3301" xr:uid="{00000000-0005-0000-0000-00008A3C0000}"/>
    <cellStyle name="40% - Accent2 3 2 3" xfId="12285" xr:uid="{00000000-0005-0000-0000-00008B3C0000}"/>
    <cellStyle name="40% - Accent2 3 2 3 2" xfId="12925" xr:uid="{00000000-0005-0000-0000-00008C3C0000}"/>
    <cellStyle name="40% - Accent2 3 2 3 2 2" xfId="12564" xr:uid="{00000000-0005-0000-0000-00008D3C0000}"/>
    <cellStyle name="40% - Accent2 3 2 3 2 2 2" xfId="12566" xr:uid="{00000000-0005-0000-0000-00008E3C0000}"/>
    <cellStyle name="40% - Accent2 3 2 3 2 2 2 2" xfId="242" xr:uid="{00000000-0005-0000-0000-00008F3C0000}"/>
    <cellStyle name="40% - Accent2 3 2 3 2 2 2 2 2" xfId="13964" xr:uid="{00000000-0005-0000-0000-0000903C0000}"/>
    <cellStyle name="40% - Accent2 3 2 3 2 2 2 2 2 2" xfId="12735" xr:uid="{00000000-0005-0000-0000-0000913C0000}"/>
    <cellStyle name="40% - Accent2 3 2 3 2 2 2 2 3" xfId="13267" xr:uid="{00000000-0005-0000-0000-0000923C0000}"/>
    <cellStyle name="40% - Accent2 3 2 3 2 2 2 3" xfId="256" xr:uid="{00000000-0005-0000-0000-0000933C0000}"/>
    <cellStyle name="40% - Accent2 3 2 3 2 2 2 3 2" xfId="21401" xr:uid="{00000000-0005-0000-0000-0000943C0000}"/>
    <cellStyle name="40% - Accent2 3 2 3 2 2 2 4" xfId="17528" xr:uid="{00000000-0005-0000-0000-0000953C0000}"/>
    <cellStyle name="40% - Accent2 3 2 3 2 2 3" xfId="28969" xr:uid="{00000000-0005-0000-0000-0000963C0000}"/>
    <cellStyle name="40% - Accent2 3 2 3 2 2 3 2" xfId="14918" xr:uid="{00000000-0005-0000-0000-0000973C0000}"/>
    <cellStyle name="40% - Accent2 3 2 3 2 2 3 2 2" xfId="17704" xr:uid="{00000000-0005-0000-0000-0000983C0000}"/>
    <cellStyle name="40% - Accent2 3 2 3 2 2 3 3" xfId="19539" xr:uid="{00000000-0005-0000-0000-0000993C0000}"/>
    <cellStyle name="40% - Accent2 3 2 3 2 2 4" xfId="22142" xr:uid="{00000000-0005-0000-0000-00009A3C0000}"/>
    <cellStyle name="40% - Accent2 3 2 3 2 2 4 2" xfId="22920" xr:uid="{00000000-0005-0000-0000-00009B3C0000}"/>
    <cellStyle name="40% - Accent2 3 2 3 2 2 5" xfId="13132" xr:uid="{00000000-0005-0000-0000-00009C3C0000}"/>
    <cellStyle name="40% - Accent2 3 2 3 2 3" xfId="12904" xr:uid="{00000000-0005-0000-0000-00009D3C0000}"/>
    <cellStyle name="40% - Accent2 3 2 3 2 3 2" xfId="13134" xr:uid="{00000000-0005-0000-0000-00009E3C0000}"/>
    <cellStyle name="40% - Accent2 3 2 3 2 3 2 2" xfId="14925" xr:uid="{00000000-0005-0000-0000-00009F3C0000}"/>
    <cellStyle name="40% - Accent2 3 2 3 2 3 2 2 2" xfId="33612" xr:uid="{00000000-0005-0000-0000-0000A03C0000}"/>
    <cellStyle name="40% - Accent2 3 2 3 2 3 2 3" xfId="17531" xr:uid="{00000000-0005-0000-0000-0000A13C0000}"/>
    <cellStyle name="40% - Accent2 3 2 3 2 3 3" xfId="28982" xr:uid="{00000000-0005-0000-0000-0000A23C0000}"/>
    <cellStyle name="40% - Accent2 3 2 3 2 3 3 2" xfId="24377" xr:uid="{00000000-0005-0000-0000-0000A33C0000}"/>
    <cellStyle name="40% - Accent2 3 2 3 2 3 4" xfId="33083" xr:uid="{00000000-0005-0000-0000-0000A43C0000}"/>
    <cellStyle name="40% - Accent2 3 2 3 2 4" xfId="13138" xr:uid="{00000000-0005-0000-0000-0000A53C0000}"/>
    <cellStyle name="40% - Accent2 3 2 3 2 4 2" xfId="13143" xr:uid="{00000000-0005-0000-0000-0000A63C0000}"/>
    <cellStyle name="40% - Accent2 3 2 3 2 4 2 2" xfId="17532" xr:uid="{00000000-0005-0000-0000-0000A73C0000}"/>
    <cellStyle name="40% - Accent2 3 2 3 2 4 3" xfId="21169" xr:uid="{00000000-0005-0000-0000-0000A83C0000}"/>
    <cellStyle name="40% - Accent2 3 2 3 2 5" xfId="13060" xr:uid="{00000000-0005-0000-0000-0000A93C0000}"/>
    <cellStyle name="40% - Accent2 3 2 3 2 5 2" xfId="12493" xr:uid="{00000000-0005-0000-0000-0000AA3C0000}"/>
    <cellStyle name="40% - Accent2 3 2 3 2 6" xfId="13069" xr:uid="{00000000-0005-0000-0000-0000AB3C0000}"/>
    <cellStyle name="40% - Accent2 3 2 3 3" xfId="13097" xr:uid="{00000000-0005-0000-0000-0000AC3C0000}"/>
    <cellStyle name="40% - Accent2 3 2 3 3 2" xfId="3513" xr:uid="{00000000-0005-0000-0000-0000AD3C0000}"/>
    <cellStyle name="40% - Accent2 3 2 3 3 2 2" xfId="13152" xr:uid="{00000000-0005-0000-0000-0000AE3C0000}"/>
    <cellStyle name="40% - Accent2 3 2 3 3 2 2 2" xfId="14940" xr:uid="{00000000-0005-0000-0000-0000AF3C0000}"/>
    <cellStyle name="40% - Accent2 3 2 3 3 2 2 2 2" xfId="17533" xr:uid="{00000000-0005-0000-0000-0000B03C0000}"/>
    <cellStyle name="40% - Accent2 3 2 3 3 2 2 3" xfId="31452" xr:uid="{00000000-0005-0000-0000-0000B13C0000}"/>
    <cellStyle name="40% - Accent2 3 2 3 3 2 3" xfId="13155" xr:uid="{00000000-0005-0000-0000-0000B23C0000}"/>
    <cellStyle name="40% - Accent2 3 2 3 3 2 3 2" xfId="28352" xr:uid="{00000000-0005-0000-0000-0000B33C0000}"/>
    <cellStyle name="40% - Accent2 3 2 3 3 2 4" xfId="13156" xr:uid="{00000000-0005-0000-0000-0000B43C0000}"/>
    <cellStyle name="40% - Accent2 3 2 3 3 3" xfId="13177" xr:uid="{00000000-0005-0000-0000-0000B53C0000}"/>
    <cellStyle name="40% - Accent2 3 2 3 3 3 2" xfId="5337" xr:uid="{00000000-0005-0000-0000-0000B63C0000}"/>
    <cellStyle name="40% - Accent2 3 2 3 3 3 2 2" xfId="2205" xr:uid="{00000000-0005-0000-0000-0000B73C0000}"/>
    <cellStyle name="40% - Accent2 3 2 3 3 3 3" xfId="9494" xr:uid="{00000000-0005-0000-0000-0000B83C0000}"/>
    <cellStyle name="40% - Accent2 3 2 3 3 4" xfId="25766" xr:uid="{00000000-0005-0000-0000-0000B93C0000}"/>
    <cellStyle name="40% - Accent2 3 2 3 3 4 2" xfId="8938" xr:uid="{00000000-0005-0000-0000-0000BA3C0000}"/>
    <cellStyle name="40% - Accent2 3 2 3 3 5" xfId="25769" xr:uid="{00000000-0005-0000-0000-0000BB3C0000}"/>
    <cellStyle name="40% - Accent2 3 2 3 4" xfId="13882" xr:uid="{00000000-0005-0000-0000-0000BC3C0000}"/>
    <cellStyle name="40% - Accent2 3 2 3 4 2" xfId="13295" xr:uid="{00000000-0005-0000-0000-0000BD3C0000}"/>
    <cellStyle name="40% - Accent2 3 2 3 4 2 2" xfId="13303" xr:uid="{00000000-0005-0000-0000-0000BE3C0000}"/>
    <cellStyle name="40% - Accent2 3 2 3 4 2 2 2" xfId="7643" xr:uid="{00000000-0005-0000-0000-0000BF3C0000}"/>
    <cellStyle name="40% - Accent2 3 2 3 4 2 3" xfId="13161" xr:uid="{00000000-0005-0000-0000-0000C03C0000}"/>
    <cellStyle name="40% - Accent2 3 2 3 4 3" xfId="13330" xr:uid="{00000000-0005-0000-0000-0000C13C0000}"/>
    <cellStyle name="40% - Accent2 3 2 3 4 3 2" xfId="13337" xr:uid="{00000000-0005-0000-0000-0000C23C0000}"/>
    <cellStyle name="40% - Accent2 3 2 3 4 4" xfId="25772" xr:uid="{00000000-0005-0000-0000-0000C33C0000}"/>
    <cellStyle name="40% - Accent2 3 2 3 5" xfId="13890" xr:uid="{00000000-0005-0000-0000-0000C43C0000}"/>
    <cellStyle name="40% - Accent2 3 2 3 5 2" xfId="13162" xr:uid="{00000000-0005-0000-0000-0000C53C0000}"/>
    <cellStyle name="40% - Accent2 3 2 3 5 2 2" xfId="13165" xr:uid="{00000000-0005-0000-0000-0000C63C0000}"/>
    <cellStyle name="40% - Accent2 3 2 3 5 3" xfId="13167" xr:uid="{00000000-0005-0000-0000-0000C73C0000}"/>
    <cellStyle name="40% - Accent2 3 2 3 6" xfId="13172" xr:uid="{00000000-0005-0000-0000-0000C83C0000}"/>
    <cellStyle name="40% - Accent2 3 2 3 6 2" xfId="13173" xr:uid="{00000000-0005-0000-0000-0000C93C0000}"/>
    <cellStyle name="40% - Accent2 3 2 3 7" xfId="1263" xr:uid="{00000000-0005-0000-0000-0000CA3C0000}"/>
    <cellStyle name="40% - Accent2 3 2 4" xfId="12289" xr:uid="{00000000-0005-0000-0000-0000CB3C0000}"/>
    <cellStyle name="40% - Accent2 3 2 4 2" xfId="13425" xr:uid="{00000000-0005-0000-0000-0000CC3C0000}"/>
    <cellStyle name="40% - Accent2 3 2 4 2 2" xfId="13428" xr:uid="{00000000-0005-0000-0000-0000CD3C0000}"/>
    <cellStyle name="40% - Accent2 3 2 4 2 2 2" xfId="13432" xr:uid="{00000000-0005-0000-0000-0000CE3C0000}"/>
    <cellStyle name="40% - Accent2 3 2 4 2 2 2 2" xfId="14971" xr:uid="{00000000-0005-0000-0000-0000CF3C0000}"/>
    <cellStyle name="40% - Accent2 3 2 4 2 2 2 2 2" xfId="16939" xr:uid="{00000000-0005-0000-0000-0000D03C0000}"/>
    <cellStyle name="40% - Accent2 3 2 4 2 2 2 3" xfId="16944" xr:uid="{00000000-0005-0000-0000-0000D13C0000}"/>
    <cellStyle name="40% - Accent2 3 2 4 2 2 3" xfId="6257" xr:uid="{00000000-0005-0000-0000-0000D23C0000}"/>
    <cellStyle name="40% - Accent2 3 2 4 2 2 3 2" xfId="16970" xr:uid="{00000000-0005-0000-0000-0000D33C0000}"/>
    <cellStyle name="40% - Accent2 3 2 4 2 2 4" xfId="8376" xr:uid="{00000000-0005-0000-0000-0000D43C0000}"/>
    <cellStyle name="40% - Accent2 3 2 4 2 3" xfId="13191" xr:uid="{00000000-0005-0000-0000-0000D53C0000}"/>
    <cellStyle name="40% - Accent2 3 2 4 2 3 2" xfId="13585" xr:uid="{00000000-0005-0000-0000-0000D63C0000}"/>
    <cellStyle name="40% - Accent2 3 2 4 2 3 2 2" xfId="17001" xr:uid="{00000000-0005-0000-0000-0000D73C0000}"/>
    <cellStyle name="40% - Accent2 3 2 4 2 3 3" xfId="6861" xr:uid="{00000000-0005-0000-0000-0000D83C0000}"/>
    <cellStyle name="40% - Accent2 3 2 4 2 4" xfId="16884" xr:uid="{00000000-0005-0000-0000-0000D93C0000}"/>
    <cellStyle name="40% - Accent2 3 2 4 2 4 2" xfId="13195" xr:uid="{00000000-0005-0000-0000-0000DA3C0000}"/>
    <cellStyle name="40% - Accent2 3 2 4 2 5" xfId="1148" xr:uid="{00000000-0005-0000-0000-0000DB3C0000}"/>
    <cellStyle name="40% - Accent2 3 2 4 3" xfId="13317" xr:uid="{00000000-0005-0000-0000-0000DC3C0000}"/>
    <cellStyle name="40% - Accent2 3 2 4 3 2" xfId="13677" xr:uid="{00000000-0005-0000-0000-0000DD3C0000}"/>
    <cellStyle name="40% - Accent2 3 2 4 3 2 2" xfId="13682" xr:uid="{00000000-0005-0000-0000-0000DE3C0000}"/>
    <cellStyle name="40% - Accent2 3 2 4 3 2 2 2" xfId="17041" xr:uid="{00000000-0005-0000-0000-0000DF3C0000}"/>
    <cellStyle name="40% - Accent2 3 2 4 3 2 3" xfId="9139" xr:uid="{00000000-0005-0000-0000-0000E03C0000}"/>
    <cellStyle name="40% - Accent2 3 2 4 3 3" xfId="13198" xr:uid="{00000000-0005-0000-0000-0000E13C0000}"/>
    <cellStyle name="40% - Accent2 3 2 4 3 3 2" xfId="24746" xr:uid="{00000000-0005-0000-0000-0000E23C0000}"/>
    <cellStyle name="40% - Accent2 3 2 4 3 4" xfId="25781" xr:uid="{00000000-0005-0000-0000-0000E33C0000}"/>
    <cellStyle name="40% - Accent2 3 2 4 4" xfId="13320" xr:uid="{00000000-0005-0000-0000-0000E43C0000}"/>
    <cellStyle name="40% - Accent2 3 2 4 4 2" xfId="13778" xr:uid="{00000000-0005-0000-0000-0000E53C0000}"/>
    <cellStyle name="40% - Accent2 3 2 4 4 2 2" xfId="24799" xr:uid="{00000000-0005-0000-0000-0000E63C0000}"/>
    <cellStyle name="40% - Accent2 3 2 4 4 3" xfId="13202" xr:uid="{00000000-0005-0000-0000-0000E73C0000}"/>
    <cellStyle name="40% - Accent2 3 2 4 5" xfId="13205" xr:uid="{00000000-0005-0000-0000-0000E83C0000}"/>
    <cellStyle name="40% - Accent2 3 2 4 5 2" xfId="8433" xr:uid="{00000000-0005-0000-0000-0000E93C0000}"/>
    <cellStyle name="40% - Accent2 3 2 4 6" xfId="13207" xr:uid="{00000000-0005-0000-0000-0000EA3C0000}"/>
    <cellStyle name="40% - Accent2 3 2 5" xfId="13822" xr:uid="{00000000-0005-0000-0000-0000EB3C0000}"/>
    <cellStyle name="40% - Accent2 3 2 5 2" xfId="13825" xr:uid="{00000000-0005-0000-0000-0000EC3C0000}"/>
    <cellStyle name="40% - Accent2 3 2 5 2 2" xfId="13229" xr:uid="{00000000-0005-0000-0000-0000ED3C0000}"/>
    <cellStyle name="40% - Accent2 3 2 5 2 2 2" xfId="13828" xr:uid="{00000000-0005-0000-0000-0000EE3C0000}"/>
    <cellStyle name="40% - Accent2 3 2 5 2 2 2 2" xfId="17105" xr:uid="{00000000-0005-0000-0000-0000EF3C0000}"/>
    <cellStyle name="40% - Accent2 3 2 5 2 2 3" xfId="10492" xr:uid="{00000000-0005-0000-0000-0000F03C0000}"/>
    <cellStyle name="40% - Accent2 3 2 5 2 3" xfId="13239" xr:uid="{00000000-0005-0000-0000-0000F13C0000}"/>
    <cellStyle name="40% - Accent2 3 2 5 2 3 2" xfId="13246" xr:uid="{00000000-0005-0000-0000-0000F23C0000}"/>
    <cellStyle name="40% - Accent2 3 2 5 2 4" xfId="13250" xr:uid="{00000000-0005-0000-0000-0000F33C0000}"/>
    <cellStyle name="40% - Accent2 3 2 5 3" xfId="13324" xr:uid="{00000000-0005-0000-0000-0000F43C0000}"/>
    <cellStyle name="40% - Accent2 3 2 5 3 2" xfId="13254" xr:uid="{00000000-0005-0000-0000-0000F53C0000}"/>
    <cellStyle name="40% - Accent2 3 2 5 3 2 2" xfId="12193" xr:uid="{00000000-0005-0000-0000-0000F63C0000}"/>
    <cellStyle name="40% - Accent2 3 2 5 3 3" xfId="13260" xr:uid="{00000000-0005-0000-0000-0000F73C0000}"/>
    <cellStyle name="40% - Accent2 3 2 5 4" xfId="13965" xr:uid="{00000000-0005-0000-0000-0000F83C0000}"/>
    <cellStyle name="40% - Accent2 3 2 5 4 2" xfId="13969" xr:uid="{00000000-0005-0000-0000-0000F93C0000}"/>
    <cellStyle name="40% - Accent2 3 2 5 5" xfId="13263" xr:uid="{00000000-0005-0000-0000-0000FA3C0000}"/>
    <cellStyle name="40% - Accent2 3 2 6" xfId="14018" xr:uid="{00000000-0005-0000-0000-0000FB3C0000}"/>
    <cellStyle name="40% - Accent2 3 2 6 2" xfId="14435" xr:uid="{00000000-0005-0000-0000-0000FC3C0000}"/>
    <cellStyle name="40% - Accent2 3 2 6 2 2" xfId="13277" xr:uid="{00000000-0005-0000-0000-0000FD3C0000}"/>
    <cellStyle name="40% - Accent2 3 2 6 2 2 2" xfId="14045" xr:uid="{00000000-0005-0000-0000-0000FE3C0000}"/>
    <cellStyle name="40% - Accent2 3 2 6 2 3" xfId="8574" xr:uid="{00000000-0005-0000-0000-0000FF3C0000}"/>
    <cellStyle name="40% - Accent2 3 2 6 3" xfId="14086" xr:uid="{00000000-0005-0000-0000-0000003D0000}"/>
    <cellStyle name="40% - Accent2 3 2 6 3 2" xfId="14088" xr:uid="{00000000-0005-0000-0000-0000013D0000}"/>
    <cellStyle name="40% - Accent2 3 2 6 4" xfId="14119" xr:uid="{00000000-0005-0000-0000-0000023D0000}"/>
    <cellStyle name="40% - Accent2 3 2 7" xfId="17803" xr:uid="{00000000-0005-0000-0000-0000033D0000}"/>
    <cellStyle name="40% - Accent2 3 2 7 2" xfId="14166" xr:uid="{00000000-0005-0000-0000-0000043D0000}"/>
    <cellStyle name="40% - Accent2 3 2 7 2 2" xfId="14170" xr:uid="{00000000-0005-0000-0000-0000053D0000}"/>
    <cellStyle name="40% - Accent2 3 2 7 3" xfId="14183" xr:uid="{00000000-0005-0000-0000-0000063D0000}"/>
    <cellStyle name="40% - Accent2 3 2 8" xfId="24012" xr:uid="{00000000-0005-0000-0000-0000073D0000}"/>
    <cellStyle name="40% - Accent2 3 2 8 2" xfId="13285" xr:uid="{00000000-0005-0000-0000-0000083D0000}"/>
    <cellStyle name="40% - Accent2 3 2 9" xfId="28665" xr:uid="{00000000-0005-0000-0000-0000093D0000}"/>
    <cellStyle name="40% - Accent2 3 3" xfId="7059" xr:uid="{00000000-0005-0000-0000-00000A3D0000}"/>
    <cellStyle name="40% - Accent2 3 3 2" xfId="17535" xr:uid="{00000000-0005-0000-0000-00000B3D0000}"/>
    <cellStyle name="40% - Accent2 3 3 2 2" xfId="3246" xr:uid="{00000000-0005-0000-0000-00000C3D0000}"/>
    <cellStyle name="40% - Accent2 3 3 2 2 2" xfId="17536" xr:uid="{00000000-0005-0000-0000-00000D3D0000}"/>
    <cellStyle name="40% - Accent2 3 3 2 2 2 2" xfId="177" xr:uid="{00000000-0005-0000-0000-00000E3D0000}"/>
    <cellStyle name="40% - Accent2 3 3 2 2 2 2 2" xfId="17300" xr:uid="{00000000-0005-0000-0000-00000F3D0000}"/>
    <cellStyle name="40% - Accent2 3 3 2 2 2 2 2 2" xfId="23370" xr:uid="{00000000-0005-0000-0000-0000103D0000}"/>
    <cellStyle name="40% - Accent2 3 3 2 2 2 2 2 2 2" xfId="6578" xr:uid="{00000000-0005-0000-0000-0000113D0000}"/>
    <cellStyle name="40% - Accent2 3 3 2 2 2 2 2 3" xfId="17539" xr:uid="{00000000-0005-0000-0000-0000123D0000}"/>
    <cellStyle name="40% - Accent2 3 3 2 2 2 2 3" xfId="17543" xr:uid="{00000000-0005-0000-0000-0000133D0000}"/>
    <cellStyle name="40% - Accent2 3 3 2 2 2 2 3 2" xfId="17544" xr:uid="{00000000-0005-0000-0000-0000143D0000}"/>
    <cellStyle name="40% - Accent2 3 3 2 2 2 2 4" xfId="13341" xr:uid="{00000000-0005-0000-0000-0000153D0000}"/>
    <cellStyle name="40% - Accent2 3 3 2 2 2 3" xfId="1572" xr:uid="{00000000-0005-0000-0000-0000163D0000}"/>
    <cellStyle name="40% - Accent2 3 3 2 2 2 3 2" xfId="17555" xr:uid="{00000000-0005-0000-0000-0000173D0000}"/>
    <cellStyle name="40% - Accent2 3 3 2 2 2 3 2 2" xfId="17556" xr:uid="{00000000-0005-0000-0000-0000183D0000}"/>
    <cellStyle name="40% - Accent2 3 3 2 2 2 3 3" xfId="17560" xr:uid="{00000000-0005-0000-0000-0000193D0000}"/>
    <cellStyle name="40% - Accent2 3 3 2 2 2 4" xfId="17563" xr:uid="{00000000-0005-0000-0000-00001A3D0000}"/>
    <cellStyle name="40% - Accent2 3 3 2 2 2 4 2" xfId="17568" xr:uid="{00000000-0005-0000-0000-00001B3D0000}"/>
    <cellStyle name="40% - Accent2 3 3 2 2 2 5" xfId="17576" xr:uid="{00000000-0005-0000-0000-00001C3D0000}"/>
    <cellStyle name="40% - Accent2 3 3 2 2 3" xfId="17579" xr:uid="{00000000-0005-0000-0000-00001D3D0000}"/>
    <cellStyle name="40% - Accent2 3 3 2 2 3 2" xfId="1787" xr:uid="{00000000-0005-0000-0000-00001E3D0000}"/>
    <cellStyle name="40% - Accent2 3 3 2 2 3 2 2" xfId="17580" xr:uid="{00000000-0005-0000-0000-00001F3D0000}"/>
    <cellStyle name="40% - Accent2 3 3 2 2 3 2 2 2" xfId="30420" xr:uid="{00000000-0005-0000-0000-0000203D0000}"/>
    <cellStyle name="40% - Accent2 3 3 2 2 3 2 3" xfId="18494" xr:uid="{00000000-0005-0000-0000-0000213D0000}"/>
    <cellStyle name="40% - Accent2 3 3 2 2 3 3" xfId="27035" xr:uid="{00000000-0005-0000-0000-0000223D0000}"/>
    <cellStyle name="40% - Accent2 3 3 2 2 3 3 2" xfId="6387" xr:uid="{00000000-0005-0000-0000-0000233D0000}"/>
    <cellStyle name="40% - Accent2 3 3 2 2 3 4" xfId="27039" xr:uid="{00000000-0005-0000-0000-0000243D0000}"/>
    <cellStyle name="40% - Accent2 3 3 2 2 4" xfId="17586" xr:uid="{00000000-0005-0000-0000-0000253D0000}"/>
    <cellStyle name="40% - Accent2 3 3 2 2 4 2" xfId="17591" xr:uid="{00000000-0005-0000-0000-0000263D0000}"/>
    <cellStyle name="40% - Accent2 3 3 2 2 4 2 2" xfId="17592" xr:uid="{00000000-0005-0000-0000-0000273D0000}"/>
    <cellStyle name="40% - Accent2 3 3 2 2 4 3" xfId="17594" xr:uid="{00000000-0005-0000-0000-0000283D0000}"/>
    <cellStyle name="40% - Accent2 3 3 2 2 5" xfId="17595" xr:uid="{00000000-0005-0000-0000-0000293D0000}"/>
    <cellStyle name="40% - Accent2 3 3 2 2 5 2" xfId="17596" xr:uid="{00000000-0005-0000-0000-00002A3D0000}"/>
    <cellStyle name="40% - Accent2 3 3 2 2 6" xfId="17597" xr:uid="{00000000-0005-0000-0000-00002B3D0000}"/>
    <cellStyle name="40% - Accent2 3 3 2 3" xfId="17599" xr:uid="{00000000-0005-0000-0000-00002C3D0000}"/>
    <cellStyle name="40% - Accent2 3 3 2 3 2" xfId="17600" xr:uid="{00000000-0005-0000-0000-00002D3D0000}"/>
    <cellStyle name="40% - Accent2 3 3 2 3 2 2" xfId="188" xr:uid="{00000000-0005-0000-0000-00002E3D0000}"/>
    <cellStyle name="40% - Accent2 3 3 2 3 2 2 2" xfId="17601" xr:uid="{00000000-0005-0000-0000-00002F3D0000}"/>
    <cellStyle name="40% - Accent2 3 3 2 3 2 2 2 2" xfId="33547" xr:uid="{00000000-0005-0000-0000-0000303D0000}"/>
    <cellStyle name="40% - Accent2 3 3 2 3 2 2 3" xfId="17605" xr:uid="{00000000-0005-0000-0000-0000313D0000}"/>
    <cellStyle name="40% - Accent2 3 3 2 3 2 3" xfId="17606" xr:uid="{00000000-0005-0000-0000-0000323D0000}"/>
    <cellStyle name="40% - Accent2 3 3 2 3 2 3 2" xfId="17607" xr:uid="{00000000-0005-0000-0000-0000333D0000}"/>
    <cellStyle name="40% - Accent2 3 3 2 3 2 4" xfId="33883" xr:uid="{00000000-0005-0000-0000-0000343D0000}"/>
    <cellStyle name="40% - Accent2 3 3 2 3 3" xfId="687" xr:uid="{00000000-0005-0000-0000-0000353D0000}"/>
    <cellStyle name="40% - Accent2 3 3 2 3 3 2" xfId="17608" xr:uid="{00000000-0005-0000-0000-0000363D0000}"/>
    <cellStyle name="40% - Accent2 3 3 2 3 3 2 2" xfId="13989" xr:uid="{00000000-0005-0000-0000-0000373D0000}"/>
    <cellStyle name="40% - Accent2 3 3 2 3 3 3" xfId="17609" xr:uid="{00000000-0005-0000-0000-0000383D0000}"/>
    <cellStyle name="40% - Accent2 3 3 2 3 4" xfId="17612" xr:uid="{00000000-0005-0000-0000-0000393D0000}"/>
    <cellStyle name="40% - Accent2 3 3 2 3 4 2" xfId="17615" xr:uid="{00000000-0005-0000-0000-00003A3D0000}"/>
    <cellStyle name="40% - Accent2 3 3 2 3 5" xfId="25837" xr:uid="{00000000-0005-0000-0000-00003B3D0000}"/>
    <cellStyle name="40% - Accent2 3 3 2 4" xfId="17616" xr:uid="{00000000-0005-0000-0000-00003C3D0000}"/>
    <cellStyle name="40% - Accent2 3 3 2 4 2" xfId="628" xr:uid="{00000000-0005-0000-0000-00003D3D0000}"/>
    <cellStyle name="40% - Accent2 3 3 2 4 2 2" xfId="17618" xr:uid="{00000000-0005-0000-0000-00003E3D0000}"/>
    <cellStyle name="40% - Accent2 3 3 2 4 2 2 2" xfId="13325" xr:uid="{00000000-0005-0000-0000-00003F3D0000}"/>
    <cellStyle name="40% - Accent2 3 3 2 4 2 3" xfId="17619" xr:uid="{00000000-0005-0000-0000-0000403D0000}"/>
    <cellStyle name="40% - Accent2 3 3 2 4 3" xfId="441" xr:uid="{00000000-0005-0000-0000-0000413D0000}"/>
    <cellStyle name="40% - Accent2 3 3 2 4 3 2" xfId="17620" xr:uid="{00000000-0005-0000-0000-0000423D0000}"/>
    <cellStyle name="40% - Accent2 3 3 2 4 4" xfId="25841" xr:uid="{00000000-0005-0000-0000-0000433D0000}"/>
    <cellStyle name="40% - Accent2 3 3 2 5" xfId="17621" xr:uid="{00000000-0005-0000-0000-0000443D0000}"/>
    <cellStyle name="40% - Accent2 3 3 2 5 2" xfId="604" xr:uid="{00000000-0005-0000-0000-0000453D0000}"/>
    <cellStyle name="40% - Accent2 3 3 2 5 2 2" xfId="30443" xr:uid="{00000000-0005-0000-0000-0000463D0000}"/>
    <cellStyle name="40% - Accent2 3 3 2 5 3" xfId="30447" xr:uid="{00000000-0005-0000-0000-0000473D0000}"/>
    <cellStyle name="40% - Accent2 3 3 2 6" xfId="1424" xr:uid="{00000000-0005-0000-0000-0000483D0000}"/>
    <cellStyle name="40% - Accent2 3 3 2 6 2" xfId="2560" xr:uid="{00000000-0005-0000-0000-0000493D0000}"/>
    <cellStyle name="40% - Accent2 3 3 2 7" xfId="2580" xr:uid="{00000000-0005-0000-0000-00004A3D0000}"/>
    <cellStyle name="40% - Accent2 3 3 3" xfId="17623" xr:uid="{00000000-0005-0000-0000-00004B3D0000}"/>
    <cellStyle name="40% - Accent2 3 3 3 2" xfId="13158" xr:uid="{00000000-0005-0000-0000-00004C3D0000}"/>
    <cellStyle name="40% - Accent2 3 3 3 2 2" xfId="9006" xr:uid="{00000000-0005-0000-0000-00004D3D0000}"/>
    <cellStyle name="40% - Accent2 3 3 3 2 2 2" xfId="15171" xr:uid="{00000000-0005-0000-0000-00004E3D0000}"/>
    <cellStyle name="40% - Accent2 3 3 3 2 2 2 2" xfId="14999" xr:uid="{00000000-0005-0000-0000-00004F3D0000}"/>
    <cellStyle name="40% - Accent2 3 3 3 2 2 2 2 2" xfId="28152" xr:uid="{00000000-0005-0000-0000-0000503D0000}"/>
    <cellStyle name="40% - Accent2 3 3 3 2 2 2 3" xfId="17625" xr:uid="{00000000-0005-0000-0000-0000513D0000}"/>
    <cellStyle name="40% - Accent2 3 3 3 2 2 3" xfId="17627" xr:uid="{00000000-0005-0000-0000-0000523D0000}"/>
    <cellStyle name="40% - Accent2 3 3 3 2 2 3 2" xfId="17629" xr:uid="{00000000-0005-0000-0000-0000533D0000}"/>
    <cellStyle name="40% - Accent2 3 3 3 2 2 4" xfId="17630" xr:uid="{00000000-0005-0000-0000-0000543D0000}"/>
    <cellStyle name="40% - Accent2 3 3 3 2 3" xfId="9973" xr:uid="{00000000-0005-0000-0000-0000553D0000}"/>
    <cellStyle name="40% - Accent2 3 3 3 2 3 2" xfId="12293" xr:uid="{00000000-0005-0000-0000-0000563D0000}"/>
    <cellStyle name="40% - Accent2 3 3 3 2 3 2 2" xfId="17636" xr:uid="{00000000-0005-0000-0000-0000573D0000}"/>
    <cellStyle name="40% - Accent2 3 3 3 2 3 3" xfId="12335" xr:uid="{00000000-0005-0000-0000-0000583D0000}"/>
    <cellStyle name="40% - Accent2 3 3 3 2 4" xfId="17637" xr:uid="{00000000-0005-0000-0000-0000593D0000}"/>
    <cellStyle name="40% - Accent2 3 3 3 2 4 2" xfId="12414" xr:uid="{00000000-0005-0000-0000-00005A3D0000}"/>
    <cellStyle name="40% - Accent2 3 3 3 2 5" xfId="17639" xr:uid="{00000000-0005-0000-0000-00005B3D0000}"/>
    <cellStyle name="40% - Accent2 3 3 3 3" xfId="17641" xr:uid="{00000000-0005-0000-0000-00005C3D0000}"/>
    <cellStyle name="40% - Accent2 3 3 3 3 2" xfId="9978" xr:uid="{00000000-0005-0000-0000-00005D3D0000}"/>
    <cellStyle name="40% - Accent2 3 3 3 3 2 2" xfId="14349" xr:uid="{00000000-0005-0000-0000-00005E3D0000}"/>
    <cellStyle name="40% - Accent2 3 3 3 3 2 2 2" xfId="17643" xr:uid="{00000000-0005-0000-0000-00005F3D0000}"/>
    <cellStyle name="40% - Accent2 3 3 3 3 2 3" xfId="17644" xr:uid="{00000000-0005-0000-0000-0000603D0000}"/>
    <cellStyle name="40% - Accent2 3 3 3 3 3" xfId="17648" xr:uid="{00000000-0005-0000-0000-0000613D0000}"/>
    <cellStyle name="40% - Accent2 3 3 3 3 3 2" xfId="14367" xr:uid="{00000000-0005-0000-0000-0000623D0000}"/>
    <cellStyle name="40% - Accent2 3 3 3 3 4" xfId="25847" xr:uid="{00000000-0005-0000-0000-0000633D0000}"/>
    <cellStyle name="40% - Accent2 3 3 3 4" xfId="17654" xr:uid="{00000000-0005-0000-0000-0000643D0000}"/>
    <cellStyle name="40% - Accent2 3 3 3 4 2" xfId="13327" xr:uid="{00000000-0005-0000-0000-0000653D0000}"/>
    <cellStyle name="40% - Accent2 3 3 3 4 2 2" xfId="17656" xr:uid="{00000000-0005-0000-0000-0000663D0000}"/>
    <cellStyle name="40% - Accent2 3 3 3 4 3" xfId="17659" xr:uid="{00000000-0005-0000-0000-0000673D0000}"/>
    <cellStyle name="40% - Accent2 3 3 3 5" xfId="17662" xr:uid="{00000000-0005-0000-0000-0000683D0000}"/>
    <cellStyle name="40% - Accent2 3 3 3 5 2" xfId="17665" xr:uid="{00000000-0005-0000-0000-0000693D0000}"/>
    <cellStyle name="40% - Accent2 3 3 3 6" xfId="13328" xr:uid="{00000000-0005-0000-0000-00006A3D0000}"/>
    <cellStyle name="40% - Accent2 3 3 4" xfId="17667" xr:uid="{00000000-0005-0000-0000-00006B3D0000}"/>
    <cellStyle name="40% - Accent2 3 3 4 2" xfId="17668" xr:uid="{00000000-0005-0000-0000-00006C3D0000}"/>
    <cellStyle name="40% - Accent2 3 3 4 2 2" xfId="9981" xr:uid="{00000000-0005-0000-0000-00006D3D0000}"/>
    <cellStyle name="40% - Accent2 3 3 4 2 2 2" xfId="17671" xr:uid="{00000000-0005-0000-0000-00006E3D0000}"/>
    <cellStyle name="40% - Accent2 3 3 4 2 2 2 2" xfId="17217" xr:uid="{00000000-0005-0000-0000-00006F3D0000}"/>
    <cellStyle name="40% - Accent2 3 3 4 2 2 3" xfId="17672" xr:uid="{00000000-0005-0000-0000-0000703D0000}"/>
    <cellStyle name="40% - Accent2 3 3 4 2 3" xfId="17674" xr:uid="{00000000-0005-0000-0000-0000713D0000}"/>
    <cellStyle name="40% - Accent2 3 3 4 2 3 2" xfId="7033" xr:uid="{00000000-0005-0000-0000-0000723D0000}"/>
    <cellStyle name="40% - Accent2 3 3 4 2 4" xfId="13352" xr:uid="{00000000-0005-0000-0000-0000733D0000}"/>
    <cellStyle name="40% - Accent2 3 3 4 3" xfId="17677" xr:uid="{00000000-0005-0000-0000-0000743D0000}"/>
    <cellStyle name="40% - Accent2 3 3 4 3 2" xfId="17679" xr:uid="{00000000-0005-0000-0000-0000753D0000}"/>
    <cellStyle name="40% - Accent2 3 3 4 3 2 2" xfId="22003" xr:uid="{00000000-0005-0000-0000-0000763D0000}"/>
    <cellStyle name="40% - Accent2 3 3 4 3 3" xfId="17681" xr:uid="{00000000-0005-0000-0000-0000773D0000}"/>
    <cellStyle name="40% - Accent2 3 3 4 4" xfId="17683" xr:uid="{00000000-0005-0000-0000-0000783D0000}"/>
    <cellStyle name="40% - Accent2 3 3 4 4 2" xfId="17685" xr:uid="{00000000-0005-0000-0000-0000793D0000}"/>
    <cellStyle name="40% - Accent2 3 3 4 5" xfId="17687" xr:uid="{00000000-0005-0000-0000-00007A3D0000}"/>
    <cellStyle name="40% - Accent2 3 3 5" xfId="8874" xr:uid="{00000000-0005-0000-0000-00007B3D0000}"/>
    <cellStyle name="40% - Accent2 3 3 5 2" xfId="17690" xr:uid="{00000000-0005-0000-0000-00007C3D0000}"/>
    <cellStyle name="40% - Accent2 3 3 5 2 2" xfId="17692" xr:uid="{00000000-0005-0000-0000-00007D3D0000}"/>
    <cellStyle name="40% - Accent2 3 3 5 2 2 2" xfId="17695" xr:uid="{00000000-0005-0000-0000-00007E3D0000}"/>
    <cellStyle name="40% - Accent2 3 3 5 2 3" xfId="17697" xr:uid="{00000000-0005-0000-0000-00007F3D0000}"/>
    <cellStyle name="40% - Accent2 3 3 5 3" xfId="17700" xr:uid="{00000000-0005-0000-0000-0000803D0000}"/>
    <cellStyle name="40% - Accent2 3 3 5 3 2" xfId="17702" xr:uid="{00000000-0005-0000-0000-0000813D0000}"/>
    <cellStyle name="40% - Accent2 3 3 5 4" xfId="17707" xr:uid="{00000000-0005-0000-0000-0000823D0000}"/>
    <cellStyle name="40% - Accent2 3 3 6" xfId="15052" xr:uid="{00000000-0005-0000-0000-0000833D0000}"/>
    <cellStyle name="40% - Accent2 3 3 6 2" xfId="13377" xr:uid="{00000000-0005-0000-0000-0000843D0000}"/>
    <cellStyle name="40% - Accent2 3 3 6 2 2" xfId="17711" xr:uid="{00000000-0005-0000-0000-0000853D0000}"/>
    <cellStyle name="40% - Accent2 3 3 6 3" xfId="17715" xr:uid="{00000000-0005-0000-0000-0000863D0000}"/>
    <cellStyle name="40% - Accent2 3 3 7" xfId="14258" xr:uid="{00000000-0005-0000-0000-0000873D0000}"/>
    <cellStyle name="40% - Accent2 3 3 7 2" xfId="13384" xr:uid="{00000000-0005-0000-0000-0000883D0000}"/>
    <cellStyle name="40% - Accent2 3 3 8" xfId="18188" xr:uid="{00000000-0005-0000-0000-0000893D0000}"/>
    <cellStyle name="40% - Accent2 3 4" xfId="17717" xr:uid="{00000000-0005-0000-0000-00008A3D0000}"/>
    <cellStyle name="40% - Accent2 3 4 2" xfId="17126" xr:uid="{00000000-0005-0000-0000-00008B3D0000}"/>
    <cellStyle name="40% - Accent2 3 4 2 2" xfId="17718" xr:uid="{00000000-0005-0000-0000-00008C3D0000}"/>
    <cellStyle name="40% - Accent2 3 4 2 2 2" xfId="17720" xr:uid="{00000000-0005-0000-0000-00008D3D0000}"/>
    <cellStyle name="40% - Accent2 3 4 2 2 2 2" xfId="13034" xr:uid="{00000000-0005-0000-0000-00008E3D0000}"/>
    <cellStyle name="40% - Accent2 3 4 2 2 2 2 2" xfId="16819" xr:uid="{00000000-0005-0000-0000-00008F3D0000}"/>
    <cellStyle name="40% - Accent2 3 4 2 2 2 2 2 2" xfId="6229" xr:uid="{00000000-0005-0000-0000-0000903D0000}"/>
    <cellStyle name="40% - Accent2 3 4 2 2 2 2 3" xfId="17721" xr:uid="{00000000-0005-0000-0000-0000913D0000}"/>
    <cellStyle name="40% - Accent2 3 4 2 2 2 3" xfId="16001" xr:uid="{00000000-0005-0000-0000-0000923D0000}"/>
    <cellStyle name="40% - Accent2 3 4 2 2 2 3 2" xfId="27732" xr:uid="{00000000-0005-0000-0000-0000933D0000}"/>
    <cellStyle name="40% - Accent2 3 4 2 2 2 4" xfId="17722" xr:uid="{00000000-0005-0000-0000-0000943D0000}"/>
    <cellStyle name="40% - Accent2 3 4 2 2 3" xfId="17728" xr:uid="{00000000-0005-0000-0000-0000953D0000}"/>
    <cellStyle name="40% - Accent2 3 4 2 2 3 2" xfId="24933" xr:uid="{00000000-0005-0000-0000-0000963D0000}"/>
    <cellStyle name="40% - Accent2 3 4 2 2 3 2 2" xfId="24937" xr:uid="{00000000-0005-0000-0000-0000973D0000}"/>
    <cellStyle name="40% - Accent2 3 4 2 2 3 3" xfId="29069" xr:uid="{00000000-0005-0000-0000-0000983D0000}"/>
    <cellStyle name="40% - Accent2 3 4 2 2 4" xfId="17729" xr:uid="{00000000-0005-0000-0000-0000993D0000}"/>
    <cellStyle name="40% - Accent2 3 4 2 2 4 2" xfId="17730" xr:uid="{00000000-0005-0000-0000-00009A3D0000}"/>
    <cellStyle name="40% - Accent2 3 4 2 2 5" xfId="17731" xr:uid="{00000000-0005-0000-0000-00009B3D0000}"/>
    <cellStyle name="40% - Accent2 3 4 2 3" xfId="17732" xr:uid="{00000000-0005-0000-0000-00009C3D0000}"/>
    <cellStyle name="40% - Accent2 3 4 2 3 2" xfId="17735" xr:uid="{00000000-0005-0000-0000-00009D3D0000}"/>
    <cellStyle name="40% - Accent2 3 4 2 3 2 2" xfId="23229" xr:uid="{00000000-0005-0000-0000-00009E3D0000}"/>
    <cellStyle name="40% - Accent2 3 4 2 3 2 2 2" xfId="6820" xr:uid="{00000000-0005-0000-0000-00009F3D0000}"/>
    <cellStyle name="40% - Accent2 3 4 2 3 2 3" xfId="27699" xr:uid="{00000000-0005-0000-0000-0000A03D0000}"/>
    <cellStyle name="40% - Accent2 3 4 2 3 3" xfId="17737" xr:uid="{00000000-0005-0000-0000-0000A13D0000}"/>
    <cellStyle name="40% - Accent2 3 4 2 3 3 2" xfId="22216" xr:uid="{00000000-0005-0000-0000-0000A23D0000}"/>
    <cellStyle name="40% - Accent2 3 4 2 3 4" xfId="25871" xr:uid="{00000000-0005-0000-0000-0000A33D0000}"/>
    <cellStyle name="40% - Accent2 3 4 2 4" xfId="17739" xr:uid="{00000000-0005-0000-0000-0000A43D0000}"/>
    <cellStyle name="40% - Accent2 3 4 2 4 2" xfId="5162" xr:uid="{00000000-0005-0000-0000-0000A53D0000}"/>
    <cellStyle name="40% - Accent2 3 4 2 4 2 2" xfId="6734" xr:uid="{00000000-0005-0000-0000-0000A63D0000}"/>
    <cellStyle name="40% - Accent2 3 4 2 4 3" xfId="17741" xr:uid="{00000000-0005-0000-0000-0000A73D0000}"/>
    <cellStyle name="40% - Accent2 3 4 2 5" xfId="22225" xr:uid="{00000000-0005-0000-0000-0000A83D0000}"/>
    <cellStyle name="40% - Accent2 3 4 2 5 2" xfId="32401" xr:uid="{00000000-0005-0000-0000-0000A93D0000}"/>
    <cellStyle name="40% - Accent2 3 4 2 6" xfId="22226" xr:uid="{00000000-0005-0000-0000-0000AA3D0000}"/>
    <cellStyle name="40% - Accent2 3 4 3" xfId="17746" xr:uid="{00000000-0005-0000-0000-0000AB3D0000}"/>
    <cellStyle name="40% - Accent2 3 4 3 2" xfId="4449" xr:uid="{00000000-0005-0000-0000-0000AC3D0000}"/>
    <cellStyle name="40% - Accent2 3 4 3 2 2" xfId="5495" xr:uid="{00000000-0005-0000-0000-0000AD3D0000}"/>
    <cellStyle name="40% - Accent2 3 4 3 2 2 2" xfId="16089" xr:uid="{00000000-0005-0000-0000-0000AE3D0000}"/>
    <cellStyle name="40% - Accent2 3 4 3 2 2 2 2" xfId="323" xr:uid="{00000000-0005-0000-0000-0000AF3D0000}"/>
    <cellStyle name="40% - Accent2 3 4 3 2 2 3" xfId="17750" xr:uid="{00000000-0005-0000-0000-0000B03D0000}"/>
    <cellStyle name="40% - Accent2 3 4 3 2 3" xfId="17752" xr:uid="{00000000-0005-0000-0000-0000B13D0000}"/>
    <cellStyle name="40% - Accent2 3 4 3 2 3 2" xfId="12198" xr:uid="{00000000-0005-0000-0000-0000B23D0000}"/>
    <cellStyle name="40% - Accent2 3 4 3 2 4" xfId="17754" xr:uid="{00000000-0005-0000-0000-0000B33D0000}"/>
    <cellStyle name="40% - Accent2 3 4 3 3" xfId="17758" xr:uid="{00000000-0005-0000-0000-0000B43D0000}"/>
    <cellStyle name="40% - Accent2 3 4 3 3 2" xfId="17760" xr:uid="{00000000-0005-0000-0000-0000B53D0000}"/>
    <cellStyle name="40% - Accent2 3 4 3 3 2 2" xfId="15433" xr:uid="{00000000-0005-0000-0000-0000B63D0000}"/>
    <cellStyle name="40% - Accent2 3 4 3 3 3" xfId="17762" xr:uid="{00000000-0005-0000-0000-0000B73D0000}"/>
    <cellStyle name="40% - Accent2 3 4 3 4" xfId="17764" xr:uid="{00000000-0005-0000-0000-0000B83D0000}"/>
    <cellStyle name="40% - Accent2 3 4 3 4 2" xfId="17770" xr:uid="{00000000-0005-0000-0000-0000B93D0000}"/>
    <cellStyle name="40% - Accent2 3 4 3 5" xfId="22236" xr:uid="{00000000-0005-0000-0000-0000BA3D0000}"/>
    <cellStyle name="40% - Accent2 3 4 4" xfId="17772" xr:uid="{00000000-0005-0000-0000-0000BB3D0000}"/>
    <cellStyle name="40% - Accent2 3 4 4 2" xfId="17775" xr:uid="{00000000-0005-0000-0000-0000BC3D0000}"/>
    <cellStyle name="40% - Accent2 3 4 4 2 2" xfId="17778" xr:uid="{00000000-0005-0000-0000-0000BD3D0000}"/>
    <cellStyle name="40% - Accent2 3 4 4 2 2 2" xfId="17780" xr:uid="{00000000-0005-0000-0000-0000BE3D0000}"/>
    <cellStyle name="40% - Accent2 3 4 4 2 3" xfId="17783" xr:uid="{00000000-0005-0000-0000-0000BF3D0000}"/>
    <cellStyle name="40% - Accent2 3 4 4 3" xfId="17785" xr:uid="{00000000-0005-0000-0000-0000C03D0000}"/>
    <cellStyle name="40% - Accent2 3 4 4 3 2" xfId="17788" xr:uid="{00000000-0005-0000-0000-0000C13D0000}"/>
    <cellStyle name="40% - Accent2 3 4 4 4" xfId="11874" xr:uid="{00000000-0005-0000-0000-0000C23D0000}"/>
    <cellStyle name="40% - Accent2 3 4 5" xfId="28936" xr:uid="{00000000-0005-0000-0000-0000C33D0000}"/>
    <cellStyle name="40% - Accent2 3 4 5 2" xfId="17792" xr:uid="{00000000-0005-0000-0000-0000C43D0000}"/>
    <cellStyle name="40% - Accent2 3 4 5 2 2" xfId="17794" xr:uid="{00000000-0005-0000-0000-0000C53D0000}"/>
    <cellStyle name="40% - Accent2 3 4 5 3" xfId="17797" xr:uid="{00000000-0005-0000-0000-0000C63D0000}"/>
    <cellStyle name="40% - Accent2 3 4 6" xfId="15063" xr:uid="{00000000-0005-0000-0000-0000C73D0000}"/>
    <cellStyle name="40% - Accent2 3 4 6 2" xfId="17806" xr:uid="{00000000-0005-0000-0000-0000C83D0000}"/>
    <cellStyle name="40% - Accent2 3 4 7" xfId="13812" xr:uid="{00000000-0005-0000-0000-0000C93D0000}"/>
    <cellStyle name="40% - Accent2 3 5" xfId="17808" xr:uid="{00000000-0005-0000-0000-0000CA3D0000}"/>
    <cellStyle name="40% - Accent2 3 5 2" xfId="32085" xr:uid="{00000000-0005-0000-0000-0000CB3D0000}"/>
    <cellStyle name="40% - Accent2 3 5 2 2" xfId="17809" xr:uid="{00000000-0005-0000-0000-0000CC3D0000}"/>
    <cellStyle name="40% - Accent2 3 5 2 2 2" xfId="17811" xr:uid="{00000000-0005-0000-0000-0000CD3D0000}"/>
    <cellStyle name="40% - Accent2 3 5 2 2 2 2" xfId="1091" xr:uid="{00000000-0005-0000-0000-0000CE3D0000}"/>
    <cellStyle name="40% - Accent2 3 5 2 2 2 2 2" xfId="17813" xr:uid="{00000000-0005-0000-0000-0000CF3D0000}"/>
    <cellStyle name="40% - Accent2 3 5 2 2 2 3" xfId="1105" xr:uid="{00000000-0005-0000-0000-0000D03D0000}"/>
    <cellStyle name="40% - Accent2 3 5 2 2 3" xfId="17817" xr:uid="{00000000-0005-0000-0000-0000D13D0000}"/>
    <cellStyle name="40% - Accent2 3 5 2 2 3 2" xfId="6185" xr:uid="{00000000-0005-0000-0000-0000D23D0000}"/>
    <cellStyle name="40% - Accent2 3 5 2 2 4" xfId="17818" xr:uid="{00000000-0005-0000-0000-0000D33D0000}"/>
    <cellStyle name="40% - Accent2 3 5 2 3" xfId="17819" xr:uid="{00000000-0005-0000-0000-0000D43D0000}"/>
    <cellStyle name="40% - Accent2 3 5 2 3 2" xfId="26951" xr:uid="{00000000-0005-0000-0000-0000D53D0000}"/>
    <cellStyle name="40% - Accent2 3 5 2 3 2 2" xfId="26337" xr:uid="{00000000-0005-0000-0000-0000D63D0000}"/>
    <cellStyle name="40% - Accent2 3 5 2 3 3" xfId="29709" xr:uid="{00000000-0005-0000-0000-0000D73D0000}"/>
    <cellStyle name="40% - Accent2 3 5 2 4" xfId="14951" xr:uid="{00000000-0005-0000-0000-0000D83D0000}"/>
    <cellStyle name="40% - Accent2 3 5 2 4 2" xfId="17822" xr:uid="{00000000-0005-0000-0000-0000D93D0000}"/>
    <cellStyle name="40% - Accent2 3 5 2 5" xfId="22244" xr:uid="{00000000-0005-0000-0000-0000DA3D0000}"/>
    <cellStyle name="40% - Accent2 3 5 3" xfId="17823" xr:uid="{00000000-0005-0000-0000-0000DB3D0000}"/>
    <cellStyle name="40% - Accent2 3 5 3 2" xfId="17829" xr:uid="{00000000-0005-0000-0000-0000DC3D0000}"/>
    <cellStyle name="40% - Accent2 3 5 3 2 2" xfId="17566" xr:uid="{00000000-0005-0000-0000-0000DD3D0000}"/>
    <cellStyle name="40% - Accent2 3 5 3 2 2 2" xfId="17834" xr:uid="{00000000-0005-0000-0000-0000DE3D0000}"/>
    <cellStyle name="40% - Accent2 3 5 3 2 3" xfId="17573" xr:uid="{00000000-0005-0000-0000-0000DF3D0000}"/>
    <cellStyle name="40% - Accent2 3 5 3 3" xfId="17837" xr:uid="{00000000-0005-0000-0000-0000E03D0000}"/>
    <cellStyle name="40% - Accent2 3 5 3 3 2" xfId="17581" xr:uid="{00000000-0005-0000-0000-0000E13D0000}"/>
    <cellStyle name="40% - Accent2 3 5 3 4" xfId="22255" xr:uid="{00000000-0005-0000-0000-0000E23D0000}"/>
    <cellStyle name="40% - Accent2 3 5 4" xfId="17841" xr:uid="{00000000-0005-0000-0000-0000E33D0000}"/>
    <cellStyle name="40% - Accent2 3 5 4 2" xfId="23031" xr:uid="{00000000-0005-0000-0000-0000E43D0000}"/>
    <cellStyle name="40% - Accent2 3 5 4 2 2" xfId="27229" xr:uid="{00000000-0005-0000-0000-0000E53D0000}"/>
    <cellStyle name="40% - Accent2 3 5 4 3" xfId="27254" xr:uid="{00000000-0005-0000-0000-0000E63D0000}"/>
    <cellStyle name="40% - Accent2 3 5 5" xfId="15188" xr:uid="{00000000-0005-0000-0000-0000E73D0000}"/>
    <cellStyle name="40% - Accent2 3 5 5 2" xfId="21489" xr:uid="{00000000-0005-0000-0000-0000E83D0000}"/>
    <cellStyle name="40% - Accent2 3 5 6" xfId="24832" xr:uid="{00000000-0005-0000-0000-0000E93D0000}"/>
    <cellStyle name="40% - Accent2 3 6" xfId="17850" xr:uid="{00000000-0005-0000-0000-0000EA3D0000}"/>
    <cellStyle name="40% - Accent2 3 6 2" xfId="17852" xr:uid="{00000000-0005-0000-0000-0000EB3D0000}"/>
    <cellStyle name="40% - Accent2 3 6 2 2" xfId="17854" xr:uid="{00000000-0005-0000-0000-0000EC3D0000}"/>
    <cellStyle name="40% - Accent2 3 6 2 2 2" xfId="17856" xr:uid="{00000000-0005-0000-0000-0000ED3D0000}"/>
    <cellStyle name="40% - Accent2 3 6 2 2 2 2" xfId="17857" xr:uid="{00000000-0005-0000-0000-0000EE3D0000}"/>
    <cellStyle name="40% - Accent2 3 6 2 2 3" xfId="17858" xr:uid="{00000000-0005-0000-0000-0000EF3D0000}"/>
    <cellStyle name="40% - Accent2 3 6 2 3" xfId="17859" xr:uid="{00000000-0005-0000-0000-0000F03D0000}"/>
    <cellStyle name="40% - Accent2 3 6 2 3 2" xfId="17862" xr:uid="{00000000-0005-0000-0000-0000F13D0000}"/>
    <cellStyle name="40% - Accent2 3 6 2 4" xfId="22259" xr:uid="{00000000-0005-0000-0000-0000F23D0000}"/>
    <cellStyle name="40% - Accent2 3 6 3" xfId="17864" xr:uid="{00000000-0005-0000-0000-0000F33D0000}"/>
    <cellStyle name="40% - Accent2 3 6 3 2" xfId="17866" xr:uid="{00000000-0005-0000-0000-0000F43D0000}"/>
    <cellStyle name="40% - Accent2 3 6 3 2 2" xfId="17634" xr:uid="{00000000-0005-0000-0000-0000F53D0000}"/>
    <cellStyle name="40% - Accent2 3 6 3 3" xfId="17872" xr:uid="{00000000-0005-0000-0000-0000F63D0000}"/>
    <cellStyle name="40% - Accent2 3 6 4" xfId="27296" xr:uid="{00000000-0005-0000-0000-0000F73D0000}"/>
    <cellStyle name="40% - Accent2 3 6 4 2" xfId="27602" xr:uid="{00000000-0005-0000-0000-0000F83D0000}"/>
    <cellStyle name="40% - Accent2 3 6 5" xfId="15079" xr:uid="{00000000-0005-0000-0000-0000F93D0000}"/>
    <cellStyle name="40% - Accent2 3 7" xfId="17881" xr:uid="{00000000-0005-0000-0000-0000FA3D0000}"/>
    <cellStyle name="40% - Accent2 3 7 2" xfId="2042" xr:uid="{00000000-0005-0000-0000-0000FB3D0000}"/>
    <cellStyle name="40% - Accent2 3 7 2 2" xfId="2092" xr:uid="{00000000-0005-0000-0000-0000FC3D0000}"/>
    <cellStyle name="40% - Accent2 3 7 2 2 2" xfId="16295" xr:uid="{00000000-0005-0000-0000-0000FD3D0000}"/>
    <cellStyle name="40% - Accent2 3 7 2 3" xfId="9128" xr:uid="{00000000-0005-0000-0000-0000FE3D0000}"/>
    <cellStyle name="40% - Accent2 3 7 3" xfId="2053" xr:uid="{00000000-0005-0000-0000-0000FF3D0000}"/>
    <cellStyle name="40% - Accent2 3 7 3 2" xfId="13416" xr:uid="{00000000-0005-0000-0000-0000003E0000}"/>
    <cellStyle name="40% - Accent2 3 7 4" xfId="3352" xr:uid="{00000000-0005-0000-0000-0000013E0000}"/>
    <cellStyle name="40% - Accent2 3 8" xfId="6074" xr:uid="{00000000-0005-0000-0000-0000023E0000}"/>
    <cellStyle name="40% - Accent2 3 8 2" xfId="5360" xr:uid="{00000000-0005-0000-0000-0000033E0000}"/>
    <cellStyle name="40% - Accent2 3 8 2 2" xfId="2080" xr:uid="{00000000-0005-0000-0000-0000043E0000}"/>
    <cellStyle name="40% - Accent2 3 8 3" xfId="2097" xr:uid="{00000000-0005-0000-0000-0000053E0000}"/>
    <cellStyle name="40% - Accent2 3 9" xfId="6083" xr:uid="{00000000-0005-0000-0000-0000063E0000}"/>
    <cellStyle name="40% - Accent2 3 9 2" xfId="10804" xr:uid="{00000000-0005-0000-0000-0000073E0000}"/>
    <cellStyle name="40% - Accent2 4" xfId="3428" xr:uid="{00000000-0005-0000-0000-0000083E0000}"/>
    <cellStyle name="40% - Accent2 4 2" xfId="7061" xr:uid="{00000000-0005-0000-0000-0000093E0000}"/>
    <cellStyle name="40% - Accent2 4 2 2" xfId="17883" xr:uid="{00000000-0005-0000-0000-00000A3E0000}"/>
    <cellStyle name="40% - Accent2 4 2 2 2" xfId="17884" xr:uid="{00000000-0005-0000-0000-00000B3E0000}"/>
    <cellStyle name="40% - Accent2 4 2 2 2 2" xfId="17886" xr:uid="{00000000-0005-0000-0000-00000C3E0000}"/>
    <cellStyle name="40% - Accent2 4 2 2 2 2 2" xfId="17890" xr:uid="{00000000-0005-0000-0000-00000D3E0000}"/>
    <cellStyle name="40% - Accent2 4 2 2 2 2 2 2" xfId="31923" xr:uid="{00000000-0005-0000-0000-00000E3E0000}"/>
    <cellStyle name="40% - Accent2 4 2 2 2 2 2 2 2" xfId="2886" xr:uid="{00000000-0005-0000-0000-00000F3E0000}"/>
    <cellStyle name="40% - Accent2 4 2 2 2 2 2 2 2 2" xfId="18037" xr:uid="{00000000-0005-0000-0000-0000103E0000}"/>
    <cellStyle name="40% - Accent2 4 2 2 2 2 2 2 3" xfId="16029" xr:uid="{00000000-0005-0000-0000-0000113E0000}"/>
    <cellStyle name="40% - Accent2 4 2 2 2 2 2 3" xfId="17892" xr:uid="{00000000-0005-0000-0000-0000123E0000}"/>
    <cellStyle name="40% - Accent2 4 2 2 2 2 2 3 2" xfId="17894" xr:uid="{00000000-0005-0000-0000-0000133E0000}"/>
    <cellStyle name="40% - Accent2 4 2 2 2 2 2 4" xfId="17895" xr:uid="{00000000-0005-0000-0000-0000143E0000}"/>
    <cellStyle name="40% - Accent2 4 2 2 2 2 3" xfId="17898" xr:uid="{00000000-0005-0000-0000-0000153E0000}"/>
    <cellStyle name="40% - Accent2 4 2 2 2 2 3 2" xfId="17899" xr:uid="{00000000-0005-0000-0000-0000163E0000}"/>
    <cellStyle name="40% - Accent2 4 2 2 2 2 3 2 2" xfId="17901" xr:uid="{00000000-0005-0000-0000-0000173E0000}"/>
    <cellStyle name="40% - Accent2 4 2 2 2 2 3 3" xfId="17903" xr:uid="{00000000-0005-0000-0000-0000183E0000}"/>
    <cellStyle name="40% - Accent2 4 2 2 2 2 4" xfId="17869" xr:uid="{00000000-0005-0000-0000-0000193E0000}"/>
    <cellStyle name="40% - Accent2 4 2 2 2 2 4 2" xfId="17907" xr:uid="{00000000-0005-0000-0000-00001A3E0000}"/>
    <cellStyle name="40% - Accent2 4 2 2 2 2 5" xfId="18335" xr:uid="{00000000-0005-0000-0000-00001B3E0000}"/>
    <cellStyle name="40% - Accent2 4 2 2 2 3" xfId="17909" xr:uid="{00000000-0005-0000-0000-00001C3E0000}"/>
    <cellStyle name="40% - Accent2 4 2 2 2 3 2" xfId="17910" xr:uid="{00000000-0005-0000-0000-00001D3E0000}"/>
    <cellStyle name="40% - Accent2 4 2 2 2 3 2 2" xfId="17912" xr:uid="{00000000-0005-0000-0000-00001E3E0000}"/>
    <cellStyle name="40% - Accent2 4 2 2 2 3 2 2 2" xfId="17915" xr:uid="{00000000-0005-0000-0000-00001F3E0000}"/>
    <cellStyle name="40% - Accent2 4 2 2 2 3 2 3" xfId="17916" xr:uid="{00000000-0005-0000-0000-0000203E0000}"/>
    <cellStyle name="40% - Accent2 4 2 2 2 3 3" xfId="17919" xr:uid="{00000000-0005-0000-0000-0000213E0000}"/>
    <cellStyle name="40% - Accent2 4 2 2 2 3 3 2" xfId="6038" xr:uid="{00000000-0005-0000-0000-0000223E0000}"/>
    <cellStyle name="40% - Accent2 4 2 2 2 3 4" xfId="31978" xr:uid="{00000000-0005-0000-0000-0000233E0000}"/>
    <cellStyle name="40% - Accent2 4 2 2 2 4" xfId="17920" xr:uid="{00000000-0005-0000-0000-0000243E0000}"/>
    <cellStyle name="40% - Accent2 4 2 2 2 4 2" xfId="17921" xr:uid="{00000000-0005-0000-0000-0000253E0000}"/>
    <cellStyle name="40% - Accent2 4 2 2 2 4 2 2" xfId="17923" xr:uid="{00000000-0005-0000-0000-0000263E0000}"/>
    <cellStyle name="40% - Accent2 4 2 2 2 4 3" xfId="17925" xr:uid="{00000000-0005-0000-0000-0000273E0000}"/>
    <cellStyle name="40% - Accent2 4 2 2 2 5" xfId="8043" xr:uid="{00000000-0005-0000-0000-0000283E0000}"/>
    <cellStyle name="40% - Accent2 4 2 2 2 5 2" xfId="17926" xr:uid="{00000000-0005-0000-0000-0000293E0000}"/>
    <cellStyle name="40% - Accent2 4 2 2 2 6" xfId="17927" xr:uid="{00000000-0005-0000-0000-00002A3E0000}"/>
    <cellStyle name="40% - Accent2 4 2 2 3" xfId="17928" xr:uid="{00000000-0005-0000-0000-00002B3E0000}"/>
    <cellStyle name="40% - Accent2 4 2 2 3 2" xfId="17929" xr:uid="{00000000-0005-0000-0000-00002C3E0000}"/>
    <cellStyle name="40% - Accent2 4 2 2 3 2 2" xfId="17930" xr:uid="{00000000-0005-0000-0000-00002D3E0000}"/>
    <cellStyle name="40% - Accent2 4 2 2 3 2 2 2" xfId="17931" xr:uid="{00000000-0005-0000-0000-00002E3E0000}"/>
    <cellStyle name="40% - Accent2 4 2 2 3 2 2 2 2" xfId="17934" xr:uid="{00000000-0005-0000-0000-00002F3E0000}"/>
    <cellStyle name="40% - Accent2 4 2 2 3 2 2 3" xfId="17935" xr:uid="{00000000-0005-0000-0000-0000303E0000}"/>
    <cellStyle name="40% - Accent2 4 2 2 3 2 3" xfId="17938" xr:uid="{00000000-0005-0000-0000-0000313E0000}"/>
    <cellStyle name="40% - Accent2 4 2 2 3 2 3 2" xfId="17939" xr:uid="{00000000-0005-0000-0000-0000323E0000}"/>
    <cellStyle name="40% - Accent2 4 2 2 3 2 4" xfId="30294" xr:uid="{00000000-0005-0000-0000-0000333E0000}"/>
    <cellStyle name="40% - Accent2 4 2 2 3 3" xfId="17941" xr:uid="{00000000-0005-0000-0000-0000343E0000}"/>
    <cellStyle name="40% - Accent2 4 2 2 3 3 2" xfId="17942" xr:uid="{00000000-0005-0000-0000-0000353E0000}"/>
    <cellStyle name="40% - Accent2 4 2 2 3 3 2 2" xfId="1876" xr:uid="{00000000-0005-0000-0000-0000363E0000}"/>
    <cellStyle name="40% - Accent2 4 2 2 3 3 3" xfId="17943" xr:uid="{00000000-0005-0000-0000-0000373E0000}"/>
    <cellStyle name="40% - Accent2 4 2 2 3 4" xfId="25962" xr:uid="{00000000-0005-0000-0000-0000383E0000}"/>
    <cellStyle name="40% - Accent2 4 2 2 3 4 2" xfId="17944" xr:uid="{00000000-0005-0000-0000-0000393E0000}"/>
    <cellStyle name="40% - Accent2 4 2 2 3 5" xfId="19840" xr:uid="{00000000-0005-0000-0000-00003A3E0000}"/>
    <cellStyle name="40% - Accent2 4 2 2 4" xfId="17945" xr:uid="{00000000-0005-0000-0000-00003B3E0000}"/>
    <cellStyle name="40% - Accent2 4 2 2 4 2" xfId="17946" xr:uid="{00000000-0005-0000-0000-00003C3E0000}"/>
    <cellStyle name="40% - Accent2 4 2 2 4 2 2" xfId="17947" xr:uid="{00000000-0005-0000-0000-00003D3E0000}"/>
    <cellStyle name="40% - Accent2 4 2 2 4 2 2 2" xfId="9705" xr:uid="{00000000-0005-0000-0000-00003E3E0000}"/>
    <cellStyle name="40% - Accent2 4 2 2 4 2 3" xfId="584" xr:uid="{00000000-0005-0000-0000-00003F3E0000}"/>
    <cellStyle name="40% - Accent2 4 2 2 4 3" xfId="17948" xr:uid="{00000000-0005-0000-0000-0000403E0000}"/>
    <cellStyle name="40% - Accent2 4 2 2 4 3 2" xfId="17949" xr:uid="{00000000-0005-0000-0000-0000413E0000}"/>
    <cellStyle name="40% - Accent2 4 2 2 4 4" xfId="25964" xr:uid="{00000000-0005-0000-0000-0000423E0000}"/>
    <cellStyle name="40% - Accent2 4 2 2 5" xfId="33896" xr:uid="{00000000-0005-0000-0000-0000433E0000}"/>
    <cellStyle name="40% - Accent2 4 2 2 5 2" xfId="33809" xr:uid="{00000000-0005-0000-0000-0000443E0000}"/>
    <cellStyle name="40% - Accent2 4 2 2 5 2 2" xfId="30642" xr:uid="{00000000-0005-0000-0000-0000453E0000}"/>
    <cellStyle name="40% - Accent2 4 2 2 5 3" xfId="33812" xr:uid="{00000000-0005-0000-0000-0000463E0000}"/>
    <cellStyle name="40% - Accent2 4 2 2 6" xfId="476" xr:uid="{00000000-0005-0000-0000-0000473E0000}"/>
    <cellStyle name="40% - Accent2 4 2 2 6 2" xfId="1934" xr:uid="{00000000-0005-0000-0000-0000483E0000}"/>
    <cellStyle name="40% - Accent2 4 2 2 7" xfId="1940" xr:uid="{00000000-0005-0000-0000-0000493E0000}"/>
    <cellStyle name="40% - Accent2 4 2 3" xfId="17950" xr:uid="{00000000-0005-0000-0000-00004A3E0000}"/>
    <cellStyle name="40% - Accent2 4 2 3 2" xfId="17951" xr:uid="{00000000-0005-0000-0000-00004B3E0000}"/>
    <cellStyle name="40% - Accent2 4 2 3 2 2" xfId="17953" xr:uid="{00000000-0005-0000-0000-00004C3E0000}"/>
    <cellStyle name="40% - Accent2 4 2 3 2 2 2" xfId="17956" xr:uid="{00000000-0005-0000-0000-00004D3E0000}"/>
    <cellStyle name="40% - Accent2 4 2 3 2 2 2 2" xfId="28120" xr:uid="{00000000-0005-0000-0000-00004E3E0000}"/>
    <cellStyle name="40% - Accent2 4 2 3 2 2 2 2 2" xfId="17958" xr:uid="{00000000-0005-0000-0000-00004F3E0000}"/>
    <cellStyle name="40% - Accent2 4 2 3 2 2 2 3" xfId="23708" xr:uid="{00000000-0005-0000-0000-0000503E0000}"/>
    <cellStyle name="40% - Accent2 4 2 3 2 2 3" xfId="17960" xr:uid="{00000000-0005-0000-0000-0000513E0000}"/>
    <cellStyle name="40% - Accent2 4 2 3 2 2 3 2" xfId="17965" xr:uid="{00000000-0005-0000-0000-0000523E0000}"/>
    <cellStyle name="40% - Accent2 4 2 3 2 2 4" xfId="17968" xr:uid="{00000000-0005-0000-0000-0000533E0000}"/>
    <cellStyle name="40% - Accent2 4 2 3 2 3" xfId="17982" xr:uid="{00000000-0005-0000-0000-0000543E0000}"/>
    <cellStyle name="40% - Accent2 4 2 3 2 3 2" xfId="32478" xr:uid="{00000000-0005-0000-0000-0000553E0000}"/>
    <cellStyle name="40% - Accent2 4 2 3 2 3 2 2" xfId="28164" xr:uid="{00000000-0005-0000-0000-0000563E0000}"/>
    <cellStyle name="40% - Accent2 4 2 3 2 3 3" xfId="8185" xr:uid="{00000000-0005-0000-0000-0000573E0000}"/>
    <cellStyle name="40% - Accent2 4 2 3 2 4" xfId="17984" xr:uid="{00000000-0005-0000-0000-0000583E0000}"/>
    <cellStyle name="40% - Accent2 4 2 3 2 4 2" xfId="13730" xr:uid="{00000000-0005-0000-0000-0000593E0000}"/>
    <cellStyle name="40% - Accent2 4 2 3 2 5" xfId="17986" xr:uid="{00000000-0005-0000-0000-00005A3E0000}"/>
    <cellStyle name="40% - Accent2 4 2 3 3" xfId="17987" xr:uid="{00000000-0005-0000-0000-00005B3E0000}"/>
    <cellStyle name="40% - Accent2 4 2 3 3 2" xfId="17989" xr:uid="{00000000-0005-0000-0000-00005C3E0000}"/>
    <cellStyle name="40% - Accent2 4 2 3 3 2 2" xfId="17991" xr:uid="{00000000-0005-0000-0000-00005D3E0000}"/>
    <cellStyle name="40% - Accent2 4 2 3 3 2 2 2" xfId="24312" xr:uid="{00000000-0005-0000-0000-00005E3E0000}"/>
    <cellStyle name="40% - Accent2 4 2 3 3 2 3" xfId="17993" xr:uid="{00000000-0005-0000-0000-00005F3E0000}"/>
    <cellStyle name="40% - Accent2 4 2 3 3 3" xfId="17997" xr:uid="{00000000-0005-0000-0000-0000603E0000}"/>
    <cellStyle name="40% - Accent2 4 2 3 3 3 2" xfId="8200" xr:uid="{00000000-0005-0000-0000-0000613E0000}"/>
    <cellStyle name="40% - Accent2 4 2 3 3 4" xfId="28932" xr:uid="{00000000-0005-0000-0000-0000623E0000}"/>
    <cellStyle name="40% - Accent2 4 2 3 4" xfId="17998" xr:uid="{00000000-0005-0000-0000-0000633E0000}"/>
    <cellStyle name="40% - Accent2 4 2 3 4 2" xfId="16613" xr:uid="{00000000-0005-0000-0000-0000643E0000}"/>
    <cellStyle name="40% - Accent2 4 2 3 4 2 2" xfId="18000" xr:uid="{00000000-0005-0000-0000-0000653E0000}"/>
    <cellStyle name="40% - Accent2 4 2 3 4 3" xfId="18002" xr:uid="{00000000-0005-0000-0000-0000663E0000}"/>
    <cellStyle name="40% - Accent2 4 2 3 5" xfId="18004" xr:uid="{00000000-0005-0000-0000-0000673E0000}"/>
    <cellStyle name="40% - Accent2 4 2 3 5 2" xfId="18008" xr:uid="{00000000-0005-0000-0000-0000683E0000}"/>
    <cellStyle name="40% - Accent2 4 2 3 6" xfId="13740" xr:uid="{00000000-0005-0000-0000-0000693E0000}"/>
    <cellStyle name="40% - Accent2 4 2 4" xfId="18014" xr:uid="{00000000-0005-0000-0000-00006A3E0000}"/>
    <cellStyle name="40% - Accent2 4 2 4 2" xfId="25152" xr:uid="{00000000-0005-0000-0000-00006B3E0000}"/>
    <cellStyle name="40% - Accent2 4 2 4 2 2" xfId="18016" xr:uid="{00000000-0005-0000-0000-00006C3E0000}"/>
    <cellStyle name="40% - Accent2 4 2 4 2 2 2" xfId="18019" xr:uid="{00000000-0005-0000-0000-00006D3E0000}"/>
    <cellStyle name="40% - Accent2 4 2 4 2 2 2 2" xfId="13339" xr:uid="{00000000-0005-0000-0000-00006E3E0000}"/>
    <cellStyle name="40% - Accent2 4 2 4 2 2 3" xfId="18023" xr:uid="{00000000-0005-0000-0000-00006F3E0000}"/>
    <cellStyle name="40% - Accent2 4 2 4 2 3" xfId="18026" xr:uid="{00000000-0005-0000-0000-0000703E0000}"/>
    <cellStyle name="40% - Accent2 4 2 4 2 3 2" xfId="13754" xr:uid="{00000000-0005-0000-0000-0000713E0000}"/>
    <cellStyle name="40% - Accent2 4 2 4 2 4" xfId="12085" xr:uid="{00000000-0005-0000-0000-0000723E0000}"/>
    <cellStyle name="40% - Accent2 4 2 4 3" xfId="18027" xr:uid="{00000000-0005-0000-0000-0000733E0000}"/>
    <cellStyle name="40% - Accent2 4 2 4 3 2" xfId="17012" xr:uid="{00000000-0005-0000-0000-0000743E0000}"/>
    <cellStyle name="40% - Accent2 4 2 4 3 2 2" xfId="16553" xr:uid="{00000000-0005-0000-0000-0000753E0000}"/>
    <cellStyle name="40% - Accent2 4 2 4 3 3" xfId="18029" xr:uid="{00000000-0005-0000-0000-0000763E0000}"/>
    <cellStyle name="40% - Accent2 4 2 4 4" xfId="18032" xr:uid="{00000000-0005-0000-0000-0000773E0000}"/>
    <cellStyle name="40% - Accent2 4 2 4 4 2" xfId="18034" xr:uid="{00000000-0005-0000-0000-0000783E0000}"/>
    <cellStyle name="40% - Accent2 4 2 4 5" xfId="18036" xr:uid="{00000000-0005-0000-0000-0000793E0000}"/>
    <cellStyle name="40% - Accent2 4 2 5" xfId="18039" xr:uid="{00000000-0005-0000-0000-00007A3E0000}"/>
    <cellStyle name="40% - Accent2 4 2 5 2" xfId="18040" xr:uid="{00000000-0005-0000-0000-00007B3E0000}"/>
    <cellStyle name="40% - Accent2 4 2 5 2 2" xfId="18043" xr:uid="{00000000-0005-0000-0000-00007C3E0000}"/>
    <cellStyle name="40% - Accent2 4 2 5 2 2 2" xfId="18046" xr:uid="{00000000-0005-0000-0000-00007D3E0000}"/>
    <cellStyle name="40% - Accent2 4 2 5 2 3" xfId="18052" xr:uid="{00000000-0005-0000-0000-00007E3E0000}"/>
    <cellStyle name="40% - Accent2 4 2 5 3" xfId="18055" xr:uid="{00000000-0005-0000-0000-00007F3E0000}"/>
    <cellStyle name="40% - Accent2 4 2 5 3 2" xfId="18058" xr:uid="{00000000-0005-0000-0000-0000803E0000}"/>
    <cellStyle name="40% - Accent2 4 2 5 4" xfId="18061" xr:uid="{00000000-0005-0000-0000-0000813E0000}"/>
    <cellStyle name="40% - Accent2 4 2 6" xfId="18062" xr:uid="{00000000-0005-0000-0000-0000823E0000}"/>
    <cellStyle name="40% - Accent2 4 2 6 2" xfId="13770" xr:uid="{00000000-0005-0000-0000-0000833E0000}"/>
    <cellStyle name="40% - Accent2 4 2 6 2 2" xfId="10833" xr:uid="{00000000-0005-0000-0000-0000843E0000}"/>
    <cellStyle name="40% - Accent2 4 2 6 3" xfId="18064" xr:uid="{00000000-0005-0000-0000-0000853E0000}"/>
    <cellStyle name="40% - Accent2 4 2 7" xfId="13815" xr:uid="{00000000-0005-0000-0000-0000863E0000}"/>
    <cellStyle name="40% - Accent2 4 2 7 2" xfId="11379" xr:uid="{00000000-0005-0000-0000-0000873E0000}"/>
    <cellStyle name="40% - Accent2 4 2 8" xfId="18210" xr:uid="{00000000-0005-0000-0000-0000883E0000}"/>
    <cellStyle name="40% - Accent2 4 3" xfId="10761" xr:uid="{00000000-0005-0000-0000-0000893E0000}"/>
    <cellStyle name="40% - Accent2 4 3 2" xfId="410" xr:uid="{00000000-0005-0000-0000-00008A3E0000}"/>
    <cellStyle name="40% - Accent2 4 3 2 2" xfId="28745" xr:uid="{00000000-0005-0000-0000-00008B3E0000}"/>
    <cellStyle name="40% - Accent2 4 3 2 2 2" xfId="18065" xr:uid="{00000000-0005-0000-0000-00008C3E0000}"/>
    <cellStyle name="40% - Accent2 4 3 2 2 2 2" xfId="2554" xr:uid="{00000000-0005-0000-0000-00008D3E0000}"/>
    <cellStyle name="40% - Accent2 4 3 2 2 2 2 2" xfId="18067" xr:uid="{00000000-0005-0000-0000-00008E3E0000}"/>
    <cellStyle name="40% - Accent2 4 3 2 2 2 2 2 2" xfId="2427" xr:uid="{00000000-0005-0000-0000-00008F3E0000}"/>
    <cellStyle name="40% - Accent2 4 3 2 2 2 2 3" xfId="18070" xr:uid="{00000000-0005-0000-0000-0000903E0000}"/>
    <cellStyle name="40% - Accent2 4 3 2 2 2 3" xfId="18071" xr:uid="{00000000-0005-0000-0000-0000913E0000}"/>
    <cellStyle name="40% - Accent2 4 3 2 2 2 3 2" xfId="18073" xr:uid="{00000000-0005-0000-0000-0000923E0000}"/>
    <cellStyle name="40% - Accent2 4 3 2 2 2 4" xfId="18075" xr:uid="{00000000-0005-0000-0000-0000933E0000}"/>
    <cellStyle name="40% - Accent2 4 3 2 2 3" xfId="7496" xr:uid="{00000000-0005-0000-0000-0000943E0000}"/>
    <cellStyle name="40% - Accent2 4 3 2 2 3 2" xfId="5613" xr:uid="{00000000-0005-0000-0000-0000953E0000}"/>
    <cellStyle name="40% - Accent2 4 3 2 2 3 2 2" xfId="16050" xr:uid="{00000000-0005-0000-0000-0000963E0000}"/>
    <cellStyle name="40% - Accent2 4 3 2 2 3 3" xfId="2023" xr:uid="{00000000-0005-0000-0000-0000973E0000}"/>
    <cellStyle name="40% - Accent2 4 3 2 2 4" xfId="18080" xr:uid="{00000000-0005-0000-0000-0000983E0000}"/>
    <cellStyle name="40% - Accent2 4 3 2 2 4 2" xfId="2811" xr:uid="{00000000-0005-0000-0000-0000993E0000}"/>
    <cellStyle name="40% - Accent2 4 3 2 2 5" xfId="18081" xr:uid="{00000000-0005-0000-0000-00009A3E0000}"/>
    <cellStyle name="40% - Accent2 4 3 2 3" xfId="18082" xr:uid="{00000000-0005-0000-0000-00009B3E0000}"/>
    <cellStyle name="40% - Accent2 4 3 2 3 2" xfId="18084" xr:uid="{00000000-0005-0000-0000-00009C3E0000}"/>
    <cellStyle name="40% - Accent2 4 3 2 3 2 2" xfId="18085" xr:uid="{00000000-0005-0000-0000-00009D3E0000}"/>
    <cellStyle name="40% - Accent2 4 3 2 3 2 2 2" xfId="18086" xr:uid="{00000000-0005-0000-0000-00009E3E0000}"/>
    <cellStyle name="40% - Accent2 4 3 2 3 2 3" xfId="18092" xr:uid="{00000000-0005-0000-0000-00009F3E0000}"/>
    <cellStyle name="40% - Accent2 4 3 2 3 3" xfId="18094" xr:uid="{00000000-0005-0000-0000-0000A03E0000}"/>
    <cellStyle name="40% - Accent2 4 3 2 3 3 2" xfId="2835" xr:uid="{00000000-0005-0000-0000-0000A13E0000}"/>
    <cellStyle name="40% - Accent2 4 3 2 3 4" xfId="26006" xr:uid="{00000000-0005-0000-0000-0000A23E0000}"/>
    <cellStyle name="40% - Accent2 4 3 2 4" xfId="18700" xr:uid="{00000000-0005-0000-0000-0000A33E0000}"/>
    <cellStyle name="40% - Accent2 4 3 2 4 2" xfId="6982" xr:uid="{00000000-0005-0000-0000-0000A43E0000}"/>
    <cellStyle name="40% - Accent2 4 3 2 4 2 2" xfId="18095" xr:uid="{00000000-0005-0000-0000-0000A53E0000}"/>
    <cellStyle name="40% - Accent2 4 3 2 4 3" xfId="18096" xr:uid="{00000000-0005-0000-0000-0000A63E0000}"/>
    <cellStyle name="40% - Accent2 4 3 2 5" xfId="32483" xr:uid="{00000000-0005-0000-0000-0000A73E0000}"/>
    <cellStyle name="40% - Accent2 4 3 2 5 2" xfId="18924" xr:uid="{00000000-0005-0000-0000-0000A83E0000}"/>
    <cellStyle name="40% - Accent2 4 3 2 6" xfId="1198" xr:uid="{00000000-0005-0000-0000-0000A93E0000}"/>
    <cellStyle name="40% - Accent2 4 3 3" xfId="18097" xr:uid="{00000000-0005-0000-0000-0000AA3E0000}"/>
    <cellStyle name="40% - Accent2 4 3 3 2" xfId="18098" xr:uid="{00000000-0005-0000-0000-0000AB3E0000}"/>
    <cellStyle name="40% - Accent2 4 3 3 2 2" xfId="11023" xr:uid="{00000000-0005-0000-0000-0000AC3E0000}"/>
    <cellStyle name="40% - Accent2 4 3 3 2 2 2" xfId="18101" xr:uid="{00000000-0005-0000-0000-0000AD3E0000}"/>
    <cellStyle name="40% - Accent2 4 3 3 2 2 2 2" xfId="21057" xr:uid="{00000000-0005-0000-0000-0000AE3E0000}"/>
    <cellStyle name="40% - Accent2 4 3 3 2 2 3" xfId="18103" xr:uid="{00000000-0005-0000-0000-0000AF3E0000}"/>
    <cellStyle name="40% - Accent2 4 3 3 2 3" xfId="18107" xr:uid="{00000000-0005-0000-0000-0000B03E0000}"/>
    <cellStyle name="40% - Accent2 4 3 3 2 3 2" xfId="13786" xr:uid="{00000000-0005-0000-0000-0000B13E0000}"/>
    <cellStyle name="40% - Accent2 4 3 3 2 4" xfId="18108" xr:uid="{00000000-0005-0000-0000-0000B23E0000}"/>
    <cellStyle name="40% - Accent2 4 3 3 3" xfId="18111" xr:uid="{00000000-0005-0000-0000-0000B33E0000}"/>
    <cellStyle name="40% - Accent2 4 3 3 3 2" xfId="18114" xr:uid="{00000000-0005-0000-0000-0000B43E0000}"/>
    <cellStyle name="40% - Accent2 4 3 3 3 2 2" xfId="18117" xr:uid="{00000000-0005-0000-0000-0000B53E0000}"/>
    <cellStyle name="40% - Accent2 4 3 3 3 3" xfId="18120" xr:uid="{00000000-0005-0000-0000-0000B63E0000}"/>
    <cellStyle name="40% - Accent2 4 3 3 4" xfId="18121" xr:uid="{00000000-0005-0000-0000-0000B73E0000}"/>
    <cellStyle name="40% - Accent2 4 3 3 4 2" xfId="18123" xr:uid="{00000000-0005-0000-0000-0000B83E0000}"/>
    <cellStyle name="40% - Accent2 4 3 3 5" xfId="32180" xr:uid="{00000000-0005-0000-0000-0000B93E0000}"/>
    <cellStyle name="40% - Accent2 4 3 4" xfId="18125" xr:uid="{00000000-0005-0000-0000-0000BA3E0000}"/>
    <cellStyle name="40% - Accent2 4 3 4 2" xfId="18129" xr:uid="{00000000-0005-0000-0000-0000BB3E0000}"/>
    <cellStyle name="40% - Accent2 4 3 4 2 2" xfId="18132" xr:uid="{00000000-0005-0000-0000-0000BC3E0000}"/>
    <cellStyle name="40% - Accent2 4 3 4 2 2 2" xfId="18134" xr:uid="{00000000-0005-0000-0000-0000BD3E0000}"/>
    <cellStyle name="40% - Accent2 4 3 4 2 3" xfId="18136" xr:uid="{00000000-0005-0000-0000-0000BE3E0000}"/>
    <cellStyle name="40% - Accent2 4 3 4 3" xfId="18139" xr:uid="{00000000-0005-0000-0000-0000BF3E0000}"/>
    <cellStyle name="40% - Accent2 4 3 4 3 2" xfId="18141" xr:uid="{00000000-0005-0000-0000-0000C03E0000}"/>
    <cellStyle name="40% - Accent2 4 3 4 4" xfId="18143" xr:uid="{00000000-0005-0000-0000-0000C13E0000}"/>
    <cellStyle name="40% - Accent2 4 3 5" xfId="15085" xr:uid="{00000000-0005-0000-0000-0000C23E0000}"/>
    <cellStyle name="40% - Accent2 4 3 5 2" xfId="18146" xr:uid="{00000000-0005-0000-0000-0000C33E0000}"/>
    <cellStyle name="40% - Accent2 4 3 5 2 2" xfId="18149" xr:uid="{00000000-0005-0000-0000-0000C43E0000}"/>
    <cellStyle name="40% - Accent2 4 3 5 3" xfId="18154" xr:uid="{00000000-0005-0000-0000-0000C53E0000}"/>
    <cellStyle name="40% - Accent2 4 3 6" xfId="3875" xr:uid="{00000000-0005-0000-0000-0000C63E0000}"/>
    <cellStyle name="40% - Accent2 4 3 6 2" xfId="18158" xr:uid="{00000000-0005-0000-0000-0000C73E0000}"/>
    <cellStyle name="40% - Accent2 4 3 7" xfId="13820" xr:uid="{00000000-0005-0000-0000-0000C83E0000}"/>
    <cellStyle name="40% - Accent2 4 4" xfId="18159" xr:uid="{00000000-0005-0000-0000-0000C93E0000}"/>
    <cellStyle name="40% - Accent2 4 4 2" xfId="18160" xr:uid="{00000000-0005-0000-0000-0000CA3E0000}"/>
    <cellStyle name="40% - Accent2 4 4 2 2" xfId="18162" xr:uid="{00000000-0005-0000-0000-0000CB3E0000}"/>
    <cellStyle name="40% - Accent2 4 4 2 2 2" xfId="18164" xr:uid="{00000000-0005-0000-0000-0000CC3E0000}"/>
    <cellStyle name="40% - Accent2 4 4 2 2 2 2" xfId="28469" xr:uid="{00000000-0005-0000-0000-0000CD3E0000}"/>
    <cellStyle name="40% - Accent2 4 4 2 2 2 2 2" xfId="24381" xr:uid="{00000000-0005-0000-0000-0000CE3E0000}"/>
    <cellStyle name="40% - Accent2 4 4 2 2 2 3" xfId="28473" xr:uid="{00000000-0005-0000-0000-0000CF3E0000}"/>
    <cellStyle name="40% - Accent2 4 4 2 2 3" xfId="18165" xr:uid="{00000000-0005-0000-0000-0000D03E0000}"/>
    <cellStyle name="40% - Accent2 4 4 2 2 3 2" xfId="6234" xr:uid="{00000000-0005-0000-0000-0000D13E0000}"/>
    <cellStyle name="40% - Accent2 4 4 2 2 4" xfId="18166" xr:uid="{00000000-0005-0000-0000-0000D23E0000}"/>
    <cellStyle name="40% - Accent2 4 4 2 3" xfId="18168" xr:uid="{00000000-0005-0000-0000-0000D33E0000}"/>
    <cellStyle name="40% - Accent2 4 4 2 3 2" xfId="18169" xr:uid="{00000000-0005-0000-0000-0000D43E0000}"/>
    <cellStyle name="40% - Accent2 4 4 2 3 2 2" xfId="28581" xr:uid="{00000000-0005-0000-0000-0000D53E0000}"/>
    <cellStyle name="40% - Accent2 4 4 2 3 3" xfId="18170" xr:uid="{00000000-0005-0000-0000-0000D63E0000}"/>
    <cellStyle name="40% - Accent2 4 4 2 4" xfId="22271" xr:uid="{00000000-0005-0000-0000-0000D73E0000}"/>
    <cellStyle name="40% - Accent2 4 4 2 4 2" xfId="18171" xr:uid="{00000000-0005-0000-0000-0000D83E0000}"/>
    <cellStyle name="40% - Accent2 4 4 2 5" xfId="22275" xr:uid="{00000000-0005-0000-0000-0000D93E0000}"/>
    <cellStyle name="40% - Accent2 4 4 3" xfId="18172" xr:uid="{00000000-0005-0000-0000-0000DA3E0000}"/>
    <cellStyle name="40% - Accent2 4 4 3 2" xfId="18175" xr:uid="{00000000-0005-0000-0000-0000DB3E0000}"/>
    <cellStyle name="40% - Accent2 4 4 3 2 2" xfId="18177" xr:uid="{00000000-0005-0000-0000-0000DC3E0000}"/>
    <cellStyle name="40% - Accent2 4 4 3 2 2 2" xfId="14203" xr:uid="{00000000-0005-0000-0000-0000DD3E0000}"/>
    <cellStyle name="40% - Accent2 4 4 3 2 3" xfId="18179" xr:uid="{00000000-0005-0000-0000-0000DE3E0000}"/>
    <cellStyle name="40% - Accent2 4 4 3 3" xfId="18181" xr:uid="{00000000-0005-0000-0000-0000DF3E0000}"/>
    <cellStyle name="40% - Accent2 4 4 3 3 2" xfId="18183" xr:uid="{00000000-0005-0000-0000-0000E03E0000}"/>
    <cellStyle name="40% - Accent2 4 4 3 4" xfId="22294" xr:uid="{00000000-0005-0000-0000-0000E13E0000}"/>
    <cellStyle name="40% - Accent2 4 4 4" xfId="11821" xr:uid="{00000000-0005-0000-0000-0000E23E0000}"/>
    <cellStyle name="40% - Accent2 4 4 4 2" xfId="18185" xr:uid="{00000000-0005-0000-0000-0000E33E0000}"/>
    <cellStyle name="40% - Accent2 4 4 4 2 2" xfId="15349" xr:uid="{00000000-0005-0000-0000-0000E43E0000}"/>
    <cellStyle name="40% - Accent2 4 4 4 3" xfId="18189" xr:uid="{00000000-0005-0000-0000-0000E53E0000}"/>
    <cellStyle name="40% - Accent2 4 4 5" xfId="15095" xr:uid="{00000000-0005-0000-0000-0000E63E0000}"/>
    <cellStyle name="40% - Accent2 4 4 5 2" xfId="18192" xr:uid="{00000000-0005-0000-0000-0000E73E0000}"/>
    <cellStyle name="40% - Accent2 4 4 6" xfId="15100" xr:uid="{00000000-0005-0000-0000-0000E83E0000}"/>
    <cellStyle name="40% - Accent2 4 5" xfId="33850" xr:uid="{00000000-0005-0000-0000-0000E93E0000}"/>
    <cellStyle name="40% - Accent2 4 5 2" xfId="18196" xr:uid="{00000000-0005-0000-0000-0000EA3E0000}"/>
    <cellStyle name="40% - Accent2 4 5 2 2" xfId="18198" xr:uid="{00000000-0005-0000-0000-0000EB3E0000}"/>
    <cellStyle name="40% - Accent2 4 5 2 2 2" xfId="18202" xr:uid="{00000000-0005-0000-0000-0000EC3E0000}"/>
    <cellStyle name="40% - Accent2 4 5 2 2 2 2" xfId="18203" xr:uid="{00000000-0005-0000-0000-0000ED3E0000}"/>
    <cellStyle name="40% - Accent2 4 5 2 2 3" xfId="29614" xr:uid="{00000000-0005-0000-0000-0000EE3E0000}"/>
    <cellStyle name="40% - Accent2 4 5 2 3" xfId="18204" xr:uid="{00000000-0005-0000-0000-0000EF3E0000}"/>
    <cellStyle name="40% - Accent2 4 5 2 3 2" xfId="31955" xr:uid="{00000000-0005-0000-0000-0000F03E0000}"/>
    <cellStyle name="40% - Accent2 4 5 2 4" xfId="22311" xr:uid="{00000000-0005-0000-0000-0000F13E0000}"/>
    <cellStyle name="40% - Accent2 4 5 3" xfId="18207" xr:uid="{00000000-0005-0000-0000-0000F23E0000}"/>
    <cellStyle name="40% - Accent2 4 5 3 2" xfId="18211" xr:uid="{00000000-0005-0000-0000-0000F33E0000}"/>
    <cellStyle name="40% - Accent2 4 5 3 2 2" xfId="17725" xr:uid="{00000000-0005-0000-0000-0000F43E0000}"/>
    <cellStyle name="40% - Accent2 4 5 3 3" xfId="18215" xr:uid="{00000000-0005-0000-0000-0000F53E0000}"/>
    <cellStyle name="40% - Accent2 4 5 4" xfId="18217" xr:uid="{00000000-0005-0000-0000-0000F63E0000}"/>
    <cellStyle name="40% - Accent2 4 5 4 2" xfId="27617" xr:uid="{00000000-0005-0000-0000-0000F73E0000}"/>
    <cellStyle name="40% - Accent2 4 5 5" xfId="15105" xr:uid="{00000000-0005-0000-0000-0000F83E0000}"/>
    <cellStyle name="40% - Accent2 4 6" xfId="28260" xr:uid="{00000000-0005-0000-0000-0000F93E0000}"/>
    <cellStyle name="40% - Accent2 4 6 2" xfId="472" xr:uid="{00000000-0005-0000-0000-0000FA3E0000}"/>
    <cellStyle name="40% - Accent2 4 6 2 2" xfId="18223" xr:uid="{00000000-0005-0000-0000-0000FB3E0000}"/>
    <cellStyle name="40% - Accent2 4 6 2 2 2" xfId="18228" xr:uid="{00000000-0005-0000-0000-0000FC3E0000}"/>
    <cellStyle name="40% - Accent2 4 6 2 3" xfId="18231" xr:uid="{00000000-0005-0000-0000-0000FD3E0000}"/>
    <cellStyle name="40% - Accent2 4 6 3" xfId="33451" xr:uid="{00000000-0005-0000-0000-0000FE3E0000}"/>
    <cellStyle name="40% - Accent2 4 6 3 2" xfId="17970" xr:uid="{00000000-0005-0000-0000-0000FF3E0000}"/>
    <cellStyle name="40% - Accent2 4 6 4" xfId="18233" xr:uid="{00000000-0005-0000-0000-0000003F0000}"/>
    <cellStyle name="40% - Accent2 4 7" xfId="18238" xr:uid="{00000000-0005-0000-0000-0000013F0000}"/>
    <cellStyle name="40% - Accent2 4 7 2" xfId="5574" xr:uid="{00000000-0005-0000-0000-0000023F0000}"/>
    <cellStyle name="40% - Accent2 4 7 2 2" xfId="12498" xr:uid="{00000000-0005-0000-0000-0000033F0000}"/>
    <cellStyle name="40% - Accent2 4 7 3" xfId="12418" xr:uid="{00000000-0005-0000-0000-0000043F0000}"/>
    <cellStyle name="40% - Accent2 4 8" xfId="12499" xr:uid="{00000000-0005-0000-0000-0000053F0000}"/>
    <cellStyle name="40% - Accent2 4 8 2" xfId="12503" xr:uid="{00000000-0005-0000-0000-0000063F0000}"/>
    <cellStyle name="40% - Accent2 4 9" xfId="12504" xr:uid="{00000000-0005-0000-0000-0000073F0000}"/>
    <cellStyle name="40% - Accent2 5" xfId="6149" xr:uid="{00000000-0005-0000-0000-0000083F0000}"/>
    <cellStyle name="40% - Accent2 5 2" xfId="18240" xr:uid="{00000000-0005-0000-0000-0000093F0000}"/>
    <cellStyle name="40% - Accent2 5 2 2" xfId="24365" xr:uid="{00000000-0005-0000-0000-00000A3F0000}"/>
    <cellStyle name="40% - Accent2 5 2 2 2" xfId="3778" xr:uid="{00000000-0005-0000-0000-00000B3F0000}"/>
    <cellStyle name="40% - Accent2 5 2 2 2 2" xfId="3781" xr:uid="{00000000-0005-0000-0000-00000C3F0000}"/>
    <cellStyle name="40% - Accent2 5 2 2 2 2 2" xfId="14691" xr:uid="{00000000-0005-0000-0000-00000D3F0000}"/>
    <cellStyle name="40% - Accent2 5 2 2 2 2 2 2" xfId="18241" xr:uid="{00000000-0005-0000-0000-00000E3F0000}"/>
    <cellStyle name="40% - Accent2 5 2 2 2 2 2 2 2" xfId="18244" xr:uid="{00000000-0005-0000-0000-00000F3F0000}"/>
    <cellStyle name="40% - Accent2 5 2 2 2 2 2 3" xfId="18247" xr:uid="{00000000-0005-0000-0000-0000103F0000}"/>
    <cellStyle name="40% - Accent2 5 2 2 2 2 3" xfId="14703" xr:uid="{00000000-0005-0000-0000-0000113F0000}"/>
    <cellStyle name="40% - Accent2 5 2 2 2 2 3 2" xfId="25224" xr:uid="{00000000-0005-0000-0000-0000123F0000}"/>
    <cellStyle name="40% - Accent2 5 2 2 2 2 4" xfId="3470" xr:uid="{00000000-0005-0000-0000-0000133F0000}"/>
    <cellStyle name="40% - Accent2 5 2 2 2 3" xfId="18252" xr:uid="{00000000-0005-0000-0000-0000143F0000}"/>
    <cellStyle name="40% - Accent2 5 2 2 2 3 2" xfId="31081" xr:uid="{00000000-0005-0000-0000-0000153F0000}"/>
    <cellStyle name="40% - Accent2 5 2 2 2 3 2 2" xfId="14465" xr:uid="{00000000-0005-0000-0000-0000163F0000}"/>
    <cellStyle name="40% - Accent2 5 2 2 2 3 3" xfId="32058" xr:uid="{00000000-0005-0000-0000-0000173F0000}"/>
    <cellStyle name="40% - Accent2 5 2 2 2 4" xfId="18254" xr:uid="{00000000-0005-0000-0000-0000183F0000}"/>
    <cellStyle name="40% - Accent2 5 2 2 2 4 2" xfId="6403" xr:uid="{00000000-0005-0000-0000-0000193F0000}"/>
    <cellStyle name="40% - Accent2 5 2 2 2 5" xfId="18256" xr:uid="{00000000-0005-0000-0000-00001A3F0000}"/>
    <cellStyle name="40% - Accent2 5 2 2 3" xfId="3783" xr:uid="{00000000-0005-0000-0000-00001B3F0000}"/>
    <cellStyle name="40% - Accent2 5 2 2 3 2" xfId="18260" xr:uid="{00000000-0005-0000-0000-00001C3F0000}"/>
    <cellStyle name="40% - Accent2 5 2 2 3 2 2" xfId="24511" xr:uid="{00000000-0005-0000-0000-00001D3F0000}"/>
    <cellStyle name="40% - Accent2 5 2 2 3 2 2 2" xfId="31986" xr:uid="{00000000-0005-0000-0000-00001E3F0000}"/>
    <cellStyle name="40% - Accent2 5 2 2 3 2 3" xfId="12812" xr:uid="{00000000-0005-0000-0000-00001F3F0000}"/>
    <cellStyle name="40% - Accent2 5 2 2 3 3" xfId="18263" xr:uid="{00000000-0005-0000-0000-0000203F0000}"/>
    <cellStyle name="40% - Accent2 5 2 2 3 3 2" xfId="32348" xr:uid="{00000000-0005-0000-0000-0000213F0000}"/>
    <cellStyle name="40% - Accent2 5 2 2 3 4" xfId="26068" xr:uid="{00000000-0005-0000-0000-0000223F0000}"/>
    <cellStyle name="40% - Accent2 5 2 2 4" xfId="18265" xr:uid="{00000000-0005-0000-0000-0000233F0000}"/>
    <cellStyle name="40% - Accent2 5 2 2 4 2" xfId="18268" xr:uid="{00000000-0005-0000-0000-0000243F0000}"/>
    <cellStyle name="40% - Accent2 5 2 2 4 2 2" xfId="110" xr:uid="{00000000-0005-0000-0000-0000253F0000}"/>
    <cellStyle name="40% - Accent2 5 2 2 4 3" xfId="18270" xr:uid="{00000000-0005-0000-0000-0000263F0000}"/>
    <cellStyle name="40% - Accent2 5 2 2 5" xfId="32698" xr:uid="{00000000-0005-0000-0000-0000273F0000}"/>
    <cellStyle name="40% - Accent2 5 2 2 5 2" xfId="31950" xr:uid="{00000000-0005-0000-0000-0000283F0000}"/>
    <cellStyle name="40% - Accent2 5 2 2 6" xfId="6" xr:uid="{00000000-0005-0000-0000-0000293F0000}"/>
    <cellStyle name="40% - Accent2 5 2 3" xfId="1116" xr:uid="{00000000-0005-0000-0000-00002A3F0000}"/>
    <cellStyle name="40% - Accent2 5 2 3 2" xfId="3906" xr:uid="{00000000-0005-0000-0000-00002B3F0000}"/>
    <cellStyle name="40% - Accent2 5 2 3 2 2" xfId="18272" xr:uid="{00000000-0005-0000-0000-00002C3F0000}"/>
    <cellStyle name="40% - Accent2 5 2 3 2 2 2" xfId="13935" xr:uid="{00000000-0005-0000-0000-00002D3F0000}"/>
    <cellStyle name="40% - Accent2 5 2 3 2 2 2 2" xfId="2152" xr:uid="{00000000-0005-0000-0000-00002E3F0000}"/>
    <cellStyle name="40% - Accent2 5 2 3 2 2 3" xfId="15036" xr:uid="{00000000-0005-0000-0000-00002F3F0000}"/>
    <cellStyle name="40% - Accent2 5 2 3 2 3" xfId="18275" xr:uid="{00000000-0005-0000-0000-0000303F0000}"/>
    <cellStyle name="40% - Accent2 5 2 3 2 3 2" xfId="13724" xr:uid="{00000000-0005-0000-0000-0000313F0000}"/>
    <cellStyle name="40% - Accent2 5 2 3 2 4" xfId="18278" xr:uid="{00000000-0005-0000-0000-0000323F0000}"/>
    <cellStyle name="40% - Accent2 5 2 3 3" xfId="13941" xr:uid="{00000000-0005-0000-0000-0000333F0000}"/>
    <cellStyle name="40% - Accent2 5 2 3 3 2" xfId="18281" xr:uid="{00000000-0005-0000-0000-0000343F0000}"/>
    <cellStyle name="40% - Accent2 5 2 3 3 2 2" xfId="15040" xr:uid="{00000000-0005-0000-0000-0000353F0000}"/>
    <cellStyle name="40% - Accent2 5 2 3 3 3" xfId="18284" xr:uid="{00000000-0005-0000-0000-0000363F0000}"/>
    <cellStyle name="40% - Accent2 5 2 3 4" xfId="13942" xr:uid="{00000000-0005-0000-0000-0000373F0000}"/>
    <cellStyle name="40% - Accent2 5 2 3 4 2" xfId="18286" xr:uid="{00000000-0005-0000-0000-0000383F0000}"/>
    <cellStyle name="40% - Accent2 5 2 3 5" xfId="13953" xr:uid="{00000000-0005-0000-0000-0000393F0000}"/>
    <cellStyle name="40% - Accent2 5 2 4" xfId="25911" xr:uid="{00000000-0005-0000-0000-00003A3F0000}"/>
    <cellStyle name="40% - Accent2 5 2 4 2" xfId="9940" xr:uid="{00000000-0005-0000-0000-00003B3F0000}"/>
    <cellStyle name="40% - Accent2 5 2 4 2 2" xfId="18290" xr:uid="{00000000-0005-0000-0000-00003C3F0000}"/>
    <cellStyle name="40% - Accent2 5 2 4 2 2 2" xfId="4159" xr:uid="{00000000-0005-0000-0000-00003D3F0000}"/>
    <cellStyle name="40% - Accent2 5 2 4 2 3" xfId="18293" xr:uid="{00000000-0005-0000-0000-00003E3F0000}"/>
    <cellStyle name="40% - Accent2 5 2 4 3" xfId="4168" xr:uid="{00000000-0005-0000-0000-00003F3F0000}"/>
    <cellStyle name="40% - Accent2 5 2 4 3 2" xfId="18295" xr:uid="{00000000-0005-0000-0000-0000403F0000}"/>
    <cellStyle name="40% - Accent2 5 2 4 4" xfId="5769" xr:uid="{00000000-0005-0000-0000-0000413F0000}"/>
    <cellStyle name="40% - Accent2 5 2 5" xfId="1834" xr:uid="{00000000-0005-0000-0000-0000423F0000}"/>
    <cellStyle name="40% - Accent2 5 2 5 2" xfId="4310" xr:uid="{00000000-0005-0000-0000-0000433F0000}"/>
    <cellStyle name="40% - Accent2 5 2 5 2 2" xfId="18300" xr:uid="{00000000-0005-0000-0000-0000443F0000}"/>
    <cellStyle name="40% - Accent2 5 2 5 3" xfId="4316" xr:uid="{00000000-0005-0000-0000-0000453F0000}"/>
    <cellStyle name="40% - Accent2 5 2 6" xfId="1839" xr:uid="{00000000-0005-0000-0000-0000463F0000}"/>
    <cellStyle name="40% - Accent2 5 2 6 2" xfId="4414" xr:uid="{00000000-0005-0000-0000-0000473F0000}"/>
    <cellStyle name="40% - Accent2 5 2 7" xfId="8965" xr:uid="{00000000-0005-0000-0000-0000483F0000}"/>
    <cellStyle name="40% - Accent2 5 3" xfId="3665" xr:uid="{00000000-0005-0000-0000-0000493F0000}"/>
    <cellStyle name="40% - Accent2 5 3 2" xfId="1891" xr:uid="{00000000-0005-0000-0000-00004A3F0000}"/>
    <cellStyle name="40% - Accent2 5 3 2 2" xfId="4313" xr:uid="{00000000-0005-0000-0000-00004B3F0000}"/>
    <cellStyle name="40% - Accent2 5 3 2 2 2" xfId="18302" xr:uid="{00000000-0005-0000-0000-00004C3F0000}"/>
    <cellStyle name="40% - Accent2 5 3 2 2 2 2" xfId="12332" xr:uid="{00000000-0005-0000-0000-00004D3F0000}"/>
    <cellStyle name="40% - Accent2 5 3 2 2 2 2 2" xfId="18304" xr:uid="{00000000-0005-0000-0000-00004E3F0000}"/>
    <cellStyle name="40% - Accent2 5 3 2 2 2 3" xfId="15590" xr:uid="{00000000-0005-0000-0000-00004F3F0000}"/>
    <cellStyle name="40% - Accent2 5 3 2 2 3" xfId="18305" xr:uid="{00000000-0005-0000-0000-0000503F0000}"/>
    <cellStyle name="40% - Accent2 5 3 2 2 3 2" xfId="33939" xr:uid="{00000000-0005-0000-0000-0000513F0000}"/>
    <cellStyle name="40% - Accent2 5 3 2 2 4" xfId="18306" xr:uid="{00000000-0005-0000-0000-0000523F0000}"/>
    <cellStyle name="40% - Accent2 5 3 2 3" xfId="18308" xr:uid="{00000000-0005-0000-0000-0000533F0000}"/>
    <cellStyle name="40% - Accent2 5 3 2 3 2" xfId="18309" xr:uid="{00000000-0005-0000-0000-0000543F0000}"/>
    <cellStyle name="40% - Accent2 5 3 2 3 2 2" xfId="15613" xr:uid="{00000000-0005-0000-0000-0000553F0000}"/>
    <cellStyle name="40% - Accent2 5 3 2 3 3" xfId="18311" xr:uid="{00000000-0005-0000-0000-0000563F0000}"/>
    <cellStyle name="40% - Accent2 5 3 2 4" xfId="18312" xr:uid="{00000000-0005-0000-0000-0000573F0000}"/>
    <cellStyle name="40% - Accent2 5 3 2 4 2" xfId="18313" xr:uid="{00000000-0005-0000-0000-0000583F0000}"/>
    <cellStyle name="40% - Accent2 5 3 2 5" xfId="2219" xr:uid="{00000000-0005-0000-0000-0000593F0000}"/>
    <cellStyle name="40% - Accent2 5 3 3" xfId="150" xr:uid="{00000000-0005-0000-0000-00005A3F0000}"/>
    <cellStyle name="40% - Accent2 5 3 3 2" xfId="13982" xr:uid="{00000000-0005-0000-0000-00005B3F0000}"/>
    <cellStyle name="40% - Accent2 5 3 3 2 2" xfId="18314" xr:uid="{00000000-0005-0000-0000-00005C3F0000}"/>
    <cellStyle name="40% - Accent2 5 3 3 2 2 2" xfId="15802" xr:uid="{00000000-0005-0000-0000-00005D3F0000}"/>
    <cellStyle name="40% - Accent2 5 3 3 2 3" xfId="18316" xr:uid="{00000000-0005-0000-0000-00005E3F0000}"/>
    <cellStyle name="40% - Accent2 5 3 3 3" xfId="13990" xr:uid="{00000000-0005-0000-0000-00005F3F0000}"/>
    <cellStyle name="40% - Accent2 5 3 3 3 2" xfId="18319" xr:uid="{00000000-0005-0000-0000-0000603F0000}"/>
    <cellStyle name="40% - Accent2 5 3 3 4" xfId="13994" xr:uid="{00000000-0005-0000-0000-0000613F0000}"/>
    <cellStyle name="40% - Accent2 5 3 4" xfId="325" xr:uid="{00000000-0005-0000-0000-0000623F0000}"/>
    <cellStyle name="40% - Accent2 5 3 4 2" xfId="4340" xr:uid="{00000000-0005-0000-0000-0000633F0000}"/>
    <cellStyle name="40% - Accent2 5 3 4 2 2" xfId="18322" xr:uid="{00000000-0005-0000-0000-0000643F0000}"/>
    <cellStyle name="40% - Accent2 5 3 4 3" xfId="4658" xr:uid="{00000000-0005-0000-0000-0000653F0000}"/>
    <cellStyle name="40% - Accent2 5 3 5" xfId="9190" xr:uid="{00000000-0005-0000-0000-0000663F0000}"/>
    <cellStyle name="40% - Accent2 5 3 5 2" xfId="4750" xr:uid="{00000000-0005-0000-0000-0000673F0000}"/>
    <cellStyle name="40% - Accent2 5 3 6" xfId="6059" xr:uid="{00000000-0005-0000-0000-0000683F0000}"/>
    <cellStyle name="40% - Accent2 5 4" xfId="3273" xr:uid="{00000000-0005-0000-0000-0000693F0000}"/>
    <cellStyle name="40% - Accent2 5 4 2" xfId="1528" xr:uid="{00000000-0005-0000-0000-00006A3F0000}"/>
    <cellStyle name="40% - Accent2 5 4 2 2" xfId="18325" xr:uid="{00000000-0005-0000-0000-00006B3F0000}"/>
    <cellStyle name="40% - Accent2 5 4 2 2 2" xfId="18327" xr:uid="{00000000-0005-0000-0000-00006C3F0000}"/>
    <cellStyle name="40% - Accent2 5 4 2 2 2 2" xfId="13956" xr:uid="{00000000-0005-0000-0000-00006D3F0000}"/>
    <cellStyle name="40% - Accent2 5 4 2 2 3" xfId="18328" xr:uid="{00000000-0005-0000-0000-00006E3F0000}"/>
    <cellStyle name="40% - Accent2 5 4 2 3" xfId="18329" xr:uid="{00000000-0005-0000-0000-00006F3F0000}"/>
    <cellStyle name="40% - Accent2 5 4 2 3 2" xfId="18330" xr:uid="{00000000-0005-0000-0000-0000703F0000}"/>
    <cellStyle name="40% - Accent2 5 4 2 4" xfId="22751" xr:uid="{00000000-0005-0000-0000-0000713F0000}"/>
    <cellStyle name="40% - Accent2 5 4 3" xfId="355" xr:uid="{00000000-0005-0000-0000-0000723F0000}"/>
    <cellStyle name="40% - Accent2 5 4 3 2" xfId="9536" xr:uid="{00000000-0005-0000-0000-0000733F0000}"/>
    <cellStyle name="40% - Accent2 5 4 3 2 2" xfId="18331" xr:uid="{00000000-0005-0000-0000-0000743F0000}"/>
    <cellStyle name="40% - Accent2 5 4 3 3" xfId="14003" xr:uid="{00000000-0005-0000-0000-0000753F0000}"/>
    <cellStyle name="40% - Accent2 5 4 4" xfId="1943" xr:uid="{00000000-0005-0000-0000-0000763F0000}"/>
    <cellStyle name="40% - Accent2 5 4 4 2" xfId="4926" xr:uid="{00000000-0005-0000-0000-0000773F0000}"/>
    <cellStyle name="40% - Accent2 5 4 5" xfId="24838" xr:uid="{00000000-0005-0000-0000-0000783F0000}"/>
    <cellStyle name="40% - Accent2 5 5" xfId="10882" xr:uid="{00000000-0005-0000-0000-0000793F0000}"/>
    <cellStyle name="40% - Accent2 5 5 2" xfId="18333" xr:uid="{00000000-0005-0000-0000-00007A3F0000}"/>
    <cellStyle name="40% - Accent2 5 5 2 2" xfId="18336" xr:uid="{00000000-0005-0000-0000-00007B3F0000}"/>
    <cellStyle name="40% - Accent2 5 5 2 2 2" xfId="32648" xr:uid="{00000000-0005-0000-0000-00007C3F0000}"/>
    <cellStyle name="40% - Accent2 5 5 2 3" xfId="18338" xr:uid="{00000000-0005-0000-0000-00007D3F0000}"/>
    <cellStyle name="40% - Accent2 5 5 3" xfId="1962" xr:uid="{00000000-0005-0000-0000-00007E3F0000}"/>
    <cellStyle name="40% - Accent2 5 5 3 2" xfId="14007" xr:uid="{00000000-0005-0000-0000-00007F3F0000}"/>
    <cellStyle name="40% - Accent2 5 5 4" xfId="2449" xr:uid="{00000000-0005-0000-0000-0000803F0000}"/>
    <cellStyle name="40% - Accent2 5 6" xfId="12232" xr:uid="{00000000-0005-0000-0000-0000813F0000}"/>
    <cellStyle name="40% - Accent2 5 6 2" xfId="20795" xr:uid="{00000000-0005-0000-0000-0000823F0000}"/>
    <cellStyle name="40% - Accent2 5 6 2 2" xfId="18339" xr:uid="{00000000-0005-0000-0000-0000833F0000}"/>
    <cellStyle name="40% - Accent2 5 6 3" xfId="20802" xr:uid="{00000000-0005-0000-0000-0000843F0000}"/>
    <cellStyle name="40% - Accent2 5 7" xfId="13436" xr:uid="{00000000-0005-0000-0000-0000853F0000}"/>
    <cellStyle name="40% - Accent2 5 7 2" xfId="2716" xr:uid="{00000000-0005-0000-0000-0000863F0000}"/>
    <cellStyle name="40% - Accent2 5 8" xfId="8103" xr:uid="{00000000-0005-0000-0000-0000873F0000}"/>
    <cellStyle name="40% - Accent2 6" xfId="18340" xr:uid="{00000000-0005-0000-0000-0000883F0000}"/>
    <cellStyle name="40% - Accent2 6 2" xfId="17742" xr:uid="{00000000-0005-0000-0000-0000893F0000}"/>
    <cellStyle name="40% - Accent2 6 2 2" xfId="18341" xr:uid="{00000000-0005-0000-0000-00008A3F0000}"/>
    <cellStyle name="40% - Accent2 6 2 2 2" xfId="5459" xr:uid="{00000000-0005-0000-0000-00008B3F0000}"/>
    <cellStyle name="40% - Accent2 6 2 2 2 2" xfId="26777" xr:uid="{00000000-0005-0000-0000-00008C3F0000}"/>
    <cellStyle name="40% - Accent2 6 2 2 2 2 2" xfId="16889" xr:uid="{00000000-0005-0000-0000-00008D3F0000}"/>
    <cellStyle name="40% - Accent2 6 2 2 2 2 2 2" xfId="24794" xr:uid="{00000000-0005-0000-0000-00008E3F0000}"/>
    <cellStyle name="40% - Accent2 6 2 2 2 2 3" xfId="570" xr:uid="{00000000-0005-0000-0000-00008F3F0000}"/>
    <cellStyle name="40% - Accent2 6 2 2 2 3" xfId="18342" xr:uid="{00000000-0005-0000-0000-0000903F0000}"/>
    <cellStyle name="40% - Accent2 6 2 2 2 3 2" xfId="31254" xr:uid="{00000000-0005-0000-0000-0000913F0000}"/>
    <cellStyle name="40% - Accent2 6 2 2 2 4" xfId="18344" xr:uid="{00000000-0005-0000-0000-0000923F0000}"/>
    <cellStyle name="40% - Accent2 6 2 2 3" xfId="25378" xr:uid="{00000000-0005-0000-0000-0000933F0000}"/>
    <cellStyle name="40% - Accent2 6 2 2 3 2" xfId="18346" xr:uid="{00000000-0005-0000-0000-0000943F0000}"/>
    <cellStyle name="40% - Accent2 6 2 2 3 2 2" xfId="18225" xr:uid="{00000000-0005-0000-0000-0000953F0000}"/>
    <cellStyle name="40% - Accent2 6 2 2 3 3" xfId="18349" xr:uid="{00000000-0005-0000-0000-0000963F0000}"/>
    <cellStyle name="40% - Accent2 6 2 2 4" xfId="18350" xr:uid="{00000000-0005-0000-0000-0000973F0000}"/>
    <cellStyle name="40% - Accent2 6 2 2 4 2" xfId="18351" xr:uid="{00000000-0005-0000-0000-0000983F0000}"/>
    <cellStyle name="40% - Accent2 6 2 2 5" xfId="33916" xr:uid="{00000000-0005-0000-0000-0000993F0000}"/>
    <cellStyle name="40% - Accent2 6 2 3" xfId="26914" xr:uid="{00000000-0005-0000-0000-00009A3F0000}"/>
    <cellStyle name="40% - Accent2 6 2 3 2" xfId="27542" xr:uid="{00000000-0005-0000-0000-00009B3F0000}"/>
    <cellStyle name="40% - Accent2 6 2 3 2 2" xfId="18353" xr:uid="{00000000-0005-0000-0000-00009C3F0000}"/>
    <cellStyle name="40% - Accent2 6 2 3 2 2 2" xfId="17168" xr:uid="{00000000-0005-0000-0000-00009D3F0000}"/>
    <cellStyle name="40% - Accent2 6 2 3 2 3" xfId="18358" xr:uid="{00000000-0005-0000-0000-00009E3F0000}"/>
    <cellStyle name="40% - Accent2 6 2 3 3" xfId="14101" xr:uid="{00000000-0005-0000-0000-00009F3F0000}"/>
    <cellStyle name="40% - Accent2 6 2 3 3 2" xfId="18361" xr:uid="{00000000-0005-0000-0000-0000A03F0000}"/>
    <cellStyle name="40% - Accent2 6 2 3 4" xfId="14104" xr:uid="{00000000-0005-0000-0000-0000A13F0000}"/>
    <cellStyle name="40% - Accent2 6 2 4" xfId="26764" xr:uid="{00000000-0005-0000-0000-0000A23F0000}"/>
    <cellStyle name="40% - Accent2 6 2 4 2" xfId="8884" xr:uid="{00000000-0005-0000-0000-0000A33F0000}"/>
    <cellStyle name="40% - Accent2 6 2 4 2 2" xfId="5680" xr:uid="{00000000-0005-0000-0000-0000A43F0000}"/>
    <cellStyle name="40% - Accent2 6 2 4 3" xfId="5902" xr:uid="{00000000-0005-0000-0000-0000A53F0000}"/>
    <cellStyle name="40% - Accent2 6 2 5" xfId="4072" xr:uid="{00000000-0005-0000-0000-0000A63F0000}"/>
    <cellStyle name="40% - Accent2 6 2 5 2" xfId="5911" xr:uid="{00000000-0005-0000-0000-0000A73F0000}"/>
    <cellStyle name="40% - Accent2 6 2 6" xfId="4884" xr:uid="{00000000-0005-0000-0000-0000A83F0000}"/>
    <cellStyle name="40% - Accent2 6 3" xfId="3678" xr:uid="{00000000-0005-0000-0000-0000A93F0000}"/>
    <cellStyle name="40% - Accent2 6 3 2" xfId="18365" xr:uid="{00000000-0005-0000-0000-0000AA3F0000}"/>
    <cellStyle name="40% - Accent2 6 3 2 2" xfId="18367" xr:uid="{00000000-0005-0000-0000-0000AB3F0000}"/>
    <cellStyle name="40% - Accent2 6 3 2 2 2" xfId="19211" xr:uid="{00000000-0005-0000-0000-0000AC3F0000}"/>
    <cellStyle name="40% - Accent2 6 3 2 2 2 2" xfId="19319" xr:uid="{00000000-0005-0000-0000-0000AD3F0000}"/>
    <cellStyle name="40% - Accent2 6 3 2 2 3" xfId="19590" xr:uid="{00000000-0005-0000-0000-0000AE3F0000}"/>
    <cellStyle name="40% - Accent2 6 3 2 3" xfId="18369" xr:uid="{00000000-0005-0000-0000-0000AF3F0000}"/>
    <cellStyle name="40% - Accent2 6 3 2 3 2" xfId="26966" xr:uid="{00000000-0005-0000-0000-0000B03F0000}"/>
    <cellStyle name="40% - Accent2 6 3 2 4" xfId="18372" xr:uid="{00000000-0005-0000-0000-0000B13F0000}"/>
    <cellStyle name="40% - Accent2 6 3 3" xfId="26769" xr:uid="{00000000-0005-0000-0000-0000B23F0000}"/>
    <cellStyle name="40% - Accent2 6 3 3 2" xfId="14125" xr:uid="{00000000-0005-0000-0000-0000B33F0000}"/>
    <cellStyle name="40% - Accent2 6 3 3 2 2" xfId="18376" xr:uid="{00000000-0005-0000-0000-0000B43F0000}"/>
    <cellStyle name="40% - Accent2 6 3 3 3" xfId="16951" xr:uid="{00000000-0005-0000-0000-0000B53F0000}"/>
    <cellStyle name="40% - Accent2 6 3 4" xfId="9063" xr:uid="{00000000-0005-0000-0000-0000B63F0000}"/>
    <cellStyle name="40% - Accent2 6 3 4 2" xfId="24626" xr:uid="{00000000-0005-0000-0000-0000B73F0000}"/>
    <cellStyle name="40% - Accent2 6 3 5" xfId="9075" xr:uid="{00000000-0005-0000-0000-0000B83F0000}"/>
    <cellStyle name="40% - Accent2 6 4" xfId="18382" xr:uid="{00000000-0005-0000-0000-0000B93F0000}"/>
    <cellStyle name="40% - Accent2 6 4 2" xfId="18384" xr:uid="{00000000-0005-0000-0000-0000BA3F0000}"/>
    <cellStyle name="40% - Accent2 6 4 2 2" xfId="18385" xr:uid="{00000000-0005-0000-0000-0000BB3F0000}"/>
    <cellStyle name="40% - Accent2 6 4 2 2 2" xfId="18387" xr:uid="{00000000-0005-0000-0000-0000BC3F0000}"/>
    <cellStyle name="40% - Accent2 6 4 2 3" xfId="18388" xr:uid="{00000000-0005-0000-0000-0000BD3F0000}"/>
    <cellStyle name="40% - Accent2 6 4 3" xfId="9098" xr:uid="{00000000-0005-0000-0000-0000BE3F0000}"/>
    <cellStyle name="40% - Accent2 6 4 3 2" xfId="11209" xr:uid="{00000000-0005-0000-0000-0000BF3F0000}"/>
    <cellStyle name="40% - Accent2 6 4 4" xfId="9104" xr:uid="{00000000-0005-0000-0000-0000C03F0000}"/>
    <cellStyle name="40% - Accent2 6 5" xfId="12237" xr:uid="{00000000-0005-0000-0000-0000C13F0000}"/>
    <cellStyle name="40% - Accent2 6 5 2" xfId="18391" xr:uid="{00000000-0005-0000-0000-0000C23F0000}"/>
    <cellStyle name="40% - Accent2 6 5 2 2" xfId="18393" xr:uid="{00000000-0005-0000-0000-0000C33F0000}"/>
    <cellStyle name="40% - Accent2 6 5 3" xfId="5349" xr:uid="{00000000-0005-0000-0000-0000C43F0000}"/>
    <cellStyle name="40% - Accent2 6 6" xfId="13440" xr:uid="{00000000-0005-0000-0000-0000C53F0000}"/>
    <cellStyle name="40% - Accent2 6 6 2" xfId="18395" xr:uid="{00000000-0005-0000-0000-0000C63F0000}"/>
    <cellStyle name="40% - Accent2 6 7" xfId="18397" xr:uid="{00000000-0005-0000-0000-0000C73F0000}"/>
    <cellStyle name="40% - Accent2 7" xfId="18399" xr:uid="{00000000-0005-0000-0000-0000C83F0000}"/>
    <cellStyle name="40% - Accent2 7 2" xfId="12684" xr:uid="{00000000-0005-0000-0000-0000C93F0000}"/>
    <cellStyle name="40% - Accent2 7 2 2" xfId="18402" xr:uid="{00000000-0005-0000-0000-0000CA3F0000}"/>
    <cellStyle name="40% - Accent2 7 2 2 2" xfId="18403" xr:uid="{00000000-0005-0000-0000-0000CB3F0000}"/>
    <cellStyle name="40% - Accent2 7 2 2 2 2" xfId="22689" xr:uid="{00000000-0005-0000-0000-0000CC3F0000}"/>
    <cellStyle name="40% - Accent2 7 2 2 2 2 2" xfId="18408" xr:uid="{00000000-0005-0000-0000-0000CD3F0000}"/>
    <cellStyle name="40% - Accent2 7 2 2 2 3" xfId="18410" xr:uid="{00000000-0005-0000-0000-0000CE3F0000}"/>
    <cellStyle name="40% - Accent2 7 2 2 3" xfId="18413" xr:uid="{00000000-0005-0000-0000-0000CF3F0000}"/>
    <cellStyle name="40% - Accent2 7 2 2 3 2" xfId="18415" xr:uid="{00000000-0005-0000-0000-0000D03F0000}"/>
    <cellStyle name="40% - Accent2 7 2 2 4" xfId="18417" xr:uid="{00000000-0005-0000-0000-0000D13F0000}"/>
    <cellStyle name="40% - Accent2 7 2 3" xfId="19390" xr:uid="{00000000-0005-0000-0000-0000D23F0000}"/>
    <cellStyle name="40% - Accent2 7 2 3 2" xfId="16677" xr:uid="{00000000-0005-0000-0000-0000D33F0000}"/>
    <cellStyle name="40% - Accent2 7 2 3 2 2" xfId="18419" xr:uid="{00000000-0005-0000-0000-0000D43F0000}"/>
    <cellStyle name="40% - Accent2 7 2 3 3" xfId="6147" xr:uid="{00000000-0005-0000-0000-0000D53F0000}"/>
    <cellStyle name="40% - Accent2 7 2 4" xfId="4205" xr:uid="{00000000-0005-0000-0000-0000D63F0000}"/>
    <cellStyle name="40% - Accent2 7 2 4 2" xfId="11529" xr:uid="{00000000-0005-0000-0000-0000D73F0000}"/>
    <cellStyle name="40% - Accent2 7 2 5" xfId="7982" xr:uid="{00000000-0005-0000-0000-0000D83F0000}"/>
    <cellStyle name="40% - Accent2 7 3" xfId="18420" xr:uid="{00000000-0005-0000-0000-0000D93F0000}"/>
    <cellStyle name="40% - Accent2 7 3 2" xfId="26751" xr:uid="{00000000-0005-0000-0000-0000DA3F0000}"/>
    <cellStyle name="40% - Accent2 7 3 2 2" xfId="18422" xr:uid="{00000000-0005-0000-0000-0000DB3F0000}"/>
    <cellStyle name="40% - Accent2 7 3 2 2 2" xfId="18424" xr:uid="{00000000-0005-0000-0000-0000DC3F0000}"/>
    <cellStyle name="40% - Accent2 7 3 2 3" xfId="18425" xr:uid="{00000000-0005-0000-0000-0000DD3F0000}"/>
    <cellStyle name="40% - Accent2 7 3 3" xfId="9155" xr:uid="{00000000-0005-0000-0000-0000DE3F0000}"/>
    <cellStyle name="40% - Accent2 7 3 3 2" xfId="10827" xr:uid="{00000000-0005-0000-0000-0000DF3F0000}"/>
    <cellStyle name="40% - Accent2 7 3 4" xfId="9161" xr:uid="{00000000-0005-0000-0000-0000E03F0000}"/>
    <cellStyle name="40% - Accent2 7 4" xfId="18427" xr:uid="{00000000-0005-0000-0000-0000E13F0000}"/>
    <cellStyle name="40% - Accent2 7 4 2" xfId="18430" xr:uid="{00000000-0005-0000-0000-0000E23F0000}"/>
    <cellStyle name="40% - Accent2 7 4 2 2" xfId="18432" xr:uid="{00000000-0005-0000-0000-0000E33F0000}"/>
    <cellStyle name="40% - Accent2 7 4 3" xfId="8059" xr:uid="{00000000-0005-0000-0000-0000E43F0000}"/>
    <cellStyle name="40% - Accent2 7 5" xfId="7066" xr:uid="{00000000-0005-0000-0000-0000E53F0000}"/>
    <cellStyle name="40% - Accent2 7 5 2" xfId="18434" xr:uid="{00000000-0005-0000-0000-0000E63F0000}"/>
    <cellStyle name="40% - Accent2 7 6" xfId="18436" xr:uid="{00000000-0005-0000-0000-0000E73F0000}"/>
    <cellStyle name="40% - Accent2 8" xfId="18437" xr:uid="{00000000-0005-0000-0000-0000E83F0000}"/>
    <cellStyle name="40% - Accent2 8 2" xfId="18439" xr:uid="{00000000-0005-0000-0000-0000E93F0000}"/>
    <cellStyle name="40% - Accent2 8 2 2" xfId="1375" xr:uid="{00000000-0005-0000-0000-0000EA3F0000}"/>
    <cellStyle name="40% - Accent2 8 2 2 2" xfId="18441" xr:uid="{00000000-0005-0000-0000-0000EB3F0000}"/>
    <cellStyle name="40% - Accent2 8 2 2 2 2" xfId="18444" xr:uid="{00000000-0005-0000-0000-0000EC3F0000}"/>
    <cellStyle name="40% - Accent2 8 2 2 3" xfId="18445" xr:uid="{00000000-0005-0000-0000-0000ED3F0000}"/>
    <cellStyle name="40% - Accent2 8 2 3" xfId="2433" xr:uid="{00000000-0005-0000-0000-0000EE3F0000}"/>
    <cellStyle name="40% - Accent2 8 2 3 2" xfId="10968" xr:uid="{00000000-0005-0000-0000-0000EF3F0000}"/>
    <cellStyle name="40% - Accent2 8 2 4" xfId="4214" xr:uid="{00000000-0005-0000-0000-0000F03F0000}"/>
    <cellStyle name="40% - Accent2 8 3" xfId="18447" xr:uid="{00000000-0005-0000-0000-0000F13F0000}"/>
    <cellStyle name="40% - Accent2 8 3 2" xfId="18451" xr:uid="{00000000-0005-0000-0000-0000F23F0000}"/>
    <cellStyle name="40% - Accent2 8 3 2 2" xfId="14371" xr:uid="{00000000-0005-0000-0000-0000F33F0000}"/>
    <cellStyle name="40% - Accent2 8 3 3" xfId="9211" xr:uid="{00000000-0005-0000-0000-0000F43F0000}"/>
    <cellStyle name="40% - Accent2 8 4" xfId="24259" xr:uid="{00000000-0005-0000-0000-0000F53F0000}"/>
    <cellStyle name="40% - Accent2 8 4 2" xfId="18455" xr:uid="{00000000-0005-0000-0000-0000F63F0000}"/>
    <cellStyle name="40% - Accent2 8 5" xfId="18456" xr:uid="{00000000-0005-0000-0000-0000F73F0000}"/>
    <cellStyle name="40% - Accent2 9" xfId="14362" xr:uid="{00000000-0005-0000-0000-0000F83F0000}"/>
    <cellStyle name="40% - Accent2 9 2" xfId="18457" xr:uid="{00000000-0005-0000-0000-0000F93F0000}"/>
    <cellStyle name="40% - Accent2 9 2 2" xfId="23064" xr:uid="{00000000-0005-0000-0000-0000FA3F0000}"/>
    <cellStyle name="40% - Accent2 9 2 2 2" xfId="18458" xr:uid="{00000000-0005-0000-0000-0000FB3F0000}"/>
    <cellStyle name="40% - Accent2 9 2 3" xfId="8872" xr:uid="{00000000-0005-0000-0000-0000FC3F0000}"/>
    <cellStyle name="40% - Accent2 9 3" xfId="32552" xr:uid="{00000000-0005-0000-0000-0000FD3F0000}"/>
    <cellStyle name="40% - Accent2 9 3 2" xfId="18460" xr:uid="{00000000-0005-0000-0000-0000FE3F0000}"/>
    <cellStyle name="40% - Accent2 9 4" xfId="30132" xr:uid="{00000000-0005-0000-0000-0000FF3F0000}"/>
    <cellStyle name="40% - Accent3 10" xfId="28070" xr:uid="{00000000-0005-0000-0000-000000400000}"/>
    <cellStyle name="40% - Accent3 10 2" xfId="18462" xr:uid="{00000000-0005-0000-0000-000001400000}"/>
    <cellStyle name="40% - Accent3 10 2 2" xfId="18465" xr:uid="{00000000-0005-0000-0000-000002400000}"/>
    <cellStyle name="40% - Accent3 10 3" xfId="29730" xr:uid="{00000000-0005-0000-0000-000003400000}"/>
    <cellStyle name="40% - Accent3 11" xfId="18467" xr:uid="{00000000-0005-0000-0000-000004400000}"/>
    <cellStyle name="40% - Accent3 11 2" xfId="18469" xr:uid="{00000000-0005-0000-0000-000005400000}"/>
    <cellStyle name="40% - Accent3 12" xfId="18585" xr:uid="{00000000-0005-0000-0000-000006400000}"/>
    <cellStyle name="40% - Accent3 13" xfId="3995" xr:uid="{00000000-0005-0000-0000-000007400000}"/>
    <cellStyle name="40% - Accent3 2" xfId="29672" xr:uid="{00000000-0005-0000-0000-000008400000}"/>
    <cellStyle name="40% - Accent3 2 10" xfId="24952" xr:uid="{00000000-0005-0000-0000-000009400000}"/>
    <cellStyle name="40% - Accent3 2 10 2" xfId="18470" xr:uid="{00000000-0005-0000-0000-00000A400000}"/>
    <cellStyle name="40% - Accent3 2 11" xfId="18472" xr:uid="{00000000-0005-0000-0000-00000B400000}"/>
    <cellStyle name="40% - Accent3 2 2" xfId="18475" xr:uid="{00000000-0005-0000-0000-00000C400000}"/>
    <cellStyle name="40% - Accent3 2 2 10" xfId="8053" xr:uid="{00000000-0005-0000-0000-00000D400000}"/>
    <cellStyle name="40% - Accent3 2 2 2" xfId="23091" xr:uid="{00000000-0005-0000-0000-00000E400000}"/>
    <cellStyle name="40% - Accent3 2 2 2 2" xfId="23096" xr:uid="{00000000-0005-0000-0000-00000F400000}"/>
    <cellStyle name="40% - Accent3 2 2 2 2 2" xfId="18477" xr:uid="{00000000-0005-0000-0000-000010400000}"/>
    <cellStyle name="40% - Accent3 2 2 2 2 2 2" xfId="23103" xr:uid="{00000000-0005-0000-0000-000011400000}"/>
    <cellStyle name="40% - Accent3 2 2 2 2 2 2 2" xfId="6868" xr:uid="{00000000-0005-0000-0000-000012400000}"/>
    <cellStyle name="40% - Accent3 2 2 2 2 2 2 2 2" xfId="31758" xr:uid="{00000000-0005-0000-0000-000013400000}"/>
    <cellStyle name="40% - Accent3 2 2 2 2 2 2 2 2 2" xfId="4664" xr:uid="{00000000-0005-0000-0000-000014400000}"/>
    <cellStyle name="40% - Accent3 2 2 2 2 2 2 2 2 2 2" xfId="18480" xr:uid="{00000000-0005-0000-0000-000015400000}"/>
    <cellStyle name="40% - Accent3 2 2 2 2 2 2 2 2 2 2 2" xfId="18484" xr:uid="{00000000-0005-0000-0000-000016400000}"/>
    <cellStyle name="40% - Accent3 2 2 2 2 2 2 2 2 2 3" xfId="15173" xr:uid="{00000000-0005-0000-0000-000017400000}"/>
    <cellStyle name="40% - Accent3 2 2 2 2 2 2 2 2 3" xfId="22091" xr:uid="{00000000-0005-0000-0000-000018400000}"/>
    <cellStyle name="40% - Accent3 2 2 2 2 2 2 2 2 3 2" xfId="18487" xr:uid="{00000000-0005-0000-0000-000019400000}"/>
    <cellStyle name="40% - Accent3 2 2 2 2 2 2 2 2 4" xfId="17440" xr:uid="{00000000-0005-0000-0000-00001A400000}"/>
    <cellStyle name="40% - Accent3 2 2 2 2 2 2 2 3" xfId="28694" xr:uid="{00000000-0005-0000-0000-00001B400000}"/>
    <cellStyle name="40% - Accent3 2 2 2 2 2 2 2 3 2" xfId="1115" xr:uid="{00000000-0005-0000-0000-00001C400000}"/>
    <cellStyle name="40% - Accent3 2 2 2 2 2 2 2 3 2 2" xfId="2673" xr:uid="{00000000-0005-0000-0000-00001D400000}"/>
    <cellStyle name="40% - Accent3 2 2 2 2 2 2 2 3 3" xfId="2359" xr:uid="{00000000-0005-0000-0000-00001E400000}"/>
    <cellStyle name="40% - Accent3 2 2 2 2 2 2 2 4" xfId="18491" xr:uid="{00000000-0005-0000-0000-00001F400000}"/>
    <cellStyle name="40% - Accent3 2 2 2 2 2 2 2 4 2" xfId="24942" xr:uid="{00000000-0005-0000-0000-000020400000}"/>
    <cellStyle name="40% - Accent3 2 2 2 2 2 2 2 5" xfId="31738" xr:uid="{00000000-0005-0000-0000-000021400000}"/>
    <cellStyle name="40% - Accent3 2 2 2 2 2 2 3" xfId="13652" xr:uid="{00000000-0005-0000-0000-000022400000}"/>
    <cellStyle name="40% - Accent3 2 2 2 2 2 2 3 2" xfId="18492" xr:uid="{00000000-0005-0000-0000-000023400000}"/>
    <cellStyle name="40% - Accent3 2 2 2 2 2 2 3 2 2" xfId="17853" xr:uid="{00000000-0005-0000-0000-000024400000}"/>
    <cellStyle name="40% - Accent3 2 2 2 2 2 2 3 2 2 2" xfId="18493" xr:uid="{00000000-0005-0000-0000-000025400000}"/>
    <cellStyle name="40% - Accent3 2 2 2 2 2 2 3 2 3" xfId="23306" xr:uid="{00000000-0005-0000-0000-000026400000}"/>
    <cellStyle name="40% - Accent3 2 2 2 2 2 2 3 3" xfId="18500" xr:uid="{00000000-0005-0000-0000-000027400000}"/>
    <cellStyle name="40% - Accent3 2 2 2 2 2 2 3 3 2" xfId="2043" xr:uid="{00000000-0005-0000-0000-000028400000}"/>
    <cellStyle name="40% - Accent3 2 2 2 2 2 2 3 4" xfId="18502" xr:uid="{00000000-0005-0000-0000-000029400000}"/>
    <cellStyle name="40% - Accent3 2 2 2 2 2 2 4" xfId="13667" xr:uid="{00000000-0005-0000-0000-00002A400000}"/>
    <cellStyle name="40% - Accent3 2 2 2 2 2 2 4 2" xfId="18506" xr:uid="{00000000-0005-0000-0000-00002B400000}"/>
    <cellStyle name="40% - Accent3 2 2 2 2 2 2 4 2 2" xfId="473" xr:uid="{00000000-0005-0000-0000-00002C400000}"/>
    <cellStyle name="40% - Accent3 2 2 2 2 2 2 4 3" xfId="18508" xr:uid="{00000000-0005-0000-0000-00002D400000}"/>
    <cellStyle name="40% - Accent3 2 2 2 2 2 2 5" xfId="17100" xr:uid="{00000000-0005-0000-0000-00002E400000}"/>
    <cellStyle name="40% - Accent3 2 2 2 2 2 2 5 2" xfId="15738" xr:uid="{00000000-0005-0000-0000-00002F400000}"/>
    <cellStyle name="40% - Accent3 2 2 2 2 2 2 6" xfId="13672" xr:uid="{00000000-0005-0000-0000-000030400000}"/>
    <cellStyle name="40% - Accent3 2 2 2 2 2 3" xfId="23752" xr:uid="{00000000-0005-0000-0000-000031400000}"/>
    <cellStyle name="40% - Accent3 2 2 2 2 2 3 2" xfId="24691" xr:uid="{00000000-0005-0000-0000-000032400000}"/>
    <cellStyle name="40% - Accent3 2 2 2 2 2 3 2 2" xfId="5644" xr:uid="{00000000-0005-0000-0000-000033400000}"/>
    <cellStyle name="40% - Accent3 2 2 2 2 2 3 2 2 2" xfId="33390" xr:uid="{00000000-0005-0000-0000-000034400000}"/>
    <cellStyle name="40% - Accent3 2 2 2 2 2 3 2 2 2 2" xfId="18519" xr:uid="{00000000-0005-0000-0000-000035400000}"/>
    <cellStyle name="40% - Accent3 2 2 2 2 2 3 2 2 3" xfId="18522" xr:uid="{00000000-0005-0000-0000-000036400000}"/>
    <cellStyle name="40% - Accent3 2 2 2 2 2 3 2 3" xfId="18527" xr:uid="{00000000-0005-0000-0000-000037400000}"/>
    <cellStyle name="40% - Accent3 2 2 2 2 2 3 2 3 2" xfId="2441" xr:uid="{00000000-0005-0000-0000-000038400000}"/>
    <cellStyle name="40% - Accent3 2 2 2 2 2 3 2 4" xfId="28453" xr:uid="{00000000-0005-0000-0000-000039400000}"/>
    <cellStyle name="40% - Accent3 2 2 2 2 2 3 3" xfId="23132" xr:uid="{00000000-0005-0000-0000-00003A400000}"/>
    <cellStyle name="40% - Accent3 2 2 2 2 2 3 3 2" xfId="18530" xr:uid="{00000000-0005-0000-0000-00003B400000}"/>
    <cellStyle name="40% - Accent3 2 2 2 2 2 3 3 2 2" xfId="18531" xr:uid="{00000000-0005-0000-0000-00003C400000}"/>
    <cellStyle name="40% - Accent3 2 2 2 2 2 3 3 3" xfId="18533" xr:uid="{00000000-0005-0000-0000-00003D400000}"/>
    <cellStyle name="40% - Accent3 2 2 2 2 2 3 4" xfId="11267" xr:uid="{00000000-0005-0000-0000-00003E400000}"/>
    <cellStyle name="40% - Accent3 2 2 2 2 2 3 4 2" xfId="18537" xr:uid="{00000000-0005-0000-0000-00003F400000}"/>
    <cellStyle name="40% - Accent3 2 2 2 2 2 3 5" xfId="11317" xr:uid="{00000000-0005-0000-0000-000040400000}"/>
    <cellStyle name="40% - Accent3 2 2 2 2 2 4" xfId="23121" xr:uid="{00000000-0005-0000-0000-000041400000}"/>
    <cellStyle name="40% - Accent3 2 2 2 2 2 4 2" xfId="18541" xr:uid="{00000000-0005-0000-0000-000042400000}"/>
    <cellStyle name="40% - Accent3 2 2 2 2 2 4 2 2" xfId="23431" xr:uid="{00000000-0005-0000-0000-000043400000}"/>
    <cellStyle name="40% - Accent3 2 2 2 2 2 4 2 2 2" xfId="19130" xr:uid="{00000000-0005-0000-0000-000044400000}"/>
    <cellStyle name="40% - Accent3 2 2 2 2 2 4 2 3" xfId="18546" xr:uid="{00000000-0005-0000-0000-000045400000}"/>
    <cellStyle name="40% - Accent3 2 2 2 2 2 4 3" xfId="25699" xr:uid="{00000000-0005-0000-0000-000046400000}"/>
    <cellStyle name="40% - Accent3 2 2 2 2 2 4 3 2" xfId="23450" xr:uid="{00000000-0005-0000-0000-000047400000}"/>
    <cellStyle name="40% - Accent3 2 2 2 2 2 4 4" xfId="11308" xr:uid="{00000000-0005-0000-0000-000048400000}"/>
    <cellStyle name="40% - Accent3 2 2 2 2 2 5" xfId="18548" xr:uid="{00000000-0005-0000-0000-000049400000}"/>
    <cellStyle name="40% - Accent3 2 2 2 2 2 5 2" xfId="18549" xr:uid="{00000000-0005-0000-0000-00004A400000}"/>
    <cellStyle name="40% - Accent3 2 2 2 2 2 5 2 2" xfId="23514" xr:uid="{00000000-0005-0000-0000-00004B400000}"/>
    <cellStyle name="40% - Accent3 2 2 2 2 2 5 3" xfId="27140" xr:uid="{00000000-0005-0000-0000-00004C400000}"/>
    <cellStyle name="40% - Accent3 2 2 2 2 2 6" xfId="29344" xr:uid="{00000000-0005-0000-0000-00004D400000}"/>
    <cellStyle name="40% - Accent3 2 2 2 2 2 6 2" xfId="20522" xr:uid="{00000000-0005-0000-0000-00004E400000}"/>
    <cellStyle name="40% - Accent3 2 2 2 2 2 7" xfId="2095" xr:uid="{00000000-0005-0000-0000-00004F400000}"/>
    <cellStyle name="40% - Accent3 2 2 2 2 3" xfId="24707" xr:uid="{00000000-0005-0000-0000-000050400000}"/>
    <cellStyle name="40% - Accent3 2 2 2 2 3 2" xfId="19410" xr:uid="{00000000-0005-0000-0000-000051400000}"/>
    <cellStyle name="40% - Accent3 2 2 2 2 3 2 2" xfId="18552" xr:uid="{00000000-0005-0000-0000-000052400000}"/>
    <cellStyle name="40% - Accent3 2 2 2 2 3 2 2 2" xfId="18562" xr:uid="{00000000-0005-0000-0000-000053400000}"/>
    <cellStyle name="40% - Accent3 2 2 2 2 3 2 2 2 2" xfId="18564" xr:uid="{00000000-0005-0000-0000-000054400000}"/>
    <cellStyle name="40% - Accent3 2 2 2 2 3 2 2 2 2 2" xfId="31465" xr:uid="{00000000-0005-0000-0000-000055400000}"/>
    <cellStyle name="40% - Accent3 2 2 2 2 3 2 2 2 3" xfId="18566" xr:uid="{00000000-0005-0000-0000-000056400000}"/>
    <cellStyle name="40% - Accent3 2 2 2 2 3 2 2 3" xfId="33343" xr:uid="{00000000-0005-0000-0000-000057400000}"/>
    <cellStyle name="40% - Accent3 2 2 2 2 3 2 2 3 2" xfId="1314" xr:uid="{00000000-0005-0000-0000-000058400000}"/>
    <cellStyle name="40% - Accent3 2 2 2 2 3 2 2 4" xfId="18570" xr:uid="{00000000-0005-0000-0000-000059400000}"/>
    <cellStyle name="40% - Accent3 2 2 2 2 3 2 3" xfId="13766" xr:uid="{00000000-0005-0000-0000-00005A400000}"/>
    <cellStyle name="40% - Accent3 2 2 2 2 3 2 3 2" xfId="18571" xr:uid="{00000000-0005-0000-0000-00005B400000}"/>
    <cellStyle name="40% - Accent3 2 2 2 2 3 2 3 2 2" xfId="18572" xr:uid="{00000000-0005-0000-0000-00005C400000}"/>
    <cellStyle name="40% - Accent3 2 2 2 2 3 2 3 3" xfId="18573" xr:uid="{00000000-0005-0000-0000-00005D400000}"/>
    <cellStyle name="40% - Accent3 2 2 2 2 3 2 4" xfId="32226" xr:uid="{00000000-0005-0000-0000-00005E400000}"/>
    <cellStyle name="40% - Accent3 2 2 2 2 3 2 4 2" xfId="18577" xr:uid="{00000000-0005-0000-0000-00005F400000}"/>
    <cellStyle name="40% - Accent3 2 2 2 2 3 2 5" xfId="15878" xr:uid="{00000000-0005-0000-0000-000060400000}"/>
    <cellStyle name="40% - Accent3 2 2 2 2 3 3" xfId="21561" xr:uid="{00000000-0005-0000-0000-000061400000}"/>
    <cellStyle name="40% - Accent3 2 2 2 2 3 3 2" xfId="32246" xr:uid="{00000000-0005-0000-0000-000062400000}"/>
    <cellStyle name="40% - Accent3 2 2 2 2 3 3 2 2" xfId="18579" xr:uid="{00000000-0005-0000-0000-000063400000}"/>
    <cellStyle name="40% - Accent3 2 2 2 2 3 3 2 2 2" xfId="17913" xr:uid="{00000000-0005-0000-0000-000064400000}"/>
    <cellStyle name="40% - Accent3 2 2 2 2 3 3 2 3" xfId="18580" xr:uid="{00000000-0005-0000-0000-000065400000}"/>
    <cellStyle name="40% - Accent3 2 2 2 2 3 3 3" xfId="28236" xr:uid="{00000000-0005-0000-0000-000066400000}"/>
    <cellStyle name="40% - Accent3 2 2 2 2 3 3 3 2" xfId="18581" xr:uid="{00000000-0005-0000-0000-000067400000}"/>
    <cellStyle name="40% - Accent3 2 2 2 2 3 3 4" xfId="11380" xr:uid="{00000000-0005-0000-0000-000068400000}"/>
    <cellStyle name="40% - Accent3 2 2 2 2 3 4" xfId="18582" xr:uid="{00000000-0005-0000-0000-000069400000}"/>
    <cellStyle name="40% - Accent3 2 2 2 2 3 4 2" xfId="18583" xr:uid="{00000000-0005-0000-0000-00006A400000}"/>
    <cellStyle name="40% - Accent3 2 2 2 2 3 4 2 2" xfId="23688" xr:uid="{00000000-0005-0000-0000-00006B400000}"/>
    <cellStyle name="40% - Accent3 2 2 2 2 3 4 3" xfId="3996" xr:uid="{00000000-0005-0000-0000-00006C400000}"/>
    <cellStyle name="40% - Accent3 2 2 2 2 3 5" xfId="18586" xr:uid="{00000000-0005-0000-0000-00006D400000}"/>
    <cellStyle name="40% - Accent3 2 2 2 2 3 5 2" xfId="27501" xr:uid="{00000000-0005-0000-0000-00006E400000}"/>
    <cellStyle name="40% - Accent3 2 2 2 2 3 6" xfId="18969" xr:uid="{00000000-0005-0000-0000-00006F400000}"/>
    <cellStyle name="40% - Accent3 2 2 2 2 4" xfId="22436" xr:uid="{00000000-0005-0000-0000-000070400000}"/>
    <cellStyle name="40% - Accent3 2 2 2 2 4 2" xfId="19436" xr:uid="{00000000-0005-0000-0000-000071400000}"/>
    <cellStyle name="40% - Accent3 2 2 2 2 4 2 2" xfId="17419" xr:uid="{00000000-0005-0000-0000-000072400000}"/>
    <cellStyle name="40% - Accent3 2 2 2 2 4 2 2 2" xfId="3240" xr:uid="{00000000-0005-0000-0000-000073400000}"/>
    <cellStyle name="40% - Accent3 2 2 2 2 4 2 2 2 2" xfId="18599" xr:uid="{00000000-0005-0000-0000-000074400000}"/>
    <cellStyle name="40% - Accent3 2 2 2 2 4 2 2 3" xfId="29797" xr:uid="{00000000-0005-0000-0000-000075400000}"/>
    <cellStyle name="40% - Accent3 2 2 2 2 4 2 3" xfId="13805" xr:uid="{00000000-0005-0000-0000-000076400000}"/>
    <cellStyle name="40% - Accent3 2 2 2 2 4 2 3 2" xfId="12370" xr:uid="{00000000-0005-0000-0000-000077400000}"/>
    <cellStyle name="40% - Accent3 2 2 2 2 4 2 4" xfId="14854" xr:uid="{00000000-0005-0000-0000-000078400000}"/>
    <cellStyle name="40% - Accent3 2 2 2 2 4 3" xfId="1857" xr:uid="{00000000-0005-0000-0000-000079400000}"/>
    <cellStyle name="40% - Accent3 2 2 2 2 4 3 2" xfId="32270" xr:uid="{00000000-0005-0000-0000-00007A400000}"/>
    <cellStyle name="40% - Accent3 2 2 2 2 4 3 2 2" xfId="18602" xr:uid="{00000000-0005-0000-0000-00007B400000}"/>
    <cellStyle name="40% - Accent3 2 2 2 2 4 3 3" xfId="32791" xr:uid="{00000000-0005-0000-0000-00007C400000}"/>
    <cellStyle name="40% - Accent3 2 2 2 2 4 4" xfId="18603" xr:uid="{00000000-0005-0000-0000-00007D400000}"/>
    <cellStyle name="40% - Accent3 2 2 2 2 4 4 2" xfId="32896" xr:uid="{00000000-0005-0000-0000-00007E400000}"/>
    <cellStyle name="40% - Accent3 2 2 2 2 4 5" xfId="18604" xr:uid="{00000000-0005-0000-0000-00007F400000}"/>
    <cellStyle name="40% - Accent3 2 2 2 2 5" xfId="21608" xr:uid="{00000000-0005-0000-0000-000080400000}"/>
    <cellStyle name="40% - Accent3 2 2 2 2 5 2" xfId="1779" xr:uid="{00000000-0005-0000-0000-000081400000}"/>
    <cellStyle name="40% - Accent3 2 2 2 2 5 2 2" xfId="15071" xr:uid="{00000000-0005-0000-0000-000082400000}"/>
    <cellStyle name="40% - Accent3 2 2 2 2 5 2 2 2" xfId="6638" xr:uid="{00000000-0005-0000-0000-000083400000}"/>
    <cellStyle name="40% - Accent3 2 2 2 2 5 2 3" xfId="29326" xr:uid="{00000000-0005-0000-0000-000084400000}"/>
    <cellStyle name="40% - Accent3 2 2 2 2 5 3" xfId="18609" xr:uid="{00000000-0005-0000-0000-000085400000}"/>
    <cellStyle name="40% - Accent3 2 2 2 2 5 3 2" xfId="31205" xr:uid="{00000000-0005-0000-0000-000086400000}"/>
    <cellStyle name="40% - Accent3 2 2 2 2 5 4" xfId="18610" xr:uid="{00000000-0005-0000-0000-000087400000}"/>
    <cellStyle name="40% - Accent3 2 2 2 2 6" xfId="18611" xr:uid="{00000000-0005-0000-0000-000088400000}"/>
    <cellStyle name="40% - Accent3 2 2 2 2 6 2" xfId="18613" xr:uid="{00000000-0005-0000-0000-000089400000}"/>
    <cellStyle name="40% - Accent3 2 2 2 2 6 2 2" xfId="18616" xr:uid="{00000000-0005-0000-0000-00008A400000}"/>
    <cellStyle name="40% - Accent3 2 2 2 2 6 3" xfId="18619" xr:uid="{00000000-0005-0000-0000-00008B400000}"/>
    <cellStyle name="40% - Accent3 2 2 2 2 7" xfId="8887" xr:uid="{00000000-0005-0000-0000-00008C400000}"/>
    <cellStyle name="40% - Accent3 2 2 2 2 7 2" xfId="8891" xr:uid="{00000000-0005-0000-0000-00008D400000}"/>
    <cellStyle name="40% - Accent3 2 2 2 2 8" xfId="8898" xr:uid="{00000000-0005-0000-0000-00008E400000}"/>
    <cellStyle name="40% - Accent3 2 2 2 3" xfId="22510" xr:uid="{00000000-0005-0000-0000-00008F400000}"/>
    <cellStyle name="40% - Accent3 2 2 2 3 2" xfId="18622" xr:uid="{00000000-0005-0000-0000-000090400000}"/>
    <cellStyle name="40% - Accent3 2 2 2 3 2 2" xfId="23128" xr:uid="{00000000-0005-0000-0000-000091400000}"/>
    <cellStyle name="40% - Accent3 2 2 2 3 2 2 2" xfId="2607" xr:uid="{00000000-0005-0000-0000-000092400000}"/>
    <cellStyle name="40% - Accent3 2 2 2 3 2 2 2 2" xfId="18626" xr:uid="{00000000-0005-0000-0000-000093400000}"/>
    <cellStyle name="40% - Accent3 2 2 2 3 2 2 2 2 2" xfId="19739" xr:uid="{00000000-0005-0000-0000-000094400000}"/>
    <cellStyle name="40% - Accent3 2 2 2 3 2 2 2 2 2 2" xfId="3071" xr:uid="{00000000-0005-0000-0000-000095400000}"/>
    <cellStyle name="40% - Accent3 2 2 2 3 2 2 2 2 3" xfId="18631" xr:uid="{00000000-0005-0000-0000-000096400000}"/>
    <cellStyle name="40% - Accent3 2 2 2 3 2 2 2 3" xfId="18633" xr:uid="{00000000-0005-0000-0000-000097400000}"/>
    <cellStyle name="40% - Accent3 2 2 2 3 2 2 2 3 2" xfId="25554" xr:uid="{00000000-0005-0000-0000-000098400000}"/>
    <cellStyle name="40% - Accent3 2 2 2 3 2 2 2 4" xfId="18634" xr:uid="{00000000-0005-0000-0000-000099400000}"/>
    <cellStyle name="40% - Accent3 2 2 2 3 2 2 3" xfId="6551" xr:uid="{00000000-0005-0000-0000-00009A400000}"/>
    <cellStyle name="40% - Accent3 2 2 2 3 2 2 3 2" xfId="18636" xr:uid="{00000000-0005-0000-0000-00009B400000}"/>
    <cellStyle name="40% - Accent3 2 2 2 3 2 2 3 2 2" xfId="19736" xr:uid="{00000000-0005-0000-0000-00009C400000}"/>
    <cellStyle name="40% - Accent3 2 2 2 3 2 2 3 3" xfId="18690" xr:uid="{00000000-0005-0000-0000-00009D400000}"/>
    <cellStyle name="40% - Accent3 2 2 2 3 2 2 4" xfId="24661" xr:uid="{00000000-0005-0000-0000-00009E400000}"/>
    <cellStyle name="40% - Accent3 2 2 2 3 2 2 4 2" xfId="18637" xr:uid="{00000000-0005-0000-0000-00009F400000}"/>
    <cellStyle name="40% - Accent3 2 2 2 3 2 2 5" xfId="15259" xr:uid="{00000000-0005-0000-0000-0000A0400000}"/>
    <cellStyle name="40% - Accent3 2 2 2 3 2 3" xfId="23142" xr:uid="{00000000-0005-0000-0000-0000A1400000}"/>
    <cellStyle name="40% - Accent3 2 2 2 3 2 3 2" xfId="25547" xr:uid="{00000000-0005-0000-0000-0000A2400000}"/>
    <cellStyle name="40% - Accent3 2 2 2 3 2 3 2 2" xfId="18639" xr:uid="{00000000-0005-0000-0000-0000A3400000}"/>
    <cellStyle name="40% - Accent3 2 2 2 3 2 3 2 2 2" xfId="19773" xr:uid="{00000000-0005-0000-0000-0000A4400000}"/>
    <cellStyle name="40% - Accent3 2 2 2 3 2 3 2 3" xfId="11819" xr:uid="{00000000-0005-0000-0000-0000A5400000}"/>
    <cellStyle name="40% - Accent3 2 2 2 3 2 3 3" xfId="27650" xr:uid="{00000000-0005-0000-0000-0000A6400000}"/>
    <cellStyle name="40% - Accent3 2 2 2 3 2 3 3 2" xfId="18640" xr:uid="{00000000-0005-0000-0000-0000A7400000}"/>
    <cellStyle name="40% - Accent3 2 2 2 3 2 3 4" xfId="17292" xr:uid="{00000000-0005-0000-0000-0000A8400000}"/>
    <cellStyle name="40% - Accent3 2 2 2 3 2 4" xfId="18642" xr:uid="{00000000-0005-0000-0000-0000A9400000}"/>
    <cellStyle name="40% - Accent3 2 2 2 3 2 4 2" xfId="18648" xr:uid="{00000000-0005-0000-0000-0000AA400000}"/>
    <cellStyle name="40% - Accent3 2 2 2 3 2 4 2 2" xfId="18652" xr:uid="{00000000-0005-0000-0000-0000AB400000}"/>
    <cellStyle name="40% - Accent3 2 2 2 3 2 4 3" xfId="5983" xr:uid="{00000000-0005-0000-0000-0000AC400000}"/>
    <cellStyle name="40% - Accent3 2 2 2 3 2 5" xfId="18656" xr:uid="{00000000-0005-0000-0000-0000AD400000}"/>
    <cellStyle name="40% - Accent3 2 2 2 3 2 5 2" xfId="18658" xr:uid="{00000000-0005-0000-0000-0000AE400000}"/>
    <cellStyle name="40% - Accent3 2 2 2 3 2 6" xfId="18661" xr:uid="{00000000-0005-0000-0000-0000AF400000}"/>
    <cellStyle name="40% - Accent3 2 2 2 3 3" xfId="19433" xr:uid="{00000000-0005-0000-0000-0000B0400000}"/>
    <cellStyle name="40% - Accent3 2 2 2 3 3 2" xfId="21972" xr:uid="{00000000-0005-0000-0000-0000B1400000}"/>
    <cellStyle name="40% - Accent3 2 2 2 3 3 2 2" xfId="18663" xr:uid="{00000000-0005-0000-0000-0000B2400000}"/>
    <cellStyle name="40% - Accent3 2 2 2 3 3 2 2 2" xfId="18665" xr:uid="{00000000-0005-0000-0000-0000B3400000}"/>
    <cellStyle name="40% - Accent3 2 2 2 3 3 2 2 2 2" xfId="20066" xr:uid="{00000000-0005-0000-0000-0000B4400000}"/>
    <cellStyle name="40% - Accent3 2 2 2 3 3 2 2 3" xfId="1407" xr:uid="{00000000-0005-0000-0000-0000B5400000}"/>
    <cellStyle name="40% - Accent3 2 2 2 3 3 2 3" xfId="4400" xr:uid="{00000000-0005-0000-0000-0000B6400000}"/>
    <cellStyle name="40% - Accent3 2 2 2 3 3 2 3 2" xfId="18666" xr:uid="{00000000-0005-0000-0000-0000B7400000}"/>
    <cellStyle name="40% - Accent3 2 2 2 3 3 2 4" xfId="17382" xr:uid="{00000000-0005-0000-0000-0000B8400000}"/>
    <cellStyle name="40% - Accent3 2 2 2 3 3 3" xfId="18668" xr:uid="{00000000-0005-0000-0000-0000B9400000}"/>
    <cellStyle name="40% - Accent3 2 2 2 3 3 3 2" xfId="22974" xr:uid="{00000000-0005-0000-0000-0000BA400000}"/>
    <cellStyle name="40% - Accent3 2 2 2 3 3 3 2 2" xfId="18669" xr:uid="{00000000-0005-0000-0000-0000BB400000}"/>
    <cellStyle name="40% - Accent3 2 2 2 3 3 3 3" xfId="17974" xr:uid="{00000000-0005-0000-0000-0000BC400000}"/>
    <cellStyle name="40% - Accent3 2 2 2 3 3 4" xfId="18671" xr:uid="{00000000-0005-0000-0000-0000BD400000}"/>
    <cellStyle name="40% - Accent3 2 2 2 3 3 4 2" xfId="21360" xr:uid="{00000000-0005-0000-0000-0000BE400000}"/>
    <cellStyle name="40% - Accent3 2 2 2 3 3 5" xfId="18675" xr:uid="{00000000-0005-0000-0000-0000BF400000}"/>
    <cellStyle name="40% - Accent3 2 2 2 3 4" xfId="21631" xr:uid="{00000000-0005-0000-0000-0000C0400000}"/>
    <cellStyle name="40% - Accent3 2 2 2 3 4 2" xfId="5236" xr:uid="{00000000-0005-0000-0000-0000C1400000}"/>
    <cellStyle name="40% - Accent3 2 2 2 3 4 2 2" xfId="22389" xr:uid="{00000000-0005-0000-0000-0000C2400000}"/>
    <cellStyle name="40% - Accent3 2 2 2 3 4 2 2 2" xfId="18678" xr:uid="{00000000-0005-0000-0000-0000C3400000}"/>
    <cellStyle name="40% - Accent3 2 2 2 3 4 2 3" xfId="2243" xr:uid="{00000000-0005-0000-0000-0000C4400000}"/>
    <cellStyle name="40% - Accent3 2 2 2 3 4 3" xfId="18681" xr:uid="{00000000-0005-0000-0000-0000C5400000}"/>
    <cellStyle name="40% - Accent3 2 2 2 3 4 3 2" xfId="22999" xr:uid="{00000000-0005-0000-0000-0000C6400000}"/>
    <cellStyle name="40% - Accent3 2 2 2 3 4 4" xfId="17932" xr:uid="{00000000-0005-0000-0000-0000C7400000}"/>
    <cellStyle name="40% - Accent3 2 2 2 3 5" xfId="18682" xr:uid="{00000000-0005-0000-0000-0000C8400000}"/>
    <cellStyle name="40% - Accent3 2 2 2 3 5 2" xfId="18683" xr:uid="{00000000-0005-0000-0000-0000C9400000}"/>
    <cellStyle name="40% - Accent3 2 2 2 3 5 2 2" xfId="10170" xr:uid="{00000000-0005-0000-0000-0000CA400000}"/>
    <cellStyle name="40% - Accent3 2 2 2 3 5 3" xfId="18685" xr:uid="{00000000-0005-0000-0000-0000CB400000}"/>
    <cellStyle name="40% - Accent3 2 2 2 3 6" xfId="18686" xr:uid="{00000000-0005-0000-0000-0000CC400000}"/>
    <cellStyle name="40% - Accent3 2 2 2 3 6 2" xfId="18687" xr:uid="{00000000-0005-0000-0000-0000CD400000}"/>
    <cellStyle name="40% - Accent3 2 2 2 3 7" xfId="8906" xr:uid="{00000000-0005-0000-0000-0000CE400000}"/>
    <cellStyle name="40% - Accent3 2 2 2 4" xfId="8726" xr:uid="{00000000-0005-0000-0000-0000CF400000}"/>
    <cellStyle name="40% - Accent3 2 2 2 4 2" xfId="23146" xr:uid="{00000000-0005-0000-0000-0000D0400000}"/>
    <cellStyle name="40% - Accent3 2 2 2 4 2 2" xfId="18689" xr:uid="{00000000-0005-0000-0000-0000D1400000}"/>
    <cellStyle name="40% - Accent3 2 2 2 4 2 2 2" xfId="12556" xr:uid="{00000000-0005-0000-0000-0000D2400000}"/>
    <cellStyle name="40% - Accent3 2 2 2 4 2 2 2 2" xfId="2534" xr:uid="{00000000-0005-0000-0000-0000D3400000}"/>
    <cellStyle name="40% - Accent3 2 2 2 4 2 2 2 2 2" xfId="18693" xr:uid="{00000000-0005-0000-0000-0000D4400000}"/>
    <cellStyle name="40% - Accent3 2 2 2 4 2 2 2 3" xfId="18696" xr:uid="{00000000-0005-0000-0000-0000D5400000}"/>
    <cellStyle name="40% - Accent3 2 2 2 4 2 2 3" xfId="5506" xr:uid="{00000000-0005-0000-0000-0000D6400000}"/>
    <cellStyle name="40% - Accent3 2 2 2 4 2 2 3 2" xfId="314" xr:uid="{00000000-0005-0000-0000-0000D7400000}"/>
    <cellStyle name="40% - Accent3 2 2 2 4 2 2 4" xfId="8609" xr:uid="{00000000-0005-0000-0000-0000D8400000}"/>
    <cellStyle name="40% - Accent3 2 2 2 4 2 3" xfId="18699" xr:uid="{00000000-0005-0000-0000-0000D9400000}"/>
    <cellStyle name="40% - Accent3 2 2 2 4 2 3 2" xfId="18702" xr:uid="{00000000-0005-0000-0000-0000DA400000}"/>
    <cellStyle name="40% - Accent3 2 2 2 4 2 3 2 2" xfId="14157" xr:uid="{00000000-0005-0000-0000-0000DB400000}"/>
    <cellStyle name="40% - Accent3 2 2 2 4 2 3 3" xfId="5538" xr:uid="{00000000-0005-0000-0000-0000DC400000}"/>
    <cellStyle name="40% - Accent3 2 2 2 4 2 4" xfId="8731" xr:uid="{00000000-0005-0000-0000-0000DD400000}"/>
    <cellStyle name="40% - Accent3 2 2 2 4 2 4 2" xfId="18704" xr:uid="{00000000-0005-0000-0000-0000DE400000}"/>
    <cellStyle name="40% - Accent3 2 2 2 4 2 5" xfId="5294" xr:uid="{00000000-0005-0000-0000-0000DF400000}"/>
    <cellStyle name="40% - Accent3 2 2 2 4 3" xfId="21646" xr:uid="{00000000-0005-0000-0000-0000E0400000}"/>
    <cellStyle name="40% - Accent3 2 2 2 4 3 2" xfId="18707" xr:uid="{00000000-0005-0000-0000-0000E1400000}"/>
    <cellStyle name="40% - Accent3 2 2 2 4 3 2 2" xfId="18708" xr:uid="{00000000-0005-0000-0000-0000E2400000}"/>
    <cellStyle name="40% - Accent3 2 2 2 4 3 2 2 2" xfId="18711" xr:uid="{00000000-0005-0000-0000-0000E3400000}"/>
    <cellStyle name="40% - Accent3 2 2 2 4 3 2 3" xfId="5737" xr:uid="{00000000-0005-0000-0000-0000E4400000}"/>
    <cellStyle name="40% - Accent3 2 2 2 4 3 3" xfId="18713" xr:uid="{00000000-0005-0000-0000-0000E5400000}"/>
    <cellStyle name="40% - Accent3 2 2 2 4 3 3 2" xfId="18714" xr:uid="{00000000-0005-0000-0000-0000E6400000}"/>
    <cellStyle name="40% - Accent3 2 2 2 4 3 4" xfId="18717" xr:uid="{00000000-0005-0000-0000-0000E7400000}"/>
    <cellStyle name="40% - Accent3 2 2 2 4 4" xfId="18719" xr:uid="{00000000-0005-0000-0000-0000E8400000}"/>
    <cellStyle name="40% - Accent3 2 2 2 4 4 2" xfId="33822" xr:uid="{00000000-0005-0000-0000-0000E9400000}"/>
    <cellStyle name="40% - Accent3 2 2 2 4 4 2 2" xfId="18720" xr:uid="{00000000-0005-0000-0000-0000EA400000}"/>
    <cellStyle name="40% - Accent3 2 2 2 4 4 3" xfId="3381" xr:uid="{00000000-0005-0000-0000-0000EB400000}"/>
    <cellStyle name="40% - Accent3 2 2 2 4 5" xfId="18726" xr:uid="{00000000-0005-0000-0000-0000EC400000}"/>
    <cellStyle name="40% - Accent3 2 2 2 4 5 2" xfId="2182" xr:uid="{00000000-0005-0000-0000-0000ED400000}"/>
    <cellStyle name="40% - Accent3 2 2 2 4 6" xfId="18727" xr:uid="{00000000-0005-0000-0000-0000EE400000}"/>
    <cellStyle name="40% - Accent3 2 2 2 5" xfId="10673" xr:uid="{00000000-0005-0000-0000-0000EF400000}"/>
    <cellStyle name="40% - Accent3 2 2 2 5 2" xfId="23150" xr:uid="{00000000-0005-0000-0000-0000F0400000}"/>
    <cellStyle name="40% - Accent3 2 2 2 5 2 2" xfId="30476" xr:uid="{00000000-0005-0000-0000-0000F1400000}"/>
    <cellStyle name="40% - Accent3 2 2 2 5 2 2 2" xfId="30646" xr:uid="{00000000-0005-0000-0000-0000F2400000}"/>
    <cellStyle name="40% - Accent3 2 2 2 5 2 2 2 2" xfId="18730" xr:uid="{00000000-0005-0000-0000-0000F3400000}"/>
    <cellStyle name="40% - Accent3 2 2 2 5 2 2 3" xfId="6974" xr:uid="{00000000-0005-0000-0000-0000F4400000}"/>
    <cellStyle name="40% - Accent3 2 2 2 5 2 3" xfId="18733" xr:uid="{00000000-0005-0000-0000-0000F5400000}"/>
    <cellStyle name="40% - Accent3 2 2 2 5 2 3 2" xfId="14254" xr:uid="{00000000-0005-0000-0000-0000F6400000}"/>
    <cellStyle name="40% - Accent3 2 2 2 5 2 4" xfId="18736" xr:uid="{00000000-0005-0000-0000-0000F7400000}"/>
    <cellStyle name="40% - Accent3 2 2 2 5 3" xfId="33750" xr:uid="{00000000-0005-0000-0000-0000F8400000}"/>
    <cellStyle name="40% - Accent3 2 2 2 5 3 2" xfId="30782" xr:uid="{00000000-0005-0000-0000-0000F9400000}"/>
    <cellStyle name="40% - Accent3 2 2 2 5 3 2 2" xfId="18740" xr:uid="{00000000-0005-0000-0000-0000FA400000}"/>
    <cellStyle name="40% - Accent3 2 2 2 5 3 3" xfId="24046" xr:uid="{00000000-0005-0000-0000-0000FB400000}"/>
    <cellStyle name="40% - Accent3 2 2 2 5 4" xfId="18747" xr:uid="{00000000-0005-0000-0000-0000FC400000}"/>
    <cellStyle name="40% - Accent3 2 2 2 5 4 2" xfId="28804" xr:uid="{00000000-0005-0000-0000-0000FD400000}"/>
    <cellStyle name="40% - Accent3 2 2 2 5 5" xfId="18748" xr:uid="{00000000-0005-0000-0000-0000FE400000}"/>
    <cellStyle name="40% - Accent3 2 2 2 6" xfId="13657" xr:uid="{00000000-0005-0000-0000-0000FF400000}"/>
    <cellStyle name="40% - Accent3 2 2 2 6 2" xfId="13661" xr:uid="{00000000-0005-0000-0000-000000410000}"/>
    <cellStyle name="40% - Accent3 2 2 2 6 2 2" xfId="29483" xr:uid="{00000000-0005-0000-0000-000001410000}"/>
    <cellStyle name="40% - Accent3 2 2 2 6 2 2 2" xfId="17185" xr:uid="{00000000-0005-0000-0000-000002410000}"/>
    <cellStyle name="40% - Accent3 2 2 2 6 2 3" xfId="13130" xr:uid="{00000000-0005-0000-0000-000003410000}"/>
    <cellStyle name="40% - Accent3 2 2 2 6 3" xfId="13664" xr:uid="{00000000-0005-0000-0000-000004410000}"/>
    <cellStyle name="40% - Accent3 2 2 2 6 3 2" xfId="30300" xr:uid="{00000000-0005-0000-0000-000005410000}"/>
    <cellStyle name="40% - Accent3 2 2 2 6 4" xfId="31906" xr:uid="{00000000-0005-0000-0000-000006410000}"/>
    <cellStyle name="40% - Accent3 2 2 2 7" xfId="30884" xr:uid="{00000000-0005-0000-0000-000007410000}"/>
    <cellStyle name="40% - Accent3 2 2 2 7 2" xfId="30689" xr:uid="{00000000-0005-0000-0000-000008410000}"/>
    <cellStyle name="40% - Accent3 2 2 2 7 2 2" xfId="30696" xr:uid="{00000000-0005-0000-0000-000009410000}"/>
    <cellStyle name="40% - Accent3 2 2 2 7 3" xfId="30215" xr:uid="{00000000-0005-0000-0000-00000A410000}"/>
    <cellStyle name="40% - Accent3 2 2 2 8" xfId="19090" xr:uid="{00000000-0005-0000-0000-00000B410000}"/>
    <cellStyle name="40% - Accent3 2 2 2 8 2" xfId="30816" xr:uid="{00000000-0005-0000-0000-00000C410000}"/>
    <cellStyle name="40% - Accent3 2 2 2 9" xfId="21487" xr:uid="{00000000-0005-0000-0000-00000D410000}"/>
    <cellStyle name="40% - Accent3 2 2 3" xfId="18750" xr:uid="{00000000-0005-0000-0000-00000E410000}"/>
    <cellStyle name="40% - Accent3 2 2 3 2" xfId="23159" xr:uid="{00000000-0005-0000-0000-00000F410000}"/>
    <cellStyle name="40% - Accent3 2 2 3 2 2" xfId="23165" xr:uid="{00000000-0005-0000-0000-000010410000}"/>
    <cellStyle name="40% - Accent3 2 2 3 2 2 2" xfId="23169" xr:uid="{00000000-0005-0000-0000-000011410000}"/>
    <cellStyle name="40% - Accent3 2 2 3 2 2 2 2" xfId="23922" xr:uid="{00000000-0005-0000-0000-000012410000}"/>
    <cellStyle name="40% - Accent3 2 2 3 2 2 2 2 2" xfId="18752" xr:uid="{00000000-0005-0000-0000-000013410000}"/>
    <cellStyle name="40% - Accent3 2 2 3 2 2 2 2 2 2" xfId="18755" xr:uid="{00000000-0005-0000-0000-000014410000}"/>
    <cellStyle name="40% - Accent3 2 2 3 2 2 2 2 2 2 2" xfId="18757" xr:uid="{00000000-0005-0000-0000-000015410000}"/>
    <cellStyle name="40% - Accent3 2 2 3 2 2 2 2 2 3" xfId="18759" xr:uid="{00000000-0005-0000-0000-000016410000}"/>
    <cellStyle name="40% - Accent3 2 2 3 2 2 2 2 3" xfId="18763" xr:uid="{00000000-0005-0000-0000-000017410000}"/>
    <cellStyle name="40% - Accent3 2 2 3 2 2 2 2 3 2" xfId="25536" xr:uid="{00000000-0005-0000-0000-000018410000}"/>
    <cellStyle name="40% - Accent3 2 2 3 2 2 2 2 4" xfId="30889" xr:uid="{00000000-0005-0000-0000-000019410000}"/>
    <cellStyle name="40% - Accent3 2 2 3 2 2 2 3" xfId="29712" xr:uid="{00000000-0005-0000-0000-00001A410000}"/>
    <cellStyle name="40% - Accent3 2 2 3 2 2 2 3 2" xfId="18764" xr:uid="{00000000-0005-0000-0000-00001B410000}"/>
    <cellStyle name="40% - Accent3 2 2 3 2 2 2 3 2 2" xfId="18765" xr:uid="{00000000-0005-0000-0000-00001C410000}"/>
    <cellStyle name="40% - Accent3 2 2 3 2 2 2 3 3" xfId="18767" xr:uid="{00000000-0005-0000-0000-00001D410000}"/>
    <cellStyle name="40% - Accent3 2 2 3 2 2 2 4" xfId="18771" xr:uid="{00000000-0005-0000-0000-00001E410000}"/>
    <cellStyle name="40% - Accent3 2 2 3 2 2 2 4 2" xfId="26472" xr:uid="{00000000-0005-0000-0000-00001F410000}"/>
    <cellStyle name="40% - Accent3 2 2 3 2 2 2 5" xfId="18775" xr:uid="{00000000-0005-0000-0000-000020410000}"/>
    <cellStyle name="40% - Accent3 2 2 3 2 2 3" xfId="23174" xr:uid="{00000000-0005-0000-0000-000021410000}"/>
    <cellStyle name="40% - Accent3 2 2 3 2 2 3 2" xfId="15468" xr:uid="{00000000-0005-0000-0000-000022410000}"/>
    <cellStyle name="40% - Accent3 2 2 3 2 2 3 2 2" xfId="18777" xr:uid="{00000000-0005-0000-0000-000023410000}"/>
    <cellStyle name="40% - Accent3 2 2 3 2 2 3 2 2 2" xfId="18778" xr:uid="{00000000-0005-0000-0000-000024410000}"/>
    <cellStyle name="40% - Accent3 2 2 3 2 2 3 2 3" xfId="18780" xr:uid="{00000000-0005-0000-0000-000025410000}"/>
    <cellStyle name="40% - Accent3 2 2 3 2 2 3 3" xfId="27674" xr:uid="{00000000-0005-0000-0000-000026410000}"/>
    <cellStyle name="40% - Accent3 2 2 3 2 2 3 3 2" xfId="18783" xr:uid="{00000000-0005-0000-0000-000027410000}"/>
    <cellStyle name="40% - Accent3 2 2 3 2 2 3 4" xfId="18784" xr:uid="{00000000-0005-0000-0000-000028410000}"/>
    <cellStyle name="40% - Accent3 2 2 3 2 2 4" xfId="721" xr:uid="{00000000-0005-0000-0000-000029410000}"/>
    <cellStyle name="40% - Accent3 2 2 3 2 2 4 2" xfId="18787" xr:uid="{00000000-0005-0000-0000-00002A410000}"/>
    <cellStyle name="40% - Accent3 2 2 3 2 2 4 2 2" xfId="18794" xr:uid="{00000000-0005-0000-0000-00002B410000}"/>
    <cellStyle name="40% - Accent3 2 2 3 2 2 4 3" xfId="16057" xr:uid="{00000000-0005-0000-0000-00002C410000}"/>
    <cellStyle name="40% - Accent3 2 2 3 2 2 5" xfId="1884" xr:uid="{00000000-0005-0000-0000-00002D410000}"/>
    <cellStyle name="40% - Accent3 2 2 3 2 2 5 2" xfId="33923" xr:uid="{00000000-0005-0000-0000-00002E410000}"/>
    <cellStyle name="40% - Accent3 2 2 3 2 2 6" xfId="1067" xr:uid="{00000000-0005-0000-0000-00002F410000}"/>
    <cellStyle name="40% - Accent3 2 2 3 2 3" xfId="21689" xr:uid="{00000000-0005-0000-0000-000030410000}"/>
    <cellStyle name="40% - Accent3 2 2 3 2 3 2" xfId="19507" xr:uid="{00000000-0005-0000-0000-000031410000}"/>
    <cellStyle name="40% - Accent3 2 2 3 2 3 2 2" xfId="25022" xr:uid="{00000000-0005-0000-0000-000032410000}"/>
    <cellStyle name="40% - Accent3 2 2 3 2 3 2 2 2" xfId="18796" xr:uid="{00000000-0005-0000-0000-000033410000}"/>
    <cellStyle name="40% - Accent3 2 2 3 2 3 2 2 2 2" xfId="18798" xr:uid="{00000000-0005-0000-0000-000034410000}"/>
    <cellStyle name="40% - Accent3 2 2 3 2 3 2 2 3" xfId="18800" xr:uid="{00000000-0005-0000-0000-000035410000}"/>
    <cellStyle name="40% - Accent3 2 2 3 2 3 2 3" xfId="28015" xr:uid="{00000000-0005-0000-0000-000036410000}"/>
    <cellStyle name="40% - Accent3 2 2 3 2 3 2 3 2" xfId="24569" xr:uid="{00000000-0005-0000-0000-000037410000}"/>
    <cellStyle name="40% - Accent3 2 2 3 2 3 2 4" xfId="18803" xr:uid="{00000000-0005-0000-0000-000038410000}"/>
    <cellStyle name="40% - Accent3 2 2 3 2 3 3" xfId="787" xr:uid="{00000000-0005-0000-0000-000039410000}"/>
    <cellStyle name="40% - Accent3 2 2 3 2 3 3 2" xfId="22194" xr:uid="{00000000-0005-0000-0000-00003A410000}"/>
    <cellStyle name="40% - Accent3 2 2 3 2 3 3 2 2" xfId="18805" xr:uid="{00000000-0005-0000-0000-00003B410000}"/>
    <cellStyle name="40% - Accent3 2 2 3 2 3 3 3" xfId="28499" xr:uid="{00000000-0005-0000-0000-00003C410000}"/>
    <cellStyle name="40% - Accent3 2 2 3 2 3 4" xfId="789" xr:uid="{00000000-0005-0000-0000-00003D410000}"/>
    <cellStyle name="40% - Accent3 2 2 3 2 3 4 2" xfId="31485" xr:uid="{00000000-0005-0000-0000-00003E410000}"/>
    <cellStyle name="40% - Accent3 2 2 3 2 3 5" xfId="4790" xr:uid="{00000000-0005-0000-0000-00003F410000}"/>
    <cellStyle name="40% - Accent3 2 2 3 2 4" xfId="21700" xr:uid="{00000000-0005-0000-0000-000040410000}"/>
    <cellStyle name="40% - Accent3 2 2 3 2 4 2" xfId="8338" xr:uid="{00000000-0005-0000-0000-000041410000}"/>
    <cellStyle name="40% - Accent3 2 2 3 2 4 2 2" xfId="30006" xr:uid="{00000000-0005-0000-0000-000042410000}"/>
    <cellStyle name="40% - Accent3 2 2 3 2 4 2 2 2" xfId="18807" xr:uid="{00000000-0005-0000-0000-000043410000}"/>
    <cellStyle name="40% - Accent3 2 2 3 2 4 2 3" xfId="28029" xr:uid="{00000000-0005-0000-0000-000044410000}"/>
    <cellStyle name="40% - Accent3 2 2 3 2 4 3" xfId="2604" xr:uid="{00000000-0005-0000-0000-000045410000}"/>
    <cellStyle name="40% - Accent3 2 2 3 2 4 3 2" xfId="28515" xr:uid="{00000000-0005-0000-0000-000046410000}"/>
    <cellStyle name="40% - Accent3 2 2 3 2 4 4" xfId="785" xr:uid="{00000000-0005-0000-0000-000047410000}"/>
    <cellStyle name="40% - Accent3 2 2 3 2 5" xfId="8988" xr:uid="{00000000-0005-0000-0000-000048410000}"/>
    <cellStyle name="40% - Accent3 2 2 3 2 5 2" xfId="11045" xr:uid="{00000000-0005-0000-0000-000049410000}"/>
    <cellStyle name="40% - Accent3 2 2 3 2 5 2 2" xfId="32355" xr:uid="{00000000-0005-0000-0000-00004A410000}"/>
    <cellStyle name="40% - Accent3 2 2 3 2 5 3" xfId="15638" xr:uid="{00000000-0005-0000-0000-00004B410000}"/>
    <cellStyle name="40% - Accent3 2 2 3 2 6" xfId="18817" xr:uid="{00000000-0005-0000-0000-00004C410000}"/>
    <cellStyle name="40% - Accent3 2 2 3 2 6 2" xfId="15649" xr:uid="{00000000-0005-0000-0000-00004D410000}"/>
    <cellStyle name="40% - Accent3 2 2 3 2 7" xfId="7734" xr:uid="{00000000-0005-0000-0000-00004E410000}"/>
    <cellStyle name="40% - Accent3 2 2 3 3" xfId="18822" xr:uid="{00000000-0005-0000-0000-00004F410000}"/>
    <cellStyle name="40% - Accent3 2 2 3 3 2" xfId="18826" xr:uid="{00000000-0005-0000-0000-000050410000}"/>
    <cellStyle name="40% - Accent3 2 2 3 3 2 2" xfId="594" xr:uid="{00000000-0005-0000-0000-000051410000}"/>
    <cellStyle name="40% - Accent3 2 2 3 3 2 2 2" xfId="33670" xr:uid="{00000000-0005-0000-0000-000052410000}"/>
    <cellStyle name="40% - Accent3 2 2 3 3 2 2 2 2" xfId="18828" xr:uid="{00000000-0005-0000-0000-000053410000}"/>
    <cellStyle name="40% - Accent3 2 2 3 3 2 2 2 2 2" xfId="7327" xr:uid="{00000000-0005-0000-0000-000054410000}"/>
    <cellStyle name="40% - Accent3 2 2 3 3 2 2 2 3" xfId="18829" xr:uid="{00000000-0005-0000-0000-000055410000}"/>
    <cellStyle name="40% - Accent3 2 2 3 3 2 2 3" xfId="18830" xr:uid="{00000000-0005-0000-0000-000056410000}"/>
    <cellStyle name="40% - Accent3 2 2 3 3 2 2 3 2" xfId="12628" xr:uid="{00000000-0005-0000-0000-000057410000}"/>
    <cellStyle name="40% - Accent3 2 2 3 3 2 2 4" xfId="24724" xr:uid="{00000000-0005-0000-0000-000058410000}"/>
    <cellStyle name="40% - Accent3 2 2 3 3 2 3" xfId="3434" xr:uid="{00000000-0005-0000-0000-000059410000}"/>
    <cellStyle name="40% - Accent3 2 2 3 3 2 3 2" xfId="18836" xr:uid="{00000000-0005-0000-0000-00005A410000}"/>
    <cellStyle name="40% - Accent3 2 2 3 3 2 3 2 2" xfId="18838" xr:uid="{00000000-0005-0000-0000-00005B410000}"/>
    <cellStyle name="40% - Accent3 2 2 3 3 2 3 3" xfId="33499" xr:uid="{00000000-0005-0000-0000-00005C410000}"/>
    <cellStyle name="40% - Accent3 2 2 3 3 2 4" xfId="8466" xr:uid="{00000000-0005-0000-0000-00005D410000}"/>
    <cellStyle name="40% - Accent3 2 2 3 3 2 4 2" xfId="33370" xr:uid="{00000000-0005-0000-0000-00005E410000}"/>
    <cellStyle name="40% - Accent3 2 2 3 3 2 5" xfId="4991" xr:uid="{00000000-0005-0000-0000-00005F410000}"/>
    <cellStyle name="40% - Accent3 2 2 3 3 3" xfId="21706" xr:uid="{00000000-0005-0000-0000-000060410000}"/>
    <cellStyle name="40% - Accent3 2 2 3 3 3 2" xfId="853" xr:uid="{00000000-0005-0000-0000-000061410000}"/>
    <cellStyle name="40% - Accent3 2 2 3 3 3 2 2" xfId="32953" xr:uid="{00000000-0005-0000-0000-000062410000}"/>
    <cellStyle name="40% - Accent3 2 2 3 3 3 2 2 2" xfId="18841" xr:uid="{00000000-0005-0000-0000-000063410000}"/>
    <cellStyle name="40% - Accent3 2 2 3 3 3 2 3" xfId="27443" xr:uid="{00000000-0005-0000-0000-000064410000}"/>
    <cellStyle name="40% - Accent3 2 2 3 3 3 3" xfId="3439" xr:uid="{00000000-0005-0000-0000-000065410000}"/>
    <cellStyle name="40% - Accent3 2 2 3 3 3 3 2" xfId="27185" xr:uid="{00000000-0005-0000-0000-000066410000}"/>
    <cellStyle name="40% - Accent3 2 2 3 3 3 4" xfId="9873" xr:uid="{00000000-0005-0000-0000-000067410000}"/>
    <cellStyle name="40% - Accent3 2 2 3 3 4" xfId="18842" xr:uid="{00000000-0005-0000-0000-000068410000}"/>
    <cellStyle name="40% - Accent3 2 2 3 3 4 2" xfId="2963" xr:uid="{00000000-0005-0000-0000-000069410000}"/>
    <cellStyle name="40% - Accent3 2 2 3 3 4 2 2" xfId="18845" xr:uid="{00000000-0005-0000-0000-00006A410000}"/>
    <cellStyle name="40% - Accent3 2 2 3 3 4 3" xfId="6677" xr:uid="{00000000-0005-0000-0000-00006B410000}"/>
    <cellStyle name="40% - Accent3 2 2 3 3 5" xfId="18847" xr:uid="{00000000-0005-0000-0000-00006C410000}"/>
    <cellStyle name="40% - Accent3 2 2 3 3 5 2" xfId="15683" xr:uid="{00000000-0005-0000-0000-00006D410000}"/>
    <cellStyle name="40% - Accent3 2 2 3 3 6" xfId="18850" xr:uid="{00000000-0005-0000-0000-00006E410000}"/>
    <cellStyle name="40% - Accent3 2 2 3 4" xfId="9431" xr:uid="{00000000-0005-0000-0000-00006F410000}"/>
    <cellStyle name="40% - Accent3 2 2 3 4 2" xfId="23178" xr:uid="{00000000-0005-0000-0000-000070410000}"/>
    <cellStyle name="40% - Accent3 2 2 3 4 2 2" xfId="4547" xr:uid="{00000000-0005-0000-0000-000071410000}"/>
    <cellStyle name="40% - Accent3 2 2 3 4 2 2 2" xfId="25821" xr:uid="{00000000-0005-0000-0000-000072410000}"/>
    <cellStyle name="40% - Accent3 2 2 3 4 2 2 2 2" xfId="132" xr:uid="{00000000-0005-0000-0000-000073410000}"/>
    <cellStyle name="40% - Accent3 2 2 3 4 2 2 3" xfId="18855" xr:uid="{00000000-0005-0000-0000-000074410000}"/>
    <cellStyle name="40% - Accent3 2 2 3 4 2 3" xfId="2422" xr:uid="{00000000-0005-0000-0000-000075410000}"/>
    <cellStyle name="40% - Accent3 2 2 3 4 2 3 2" xfId="18857" xr:uid="{00000000-0005-0000-0000-000076410000}"/>
    <cellStyle name="40% - Accent3 2 2 3 4 2 4" xfId="9891" xr:uid="{00000000-0005-0000-0000-000077410000}"/>
    <cellStyle name="40% - Accent3 2 2 3 4 3" xfId="18861" xr:uid="{00000000-0005-0000-0000-000078410000}"/>
    <cellStyle name="40% - Accent3 2 2 3 4 3 2" xfId="2504" xr:uid="{00000000-0005-0000-0000-000079410000}"/>
    <cellStyle name="40% - Accent3 2 2 3 4 3 2 2" xfId="25867" xr:uid="{00000000-0005-0000-0000-00007A410000}"/>
    <cellStyle name="40% - Accent3 2 2 3 4 3 3" xfId="4430" xr:uid="{00000000-0005-0000-0000-00007B410000}"/>
    <cellStyle name="40% - Accent3 2 2 3 4 4" xfId="18868" xr:uid="{00000000-0005-0000-0000-00007C410000}"/>
    <cellStyle name="40% - Accent3 2 2 3 4 4 2" xfId="2536" xr:uid="{00000000-0005-0000-0000-00007D410000}"/>
    <cellStyle name="40% - Accent3 2 2 3 4 5" xfId="33060" xr:uid="{00000000-0005-0000-0000-00007E410000}"/>
    <cellStyle name="40% - Accent3 2 2 3 5" xfId="18516" xr:uid="{00000000-0005-0000-0000-00007F410000}"/>
    <cellStyle name="40% - Accent3 2 2 3 5 2" xfId="26122" xr:uid="{00000000-0005-0000-0000-000080410000}"/>
    <cellStyle name="40% - Accent3 2 2 3 5 2 2" xfId="2653" xr:uid="{00000000-0005-0000-0000-000081410000}"/>
    <cellStyle name="40% - Accent3 2 2 3 5 2 2 2" xfId="25999" xr:uid="{00000000-0005-0000-0000-000082410000}"/>
    <cellStyle name="40% - Accent3 2 2 3 5 2 3" xfId="9736" xr:uid="{00000000-0005-0000-0000-000083410000}"/>
    <cellStyle name="40% - Accent3 2 2 3 5 3" xfId="18871" xr:uid="{00000000-0005-0000-0000-000084410000}"/>
    <cellStyle name="40% - Accent3 2 2 3 5 3 2" xfId="1508" xr:uid="{00000000-0005-0000-0000-000085410000}"/>
    <cellStyle name="40% - Accent3 2 2 3 5 4" xfId="31933" xr:uid="{00000000-0005-0000-0000-000086410000}"/>
    <cellStyle name="40% - Accent3 2 2 3 6" xfId="23137" xr:uid="{00000000-0005-0000-0000-000087410000}"/>
    <cellStyle name="40% - Accent3 2 2 3 6 2" xfId="858" xr:uid="{00000000-0005-0000-0000-000088410000}"/>
    <cellStyle name="40% - Accent3 2 2 3 6 2 2" xfId="2754" xr:uid="{00000000-0005-0000-0000-000089410000}"/>
    <cellStyle name="40% - Accent3 2 2 3 6 3" xfId="3399" xr:uid="{00000000-0005-0000-0000-00008A410000}"/>
    <cellStyle name="40% - Accent3 2 2 3 7" xfId="11270" xr:uid="{00000000-0005-0000-0000-00008B410000}"/>
    <cellStyle name="40% - Accent3 2 2 3 7 2" xfId="871" xr:uid="{00000000-0005-0000-0000-00008C410000}"/>
    <cellStyle name="40% - Accent3 2 2 3 8" xfId="32128" xr:uid="{00000000-0005-0000-0000-00008D410000}"/>
    <cellStyle name="40% - Accent3 2 2 4" xfId="18873" xr:uid="{00000000-0005-0000-0000-00008E410000}"/>
    <cellStyle name="40% - Accent3 2 2 4 2" xfId="23182" xr:uid="{00000000-0005-0000-0000-00008F410000}"/>
    <cellStyle name="40% - Accent3 2 2 4 2 2" xfId="23189" xr:uid="{00000000-0005-0000-0000-000090410000}"/>
    <cellStyle name="40% - Accent3 2 2 4 2 2 2" xfId="23193" xr:uid="{00000000-0005-0000-0000-000091410000}"/>
    <cellStyle name="40% - Accent3 2 2 4 2 2 2 2" xfId="16691" xr:uid="{00000000-0005-0000-0000-000092410000}"/>
    <cellStyle name="40% - Accent3 2 2 4 2 2 2 2 2" xfId="16198" xr:uid="{00000000-0005-0000-0000-000093410000}"/>
    <cellStyle name="40% - Accent3 2 2 4 2 2 2 2 2 2" xfId="16948" xr:uid="{00000000-0005-0000-0000-000094410000}"/>
    <cellStyle name="40% - Accent3 2 2 4 2 2 2 2 3" xfId="8825" xr:uid="{00000000-0005-0000-0000-000095410000}"/>
    <cellStyle name="40% - Accent3 2 2 4 2 2 2 3" xfId="29819" xr:uid="{00000000-0005-0000-0000-000096410000}"/>
    <cellStyle name="40% - Accent3 2 2 4 2 2 2 3 2" xfId="16247" xr:uid="{00000000-0005-0000-0000-000097410000}"/>
    <cellStyle name="40% - Accent3 2 2 4 2 2 2 4" xfId="18893" xr:uid="{00000000-0005-0000-0000-000098410000}"/>
    <cellStyle name="40% - Accent3 2 2 4 2 2 3" xfId="993" xr:uid="{00000000-0005-0000-0000-000099410000}"/>
    <cellStyle name="40% - Accent3 2 2 4 2 2 3 2" xfId="18895" xr:uid="{00000000-0005-0000-0000-00009A410000}"/>
    <cellStyle name="40% - Accent3 2 2 4 2 2 3 2 2" xfId="16366" xr:uid="{00000000-0005-0000-0000-00009B410000}"/>
    <cellStyle name="40% - Accent3 2 2 4 2 2 3 3" xfId="33840" xr:uid="{00000000-0005-0000-0000-00009C410000}"/>
    <cellStyle name="40% - Accent3 2 2 4 2 2 4" xfId="10432" xr:uid="{00000000-0005-0000-0000-00009D410000}"/>
    <cellStyle name="40% - Accent3 2 2 4 2 2 4 2" xfId="18897" xr:uid="{00000000-0005-0000-0000-00009E410000}"/>
    <cellStyle name="40% - Accent3 2 2 4 2 2 5" xfId="11791" xr:uid="{00000000-0005-0000-0000-00009F410000}"/>
    <cellStyle name="40% - Accent3 2 2 4 2 3" xfId="18900" xr:uid="{00000000-0005-0000-0000-0000A0410000}"/>
    <cellStyle name="40% - Accent3 2 2 4 2 3 2" xfId="1037" xr:uid="{00000000-0005-0000-0000-0000A1410000}"/>
    <cellStyle name="40% - Accent3 2 2 4 2 3 2 2" xfId="32302" xr:uid="{00000000-0005-0000-0000-0000A2410000}"/>
    <cellStyle name="40% - Accent3 2 2 4 2 3 2 2 2" xfId="18126" xr:uid="{00000000-0005-0000-0000-0000A3410000}"/>
    <cellStyle name="40% - Accent3 2 2 4 2 3 2 3" xfId="29071" xr:uid="{00000000-0005-0000-0000-0000A4410000}"/>
    <cellStyle name="40% - Accent3 2 2 4 2 3 3" xfId="1042" xr:uid="{00000000-0005-0000-0000-0000A5410000}"/>
    <cellStyle name="40% - Accent3 2 2 4 2 3 3 2" xfId="20252" xr:uid="{00000000-0005-0000-0000-0000A6410000}"/>
    <cellStyle name="40% - Accent3 2 2 4 2 3 4" xfId="11810" xr:uid="{00000000-0005-0000-0000-0000A7410000}"/>
    <cellStyle name="40% - Accent3 2 2 4 2 4" xfId="3644" xr:uid="{00000000-0005-0000-0000-0000A8410000}"/>
    <cellStyle name="40% - Accent3 2 2 4 2 4 2" xfId="1257" xr:uid="{00000000-0005-0000-0000-0000A9410000}"/>
    <cellStyle name="40% - Accent3 2 2 4 2 4 2 2" xfId="33577" xr:uid="{00000000-0005-0000-0000-0000AA410000}"/>
    <cellStyle name="40% - Accent3 2 2 4 2 4 3" xfId="1271" xr:uid="{00000000-0005-0000-0000-0000AB410000}"/>
    <cellStyle name="40% - Accent3 2 2 4 2 5" xfId="1771" xr:uid="{00000000-0005-0000-0000-0000AC410000}"/>
    <cellStyle name="40% - Accent3 2 2 4 2 5 2" xfId="15729" xr:uid="{00000000-0005-0000-0000-0000AD410000}"/>
    <cellStyle name="40% - Accent3 2 2 4 2 6" xfId="18903" xr:uid="{00000000-0005-0000-0000-0000AE410000}"/>
    <cellStyle name="40% - Accent3 2 2 4 3" xfId="12982" xr:uid="{00000000-0005-0000-0000-0000AF410000}"/>
    <cellStyle name="40% - Accent3 2 2 4 3 2" xfId="23198" xr:uid="{00000000-0005-0000-0000-0000B0410000}"/>
    <cellStyle name="40% - Accent3 2 2 4 3 2 2" xfId="2960" xr:uid="{00000000-0005-0000-0000-0000B1410000}"/>
    <cellStyle name="40% - Accent3 2 2 4 3 2 2 2" xfId="29508" xr:uid="{00000000-0005-0000-0000-0000B2410000}"/>
    <cellStyle name="40% - Accent3 2 2 4 3 2 2 2 2" xfId="18906" xr:uid="{00000000-0005-0000-0000-0000B3410000}"/>
    <cellStyle name="40% - Accent3 2 2 4 3 2 2 3" xfId="33521" xr:uid="{00000000-0005-0000-0000-0000B4410000}"/>
    <cellStyle name="40% - Accent3 2 2 4 3 2 3" xfId="3463" xr:uid="{00000000-0005-0000-0000-0000B5410000}"/>
    <cellStyle name="40% - Accent3 2 2 4 3 2 3 2" xfId="29519" xr:uid="{00000000-0005-0000-0000-0000B6410000}"/>
    <cellStyle name="40% - Accent3 2 2 4 3 2 4" xfId="10381" xr:uid="{00000000-0005-0000-0000-0000B7410000}"/>
    <cellStyle name="40% - Accent3 2 2 4 3 3" xfId="18409" xr:uid="{00000000-0005-0000-0000-0000B8410000}"/>
    <cellStyle name="40% - Accent3 2 2 4 3 3 2" xfId="1020" xr:uid="{00000000-0005-0000-0000-0000B9410000}"/>
    <cellStyle name="40% - Accent3 2 2 4 3 3 2 2" xfId="18910" xr:uid="{00000000-0005-0000-0000-0000BA410000}"/>
    <cellStyle name="40% - Accent3 2 2 4 3 3 3" xfId="3480" xr:uid="{00000000-0005-0000-0000-0000BB410000}"/>
    <cellStyle name="40% - Accent3 2 2 4 3 4" xfId="28811" xr:uid="{00000000-0005-0000-0000-0000BC410000}"/>
    <cellStyle name="40% - Accent3 2 2 4 3 4 2" xfId="1372" xr:uid="{00000000-0005-0000-0000-0000BD410000}"/>
    <cellStyle name="40% - Accent3 2 2 4 3 5" xfId="18912" xr:uid="{00000000-0005-0000-0000-0000BE410000}"/>
    <cellStyle name="40% - Accent3 2 2 4 4" xfId="18916" xr:uid="{00000000-0005-0000-0000-0000BF410000}"/>
    <cellStyle name="40% - Accent3 2 2 4 4 2" xfId="31372" xr:uid="{00000000-0005-0000-0000-0000C0410000}"/>
    <cellStyle name="40% - Accent3 2 2 4 4 2 2" xfId="31878" xr:uid="{00000000-0005-0000-0000-0000C1410000}"/>
    <cellStyle name="40% - Accent3 2 2 4 4 2 2 2" xfId="26237" xr:uid="{00000000-0005-0000-0000-0000C2410000}"/>
    <cellStyle name="40% - Accent3 2 2 4 4 2 3" xfId="18049" xr:uid="{00000000-0005-0000-0000-0000C3410000}"/>
    <cellStyle name="40% - Accent3 2 2 4 4 3" xfId="18918" xr:uid="{00000000-0005-0000-0000-0000C4410000}"/>
    <cellStyle name="40% - Accent3 2 2 4 4 3 2" xfId="1202" xr:uid="{00000000-0005-0000-0000-0000C5410000}"/>
    <cellStyle name="40% - Accent3 2 2 4 4 4" xfId="29889" xr:uid="{00000000-0005-0000-0000-0000C6410000}"/>
    <cellStyle name="40% - Accent3 2 2 4 5" xfId="24306" xr:uid="{00000000-0005-0000-0000-0000C7410000}"/>
    <cellStyle name="40% - Accent3 2 2 4 5 2" xfId="27639" xr:uid="{00000000-0005-0000-0000-0000C8410000}"/>
    <cellStyle name="40% - Accent3 2 2 4 5 2 2" xfId="2982" xr:uid="{00000000-0005-0000-0000-0000C9410000}"/>
    <cellStyle name="40% - Accent3 2 2 4 5 3" xfId="31945" xr:uid="{00000000-0005-0000-0000-0000CA410000}"/>
    <cellStyle name="40% - Accent3 2 2 4 6" xfId="119" xr:uid="{00000000-0005-0000-0000-0000CB410000}"/>
    <cellStyle name="40% - Accent3 2 2 4 6 2" xfId="2544" xr:uid="{00000000-0005-0000-0000-0000CC410000}"/>
    <cellStyle name="40% - Accent3 2 2 4 7" xfId="24389" xr:uid="{00000000-0005-0000-0000-0000CD410000}"/>
    <cellStyle name="40% - Accent3 2 2 5" xfId="13356" xr:uid="{00000000-0005-0000-0000-0000CE410000}"/>
    <cellStyle name="40% - Accent3 2 2 5 2" xfId="23202" xr:uid="{00000000-0005-0000-0000-0000CF410000}"/>
    <cellStyle name="40% - Accent3 2 2 5 2 2" xfId="23205" xr:uid="{00000000-0005-0000-0000-0000D0410000}"/>
    <cellStyle name="40% - Accent3 2 2 5 2 2 2" xfId="1235" xr:uid="{00000000-0005-0000-0000-0000D1410000}"/>
    <cellStyle name="40% - Accent3 2 2 5 2 2 2 2" xfId="564" xr:uid="{00000000-0005-0000-0000-0000D2410000}"/>
    <cellStyle name="40% - Accent3 2 2 5 2 2 2 2 2" xfId="5024" xr:uid="{00000000-0005-0000-0000-0000D3410000}"/>
    <cellStyle name="40% - Accent3 2 2 5 2 2 2 3" xfId="29880" xr:uid="{00000000-0005-0000-0000-0000D4410000}"/>
    <cellStyle name="40% - Accent3 2 2 5 2 2 3" xfId="6589" xr:uid="{00000000-0005-0000-0000-0000D5410000}"/>
    <cellStyle name="40% - Accent3 2 2 5 2 2 3 2" xfId="32575" xr:uid="{00000000-0005-0000-0000-0000D6410000}"/>
    <cellStyle name="40% - Accent3 2 2 5 2 2 4" xfId="11932" xr:uid="{00000000-0005-0000-0000-0000D7410000}"/>
    <cellStyle name="40% - Accent3 2 2 5 2 3" xfId="4849" xr:uid="{00000000-0005-0000-0000-0000D8410000}"/>
    <cellStyle name="40% - Accent3 2 2 5 2 3 2" xfId="929" xr:uid="{00000000-0005-0000-0000-0000D9410000}"/>
    <cellStyle name="40% - Accent3 2 2 5 2 3 2 2" xfId="31573" xr:uid="{00000000-0005-0000-0000-0000DA410000}"/>
    <cellStyle name="40% - Accent3 2 2 5 2 3 3" xfId="6612" xr:uid="{00000000-0005-0000-0000-0000DB410000}"/>
    <cellStyle name="40% - Accent3 2 2 5 2 4" xfId="3668" xr:uid="{00000000-0005-0000-0000-0000DC410000}"/>
    <cellStyle name="40% - Accent3 2 2 5 2 4 2" xfId="1307" xr:uid="{00000000-0005-0000-0000-0000DD410000}"/>
    <cellStyle name="40% - Accent3 2 2 5 2 5" xfId="1136" xr:uid="{00000000-0005-0000-0000-0000DE410000}"/>
    <cellStyle name="40% - Accent3 2 2 5 3" xfId="18921" xr:uid="{00000000-0005-0000-0000-0000DF410000}"/>
    <cellStyle name="40% - Accent3 2 2 5 3 2" xfId="22605" xr:uid="{00000000-0005-0000-0000-0000E0410000}"/>
    <cellStyle name="40% - Accent3 2 2 5 3 2 2" xfId="26416" xr:uid="{00000000-0005-0000-0000-0000E1410000}"/>
    <cellStyle name="40% - Accent3 2 2 5 3 2 2 2" xfId="19862" xr:uid="{00000000-0005-0000-0000-0000E2410000}"/>
    <cellStyle name="40% - Accent3 2 2 5 3 2 3" xfId="21051" xr:uid="{00000000-0005-0000-0000-0000E3410000}"/>
    <cellStyle name="40% - Accent3 2 2 5 3 3" xfId="18925" xr:uid="{00000000-0005-0000-0000-0000E4410000}"/>
    <cellStyle name="40% - Accent3 2 2 5 3 3 2" xfId="27460" xr:uid="{00000000-0005-0000-0000-0000E5410000}"/>
    <cellStyle name="40% - Accent3 2 2 5 3 4" xfId="18930" xr:uid="{00000000-0005-0000-0000-0000E6410000}"/>
    <cellStyle name="40% - Accent3 2 2 5 4" xfId="20052" xr:uid="{00000000-0005-0000-0000-0000E7410000}"/>
    <cellStyle name="40% - Accent3 2 2 5 4 2" xfId="20055" xr:uid="{00000000-0005-0000-0000-0000E8410000}"/>
    <cellStyle name="40% - Accent3 2 2 5 4 2 2" xfId="1846" xr:uid="{00000000-0005-0000-0000-0000E9410000}"/>
    <cellStyle name="40% - Accent3 2 2 5 4 3" xfId="20063" xr:uid="{00000000-0005-0000-0000-0000EA410000}"/>
    <cellStyle name="40% - Accent3 2 2 5 5" xfId="33794" xr:uid="{00000000-0005-0000-0000-0000EB410000}"/>
    <cellStyle name="40% - Accent3 2 2 5 5 2" xfId="18933" xr:uid="{00000000-0005-0000-0000-0000EC410000}"/>
    <cellStyle name="40% - Accent3 2 2 5 6" xfId="27141" xr:uid="{00000000-0005-0000-0000-0000ED410000}"/>
    <cellStyle name="40% - Accent3 2 2 6" xfId="23214" xr:uid="{00000000-0005-0000-0000-0000EE410000}"/>
    <cellStyle name="40% - Accent3 2 2 6 2" xfId="18938" xr:uid="{00000000-0005-0000-0000-0000EF410000}"/>
    <cellStyle name="40% - Accent3 2 2 6 2 2" xfId="18941" xr:uid="{00000000-0005-0000-0000-0000F0410000}"/>
    <cellStyle name="40% - Accent3 2 2 6 2 2 2" xfId="5335" xr:uid="{00000000-0005-0000-0000-0000F1410000}"/>
    <cellStyle name="40% - Accent3 2 2 6 2 2 2 2" xfId="16597" xr:uid="{00000000-0005-0000-0000-0000F2410000}"/>
    <cellStyle name="40% - Accent3 2 2 6 2 2 3" xfId="262" xr:uid="{00000000-0005-0000-0000-0000F3410000}"/>
    <cellStyle name="40% - Accent3 2 2 6 2 3" xfId="23509" xr:uid="{00000000-0005-0000-0000-0000F4410000}"/>
    <cellStyle name="40% - Accent3 2 2 6 2 3 2" xfId="1470" xr:uid="{00000000-0005-0000-0000-0000F5410000}"/>
    <cellStyle name="40% - Accent3 2 2 6 2 4" xfId="18943" xr:uid="{00000000-0005-0000-0000-0000F6410000}"/>
    <cellStyle name="40% - Accent3 2 2 6 3" xfId="22657" xr:uid="{00000000-0005-0000-0000-0000F7410000}"/>
    <cellStyle name="40% - Accent3 2 2 6 3 2" xfId="18947" xr:uid="{00000000-0005-0000-0000-0000F8410000}"/>
    <cellStyle name="40% - Accent3 2 2 6 3 2 2" xfId="894" xr:uid="{00000000-0005-0000-0000-0000F9410000}"/>
    <cellStyle name="40% - Accent3 2 2 6 3 3" xfId="18949" xr:uid="{00000000-0005-0000-0000-0000FA410000}"/>
    <cellStyle name="40% - Accent3 2 2 6 4" xfId="18951" xr:uid="{00000000-0005-0000-0000-0000FB410000}"/>
    <cellStyle name="40% - Accent3 2 2 6 4 2" xfId="19772" xr:uid="{00000000-0005-0000-0000-0000FC410000}"/>
    <cellStyle name="40% - Accent3 2 2 6 5" xfId="20524" xr:uid="{00000000-0005-0000-0000-0000FD410000}"/>
    <cellStyle name="40% - Accent3 2 2 7" xfId="23222" xr:uid="{00000000-0005-0000-0000-0000FE410000}"/>
    <cellStyle name="40% - Accent3 2 2 7 2" xfId="10136" xr:uid="{00000000-0005-0000-0000-0000FF410000}"/>
    <cellStyle name="40% - Accent3 2 2 7 2 2" xfId="13973" xr:uid="{00000000-0005-0000-0000-000000420000}"/>
    <cellStyle name="40% - Accent3 2 2 7 2 2 2" xfId="702" xr:uid="{00000000-0005-0000-0000-000001420000}"/>
    <cellStyle name="40% - Accent3 2 2 7 2 3" xfId="13976" xr:uid="{00000000-0005-0000-0000-000002420000}"/>
    <cellStyle name="40% - Accent3 2 2 7 3" xfId="13978" xr:uid="{00000000-0005-0000-0000-000003420000}"/>
    <cellStyle name="40% - Accent3 2 2 7 3 2" xfId="13981" xr:uid="{00000000-0005-0000-0000-000004420000}"/>
    <cellStyle name="40% - Accent3 2 2 7 4" xfId="10437" xr:uid="{00000000-0005-0000-0000-000005420000}"/>
    <cellStyle name="40% - Accent3 2 2 8" xfId="13985" xr:uid="{00000000-0005-0000-0000-000006420000}"/>
    <cellStyle name="40% - Accent3 2 2 8 2" xfId="13986" xr:uid="{00000000-0005-0000-0000-000007420000}"/>
    <cellStyle name="40% - Accent3 2 2 8 2 2" xfId="15803" xr:uid="{00000000-0005-0000-0000-000008420000}"/>
    <cellStyle name="40% - Accent3 2 2 8 3" xfId="13988" xr:uid="{00000000-0005-0000-0000-000009420000}"/>
    <cellStyle name="40% - Accent3 2 2 9" xfId="13993" xr:uid="{00000000-0005-0000-0000-00000A420000}"/>
    <cellStyle name="40% - Accent3 2 2 9 2" xfId="18320" xr:uid="{00000000-0005-0000-0000-00000B420000}"/>
    <cellStyle name="40% - Accent3 2 3" xfId="18958" xr:uid="{00000000-0005-0000-0000-00000C420000}"/>
    <cellStyle name="40% - Accent3 2 3 2" xfId="23230" xr:uid="{00000000-0005-0000-0000-00000D420000}"/>
    <cellStyle name="40% - Accent3 2 3 2 2" xfId="23235" xr:uid="{00000000-0005-0000-0000-00000E420000}"/>
    <cellStyle name="40% - Accent3 2 3 2 2 2" xfId="14635" xr:uid="{00000000-0005-0000-0000-00000F420000}"/>
    <cellStyle name="40% - Accent3 2 3 2 2 2 2" xfId="6340" xr:uid="{00000000-0005-0000-0000-000010420000}"/>
    <cellStyle name="40% - Accent3 2 3 2 2 2 2 2" xfId="18965" xr:uid="{00000000-0005-0000-0000-000011420000}"/>
    <cellStyle name="40% - Accent3 2 3 2 2 2 2 2 2" xfId="18840" xr:uid="{00000000-0005-0000-0000-000012420000}"/>
    <cellStyle name="40% - Accent3 2 3 2 2 2 2 2 2 2" xfId="2234" xr:uid="{00000000-0005-0000-0000-000013420000}"/>
    <cellStyle name="40% - Accent3 2 3 2 2 2 2 2 2 2 2" xfId="26917" xr:uid="{00000000-0005-0000-0000-000014420000}"/>
    <cellStyle name="40% - Accent3 2 3 2 2 2 2 2 2 3" xfId="3828" xr:uid="{00000000-0005-0000-0000-000015420000}"/>
    <cellStyle name="40% - Accent3 2 3 2 2 2 2 2 3" xfId="22163" xr:uid="{00000000-0005-0000-0000-000016420000}"/>
    <cellStyle name="40% - Accent3 2 3 2 2 2 2 2 3 2" xfId="2658" xr:uid="{00000000-0005-0000-0000-000017420000}"/>
    <cellStyle name="40% - Accent3 2 3 2 2 2 2 2 4" xfId="11481" xr:uid="{00000000-0005-0000-0000-000018420000}"/>
    <cellStyle name="40% - Accent3 2 3 2 2 2 2 3" xfId="18967" xr:uid="{00000000-0005-0000-0000-000019420000}"/>
    <cellStyle name="40% - Accent3 2 3 2 2 2 2 3 2" xfId="20378" xr:uid="{00000000-0005-0000-0000-00001A420000}"/>
    <cellStyle name="40% - Accent3 2 3 2 2 2 2 3 2 2" xfId="4708" xr:uid="{00000000-0005-0000-0000-00001B420000}"/>
    <cellStyle name="40% - Accent3 2 3 2 2 2 2 3 3" xfId="32717" xr:uid="{00000000-0005-0000-0000-00001C420000}"/>
    <cellStyle name="40% - Accent3 2 3 2 2 2 2 4" xfId="18971" xr:uid="{00000000-0005-0000-0000-00001D420000}"/>
    <cellStyle name="40% - Accent3 2 3 2 2 2 2 4 2" xfId="7673" xr:uid="{00000000-0005-0000-0000-00001E420000}"/>
    <cellStyle name="40% - Accent3 2 3 2 2 2 2 5" xfId="18974" xr:uid="{00000000-0005-0000-0000-00001F420000}"/>
    <cellStyle name="40% - Accent3 2 3 2 2 2 3" xfId="2557" xr:uid="{00000000-0005-0000-0000-000020420000}"/>
    <cellStyle name="40% - Accent3 2 3 2 2 2 3 2" xfId="18977" xr:uid="{00000000-0005-0000-0000-000021420000}"/>
    <cellStyle name="40% - Accent3 2 3 2 2 2 3 2 2" xfId="22447" xr:uid="{00000000-0005-0000-0000-000022420000}"/>
    <cellStyle name="40% - Accent3 2 3 2 2 2 3 2 2 2" xfId="459" xr:uid="{00000000-0005-0000-0000-000023420000}"/>
    <cellStyle name="40% - Accent3 2 3 2 2 2 3 2 3" xfId="14226" xr:uid="{00000000-0005-0000-0000-000024420000}"/>
    <cellStyle name="40% - Accent3 2 3 2 2 2 3 3" xfId="23253" xr:uid="{00000000-0005-0000-0000-000025420000}"/>
    <cellStyle name="40% - Accent3 2 3 2 2 2 3 3 2" xfId="1083" xr:uid="{00000000-0005-0000-0000-000026420000}"/>
    <cellStyle name="40% - Accent3 2 3 2 2 2 3 4" xfId="10366" xr:uid="{00000000-0005-0000-0000-000027420000}"/>
    <cellStyle name="40% - Accent3 2 3 2 2 2 4" xfId="643" xr:uid="{00000000-0005-0000-0000-000028420000}"/>
    <cellStyle name="40% - Accent3 2 3 2 2 2 4 2" xfId="18979" xr:uid="{00000000-0005-0000-0000-000029420000}"/>
    <cellStyle name="40% - Accent3 2 3 2 2 2 4 2 2" xfId="1612" xr:uid="{00000000-0005-0000-0000-00002A420000}"/>
    <cellStyle name="40% - Accent3 2 3 2 2 2 4 3" xfId="18981" xr:uid="{00000000-0005-0000-0000-00002B420000}"/>
    <cellStyle name="40% - Accent3 2 3 2 2 2 5" xfId="18758" xr:uid="{00000000-0005-0000-0000-00002C420000}"/>
    <cellStyle name="40% - Accent3 2 3 2 2 2 5 2" xfId="18987" xr:uid="{00000000-0005-0000-0000-00002D420000}"/>
    <cellStyle name="40% - Accent3 2 3 2 2 2 6" xfId="23130" xr:uid="{00000000-0005-0000-0000-00002E420000}"/>
    <cellStyle name="40% - Accent3 2 3 2 2 3" xfId="18989" xr:uid="{00000000-0005-0000-0000-00002F420000}"/>
    <cellStyle name="40% - Accent3 2 3 2 2 3 2" xfId="4779" xr:uid="{00000000-0005-0000-0000-000030420000}"/>
    <cellStyle name="40% - Accent3 2 3 2 2 3 2 2" xfId="18992" xr:uid="{00000000-0005-0000-0000-000031420000}"/>
    <cellStyle name="40% - Accent3 2 3 2 2 3 2 2 2" xfId="20635" xr:uid="{00000000-0005-0000-0000-000032420000}"/>
    <cellStyle name="40% - Accent3 2 3 2 2 3 2 2 2 2" xfId="18998" xr:uid="{00000000-0005-0000-0000-000033420000}"/>
    <cellStyle name="40% - Accent3 2 3 2 2 3 2 2 3" xfId="24643" xr:uid="{00000000-0005-0000-0000-000034420000}"/>
    <cellStyle name="40% - Accent3 2 3 2 2 3 2 3" xfId="19004" xr:uid="{00000000-0005-0000-0000-000035420000}"/>
    <cellStyle name="40% - Accent3 2 3 2 2 3 2 3 2" xfId="11570" xr:uid="{00000000-0005-0000-0000-000036420000}"/>
    <cellStyle name="40% - Accent3 2 3 2 2 3 2 4" xfId="19007" xr:uid="{00000000-0005-0000-0000-000037420000}"/>
    <cellStyle name="40% - Accent3 2 3 2 2 3 3" xfId="399" xr:uid="{00000000-0005-0000-0000-000038420000}"/>
    <cellStyle name="40% - Accent3 2 3 2 2 3 3 2" xfId="19009" xr:uid="{00000000-0005-0000-0000-000039420000}"/>
    <cellStyle name="40% - Accent3 2 3 2 2 3 3 2 2" xfId="14248" xr:uid="{00000000-0005-0000-0000-00003A420000}"/>
    <cellStyle name="40% - Accent3 2 3 2 2 3 3 3" xfId="19010" xr:uid="{00000000-0005-0000-0000-00003B420000}"/>
    <cellStyle name="40% - Accent3 2 3 2 2 3 4" xfId="31943" xr:uid="{00000000-0005-0000-0000-00003C420000}"/>
    <cellStyle name="40% - Accent3 2 3 2 2 3 4 2" xfId="19011" xr:uid="{00000000-0005-0000-0000-00003D420000}"/>
    <cellStyle name="40% - Accent3 2 3 2 2 3 5" xfId="28078" xr:uid="{00000000-0005-0000-0000-00003E420000}"/>
    <cellStyle name="40% - Accent3 2 3 2 2 4" xfId="21769" xr:uid="{00000000-0005-0000-0000-00003F420000}"/>
    <cellStyle name="40% - Accent3 2 3 2 2 4 2" xfId="2055" xr:uid="{00000000-0005-0000-0000-000040420000}"/>
    <cellStyle name="40% - Accent3 2 3 2 2 4 2 2" xfId="19012" xr:uid="{00000000-0005-0000-0000-000041420000}"/>
    <cellStyle name="40% - Accent3 2 3 2 2 4 2 2 2" xfId="10771" xr:uid="{00000000-0005-0000-0000-000042420000}"/>
    <cellStyle name="40% - Accent3 2 3 2 2 4 2 3" xfId="19044" xr:uid="{00000000-0005-0000-0000-000043420000}"/>
    <cellStyle name="40% - Accent3 2 3 2 2 4 3" xfId="2387" xr:uid="{00000000-0005-0000-0000-000044420000}"/>
    <cellStyle name="40% - Accent3 2 3 2 2 4 3 2" xfId="19021" xr:uid="{00000000-0005-0000-0000-000045420000}"/>
    <cellStyle name="40% - Accent3 2 3 2 2 4 4" xfId="19046" xr:uid="{00000000-0005-0000-0000-000046420000}"/>
    <cellStyle name="40% - Accent3 2 3 2 2 5" xfId="19017" xr:uid="{00000000-0005-0000-0000-000047420000}"/>
    <cellStyle name="40% - Accent3 2 3 2 2 5 2" xfId="19020" xr:uid="{00000000-0005-0000-0000-000048420000}"/>
    <cellStyle name="40% - Accent3 2 3 2 2 5 2 2" xfId="20572" xr:uid="{00000000-0005-0000-0000-000049420000}"/>
    <cellStyle name="40% - Accent3 2 3 2 2 5 3" xfId="19023" xr:uid="{00000000-0005-0000-0000-00004A420000}"/>
    <cellStyle name="40% - Accent3 2 3 2 2 6" xfId="27744" xr:uid="{00000000-0005-0000-0000-00004B420000}"/>
    <cellStyle name="40% - Accent3 2 3 2 2 6 2" xfId="27752" xr:uid="{00000000-0005-0000-0000-00004C420000}"/>
    <cellStyle name="40% - Accent3 2 3 2 2 7" xfId="24357" xr:uid="{00000000-0005-0000-0000-00004D420000}"/>
    <cellStyle name="40% - Accent3 2 3 2 3" xfId="22681" xr:uid="{00000000-0005-0000-0000-00004E420000}"/>
    <cellStyle name="40% - Accent3 2 3 2 3 2" xfId="19026" xr:uid="{00000000-0005-0000-0000-00004F420000}"/>
    <cellStyle name="40% - Accent3 2 3 2 3 2 2" xfId="4752" xr:uid="{00000000-0005-0000-0000-000050420000}"/>
    <cellStyle name="40% - Accent3 2 3 2 3 2 2 2" xfId="19030" xr:uid="{00000000-0005-0000-0000-000051420000}"/>
    <cellStyle name="40% - Accent3 2 3 2 3 2 2 2 2" xfId="24803" xr:uid="{00000000-0005-0000-0000-000052420000}"/>
    <cellStyle name="40% - Accent3 2 3 2 3 2 2 2 2 2" xfId="29376" xr:uid="{00000000-0005-0000-0000-000053420000}"/>
    <cellStyle name="40% - Accent3 2 3 2 3 2 2 2 3" xfId="24805" xr:uid="{00000000-0005-0000-0000-000054420000}"/>
    <cellStyle name="40% - Accent3 2 3 2 3 2 2 3" xfId="19032" xr:uid="{00000000-0005-0000-0000-000055420000}"/>
    <cellStyle name="40% - Accent3 2 3 2 3 2 2 3 2" xfId="24826" xr:uid="{00000000-0005-0000-0000-000056420000}"/>
    <cellStyle name="40% - Accent3 2 3 2 3 2 2 4" xfId="19037" xr:uid="{00000000-0005-0000-0000-000057420000}"/>
    <cellStyle name="40% - Accent3 2 3 2 3 2 3" xfId="6704" xr:uid="{00000000-0005-0000-0000-000058420000}"/>
    <cellStyle name="40% - Accent3 2 3 2 3 2 3 2" xfId="19063" xr:uid="{00000000-0005-0000-0000-000059420000}"/>
    <cellStyle name="40% - Accent3 2 3 2 3 2 3 2 2" xfId="29517" xr:uid="{00000000-0005-0000-0000-00005A420000}"/>
    <cellStyle name="40% - Accent3 2 3 2 3 2 3 3" xfId="19038" xr:uid="{00000000-0005-0000-0000-00005B420000}"/>
    <cellStyle name="40% - Accent3 2 3 2 3 2 4" xfId="21149" xr:uid="{00000000-0005-0000-0000-00005C420000}"/>
    <cellStyle name="40% - Accent3 2 3 2 3 2 4 2" xfId="28573" xr:uid="{00000000-0005-0000-0000-00005D420000}"/>
    <cellStyle name="40% - Accent3 2 3 2 3 2 5" xfId="21983" xr:uid="{00000000-0005-0000-0000-00005E420000}"/>
    <cellStyle name="40% - Accent3 2 3 2 3 3" xfId="21778" xr:uid="{00000000-0005-0000-0000-00005F420000}"/>
    <cellStyle name="40% - Accent3 2 3 2 3 3 2" xfId="180" xr:uid="{00000000-0005-0000-0000-000060420000}"/>
    <cellStyle name="40% - Accent3 2 3 2 3 3 2 2" xfId="28759" xr:uid="{00000000-0005-0000-0000-000061420000}"/>
    <cellStyle name="40% - Accent3 2 3 2 3 3 2 2 2" xfId="29850" xr:uid="{00000000-0005-0000-0000-000062420000}"/>
    <cellStyle name="40% - Accent3 2 3 2 3 3 2 3" xfId="28763" xr:uid="{00000000-0005-0000-0000-000063420000}"/>
    <cellStyle name="40% - Accent3 2 3 2 3 3 3" xfId="19041" xr:uid="{00000000-0005-0000-0000-000064420000}"/>
    <cellStyle name="40% - Accent3 2 3 2 3 3 3 2" xfId="19043" xr:uid="{00000000-0005-0000-0000-000065420000}"/>
    <cellStyle name="40% - Accent3 2 3 2 3 3 4" xfId="25959" xr:uid="{00000000-0005-0000-0000-000066420000}"/>
    <cellStyle name="40% - Accent3 2 3 2 3 4" xfId="20561" xr:uid="{00000000-0005-0000-0000-000067420000}"/>
    <cellStyle name="40% - Accent3 2 3 2 3 4 2" xfId="32745" xr:uid="{00000000-0005-0000-0000-000068420000}"/>
    <cellStyle name="40% - Accent3 2 3 2 3 4 2 2" xfId="19045" xr:uid="{00000000-0005-0000-0000-000069420000}"/>
    <cellStyle name="40% - Accent3 2 3 2 3 4 3" xfId="19047" xr:uid="{00000000-0005-0000-0000-00006A420000}"/>
    <cellStyle name="40% - Accent3 2 3 2 3 5" xfId="19049" xr:uid="{00000000-0005-0000-0000-00006B420000}"/>
    <cellStyle name="40% - Accent3 2 3 2 3 5 2" xfId="19051" xr:uid="{00000000-0005-0000-0000-00006C420000}"/>
    <cellStyle name="40% - Accent3 2 3 2 3 6" xfId="22557" xr:uid="{00000000-0005-0000-0000-00006D420000}"/>
    <cellStyle name="40% - Accent3 2 3 2 4" xfId="8739" xr:uid="{00000000-0005-0000-0000-00006E420000}"/>
    <cellStyle name="40% - Accent3 2 3 2 4 2" xfId="23240" xr:uid="{00000000-0005-0000-0000-00006F420000}"/>
    <cellStyle name="40% - Accent3 2 3 2 4 2 2" xfId="5940" xr:uid="{00000000-0005-0000-0000-000070420000}"/>
    <cellStyle name="40% - Accent3 2 3 2 4 2 2 2" xfId="28522" xr:uid="{00000000-0005-0000-0000-000071420000}"/>
    <cellStyle name="40% - Accent3 2 3 2 4 2 2 2 2" xfId="22952" xr:uid="{00000000-0005-0000-0000-000072420000}"/>
    <cellStyle name="40% - Accent3 2 3 2 4 2 2 3" xfId="27865" xr:uid="{00000000-0005-0000-0000-000073420000}"/>
    <cellStyle name="40% - Accent3 2 3 2 4 2 3" xfId="22723" xr:uid="{00000000-0005-0000-0000-000074420000}"/>
    <cellStyle name="40% - Accent3 2 3 2 4 2 3 2" xfId="19053" xr:uid="{00000000-0005-0000-0000-000075420000}"/>
    <cellStyle name="40% - Accent3 2 3 2 4 2 4" xfId="20674" xr:uid="{00000000-0005-0000-0000-000076420000}"/>
    <cellStyle name="40% - Accent3 2 3 2 4 3" xfId="5031" xr:uid="{00000000-0005-0000-0000-000077420000}"/>
    <cellStyle name="40% - Accent3 2 3 2 4 3 2" xfId="31652" xr:uid="{00000000-0005-0000-0000-000078420000}"/>
    <cellStyle name="40% - Accent3 2 3 2 4 3 2 2" xfId="19054" xr:uid="{00000000-0005-0000-0000-000079420000}"/>
    <cellStyle name="40% - Accent3 2 3 2 4 3 3" xfId="28196" xr:uid="{00000000-0005-0000-0000-00007A420000}"/>
    <cellStyle name="40% - Accent3 2 3 2 4 4" xfId="5038" xr:uid="{00000000-0005-0000-0000-00007B420000}"/>
    <cellStyle name="40% - Accent3 2 3 2 4 4 2" xfId="21172" xr:uid="{00000000-0005-0000-0000-00007C420000}"/>
    <cellStyle name="40% - Accent3 2 3 2 4 5" xfId="19056" xr:uid="{00000000-0005-0000-0000-00007D420000}"/>
    <cellStyle name="40% - Accent3 2 3 2 5" xfId="18557" xr:uid="{00000000-0005-0000-0000-00007E420000}"/>
    <cellStyle name="40% - Accent3 2 3 2 5 2" xfId="2165" xr:uid="{00000000-0005-0000-0000-00007F420000}"/>
    <cellStyle name="40% - Accent3 2 3 2 5 2 2" xfId="22734" xr:uid="{00000000-0005-0000-0000-000080420000}"/>
    <cellStyle name="40% - Accent3 2 3 2 5 2 2 2" xfId="19057" xr:uid="{00000000-0005-0000-0000-000081420000}"/>
    <cellStyle name="40% - Accent3 2 3 2 5 2 3" xfId="19058" xr:uid="{00000000-0005-0000-0000-000082420000}"/>
    <cellStyle name="40% - Accent3 2 3 2 5 3" xfId="487" xr:uid="{00000000-0005-0000-0000-000083420000}"/>
    <cellStyle name="40% - Accent3 2 3 2 5 3 2" xfId="20655" xr:uid="{00000000-0005-0000-0000-000084420000}"/>
    <cellStyle name="40% - Accent3 2 3 2 5 4" xfId="20665" xr:uid="{00000000-0005-0000-0000-000085420000}"/>
    <cellStyle name="40% - Accent3 2 3 2 6" xfId="32033" xr:uid="{00000000-0005-0000-0000-000086420000}"/>
    <cellStyle name="40% - Accent3 2 3 2 6 2" xfId="32344" xr:uid="{00000000-0005-0000-0000-000087420000}"/>
    <cellStyle name="40% - Accent3 2 3 2 6 2 2" xfId="27996" xr:uid="{00000000-0005-0000-0000-000088420000}"/>
    <cellStyle name="40% - Accent3 2 3 2 6 3" xfId="30352" xr:uid="{00000000-0005-0000-0000-000089420000}"/>
    <cellStyle name="40% - Accent3 2 3 2 7" xfId="32227" xr:uid="{00000000-0005-0000-0000-00008A420000}"/>
    <cellStyle name="40% - Accent3 2 3 2 7 2" xfId="2401" xr:uid="{00000000-0005-0000-0000-00008B420000}"/>
    <cellStyle name="40% - Accent3 2 3 2 8" xfId="32677" xr:uid="{00000000-0005-0000-0000-00008C420000}"/>
    <cellStyle name="40% - Accent3 2 3 3" xfId="19061" xr:uid="{00000000-0005-0000-0000-00008D420000}"/>
    <cellStyle name="40% - Accent3 2 3 3 2" xfId="23245" xr:uid="{00000000-0005-0000-0000-00008E420000}"/>
    <cellStyle name="40% - Accent3 2 3 3 2 2" xfId="14716" xr:uid="{00000000-0005-0000-0000-00008F420000}"/>
    <cellStyle name="40% - Accent3 2 3 3 2 2 2" xfId="10066" xr:uid="{00000000-0005-0000-0000-000090420000}"/>
    <cellStyle name="40% - Accent3 2 3 3 2 2 2 2" xfId="33131" xr:uid="{00000000-0005-0000-0000-000091420000}"/>
    <cellStyle name="40% - Accent3 2 3 3 2 2 2 2 2" xfId="10590" xr:uid="{00000000-0005-0000-0000-000092420000}"/>
    <cellStyle name="40% - Accent3 2 3 3 2 2 2 2 2 2" xfId="19062" xr:uid="{00000000-0005-0000-0000-000093420000}"/>
    <cellStyle name="40% - Accent3 2 3 3 2 2 2 2 3" xfId="12934" xr:uid="{00000000-0005-0000-0000-000094420000}"/>
    <cellStyle name="40% - Accent3 2 3 3 2 2 2 3" xfId="6473" xr:uid="{00000000-0005-0000-0000-000095420000}"/>
    <cellStyle name="40% - Accent3 2 3 3 2 2 2 3 2" xfId="12936" xr:uid="{00000000-0005-0000-0000-000096420000}"/>
    <cellStyle name="40% - Accent3 2 3 3 2 2 2 4" xfId="19067" xr:uid="{00000000-0005-0000-0000-000097420000}"/>
    <cellStyle name="40% - Accent3 2 3 3 2 2 3" xfId="1654" xr:uid="{00000000-0005-0000-0000-000098420000}"/>
    <cellStyle name="40% - Accent3 2 3 3 2 2 3 2" xfId="19398" xr:uid="{00000000-0005-0000-0000-000099420000}"/>
    <cellStyle name="40% - Accent3 2 3 3 2 2 3 2 2" xfId="12946" xr:uid="{00000000-0005-0000-0000-00009A420000}"/>
    <cellStyle name="40% - Accent3 2 3 3 2 2 3 3" xfId="19072" xr:uid="{00000000-0005-0000-0000-00009B420000}"/>
    <cellStyle name="40% - Accent3 2 3 3 2 2 4" xfId="2008" xr:uid="{00000000-0005-0000-0000-00009C420000}"/>
    <cellStyle name="40% - Accent3 2 3 3 2 2 4 2" xfId="1676" xr:uid="{00000000-0005-0000-0000-00009D420000}"/>
    <cellStyle name="40% - Accent3 2 3 3 2 2 5" xfId="5467" xr:uid="{00000000-0005-0000-0000-00009E420000}"/>
    <cellStyle name="40% - Accent3 2 3 3 2 3" xfId="20001" xr:uid="{00000000-0005-0000-0000-00009F420000}"/>
    <cellStyle name="40% - Accent3 2 3 3 2 3 2" xfId="3699" xr:uid="{00000000-0005-0000-0000-0000A0420000}"/>
    <cellStyle name="40% - Accent3 2 3 3 2 3 2 2" xfId="19073" xr:uid="{00000000-0005-0000-0000-0000A1420000}"/>
    <cellStyle name="40% - Accent3 2 3 3 2 3 2 2 2" xfId="12961" xr:uid="{00000000-0005-0000-0000-0000A2420000}"/>
    <cellStyle name="40% - Accent3 2 3 3 2 3 2 3" xfId="19407" xr:uid="{00000000-0005-0000-0000-0000A3420000}"/>
    <cellStyle name="40% - Accent3 2 3 3 2 3 3" xfId="2034" xr:uid="{00000000-0005-0000-0000-0000A4420000}"/>
    <cellStyle name="40% - Accent3 2 3 3 2 3 3 2" xfId="33817" xr:uid="{00000000-0005-0000-0000-0000A5420000}"/>
    <cellStyle name="40% - Accent3 2 3 3 2 3 4" xfId="6003" xr:uid="{00000000-0005-0000-0000-0000A6420000}"/>
    <cellStyle name="40% - Accent3 2 3 3 2 4" xfId="19076" xr:uid="{00000000-0005-0000-0000-0000A7420000}"/>
    <cellStyle name="40% - Accent3 2 3 3 2 4 2" xfId="14013" xr:uid="{00000000-0005-0000-0000-0000A8420000}"/>
    <cellStyle name="40% - Accent3 2 3 3 2 4 2 2" xfId="19158" xr:uid="{00000000-0005-0000-0000-0000A9420000}"/>
    <cellStyle name="40% - Accent3 2 3 3 2 4 3" xfId="9118" xr:uid="{00000000-0005-0000-0000-0000AA420000}"/>
    <cellStyle name="40% - Accent3 2 3 3 2 5" xfId="25706" xr:uid="{00000000-0005-0000-0000-0000AB420000}"/>
    <cellStyle name="40% - Accent3 2 3 3 2 5 2" xfId="29026" xr:uid="{00000000-0005-0000-0000-0000AC420000}"/>
    <cellStyle name="40% - Accent3 2 3 3 2 6" xfId="24383" xr:uid="{00000000-0005-0000-0000-0000AD420000}"/>
    <cellStyle name="40% - Accent3 2 3 3 3" xfId="19083" xr:uid="{00000000-0005-0000-0000-0000AE420000}"/>
    <cellStyle name="40% - Accent3 2 3 3 3 2" xfId="23249" xr:uid="{00000000-0005-0000-0000-0000AF420000}"/>
    <cellStyle name="40% - Accent3 2 3 3 3 2 2" xfId="21755" xr:uid="{00000000-0005-0000-0000-0000B0420000}"/>
    <cellStyle name="40% - Accent3 2 3 3 3 2 2 2" xfId="19086" xr:uid="{00000000-0005-0000-0000-0000B1420000}"/>
    <cellStyle name="40% - Accent3 2 3 3 3 2 2 2 2" xfId="3702" xr:uid="{00000000-0005-0000-0000-0000B2420000}"/>
    <cellStyle name="40% - Accent3 2 3 3 3 2 2 3" xfId="24759" xr:uid="{00000000-0005-0000-0000-0000B3420000}"/>
    <cellStyle name="40% - Accent3 2 3 3 3 2 3" xfId="15567" xr:uid="{00000000-0005-0000-0000-0000B4420000}"/>
    <cellStyle name="40% - Accent3 2 3 3 3 2 3 2" xfId="19087" xr:uid="{00000000-0005-0000-0000-0000B5420000}"/>
    <cellStyle name="40% - Accent3 2 3 3 3 2 4" xfId="15986" xr:uid="{00000000-0005-0000-0000-0000B6420000}"/>
    <cellStyle name="40% - Accent3 2 3 3 3 3" xfId="13801" xr:uid="{00000000-0005-0000-0000-0000B7420000}"/>
    <cellStyle name="40% - Accent3 2 3 3 3 3 2" xfId="33546" xr:uid="{00000000-0005-0000-0000-0000B8420000}"/>
    <cellStyle name="40% - Accent3 2 3 3 3 3 2 2" xfId="19088" xr:uid="{00000000-0005-0000-0000-0000B9420000}"/>
    <cellStyle name="40% - Accent3 2 3 3 3 3 3" xfId="5061" xr:uid="{00000000-0005-0000-0000-0000BA420000}"/>
    <cellStyle name="40% - Accent3 2 3 3 3 4" xfId="19093" xr:uid="{00000000-0005-0000-0000-0000BB420000}"/>
    <cellStyle name="40% - Accent3 2 3 3 3 4 2" xfId="5077" xr:uid="{00000000-0005-0000-0000-0000BC420000}"/>
    <cellStyle name="40% - Accent3 2 3 3 3 5" xfId="19525" xr:uid="{00000000-0005-0000-0000-0000BD420000}"/>
    <cellStyle name="40% - Accent3 2 3 3 4" xfId="19097" xr:uid="{00000000-0005-0000-0000-0000BE420000}"/>
    <cellStyle name="40% - Accent3 2 3 3 4 2" xfId="185" xr:uid="{00000000-0005-0000-0000-0000BF420000}"/>
    <cellStyle name="40% - Accent3 2 3 3 4 2 2" xfId="27536" xr:uid="{00000000-0005-0000-0000-0000C0420000}"/>
    <cellStyle name="40% - Accent3 2 3 3 4 2 2 2" xfId="19099" xr:uid="{00000000-0005-0000-0000-0000C1420000}"/>
    <cellStyle name="40% - Accent3 2 3 3 4 2 3" xfId="5113" xr:uid="{00000000-0005-0000-0000-0000C2420000}"/>
    <cellStyle name="40% - Accent3 2 3 3 4 3" xfId="6876" xr:uid="{00000000-0005-0000-0000-0000C3420000}"/>
    <cellStyle name="40% - Accent3 2 3 3 4 3 2" xfId="5123" xr:uid="{00000000-0005-0000-0000-0000C4420000}"/>
    <cellStyle name="40% - Accent3 2 3 3 4 4" xfId="19105" xr:uid="{00000000-0005-0000-0000-0000C5420000}"/>
    <cellStyle name="40% - Accent3 2 3 3 5" xfId="32247" xr:uid="{00000000-0005-0000-0000-0000C6420000}"/>
    <cellStyle name="40% - Accent3 2 3 3 5 2" xfId="22785" xr:uid="{00000000-0005-0000-0000-0000C7420000}"/>
    <cellStyle name="40% - Accent3 2 3 3 5 2 2" xfId="5142" xr:uid="{00000000-0005-0000-0000-0000C8420000}"/>
    <cellStyle name="40% - Accent3 2 3 3 5 3" xfId="19108" xr:uid="{00000000-0005-0000-0000-0000C9420000}"/>
    <cellStyle name="40% - Accent3 2 3 3 6" xfId="13735" xr:uid="{00000000-0005-0000-0000-0000CA420000}"/>
    <cellStyle name="40% - Accent3 2 3 3 6 2" xfId="32708" xr:uid="{00000000-0005-0000-0000-0000CB420000}"/>
    <cellStyle name="40% - Accent3 2 3 3 7" xfId="27648" xr:uid="{00000000-0005-0000-0000-0000CC420000}"/>
    <cellStyle name="40% - Accent3 2 3 4" xfId="19110" xr:uid="{00000000-0005-0000-0000-0000CD420000}"/>
    <cellStyle name="40% - Accent3 2 3 4 2" xfId="19114" xr:uid="{00000000-0005-0000-0000-0000CE420000}"/>
    <cellStyle name="40% - Accent3 2 3 4 2 2" xfId="23264" xr:uid="{00000000-0005-0000-0000-0000CF420000}"/>
    <cellStyle name="40% - Accent3 2 3 4 2 2 2" xfId="4418" xr:uid="{00000000-0005-0000-0000-0000D0420000}"/>
    <cellStyle name="40% - Accent3 2 3 4 2 2 2 2" xfId="3052" xr:uid="{00000000-0005-0000-0000-0000D1420000}"/>
    <cellStyle name="40% - Accent3 2 3 4 2 2 2 2 2" xfId="13185" xr:uid="{00000000-0005-0000-0000-0000D2420000}"/>
    <cellStyle name="40% - Accent3 2 3 4 2 2 2 3" xfId="1222" xr:uid="{00000000-0005-0000-0000-0000D3420000}"/>
    <cellStyle name="40% - Accent3 2 3 4 2 2 3" xfId="287" xr:uid="{00000000-0005-0000-0000-0000D4420000}"/>
    <cellStyle name="40% - Accent3 2 3 4 2 2 3 2" xfId="1384" xr:uid="{00000000-0005-0000-0000-0000D5420000}"/>
    <cellStyle name="40% - Accent3 2 3 4 2 2 4" xfId="12063" xr:uid="{00000000-0005-0000-0000-0000D6420000}"/>
    <cellStyle name="40% - Accent3 2 3 4 2 3" xfId="26981" xr:uid="{00000000-0005-0000-0000-0000D7420000}"/>
    <cellStyle name="40% - Accent3 2 3 4 2 3 2" xfId="2184" xr:uid="{00000000-0005-0000-0000-0000D8420000}"/>
    <cellStyle name="40% - Accent3 2 3 4 2 3 2 2" xfId="2281" xr:uid="{00000000-0005-0000-0000-0000D9420000}"/>
    <cellStyle name="40% - Accent3 2 3 4 2 3 3" xfId="299" xr:uid="{00000000-0005-0000-0000-0000DA420000}"/>
    <cellStyle name="40% - Accent3 2 3 4 2 4" xfId="8476" xr:uid="{00000000-0005-0000-0000-0000DB420000}"/>
    <cellStyle name="40% - Accent3 2 3 4 2 4 2" xfId="8211" xr:uid="{00000000-0005-0000-0000-0000DC420000}"/>
    <cellStyle name="40% - Accent3 2 3 4 2 5" xfId="24711" xr:uid="{00000000-0005-0000-0000-0000DD420000}"/>
    <cellStyle name="40% - Accent3 2 3 4 3" xfId="19119" xr:uid="{00000000-0005-0000-0000-0000DE420000}"/>
    <cellStyle name="40% - Accent3 2 3 4 3 2" xfId="22819" xr:uid="{00000000-0005-0000-0000-0000DF420000}"/>
    <cellStyle name="40% - Accent3 2 3 4 3 2 2" xfId="17005" xr:uid="{00000000-0005-0000-0000-0000E0420000}"/>
    <cellStyle name="40% - Accent3 2 3 4 3 2 2 2" xfId="4811" xr:uid="{00000000-0005-0000-0000-0000E1420000}"/>
    <cellStyle name="40% - Accent3 2 3 4 3 2 3" xfId="2626" xr:uid="{00000000-0005-0000-0000-0000E2420000}"/>
    <cellStyle name="40% - Accent3 2 3 4 3 3" xfId="19124" xr:uid="{00000000-0005-0000-0000-0000E3420000}"/>
    <cellStyle name="40% - Accent3 2 3 4 3 3 2" xfId="2260" xr:uid="{00000000-0005-0000-0000-0000E4420000}"/>
    <cellStyle name="40% - Accent3 2 3 4 3 4" xfId="24716" xr:uid="{00000000-0005-0000-0000-0000E5420000}"/>
    <cellStyle name="40% - Accent3 2 3 4 4" xfId="22822" xr:uid="{00000000-0005-0000-0000-0000E6420000}"/>
    <cellStyle name="40% - Accent3 2 3 4 4 2" xfId="33954" xr:uid="{00000000-0005-0000-0000-0000E7420000}"/>
    <cellStyle name="40% - Accent3 2 3 4 4 2 2" xfId="2179" xr:uid="{00000000-0005-0000-0000-0000E8420000}"/>
    <cellStyle name="40% - Accent3 2 3 4 4 3" xfId="19126" xr:uid="{00000000-0005-0000-0000-0000E9420000}"/>
    <cellStyle name="40% - Accent3 2 3 4 5" xfId="32256" xr:uid="{00000000-0005-0000-0000-0000EA420000}"/>
    <cellStyle name="40% - Accent3 2 3 4 5 2" xfId="19129" xr:uid="{00000000-0005-0000-0000-0000EB420000}"/>
    <cellStyle name="40% - Accent3 2 3 4 6" xfId="3869" xr:uid="{00000000-0005-0000-0000-0000EC420000}"/>
    <cellStyle name="40% - Accent3 2 3 5" xfId="23273" xr:uid="{00000000-0005-0000-0000-0000ED420000}"/>
    <cellStyle name="40% - Accent3 2 3 5 2" xfId="23278" xr:uid="{00000000-0005-0000-0000-0000EE420000}"/>
    <cellStyle name="40% - Accent3 2 3 5 2 2" xfId="26993" xr:uid="{00000000-0005-0000-0000-0000EF420000}"/>
    <cellStyle name="40% - Accent3 2 3 5 2 2 2" xfId="1221" xr:uid="{00000000-0005-0000-0000-0000F0420000}"/>
    <cellStyle name="40% - Accent3 2 3 5 2 2 2 2" xfId="19131" xr:uid="{00000000-0005-0000-0000-0000F1420000}"/>
    <cellStyle name="40% - Accent3 2 3 5 2 2 3" xfId="11106" xr:uid="{00000000-0005-0000-0000-0000F2420000}"/>
    <cellStyle name="40% - Accent3 2 3 5 2 3" xfId="19134" xr:uid="{00000000-0005-0000-0000-0000F3420000}"/>
    <cellStyle name="40% - Accent3 2 3 5 2 3 2" xfId="2324" xr:uid="{00000000-0005-0000-0000-0000F4420000}"/>
    <cellStyle name="40% - Accent3 2 3 5 2 4" xfId="19136" xr:uid="{00000000-0005-0000-0000-0000F5420000}"/>
    <cellStyle name="40% - Accent3 2 3 5 3" xfId="22890" xr:uid="{00000000-0005-0000-0000-0000F6420000}"/>
    <cellStyle name="40% - Accent3 2 3 5 3 2" xfId="26602" xr:uid="{00000000-0005-0000-0000-0000F7420000}"/>
    <cellStyle name="40% - Accent3 2 3 5 3 2 2" xfId="17055" xr:uid="{00000000-0005-0000-0000-0000F8420000}"/>
    <cellStyle name="40% - Accent3 2 3 5 3 3" xfId="19139" xr:uid="{00000000-0005-0000-0000-0000F9420000}"/>
    <cellStyle name="40% - Accent3 2 3 5 4" xfId="20639" xr:uid="{00000000-0005-0000-0000-0000FA420000}"/>
    <cellStyle name="40% - Accent3 2 3 5 4 2" xfId="27499" xr:uid="{00000000-0005-0000-0000-0000FB420000}"/>
    <cellStyle name="40% - Accent3 2 3 5 5" xfId="25089" xr:uid="{00000000-0005-0000-0000-0000FC420000}"/>
    <cellStyle name="40% - Accent3 2 3 6" xfId="23280" xr:uid="{00000000-0005-0000-0000-0000FD420000}"/>
    <cellStyle name="40% - Accent3 2 3 6 2" xfId="20929" xr:uid="{00000000-0005-0000-0000-0000FE420000}"/>
    <cellStyle name="40% - Accent3 2 3 6 2 2" xfId="21924" xr:uid="{00000000-0005-0000-0000-0000FF420000}"/>
    <cellStyle name="40% - Accent3 2 3 6 2 2 2" xfId="2349" xr:uid="{00000000-0005-0000-0000-000000430000}"/>
    <cellStyle name="40% - Accent3 2 3 6 2 3" xfId="19143" xr:uid="{00000000-0005-0000-0000-000001430000}"/>
    <cellStyle name="40% - Accent3 2 3 6 3" xfId="19145" xr:uid="{00000000-0005-0000-0000-000002430000}"/>
    <cellStyle name="40% - Accent3 2 3 6 3 2" xfId="30997" xr:uid="{00000000-0005-0000-0000-000003430000}"/>
    <cellStyle name="40% - Accent3 2 3 6 4" xfId="22102" xr:uid="{00000000-0005-0000-0000-000004430000}"/>
    <cellStyle name="40% - Accent3 2 3 7" xfId="5800" xr:uid="{00000000-0005-0000-0000-000005430000}"/>
    <cellStyle name="40% - Accent3 2 3 7 2" xfId="4641" xr:uid="{00000000-0005-0000-0000-000006430000}"/>
    <cellStyle name="40% - Accent3 2 3 7 2 2" xfId="4645" xr:uid="{00000000-0005-0000-0000-000007430000}"/>
    <cellStyle name="40% - Accent3 2 3 7 3" xfId="4650" xr:uid="{00000000-0005-0000-0000-000008430000}"/>
    <cellStyle name="40% - Accent3 2 3 8" xfId="4341" xr:uid="{00000000-0005-0000-0000-000009430000}"/>
    <cellStyle name="40% - Accent3 2 3 8 2" xfId="4654" xr:uid="{00000000-0005-0000-0000-00000A430000}"/>
    <cellStyle name="40% - Accent3 2 3 9" xfId="4659" xr:uid="{00000000-0005-0000-0000-00000B430000}"/>
    <cellStyle name="40% - Accent3 2 4" xfId="19148" xr:uid="{00000000-0005-0000-0000-00000C430000}"/>
    <cellStyle name="40% - Accent3 2 4 2" xfId="23284" xr:uid="{00000000-0005-0000-0000-00000D430000}"/>
    <cellStyle name="40% - Accent3 2 4 2 2" xfId="22766" xr:uid="{00000000-0005-0000-0000-00000E430000}"/>
    <cellStyle name="40% - Accent3 2 4 2 2 2" xfId="17356" xr:uid="{00000000-0005-0000-0000-00000F430000}"/>
    <cellStyle name="40% - Accent3 2 4 2 2 2 2" xfId="23287" xr:uid="{00000000-0005-0000-0000-000010430000}"/>
    <cellStyle name="40% - Accent3 2 4 2 2 2 2 2" xfId="17470" xr:uid="{00000000-0005-0000-0000-000011430000}"/>
    <cellStyle name="40% - Accent3 2 4 2 2 2 2 2 2" xfId="15833" xr:uid="{00000000-0005-0000-0000-000012430000}"/>
    <cellStyle name="40% - Accent3 2 4 2 2 2 2 2 2 2" xfId="13355" xr:uid="{00000000-0005-0000-0000-000013430000}"/>
    <cellStyle name="40% - Accent3 2 4 2 2 2 2 2 3" xfId="15837" xr:uid="{00000000-0005-0000-0000-000014430000}"/>
    <cellStyle name="40% - Accent3 2 4 2 2 2 2 3" xfId="17473" xr:uid="{00000000-0005-0000-0000-000015430000}"/>
    <cellStyle name="40% - Accent3 2 4 2 2 2 2 3 2" xfId="15840" xr:uid="{00000000-0005-0000-0000-000016430000}"/>
    <cellStyle name="40% - Accent3 2 4 2 2 2 2 4" xfId="19154" xr:uid="{00000000-0005-0000-0000-000017430000}"/>
    <cellStyle name="40% - Accent3 2 4 2 2 2 3" xfId="17369" xr:uid="{00000000-0005-0000-0000-000018430000}"/>
    <cellStyle name="40% - Accent3 2 4 2 2 2 3 2" xfId="17475" xr:uid="{00000000-0005-0000-0000-000019430000}"/>
    <cellStyle name="40% - Accent3 2 4 2 2 2 3 2 2" xfId="12467" xr:uid="{00000000-0005-0000-0000-00001A430000}"/>
    <cellStyle name="40% - Accent3 2 4 2 2 2 3 3" xfId="27884" xr:uid="{00000000-0005-0000-0000-00001B430000}"/>
    <cellStyle name="40% - Accent3 2 4 2 2 2 4" xfId="17376" xr:uid="{00000000-0005-0000-0000-00001C430000}"/>
    <cellStyle name="40% - Accent3 2 4 2 2 2 4 2" xfId="19156" xr:uid="{00000000-0005-0000-0000-00001D430000}"/>
    <cellStyle name="40% - Accent3 2 4 2 2 2 5" xfId="33356" xr:uid="{00000000-0005-0000-0000-00001E430000}"/>
    <cellStyle name="40% - Accent3 2 4 2 2 3" xfId="21832" xr:uid="{00000000-0005-0000-0000-00001F430000}"/>
    <cellStyle name="40% - Accent3 2 4 2 2 3 2" xfId="17388" xr:uid="{00000000-0005-0000-0000-000020430000}"/>
    <cellStyle name="40% - Accent3 2 4 2 2 3 2 2" xfId="33085" xr:uid="{00000000-0005-0000-0000-000021430000}"/>
    <cellStyle name="40% - Accent3 2 4 2 2 3 2 2 2" xfId="15923" xr:uid="{00000000-0005-0000-0000-000022430000}"/>
    <cellStyle name="40% - Accent3 2 4 2 2 3 2 3" xfId="33323" xr:uid="{00000000-0005-0000-0000-000023430000}"/>
    <cellStyle name="40% - Accent3 2 4 2 2 3 3" xfId="17394" xr:uid="{00000000-0005-0000-0000-000024430000}"/>
    <cellStyle name="40% - Accent3 2 4 2 2 3 3 2" xfId="25220" xr:uid="{00000000-0005-0000-0000-000025430000}"/>
    <cellStyle name="40% - Accent3 2 4 2 2 3 4" xfId="19157" xr:uid="{00000000-0005-0000-0000-000026430000}"/>
    <cellStyle name="40% - Accent3 2 4 2 2 4" xfId="15018" xr:uid="{00000000-0005-0000-0000-000027430000}"/>
    <cellStyle name="40% - Accent3 2 4 2 2 4 2" xfId="17397" xr:uid="{00000000-0005-0000-0000-000028430000}"/>
    <cellStyle name="40% - Accent3 2 4 2 2 4 2 2" xfId="32218" xr:uid="{00000000-0005-0000-0000-000029430000}"/>
    <cellStyle name="40% - Accent3 2 4 2 2 4 3" xfId="19159" xr:uid="{00000000-0005-0000-0000-00002A430000}"/>
    <cellStyle name="40% - Accent3 2 4 2 2 5" xfId="14850" xr:uid="{00000000-0005-0000-0000-00002B430000}"/>
    <cellStyle name="40% - Accent3 2 4 2 2 5 2" xfId="19162" xr:uid="{00000000-0005-0000-0000-00002C430000}"/>
    <cellStyle name="40% - Accent3 2 4 2 2 6" xfId="24455" xr:uid="{00000000-0005-0000-0000-00002D430000}"/>
    <cellStyle name="40% - Accent3 2 4 2 3" xfId="17402" xr:uid="{00000000-0005-0000-0000-00002E430000}"/>
    <cellStyle name="40% - Accent3 2 4 2 3 2" xfId="22987" xr:uid="{00000000-0005-0000-0000-00002F430000}"/>
    <cellStyle name="40% - Accent3 2 4 2 3 2 2" xfId="22990" xr:uid="{00000000-0005-0000-0000-000030430000}"/>
    <cellStyle name="40% - Accent3 2 4 2 3 2 2 2" xfId="17511" xr:uid="{00000000-0005-0000-0000-000031430000}"/>
    <cellStyle name="40% - Accent3 2 4 2 3 2 2 2 2" xfId="16218" xr:uid="{00000000-0005-0000-0000-000032430000}"/>
    <cellStyle name="40% - Accent3 2 4 2 3 2 2 3" xfId="19163" xr:uid="{00000000-0005-0000-0000-000033430000}"/>
    <cellStyle name="40% - Accent3 2 4 2 3 2 3" xfId="17406" xr:uid="{00000000-0005-0000-0000-000034430000}"/>
    <cellStyle name="40% - Accent3 2 4 2 3 2 3 2" xfId="25433" xr:uid="{00000000-0005-0000-0000-000035430000}"/>
    <cellStyle name="40% - Accent3 2 4 2 3 2 4" xfId="19165" xr:uid="{00000000-0005-0000-0000-000036430000}"/>
    <cellStyle name="40% - Accent3 2 4 2 3 3" xfId="22994" xr:uid="{00000000-0005-0000-0000-000037430000}"/>
    <cellStyle name="40% - Accent3 2 4 2 3 3 2" xfId="17408" xr:uid="{00000000-0005-0000-0000-000038430000}"/>
    <cellStyle name="40% - Accent3 2 4 2 3 3 2 2" xfId="19167" xr:uid="{00000000-0005-0000-0000-000039430000}"/>
    <cellStyle name="40% - Accent3 2 4 2 3 3 3" xfId="19168" xr:uid="{00000000-0005-0000-0000-00003A430000}"/>
    <cellStyle name="40% - Accent3 2 4 2 3 4" xfId="31584" xr:uid="{00000000-0005-0000-0000-00003B430000}"/>
    <cellStyle name="40% - Accent3 2 4 2 3 4 2" xfId="17602" xr:uid="{00000000-0005-0000-0000-00003C430000}"/>
    <cellStyle name="40% - Accent3 2 4 2 3 5" xfId="23337" xr:uid="{00000000-0005-0000-0000-00003D430000}"/>
    <cellStyle name="40% - Accent3 2 4 2 4" xfId="17410" xr:uid="{00000000-0005-0000-0000-00003E430000}"/>
    <cellStyle name="40% - Accent3 2 4 2 4 2" xfId="56" xr:uid="{00000000-0005-0000-0000-00003F430000}"/>
    <cellStyle name="40% - Accent3 2 4 2 4 2 2" xfId="17416" xr:uid="{00000000-0005-0000-0000-000040430000}"/>
    <cellStyle name="40% - Accent3 2 4 2 4 2 2 2" xfId="4792" xr:uid="{00000000-0005-0000-0000-000041430000}"/>
    <cellStyle name="40% - Accent3 2 4 2 4 2 3" xfId="19173" xr:uid="{00000000-0005-0000-0000-000042430000}"/>
    <cellStyle name="40% - Accent3 2 4 2 4 3" xfId="5104" xr:uid="{00000000-0005-0000-0000-000043430000}"/>
    <cellStyle name="40% - Accent3 2 4 2 4 3 2" xfId="19177" xr:uid="{00000000-0005-0000-0000-000044430000}"/>
    <cellStyle name="40% - Accent3 2 4 2 4 4" xfId="23352" xr:uid="{00000000-0005-0000-0000-000045430000}"/>
    <cellStyle name="40% - Accent3 2 4 2 5" xfId="30955" xr:uid="{00000000-0005-0000-0000-000046430000}"/>
    <cellStyle name="40% - Accent3 2 4 2 5 2" xfId="21388" xr:uid="{00000000-0005-0000-0000-000047430000}"/>
    <cellStyle name="40% - Accent3 2 4 2 5 2 2" xfId="19182" xr:uid="{00000000-0005-0000-0000-000048430000}"/>
    <cellStyle name="40% - Accent3 2 4 2 5 3" xfId="21283" xr:uid="{00000000-0005-0000-0000-000049430000}"/>
    <cellStyle name="40% - Accent3 2 4 2 6" xfId="14614" xr:uid="{00000000-0005-0000-0000-00004A430000}"/>
    <cellStyle name="40% - Accent3 2 4 2 6 2" xfId="13807" xr:uid="{00000000-0005-0000-0000-00004B430000}"/>
    <cellStyle name="40% - Accent3 2 4 2 7" xfId="23474" xr:uid="{00000000-0005-0000-0000-00004C430000}"/>
    <cellStyle name="40% - Accent3 2 4 3" xfId="19185" xr:uid="{00000000-0005-0000-0000-00004D430000}"/>
    <cellStyle name="40% - Accent3 2 4 3 2" xfId="22089" xr:uid="{00000000-0005-0000-0000-00004E430000}"/>
    <cellStyle name="40% - Accent3 2 4 3 2 2" xfId="27163" xr:uid="{00000000-0005-0000-0000-00004F430000}"/>
    <cellStyle name="40% - Accent3 2 4 3 2 2 2" xfId="23544" xr:uid="{00000000-0005-0000-0000-000050430000}"/>
    <cellStyle name="40% - Accent3 2 4 3 2 2 2 2" xfId="17529" xr:uid="{00000000-0005-0000-0000-000051430000}"/>
    <cellStyle name="40% - Accent3 2 4 3 2 2 2 2 2" xfId="17734" xr:uid="{00000000-0005-0000-0000-000052430000}"/>
    <cellStyle name="40% - Accent3 2 4 3 2 2 2 3" xfId="8796" xr:uid="{00000000-0005-0000-0000-000053430000}"/>
    <cellStyle name="40% - Accent3 2 4 3 2 2 3" xfId="108" xr:uid="{00000000-0005-0000-0000-000054430000}"/>
    <cellStyle name="40% - Accent3 2 4 3 2 2 3 2" xfId="19192" xr:uid="{00000000-0005-0000-0000-000055430000}"/>
    <cellStyle name="40% - Accent3 2 4 3 2 2 4" xfId="2647" xr:uid="{00000000-0005-0000-0000-000056430000}"/>
    <cellStyle name="40% - Accent3 2 4 3 2 3" xfId="17437" xr:uid="{00000000-0005-0000-0000-000057430000}"/>
    <cellStyle name="40% - Accent3 2 4 3 2 3 2" xfId="6764" xr:uid="{00000000-0005-0000-0000-000058430000}"/>
    <cellStyle name="40% - Accent3 2 4 3 2 3 2 2" xfId="22010" xr:uid="{00000000-0005-0000-0000-000059430000}"/>
    <cellStyle name="40% - Accent3 2 4 3 2 3 3" xfId="2670" xr:uid="{00000000-0005-0000-0000-00005A430000}"/>
    <cellStyle name="40% - Accent3 2 4 3 2 4" xfId="14896" xr:uid="{00000000-0005-0000-0000-00005B430000}"/>
    <cellStyle name="40% - Accent3 2 4 3 2 4 2" xfId="2676" xr:uid="{00000000-0005-0000-0000-00005C430000}"/>
    <cellStyle name="40% - Accent3 2 4 3 2 5" xfId="19196" xr:uid="{00000000-0005-0000-0000-00005D430000}"/>
    <cellStyle name="40% - Accent3 2 4 3 3" xfId="17444" xr:uid="{00000000-0005-0000-0000-00005E430000}"/>
    <cellStyle name="40% - Accent3 2 4 3 3 2" xfId="23008" xr:uid="{00000000-0005-0000-0000-00005F430000}"/>
    <cellStyle name="40% - Accent3 2 4 3 3 2 2" xfId="4252" xr:uid="{00000000-0005-0000-0000-000060430000}"/>
    <cellStyle name="40% - Accent3 2 4 3 3 2 2 2" xfId="19197" xr:uid="{00000000-0005-0000-0000-000061430000}"/>
    <cellStyle name="40% - Accent3 2 4 3 3 2 3" xfId="13884" xr:uid="{00000000-0005-0000-0000-000062430000}"/>
    <cellStyle name="40% - Accent3 2 4 3 3 3" xfId="17450" xr:uid="{00000000-0005-0000-0000-000063430000}"/>
    <cellStyle name="40% - Accent3 2 4 3 3 3 2" xfId="5082" xr:uid="{00000000-0005-0000-0000-000064430000}"/>
    <cellStyle name="40% - Accent3 2 4 3 3 4" xfId="19199" xr:uid="{00000000-0005-0000-0000-000065430000}"/>
    <cellStyle name="40% - Accent3 2 4 3 4" xfId="17453" xr:uid="{00000000-0005-0000-0000-000066430000}"/>
    <cellStyle name="40% - Accent3 2 4 3 4 2" xfId="21416" xr:uid="{00000000-0005-0000-0000-000067430000}"/>
    <cellStyle name="40% - Accent3 2 4 3 4 2 2" xfId="5128" xr:uid="{00000000-0005-0000-0000-000068430000}"/>
    <cellStyle name="40% - Accent3 2 4 3 4 3" xfId="19201" xr:uid="{00000000-0005-0000-0000-000069430000}"/>
    <cellStyle name="40% - Accent3 2 4 3 5" xfId="32271" xr:uid="{00000000-0005-0000-0000-00006A430000}"/>
    <cellStyle name="40% - Accent3 2 4 3 5 2" xfId="27515" xr:uid="{00000000-0005-0000-0000-00006B430000}"/>
    <cellStyle name="40% - Accent3 2 4 3 6" xfId="32792" xr:uid="{00000000-0005-0000-0000-00006C430000}"/>
    <cellStyle name="40% - Accent3 2 4 4" xfId="19204" xr:uid="{00000000-0005-0000-0000-00006D430000}"/>
    <cellStyle name="40% - Accent3 2 4 4 2" xfId="20190" xr:uid="{00000000-0005-0000-0000-00006E430000}"/>
    <cellStyle name="40% - Accent3 2 4 4 2 2" xfId="2343" xr:uid="{00000000-0005-0000-0000-00006F430000}"/>
    <cellStyle name="40% - Accent3 2 4 4 2 2 2" xfId="2733" xr:uid="{00000000-0005-0000-0000-000070430000}"/>
    <cellStyle name="40% - Accent3 2 4 4 2 2 2 2" xfId="19214" xr:uid="{00000000-0005-0000-0000-000071430000}"/>
    <cellStyle name="40% - Accent3 2 4 4 2 2 3" xfId="2747" xr:uid="{00000000-0005-0000-0000-000072430000}"/>
    <cellStyle name="40% - Accent3 2 4 4 2 3" xfId="8506" xr:uid="{00000000-0005-0000-0000-000073430000}"/>
    <cellStyle name="40% - Accent3 2 4 4 2 3 2" xfId="2776" xr:uid="{00000000-0005-0000-0000-000074430000}"/>
    <cellStyle name="40% - Accent3 2 4 4 2 4" xfId="15993" xr:uid="{00000000-0005-0000-0000-000075430000}"/>
    <cellStyle name="40% - Accent3 2 4 4 3" xfId="3332" xr:uid="{00000000-0005-0000-0000-000076430000}"/>
    <cellStyle name="40% - Accent3 2 4 4 3 2" xfId="191" xr:uid="{00000000-0005-0000-0000-000077430000}"/>
    <cellStyle name="40% - Accent3 2 4 4 3 2 2" xfId="2804" xr:uid="{00000000-0005-0000-0000-000078430000}"/>
    <cellStyle name="40% - Accent3 2 4 4 3 3" xfId="15996" xr:uid="{00000000-0005-0000-0000-000079430000}"/>
    <cellStyle name="40% - Accent3 2 4 4 4" xfId="10995" xr:uid="{00000000-0005-0000-0000-00007A430000}"/>
    <cellStyle name="40% - Accent3 2 4 4 4 2" xfId="33416" xr:uid="{00000000-0005-0000-0000-00007B430000}"/>
    <cellStyle name="40% - Accent3 2 4 4 5" xfId="29991" xr:uid="{00000000-0005-0000-0000-00007C430000}"/>
    <cellStyle name="40% - Accent3 2 4 5" xfId="29922" xr:uid="{00000000-0005-0000-0000-00007D430000}"/>
    <cellStyle name="40% - Accent3 2 4 5 2" xfId="749" xr:uid="{00000000-0005-0000-0000-00007E430000}"/>
    <cellStyle name="40% - Accent3 2 4 5 2 2" xfId="1908" xr:uid="{00000000-0005-0000-0000-00007F430000}"/>
    <cellStyle name="40% - Accent3 2 4 5 2 2 2" xfId="15374" xr:uid="{00000000-0005-0000-0000-000080430000}"/>
    <cellStyle name="40% - Accent3 2 4 5 2 3" xfId="16006" xr:uid="{00000000-0005-0000-0000-000081430000}"/>
    <cellStyle name="40% - Accent3 2 4 5 3" xfId="3348" xr:uid="{00000000-0005-0000-0000-000082430000}"/>
    <cellStyle name="40% - Accent3 2 4 5 3 2" xfId="16010" xr:uid="{00000000-0005-0000-0000-000083430000}"/>
    <cellStyle name="40% - Accent3 2 4 5 4" xfId="25112" xr:uid="{00000000-0005-0000-0000-000084430000}"/>
    <cellStyle name="40% - Accent3 2 4 6" xfId="28223" xr:uid="{00000000-0005-0000-0000-000085430000}"/>
    <cellStyle name="40% - Accent3 2 4 6 2" xfId="4551" xr:uid="{00000000-0005-0000-0000-000086430000}"/>
    <cellStyle name="40% - Accent3 2 4 6 2 2" xfId="16348" xr:uid="{00000000-0005-0000-0000-000087430000}"/>
    <cellStyle name="40% - Accent3 2 4 6 3" xfId="16452" xr:uid="{00000000-0005-0000-0000-000088430000}"/>
    <cellStyle name="40% - Accent3 2 4 7" xfId="4353" xr:uid="{00000000-0005-0000-0000-000089430000}"/>
    <cellStyle name="40% - Accent3 2 4 7 2" xfId="13137" xr:uid="{00000000-0005-0000-0000-00008A430000}"/>
    <cellStyle name="40% - Accent3 2 4 8" xfId="4751" xr:uid="{00000000-0005-0000-0000-00008B430000}"/>
    <cellStyle name="40% - Accent3 2 5" xfId="23295" xr:uid="{00000000-0005-0000-0000-00008C430000}"/>
    <cellStyle name="40% - Accent3 2 5 2" xfId="23300" xr:uid="{00000000-0005-0000-0000-00008D430000}"/>
    <cellStyle name="40% - Accent3 2 5 2 2" xfId="23303" xr:uid="{00000000-0005-0000-0000-00008E430000}"/>
    <cellStyle name="40% - Accent3 2 5 2 2 2" xfId="17831" xr:uid="{00000000-0005-0000-0000-00008F430000}"/>
    <cellStyle name="40% - Accent3 2 5 2 2 2 2" xfId="17567" xr:uid="{00000000-0005-0000-0000-000090430000}"/>
    <cellStyle name="40% - Accent3 2 5 2 2 2 2 2" xfId="17569" xr:uid="{00000000-0005-0000-0000-000091430000}"/>
    <cellStyle name="40% - Accent3 2 5 2 2 2 2 2 2" xfId="19226" xr:uid="{00000000-0005-0000-0000-000092430000}"/>
    <cellStyle name="40% - Accent3 2 5 2 2 2 2 3" xfId="30028" xr:uid="{00000000-0005-0000-0000-000093430000}"/>
    <cellStyle name="40% - Accent3 2 5 2 2 2 3" xfId="17577" xr:uid="{00000000-0005-0000-0000-000094430000}"/>
    <cellStyle name="40% - Accent3 2 5 2 2 2 3 2" xfId="7687" xr:uid="{00000000-0005-0000-0000-000095430000}"/>
    <cellStyle name="40% - Accent3 2 5 2 2 2 4" xfId="23696" xr:uid="{00000000-0005-0000-0000-000096430000}"/>
    <cellStyle name="40% - Accent3 2 5 2 2 3" xfId="17839" xr:uid="{00000000-0005-0000-0000-000097430000}"/>
    <cellStyle name="40% - Accent3 2 5 2 2 3 2" xfId="27040" xr:uid="{00000000-0005-0000-0000-000098430000}"/>
    <cellStyle name="40% - Accent3 2 5 2 2 3 2 2" xfId="886" xr:uid="{00000000-0005-0000-0000-000099430000}"/>
    <cellStyle name="40% - Accent3 2 5 2 2 3 3" xfId="28018" xr:uid="{00000000-0005-0000-0000-00009A430000}"/>
    <cellStyle name="40% - Accent3 2 5 2 2 4" xfId="32689" xr:uid="{00000000-0005-0000-0000-00009B430000}"/>
    <cellStyle name="40% - Accent3 2 5 2 2 4 2" xfId="32211" xr:uid="{00000000-0005-0000-0000-00009C430000}"/>
    <cellStyle name="40% - Accent3 2 5 2 2 5" xfId="32037" xr:uid="{00000000-0005-0000-0000-00009D430000}"/>
    <cellStyle name="40% - Accent3 2 5 2 3" xfId="17845" xr:uid="{00000000-0005-0000-0000-00009E430000}"/>
    <cellStyle name="40% - Accent3 2 5 2 3 2" xfId="23798" xr:uid="{00000000-0005-0000-0000-00009F430000}"/>
    <cellStyle name="40% - Accent3 2 5 2 3 2 2" xfId="33884" xr:uid="{00000000-0005-0000-0000-0000A0430000}"/>
    <cellStyle name="40% - Accent3 2 5 2 3 2 2 2" xfId="19229" xr:uid="{00000000-0005-0000-0000-0000A1430000}"/>
    <cellStyle name="40% - Accent3 2 5 2 3 2 3" xfId="23750" xr:uid="{00000000-0005-0000-0000-0000A2430000}"/>
    <cellStyle name="40% - Accent3 2 5 2 3 3" xfId="31619" xr:uid="{00000000-0005-0000-0000-0000A3430000}"/>
    <cellStyle name="40% - Accent3 2 5 2 3 3 2" xfId="30010" xr:uid="{00000000-0005-0000-0000-0000A4430000}"/>
    <cellStyle name="40% - Accent3 2 5 2 3 4" xfId="32249" xr:uid="{00000000-0005-0000-0000-0000A5430000}"/>
    <cellStyle name="40% - Accent3 2 5 2 4" xfId="15190" xr:uid="{00000000-0005-0000-0000-0000A6430000}"/>
    <cellStyle name="40% - Accent3 2 5 2 4 2" xfId="2" xr:uid="{00000000-0005-0000-0000-0000A7430000}"/>
    <cellStyle name="40% - Accent3 2 5 2 4 2 2" xfId="23126" xr:uid="{00000000-0005-0000-0000-0000A8430000}"/>
    <cellStyle name="40% - Accent3 2 5 2 4 3" xfId="25776" xr:uid="{00000000-0005-0000-0000-0000A9430000}"/>
    <cellStyle name="40% - Accent3 2 5 2 5" xfId="22943" xr:uid="{00000000-0005-0000-0000-0000AA430000}"/>
    <cellStyle name="40% - Accent3 2 5 2 5 2" xfId="25039" xr:uid="{00000000-0005-0000-0000-0000AB430000}"/>
    <cellStyle name="40% - Accent3 2 5 2 6" xfId="28922" xr:uid="{00000000-0005-0000-0000-0000AC430000}"/>
    <cellStyle name="40% - Accent3 2 5 3" xfId="23305" xr:uid="{00000000-0005-0000-0000-0000AD430000}"/>
    <cellStyle name="40% - Accent3 2 5 3 2" xfId="22114" xr:uid="{00000000-0005-0000-0000-0000AE430000}"/>
    <cellStyle name="40% - Accent3 2 5 3 2 2" xfId="20442" xr:uid="{00000000-0005-0000-0000-0000AF430000}"/>
    <cellStyle name="40% - Accent3 2 5 3 2 2 2" xfId="17635" xr:uid="{00000000-0005-0000-0000-0000B0430000}"/>
    <cellStyle name="40% - Accent3 2 5 3 2 2 2 2" xfId="19238" xr:uid="{00000000-0005-0000-0000-0000B1430000}"/>
    <cellStyle name="40% - Accent3 2 5 3 2 2 3" xfId="23840" xr:uid="{00000000-0005-0000-0000-0000B2430000}"/>
    <cellStyle name="40% - Accent3 2 5 3 2 3" xfId="17875" xr:uid="{00000000-0005-0000-0000-0000B3430000}"/>
    <cellStyle name="40% - Accent3 2 5 3 2 3 2" xfId="19239" xr:uid="{00000000-0005-0000-0000-0000B4430000}"/>
    <cellStyle name="40% - Accent3 2 5 3 2 4" xfId="19244" xr:uid="{00000000-0005-0000-0000-0000B5430000}"/>
    <cellStyle name="40% - Accent3 2 5 3 3" xfId="17879" xr:uid="{00000000-0005-0000-0000-0000B6430000}"/>
    <cellStyle name="40% - Accent3 2 5 3 3 2" xfId="31979" xr:uid="{00000000-0005-0000-0000-0000B7430000}"/>
    <cellStyle name="40% - Accent3 2 5 3 3 2 2" xfId="24748" xr:uid="{00000000-0005-0000-0000-0000B8430000}"/>
    <cellStyle name="40% - Accent3 2 5 3 3 3" xfId="19250" xr:uid="{00000000-0005-0000-0000-0000B9430000}"/>
    <cellStyle name="40% - Accent3 2 5 3 4" xfId="15080" xr:uid="{00000000-0005-0000-0000-0000BA430000}"/>
    <cellStyle name="40% - Accent3 2 5 3 4 2" xfId="19256" xr:uid="{00000000-0005-0000-0000-0000BB430000}"/>
    <cellStyle name="40% - Accent3 2 5 3 5" xfId="27858" xr:uid="{00000000-0005-0000-0000-0000BC430000}"/>
    <cellStyle name="40% - Accent3 2 5 4" xfId="19263" xr:uid="{00000000-0005-0000-0000-0000BD430000}"/>
    <cellStyle name="40% - Accent3 2 5 4 2" xfId="23172" xr:uid="{00000000-0005-0000-0000-0000BE430000}"/>
    <cellStyle name="40% - Accent3 2 5 4 2 2" xfId="27666" xr:uid="{00000000-0005-0000-0000-0000BF430000}"/>
    <cellStyle name="40% - Accent3 2 5 4 2 2 2" xfId="23914" xr:uid="{00000000-0005-0000-0000-0000C0430000}"/>
    <cellStyle name="40% - Accent3 2 5 4 2 3" xfId="16035" xr:uid="{00000000-0005-0000-0000-0000C1430000}"/>
    <cellStyle name="40% - Accent3 2 5 4 3" xfId="27669" xr:uid="{00000000-0005-0000-0000-0000C2430000}"/>
    <cellStyle name="40% - Accent3 2 5 4 3 2" xfId="16040" xr:uid="{00000000-0005-0000-0000-0000C3430000}"/>
    <cellStyle name="40% - Accent3 2 5 4 4" xfId="19269" xr:uid="{00000000-0005-0000-0000-0000C4430000}"/>
    <cellStyle name="40% - Accent3 2 5 5" xfId="19276" xr:uid="{00000000-0005-0000-0000-0000C5430000}"/>
    <cellStyle name="40% - Accent3 2 5 5 2" xfId="21698" xr:uid="{00000000-0005-0000-0000-0000C6430000}"/>
    <cellStyle name="40% - Accent3 2 5 5 2 2" xfId="709" xr:uid="{00000000-0005-0000-0000-0000C7430000}"/>
    <cellStyle name="40% - Accent3 2 5 5 3" xfId="16476" xr:uid="{00000000-0005-0000-0000-0000C8430000}"/>
    <cellStyle name="40% - Accent3 2 5 6" xfId="22390" xr:uid="{00000000-0005-0000-0000-0000C9430000}"/>
    <cellStyle name="40% - Accent3 2 5 6 2" xfId="21287" xr:uid="{00000000-0005-0000-0000-0000CA430000}"/>
    <cellStyle name="40% - Accent3 2 5 7" xfId="2245" xr:uid="{00000000-0005-0000-0000-0000CB430000}"/>
    <cellStyle name="40% - Accent3 2 6" xfId="23030" xr:uid="{00000000-0005-0000-0000-0000CC430000}"/>
    <cellStyle name="40% - Accent3 2 6 2" xfId="33391" xr:uid="{00000000-0005-0000-0000-0000CD430000}"/>
    <cellStyle name="40% - Accent3 2 6 2 2" xfId="18208" xr:uid="{00000000-0005-0000-0000-0000CE430000}"/>
    <cellStyle name="40% - Accent3 2 6 2 2 2" xfId="23475" xr:uid="{00000000-0005-0000-0000-0000CF430000}"/>
    <cellStyle name="40% - Accent3 2 6 2 2 2 2" xfId="17726" xr:uid="{00000000-0005-0000-0000-0000D0430000}"/>
    <cellStyle name="40% - Accent3 2 6 2 2 2 2 2" xfId="19279" xr:uid="{00000000-0005-0000-0000-0000D1430000}"/>
    <cellStyle name="40% - Accent3 2 6 2 2 2 3" xfId="19280" xr:uid="{00000000-0005-0000-0000-0000D2430000}"/>
    <cellStyle name="40% - Accent3 2 6 2 2 3" xfId="18216" xr:uid="{00000000-0005-0000-0000-0000D3430000}"/>
    <cellStyle name="40% - Accent3 2 6 2 2 3 2" xfId="32304" xr:uid="{00000000-0005-0000-0000-0000D4430000}"/>
    <cellStyle name="40% - Accent3 2 6 2 2 4" xfId="32298" xr:uid="{00000000-0005-0000-0000-0000D5430000}"/>
    <cellStyle name="40% - Accent3 2 6 2 3" xfId="18219" xr:uid="{00000000-0005-0000-0000-0000D6430000}"/>
    <cellStyle name="40% - Accent3 2 6 2 3 2" xfId="33767" xr:uid="{00000000-0005-0000-0000-0000D7430000}"/>
    <cellStyle name="40% - Accent3 2 6 2 3 2 2" xfId="15405" xr:uid="{00000000-0005-0000-0000-0000D8430000}"/>
    <cellStyle name="40% - Accent3 2 6 2 3 3" xfId="301" xr:uid="{00000000-0005-0000-0000-0000D9430000}"/>
    <cellStyle name="40% - Accent3 2 6 2 4" xfId="15106" xr:uid="{00000000-0005-0000-0000-0000DA430000}"/>
    <cellStyle name="40% - Accent3 2 6 2 4 2" xfId="19283" xr:uid="{00000000-0005-0000-0000-0000DB430000}"/>
    <cellStyle name="40% - Accent3 2 6 2 5" xfId="18618" xr:uid="{00000000-0005-0000-0000-0000DC430000}"/>
    <cellStyle name="40% - Accent3 2 6 3" xfId="18523" xr:uid="{00000000-0005-0000-0000-0000DD430000}"/>
    <cellStyle name="40% - Accent3 2 6 3 2" xfId="33452" xr:uid="{00000000-0005-0000-0000-0000DE430000}"/>
    <cellStyle name="40% - Accent3 2 6 3 2 2" xfId="17978" xr:uid="{00000000-0005-0000-0000-0000DF430000}"/>
    <cellStyle name="40% - Accent3 2 6 3 2 2 2" xfId="31706" xr:uid="{00000000-0005-0000-0000-0000E0430000}"/>
    <cellStyle name="40% - Accent3 2 6 3 2 3" xfId="19286" xr:uid="{00000000-0005-0000-0000-0000E1430000}"/>
    <cellStyle name="40% - Accent3 2 6 3 3" xfId="18234" xr:uid="{00000000-0005-0000-0000-0000E2430000}"/>
    <cellStyle name="40% - Accent3 2 6 3 3 2" xfId="19289" xr:uid="{00000000-0005-0000-0000-0000E3430000}"/>
    <cellStyle name="40% - Accent3 2 6 3 4" xfId="19294" xr:uid="{00000000-0005-0000-0000-0000E4430000}"/>
    <cellStyle name="40% - Accent3 2 6 4" xfId="19297" xr:uid="{00000000-0005-0000-0000-0000E5430000}"/>
    <cellStyle name="40% - Accent3 2 6 4 2" xfId="2222" xr:uid="{00000000-0005-0000-0000-0000E6430000}"/>
    <cellStyle name="40% - Accent3 2 6 4 2 2" xfId="16058" xr:uid="{00000000-0005-0000-0000-0000E7430000}"/>
    <cellStyle name="40% - Accent3 2 6 4 3" xfId="22405" xr:uid="{00000000-0005-0000-0000-0000E8430000}"/>
    <cellStyle name="40% - Accent3 2 6 5" xfId="19304" xr:uid="{00000000-0005-0000-0000-0000E9430000}"/>
    <cellStyle name="40% - Accent3 2 6 5 2" xfId="19306" xr:uid="{00000000-0005-0000-0000-0000EA430000}"/>
    <cellStyle name="40% - Accent3 2 6 6" xfId="33537" xr:uid="{00000000-0005-0000-0000-0000EB430000}"/>
    <cellStyle name="40% - Accent3 2 7" xfId="20688" xr:uid="{00000000-0005-0000-0000-0000EC430000}"/>
    <cellStyle name="40% - Accent3 2 7 2" xfId="2442" xr:uid="{00000000-0005-0000-0000-0000ED430000}"/>
    <cellStyle name="40% - Accent3 2 7 2 2" xfId="1964" xr:uid="{00000000-0005-0000-0000-0000EE430000}"/>
    <cellStyle name="40% - Accent3 2 7 2 2 2" xfId="2446" xr:uid="{00000000-0005-0000-0000-0000EF430000}"/>
    <cellStyle name="40% - Accent3 2 7 2 2 2 2" xfId="6145" xr:uid="{00000000-0005-0000-0000-0000F0430000}"/>
    <cellStyle name="40% - Accent3 2 7 2 2 3" xfId="31792" xr:uid="{00000000-0005-0000-0000-0000F1430000}"/>
    <cellStyle name="40% - Accent3 2 7 2 3" xfId="2450" xr:uid="{00000000-0005-0000-0000-0000F2430000}"/>
    <cellStyle name="40% - Accent3 2 7 2 3 2" xfId="32110" xr:uid="{00000000-0005-0000-0000-0000F3430000}"/>
    <cellStyle name="40% - Accent3 2 7 2 4" xfId="19308" xr:uid="{00000000-0005-0000-0000-0000F4430000}"/>
    <cellStyle name="40% - Accent3 2 7 3" xfId="2465" xr:uid="{00000000-0005-0000-0000-0000F5430000}"/>
    <cellStyle name="40% - Accent3 2 7 3 2" xfId="2478" xr:uid="{00000000-0005-0000-0000-0000F6430000}"/>
    <cellStyle name="40% - Accent3 2 7 3 2 2" xfId="19310" xr:uid="{00000000-0005-0000-0000-0000F7430000}"/>
    <cellStyle name="40% - Accent3 2 7 3 3" xfId="16079" xr:uid="{00000000-0005-0000-0000-0000F8430000}"/>
    <cellStyle name="40% - Accent3 2 7 4" xfId="11539" xr:uid="{00000000-0005-0000-0000-0000F9430000}"/>
    <cellStyle name="40% - Accent3 2 7 4 2" xfId="16082" xr:uid="{00000000-0005-0000-0000-0000FA430000}"/>
    <cellStyle name="40% - Accent3 2 7 5" xfId="19312" xr:uid="{00000000-0005-0000-0000-0000FB430000}"/>
    <cellStyle name="40% - Accent3 2 8" xfId="19316" xr:uid="{00000000-0005-0000-0000-0000FC430000}"/>
    <cellStyle name="40% - Accent3 2 8 2" xfId="2512" xr:uid="{00000000-0005-0000-0000-0000FD430000}"/>
    <cellStyle name="40% - Accent3 2 8 2 2" xfId="4603" xr:uid="{00000000-0005-0000-0000-0000FE430000}"/>
    <cellStyle name="40% - Accent3 2 8 2 2 2" xfId="32928" xr:uid="{00000000-0005-0000-0000-0000FF430000}"/>
    <cellStyle name="40% - Accent3 2 8 2 3" xfId="32080" xr:uid="{00000000-0005-0000-0000-000000440000}"/>
    <cellStyle name="40% - Accent3 2 8 3" xfId="2521" xr:uid="{00000000-0005-0000-0000-000001440000}"/>
    <cellStyle name="40% - Accent3 2 8 3 2" xfId="16096" xr:uid="{00000000-0005-0000-0000-000002440000}"/>
    <cellStyle name="40% - Accent3 2 8 4" xfId="16516" xr:uid="{00000000-0005-0000-0000-000003440000}"/>
    <cellStyle name="40% - Accent3 2 9" xfId="20589" xr:uid="{00000000-0005-0000-0000-000004440000}"/>
    <cellStyle name="40% - Accent3 2 9 2" xfId="4" xr:uid="{00000000-0005-0000-0000-000005440000}"/>
    <cellStyle name="40% - Accent3 2 9 2 2" xfId="19317" xr:uid="{00000000-0005-0000-0000-000006440000}"/>
    <cellStyle name="40% - Accent3 2 9 3" xfId="21411" xr:uid="{00000000-0005-0000-0000-000007440000}"/>
    <cellStyle name="40% - Accent3 3" xfId="18366" xr:uid="{00000000-0005-0000-0000-000008440000}"/>
    <cellStyle name="40% - Accent3 3 10" xfId="19318" xr:uid="{00000000-0005-0000-0000-000009440000}"/>
    <cellStyle name="40% - Accent3 3 2" xfId="19210" xr:uid="{00000000-0005-0000-0000-00000A440000}"/>
    <cellStyle name="40% - Accent3 3 2 2" xfId="19321" xr:uid="{00000000-0005-0000-0000-00000B440000}"/>
    <cellStyle name="40% - Accent3 3 2 2 2" xfId="22529" xr:uid="{00000000-0005-0000-0000-00000C440000}"/>
    <cellStyle name="40% - Accent3 3 2 2 2 2" xfId="19325" xr:uid="{00000000-0005-0000-0000-00000D440000}"/>
    <cellStyle name="40% - Accent3 3 2 2 2 2 2" xfId="25479" xr:uid="{00000000-0005-0000-0000-00000E440000}"/>
    <cellStyle name="40% - Accent3 3 2 2 2 2 2 2" xfId="3132" xr:uid="{00000000-0005-0000-0000-00000F440000}"/>
    <cellStyle name="40% - Accent3 3 2 2 2 2 2 2 2" xfId="23824" xr:uid="{00000000-0005-0000-0000-000010440000}"/>
    <cellStyle name="40% - Accent3 3 2 2 2 2 2 2 2 2" xfId="7220" xr:uid="{00000000-0005-0000-0000-000011440000}"/>
    <cellStyle name="40% - Accent3 3 2 2 2 2 2 2 2 2 2" xfId="19327" xr:uid="{00000000-0005-0000-0000-000012440000}"/>
    <cellStyle name="40% - Accent3 3 2 2 2 2 2 2 2 3" xfId="14526" xr:uid="{00000000-0005-0000-0000-000013440000}"/>
    <cellStyle name="40% - Accent3 3 2 2 2 2 2 2 3" xfId="19332" xr:uid="{00000000-0005-0000-0000-000014440000}"/>
    <cellStyle name="40% - Accent3 3 2 2 2 2 2 2 3 2" xfId="19016" xr:uid="{00000000-0005-0000-0000-000015440000}"/>
    <cellStyle name="40% - Accent3 3 2 2 2 2 2 2 4" xfId="15274" xr:uid="{00000000-0005-0000-0000-000016440000}"/>
    <cellStyle name="40% - Accent3 3 2 2 2 2 2 3" xfId="19333" xr:uid="{00000000-0005-0000-0000-000017440000}"/>
    <cellStyle name="40% - Accent3 3 2 2 2 2 2 3 2" xfId="16267" xr:uid="{00000000-0005-0000-0000-000018440000}"/>
    <cellStyle name="40% - Accent3 3 2 2 2 2 2 3 2 2" xfId="22614" xr:uid="{00000000-0005-0000-0000-000019440000}"/>
    <cellStyle name="40% - Accent3 3 2 2 2 2 2 3 3" xfId="16274" xr:uid="{00000000-0005-0000-0000-00001A440000}"/>
    <cellStyle name="40% - Accent3 3 2 2 2 2 2 4" xfId="26033" xr:uid="{00000000-0005-0000-0000-00001B440000}"/>
    <cellStyle name="40% - Accent3 3 2 2 2 2 2 4 2" xfId="16279" xr:uid="{00000000-0005-0000-0000-00001C440000}"/>
    <cellStyle name="40% - Accent3 3 2 2 2 2 2 5" xfId="28372" xr:uid="{00000000-0005-0000-0000-00001D440000}"/>
    <cellStyle name="40% - Accent3 3 2 2 2 2 3" xfId="25050" xr:uid="{00000000-0005-0000-0000-00001E440000}"/>
    <cellStyle name="40% - Accent3 3 2 2 2 2 3 2" xfId="24165" xr:uid="{00000000-0005-0000-0000-00001F440000}"/>
    <cellStyle name="40% - Accent3 3 2 2 2 2 3 2 2" xfId="19337" xr:uid="{00000000-0005-0000-0000-000020440000}"/>
    <cellStyle name="40% - Accent3 3 2 2 2 2 3 2 2 2" xfId="31149" xr:uid="{00000000-0005-0000-0000-000021440000}"/>
    <cellStyle name="40% - Accent3 3 2 2 2 2 3 2 3" xfId="20873" xr:uid="{00000000-0005-0000-0000-000022440000}"/>
    <cellStyle name="40% - Accent3 3 2 2 2 2 3 3" xfId="19339" xr:uid="{00000000-0005-0000-0000-000023440000}"/>
    <cellStyle name="40% - Accent3 3 2 2 2 2 3 3 2" xfId="16292" xr:uid="{00000000-0005-0000-0000-000024440000}"/>
    <cellStyle name="40% - Accent3 3 2 2 2 2 3 4" xfId="23623" xr:uid="{00000000-0005-0000-0000-000025440000}"/>
    <cellStyle name="40% - Accent3 3 2 2 2 2 4" xfId="23680" xr:uid="{00000000-0005-0000-0000-000026440000}"/>
    <cellStyle name="40% - Accent3 3 2 2 2 2 4 2" xfId="19343" xr:uid="{00000000-0005-0000-0000-000027440000}"/>
    <cellStyle name="40% - Accent3 3 2 2 2 2 4 2 2" xfId="1237" xr:uid="{00000000-0005-0000-0000-000028440000}"/>
    <cellStyle name="40% - Accent3 3 2 2 2 2 4 3" xfId="19350" xr:uid="{00000000-0005-0000-0000-000029440000}"/>
    <cellStyle name="40% - Accent3 3 2 2 2 2 5" xfId="29181" xr:uid="{00000000-0005-0000-0000-00002A440000}"/>
    <cellStyle name="40% - Accent3 3 2 2 2 2 5 2" xfId="26896" xr:uid="{00000000-0005-0000-0000-00002B440000}"/>
    <cellStyle name="40% - Accent3 3 2 2 2 2 6" xfId="19356" xr:uid="{00000000-0005-0000-0000-00002C440000}"/>
    <cellStyle name="40% - Accent3 3 2 2 2 3" xfId="22522" xr:uid="{00000000-0005-0000-0000-00002D440000}"/>
    <cellStyle name="40% - Accent3 3 2 2 2 3 2" xfId="27808" xr:uid="{00000000-0005-0000-0000-00002E440000}"/>
    <cellStyle name="40% - Accent3 3 2 2 2 3 2 2" xfId="29167" xr:uid="{00000000-0005-0000-0000-00002F440000}"/>
    <cellStyle name="40% - Accent3 3 2 2 2 3 2 2 2" xfId="19360" xr:uid="{00000000-0005-0000-0000-000030440000}"/>
    <cellStyle name="40% - Accent3 3 2 2 2 3 2 2 2 2" xfId="15956" xr:uid="{00000000-0005-0000-0000-000031440000}"/>
    <cellStyle name="40% - Accent3 3 2 2 2 3 2 2 3" xfId="19361" xr:uid="{00000000-0005-0000-0000-000032440000}"/>
    <cellStyle name="40% - Accent3 3 2 2 2 3 2 3" xfId="27301" xr:uid="{00000000-0005-0000-0000-000033440000}"/>
    <cellStyle name="40% - Accent3 3 2 2 2 3 2 3 2" xfId="16411" xr:uid="{00000000-0005-0000-0000-000034440000}"/>
    <cellStyle name="40% - Accent3 3 2 2 2 3 2 4" xfId="19362" xr:uid="{00000000-0005-0000-0000-000035440000}"/>
    <cellStyle name="40% - Accent3 3 2 2 2 3 3" xfId="22538" xr:uid="{00000000-0005-0000-0000-000036440000}"/>
    <cellStyle name="40% - Accent3 3 2 2 2 3 3 2" xfId="21600" xr:uid="{00000000-0005-0000-0000-000037440000}"/>
    <cellStyle name="40% - Accent3 3 2 2 2 3 3 2 2" xfId="19364" xr:uid="{00000000-0005-0000-0000-000038440000}"/>
    <cellStyle name="40% - Accent3 3 2 2 2 3 3 3" xfId="19365" xr:uid="{00000000-0005-0000-0000-000039440000}"/>
    <cellStyle name="40% - Accent3 3 2 2 2 3 4" xfId="29002" xr:uid="{00000000-0005-0000-0000-00003A440000}"/>
    <cellStyle name="40% - Accent3 3 2 2 2 3 4 2" xfId="19369" xr:uid="{00000000-0005-0000-0000-00003B440000}"/>
    <cellStyle name="40% - Accent3 3 2 2 2 3 5" xfId="29007" xr:uid="{00000000-0005-0000-0000-00003C440000}"/>
    <cellStyle name="40% - Accent3 3 2 2 2 4" xfId="22541" xr:uid="{00000000-0005-0000-0000-00003D440000}"/>
    <cellStyle name="40% - Accent3 3 2 2 2 4 2" xfId="20559" xr:uid="{00000000-0005-0000-0000-00003E440000}"/>
    <cellStyle name="40% - Accent3 3 2 2 2 4 2 2" xfId="30052" xr:uid="{00000000-0005-0000-0000-00003F440000}"/>
    <cellStyle name="40% - Accent3 3 2 2 2 4 2 2 2" xfId="19374" xr:uid="{00000000-0005-0000-0000-000040440000}"/>
    <cellStyle name="40% - Accent3 3 2 2 2 4 2 3" xfId="19376" xr:uid="{00000000-0005-0000-0000-000041440000}"/>
    <cellStyle name="40% - Accent3 3 2 2 2 4 3" xfId="14684" xr:uid="{00000000-0005-0000-0000-000042440000}"/>
    <cellStyle name="40% - Accent3 3 2 2 2 4 3 2" xfId="25583" xr:uid="{00000000-0005-0000-0000-000043440000}"/>
    <cellStyle name="40% - Accent3 3 2 2 2 4 4" xfId="32574" xr:uid="{00000000-0005-0000-0000-000044440000}"/>
    <cellStyle name="40% - Accent3 3 2 2 2 5" xfId="22544" xr:uid="{00000000-0005-0000-0000-000045440000}"/>
    <cellStyle name="40% - Accent3 3 2 2 2 5 2" xfId="19379" xr:uid="{00000000-0005-0000-0000-000046440000}"/>
    <cellStyle name="40% - Accent3 3 2 2 2 5 2 2" xfId="29403" xr:uid="{00000000-0005-0000-0000-000047440000}"/>
    <cellStyle name="40% - Accent3 3 2 2 2 5 3" xfId="22849" xr:uid="{00000000-0005-0000-0000-000048440000}"/>
    <cellStyle name="40% - Accent3 3 2 2 2 6" xfId="19380" xr:uid="{00000000-0005-0000-0000-000049440000}"/>
    <cellStyle name="40% - Accent3 3 2 2 2 6 2" xfId="25785" xr:uid="{00000000-0005-0000-0000-00004A440000}"/>
    <cellStyle name="40% - Accent3 3 2 2 2 7" xfId="10656" xr:uid="{00000000-0005-0000-0000-00004B440000}"/>
    <cellStyle name="40% - Accent3 3 2 2 3" xfId="19387" xr:uid="{00000000-0005-0000-0000-00004C440000}"/>
    <cellStyle name="40% - Accent3 3 2 2 3 2" xfId="25492" xr:uid="{00000000-0005-0000-0000-00004D440000}"/>
    <cellStyle name="40% - Accent3 3 2 2 3 2 2" xfId="25500" xr:uid="{00000000-0005-0000-0000-00004E440000}"/>
    <cellStyle name="40% - Accent3 3 2 2 3 2 2 2" xfId="33665" xr:uid="{00000000-0005-0000-0000-00004F440000}"/>
    <cellStyle name="40% - Accent3 3 2 2 3 2 2 2 2" xfId="19392" xr:uid="{00000000-0005-0000-0000-000050440000}"/>
    <cellStyle name="40% - Accent3 3 2 2 3 2 2 2 2 2" xfId="19395" xr:uid="{00000000-0005-0000-0000-000051440000}"/>
    <cellStyle name="40% - Accent3 3 2 2 3 2 2 2 3" xfId="19400" xr:uid="{00000000-0005-0000-0000-000052440000}"/>
    <cellStyle name="40% - Accent3 3 2 2 3 2 2 3" xfId="19402" xr:uid="{00000000-0005-0000-0000-000053440000}"/>
    <cellStyle name="40% - Accent3 3 2 2 3 2 2 3 2" xfId="18200" xr:uid="{00000000-0005-0000-0000-000054440000}"/>
    <cellStyle name="40% - Accent3 3 2 2 3 2 2 4" xfId="15678" xr:uid="{00000000-0005-0000-0000-000055440000}"/>
    <cellStyle name="40% - Accent3 3 2 2 3 2 3" xfId="25504" xr:uid="{00000000-0005-0000-0000-000056440000}"/>
    <cellStyle name="40% - Accent3 3 2 2 3 2 3 2" xfId="19403" xr:uid="{00000000-0005-0000-0000-000057440000}"/>
    <cellStyle name="40% - Accent3 3 2 2 3 2 3 2 2" xfId="19406" xr:uid="{00000000-0005-0000-0000-000058440000}"/>
    <cellStyle name="40% - Accent3 3 2 2 3 2 3 3" xfId="19408" xr:uid="{00000000-0005-0000-0000-000059440000}"/>
    <cellStyle name="40% - Accent3 3 2 2 3 2 4" xfId="19413" xr:uid="{00000000-0005-0000-0000-00005A440000}"/>
    <cellStyle name="40% - Accent3 3 2 2 3 2 4 2" xfId="19418" xr:uid="{00000000-0005-0000-0000-00005B440000}"/>
    <cellStyle name="40% - Accent3 3 2 2 3 2 5" xfId="19419" xr:uid="{00000000-0005-0000-0000-00005C440000}"/>
    <cellStyle name="40% - Accent3 3 2 2 3 3" xfId="22547" xr:uid="{00000000-0005-0000-0000-00005D440000}"/>
    <cellStyle name="40% - Accent3 3 2 2 3 3 2" xfId="22300" xr:uid="{00000000-0005-0000-0000-00005E440000}"/>
    <cellStyle name="40% - Accent3 3 2 2 3 3 2 2" xfId="2170" xr:uid="{00000000-0005-0000-0000-00005F440000}"/>
    <cellStyle name="40% - Accent3 3 2 2 3 3 2 2 2" xfId="24760" xr:uid="{00000000-0005-0000-0000-000060440000}"/>
    <cellStyle name="40% - Accent3 3 2 2 3 3 2 3" xfId="19424" xr:uid="{00000000-0005-0000-0000-000061440000}"/>
    <cellStyle name="40% - Accent3 3 2 2 3 3 3" xfId="19428" xr:uid="{00000000-0005-0000-0000-000062440000}"/>
    <cellStyle name="40% - Accent3 3 2 2 3 3 3 2" xfId="19431" xr:uid="{00000000-0005-0000-0000-000063440000}"/>
    <cellStyle name="40% - Accent3 3 2 2 3 3 4" xfId="19438" xr:uid="{00000000-0005-0000-0000-000064440000}"/>
    <cellStyle name="40% - Accent3 3 2 2 3 4" xfId="19602" xr:uid="{00000000-0005-0000-0000-000065440000}"/>
    <cellStyle name="40% - Accent3 3 2 2 3 4 2" xfId="19441" xr:uid="{00000000-0005-0000-0000-000066440000}"/>
    <cellStyle name="40% - Accent3 3 2 2 3 4 2 2" xfId="20994" xr:uid="{00000000-0005-0000-0000-000067440000}"/>
    <cellStyle name="40% - Accent3 3 2 2 3 4 3" xfId="19443" xr:uid="{00000000-0005-0000-0000-000068440000}"/>
    <cellStyle name="40% - Accent3 3 2 2 3 5" xfId="24398" xr:uid="{00000000-0005-0000-0000-000069440000}"/>
    <cellStyle name="40% - Accent3 3 2 2 3 5 2" xfId="19449" xr:uid="{00000000-0005-0000-0000-00006A440000}"/>
    <cellStyle name="40% - Accent3 3 2 2 3 6" xfId="19452" xr:uid="{00000000-0005-0000-0000-00006B440000}"/>
    <cellStyle name="40% - Accent3 3 2 2 4" xfId="8749" xr:uid="{00000000-0005-0000-0000-00006C440000}"/>
    <cellStyle name="40% - Accent3 3 2 2 4 2" xfId="25507" xr:uid="{00000000-0005-0000-0000-00006D440000}"/>
    <cellStyle name="40% - Accent3 3 2 2 4 2 2" xfId="19454" xr:uid="{00000000-0005-0000-0000-00006E440000}"/>
    <cellStyle name="40% - Accent3 3 2 2 4 2 2 2" xfId="19457" xr:uid="{00000000-0005-0000-0000-00006F440000}"/>
    <cellStyle name="40% - Accent3 3 2 2 4 2 2 2 2" xfId="19463" xr:uid="{00000000-0005-0000-0000-000070440000}"/>
    <cellStyle name="40% - Accent3 3 2 2 4 2 2 3" xfId="5515" xr:uid="{00000000-0005-0000-0000-000071440000}"/>
    <cellStyle name="40% - Accent3 3 2 2 4 2 3" xfId="4040" xr:uid="{00000000-0005-0000-0000-000072440000}"/>
    <cellStyle name="40% - Accent3 3 2 2 4 2 3 2" xfId="21511" xr:uid="{00000000-0005-0000-0000-000073440000}"/>
    <cellStyle name="40% - Accent3 3 2 2 4 2 4" xfId="24126" xr:uid="{00000000-0005-0000-0000-000074440000}"/>
    <cellStyle name="40% - Accent3 3 2 2 4 3" xfId="22553" xr:uid="{00000000-0005-0000-0000-000075440000}"/>
    <cellStyle name="40% - Accent3 3 2 2 4 3 2" xfId="16135" xr:uid="{00000000-0005-0000-0000-000076440000}"/>
    <cellStyle name="40% - Accent3 3 2 2 4 3 2 2" xfId="31367" xr:uid="{00000000-0005-0000-0000-000077440000}"/>
    <cellStyle name="40% - Accent3 3 2 2 4 3 3" xfId="16144" xr:uid="{00000000-0005-0000-0000-000078440000}"/>
    <cellStyle name="40% - Accent3 3 2 2 4 4" xfId="26209" xr:uid="{00000000-0005-0000-0000-000079440000}"/>
    <cellStyle name="40% - Accent3 3 2 2 4 4 2" xfId="16156" xr:uid="{00000000-0005-0000-0000-00007A440000}"/>
    <cellStyle name="40% - Accent3 3 2 2 4 5" xfId="16160" xr:uid="{00000000-0005-0000-0000-00007B440000}"/>
    <cellStyle name="40% - Accent3 3 2 2 5" xfId="11284" xr:uid="{00000000-0005-0000-0000-00007C440000}"/>
    <cellStyle name="40% - Accent3 3 2 2 5 2" xfId="25515" xr:uid="{00000000-0005-0000-0000-00007D440000}"/>
    <cellStyle name="40% - Accent3 3 2 2 5 2 2" xfId="21211" xr:uid="{00000000-0005-0000-0000-00007E440000}"/>
    <cellStyle name="40% - Accent3 3 2 2 5 2 2 2" xfId="23666" xr:uid="{00000000-0005-0000-0000-00007F440000}"/>
    <cellStyle name="40% - Accent3 3 2 2 5 2 3" xfId="29722" xr:uid="{00000000-0005-0000-0000-000080440000}"/>
    <cellStyle name="40% - Accent3 3 2 2 5 3" xfId="16166" xr:uid="{00000000-0005-0000-0000-000081440000}"/>
    <cellStyle name="40% - Accent3 3 2 2 5 3 2" xfId="16170" xr:uid="{00000000-0005-0000-0000-000082440000}"/>
    <cellStyle name="40% - Accent3 3 2 2 5 4" xfId="33182" xr:uid="{00000000-0005-0000-0000-000083440000}"/>
    <cellStyle name="40% - Accent3 3 2 2 6" xfId="3881" xr:uid="{00000000-0005-0000-0000-000084440000}"/>
    <cellStyle name="40% - Accent3 3 2 2 6 2" xfId="3889" xr:uid="{00000000-0005-0000-0000-000085440000}"/>
    <cellStyle name="40% - Accent3 3 2 2 6 2 2" xfId="4276" xr:uid="{00000000-0005-0000-0000-000086440000}"/>
    <cellStyle name="40% - Accent3 3 2 2 6 3" xfId="3895" xr:uid="{00000000-0005-0000-0000-000087440000}"/>
    <cellStyle name="40% - Accent3 3 2 2 7" xfId="3901" xr:uid="{00000000-0005-0000-0000-000088440000}"/>
    <cellStyle name="40% - Accent3 3 2 2 7 2" xfId="8435" xr:uid="{00000000-0005-0000-0000-000089440000}"/>
    <cellStyle name="40% - Accent3 3 2 2 8" xfId="3909" xr:uid="{00000000-0005-0000-0000-00008A440000}"/>
    <cellStyle name="40% - Accent3 3 2 3" xfId="19470" xr:uid="{00000000-0005-0000-0000-00008B440000}"/>
    <cellStyle name="40% - Accent3 3 2 3 2" xfId="25519" xr:uid="{00000000-0005-0000-0000-00008C440000}"/>
    <cellStyle name="40% - Accent3 3 2 3 2 2" xfId="25525" xr:uid="{00000000-0005-0000-0000-00008D440000}"/>
    <cellStyle name="40% - Accent3 3 2 3 2 2 2" xfId="25529" xr:uid="{00000000-0005-0000-0000-00008E440000}"/>
    <cellStyle name="40% - Accent3 3 2 3 2 2 2 2" xfId="15717" xr:uid="{00000000-0005-0000-0000-00008F440000}"/>
    <cellStyle name="40% - Accent3 3 2 3 2 2 2 2 2" xfId="19474" xr:uid="{00000000-0005-0000-0000-000090440000}"/>
    <cellStyle name="40% - Accent3 3 2 3 2 2 2 2 2 2" xfId="3361" xr:uid="{00000000-0005-0000-0000-000091440000}"/>
    <cellStyle name="40% - Accent3 3 2 3 2 2 2 2 3" xfId="19478" xr:uid="{00000000-0005-0000-0000-000092440000}"/>
    <cellStyle name="40% - Accent3 3 2 3 2 2 2 3" xfId="19482" xr:uid="{00000000-0005-0000-0000-000093440000}"/>
    <cellStyle name="40% - Accent3 3 2 3 2 2 2 3 2" xfId="19849" xr:uid="{00000000-0005-0000-0000-000094440000}"/>
    <cellStyle name="40% - Accent3 3 2 3 2 2 2 4" xfId="1025" xr:uid="{00000000-0005-0000-0000-000095440000}"/>
    <cellStyle name="40% - Accent3 3 2 3 2 2 3" xfId="25532" xr:uid="{00000000-0005-0000-0000-000096440000}"/>
    <cellStyle name="40% - Accent3 3 2 3 2 2 3 2" xfId="27946" xr:uid="{00000000-0005-0000-0000-000097440000}"/>
    <cellStyle name="40% - Accent3 3 2 3 2 2 3 2 2" xfId="19484" xr:uid="{00000000-0005-0000-0000-000098440000}"/>
    <cellStyle name="40% - Accent3 3 2 3 2 2 3 3" xfId="30241" xr:uid="{00000000-0005-0000-0000-000099440000}"/>
    <cellStyle name="40% - Accent3 3 2 3 2 2 4" xfId="25937" xr:uid="{00000000-0005-0000-0000-00009A440000}"/>
    <cellStyle name="40% - Accent3 3 2 3 2 2 4 2" xfId="10306" xr:uid="{00000000-0005-0000-0000-00009B440000}"/>
    <cellStyle name="40% - Accent3 3 2 3 2 2 5" xfId="19487" xr:uid="{00000000-0005-0000-0000-00009C440000}"/>
    <cellStyle name="40% - Accent3 3 2 3 2 3" xfId="22575" xr:uid="{00000000-0005-0000-0000-00009D440000}"/>
    <cellStyle name="40% - Accent3 3 2 3 2 3 2" xfId="24265" xr:uid="{00000000-0005-0000-0000-00009E440000}"/>
    <cellStyle name="40% - Accent3 3 2 3 2 3 2 2" xfId="19620" xr:uid="{00000000-0005-0000-0000-00009F440000}"/>
    <cellStyle name="40% - Accent3 3 2 3 2 3 2 2 2" xfId="23645" xr:uid="{00000000-0005-0000-0000-0000A0440000}"/>
    <cellStyle name="40% - Accent3 3 2 3 2 3 2 3" xfId="19489" xr:uid="{00000000-0005-0000-0000-0000A1440000}"/>
    <cellStyle name="40% - Accent3 3 2 3 2 3 3" xfId="8011" xr:uid="{00000000-0005-0000-0000-0000A2440000}"/>
    <cellStyle name="40% - Accent3 3 2 3 2 3 3 2" xfId="30630" xr:uid="{00000000-0005-0000-0000-0000A3440000}"/>
    <cellStyle name="40% - Accent3 3 2 3 2 3 4" xfId="24078" xr:uid="{00000000-0005-0000-0000-0000A4440000}"/>
    <cellStyle name="40% - Accent3 3 2 3 2 4" xfId="20602" xr:uid="{00000000-0005-0000-0000-0000A5440000}"/>
    <cellStyle name="40% - Accent3 3 2 3 2 4 2" xfId="75" xr:uid="{00000000-0005-0000-0000-0000A6440000}"/>
    <cellStyle name="40% - Accent3 3 2 3 2 4 2 2" xfId="19491" xr:uid="{00000000-0005-0000-0000-0000A7440000}"/>
    <cellStyle name="40% - Accent3 3 2 3 2 4 3" xfId="32423" xr:uid="{00000000-0005-0000-0000-0000A8440000}"/>
    <cellStyle name="40% - Accent3 3 2 3 2 5" xfId="19377" xr:uid="{00000000-0005-0000-0000-0000A9440000}"/>
    <cellStyle name="40% - Accent3 3 2 3 2 5 2" xfId="13012" xr:uid="{00000000-0005-0000-0000-0000AA440000}"/>
    <cellStyle name="40% - Accent3 3 2 3 2 6" xfId="32396" xr:uid="{00000000-0005-0000-0000-0000AB440000}"/>
    <cellStyle name="40% - Accent3 3 2 3 3" xfId="19495" xr:uid="{00000000-0005-0000-0000-0000AC440000}"/>
    <cellStyle name="40% - Accent3 3 2 3 3 2" xfId="25539" xr:uid="{00000000-0005-0000-0000-0000AD440000}"/>
    <cellStyle name="40% - Accent3 3 2 3 3 2 2" xfId="20294" xr:uid="{00000000-0005-0000-0000-0000AE440000}"/>
    <cellStyle name="40% - Accent3 3 2 3 3 2 2 2" xfId="31192" xr:uid="{00000000-0005-0000-0000-0000AF440000}"/>
    <cellStyle name="40% - Accent3 3 2 3 3 2 2 2 2" xfId="28203" xr:uid="{00000000-0005-0000-0000-0000B0440000}"/>
    <cellStyle name="40% - Accent3 3 2 3 3 2 2 3" xfId="19503" xr:uid="{00000000-0005-0000-0000-0000B1440000}"/>
    <cellStyle name="40% - Accent3 3 2 3 3 2 3" xfId="25988" xr:uid="{00000000-0005-0000-0000-0000B2440000}"/>
    <cellStyle name="40% - Accent3 3 2 3 3 2 3 2" xfId="19505" xr:uid="{00000000-0005-0000-0000-0000B3440000}"/>
    <cellStyle name="40% - Accent3 3 2 3 3 2 4" xfId="19513" xr:uid="{00000000-0005-0000-0000-0000B4440000}"/>
    <cellStyle name="40% - Accent3 3 2 3 3 3" xfId="22582" xr:uid="{00000000-0005-0000-0000-0000B5440000}"/>
    <cellStyle name="40% - Accent3 3 2 3 3 3 2" xfId="8019" xr:uid="{00000000-0005-0000-0000-0000B6440000}"/>
    <cellStyle name="40% - Accent3 3 2 3 3 3 2 2" xfId="19515" xr:uid="{00000000-0005-0000-0000-0000B7440000}"/>
    <cellStyle name="40% - Accent3 3 2 3 3 3 3" xfId="19519" xr:uid="{00000000-0005-0000-0000-0000B8440000}"/>
    <cellStyle name="40% - Accent3 3 2 3 3 4" xfId="26215" xr:uid="{00000000-0005-0000-0000-0000B9440000}"/>
    <cellStyle name="40% - Accent3 3 2 3 3 4 2" xfId="31525" xr:uid="{00000000-0005-0000-0000-0000BA440000}"/>
    <cellStyle name="40% - Accent3 3 2 3 3 5" xfId="26707" xr:uid="{00000000-0005-0000-0000-0000BB440000}"/>
    <cellStyle name="40% - Accent3 3 2 3 4" xfId="11291" xr:uid="{00000000-0005-0000-0000-0000BC440000}"/>
    <cellStyle name="40% - Accent3 3 2 3 4 2" xfId="25543" xr:uid="{00000000-0005-0000-0000-0000BD440000}"/>
    <cellStyle name="40% - Accent3 3 2 3 4 2 2" xfId="19520" xr:uid="{00000000-0005-0000-0000-0000BE440000}"/>
    <cellStyle name="40% - Accent3 3 2 3 4 2 2 2" xfId="19522" xr:uid="{00000000-0005-0000-0000-0000BF440000}"/>
    <cellStyle name="40% - Accent3 3 2 3 4 2 3" xfId="19530" xr:uid="{00000000-0005-0000-0000-0000C0440000}"/>
    <cellStyle name="40% - Accent3 3 2 3 4 3" xfId="16212" xr:uid="{00000000-0005-0000-0000-0000C1440000}"/>
    <cellStyle name="40% - Accent3 3 2 3 4 3 2" xfId="16215" xr:uid="{00000000-0005-0000-0000-0000C2440000}"/>
    <cellStyle name="40% - Accent3 3 2 3 4 4" xfId="33135" xr:uid="{00000000-0005-0000-0000-0000C3440000}"/>
    <cellStyle name="40% - Accent3 3 2 3 5" xfId="25549" xr:uid="{00000000-0005-0000-0000-0000C4440000}"/>
    <cellStyle name="40% - Accent3 3 2 3 5 2" xfId="24892" xr:uid="{00000000-0005-0000-0000-0000C5440000}"/>
    <cellStyle name="40% - Accent3 3 2 3 5 2 2" xfId="19533" xr:uid="{00000000-0005-0000-0000-0000C6440000}"/>
    <cellStyle name="40% - Accent3 3 2 3 5 3" xfId="16232" xr:uid="{00000000-0005-0000-0000-0000C7440000}"/>
    <cellStyle name="40% - Accent3 3 2 3 6" xfId="3367" xr:uid="{00000000-0005-0000-0000-0000C8440000}"/>
    <cellStyle name="40% - Accent3 3 2 3 6 2" xfId="3941" xr:uid="{00000000-0005-0000-0000-0000C9440000}"/>
    <cellStyle name="40% - Accent3 3 2 3 7" xfId="3943" xr:uid="{00000000-0005-0000-0000-0000CA440000}"/>
    <cellStyle name="40% - Accent3 3 2 4" xfId="19542" xr:uid="{00000000-0005-0000-0000-0000CB440000}"/>
    <cellStyle name="40% - Accent3 3 2 4 2" xfId="19546" xr:uid="{00000000-0005-0000-0000-0000CC440000}"/>
    <cellStyle name="40% - Accent3 3 2 4 2 2" xfId="25564" xr:uid="{00000000-0005-0000-0000-0000CD440000}"/>
    <cellStyle name="40% - Accent3 3 2 4 2 2 2" xfId="25568" xr:uid="{00000000-0005-0000-0000-0000CE440000}"/>
    <cellStyle name="40% - Accent3 3 2 4 2 2 2 2" xfId="18970" xr:uid="{00000000-0005-0000-0000-0000CF440000}"/>
    <cellStyle name="40% - Accent3 3 2 4 2 2 2 2 2" xfId="7674" xr:uid="{00000000-0005-0000-0000-0000D0440000}"/>
    <cellStyle name="40% - Accent3 3 2 4 2 2 2 3" xfId="18973" xr:uid="{00000000-0005-0000-0000-0000D1440000}"/>
    <cellStyle name="40% - Accent3 3 2 4 2 2 3" xfId="27937" xr:uid="{00000000-0005-0000-0000-0000D2440000}"/>
    <cellStyle name="40% - Accent3 3 2 4 2 2 3 2" xfId="10372" xr:uid="{00000000-0005-0000-0000-0000D3440000}"/>
    <cellStyle name="40% - Accent3 3 2 4 2 2 4" xfId="12149" xr:uid="{00000000-0005-0000-0000-0000D4440000}"/>
    <cellStyle name="40% - Accent3 3 2 4 2 3" xfId="22592" xr:uid="{00000000-0005-0000-0000-0000D5440000}"/>
    <cellStyle name="40% - Accent3 3 2 4 2 3 2" xfId="8045" xr:uid="{00000000-0005-0000-0000-0000D6440000}"/>
    <cellStyle name="40% - Accent3 3 2 4 2 3 2 2" xfId="19006" xr:uid="{00000000-0005-0000-0000-0000D7440000}"/>
    <cellStyle name="40% - Accent3 3 2 4 2 3 3" xfId="19550" xr:uid="{00000000-0005-0000-0000-0000D8440000}"/>
    <cellStyle name="40% - Accent3 3 2 4 2 4" xfId="2795" xr:uid="{00000000-0005-0000-0000-0000D9440000}"/>
    <cellStyle name="40% - Accent3 3 2 4 2 4 2" xfId="33126" xr:uid="{00000000-0005-0000-0000-0000DA440000}"/>
    <cellStyle name="40% - Accent3 3 2 4 2 5" xfId="26146" xr:uid="{00000000-0005-0000-0000-0000DB440000}"/>
    <cellStyle name="40% - Accent3 3 2 4 3" xfId="19556" xr:uid="{00000000-0005-0000-0000-0000DC440000}"/>
    <cellStyle name="40% - Accent3 3 2 4 3 2" xfId="25570" xr:uid="{00000000-0005-0000-0000-0000DD440000}"/>
    <cellStyle name="40% - Accent3 3 2 4 3 2 2" xfId="30073" xr:uid="{00000000-0005-0000-0000-0000DE440000}"/>
    <cellStyle name="40% - Accent3 3 2 4 3 2 2 2" xfId="19035" xr:uid="{00000000-0005-0000-0000-0000DF440000}"/>
    <cellStyle name="40% - Accent3 3 2 4 3 2 3" xfId="19564" xr:uid="{00000000-0005-0000-0000-0000E0440000}"/>
    <cellStyle name="40% - Accent3 3 2 4 3 3" xfId="23823" xr:uid="{00000000-0005-0000-0000-0000E1440000}"/>
    <cellStyle name="40% - Accent3 3 2 4 3 3 2" xfId="19566" xr:uid="{00000000-0005-0000-0000-0000E2440000}"/>
    <cellStyle name="40% - Accent3 3 2 4 3 4" xfId="19328" xr:uid="{00000000-0005-0000-0000-0000E3440000}"/>
    <cellStyle name="40% - Accent3 3 2 4 4" xfId="23584" xr:uid="{00000000-0005-0000-0000-0000E4440000}"/>
    <cellStyle name="40% - Accent3 3 2 4 4 2" xfId="30576" xr:uid="{00000000-0005-0000-0000-0000E5440000}"/>
    <cellStyle name="40% - Accent3 3 2 4 4 2 2" xfId="19569" xr:uid="{00000000-0005-0000-0000-0000E6440000}"/>
    <cellStyle name="40% - Accent3 3 2 4 4 3" xfId="20849" xr:uid="{00000000-0005-0000-0000-0000E7440000}"/>
    <cellStyle name="40% - Accent3 3 2 4 5" xfId="33243" xr:uid="{00000000-0005-0000-0000-0000E8440000}"/>
    <cellStyle name="40% - Accent3 3 2 4 5 2" xfId="19573" xr:uid="{00000000-0005-0000-0000-0000E9440000}"/>
    <cellStyle name="40% - Accent3 3 2 4 6" xfId="3973" xr:uid="{00000000-0005-0000-0000-0000EA440000}"/>
    <cellStyle name="40% - Accent3 3 2 5" xfId="25573" xr:uid="{00000000-0005-0000-0000-0000EB440000}"/>
    <cellStyle name="40% - Accent3 3 2 5 2" xfId="19575" xr:uid="{00000000-0005-0000-0000-0000EC440000}"/>
    <cellStyle name="40% - Accent3 3 2 5 2 2" xfId="24369" xr:uid="{00000000-0005-0000-0000-0000ED440000}"/>
    <cellStyle name="40% - Accent3 3 2 5 2 2 2" xfId="30523" xr:uid="{00000000-0005-0000-0000-0000EE440000}"/>
    <cellStyle name="40% - Accent3 3 2 5 2 2 2 2" xfId="19068" xr:uid="{00000000-0005-0000-0000-0000EF440000}"/>
    <cellStyle name="40% - Accent3 3 2 5 2 2 3" xfId="16804" xr:uid="{00000000-0005-0000-0000-0000F0440000}"/>
    <cellStyle name="40% - Accent3 3 2 5 2 3" xfId="33802" xr:uid="{00000000-0005-0000-0000-0000F1440000}"/>
    <cellStyle name="40% - Accent3 3 2 5 2 3 2" xfId="31312" xr:uid="{00000000-0005-0000-0000-0000F2440000}"/>
    <cellStyle name="40% - Accent3 3 2 5 2 4" xfId="32818" xr:uid="{00000000-0005-0000-0000-0000F3440000}"/>
    <cellStyle name="40% - Accent3 3 2 5 3" xfId="19581" xr:uid="{00000000-0005-0000-0000-0000F4440000}"/>
    <cellStyle name="40% - Accent3 3 2 5 3 2" xfId="6540" xr:uid="{00000000-0005-0000-0000-0000F5440000}"/>
    <cellStyle name="40% - Accent3 3 2 5 3 2 2" xfId="22725" xr:uid="{00000000-0005-0000-0000-0000F6440000}"/>
    <cellStyle name="40% - Accent3 3 2 5 3 3" xfId="19336" xr:uid="{00000000-0005-0000-0000-0000F7440000}"/>
    <cellStyle name="40% - Accent3 3 2 5 4" xfId="24319" xr:uid="{00000000-0005-0000-0000-0000F8440000}"/>
    <cellStyle name="40% - Accent3 3 2 5 4 2" xfId="20427" xr:uid="{00000000-0005-0000-0000-0000F9440000}"/>
    <cellStyle name="40% - Accent3 3 2 5 5" xfId="26127" xr:uid="{00000000-0005-0000-0000-0000FA440000}"/>
    <cellStyle name="40% - Accent3 3 2 6" xfId="25578" xr:uid="{00000000-0005-0000-0000-0000FB440000}"/>
    <cellStyle name="40% - Accent3 3 2 6 2" xfId="25580" xr:uid="{00000000-0005-0000-0000-0000FC440000}"/>
    <cellStyle name="40% - Accent3 3 2 6 2 2" xfId="19583" xr:uid="{00000000-0005-0000-0000-0000FD440000}"/>
    <cellStyle name="40% - Accent3 3 2 6 2 2 2" xfId="19586" xr:uid="{00000000-0005-0000-0000-0000FE440000}"/>
    <cellStyle name="40% - Accent3 3 2 6 2 3" xfId="921" xr:uid="{00000000-0005-0000-0000-0000FF440000}"/>
    <cellStyle name="40% - Accent3 3 2 6 3" xfId="26495" xr:uid="{00000000-0005-0000-0000-000000450000}"/>
    <cellStyle name="40% - Accent3 3 2 6 3 2" xfId="20450" xr:uid="{00000000-0005-0000-0000-000001450000}"/>
    <cellStyle name="40% - Accent3 3 2 6 4" xfId="19793" xr:uid="{00000000-0005-0000-0000-000002450000}"/>
    <cellStyle name="40% - Accent3 3 2 7" xfId="25586" xr:uid="{00000000-0005-0000-0000-000003450000}"/>
    <cellStyle name="40% - Accent3 3 2 7 2" xfId="6908" xr:uid="{00000000-0005-0000-0000-000004450000}"/>
    <cellStyle name="40% - Accent3 3 2 7 2 2" xfId="1811" xr:uid="{00000000-0005-0000-0000-000005450000}"/>
    <cellStyle name="40% - Accent3 3 2 7 3" xfId="2874" xr:uid="{00000000-0005-0000-0000-000006450000}"/>
    <cellStyle name="40% - Accent3 3 2 8" xfId="32773" xr:uid="{00000000-0005-0000-0000-000007450000}"/>
    <cellStyle name="40% - Accent3 3 2 8 2" xfId="4489" xr:uid="{00000000-0005-0000-0000-000008450000}"/>
    <cellStyle name="40% - Accent3 3 2 9" xfId="14006" xr:uid="{00000000-0005-0000-0000-000009450000}"/>
    <cellStyle name="40% - Accent3 3 3" xfId="19587" xr:uid="{00000000-0005-0000-0000-00000A450000}"/>
    <cellStyle name="40% - Accent3 3 3 2" xfId="19597" xr:uid="{00000000-0005-0000-0000-00000B450000}"/>
    <cellStyle name="40% - Accent3 3 3 2 2" xfId="19599" xr:uid="{00000000-0005-0000-0000-00000C450000}"/>
    <cellStyle name="40% - Accent3 3 3 2 2 2" xfId="15967" xr:uid="{00000000-0005-0000-0000-00000D450000}"/>
    <cellStyle name="40% - Accent3 3 3 2 2 2 2" xfId="1249" xr:uid="{00000000-0005-0000-0000-00000E450000}"/>
    <cellStyle name="40% - Accent3 3 3 2 2 2 2 2" xfId="19600" xr:uid="{00000000-0005-0000-0000-00000F450000}"/>
    <cellStyle name="40% - Accent3 3 3 2 2 2 2 2 2" xfId="19605" xr:uid="{00000000-0005-0000-0000-000010450000}"/>
    <cellStyle name="40% - Accent3 3 3 2 2 2 2 2 2 2" xfId="19607" xr:uid="{00000000-0005-0000-0000-000011450000}"/>
    <cellStyle name="40% - Accent3 3 3 2 2 2 2 2 3" xfId="32287" xr:uid="{00000000-0005-0000-0000-000012450000}"/>
    <cellStyle name="40% - Accent3 3 3 2 2 2 2 3" xfId="19612" xr:uid="{00000000-0005-0000-0000-000013450000}"/>
    <cellStyle name="40% - Accent3 3 3 2 2 2 2 3 2" xfId="29646" xr:uid="{00000000-0005-0000-0000-000014450000}"/>
    <cellStyle name="40% - Accent3 3 3 2 2 2 2 4" xfId="19619" xr:uid="{00000000-0005-0000-0000-000015450000}"/>
    <cellStyle name="40% - Accent3 3 3 2 2 2 3" xfId="25590" xr:uid="{00000000-0005-0000-0000-000016450000}"/>
    <cellStyle name="40% - Accent3 3 3 2 2 2 3 2" xfId="33673" xr:uid="{00000000-0005-0000-0000-000017450000}"/>
    <cellStyle name="40% - Accent3 3 3 2 2 2 3 2 2" xfId="11548" xr:uid="{00000000-0005-0000-0000-000018450000}"/>
    <cellStyle name="40% - Accent3 3 3 2 2 2 3 3" xfId="32667" xr:uid="{00000000-0005-0000-0000-000019450000}"/>
    <cellStyle name="40% - Accent3 3 3 2 2 2 4" xfId="14618" xr:uid="{00000000-0005-0000-0000-00001A450000}"/>
    <cellStyle name="40% - Accent3 3 3 2 2 2 4 2" xfId="19622" xr:uid="{00000000-0005-0000-0000-00001B450000}"/>
    <cellStyle name="40% - Accent3 3 3 2 2 2 5" xfId="7427" xr:uid="{00000000-0005-0000-0000-00001C450000}"/>
    <cellStyle name="40% - Accent3 3 3 2 2 3" xfId="23741" xr:uid="{00000000-0005-0000-0000-00001D450000}"/>
    <cellStyle name="40% - Accent3 3 3 2 2 3 2" xfId="22619" xr:uid="{00000000-0005-0000-0000-00001E450000}"/>
    <cellStyle name="40% - Accent3 3 3 2 2 3 2 2" xfId="19630" xr:uid="{00000000-0005-0000-0000-00001F450000}"/>
    <cellStyle name="40% - Accent3 3 3 2 2 3 2 2 2" xfId="23191" xr:uid="{00000000-0005-0000-0000-000020450000}"/>
    <cellStyle name="40% - Accent3 3 3 2 2 3 2 3" xfId="19631" xr:uid="{00000000-0005-0000-0000-000021450000}"/>
    <cellStyle name="40% - Accent3 3 3 2 2 3 3" xfId="14737" xr:uid="{00000000-0005-0000-0000-000022450000}"/>
    <cellStyle name="40% - Accent3 3 3 2 2 3 3 2" xfId="33213" xr:uid="{00000000-0005-0000-0000-000023450000}"/>
    <cellStyle name="40% - Accent3 3 3 2 2 3 4" xfId="5480" xr:uid="{00000000-0005-0000-0000-000024450000}"/>
    <cellStyle name="40% - Accent3 3 3 2 2 4" xfId="20282" xr:uid="{00000000-0005-0000-0000-000025450000}"/>
    <cellStyle name="40% - Accent3 3 3 2 2 4 2" xfId="32692" xr:uid="{00000000-0005-0000-0000-000026450000}"/>
    <cellStyle name="40% - Accent3 3 3 2 2 4 2 2" xfId="30563" xr:uid="{00000000-0005-0000-0000-000027450000}"/>
    <cellStyle name="40% - Accent3 3 3 2 2 4 3" xfId="7817" xr:uid="{00000000-0005-0000-0000-000028450000}"/>
    <cellStyle name="40% - Accent3 3 3 2 2 5" xfId="25312" xr:uid="{00000000-0005-0000-0000-000029450000}"/>
    <cellStyle name="40% - Accent3 3 3 2 2 5 2" xfId="29587" xr:uid="{00000000-0005-0000-0000-00002A450000}"/>
    <cellStyle name="40% - Accent3 3 3 2 2 6" xfId="13405" xr:uid="{00000000-0005-0000-0000-00002B450000}"/>
    <cellStyle name="40% - Accent3 3 3 2 3" xfId="19633" xr:uid="{00000000-0005-0000-0000-00002C450000}"/>
    <cellStyle name="40% - Accent3 3 3 2 3 2" xfId="23703" xr:uid="{00000000-0005-0000-0000-00002D450000}"/>
    <cellStyle name="40% - Accent3 3 3 2 3 2 2" xfId="20265" xr:uid="{00000000-0005-0000-0000-00002E450000}"/>
    <cellStyle name="40% - Accent3 3 3 2 3 2 2 2" xfId="19636" xr:uid="{00000000-0005-0000-0000-00002F450000}"/>
    <cellStyle name="40% - Accent3 3 3 2 3 2 2 2 2" xfId="19642" xr:uid="{00000000-0005-0000-0000-000030450000}"/>
    <cellStyle name="40% - Accent3 3 3 2 3 2 2 3" xfId="19644" xr:uid="{00000000-0005-0000-0000-000031450000}"/>
    <cellStyle name="40% - Accent3 3 3 2 3 2 3" xfId="6129" xr:uid="{00000000-0005-0000-0000-000032450000}"/>
    <cellStyle name="40% - Accent3 3 3 2 3 2 3 2" xfId="33407" xr:uid="{00000000-0005-0000-0000-000033450000}"/>
    <cellStyle name="40% - Accent3 3 3 2 3 2 4" xfId="4202" xr:uid="{00000000-0005-0000-0000-000034450000}"/>
    <cellStyle name="40% - Accent3 3 3 2 3 3" xfId="23485" xr:uid="{00000000-0005-0000-0000-000035450000}"/>
    <cellStyle name="40% - Accent3 3 3 2 3 3 2" xfId="798" xr:uid="{00000000-0005-0000-0000-000036450000}"/>
    <cellStyle name="40% - Accent3 3 3 2 3 3 2 2" xfId="19646" xr:uid="{00000000-0005-0000-0000-000037450000}"/>
    <cellStyle name="40% - Accent3 3 3 2 3 3 3" xfId="5620" xr:uid="{00000000-0005-0000-0000-000038450000}"/>
    <cellStyle name="40% - Accent3 3 3 2 3 4" xfId="24856" xr:uid="{00000000-0005-0000-0000-000039450000}"/>
    <cellStyle name="40% - Accent3 3 3 2 3 4 2" xfId="6721" xr:uid="{00000000-0005-0000-0000-00003A450000}"/>
    <cellStyle name="40% - Accent3 3 3 2 3 5" xfId="19648" xr:uid="{00000000-0005-0000-0000-00003B450000}"/>
    <cellStyle name="40% - Accent3 3 3 2 4" xfId="19649" xr:uid="{00000000-0005-0000-0000-00003C450000}"/>
    <cellStyle name="40% - Accent3 3 3 2 4 2" xfId="25594" xr:uid="{00000000-0005-0000-0000-00003D450000}"/>
    <cellStyle name="40% - Accent3 3 3 2 4 2 2" xfId="582" xr:uid="{00000000-0005-0000-0000-00003E450000}"/>
    <cellStyle name="40% - Accent3 3 3 2 4 2 2 2" xfId="19652" xr:uid="{00000000-0005-0000-0000-00003F450000}"/>
    <cellStyle name="40% - Accent3 3 3 2 4 2 3" xfId="4243" xr:uid="{00000000-0005-0000-0000-000040450000}"/>
    <cellStyle name="40% - Accent3 3 3 2 4 3" xfId="3316" xr:uid="{00000000-0005-0000-0000-000041450000}"/>
    <cellStyle name="40% - Accent3 3 3 2 4 3 2" xfId="16345" xr:uid="{00000000-0005-0000-0000-000042450000}"/>
    <cellStyle name="40% - Accent3 3 3 2 4 4" xfId="16353" xr:uid="{00000000-0005-0000-0000-000043450000}"/>
    <cellStyle name="40% - Accent3 3 3 2 5" xfId="28924" xr:uid="{00000000-0005-0000-0000-000044450000}"/>
    <cellStyle name="40% - Accent3 3 3 2 5 2" xfId="2578" xr:uid="{00000000-0005-0000-0000-000045450000}"/>
    <cellStyle name="40% - Accent3 3 3 2 5 2 2" xfId="19654" xr:uid="{00000000-0005-0000-0000-000046450000}"/>
    <cellStyle name="40% - Accent3 3 3 2 5 3" xfId="16358" xr:uid="{00000000-0005-0000-0000-000047450000}"/>
    <cellStyle name="40% - Accent3 3 3 2 6" xfId="4402" xr:uid="{00000000-0005-0000-0000-000048450000}"/>
    <cellStyle name="40% - Accent3 3 3 2 6 2" xfId="3821" xr:uid="{00000000-0005-0000-0000-000049450000}"/>
    <cellStyle name="40% - Accent3 3 3 2 7" xfId="4415" xr:uid="{00000000-0005-0000-0000-00004A450000}"/>
    <cellStyle name="40% - Accent3 3 3 3" xfId="19657" xr:uid="{00000000-0005-0000-0000-00004B450000}"/>
    <cellStyle name="40% - Accent3 3 3 3 2" xfId="19661" xr:uid="{00000000-0005-0000-0000-00004C450000}"/>
    <cellStyle name="40% - Accent3 3 3 3 2 2" xfId="25602" xr:uid="{00000000-0005-0000-0000-00004D450000}"/>
    <cellStyle name="40% - Accent3 3 3 3 2 2 2" xfId="26356" xr:uid="{00000000-0005-0000-0000-00004E450000}"/>
    <cellStyle name="40% - Accent3 3 3 3 2 2 2 2" xfId="19664" xr:uid="{00000000-0005-0000-0000-00004F450000}"/>
    <cellStyle name="40% - Accent3 3 3 3 2 2 2 2 2" xfId="6843" xr:uid="{00000000-0005-0000-0000-000050450000}"/>
    <cellStyle name="40% - Accent3 3 3 3 2 2 2 3" xfId="19668" xr:uid="{00000000-0005-0000-0000-000051450000}"/>
    <cellStyle name="40% - Accent3 3 3 3 2 2 3" xfId="26364" xr:uid="{00000000-0005-0000-0000-000052450000}"/>
    <cellStyle name="40% - Accent3 3 3 3 2 2 3 2" xfId="19670" xr:uid="{00000000-0005-0000-0000-000053450000}"/>
    <cellStyle name="40% - Accent3 3 3 3 2 2 4" xfId="3303" xr:uid="{00000000-0005-0000-0000-000054450000}"/>
    <cellStyle name="40% - Accent3 3 3 3 2 3" xfId="23762" xr:uid="{00000000-0005-0000-0000-000055450000}"/>
    <cellStyle name="40% - Accent3 3 3 3 2 3 2" xfId="26371" xr:uid="{00000000-0005-0000-0000-000056450000}"/>
    <cellStyle name="40% - Accent3 3 3 3 2 3 2 2" xfId="2587" xr:uid="{00000000-0005-0000-0000-000057450000}"/>
    <cellStyle name="40% - Accent3 3 3 3 2 3 3" xfId="3375" xr:uid="{00000000-0005-0000-0000-000058450000}"/>
    <cellStyle name="40% - Accent3 3 3 3 2 4" xfId="32811" xr:uid="{00000000-0005-0000-0000-000059450000}"/>
    <cellStyle name="40% - Accent3 3 3 3 2 4 2" xfId="32515" xr:uid="{00000000-0005-0000-0000-00005A450000}"/>
    <cellStyle name="40% - Accent3 3 3 3 2 5" xfId="30680" xr:uid="{00000000-0005-0000-0000-00005B450000}"/>
    <cellStyle name="40% - Accent3 3 3 3 3" xfId="15213" xr:uid="{00000000-0005-0000-0000-00005C450000}"/>
    <cellStyle name="40% - Accent3 3 3 3 3 2" xfId="25604" xr:uid="{00000000-0005-0000-0000-00005D450000}"/>
    <cellStyle name="40% - Accent3 3 3 3 3 2 2" xfId="25080" xr:uid="{00000000-0005-0000-0000-00005E450000}"/>
    <cellStyle name="40% - Accent3 3 3 3 3 2 2 2" xfId="30812" xr:uid="{00000000-0005-0000-0000-00005F450000}"/>
    <cellStyle name="40% - Accent3 3 3 3 3 2 3" xfId="15375" xr:uid="{00000000-0005-0000-0000-000060450000}"/>
    <cellStyle name="40% - Accent3 3 3 3 3 3" xfId="3321" xr:uid="{00000000-0005-0000-0000-000061450000}"/>
    <cellStyle name="40% - Accent3 3 3 3 3 3 2" xfId="32229" xr:uid="{00000000-0005-0000-0000-000062450000}"/>
    <cellStyle name="40% - Accent3 3 3 3 3 4" xfId="24056" xr:uid="{00000000-0005-0000-0000-000063450000}"/>
    <cellStyle name="40% - Accent3 3 3 3 4" xfId="25101" xr:uid="{00000000-0005-0000-0000-000064450000}"/>
    <cellStyle name="40% - Accent3 3 3 3 4 2" xfId="1191" xr:uid="{00000000-0005-0000-0000-000065450000}"/>
    <cellStyle name="40% - Accent3 3 3 3 4 2 2" xfId="25111" xr:uid="{00000000-0005-0000-0000-000066450000}"/>
    <cellStyle name="40% - Accent3 3 3 3 4 3" xfId="16384" xr:uid="{00000000-0005-0000-0000-000067450000}"/>
    <cellStyle name="40% - Accent3 3 3 3 5" xfId="33319" xr:uid="{00000000-0005-0000-0000-000068450000}"/>
    <cellStyle name="40% - Accent3 3 3 3 5 2" xfId="25119" xr:uid="{00000000-0005-0000-0000-000069450000}"/>
    <cellStyle name="40% - Accent3 3 3 3 6" xfId="4445" xr:uid="{00000000-0005-0000-0000-00006A450000}"/>
    <cellStyle name="40% - Accent3 3 3 4" xfId="20120" xr:uid="{00000000-0005-0000-0000-00006B450000}"/>
    <cellStyle name="40% - Accent3 3 3 4 2" xfId="19675" xr:uid="{00000000-0005-0000-0000-00006C450000}"/>
    <cellStyle name="40% - Accent3 3 3 4 2 2" xfId="25612" xr:uid="{00000000-0005-0000-0000-00006D450000}"/>
    <cellStyle name="40% - Accent3 3 3 4 2 2 2" xfId="24180" xr:uid="{00000000-0005-0000-0000-00006E450000}"/>
    <cellStyle name="40% - Accent3 3 3 4 2 2 2 2" xfId="19155" xr:uid="{00000000-0005-0000-0000-00006F450000}"/>
    <cellStyle name="40% - Accent3 3 3 4 2 2 3" xfId="10161" xr:uid="{00000000-0005-0000-0000-000070450000}"/>
    <cellStyle name="40% - Accent3 3 3 4 2 3" xfId="19290" xr:uid="{00000000-0005-0000-0000-000071450000}"/>
    <cellStyle name="40% - Accent3 3 3 4 2 3 2" xfId="23022" xr:uid="{00000000-0005-0000-0000-000072450000}"/>
    <cellStyle name="40% - Accent3 3 3 4 2 4" xfId="29235" xr:uid="{00000000-0005-0000-0000-000073450000}"/>
    <cellStyle name="40% - Accent3 3 3 4 3" xfId="19683" xr:uid="{00000000-0005-0000-0000-000074450000}"/>
    <cellStyle name="40% - Accent3 3 3 4 3 2" xfId="405" xr:uid="{00000000-0005-0000-0000-000075450000}"/>
    <cellStyle name="40% - Accent3 3 3 4 3 2 2" xfId="19686" xr:uid="{00000000-0005-0000-0000-000076450000}"/>
    <cellStyle name="40% - Accent3 3 3 4 3 3" xfId="19122" xr:uid="{00000000-0005-0000-0000-000077450000}"/>
    <cellStyle name="40% - Accent3 3 3 4 4" xfId="21111" xr:uid="{00000000-0005-0000-0000-000078450000}"/>
    <cellStyle name="40% - Accent3 3 3 4 4 2" xfId="25177" xr:uid="{00000000-0005-0000-0000-000079450000}"/>
    <cellStyle name="40% - Accent3 3 3 4 5" xfId="31300" xr:uid="{00000000-0005-0000-0000-00007A450000}"/>
    <cellStyle name="40% - Accent3 3 3 5" xfId="15135" xr:uid="{00000000-0005-0000-0000-00007B450000}"/>
    <cellStyle name="40% - Accent3 3 3 5 2" xfId="22489" xr:uid="{00000000-0005-0000-0000-00007C450000}"/>
    <cellStyle name="40% - Accent3 3 3 5 2 2" xfId="27269" xr:uid="{00000000-0005-0000-0000-00007D450000}"/>
    <cellStyle name="40% - Accent3 3 3 5 2 2 2" xfId="25343" xr:uid="{00000000-0005-0000-0000-00007E450000}"/>
    <cellStyle name="40% - Accent3 3 3 5 2 3" xfId="19690" xr:uid="{00000000-0005-0000-0000-00007F450000}"/>
    <cellStyle name="40% - Accent3 3 3 5 3" xfId="19693" xr:uid="{00000000-0005-0000-0000-000080450000}"/>
    <cellStyle name="40% - Accent3 3 3 5 3 2" xfId="20532" xr:uid="{00000000-0005-0000-0000-000081450000}"/>
    <cellStyle name="40% - Accent3 3 3 5 4" xfId="25149" xr:uid="{00000000-0005-0000-0000-000082450000}"/>
    <cellStyle name="40% - Accent3 3 3 6" xfId="15139" xr:uid="{00000000-0005-0000-0000-000083450000}"/>
    <cellStyle name="40% - Accent3 3 3 6 2" xfId="14779" xr:uid="{00000000-0005-0000-0000-000084450000}"/>
    <cellStyle name="40% - Accent3 3 3 6 2 2" xfId="27551" xr:uid="{00000000-0005-0000-0000-000085450000}"/>
    <cellStyle name="40% - Accent3 3 3 6 3" xfId="25234" xr:uid="{00000000-0005-0000-0000-000086450000}"/>
    <cellStyle name="40% - Accent3 3 3 7" xfId="4377" xr:uid="{00000000-0005-0000-0000-000087450000}"/>
    <cellStyle name="40% - Accent3 3 3 7 2" xfId="4920" xr:uid="{00000000-0005-0000-0000-000088450000}"/>
    <cellStyle name="40% - Accent3 3 3 8" xfId="4930" xr:uid="{00000000-0005-0000-0000-000089450000}"/>
    <cellStyle name="40% - Accent3 3 4" xfId="19697" xr:uid="{00000000-0005-0000-0000-00008A450000}"/>
    <cellStyle name="40% - Accent3 3 4 2" xfId="19705" xr:uid="{00000000-0005-0000-0000-00008B450000}"/>
    <cellStyle name="40% - Accent3 3 4 2 2" xfId="19233" xr:uid="{00000000-0005-0000-0000-00008C450000}"/>
    <cellStyle name="40% - Accent3 3 4 2 2 2" xfId="23308" xr:uid="{00000000-0005-0000-0000-00008D450000}"/>
    <cellStyle name="40% - Accent3 3 4 2 2 2 2" xfId="22574" xr:uid="{00000000-0005-0000-0000-00008E450000}"/>
    <cellStyle name="40% - Accent3 3 4 2 2 2 2 2" xfId="17908" xr:uid="{00000000-0005-0000-0000-00008F450000}"/>
    <cellStyle name="40% - Accent3 3 4 2 2 2 2 2 2" xfId="10072" xr:uid="{00000000-0005-0000-0000-000090450000}"/>
    <cellStyle name="40% - Accent3 3 4 2 2 2 2 3" xfId="31092" xr:uid="{00000000-0005-0000-0000-000091450000}"/>
    <cellStyle name="40% - Accent3 3 4 2 2 2 3" xfId="18337" xr:uid="{00000000-0005-0000-0000-000092450000}"/>
    <cellStyle name="40% - Accent3 3 4 2 2 2 3 2" xfId="32140" xr:uid="{00000000-0005-0000-0000-000093450000}"/>
    <cellStyle name="40% - Accent3 3 4 2 2 2 4" xfId="19247" xr:uid="{00000000-0005-0000-0000-000094450000}"/>
    <cellStyle name="40% - Accent3 3 4 2 2 3" xfId="22665" xr:uid="{00000000-0005-0000-0000-000095450000}"/>
    <cellStyle name="40% - Accent3 3 4 2 2 3 2" xfId="31980" xr:uid="{00000000-0005-0000-0000-000096450000}"/>
    <cellStyle name="40% - Accent3 3 4 2 2 3 2 2" xfId="6657" xr:uid="{00000000-0005-0000-0000-000097450000}"/>
    <cellStyle name="40% - Accent3 3 4 2 2 3 3" xfId="27427" xr:uid="{00000000-0005-0000-0000-000098450000}"/>
    <cellStyle name="40% - Accent3 3 4 2 2 4" xfId="15081" xr:uid="{00000000-0005-0000-0000-000099450000}"/>
    <cellStyle name="40% - Accent3 3 4 2 2 4 2" xfId="19257" xr:uid="{00000000-0005-0000-0000-00009A450000}"/>
    <cellStyle name="40% - Accent3 3 4 2 2 5" xfId="31206" xr:uid="{00000000-0005-0000-0000-00009B450000}"/>
    <cellStyle name="40% - Accent3 3 4 2 3" xfId="19261" xr:uid="{00000000-0005-0000-0000-00009C450000}"/>
    <cellStyle name="40% - Accent3 3 4 2 3 2" xfId="19329" xr:uid="{00000000-0005-0000-0000-00009D450000}"/>
    <cellStyle name="40% - Accent3 3 4 2 3 2 2" xfId="9141" xr:uid="{00000000-0005-0000-0000-00009E450000}"/>
    <cellStyle name="40% - Accent3 3 4 2 3 2 2 2" xfId="19713" xr:uid="{00000000-0005-0000-0000-00009F450000}"/>
    <cellStyle name="40% - Accent3 3 4 2 3 2 3" xfId="16037" xr:uid="{00000000-0005-0000-0000-0000A0450000}"/>
    <cellStyle name="40% - Accent3 3 4 2 3 3" xfId="3354" xr:uid="{00000000-0005-0000-0000-0000A1450000}"/>
    <cellStyle name="40% - Accent3 3 4 2 3 3 2" xfId="16041" xr:uid="{00000000-0005-0000-0000-0000A2450000}"/>
    <cellStyle name="40% - Accent3 3 4 2 3 4" xfId="19268" xr:uid="{00000000-0005-0000-0000-0000A3450000}"/>
    <cellStyle name="40% - Accent3 3 4 2 4" xfId="19275" xr:uid="{00000000-0005-0000-0000-0000A4450000}"/>
    <cellStyle name="40% - Accent3 3 4 2 4 2" xfId="2098" xr:uid="{00000000-0005-0000-0000-0000A5450000}"/>
    <cellStyle name="40% - Accent3 3 4 2 4 2 2" xfId="5050" xr:uid="{00000000-0005-0000-0000-0000A6450000}"/>
    <cellStyle name="40% - Accent3 3 4 2 4 3" xfId="16477" xr:uid="{00000000-0005-0000-0000-0000A7450000}"/>
    <cellStyle name="40% - Accent3 3 4 2 5" xfId="22393" xr:uid="{00000000-0005-0000-0000-0000A8450000}"/>
    <cellStyle name="40% - Accent3 3 4 2 5 2" xfId="19277" xr:uid="{00000000-0005-0000-0000-0000A9450000}"/>
    <cellStyle name="40% - Accent3 3 4 2 6" xfId="2246" xr:uid="{00000000-0005-0000-0000-0000AA450000}"/>
    <cellStyle name="40% - Accent3 3 4 3" xfId="19715" xr:uid="{00000000-0005-0000-0000-0000AB450000}"/>
    <cellStyle name="40% - Accent3 3 4 3 2" xfId="18525" xr:uid="{00000000-0005-0000-0000-0000AC450000}"/>
    <cellStyle name="40% - Accent3 3 4 3 2 2" xfId="25619" xr:uid="{00000000-0005-0000-0000-0000AD450000}"/>
    <cellStyle name="40% - Accent3 3 4 3 2 2 2" xfId="17979" xr:uid="{00000000-0005-0000-0000-0000AE450000}"/>
    <cellStyle name="40% - Accent3 3 4 3 2 2 2 2" xfId="20770" xr:uid="{00000000-0005-0000-0000-0000AF450000}"/>
    <cellStyle name="40% - Accent3 3 4 3 2 2 3" xfId="19287" xr:uid="{00000000-0005-0000-0000-0000B0450000}"/>
    <cellStyle name="40% - Accent3 3 4 3 2 3" xfId="18236" xr:uid="{00000000-0005-0000-0000-0000B1450000}"/>
    <cellStyle name="40% - Accent3 3 4 3 2 3 2" xfId="19288" xr:uid="{00000000-0005-0000-0000-0000B2450000}"/>
    <cellStyle name="40% - Accent3 3 4 3 2 4" xfId="19293" xr:uid="{00000000-0005-0000-0000-0000B3450000}"/>
    <cellStyle name="40% - Accent3 3 4 3 3" xfId="19301" xr:uid="{00000000-0005-0000-0000-0000B4450000}"/>
    <cellStyle name="40% - Accent3 3 4 3 3 2" xfId="2224" xr:uid="{00000000-0005-0000-0000-0000B5450000}"/>
    <cellStyle name="40% - Accent3 3 4 3 3 2 2" xfId="16060" xr:uid="{00000000-0005-0000-0000-0000B6450000}"/>
    <cellStyle name="40% - Accent3 3 4 3 3 3" xfId="19558" xr:uid="{00000000-0005-0000-0000-0000B7450000}"/>
    <cellStyle name="40% - Accent3 3 4 3 4" xfId="22633" xr:uid="{00000000-0005-0000-0000-0000B8450000}"/>
    <cellStyle name="40% - Accent3 3 4 3 4 2" xfId="19307" xr:uid="{00000000-0005-0000-0000-0000B9450000}"/>
    <cellStyle name="40% - Accent3 3 4 3 5" xfId="33538" xr:uid="{00000000-0005-0000-0000-0000BA450000}"/>
    <cellStyle name="40% - Accent3 3 4 4" xfId="19718" xr:uid="{00000000-0005-0000-0000-0000BB450000}"/>
    <cellStyle name="40% - Accent3 3 4 4 2" xfId="6021" xr:uid="{00000000-0005-0000-0000-0000BC450000}"/>
    <cellStyle name="40% - Accent3 3 4 4 2 2" xfId="2479" xr:uid="{00000000-0005-0000-0000-0000BD450000}"/>
    <cellStyle name="40% - Accent3 3 4 4 2 2 2" xfId="19309" xr:uid="{00000000-0005-0000-0000-0000BE450000}"/>
    <cellStyle name="40% - Accent3 3 4 4 2 3" xfId="16081" xr:uid="{00000000-0005-0000-0000-0000BF450000}"/>
    <cellStyle name="40% - Accent3 3 4 4 3" xfId="3359" xr:uid="{00000000-0005-0000-0000-0000C0450000}"/>
    <cellStyle name="40% - Accent3 3 4 4 3 2" xfId="18810" xr:uid="{00000000-0005-0000-0000-0000C1450000}"/>
    <cellStyle name="40% - Accent3 3 4 4 4" xfId="29397" xr:uid="{00000000-0005-0000-0000-0000C2450000}"/>
    <cellStyle name="40% - Accent3 3 4 5" xfId="15143" xr:uid="{00000000-0005-0000-0000-0000C3450000}"/>
    <cellStyle name="40% - Accent3 3 4 5 2" xfId="2522" xr:uid="{00000000-0005-0000-0000-0000C4450000}"/>
    <cellStyle name="40% - Accent3 3 4 5 2 2" xfId="16097" xr:uid="{00000000-0005-0000-0000-0000C5450000}"/>
    <cellStyle name="40% - Accent3 3 4 5 3" xfId="16519" xr:uid="{00000000-0005-0000-0000-0000C6450000}"/>
    <cellStyle name="40% - Accent3 3 4 6" xfId="15151" xr:uid="{00000000-0005-0000-0000-0000C7450000}"/>
    <cellStyle name="40% - Accent3 3 4 6 2" xfId="21413" xr:uid="{00000000-0005-0000-0000-0000C8450000}"/>
    <cellStyle name="40% - Accent3 3 4 7" xfId="4983" xr:uid="{00000000-0005-0000-0000-0000C9450000}"/>
    <cellStyle name="40% - Accent3 3 5" xfId="21485" xr:uid="{00000000-0005-0000-0000-0000CA450000}"/>
    <cellStyle name="40% - Accent3 3 5 2" xfId="12958" xr:uid="{00000000-0005-0000-0000-0000CB450000}"/>
    <cellStyle name="40% - Accent3 3 5 2 2" xfId="19721" xr:uid="{00000000-0005-0000-0000-0000CC450000}"/>
    <cellStyle name="40% - Accent3 3 5 2 2 2" xfId="19625" xr:uid="{00000000-0005-0000-0000-0000CD450000}"/>
    <cellStyle name="40% - Accent3 3 5 2 2 2 2" xfId="18076" xr:uid="{00000000-0005-0000-0000-0000CE450000}"/>
    <cellStyle name="40% - Accent3 3 5 2 2 2 2 2" xfId="30511" xr:uid="{00000000-0005-0000-0000-0000CF450000}"/>
    <cellStyle name="40% - Accent3 3 5 2 2 2 3" xfId="19735" xr:uid="{00000000-0005-0000-0000-0000D0450000}"/>
    <cellStyle name="40% - Accent3 3 5 2 2 3" xfId="23480" xr:uid="{00000000-0005-0000-0000-0000D1450000}"/>
    <cellStyle name="40% - Accent3 3 5 2 2 3 2" xfId="19741" xr:uid="{00000000-0005-0000-0000-0000D2450000}"/>
    <cellStyle name="40% - Accent3 3 5 2 2 4" xfId="18629" xr:uid="{00000000-0005-0000-0000-0000D3450000}"/>
    <cellStyle name="40% - Accent3 3 5 2 3" xfId="19746" xr:uid="{00000000-0005-0000-0000-0000D4450000}"/>
    <cellStyle name="40% - Accent3 3 5 2 3 2" xfId="2682" xr:uid="{00000000-0005-0000-0000-0000D5450000}"/>
    <cellStyle name="40% - Accent3 3 5 2 3 2 2" xfId="16103" xr:uid="{00000000-0005-0000-0000-0000D6450000}"/>
    <cellStyle name="40% - Accent3 3 5 2 3 3" xfId="25551" xr:uid="{00000000-0005-0000-0000-0000D7450000}"/>
    <cellStyle name="40% - Accent3 3 5 2 4" xfId="22404" xr:uid="{00000000-0005-0000-0000-0000D8450000}"/>
    <cellStyle name="40% - Accent3 3 5 2 4 2" xfId="25489" xr:uid="{00000000-0005-0000-0000-0000D9450000}"/>
    <cellStyle name="40% - Accent3 3 5 2 5" xfId="19941" xr:uid="{00000000-0005-0000-0000-0000DA450000}"/>
    <cellStyle name="40% - Accent3 3 5 3" xfId="19724" xr:uid="{00000000-0005-0000-0000-0000DB450000}"/>
    <cellStyle name="40% - Accent3 3 5 3 2" xfId="19726" xr:uid="{00000000-0005-0000-0000-0000DC450000}"/>
    <cellStyle name="40% - Accent3 3 5 3 2 2" xfId="18077" xr:uid="{00000000-0005-0000-0000-0000DD450000}"/>
    <cellStyle name="40% - Accent3 3 5 3 2 2 2" xfId="19753" xr:uid="{00000000-0005-0000-0000-0000DE450000}"/>
    <cellStyle name="40% - Accent3 3 5 3 2 3" xfId="19733" xr:uid="{00000000-0005-0000-0000-0000DF450000}"/>
    <cellStyle name="40% - Accent3 3 5 3 3" xfId="19738" xr:uid="{00000000-0005-0000-0000-0000E0450000}"/>
    <cellStyle name="40% - Accent3 3 5 3 3 2" xfId="19742" xr:uid="{00000000-0005-0000-0000-0000E1450000}"/>
    <cellStyle name="40% - Accent3 3 5 3 4" xfId="18632" xr:uid="{00000000-0005-0000-0000-0000E2450000}"/>
    <cellStyle name="40% - Accent3 3 5 4" xfId="19748" xr:uid="{00000000-0005-0000-0000-0000E3450000}"/>
    <cellStyle name="40% - Accent3 3 5 4 2" xfId="27700" xr:uid="{00000000-0005-0000-0000-0000E4450000}"/>
    <cellStyle name="40% - Accent3 3 5 4 2 2" xfId="16104" xr:uid="{00000000-0005-0000-0000-0000E5450000}"/>
    <cellStyle name="40% - Accent3 3 5 4 3" xfId="25555" xr:uid="{00000000-0005-0000-0000-0000E6450000}"/>
    <cellStyle name="40% - Accent3 3 5 5" xfId="240" xr:uid="{00000000-0005-0000-0000-0000E7450000}"/>
    <cellStyle name="40% - Accent3 3 5 5 2" xfId="25488" xr:uid="{00000000-0005-0000-0000-0000E8450000}"/>
    <cellStyle name="40% - Accent3 3 5 6" xfId="22139" xr:uid="{00000000-0005-0000-0000-0000E9450000}"/>
    <cellStyle name="40% - Accent3 3 6" xfId="19756" xr:uid="{00000000-0005-0000-0000-0000EA450000}"/>
    <cellStyle name="40% - Accent3 3 6 2" xfId="18532" xr:uid="{00000000-0005-0000-0000-0000EB450000}"/>
    <cellStyle name="40% - Accent3 3 6 2 2" xfId="19757" xr:uid="{00000000-0005-0000-0000-0000EC450000}"/>
    <cellStyle name="40% - Accent3 3 6 2 2 2" xfId="19760" xr:uid="{00000000-0005-0000-0000-0000ED450000}"/>
    <cellStyle name="40% - Accent3 3 6 2 2 2 2" xfId="19769" xr:uid="{00000000-0005-0000-0000-0000EE450000}"/>
    <cellStyle name="40% - Accent3 3 6 2 2 3" xfId="19776" xr:uid="{00000000-0005-0000-0000-0000EF450000}"/>
    <cellStyle name="40% - Accent3 3 6 2 3" xfId="18488" xr:uid="{00000000-0005-0000-0000-0000F0450000}"/>
    <cellStyle name="40% - Accent3 3 6 2 3 2" xfId="19780" xr:uid="{00000000-0005-0000-0000-0000F1450000}"/>
    <cellStyle name="40% - Accent3 3 6 2 4" xfId="10181" xr:uid="{00000000-0005-0000-0000-0000F2450000}"/>
    <cellStyle name="40% - Accent3 3 6 3" xfId="19727" xr:uid="{00000000-0005-0000-0000-0000F3450000}"/>
    <cellStyle name="40% - Accent3 3 6 3 2" xfId="18078" xr:uid="{00000000-0005-0000-0000-0000F4450000}"/>
    <cellStyle name="40% - Accent3 3 6 3 2 2" xfId="19754" xr:uid="{00000000-0005-0000-0000-0000F5450000}"/>
    <cellStyle name="40% - Accent3 3 6 3 3" xfId="19737" xr:uid="{00000000-0005-0000-0000-0000F6450000}"/>
    <cellStyle name="40% - Accent3 3 6 4" xfId="23482" xr:uid="{00000000-0005-0000-0000-0000F7450000}"/>
    <cellStyle name="40% - Accent3 3 6 4 2" xfId="19743" xr:uid="{00000000-0005-0000-0000-0000F8450000}"/>
    <cellStyle name="40% - Accent3 3 6 5" xfId="18630" xr:uid="{00000000-0005-0000-0000-0000F9450000}"/>
    <cellStyle name="40% - Accent3 3 7" xfId="19785" xr:uid="{00000000-0005-0000-0000-0000FA450000}"/>
    <cellStyle name="40% - Accent3 3 7 2" xfId="2678" xr:uid="{00000000-0005-0000-0000-0000FB450000}"/>
    <cellStyle name="40% - Accent3 3 7 2 2" xfId="516" xr:uid="{00000000-0005-0000-0000-0000FC450000}"/>
    <cellStyle name="40% - Accent3 3 7 2 2 2" xfId="19790" xr:uid="{00000000-0005-0000-0000-0000FD450000}"/>
    <cellStyle name="40% - Accent3 3 7 2 3" xfId="23976" xr:uid="{00000000-0005-0000-0000-0000FE450000}"/>
    <cellStyle name="40% - Accent3 3 7 3" xfId="2684" xr:uid="{00000000-0005-0000-0000-0000FF450000}"/>
    <cellStyle name="40% - Accent3 3 7 3 2" xfId="16105" xr:uid="{00000000-0005-0000-0000-000000460000}"/>
    <cellStyle name="40% - Accent3 3 7 4" xfId="25553" xr:uid="{00000000-0005-0000-0000-000001460000}"/>
    <cellStyle name="40% - Accent3 3 8" xfId="16556" xr:uid="{00000000-0005-0000-0000-000002460000}"/>
    <cellStyle name="40% - Accent3 3 8 2" xfId="16563" xr:uid="{00000000-0005-0000-0000-000003460000}"/>
    <cellStyle name="40% - Accent3 3 8 2 2" xfId="19794" xr:uid="{00000000-0005-0000-0000-000004460000}"/>
    <cellStyle name="40% - Accent3 3 8 3" xfId="25487" xr:uid="{00000000-0005-0000-0000-000005460000}"/>
    <cellStyle name="40% - Accent3 3 9" xfId="16564" xr:uid="{00000000-0005-0000-0000-000006460000}"/>
    <cellStyle name="40% - Accent3 3 9 2" xfId="19798" xr:uid="{00000000-0005-0000-0000-000007460000}"/>
    <cellStyle name="40% - Accent3 4" xfId="18370" xr:uid="{00000000-0005-0000-0000-000008460000}"/>
    <cellStyle name="40% - Accent3 4 2" xfId="26965" xr:uid="{00000000-0005-0000-0000-000009460000}"/>
    <cellStyle name="40% - Accent3 4 2 2" xfId="19803" xr:uid="{00000000-0005-0000-0000-00000A460000}"/>
    <cellStyle name="40% - Accent3 4 2 2 2" xfId="27686" xr:uid="{00000000-0005-0000-0000-00000B460000}"/>
    <cellStyle name="40% - Accent3 4 2 2 2 2" xfId="23940" xr:uid="{00000000-0005-0000-0000-00000C460000}"/>
    <cellStyle name="40% - Accent3 4 2 2 2 2 2" xfId="24130" xr:uid="{00000000-0005-0000-0000-00000D460000}"/>
    <cellStyle name="40% - Accent3 4 2 2 2 2 2 2" xfId="19806" xr:uid="{00000000-0005-0000-0000-00000E460000}"/>
    <cellStyle name="40% - Accent3 4 2 2 2 2 2 2 2" xfId="30063" xr:uid="{00000000-0005-0000-0000-00000F460000}"/>
    <cellStyle name="40% - Accent3 4 2 2 2 2 2 2 2 2" xfId="1341" xr:uid="{00000000-0005-0000-0000-000010460000}"/>
    <cellStyle name="40% - Accent3 4 2 2 2 2 2 2 3" xfId="29659" xr:uid="{00000000-0005-0000-0000-000011460000}"/>
    <cellStyle name="40% - Accent3 4 2 2 2 2 2 3" xfId="19808" xr:uid="{00000000-0005-0000-0000-000012460000}"/>
    <cellStyle name="40% - Accent3 4 2 2 2 2 2 3 2" xfId="29635" xr:uid="{00000000-0005-0000-0000-000013460000}"/>
    <cellStyle name="40% - Accent3 4 2 2 2 2 2 4" xfId="19810" xr:uid="{00000000-0005-0000-0000-000014460000}"/>
    <cellStyle name="40% - Accent3 4 2 2 2 2 3" xfId="26977" xr:uid="{00000000-0005-0000-0000-000015460000}"/>
    <cellStyle name="40% - Accent3 4 2 2 2 2 3 2" xfId="19813" xr:uid="{00000000-0005-0000-0000-000016460000}"/>
    <cellStyle name="40% - Accent3 4 2 2 2 2 3 2 2" xfId="3473" xr:uid="{00000000-0005-0000-0000-000017460000}"/>
    <cellStyle name="40% - Accent3 4 2 2 2 2 3 3" xfId="19815" xr:uid="{00000000-0005-0000-0000-000018460000}"/>
    <cellStyle name="40% - Accent3 4 2 2 2 2 4" xfId="26984" xr:uid="{00000000-0005-0000-0000-000019460000}"/>
    <cellStyle name="40% - Accent3 4 2 2 2 2 4 2" xfId="13063" xr:uid="{00000000-0005-0000-0000-00001A460000}"/>
    <cellStyle name="40% - Accent3 4 2 2 2 2 5" xfId="5158" xr:uid="{00000000-0005-0000-0000-00001B460000}"/>
    <cellStyle name="40% - Accent3 4 2 2 2 3" xfId="19817" xr:uid="{00000000-0005-0000-0000-00001C460000}"/>
    <cellStyle name="40% - Accent3 4 2 2 2 3 2" xfId="22813" xr:uid="{00000000-0005-0000-0000-00001D460000}"/>
    <cellStyle name="40% - Accent3 4 2 2 2 3 2 2" xfId="19821" xr:uid="{00000000-0005-0000-0000-00001E460000}"/>
    <cellStyle name="40% - Accent3 4 2 2 2 3 2 2 2" xfId="19825" xr:uid="{00000000-0005-0000-0000-00001F460000}"/>
    <cellStyle name="40% - Accent3 4 2 2 2 3 2 3" xfId="19831" xr:uid="{00000000-0005-0000-0000-000020460000}"/>
    <cellStyle name="40% - Accent3 4 2 2 2 3 3" xfId="19384" xr:uid="{00000000-0005-0000-0000-000021460000}"/>
    <cellStyle name="40% - Accent3 4 2 2 2 3 3 2" xfId="19834" xr:uid="{00000000-0005-0000-0000-000022460000}"/>
    <cellStyle name="40% - Accent3 4 2 2 2 3 4" xfId="5171" xr:uid="{00000000-0005-0000-0000-000023460000}"/>
    <cellStyle name="40% - Accent3 4 2 2 2 4" xfId="20973" xr:uid="{00000000-0005-0000-0000-000024460000}"/>
    <cellStyle name="40% - Accent3 4 2 2 2 4 2" xfId="26579" xr:uid="{00000000-0005-0000-0000-000025460000}"/>
    <cellStyle name="40% - Accent3 4 2 2 2 4 2 2" xfId="12754" xr:uid="{00000000-0005-0000-0000-000026460000}"/>
    <cellStyle name="40% - Accent3 4 2 2 2 4 3" xfId="4361" xr:uid="{00000000-0005-0000-0000-000027460000}"/>
    <cellStyle name="40% - Accent3 4 2 2 2 5" xfId="19837" xr:uid="{00000000-0005-0000-0000-000028460000}"/>
    <cellStyle name="40% - Accent3 4 2 2 2 5 2" xfId="33849" xr:uid="{00000000-0005-0000-0000-000029460000}"/>
    <cellStyle name="40% - Accent3 4 2 2 2 6" xfId="19842" xr:uid="{00000000-0005-0000-0000-00002A460000}"/>
    <cellStyle name="40% - Accent3 4 2 2 3" xfId="24676" xr:uid="{00000000-0005-0000-0000-00002B460000}"/>
    <cellStyle name="40% - Accent3 4 2 2 3 2" xfId="26991" xr:uid="{00000000-0005-0000-0000-00002C460000}"/>
    <cellStyle name="40% - Accent3 4 2 2 3 2 2" xfId="23309" xr:uid="{00000000-0005-0000-0000-00002D460000}"/>
    <cellStyle name="40% - Accent3 4 2 2 3 2 2 2" xfId="19843" xr:uid="{00000000-0005-0000-0000-00002E460000}"/>
    <cellStyle name="40% - Accent3 4 2 2 3 2 2 2 2" xfId="19846" xr:uid="{00000000-0005-0000-0000-00002F460000}"/>
    <cellStyle name="40% - Accent3 4 2 2 3 2 2 3" xfId="19851" xr:uid="{00000000-0005-0000-0000-000030460000}"/>
    <cellStyle name="40% - Accent3 4 2 2 3 2 3" xfId="26561" xr:uid="{00000000-0005-0000-0000-000031460000}"/>
    <cellStyle name="40% - Accent3 4 2 2 3 2 3 2" xfId="19854" xr:uid="{00000000-0005-0000-0000-000032460000}"/>
    <cellStyle name="40% - Accent3 4 2 2 3 2 4" xfId="24774" xr:uid="{00000000-0005-0000-0000-000033460000}"/>
    <cellStyle name="40% - Accent3 4 2 2 3 3" xfId="19856" xr:uid="{00000000-0005-0000-0000-000034460000}"/>
    <cellStyle name="40% - Accent3 4 2 2 3 3 2" xfId="26597" xr:uid="{00000000-0005-0000-0000-000035460000}"/>
    <cellStyle name="40% - Accent3 4 2 2 3 3 2 2" xfId="19859" xr:uid="{00000000-0005-0000-0000-000036460000}"/>
    <cellStyle name="40% - Accent3 4 2 2 3 3 3" xfId="10870" xr:uid="{00000000-0005-0000-0000-000037460000}"/>
    <cellStyle name="40% - Accent3 4 2 2 3 4" xfId="19638" xr:uid="{00000000-0005-0000-0000-000038460000}"/>
    <cellStyle name="40% - Accent3 4 2 2 3 4 2" xfId="26605" xr:uid="{00000000-0005-0000-0000-000039460000}"/>
    <cellStyle name="40% - Accent3 4 2 2 3 5" xfId="19865" xr:uid="{00000000-0005-0000-0000-00003A460000}"/>
    <cellStyle name="40% - Accent3 4 2 2 4" xfId="12554" xr:uid="{00000000-0005-0000-0000-00003B460000}"/>
    <cellStyle name="40% - Accent3 4 2 2 4 2" xfId="26411" xr:uid="{00000000-0005-0000-0000-00003C460000}"/>
    <cellStyle name="40% - Accent3 4 2 2 4 2 2" xfId="27005" xr:uid="{00000000-0005-0000-0000-00003D460000}"/>
    <cellStyle name="40% - Accent3 4 2 2 4 2 2 2" xfId="5788" xr:uid="{00000000-0005-0000-0000-00003E460000}"/>
    <cellStyle name="40% - Accent3 4 2 2 4 2 3" xfId="7499" xr:uid="{00000000-0005-0000-0000-00003F460000}"/>
    <cellStyle name="40% - Accent3 4 2 2 4 3" xfId="20992" xr:uid="{00000000-0005-0000-0000-000040460000}"/>
    <cellStyle name="40% - Accent3 4 2 2 4 3 2" xfId="18066" xr:uid="{00000000-0005-0000-0000-000041460000}"/>
    <cellStyle name="40% - Accent3 4 2 2 4 4" xfId="18083" xr:uid="{00000000-0005-0000-0000-000042460000}"/>
    <cellStyle name="40% - Accent3 4 2 2 5" xfId="27010" xr:uid="{00000000-0005-0000-0000-000043460000}"/>
    <cellStyle name="40% - Accent3 4 2 2 5 2" xfId="26732" xr:uid="{00000000-0005-0000-0000-000044460000}"/>
    <cellStyle name="40% - Accent3 4 2 2 5 2 2" xfId="31831" xr:uid="{00000000-0005-0000-0000-000045460000}"/>
    <cellStyle name="40% - Accent3 4 2 2 5 3" xfId="30693" xr:uid="{00000000-0005-0000-0000-000046460000}"/>
    <cellStyle name="40% - Accent3 4 2 2 6" xfId="27016" xr:uid="{00000000-0005-0000-0000-000047460000}"/>
    <cellStyle name="40% - Accent3 4 2 2 6 2" xfId="316" xr:uid="{00000000-0005-0000-0000-000048460000}"/>
    <cellStyle name="40% - Accent3 4 2 2 7" xfId="5513" xr:uid="{00000000-0005-0000-0000-000049460000}"/>
    <cellStyle name="40% - Accent3 4 2 3" xfId="11544" xr:uid="{00000000-0005-0000-0000-00004A460000}"/>
    <cellStyle name="40% - Accent3 4 2 3 2" xfId="27027" xr:uid="{00000000-0005-0000-0000-00004B460000}"/>
    <cellStyle name="40% - Accent3 4 2 3 2 2" xfId="19870" xr:uid="{00000000-0005-0000-0000-00004C460000}"/>
    <cellStyle name="40% - Accent3 4 2 3 2 2 2" xfId="27034" xr:uid="{00000000-0005-0000-0000-00004D460000}"/>
    <cellStyle name="40% - Accent3 4 2 3 2 2 2 2" xfId="19872" xr:uid="{00000000-0005-0000-0000-00004E460000}"/>
    <cellStyle name="40% - Accent3 4 2 3 2 2 2 2 2" xfId="22808" xr:uid="{00000000-0005-0000-0000-00004F460000}"/>
    <cellStyle name="40% - Accent3 4 2 3 2 2 2 3" xfId="26279" xr:uid="{00000000-0005-0000-0000-000050460000}"/>
    <cellStyle name="40% - Accent3 4 2 3 2 2 3" xfId="22303" xr:uid="{00000000-0005-0000-0000-000051460000}"/>
    <cellStyle name="40% - Accent3 4 2 3 2 2 3 2" xfId="19877" xr:uid="{00000000-0005-0000-0000-000052460000}"/>
    <cellStyle name="40% - Accent3 4 2 3 2 2 4" xfId="5207" xr:uid="{00000000-0005-0000-0000-000053460000}"/>
    <cellStyle name="40% - Accent3 4 2 3 2 3" xfId="21005" xr:uid="{00000000-0005-0000-0000-000054460000}"/>
    <cellStyle name="40% - Accent3 4 2 3 2 3 2" xfId="21623" xr:uid="{00000000-0005-0000-0000-000055460000}"/>
    <cellStyle name="40% - Accent3 4 2 3 2 3 2 2" xfId="21789" xr:uid="{00000000-0005-0000-0000-000056460000}"/>
    <cellStyle name="40% - Accent3 4 2 3 2 3 3" xfId="669" xr:uid="{00000000-0005-0000-0000-000057460000}"/>
    <cellStyle name="40% - Accent3 4 2 3 2 4" xfId="21020" xr:uid="{00000000-0005-0000-0000-000058460000}"/>
    <cellStyle name="40% - Accent3 4 2 3 2 4 2" xfId="19884" xr:uid="{00000000-0005-0000-0000-000059460000}"/>
    <cellStyle name="40% - Accent3 4 2 3 2 5" xfId="25222" xr:uid="{00000000-0005-0000-0000-00005A460000}"/>
    <cellStyle name="40% - Accent3 4 2 3 3" xfId="19886" xr:uid="{00000000-0005-0000-0000-00005B460000}"/>
    <cellStyle name="40% - Accent3 4 2 3 3 2" xfId="24590" xr:uid="{00000000-0005-0000-0000-00005C460000}"/>
    <cellStyle name="40% - Accent3 4 2 3 3 2 2" xfId="22935" xr:uid="{00000000-0005-0000-0000-00005D460000}"/>
    <cellStyle name="40% - Accent3 4 2 3 3 2 2 2" xfId="13074" xr:uid="{00000000-0005-0000-0000-00005E460000}"/>
    <cellStyle name="40% - Accent3 4 2 3 3 2 3" xfId="12969" xr:uid="{00000000-0005-0000-0000-00005F460000}"/>
    <cellStyle name="40% - Accent3 4 2 3 3 3" xfId="27455" xr:uid="{00000000-0005-0000-0000-000060460000}"/>
    <cellStyle name="40% - Accent3 4 2 3 3 3 2" xfId="34017" xr:uid="{00000000-0005-0000-0000-000061460000}"/>
    <cellStyle name="40% - Accent3 4 2 3 3 4" xfId="31424" xr:uid="{00000000-0005-0000-0000-000062460000}"/>
    <cellStyle name="40% - Accent3 4 2 3 4" xfId="27037" xr:uid="{00000000-0005-0000-0000-000063460000}"/>
    <cellStyle name="40% - Accent3 4 2 3 4 2" xfId="30142" xr:uid="{00000000-0005-0000-0000-000064460000}"/>
    <cellStyle name="40% - Accent3 4 2 3 4 2 2" xfId="30127" xr:uid="{00000000-0005-0000-0000-000065460000}"/>
    <cellStyle name="40% - Accent3 4 2 3 4 3" xfId="18163" xr:uid="{00000000-0005-0000-0000-000066460000}"/>
    <cellStyle name="40% - Accent3 4 2 3 5" xfId="27044" xr:uid="{00000000-0005-0000-0000-000067460000}"/>
    <cellStyle name="40% - Accent3 4 2 3 5 2" xfId="19893" xr:uid="{00000000-0005-0000-0000-000068460000}"/>
    <cellStyle name="40% - Accent3 4 2 3 6" xfId="5541" xr:uid="{00000000-0005-0000-0000-000069460000}"/>
    <cellStyle name="40% - Accent3 4 2 4" xfId="27047" xr:uid="{00000000-0005-0000-0000-00006A460000}"/>
    <cellStyle name="40% - Accent3 4 2 4 2" xfId="24728" xr:uid="{00000000-0005-0000-0000-00006B460000}"/>
    <cellStyle name="40% - Accent3 4 2 4 2 2" xfId="26047" xr:uid="{00000000-0005-0000-0000-00006C460000}"/>
    <cellStyle name="40% - Accent3 4 2 4 2 2 2" xfId="27065" xr:uid="{00000000-0005-0000-0000-00006D460000}"/>
    <cellStyle name="40% - Accent3 4 2 4 2 2 2 2" xfId="19617" xr:uid="{00000000-0005-0000-0000-00006E460000}"/>
    <cellStyle name="40% - Accent3 4 2 4 2 2 3" xfId="27595" xr:uid="{00000000-0005-0000-0000-00006F460000}"/>
    <cellStyle name="40% - Accent3 4 2 4 2 3" xfId="24602" xr:uid="{00000000-0005-0000-0000-000070460000}"/>
    <cellStyle name="40% - Accent3 4 2 4 2 3 2" xfId="22634" xr:uid="{00000000-0005-0000-0000-000071460000}"/>
    <cellStyle name="40% - Accent3 4 2 4 2 4" xfId="32470" xr:uid="{00000000-0005-0000-0000-000072460000}"/>
    <cellStyle name="40% - Accent3 4 2 4 3" xfId="23885" xr:uid="{00000000-0005-0000-0000-000073460000}"/>
    <cellStyle name="40% - Accent3 4 2 4 3 2" xfId="22279" xr:uid="{00000000-0005-0000-0000-000074460000}"/>
    <cellStyle name="40% - Accent3 4 2 4 3 2 2" xfId="26758" xr:uid="{00000000-0005-0000-0000-000075460000}"/>
    <cellStyle name="40% - Accent3 4 2 4 3 3" xfId="29744" xr:uid="{00000000-0005-0000-0000-000076460000}"/>
    <cellStyle name="40% - Accent3 4 2 4 4" xfId="23676" xr:uid="{00000000-0005-0000-0000-000077460000}"/>
    <cellStyle name="40% - Accent3 4 2 4 4 2" xfId="30866" xr:uid="{00000000-0005-0000-0000-000078460000}"/>
    <cellStyle name="40% - Accent3 4 2 4 5" xfId="33456" xr:uid="{00000000-0005-0000-0000-000079460000}"/>
    <cellStyle name="40% - Accent3 4 2 5" xfId="27068" xr:uid="{00000000-0005-0000-0000-00007A460000}"/>
    <cellStyle name="40% - Accent3 4 2 5 2" xfId="27073" xr:uid="{00000000-0005-0000-0000-00007B460000}"/>
    <cellStyle name="40% - Accent3 4 2 5 2 2" xfId="26064" xr:uid="{00000000-0005-0000-0000-00007C460000}"/>
    <cellStyle name="40% - Accent3 4 2 5 2 2 2" xfId="30254" xr:uid="{00000000-0005-0000-0000-00007D460000}"/>
    <cellStyle name="40% - Accent3 4 2 5 2 3" xfId="22638" xr:uid="{00000000-0005-0000-0000-00007E460000}"/>
    <cellStyle name="40% - Accent3 4 2 5 3" xfId="26794" xr:uid="{00000000-0005-0000-0000-00007F460000}"/>
    <cellStyle name="40% - Accent3 4 2 5 3 2" xfId="20503" xr:uid="{00000000-0005-0000-0000-000080460000}"/>
    <cellStyle name="40% - Accent3 4 2 5 4" xfId="20351" xr:uid="{00000000-0005-0000-0000-000081460000}"/>
    <cellStyle name="40% - Accent3 4 2 6" xfId="27078" xr:uid="{00000000-0005-0000-0000-000082460000}"/>
    <cellStyle name="40% - Accent3 4 2 6 2" xfId="26612" xr:uid="{00000000-0005-0000-0000-000083460000}"/>
    <cellStyle name="40% - Accent3 4 2 6 2 2" xfId="19904" xr:uid="{00000000-0005-0000-0000-000084460000}"/>
    <cellStyle name="40% - Accent3 4 2 6 3" xfId="26623" xr:uid="{00000000-0005-0000-0000-000085460000}"/>
    <cellStyle name="40% - Accent3 4 2 7" xfId="27087" xr:uid="{00000000-0005-0000-0000-000086460000}"/>
    <cellStyle name="40% - Accent3 4 2 7 2" xfId="9137" xr:uid="{00000000-0005-0000-0000-000087460000}"/>
    <cellStyle name="40% - Accent3 4 2 8" xfId="14012" xr:uid="{00000000-0005-0000-0000-000088460000}"/>
    <cellStyle name="40% - Accent3 4 3" xfId="20904" xr:uid="{00000000-0005-0000-0000-000089460000}"/>
    <cellStyle name="40% - Accent3 4 3 2" xfId="19910" xr:uid="{00000000-0005-0000-0000-00008A460000}"/>
    <cellStyle name="40% - Accent3 4 3 2 2" xfId="21953" xr:uid="{00000000-0005-0000-0000-00008B460000}"/>
    <cellStyle name="40% - Accent3 4 3 2 2 2" xfId="27529" xr:uid="{00000000-0005-0000-0000-00008C460000}"/>
    <cellStyle name="40% - Accent3 4 3 2 2 2 2" xfId="19918" xr:uid="{00000000-0005-0000-0000-00008D460000}"/>
    <cellStyle name="40% - Accent3 4 3 2 2 2 2 2" xfId="17701" xr:uid="{00000000-0005-0000-0000-00008E460000}"/>
    <cellStyle name="40% - Accent3 4 3 2 2 2 2 2 2" xfId="20533" xr:uid="{00000000-0005-0000-0000-00008F460000}"/>
    <cellStyle name="40% - Accent3 4 3 2 2 2 2 3" xfId="17708" xr:uid="{00000000-0005-0000-0000-000090460000}"/>
    <cellStyle name="40% - Accent3 4 3 2 2 2 3" xfId="6253" xr:uid="{00000000-0005-0000-0000-000091460000}"/>
    <cellStyle name="40% - Accent3 4 3 2 2 2 3 2" xfId="17716" xr:uid="{00000000-0005-0000-0000-000092460000}"/>
    <cellStyle name="40% - Accent3 4 3 2 2 2 4" xfId="3209" xr:uid="{00000000-0005-0000-0000-000093460000}"/>
    <cellStyle name="40% - Accent3 4 3 2 2 3" xfId="19928" xr:uid="{00000000-0005-0000-0000-000094460000}"/>
    <cellStyle name="40% - Accent3 4 3 2 2 3 2" xfId="26643" xr:uid="{00000000-0005-0000-0000-000095460000}"/>
    <cellStyle name="40% - Accent3 4 3 2 2 3 2 2" xfId="17799" xr:uid="{00000000-0005-0000-0000-000096460000}"/>
    <cellStyle name="40% - Accent3 4 3 2 2 3 3" xfId="5243" xr:uid="{00000000-0005-0000-0000-000097460000}"/>
    <cellStyle name="40% - Accent3 4 3 2 2 4" xfId="21077" xr:uid="{00000000-0005-0000-0000-000098460000}"/>
    <cellStyle name="40% - Accent3 4 3 2 2 4 2" xfId="19930" xr:uid="{00000000-0005-0000-0000-000099460000}"/>
    <cellStyle name="40% - Accent3 4 3 2 2 5" xfId="30314" xr:uid="{00000000-0005-0000-0000-00009A460000}"/>
    <cellStyle name="40% - Accent3 4 3 2 3" xfId="19936" xr:uid="{00000000-0005-0000-0000-00009B460000}"/>
    <cellStyle name="40% - Accent3 4 3 2 3 2" xfId="20170" xr:uid="{00000000-0005-0000-0000-00009C460000}"/>
    <cellStyle name="40% - Accent3 4 3 2 3 2 2" xfId="27274" xr:uid="{00000000-0005-0000-0000-00009D460000}"/>
    <cellStyle name="40% - Accent3 4 3 2 3 2 2 2" xfId="18155" xr:uid="{00000000-0005-0000-0000-00009E460000}"/>
    <cellStyle name="40% - Accent3 4 3 2 3 2 3" xfId="13147" xr:uid="{00000000-0005-0000-0000-00009F460000}"/>
    <cellStyle name="40% - Accent3 4 3 2 3 3" xfId="21085" xr:uid="{00000000-0005-0000-0000-0000A0460000}"/>
    <cellStyle name="40% - Accent3 4 3 2 3 3 2" xfId="4172" xr:uid="{00000000-0005-0000-0000-0000A1460000}"/>
    <cellStyle name="40% - Accent3 4 3 2 3 4" xfId="4175" xr:uid="{00000000-0005-0000-0000-0000A2460000}"/>
    <cellStyle name="40% - Accent3 4 3 2 4" xfId="19944" xr:uid="{00000000-0005-0000-0000-0000A3460000}"/>
    <cellStyle name="40% - Accent3 4 3 2 4 2" xfId="27099" xr:uid="{00000000-0005-0000-0000-0000A4460000}"/>
    <cellStyle name="40% - Accent3 4 3 2 4 2 2" xfId="3810" xr:uid="{00000000-0005-0000-0000-0000A5460000}"/>
    <cellStyle name="40% - Accent3 4 3 2 4 3" xfId="4314" xr:uid="{00000000-0005-0000-0000-0000A6460000}"/>
    <cellStyle name="40% - Accent3 4 3 2 5" xfId="21317" xr:uid="{00000000-0005-0000-0000-0000A7460000}"/>
    <cellStyle name="40% - Accent3 4 3 2 5 2" xfId="4412" xr:uid="{00000000-0005-0000-0000-0000A8460000}"/>
    <cellStyle name="40% - Accent3 4 3 2 6" xfId="2292" xr:uid="{00000000-0005-0000-0000-0000A9460000}"/>
    <cellStyle name="40% - Accent3 4 3 3" xfId="19947" xr:uid="{00000000-0005-0000-0000-0000AA460000}"/>
    <cellStyle name="40% - Accent3 4 3 3 2" xfId="19950" xr:uid="{00000000-0005-0000-0000-0000AB460000}"/>
    <cellStyle name="40% - Accent3 4 3 3 2 2" xfId="27102" xr:uid="{00000000-0005-0000-0000-0000AC460000}"/>
    <cellStyle name="40% - Accent3 4 3 3 2 2 2" xfId="27110" xr:uid="{00000000-0005-0000-0000-0000AD460000}"/>
    <cellStyle name="40% - Accent3 4 3 3 2 2 2 2" xfId="19694" xr:uid="{00000000-0005-0000-0000-0000AE460000}"/>
    <cellStyle name="40% - Accent3 4 3 3 2 2 3" xfId="5254" xr:uid="{00000000-0005-0000-0000-0000AF460000}"/>
    <cellStyle name="40% - Accent3 4 3 3 2 3" xfId="21096" xr:uid="{00000000-0005-0000-0000-0000B0460000}"/>
    <cellStyle name="40% - Accent3 4 3 3 2 3 2" xfId="21793" xr:uid="{00000000-0005-0000-0000-0000B1460000}"/>
    <cellStyle name="40% - Accent3 4 3 3 2 4" xfId="29785" xr:uid="{00000000-0005-0000-0000-0000B2460000}"/>
    <cellStyle name="40% - Accent3 4 3 3 3" xfId="19953" xr:uid="{00000000-0005-0000-0000-0000B3460000}"/>
    <cellStyle name="40% - Accent3 4 3 3 3 2" xfId="15316" xr:uid="{00000000-0005-0000-0000-0000B4460000}"/>
    <cellStyle name="40% - Accent3 4 3 3 3 2 2" xfId="4986" xr:uid="{00000000-0005-0000-0000-0000B5460000}"/>
    <cellStyle name="40% - Accent3 4 3 3 3 3" xfId="11365" xr:uid="{00000000-0005-0000-0000-0000B6460000}"/>
    <cellStyle name="40% - Accent3 4 3 3 4" xfId="19957" xr:uid="{00000000-0005-0000-0000-0000B7460000}"/>
    <cellStyle name="40% - Accent3 4 3 3 4 2" xfId="4748" xr:uid="{00000000-0005-0000-0000-0000B8460000}"/>
    <cellStyle name="40% - Accent3 4 3 3 5" xfId="30704" xr:uid="{00000000-0005-0000-0000-0000B9460000}"/>
    <cellStyle name="40% - Accent3 4 3 4" xfId="19960" xr:uid="{00000000-0005-0000-0000-0000BA460000}"/>
    <cellStyle name="40% - Accent3 4 3 4 2" xfId="19962" xr:uid="{00000000-0005-0000-0000-0000BB460000}"/>
    <cellStyle name="40% - Accent3 4 3 4 2 2" xfId="26083" xr:uid="{00000000-0005-0000-0000-0000BC460000}"/>
    <cellStyle name="40% - Accent3 4 3 4 2 2 2" xfId="19966" xr:uid="{00000000-0005-0000-0000-0000BD460000}"/>
    <cellStyle name="40% - Accent3 4 3 4 2 3" xfId="28888" xr:uid="{00000000-0005-0000-0000-0000BE460000}"/>
    <cellStyle name="40% - Accent3 4 3 4 3" xfId="26904" xr:uid="{00000000-0005-0000-0000-0000BF460000}"/>
    <cellStyle name="40% - Accent3 4 3 4 3 2" xfId="14309" xr:uid="{00000000-0005-0000-0000-0000C0460000}"/>
    <cellStyle name="40% - Accent3 4 3 4 4" xfId="32820" xr:uid="{00000000-0005-0000-0000-0000C1460000}"/>
    <cellStyle name="40% - Accent3 4 3 5" xfId="15164" xr:uid="{00000000-0005-0000-0000-0000C2460000}"/>
    <cellStyle name="40% - Accent3 4 3 5 2" xfId="19969" xr:uid="{00000000-0005-0000-0000-0000C3460000}"/>
    <cellStyle name="40% - Accent3 4 3 5 2 2" xfId="22144" xr:uid="{00000000-0005-0000-0000-0000C4460000}"/>
    <cellStyle name="40% - Accent3 4 3 5 3" xfId="27267" xr:uid="{00000000-0005-0000-0000-0000C5460000}"/>
    <cellStyle name="40% - Accent3 4 3 6" xfId="22150" xr:uid="{00000000-0005-0000-0000-0000C6460000}"/>
    <cellStyle name="40% - Accent3 4 3 6 2" xfId="11387" xr:uid="{00000000-0005-0000-0000-0000C7460000}"/>
    <cellStyle name="40% - Accent3 4 3 7" xfId="10263" xr:uid="{00000000-0005-0000-0000-0000C8460000}"/>
    <cellStyle name="40% - Accent3 4 4" xfId="26167" xr:uid="{00000000-0005-0000-0000-0000C9460000}"/>
    <cellStyle name="40% - Accent3 4 4 2" xfId="19971" xr:uid="{00000000-0005-0000-0000-0000CA460000}"/>
    <cellStyle name="40% - Accent3 4 4 2 2" xfId="19978" xr:uid="{00000000-0005-0000-0000-0000CB460000}"/>
    <cellStyle name="40% - Accent3 4 4 2 2 2" xfId="27125" xr:uid="{00000000-0005-0000-0000-0000CC460000}"/>
    <cellStyle name="40% - Accent3 4 4 2 2 2 2" xfId="27126" xr:uid="{00000000-0005-0000-0000-0000CD460000}"/>
    <cellStyle name="40% - Accent3 4 4 2 2 2 2 2" xfId="21212" xr:uid="{00000000-0005-0000-0000-0000CE460000}"/>
    <cellStyle name="40% - Accent3 4 4 2 2 2 3" xfId="5274" xr:uid="{00000000-0005-0000-0000-0000CF460000}"/>
    <cellStyle name="40% - Accent3 4 4 2 2 3" xfId="19986" xr:uid="{00000000-0005-0000-0000-0000D0460000}"/>
    <cellStyle name="40% - Accent3 4 4 2 2 3 2" xfId="20005" xr:uid="{00000000-0005-0000-0000-0000D1460000}"/>
    <cellStyle name="40% - Accent3 4 4 2 2 4" xfId="20006" xr:uid="{00000000-0005-0000-0000-0000D2460000}"/>
    <cellStyle name="40% - Accent3 4 4 2 3" xfId="20012" xr:uid="{00000000-0005-0000-0000-0000D3460000}"/>
    <cellStyle name="40% - Accent3 4 4 2 3 2" xfId="5664" xr:uid="{00000000-0005-0000-0000-0000D4460000}"/>
    <cellStyle name="40% - Accent3 4 4 2 3 2 2" xfId="5675" xr:uid="{00000000-0005-0000-0000-0000D5460000}"/>
    <cellStyle name="40% - Accent3 4 4 2 3 3" xfId="5683" xr:uid="{00000000-0005-0000-0000-0000D6460000}"/>
    <cellStyle name="40% - Accent3 4 4 2 4" xfId="21324" xr:uid="{00000000-0005-0000-0000-0000D7460000}"/>
    <cellStyle name="40% - Accent3 4 4 2 4 2" xfId="14030" xr:uid="{00000000-0005-0000-0000-0000D8460000}"/>
    <cellStyle name="40% - Accent3 4 4 2 5" xfId="33898" xr:uid="{00000000-0005-0000-0000-0000D9460000}"/>
    <cellStyle name="40% - Accent3 4 4 3" xfId="20018" xr:uid="{00000000-0005-0000-0000-0000DA460000}"/>
    <cellStyle name="40% - Accent3 4 4 3 2" xfId="20021" xr:uid="{00000000-0005-0000-0000-0000DB460000}"/>
    <cellStyle name="40% - Accent3 4 4 3 2 2" xfId="28386" xr:uid="{00000000-0005-0000-0000-0000DC460000}"/>
    <cellStyle name="40% - Accent3 4 4 3 2 2 2" xfId="20026" xr:uid="{00000000-0005-0000-0000-0000DD460000}"/>
    <cellStyle name="40% - Accent3 4 4 3 2 3" xfId="20028" xr:uid="{00000000-0005-0000-0000-0000DE460000}"/>
    <cellStyle name="40% - Accent3 4 4 3 3" xfId="25721" xr:uid="{00000000-0005-0000-0000-0000DF460000}"/>
    <cellStyle name="40% - Accent3 4 4 3 3 2" xfId="5821" xr:uid="{00000000-0005-0000-0000-0000E0460000}"/>
    <cellStyle name="40% - Accent3 4 4 3 4" xfId="20036" xr:uid="{00000000-0005-0000-0000-0000E1460000}"/>
    <cellStyle name="40% - Accent3 4 4 4" xfId="18482" xr:uid="{00000000-0005-0000-0000-0000E2460000}"/>
    <cellStyle name="40% - Accent3 4 4 4 2" xfId="30137" xr:uid="{00000000-0005-0000-0000-0000E3460000}"/>
    <cellStyle name="40% - Accent3 4 4 4 2 2" xfId="16739" xr:uid="{00000000-0005-0000-0000-0000E4460000}"/>
    <cellStyle name="40% - Accent3 4 4 4 3" xfId="24703" xr:uid="{00000000-0005-0000-0000-0000E5460000}"/>
    <cellStyle name="40% - Accent3 4 4 5" xfId="15175" xr:uid="{00000000-0005-0000-0000-0000E6460000}"/>
    <cellStyle name="40% - Accent3 4 4 5 2" xfId="27601" xr:uid="{00000000-0005-0000-0000-0000E7460000}"/>
    <cellStyle name="40% - Accent3 4 4 6" xfId="3177" xr:uid="{00000000-0005-0000-0000-0000E8460000}"/>
    <cellStyle name="40% - Accent3 4 5" xfId="20046" xr:uid="{00000000-0005-0000-0000-0000E9460000}"/>
    <cellStyle name="40% - Accent3 4 5 2" xfId="20049" xr:uid="{00000000-0005-0000-0000-0000EA460000}"/>
    <cellStyle name="40% - Accent3 4 5 2 2" xfId="19988" xr:uid="{00000000-0005-0000-0000-0000EB460000}"/>
    <cellStyle name="40% - Accent3 4 5 2 2 2" xfId="20058" xr:uid="{00000000-0005-0000-0000-0000EC460000}"/>
    <cellStyle name="40% - Accent3 4 5 2 2 2 2" xfId="26029" xr:uid="{00000000-0005-0000-0000-0000ED460000}"/>
    <cellStyle name="40% - Accent3 4 5 2 2 3" xfId="20064" xr:uid="{00000000-0005-0000-0000-0000EE460000}"/>
    <cellStyle name="40% - Accent3 4 5 2 3" xfId="23724" xr:uid="{00000000-0005-0000-0000-0000EF460000}"/>
    <cellStyle name="40% - Accent3 4 5 2 3 2" xfId="6189" xr:uid="{00000000-0005-0000-0000-0000F0460000}"/>
    <cellStyle name="40% - Accent3 4 5 2 4" xfId="10198" xr:uid="{00000000-0005-0000-0000-0000F1460000}"/>
    <cellStyle name="40% - Accent3 4 5 3" xfId="19759" xr:uid="{00000000-0005-0000-0000-0000F2460000}"/>
    <cellStyle name="40% - Accent3 4 5 3 2" xfId="24052" xr:uid="{00000000-0005-0000-0000-0000F3460000}"/>
    <cellStyle name="40% - Accent3 4 5 3 2 2" xfId="19765" xr:uid="{00000000-0005-0000-0000-0000F4460000}"/>
    <cellStyle name="40% - Accent3 4 5 3 3" xfId="19774" xr:uid="{00000000-0005-0000-0000-0000F5460000}"/>
    <cellStyle name="40% - Accent3 4 5 4" xfId="18490" xr:uid="{00000000-0005-0000-0000-0000F6460000}"/>
    <cellStyle name="40% - Accent3 4 5 4 2" xfId="19781" xr:uid="{00000000-0005-0000-0000-0000F7460000}"/>
    <cellStyle name="40% - Accent3 4 5 5" xfId="10183" xr:uid="{00000000-0005-0000-0000-0000F8460000}"/>
    <cellStyle name="40% - Accent3 4 6" xfId="20068" xr:uid="{00000000-0005-0000-0000-0000F9460000}"/>
    <cellStyle name="40% - Accent3 4 6 2" xfId="18072" xr:uid="{00000000-0005-0000-0000-0000FA460000}"/>
    <cellStyle name="40% - Accent3 4 6 2 2" xfId="24286" xr:uid="{00000000-0005-0000-0000-0000FB460000}"/>
    <cellStyle name="40% - Accent3 4 6 2 2 2" xfId="21937" xr:uid="{00000000-0005-0000-0000-0000FC460000}"/>
    <cellStyle name="40% - Accent3 4 6 2 3" xfId="20076" xr:uid="{00000000-0005-0000-0000-0000FD460000}"/>
    <cellStyle name="40% - Accent3 4 6 3" xfId="18079" xr:uid="{00000000-0005-0000-0000-0000FE460000}"/>
    <cellStyle name="40% - Accent3 4 6 3 2" xfId="19749" xr:uid="{00000000-0005-0000-0000-0000FF460000}"/>
    <cellStyle name="40% - Accent3 4 6 4" xfId="19734" xr:uid="{00000000-0005-0000-0000-000000470000}"/>
    <cellStyle name="40% - Accent3 4 7" xfId="20085" xr:uid="{00000000-0005-0000-0000-000001470000}"/>
    <cellStyle name="40% - Accent3 4 7 2" xfId="9454" xr:uid="{00000000-0005-0000-0000-000002470000}"/>
    <cellStyle name="40% - Accent3 4 7 2 2" xfId="20092" xr:uid="{00000000-0005-0000-0000-000003470000}"/>
    <cellStyle name="40% - Accent3 4 7 3" xfId="19740" xr:uid="{00000000-0005-0000-0000-000004470000}"/>
    <cellStyle name="40% - Accent3 4 8" xfId="16567" xr:uid="{00000000-0005-0000-0000-000005470000}"/>
    <cellStyle name="40% - Accent3 4 8 2" xfId="20093" xr:uid="{00000000-0005-0000-0000-000006470000}"/>
    <cellStyle name="40% - Accent3 4 9" xfId="15994" xr:uid="{00000000-0005-0000-0000-000007470000}"/>
    <cellStyle name="40% - Accent3 5" xfId="18371" xr:uid="{00000000-0005-0000-0000-000008470000}"/>
    <cellStyle name="40% - Accent3 5 2" xfId="652" xr:uid="{00000000-0005-0000-0000-000009470000}"/>
    <cellStyle name="40% - Accent3 5 2 2" xfId="26872" xr:uid="{00000000-0005-0000-0000-00000A470000}"/>
    <cellStyle name="40% - Accent3 5 2 2 2" xfId="7110" xr:uid="{00000000-0005-0000-0000-00000B470000}"/>
    <cellStyle name="40% - Accent3 5 2 2 2 2" xfId="7112" xr:uid="{00000000-0005-0000-0000-00000C470000}"/>
    <cellStyle name="40% - Accent3 5 2 2 2 2 2" xfId="20094" xr:uid="{00000000-0005-0000-0000-00000D470000}"/>
    <cellStyle name="40% - Accent3 5 2 2 2 2 2 2" xfId="20095" xr:uid="{00000000-0005-0000-0000-00000E470000}"/>
    <cellStyle name="40% - Accent3 5 2 2 2 2 2 2 2" xfId="30579" xr:uid="{00000000-0005-0000-0000-00000F470000}"/>
    <cellStyle name="40% - Accent3 5 2 2 2 2 2 3" xfId="20096" xr:uid="{00000000-0005-0000-0000-000010470000}"/>
    <cellStyle name="40% - Accent3 5 2 2 2 2 3" xfId="3145" xr:uid="{00000000-0005-0000-0000-000011470000}"/>
    <cellStyle name="40% - Accent3 5 2 2 2 2 3 2" xfId="22047" xr:uid="{00000000-0005-0000-0000-000012470000}"/>
    <cellStyle name="40% - Accent3 5 2 2 2 2 4" xfId="27331" xr:uid="{00000000-0005-0000-0000-000013470000}"/>
    <cellStyle name="40% - Accent3 5 2 2 2 3" xfId="20098" xr:uid="{00000000-0005-0000-0000-000014470000}"/>
    <cellStyle name="40% - Accent3 5 2 2 2 3 2" xfId="20101" xr:uid="{00000000-0005-0000-0000-000015470000}"/>
    <cellStyle name="40% - Accent3 5 2 2 2 3 2 2" xfId="10893" xr:uid="{00000000-0005-0000-0000-000016470000}"/>
    <cellStyle name="40% - Accent3 5 2 2 2 3 3" xfId="4465" xr:uid="{00000000-0005-0000-0000-000017470000}"/>
    <cellStyle name="40% - Accent3 5 2 2 2 4" xfId="20103" xr:uid="{00000000-0005-0000-0000-000018470000}"/>
    <cellStyle name="40% - Accent3 5 2 2 2 4 2" xfId="20104" xr:uid="{00000000-0005-0000-0000-000019470000}"/>
    <cellStyle name="40% - Accent3 5 2 2 2 5" xfId="63" xr:uid="{00000000-0005-0000-0000-00001A470000}"/>
    <cellStyle name="40% - Accent3 5 2 2 3" xfId="7114" xr:uid="{00000000-0005-0000-0000-00001B470000}"/>
    <cellStyle name="40% - Accent3 5 2 2 3 2" xfId="20105" xr:uid="{00000000-0005-0000-0000-00001C470000}"/>
    <cellStyle name="40% - Accent3 5 2 2 3 2 2" xfId="20109" xr:uid="{00000000-0005-0000-0000-00001D470000}"/>
    <cellStyle name="40% - Accent3 5 2 2 3 2 2 2" xfId="29728" xr:uid="{00000000-0005-0000-0000-00001E470000}"/>
    <cellStyle name="40% - Accent3 5 2 2 3 2 3" xfId="13538" xr:uid="{00000000-0005-0000-0000-00001F470000}"/>
    <cellStyle name="40% - Accent3 5 2 2 3 3" xfId="20112" xr:uid="{00000000-0005-0000-0000-000020470000}"/>
    <cellStyle name="40% - Accent3 5 2 2 3 3 2" xfId="20114" xr:uid="{00000000-0005-0000-0000-000021470000}"/>
    <cellStyle name="40% - Accent3 5 2 2 3 4" xfId="20115" xr:uid="{00000000-0005-0000-0000-000022470000}"/>
    <cellStyle name="40% - Accent3 5 2 2 4" xfId="26220" xr:uid="{00000000-0005-0000-0000-000023470000}"/>
    <cellStyle name="40% - Accent3 5 2 2 4 2" xfId="20117" xr:uid="{00000000-0005-0000-0000-000024470000}"/>
    <cellStyle name="40% - Accent3 5 2 2 4 2 2" xfId="25557" xr:uid="{00000000-0005-0000-0000-000025470000}"/>
    <cellStyle name="40% - Accent3 5 2 2 4 3" xfId="25575" xr:uid="{00000000-0005-0000-0000-000026470000}"/>
    <cellStyle name="40% - Accent3 5 2 2 5" xfId="34035" xr:uid="{00000000-0005-0000-0000-000027470000}"/>
    <cellStyle name="40% - Accent3 5 2 2 5 2" xfId="20122" xr:uid="{00000000-0005-0000-0000-000028470000}"/>
    <cellStyle name="40% - Accent3 5 2 2 6" xfId="6691" xr:uid="{00000000-0005-0000-0000-000029470000}"/>
    <cellStyle name="40% - Accent3 5 2 3" xfId="2444" xr:uid="{00000000-0005-0000-0000-00002A470000}"/>
    <cellStyle name="40% - Accent3 5 2 3 2" xfId="11871" xr:uid="{00000000-0005-0000-0000-00002B470000}"/>
    <cellStyle name="40% - Accent3 5 2 3 2 2" xfId="20125" xr:uid="{00000000-0005-0000-0000-00002C470000}"/>
    <cellStyle name="40% - Accent3 5 2 3 2 2 2" xfId="20128" xr:uid="{00000000-0005-0000-0000-00002D470000}"/>
    <cellStyle name="40% - Accent3 5 2 3 2 2 2 2" xfId="20130" xr:uid="{00000000-0005-0000-0000-00002E470000}"/>
    <cellStyle name="40% - Accent3 5 2 3 2 2 3" xfId="5550" xr:uid="{00000000-0005-0000-0000-00002F470000}"/>
    <cellStyle name="40% - Accent3 5 2 3 2 3" xfId="20132" xr:uid="{00000000-0005-0000-0000-000030470000}"/>
    <cellStyle name="40% - Accent3 5 2 3 2 3 2" xfId="20134" xr:uid="{00000000-0005-0000-0000-000031470000}"/>
    <cellStyle name="40% - Accent3 5 2 3 2 4" xfId="20137" xr:uid="{00000000-0005-0000-0000-000032470000}"/>
    <cellStyle name="40% - Accent3 5 2 3 3" xfId="2454" xr:uid="{00000000-0005-0000-0000-000033470000}"/>
    <cellStyle name="40% - Accent3 5 2 3 3 2" xfId="20141" xr:uid="{00000000-0005-0000-0000-000034470000}"/>
    <cellStyle name="40% - Accent3 5 2 3 3 2 2" xfId="20145" xr:uid="{00000000-0005-0000-0000-000035470000}"/>
    <cellStyle name="40% - Accent3 5 2 3 3 3" xfId="20146" xr:uid="{00000000-0005-0000-0000-000036470000}"/>
    <cellStyle name="40% - Accent3 5 2 3 4" xfId="5893" xr:uid="{00000000-0005-0000-0000-000037470000}"/>
    <cellStyle name="40% - Accent3 5 2 3 4 2" xfId="20148" xr:uid="{00000000-0005-0000-0000-000038470000}"/>
    <cellStyle name="40% - Accent3 5 2 3 5" xfId="5898" xr:uid="{00000000-0005-0000-0000-000039470000}"/>
    <cellStyle name="40% - Accent3 5 2 4" xfId="2470" xr:uid="{00000000-0005-0000-0000-00003A470000}"/>
    <cellStyle name="40% - Accent3 5 2 4 2" xfId="2482" xr:uid="{00000000-0005-0000-0000-00003B470000}"/>
    <cellStyle name="40% - Accent3 5 2 4 2 2" xfId="20151" xr:uid="{00000000-0005-0000-0000-00003C470000}"/>
    <cellStyle name="40% - Accent3 5 2 4 2 2 2" xfId="20155" xr:uid="{00000000-0005-0000-0000-00003D470000}"/>
    <cellStyle name="40% - Accent3 5 2 4 2 3" xfId="20159" xr:uid="{00000000-0005-0000-0000-00003E470000}"/>
    <cellStyle name="40% - Accent3 5 2 4 3" xfId="2633" xr:uid="{00000000-0005-0000-0000-00003F470000}"/>
    <cellStyle name="40% - Accent3 5 2 4 3 2" xfId="20161" xr:uid="{00000000-0005-0000-0000-000040470000}"/>
    <cellStyle name="40% - Accent3 5 2 4 4" xfId="5907" xr:uid="{00000000-0005-0000-0000-000041470000}"/>
    <cellStyle name="40% - Accent3 5 2 5" xfId="106" xr:uid="{00000000-0005-0000-0000-000042470000}"/>
    <cellStyle name="40% - Accent3 5 2 5 2" xfId="2641" xr:uid="{00000000-0005-0000-0000-000043470000}"/>
    <cellStyle name="40% - Accent3 5 2 5 2 2" xfId="20164" xr:uid="{00000000-0005-0000-0000-000044470000}"/>
    <cellStyle name="40% - Accent3 5 2 5 3" xfId="20169" xr:uid="{00000000-0005-0000-0000-000045470000}"/>
    <cellStyle name="40% - Accent3 5 2 6" xfId="10425" xr:uid="{00000000-0005-0000-0000-000046470000}"/>
    <cellStyle name="40% - Accent3 5 2 6 2" xfId="20174" xr:uid="{00000000-0005-0000-0000-000047470000}"/>
    <cellStyle name="40% - Accent3 5 2 7" xfId="12779" xr:uid="{00000000-0005-0000-0000-000048470000}"/>
    <cellStyle name="40% - Accent3 5 3" xfId="2721" xr:uid="{00000000-0005-0000-0000-000049470000}"/>
    <cellStyle name="40% - Accent3 5 3 2" xfId="20180" xr:uid="{00000000-0005-0000-0000-00004A470000}"/>
    <cellStyle name="40% - Accent3 5 3 2 2" xfId="7425" xr:uid="{00000000-0005-0000-0000-00004B470000}"/>
    <cellStyle name="40% - Accent3 5 3 2 2 2" xfId="20182" xr:uid="{00000000-0005-0000-0000-00004C470000}"/>
    <cellStyle name="40% - Accent3 5 3 2 2 2 2" xfId="25983" xr:uid="{00000000-0005-0000-0000-00004D470000}"/>
    <cellStyle name="40% - Accent3 5 3 2 2 2 2 2" xfId="20184" xr:uid="{00000000-0005-0000-0000-00004E470000}"/>
    <cellStyle name="40% - Accent3 5 3 2 2 2 3" xfId="5400" xr:uid="{00000000-0005-0000-0000-00004F470000}"/>
    <cellStyle name="40% - Accent3 5 3 2 2 3" xfId="20188" xr:uid="{00000000-0005-0000-0000-000050470000}"/>
    <cellStyle name="40% - Accent3 5 3 2 2 3 2" xfId="21474" xr:uid="{00000000-0005-0000-0000-000051470000}"/>
    <cellStyle name="40% - Accent3 5 3 2 2 4" xfId="20203" xr:uid="{00000000-0005-0000-0000-000052470000}"/>
    <cellStyle name="40% - Accent3 5 3 2 3" xfId="803" xr:uid="{00000000-0005-0000-0000-000053470000}"/>
    <cellStyle name="40% - Accent3 5 3 2 3 2" xfId="16813" xr:uid="{00000000-0005-0000-0000-000054470000}"/>
    <cellStyle name="40% - Accent3 5 3 2 3 2 2" xfId="3468" xr:uid="{00000000-0005-0000-0000-000055470000}"/>
    <cellStyle name="40% - Accent3 5 3 2 3 3" xfId="345" xr:uid="{00000000-0005-0000-0000-000056470000}"/>
    <cellStyle name="40% - Accent3 5 3 2 4" xfId="27253" xr:uid="{00000000-0005-0000-0000-000057470000}"/>
    <cellStyle name="40% - Accent3 5 3 2 4 2" xfId="7418" xr:uid="{00000000-0005-0000-0000-000058470000}"/>
    <cellStyle name="40% - Accent3 5 3 2 5" xfId="31386" xr:uid="{00000000-0005-0000-0000-000059470000}"/>
    <cellStyle name="40% - Accent3 5 3 3" xfId="2514" xr:uid="{00000000-0005-0000-0000-00005A470000}"/>
    <cellStyle name="40% - Accent3 5 3 3 2" xfId="2518" xr:uid="{00000000-0005-0000-0000-00005B470000}"/>
    <cellStyle name="40% - Accent3 5 3 3 2 2" xfId="20205" xr:uid="{00000000-0005-0000-0000-00005C470000}"/>
    <cellStyle name="40% - Accent3 5 3 3 2 2 2" xfId="20206" xr:uid="{00000000-0005-0000-0000-00005D470000}"/>
    <cellStyle name="40% - Accent3 5 3 3 2 3" xfId="20211" xr:uid="{00000000-0005-0000-0000-00005E470000}"/>
    <cellStyle name="40% - Accent3 5 3 3 3" xfId="2659" xr:uid="{00000000-0005-0000-0000-00005F470000}"/>
    <cellStyle name="40% - Accent3 5 3 3 3 2" xfId="7628" xr:uid="{00000000-0005-0000-0000-000060470000}"/>
    <cellStyle name="40% - Accent3 5 3 3 4" xfId="5918" xr:uid="{00000000-0005-0000-0000-000061470000}"/>
    <cellStyle name="40% - Accent3 5 3 4" xfId="2526" xr:uid="{00000000-0005-0000-0000-000062470000}"/>
    <cellStyle name="40% - Accent3 5 3 4 2" xfId="2664" xr:uid="{00000000-0005-0000-0000-000063470000}"/>
    <cellStyle name="40% - Accent3 5 3 4 2 2" xfId="20214" xr:uid="{00000000-0005-0000-0000-000064470000}"/>
    <cellStyle name="40% - Accent3 5 3 4 3" xfId="21121" xr:uid="{00000000-0005-0000-0000-000065470000}"/>
    <cellStyle name="40% - Accent3 5 3 5" xfId="2668" xr:uid="{00000000-0005-0000-0000-000066470000}"/>
    <cellStyle name="40% - Accent3 5 3 5 2" xfId="21000" xr:uid="{00000000-0005-0000-0000-000067470000}"/>
    <cellStyle name="40% - Accent3 5 3 6" xfId="10427" xr:uid="{00000000-0005-0000-0000-000068470000}"/>
    <cellStyle name="40% - Accent3 5 4" xfId="24489" xr:uid="{00000000-0005-0000-0000-000069470000}"/>
    <cellStyle name="40% - Accent3 5 4 2" xfId="20215" xr:uid="{00000000-0005-0000-0000-00006A470000}"/>
    <cellStyle name="40% - Accent3 5 4 2 2" xfId="20217" xr:uid="{00000000-0005-0000-0000-00006B470000}"/>
    <cellStyle name="40% - Accent3 5 4 2 2 2" xfId="20224" xr:uid="{00000000-0005-0000-0000-00006C470000}"/>
    <cellStyle name="40% - Accent3 5 4 2 2 2 2" xfId="6447" xr:uid="{00000000-0005-0000-0000-00006D470000}"/>
    <cellStyle name="40% - Accent3 5 4 2 2 3" xfId="20229" xr:uid="{00000000-0005-0000-0000-00006E470000}"/>
    <cellStyle name="40% - Accent3 5 4 2 3" xfId="20230" xr:uid="{00000000-0005-0000-0000-00006F470000}"/>
    <cellStyle name="40% - Accent3 5 4 2 3 2" xfId="1298" xr:uid="{00000000-0005-0000-0000-000070470000}"/>
    <cellStyle name="40% - Accent3 5 4 2 4" xfId="25069" xr:uid="{00000000-0005-0000-0000-000071470000}"/>
    <cellStyle name="40% - Accent3 5 4 3" xfId="9" xr:uid="{00000000-0005-0000-0000-000072470000}"/>
    <cellStyle name="40% - Accent3 5 4 3 2" xfId="1632" xr:uid="{00000000-0005-0000-0000-000073470000}"/>
    <cellStyle name="40% - Accent3 5 4 3 2 2" xfId="20233" xr:uid="{00000000-0005-0000-0000-000074470000}"/>
    <cellStyle name="40% - Accent3 5 4 3 3" xfId="20248" xr:uid="{00000000-0005-0000-0000-000075470000}"/>
    <cellStyle name="40% - Accent3 5 4 4" xfId="2674" xr:uid="{00000000-0005-0000-0000-000076470000}"/>
    <cellStyle name="40% - Accent3 5 4 4 2" xfId="20255" xr:uid="{00000000-0005-0000-0000-000077470000}"/>
    <cellStyle name="40% - Accent3 5 4 5" xfId="23969" xr:uid="{00000000-0005-0000-0000-000078470000}"/>
    <cellStyle name="40% - Accent3 5 5" xfId="12246" xr:uid="{00000000-0005-0000-0000-000079470000}"/>
    <cellStyle name="40% - Accent3 5 5 2" xfId="20259" xr:uid="{00000000-0005-0000-0000-00007A470000}"/>
    <cellStyle name="40% - Accent3 5 5 2 2" xfId="24320" xr:uid="{00000000-0005-0000-0000-00007B470000}"/>
    <cellStyle name="40% - Accent3 5 5 2 2 2" xfId="5258" xr:uid="{00000000-0005-0000-0000-00007C470000}"/>
    <cellStyle name="40% - Accent3 5 5 2 3" xfId="20261" xr:uid="{00000000-0005-0000-0000-00007D470000}"/>
    <cellStyle name="40% - Accent3 5 5 3" xfId="517" xr:uid="{00000000-0005-0000-0000-00007E470000}"/>
    <cellStyle name="40% - Accent3 5 5 3 2" xfId="19787" xr:uid="{00000000-0005-0000-0000-00007F470000}"/>
    <cellStyle name="40% - Accent3 5 5 4" xfId="23977" xr:uid="{00000000-0005-0000-0000-000080470000}"/>
    <cellStyle name="40% - Accent3 5 6" xfId="13446" xr:uid="{00000000-0005-0000-0000-000081470000}"/>
    <cellStyle name="40% - Accent3 5 6 2" xfId="18093" xr:uid="{00000000-0005-0000-0000-000082470000}"/>
    <cellStyle name="40% - Accent3 5 6 2 2" xfId="27547" xr:uid="{00000000-0005-0000-0000-000083470000}"/>
    <cellStyle name="40% - Accent3 5 6 3" xfId="16106" xr:uid="{00000000-0005-0000-0000-000084470000}"/>
    <cellStyle name="40% - Accent3 5 7" xfId="20269" xr:uid="{00000000-0005-0000-0000-000085470000}"/>
    <cellStyle name="40% - Accent3 5 7 2" xfId="25929" xr:uid="{00000000-0005-0000-0000-000086470000}"/>
    <cellStyle name="40% - Accent3 5 8" xfId="6685" xr:uid="{00000000-0005-0000-0000-000087470000}"/>
    <cellStyle name="40% - Accent3 6" xfId="14972" xr:uid="{00000000-0005-0000-0000-000088470000}"/>
    <cellStyle name="40% - Accent3 6 2" xfId="20271" xr:uid="{00000000-0005-0000-0000-000089470000}"/>
    <cellStyle name="40% - Accent3 6 2 2" xfId="20621" xr:uid="{00000000-0005-0000-0000-00008A470000}"/>
    <cellStyle name="40% - Accent3 6 2 2 2" xfId="27630" xr:uid="{00000000-0005-0000-0000-00008B470000}"/>
    <cellStyle name="40% - Accent3 6 2 2 2 2" xfId="20276" xr:uid="{00000000-0005-0000-0000-00008C470000}"/>
    <cellStyle name="40% - Accent3 6 2 2 2 2 2" xfId="20280" xr:uid="{00000000-0005-0000-0000-00008D470000}"/>
    <cellStyle name="40% - Accent3 6 2 2 2 2 2 2" xfId="11885" xr:uid="{00000000-0005-0000-0000-00008E470000}"/>
    <cellStyle name="40% - Accent3 6 2 2 2 2 3" xfId="9801" xr:uid="{00000000-0005-0000-0000-00008F470000}"/>
    <cellStyle name="40% - Accent3 6 2 2 2 3" xfId="20286" xr:uid="{00000000-0005-0000-0000-000090470000}"/>
    <cellStyle name="40% - Accent3 6 2 2 2 3 2" xfId="20290" xr:uid="{00000000-0005-0000-0000-000091470000}"/>
    <cellStyle name="40% - Accent3 6 2 2 2 4" xfId="20291" xr:uid="{00000000-0005-0000-0000-000092470000}"/>
    <cellStyle name="40% - Accent3 6 2 2 3" xfId="26286" xr:uid="{00000000-0005-0000-0000-000093470000}"/>
    <cellStyle name="40% - Accent3 6 2 2 3 2" xfId="18646" xr:uid="{00000000-0005-0000-0000-000094470000}"/>
    <cellStyle name="40% - Accent3 6 2 2 3 2 2" xfId="20295" xr:uid="{00000000-0005-0000-0000-000095470000}"/>
    <cellStyle name="40% - Accent3 6 2 2 3 3" xfId="18657" xr:uid="{00000000-0005-0000-0000-000096470000}"/>
    <cellStyle name="40% - Accent3 6 2 2 4" xfId="20296" xr:uid="{00000000-0005-0000-0000-000097470000}"/>
    <cellStyle name="40% - Accent3 6 2 2 4 2" xfId="18672" xr:uid="{00000000-0005-0000-0000-000098470000}"/>
    <cellStyle name="40% - Accent3 6 2 2 5" xfId="29422" xr:uid="{00000000-0005-0000-0000-000099470000}"/>
    <cellStyle name="40% - Accent3 6 2 3" xfId="2680" xr:uid="{00000000-0005-0000-0000-00009A470000}"/>
    <cellStyle name="40% - Accent3 6 2 3 2" xfId="521" xr:uid="{00000000-0005-0000-0000-00009B470000}"/>
    <cellStyle name="40% - Accent3 6 2 3 2 2" xfId="20300" xr:uid="{00000000-0005-0000-0000-00009C470000}"/>
    <cellStyle name="40% - Accent3 6 2 3 2 2 2" xfId="20301" xr:uid="{00000000-0005-0000-0000-00009D470000}"/>
    <cellStyle name="40% - Accent3 6 2 3 2 3" xfId="20304" xr:uid="{00000000-0005-0000-0000-00009E470000}"/>
    <cellStyle name="40% - Accent3 6 2 3 3" xfId="1475" xr:uid="{00000000-0005-0000-0000-00009F470000}"/>
    <cellStyle name="40% - Accent3 6 2 3 3 2" xfId="8734" xr:uid="{00000000-0005-0000-0000-0000A0470000}"/>
    <cellStyle name="40% - Accent3 6 2 3 4" xfId="5926" xr:uid="{00000000-0005-0000-0000-0000A1470000}"/>
    <cellStyle name="40% - Accent3 6 2 4" xfId="4251" xr:uid="{00000000-0005-0000-0000-0000A2470000}"/>
    <cellStyle name="40% - Accent3 6 2 4 2" xfId="1512" xr:uid="{00000000-0005-0000-0000-0000A3470000}"/>
    <cellStyle name="40% - Accent3 6 2 4 2 2" xfId="20307" xr:uid="{00000000-0005-0000-0000-0000A4470000}"/>
    <cellStyle name="40% - Accent3 6 2 4 3" xfId="20311" xr:uid="{00000000-0005-0000-0000-0000A5470000}"/>
    <cellStyle name="40% - Accent3 6 2 5" xfId="5067" xr:uid="{00000000-0005-0000-0000-0000A6470000}"/>
    <cellStyle name="40% - Accent3 6 2 5 2" xfId="20315" xr:uid="{00000000-0005-0000-0000-0000A7470000}"/>
    <cellStyle name="40% - Accent3 6 2 6" xfId="10439" xr:uid="{00000000-0005-0000-0000-0000A8470000}"/>
    <cellStyle name="40% - Accent3 6 3" xfId="29545" xr:uid="{00000000-0005-0000-0000-0000A9470000}"/>
    <cellStyle name="40% - Accent3 6 3 2" xfId="20318" xr:uid="{00000000-0005-0000-0000-0000AA470000}"/>
    <cellStyle name="40% - Accent3 6 3 2 2" xfId="28977" xr:uid="{00000000-0005-0000-0000-0000AB470000}"/>
    <cellStyle name="40% - Accent3 6 3 2 2 2" xfId="22064" xr:uid="{00000000-0005-0000-0000-0000AC470000}"/>
    <cellStyle name="40% - Accent3 6 3 2 2 2 2" xfId="20319" xr:uid="{00000000-0005-0000-0000-0000AD470000}"/>
    <cellStyle name="40% - Accent3 6 3 2 2 3" xfId="20320" xr:uid="{00000000-0005-0000-0000-0000AE470000}"/>
    <cellStyle name="40% - Accent3 6 3 2 3" xfId="31688" xr:uid="{00000000-0005-0000-0000-0000AF470000}"/>
    <cellStyle name="40% - Accent3 6 3 2 3 2" xfId="829" xr:uid="{00000000-0005-0000-0000-0000B0470000}"/>
    <cellStyle name="40% - Accent3 6 3 2 4" xfId="22861" xr:uid="{00000000-0005-0000-0000-0000B1470000}"/>
    <cellStyle name="40% - Accent3 6 3 3" xfId="7961" xr:uid="{00000000-0005-0000-0000-0000B2470000}"/>
    <cellStyle name="40% - Accent3 6 3 3 2" xfId="1902" xr:uid="{00000000-0005-0000-0000-0000B3470000}"/>
    <cellStyle name="40% - Accent3 6 3 3 2 2" xfId="8707" xr:uid="{00000000-0005-0000-0000-0000B4470000}"/>
    <cellStyle name="40% - Accent3 6 3 3 3" xfId="20322" xr:uid="{00000000-0005-0000-0000-0000B5470000}"/>
    <cellStyle name="40% - Accent3 6 3 4" xfId="9299" xr:uid="{00000000-0005-0000-0000-0000B6470000}"/>
    <cellStyle name="40% - Accent3 6 3 4 2" xfId="20323" xr:uid="{00000000-0005-0000-0000-0000B7470000}"/>
    <cellStyle name="40% - Accent3 6 3 5" xfId="20326" xr:uid="{00000000-0005-0000-0000-0000B8470000}"/>
    <cellStyle name="40% - Accent3 6 4" xfId="6635" xr:uid="{00000000-0005-0000-0000-0000B9470000}"/>
    <cellStyle name="40% - Accent3 6 4 2" xfId="20330" xr:uid="{00000000-0005-0000-0000-0000BA470000}"/>
    <cellStyle name="40% - Accent3 6 4 2 2" xfId="20332" xr:uid="{00000000-0005-0000-0000-0000BB470000}"/>
    <cellStyle name="40% - Accent3 6 4 2 2 2" xfId="20334" xr:uid="{00000000-0005-0000-0000-0000BC470000}"/>
    <cellStyle name="40% - Accent3 6 4 2 3" xfId="3588" xr:uid="{00000000-0005-0000-0000-0000BD470000}"/>
    <cellStyle name="40% - Accent3 6 4 3" xfId="9323" xr:uid="{00000000-0005-0000-0000-0000BE470000}"/>
    <cellStyle name="40% - Accent3 6 4 3 2" xfId="20337" xr:uid="{00000000-0005-0000-0000-0000BF470000}"/>
    <cellStyle name="40% - Accent3 6 4 4" xfId="20341" xr:uid="{00000000-0005-0000-0000-0000C0470000}"/>
    <cellStyle name="40% - Accent3 6 5" xfId="13452" xr:uid="{00000000-0005-0000-0000-0000C1470000}"/>
    <cellStyle name="40% - Accent3 6 5 2" xfId="20348" xr:uid="{00000000-0005-0000-0000-0000C2470000}"/>
    <cellStyle name="40% - Accent3 6 5 2 2" xfId="20352" xr:uid="{00000000-0005-0000-0000-0000C3470000}"/>
    <cellStyle name="40% - Accent3 6 5 3" xfId="19796" xr:uid="{00000000-0005-0000-0000-0000C4470000}"/>
    <cellStyle name="40% - Accent3 6 6" xfId="18739" xr:uid="{00000000-0005-0000-0000-0000C5470000}"/>
    <cellStyle name="40% - Accent3 6 6 2" xfId="9336" xr:uid="{00000000-0005-0000-0000-0000C6470000}"/>
    <cellStyle name="40% - Accent3 6 7" xfId="20355" xr:uid="{00000000-0005-0000-0000-0000C7470000}"/>
    <cellStyle name="40% - Accent3 7" xfId="16945" xr:uid="{00000000-0005-0000-0000-0000C8470000}"/>
    <cellStyle name="40% - Accent3 7 2" xfId="5384" xr:uid="{00000000-0005-0000-0000-0000C9470000}"/>
    <cellStyle name="40% - Accent3 7 2 2" xfId="27129" xr:uid="{00000000-0005-0000-0000-0000CA470000}"/>
    <cellStyle name="40% - Accent3 7 2 2 2" xfId="20357" xr:uid="{00000000-0005-0000-0000-0000CB470000}"/>
    <cellStyle name="40% - Accent3 7 2 2 2 2" xfId="12447" xr:uid="{00000000-0005-0000-0000-0000CC470000}"/>
    <cellStyle name="40% - Accent3 7 2 2 2 2 2" xfId="33342" xr:uid="{00000000-0005-0000-0000-0000CD470000}"/>
    <cellStyle name="40% - Accent3 7 2 2 2 3" xfId="20359" xr:uid="{00000000-0005-0000-0000-0000CE470000}"/>
    <cellStyle name="40% - Accent3 7 2 2 3" xfId="32213" xr:uid="{00000000-0005-0000-0000-0000CF470000}"/>
    <cellStyle name="40% - Accent3 7 2 2 3 2" xfId="19039" xr:uid="{00000000-0005-0000-0000-0000D0470000}"/>
    <cellStyle name="40% - Accent3 7 2 2 4" xfId="33138" xr:uid="{00000000-0005-0000-0000-0000D1470000}"/>
    <cellStyle name="40% - Accent3 7 2 3" xfId="2019" xr:uid="{00000000-0005-0000-0000-0000D2470000}"/>
    <cellStyle name="40% - Accent3 7 2 3 2" xfId="2352" xr:uid="{00000000-0005-0000-0000-0000D3470000}"/>
    <cellStyle name="40% - Accent3 7 2 3 2 2" xfId="30469" xr:uid="{00000000-0005-0000-0000-0000D4470000}"/>
    <cellStyle name="40% - Accent3 7 2 3 3" xfId="20838" xr:uid="{00000000-0005-0000-0000-0000D5470000}"/>
    <cellStyle name="40% - Accent3 7 2 4" xfId="5126" xr:uid="{00000000-0005-0000-0000-0000D6470000}"/>
    <cellStyle name="40% - Accent3 7 2 4 2" xfId="22235" xr:uid="{00000000-0005-0000-0000-0000D7470000}"/>
    <cellStyle name="40% - Accent3 7 2 5" xfId="20360" xr:uid="{00000000-0005-0000-0000-0000D8470000}"/>
    <cellStyle name="40% - Accent3 7 3" xfId="11370" xr:uid="{00000000-0005-0000-0000-0000D9470000}"/>
    <cellStyle name="40% - Accent3 7 3 2" xfId="21927" xr:uid="{00000000-0005-0000-0000-0000DA470000}"/>
    <cellStyle name="40% - Accent3 7 3 2 2" xfId="20361" xr:uid="{00000000-0005-0000-0000-0000DB470000}"/>
    <cellStyle name="40% - Accent3 7 3 2 2 2" xfId="15757" xr:uid="{00000000-0005-0000-0000-0000DC470000}"/>
    <cellStyle name="40% - Accent3 7 3 2 3" xfId="29663" xr:uid="{00000000-0005-0000-0000-0000DD470000}"/>
    <cellStyle name="40% - Accent3 7 3 3" xfId="9352" xr:uid="{00000000-0005-0000-0000-0000DE470000}"/>
    <cellStyle name="40% - Accent3 7 3 3 2" xfId="20362" xr:uid="{00000000-0005-0000-0000-0000DF470000}"/>
    <cellStyle name="40% - Accent3 7 3 4" xfId="20368" xr:uid="{00000000-0005-0000-0000-0000E0470000}"/>
    <cellStyle name="40% - Accent3 7 4" xfId="11373" xr:uid="{00000000-0005-0000-0000-0000E1470000}"/>
    <cellStyle name="40% - Accent3 7 4 2" xfId="20372" xr:uid="{00000000-0005-0000-0000-0000E2470000}"/>
    <cellStyle name="40% - Accent3 7 4 2 2" xfId="25903" xr:uid="{00000000-0005-0000-0000-0000E3470000}"/>
    <cellStyle name="40% - Accent3 7 4 3" xfId="20375" xr:uid="{00000000-0005-0000-0000-0000E4470000}"/>
    <cellStyle name="40% - Accent3 7 5" xfId="725" xr:uid="{00000000-0005-0000-0000-0000E5470000}"/>
    <cellStyle name="40% - Accent3 7 5 2" xfId="11467" xr:uid="{00000000-0005-0000-0000-0000E6470000}"/>
    <cellStyle name="40% - Accent3 7 6" xfId="33991" xr:uid="{00000000-0005-0000-0000-0000E7470000}"/>
    <cellStyle name="40% - Accent3 8" xfId="20376" xr:uid="{00000000-0005-0000-0000-0000E8470000}"/>
    <cellStyle name="40% - Accent3 8 2" xfId="30504" xr:uid="{00000000-0005-0000-0000-0000E9470000}"/>
    <cellStyle name="40% - Accent3 8 2 2" xfId="26443" xr:uid="{00000000-0005-0000-0000-0000EA470000}"/>
    <cellStyle name="40% - Accent3 8 2 2 2" xfId="1601" xr:uid="{00000000-0005-0000-0000-0000EB470000}"/>
    <cellStyle name="40% - Accent3 8 2 2 2 2" xfId="2593" xr:uid="{00000000-0005-0000-0000-0000EC470000}"/>
    <cellStyle name="40% - Accent3 8 2 2 3" xfId="33191" xr:uid="{00000000-0005-0000-0000-0000ED470000}"/>
    <cellStyle name="40% - Accent3 8 2 3" xfId="637" xr:uid="{00000000-0005-0000-0000-0000EE470000}"/>
    <cellStyle name="40% - Accent3 8 2 3 2" xfId="20379" xr:uid="{00000000-0005-0000-0000-0000EF470000}"/>
    <cellStyle name="40% - Accent3 8 2 4" xfId="20382" xr:uid="{00000000-0005-0000-0000-0000F0470000}"/>
    <cellStyle name="40% - Accent3 8 3" xfId="9262" xr:uid="{00000000-0005-0000-0000-0000F1470000}"/>
    <cellStyle name="40% - Accent3 8 3 2" xfId="20387" xr:uid="{00000000-0005-0000-0000-0000F2470000}"/>
    <cellStyle name="40% - Accent3 8 3 2 2" xfId="12184" xr:uid="{00000000-0005-0000-0000-0000F3470000}"/>
    <cellStyle name="40% - Accent3 8 3 3" xfId="20390" xr:uid="{00000000-0005-0000-0000-0000F4470000}"/>
    <cellStyle name="40% - Accent3 8 4" xfId="9393" xr:uid="{00000000-0005-0000-0000-0000F5470000}"/>
    <cellStyle name="40% - Accent3 8 4 2" xfId="20392" xr:uid="{00000000-0005-0000-0000-0000F6470000}"/>
    <cellStyle name="40% - Accent3 8 5" xfId="15820" xr:uid="{00000000-0005-0000-0000-0000F7470000}"/>
    <cellStyle name="40% - Accent3 9" xfId="20393" xr:uid="{00000000-0005-0000-0000-0000F8470000}"/>
    <cellStyle name="40% - Accent3 9 2" xfId="30527" xr:uid="{00000000-0005-0000-0000-0000F9470000}"/>
    <cellStyle name="40% - Accent3 9 2 2" xfId="31974" xr:uid="{00000000-0005-0000-0000-0000FA470000}"/>
    <cellStyle name="40% - Accent3 9 2 2 2" xfId="21862" xr:uid="{00000000-0005-0000-0000-0000FB470000}"/>
    <cellStyle name="40% - Accent3 9 2 3" xfId="32757" xr:uid="{00000000-0005-0000-0000-0000FC470000}"/>
    <cellStyle name="40% - Accent3 9 3" xfId="3306" xr:uid="{00000000-0005-0000-0000-0000FD470000}"/>
    <cellStyle name="40% - Accent3 9 3 2" xfId="20395" xr:uid="{00000000-0005-0000-0000-0000FE470000}"/>
    <cellStyle name="40% - Accent3 9 4" xfId="16147" xr:uid="{00000000-0005-0000-0000-0000FF470000}"/>
    <cellStyle name="40% - Accent4 10" xfId="4793" xr:uid="{00000000-0005-0000-0000-000000480000}"/>
    <cellStyle name="40% - Accent4 10 2" xfId="20397" xr:uid="{00000000-0005-0000-0000-000001480000}"/>
    <cellStyle name="40% - Accent4 10 2 2" xfId="20398" xr:uid="{00000000-0005-0000-0000-000002480000}"/>
    <cellStyle name="40% - Accent4 10 3" xfId="19447" xr:uid="{00000000-0005-0000-0000-000003480000}"/>
    <cellStyle name="40% - Accent4 11" xfId="4272" xr:uid="{00000000-0005-0000-0000-000004480000}"/>
    <cellStyle name="40% - Accent4 11 2" xfId="20399" xr:uid="{00000000-0005-0000-0000-000005480000}"/>
    <cellStyle name="40% - Accent4 12" xfId="20401" xr:uid="{00000000-0005-0000-0000-000006480000}"/>
    <cellStyle name="40% - Accent4 13" xfId="20402" xr:uid="{00000000-0005-0000-0000-000007480000}"/>
    <cellStyle name="40% - Accent4 2" xfId="20403" xr:uid="{00000000-0005-0000-0000-000008480000}"/>
    <cellStyle name="40% - Accent4 2 10" xfId="22250" xr:uid="{00000000-0005-0000-0000-000009480000}"/>
    <cellStyle name="40% - Accent4 2 10 2" xfId="13522" xr:uid="{00000000-0005-0000-0000-00000A480000}"/>
    <cellStyle name="40% - Accent4 2 11" xfId="20405" xr:uid="{00000000-0005-0000-0000-00000B480000}"/>
    <cellStyle name="40% - Accent4 2 2" xfId="9600" xr:uid="{00000000-0005-0000-0000-00000C480000}"/>
    <cellStyle name="40% - Accent4 2 2 10" xfId="12900" xr:uid="{00000000-0005-0000-0000-00000D480000}"/>
    <cellStyle name="40% - Accent4 2 2 2" xfId="14122" xr:uid="{00000000-0005-0000-0000-00000E480000}"/>
    <cellStyle name="40% - Accent4 2 2 2 2" xfId="20406" xr:uid="{00000000-0005-0000-0000-00000F480000}"/>
    <cellStyle name="40% - Accent4 2 2 2 2 2" xfId="29345" xr:uid="{00000000-0005-0000-0000-000010480000}"/>
    <cellStyle name="40% - Accent4 2 2 2 2 2 2" xfId="25425" xr:uid="{00000000-0005-0000-0000-000011480000}"/>
    <cellStyle name="40% - Accent4 2 2 2 2 2 2 2" xfId="8085" xr:uid="{00000000-0005-0000-0000-000012480000}"/>
    <cellStyle name="40% - Accent4 2 2 2 2 2 2 2 2" xfId="4674" xr:uid="{00000000-0005-0000-0000-000013480000}"/>
    <cellStyle name="40% - Accent4 2 2 2 2 2 2 2 2 2" xfId="21863" xr:uid="{00000000-0005-0000-0000-000014480000}"/>
    <cellStyle name="40% - Accent4 2 2 2 2 2 2 2 2 2 2" xfId="24378" xr:uid="{00000000-0005-0000-0000-000015480000}"/>
    <cellStyle name="40% - Accent4 2 2 2 2 2 2 2 2 2 2 2" xfId="16585" xr:uid="{00000000-0005-0000-0000-000016480000}"/>
    <cellStyle name="40% - Accent4 2 2 2 2 2 2 2 2 2 3" xfId="26630" xr:uid="{00000000-0005-0000-0000-000017480000}"/>
    <cellStyle name="40% - Accent4 2 2 2 2 2 2 2 2 3" xfId="116" xr:uid="{00000000-0005-0000-0000-000018480000}"/>
    <cellStyle name="40% - Accent4 2 2 2 2 2 2 2 2 3 2" xfId="20412" xr:uid="{00000000-0005-0000-0000-000019480000}"/>
    <cellStyle name="40% - Accent4 2 2 2 2 2 2 2 2 4" xfId="23099" xr:uid="{00000000-0005-0000-0000-00001A480000}"/>
    <cellStyle name="40% - Accent4 2 2 2 2 2 2 2 3" xfId="20718" xr:uid="{00000000-0005-0000-0000-00001B480000}"/>
    <cellStyle name="40% - Accent4 2 2 2 2 2 2 2 3 2" xfId="22406" xr:uid="{00000000-0005-0000-0000-00001C480000}"/>
    <cellStyle name="40% - Accent4 2 2 2 2 2 2 2 3 2 2" xfId="33757" xr:uid="{00000000-0005-0000-0000-00001D480000}"/>
    <cellStyle name="40% - Accent4 2 2 2 2 2 2 2 3 3" xfId="16254" xr:uid="{00000000-0005-0000-0000-00001E480000}"/>
    <cellStyle name="40% - Accent4 2 2 2 2 2 2 2 4" xfId="26377" xr:uid="{00000000-0005-0000-0000-00001F480000}"/>
    <cellStyle name="40% - Accent4 2 2 2 2 2 2 2 4 2" xfId="23625" xr:uid="{00000000-0005-0000-0000-000020480000}"/>
    <cellStyle name="40% - Accent4 2 2 2 2 2 2 2 5" xfId="11275" xr:uid="{00000000-0005-0000-0000-000021480000}"/>
    <cellStyle name="40% - Accent4 2 2 2 2 2 2 3" xfId="8946" xr:uid="{00000000-0005-0000-0000-000022480000}"/>
    <cellStyle name="40% - Accent4 2 2 2 2 2 2 3 2" xfId="20727" xr:uid="{00000000-0005-0000-0000-000023480000}"/>
    <cellStyle name="40% - Accent4 2 2 2 2 2 2 3 2 2" xfId="21869" xr:uid="{00000000-0005-0000-0000-000024480000}"/>
    <cellStyle name="40% - Accent4 2 2 2 2 2 2 3 2 2 2" xfId="24303" xr:uid="{00000000-0005-0000-0000-000025480000}"/>
    <cellStyle name="40% - Accent4 2 2 2 2 2 2 3 2 3" xfId="13702" xr:uid="{00000000-0005-0000-0000-000026480000}"/>
    <cellStyle name="40% - Accent4 2 2 2 2 2 2 3 3" xfId="12385" xr:uid="{00000000-0005-0000-0000-000027480000}"/>
    <cellStyle name="40% - Accent4 2 2 2 2 2 2 3 3 2" xfId="23641" xr:uid="{00000000-0005-0000-0000-000028480000}"/>
    <cellStyle name="40% - Accent4 2 2 2 2 2 2 3 4" xfId="27377" xr:uid="{00000000-0005-0000-0000-000029480000}"/>
    <cellStyle name="40% - Accent4 2 2 2 2 2 2 4" xfId="31542" xr:uid="{00000000-0005-0000-0000-00002A480000}"/>
    <cellStyle name="40% - Accent4 2 2 2 2 2 2 4 2" xfId="12390" xr:uid="{00000000-0005-0000-0000-00002B480000}"/>
    <cellStyle name="40% - Accent4 2 2 2 2 2 2 4 2 2" xfId="23117" xr:uid="{00000000-0005-0000-0000-00002C480000}"/>
    <cellStyle name="40% - Accent4 2 2 2 2 2 2 4 3" xfId="15758" xr:uid="{00000000-0005-0000-0000-00002D480000}"/>
    <cellStyle name="40% - Accent4 2 2 2 2 2 2 5" xfId="25349" xr:uid="{00000000-0005-0000-0000-00002E480000}"/>
    <cellStyle name="40% - Accent4 2 2 2 2 2 2 5 2" xfId="15763" xr:uid="{00000000-0005-0000-0000-00002F480000}"/>
    <cellStyle name="40% - Accent4 2 2 2 2 2 2 6" xfId="33830" xr:uid="{00000000-0005-0000-0000-000030480000}"/>
    <cellStyle name="40% - Accent4 2 2 2 2 2 3" xfId="20417" xr:uid="{00000000-0005-0000-0000-000031480000}"/>
    <cellStyle name="40% - Accent4 2 2 2 2 2 3 2" xfId="33259" xr:uid="{00000000-0005-0000-0000-000032480000}"/>
    <cellStyle name="40% - Accent4 2 2 2 2 2 3 2 2" xfId="20740" xr:uid="{00000000-0005-0000-0000-000033480000}"/>
    <cellStyle name="40% - Accent4 2 2 2 2 2 3 2 2 2" xfId="20422" xr:uid="{00000000-0005-0000-0000-000034480000}"/>
    <cellStyle name="40% - Accent4 2 2 2 2 2 3 2 2 2 2" xfId="24802" xr:uid="{00000000-0005-0000-0000-000035480000}"/>
    <cellStyle name="40% - Accent4 2 2 2 2 2 3 2 2 3" xfId="5774" xr:uid="{00000000-0005-0000-0000-000036480000}"/>
    <cellStyle name="40% - Accent4 2 2 2 2 2 3 2 3" xfId="4725" xr:uid="{00000000-0005-0000-0000-000037480000}"/>
    <cellStyle name="40% - Accent4 2 2 2 2 2 3 2 3 2" xfId="33698" xr:uid="{00000000-0005-0000-0000-000038480000}"/>
    <cellStyle name="40% - Accent4 2 2 2 2 2 3 2 4" xfId="26452" xr:uid="{00000000-0005-0000-0000-000039480000}"/>
    <cellStyle name="40% - Accent4 2 2 2 2 2 3 3" xfId="26800" xr:uid="{00000000-0005-0000-0000-00003A480000}"/>
    <cellStyle name="40% - Accent4 2 2 2 2 2 3 3 2" xfId="5591" xr:uid="{00000000-0005-0000-0000-00003B480000}"/>
    <cellStyle name="40% - Accent4 2 2 2 2 2 3 3 2 2" xfId="22964" xr:uid="{00000000-0005-0000-0000-00003C480000}"/>
    <cellStyle name="40% - Accent4 2 2 2 2 2 3 3 3" xfId="5781" xr:uid="{00000000-0005-0000-0000-00003D480000}"/>
    <cellStyle name="40% - Accent4 2 2 2 2 2 3 4" xfId="21613" xr:uid="{00000000-0005-0000-0000-00003E480000}"/>
    <cellStyle name="40% - Accent4 2 2 2 2 2 3 4 2" xfId="5621" xr:uid="{00000000-0005-0000-0000-00003F480000}"/>
    <cellStyle name="40% - Accent4 2 2 2 2 2 3 5" xfId="21813" xr:uid="{00000000-0005-0000-0000-000040480000}"/>
    <cellStyle name="40% - Accent4 2 2 2 2 2 4" xfId="21223" xr:uid="{00000000-0005-0000-0000-000041480000}"/>
    <cellStyle name="40% - Accent4 2 2 2 2 2 4 2" xfId="20424" xr:uid="{00000000-0005-0000-0000-000042480000}"/>
    <cellStyle name="40% - Accent4 2 2 2 2 2 4 2 2" xfId="4742" xr:uid="{00000000-0005-0000-0000-000043480000}"/>
    <cellStyle name="40% - Accent4 2 2 2 2 2 4 2 2 2" xfId="27740" xr:uid="{00000000-0005-0000-0000-000044480000}"/>
    <cellStyle name="40% - Accent4 2 2 2 2 2 4 2 3" xfId="33329" xr:uid="{00000000-0005-0000-0000-000045480000}"/>
    <cellStyle name="40% - Accent4 2 2 2 2 2 4 3" xfId="33314" xr:uid="{00000000-0005-0000-0000-000046480000}"/>
    <cellStyle name="40% - Accent4 2 2 2 2 2 4 3 2" xfId="7559" xr:uid="{00000000-0005-0000-0000-000047480000}"/>
    <cellStyle name="40% - Accent4 2 2 2 2 2 4 4" xfId="20430" xr:uid="{00000000-0005-0000-0000-000048480000}"/>
    <cellStyle name="40% - Accent4 2 2 2 2 2 5" xfId="21227" xr:uid="{00000000-0005-0000-0000-000049480000}"/>
    <cellStyle name="40% - Accent4 2 2 2 2 2 5 2" xfId="20431" xr:uid="{00000000-0005-0000-0000-00004A480000}"/>
    <cellStyle name="40% - Accent4 2 2 2 2 2 5 2 2" xfId="20434" xr:uid="{00000000-0005-0000-0000-00004B480000}"/>
    <cellStyle name="40% - Accent4 2 2 2 2 2 5 3" xfId="20435" xr:uid="{00000000-0005-0000-0000-00004C480000}"/>
    <cellStyle name="40% - Accent4 2 2 2 2 2 6" xfId="33611" xr:uid="{00000000-0005-0000-0000-00004D480000}"/>
    <cellStyle name="40% - Accent4 2 2 2 2 2 6 2" xfId="22804" xr:uid="{00000000-0005-0000-0000-00004E480000}"/>
    <cellStyle name="40% - Accent4 2 2 2 2 2 7" xfId="20437" xr:uid="{00000000-0005-0000-0000-00004F480000}"/>
    <cellStyle name="40% - Accent4 2 2 2 2 3" xfId="20909" xr:uid="{00000000-0005-0000-0000-000050480000}"/>
    <cellStyle name="40% - Accent4 2 2 2 2 3 2" xfId="24657" xr:uid="{00000000-0005-0000-0000-000051480000}"/>
    <cellStyle name="40% - Accent4 2 2 2 2 3 2 2" xfId="6377" xr:uid="{00000000-0005-0000-0000-000052480000}"/>
    <cellStyle name="40% - Accent4 2 2 2 2 3 2 2 2" xfId="20783" xr:uid="{00000000-0005-0000-0000-000053480000}"/>
    <cellStyle name="40% - Accent4 2 2 2 2 3 2 2 2 2" xfId="17830" xr:uid="{00000000-0005-0000-0000-000054480000}"/>
    <cellStyle name="40% - Accent4 2 2 2 2 3 2 2 2 2 2" xfId="20640" xr:uid="{00000000-0005-0000-0000-000055480000}"/>
    <cellStyle name="40% - Accent4 2 2 2 2 3 2 2 2 3" xfId="17838" xr:uid="{00000000-0005-0000-0000-000056480000}"/>
    <cellStyle name="40% - Accent4 2 2 2 2 3 2 2 3" xfId="4759" xr:uid="{00000000-0005-0000-0000-000057480000}"/>
    <cellStyle name="40% - Accent4 2 2 2 2 3 2 2 3 2" xfId="23799" xr:uid="{00000000-0005-0000-0000-000058480000}"/>
    <cellStyle name="40% - Accent4 2 2 2 2 3 2 2 4" xfId="20439" xr:uid="{00000000-0005-0000-0000-000059480000}"/>
    <cellStyle name="40% - Accent4 2 2 2 2 3 2 3" xfId="2075" xr:uid="{00000000-0005-0000-0000-00005A480000}"/>
    <cellStyle name="40% - Accent4 2 2 2 2 3 2 3 2" xfId="4768" xr:uid="{00000000-0005-0000-0000-00005B480000}"/>
    <cellStyle name="40% - Accent4 2 2 2 2 3 2 3 2 2" xfId="20443" xr:uid="{00000000-0005-0000-0000-00005C480000}"/>
    <cellStyle name="40% - Accent4 2 2 2 2 3 2 3 3" xfId="16745" xr:uid="{00000000-0005-0000-0000-00005D480000}"/>
    <cellStyle name="40% - Accent4 2 2 2 2 3 2 4" xfId="6353" xr:uid="{00000000-0005-0000-0000-00005E480000}"/>
    <cellStyle name="40% - Accent4 2 2 2 2 3 2 4 2" xfId="15797" xr:uid="{00000000-0005-0000-0000-00005F480000}"/>
    <cellStyle name="40% - Accent4 2 2 2 2 3 2 5" xfId="20448" xr:uid="{00000000-0005-0000-0000-000060480000}"/>
    <cellStyle name="40% - Accent4 2 2 2 2 3 3" xfId="28441" xr:uid="{00000000-0005-0000-0000-000061480000}"/>
    <cellStyle name="40% - Accent4 2 2 2 2 3 3 2" xfId="6378" xr:uid="{00000000-0005-0000-0000-000062480000}"/>
    <cellStyle name="40% - Accent4 2 2 2 2 3 3 2 2" xfId="9143" xr:uid="{00000000-0005-0000-0000-000063480000}"/>
    <cellStyle name="40% - Accent4 2 2 2 2 3 3 2 2 2" xfId="23473" xr:uid="{00000000-0005-0000-0000-000064480000}"/>
    <cellStyle name="40% - Accent4 2 2 2 2 3 3 2 3" xfId="33762" xr:uid="{00000000-0005-0000-0000-000065480000}"/>
    <cellStyle name="40% - Accent4 2 2 2 2 3 3 3" xfId="25558" xr:uid="{00000000-0005-0000-0000-000066480000}"/>
    <cellStyle name="40% - Accent4 2 2 2 2 3 3 3 2" xfId="5777" xr:uid="{00000000-0005-0000-0000-000067480000}"/>
    <cellStyle name="40% - Accent4 2 2 2 2 3 3 4" xfId="20455" xr:uid="{00000000-0005-0000-0000-000068480000}"/>
    <cellStyle name="40% - Accent4 2 2 2 2 3 4" xfId="21241" xr:uid="{00000000-0005-0000-0000-000069480000}"/>
    <cellStyle name="40% - Accent4 2 2 2 2 3 4 2" xfId="20456" xr:uid="{00000000-0005-0000-0000-00006A480000}"/>
    <cellStyle name="40% - Accent4 2 2 2 2 3 4 2 2" xfId="20458" xr:uid="{00000000-0005-0000-0000-00006B480000}"/>
    <cellStyle name="40% - Accent4 2 2 2 2 3 4 3" xfId="20462" xr:uid="{00000000-0005-0000-0000-00006C480000}"/>
    <cellStyle name="40% - Accent4 2 2 2 2 3 5" xfId="33378" xr:uid="{00000000-0005-0000-0000-00006D480000}"/>
    <cellStyle name="40% - Accent4 2 2 2 2 3 5 2" xfId="20465" xr:uid="{00000000-0005-0000-0000-00006E480000}"/>
    <cellStyle name="40% - Accent4 2 2 2 2 3 6" xfId="19616" xr:uid="{00000000-0005-0000-0000-00006F480000}"/>
    <cellStyle name="40% - Accent4 2 2 2 2 4" xfId="20468" xr:uid="{00000000-0005-0000-0000-000070480000}"/>
    <cellStyle name="40% - Accent4 2 2 2 2 4 2" xfId="1333" xr:uid="{00000000-0005-0000-0000-000071480000}"/>
    <cellStyle name="40% - Accent4 2 2 2 2 4 2 2" xfId="6384" xr:uid="{00000000-0005-0000-0000-000072480000}"/>
    <cellStyle name="40% - Accent4 2 2 2 2 4 2 2 2" xfId="9543" xr:uid="{00000000-0005-0000-0000-000073480000}"/>
    <cellStyle name="40% - Accent4 2 2 2 2 4 2 2 2 2" xfId="19626" xr:uid="{00000000-0005-0000-0000-000074480000}"/>
    <cellStyle name="40% - Accent4 2 2 2 2 4 2 2 3" xfId="33801" xr:uid="{00000000-0005-0000-0000-000075480000}"/>
    <cellStyle name="40% - Accent4 2 2 2 2 4 2 3" xfId="20471" xr:uid="{00000000-0005-0000-0000-000076480000}"/>
    <cellStyle name="40% - Accent4 2 2 2 2 4 2 3 2" xfId="30589" xr:uid="{00000000-0005-0000-0000-000077480000}"/>
    <cellStyle name="40% - Accent4 2 2 2 2 4 2 4" xfId="20476" xr:uid="{00000000-0005-0000-0000-000078480000}"/>
    <cellStyle name="40% - Accent4 2 2 2 2 4 3" xfId="5958" xr:uid="{00000000-0005-0000-0000-000079480000}"/>
    <cellStyle name="40% - Accent4 2 2 2 2 4 3 2" xfId="24882" xr:uid="{00000000-0005-0000-0000-00007A480000}"/>
    <cellStyle name="40% - Accent4 2 2 2 2 4 3 2 2" xfId="20479" xr:uid="{00000000-0005-0000-0000-00007B480000}"/>
    <cellStyle name="40% - Accent4 2 2 2 2 4 3 3" xfId="20482" xr:uid="{00000000-0005-0000-0000-00007C480000}"/>
    <cellStyle name="40% - Accent4 2 2 2 2 4 4" xfId="5959" xr:uid="{00000000-0005-0000-0000-00007D480000}"/>
    <cellStyle name="40% - Accent4 2 2 2 2 4 4 2" xfId="20484" xr:uid="{00000000-0005-0000-0000-00007E480000}"/>
    <cellStyle name="40% - Accent4 2 2 2 2 4 5" xfId="20486" xr:uid="{00000000-0005-0000-0000-00007F480000}"/>
    <cellStyle name="40% - Accent4 2 2 2 2 5" xfId="20492" xr:uid="{00000000-0005-0000-0000-000080480000}"/>
    <cellStyle name="40% - Accent4 2 2 2 2 5 2" xfId="1454" xr:uid="{00000000-0005-0000-0000-000081480000}"/>
    <cellStyle name="40% - Accent4 2 2 2 2 5 2 2" xfId="27709" xr:uid="{00000000-0005-0000-0000-000082480000}"/>
    <cellStyle name="40% - Accent4 2 2 2 2 5 2 2 2" xfId="3016" xr:uid="{00000000-0005-0000-0000-000083480000}"/>
    <cellStyle name="40% - Accent4 2 2 2 2 5 2 3" xfId="20498" xr:uid="{00000000-0005-0000-0000-000084480000}"/>
    <cellStyle name="40% - Accent4 2 2 2 2 5 3" xfId="5964" xr:uid="{00000000-0005-0000-0000-000085480000}"/>
    <cellStyle name="40% - Accent4 2 2 2 2 5 3 2" xfId="20505" xr:uid="{00000000-0005-0000-0000-000086480000}"/>
    <cellStyle name="40% - Accent4 2 2 2 2 5 4" xfId="33585" xr:uid="{00000000-0005-0000-0000-000087480000}"/>
    <cellStyle name="40% - Accent4 2 2 2 2 6" xfId="20507" xr:uid="{00000000-0005-0000-0000-000088480000}"/>
    <cellStyle name="40% - Accent4 2 2 2 2 6 2" xfId="20510" xr:uid="{00000000-0005-0000-0000-000089480000}"/>
    <cellStyle name="40% - Accent4 2 2 2 2 6 2 2" xfId="23603" xr:uid="{00000000-0005-0000-0000-00008A480000}"/>
    <cellStyle name="40% - Accent4 2 2 2 2 6 3" xfId="33111" xr:uid="{00000000-0005-0000-0000-00008B480000}"/>
    <cellStyle name="40% - Accent4 2 2 2 2 7" xfId="25889" xr:uid="{00000000-0005-0000-0000-00008C480000}"/>
    <cellStyle name="40% - Accent4 2 2 2 2 7 2" xfId="13671" xr:uid="{00000000-0005-0000-0000-00008D480000}"/>
    <cellStyle name="40% - Accent4 2 2 2 2 8" xfId="22794" xr:uid="{00000000-0005-0000-0000-00008E480000}"/>
    <cellStyle name="40% - Accent4 2 2 2 3" xfId="20516" xr:uid="{00000000-0005-0000-0000-00008F480000}"/>
    <cellStyle name="40% - Accent4 2 2 2 3 2" xfId="18592" xr:uid="{00000000-0005-0000-0000-000090480000}"/>
    <cellStyle name="40% - Accent4 2 2 2 3 2 2" xfId="20523" xr:uid="{00000000-0005-0000-0000-000091480000}"/>
    <cellStyle name="40% - Accent4 2 2 2 3 2 2 2" xfId="20528" xr:uid="{00000000-0005-0000-0000-000092480000}"/>
    <cellStyle name="40% - Accent4 2 2 2 3 2 2 2 2" xfId="20731" xr:uid="{00000000-0005-0000-0000-000093480000}"/>
    <cellStyle name="40% - Accent4 2 2 2 3 2 2 2 2 2" xfId="8237" xr:uid="{00000000-0005-0000-0000-000094480000}"/>
    <cellStyle name="40% - Accent4 2 2 2 3 2 2 2 2 2 2" xfId="24178" xr:uid="{00000000-0005-0000-0000-000095480000}"/>
    <cellStyle name="40% - Accent4 2 2 2 3 2 2 2 2 3" xfId="20869" xr:uid="{00000000-0005-0000-0000-000096480000}"/>
    <cellStyle name="40% - Accent4 2 2 2 3 2 2 2 3" xfId="20742" xr:uid="{00000000-0005-0000-0000-000097480000}"/>
    <cellStyle name="40% - Accent4 2 2 2 3 2 2 2 3 2" xfId="26874" xr:uid="{00000000-0005-0000-0000-000098480000}"/>
    <cellStyle name="40% - Accent4 2 2 2 3 2 2 2 4" xfId="28617" xr:uid="{00000000-0005-0000-0000-000099480000}"/>
    <cellStyle name="40% - Accent4 2 2 2 3 2 2 3" xfId="33295" xr:uid="{00000000-0005-0000-0000-00009A480000}"/>
    <cellStyle name="40% - Accent4 2 2 2 3 2 2 3 2" xfId="18863" xr:uid="{00000000-0005-0000-0000-00009B480000}"/>
    <cellStyle name="40% - Accent4 2 2 2 3 2 2 3 2 2" xfId="24585" xr:uid="{00000000-0005-0000-0000-00009C480000}"/>
    <cellStyle name="40% - Accent4 2 2 2 3 2 2 3 3" xfId="20810" xr:uid="{00000000-0005-0000-0000-00009D480000}"/>
    <cellStyle name="40% - Accent4 2 2 2 3 2 2 4" xfId="27271" xr:uid="{00000000-0005-0000-0000-00009E480000}"/>
    <cellStyle name="40% - Accent4 2 2 2 3 2 2 4 2" xfId="20848" xr:uid="{00000000-0005-0000-0000-00009F480000}"/>
    <cellStyle name="40% - Accent4 2 2 2 3 2 2 5" xfId="26688" xr:uid="{00000000-0005-0000-0000-0000A0480000}"/>
    <cellStyle name="40% - Accent4 2 2 2 3 2 3" xfId="20529" xr:uid="{00000000-0005-0000-0000-0000A1480000}"/>
    <cellStyle name="40% - Accent4 2 2 2 3 2 3 2" xfId="20531" xr:uid="{00000000-0005-0000-0000-0000A2480000}"/>
    <cellStyle name="40% - Accent4 2 2 2 3 2 3 2 2" xfId="6518" xr:uid="{00000000-0005-0000-0000-0000A3480000}"/>
    <cellStyle name="40% - Accent4 2 2 2 3 2 3 2 2 2" xfId="32471" xr:uid="{00000000-0005-0000-0000-0000A4480000}"/>
    <cellStyle name="40% - Accent4 2 2 2 3 2 3 2 3" xfId="20925" xr:uid="{00000000-0005-0000-0000-0000A5480000}"/>
    <cellStyle name="40% - Accent4 2 2 2 3 2 3 3" xfId="33303" xr:uid="{00000000-0005-0000-0000-0000A6480000}"/>
    <cellStyle name="40% - Accent4 2 2 2 3 2 3 3 2" xfId="20988" xr:uid="{00000000-0005-0000-0000-0000A7480000}"/>
    <cellStyle name="40% - Accent4 2 2 2 3 2 3 4" xfId="20534" xr:uid="{00000000-0005-0000-0000-0000A8480000}"/>
    <cellStyle name="40% - Accent4 2 2 2 3 2 4" xfId="20537" xr:uid="{00000000-0005-0000-0000-0000A9480000}"/>
    <cellStyle name="40% - Accent4 2 2 2 3 2 4 2" xfId="22348" xr:uid="{00000000-0005-0000-0000-0000AA480000}"/>
    <cellStyle name="40% - Accent4 2 2 2 3 2 4 2 2" xfId="21059" xr:uid="{00000000-0005-0000-0000-0000AB480000}"/>
    <cellStyle name="40% - Accent4 2 2 2 3 2 4 3" xfId="20539" xr:uid="{00000000-0005-0000-0000-0000AC480000}"/>
    <cellStyle name="40% - Accent4 2 2 2 3 2 5" xfId="20542" xr:uid="{00000000-0005-0000-0000-0000AD480000}"/>
    <cellStyle name="40% - Accent4 2 2 2 3 2 5 2" xfId="20546" xr:uid="{00000000-0005-0000-0000-0000AE480000}"/>
    <cellStyle name="40% - Accent4 2 2 2 3 2 6" xfId="20550" xr:uid="{00000000-0005-0000-0000-0000AF480000}"/>
    <cellStyle name="40% - Accent4 2 2 2 3 3" xfId="20555" xr:uid="{00000000-0005-0000-0000-0000B0480000}"/>
    <cellStyle name="40% - Accent4 2 2 2 3 3 2" xfId="20563" xr:uid="{00000000-0005-0000-0000-0000B1480000}"/>
    <cellStyle name="40% - Accent4 2 2 2 3 3 2 2" xfId="6401" xr:uid="{00000000-0005-0000-0000-0000B2480000}"/>
    <cellStyle name="40% - Accent4 2 2 2 3 3 2 2 2" xfId="21336" xr:uid="{00000000-0005-0000-0000-0000B3480000}"/>
    <cellStyle name="40% - Accent4 2 2 2 3 3 2 2 2 2" xfId="22222" xr:uid="{00000000-0005-0000-0000-0000B4480000}"/>
    <cellStyle name="40% - Accent4 2 2 2 3 3 2 2 3" xfId="21341" xr:uid="{00000000-0005-0000-0000-0000B5480000}"/>
    <cellStyle name="40% - Accent4 2 2 2 3 3 2 3" xfId="20566" xr:uid="{00000000-0005-0000-0000-0000B6480000}"/>
    <cellStyle name="40% - Accent4 2 2 2 3 3 2 3 2" xfId="21393" xr:uid="{00000000-0005-0000-0000-0000B7480000}"/>
    <cellStyle name="40% - Accent4 2 2 2 3 3 2 4" xfId="20569" xr:uid="{00000000-0005-0000-0000-0000B8480000}"/>
    <cellStyle name="40% - Accent4 2 2 2 3 3 3" xfId="19828" xr:uid="{00000000-0005-0000-0000-0000B9480000}"/>
    <cellStyle name="40% - Accent4 2 2 2 3 3 3 2" xfId="24345" xr:uid="{00000000-0005-0000-0000-0000BA480000}"/>
    <cellStyle name="40% - Accent4 2 2 2 3 3 3 2 2" xfId="21458" xr:uid="{00000000-0005-0000-0000-0000BB480000}"/>
    <cellStyle name="40% - Accent4 2 2 2 3 3 3 3" xfId="20577" xr:uid="{00000000-0005-0000-0000-0000BC480000}"/>
    <cellStyle name="40% - Accent4 2 2 2 3 3 4" xfId="27976" xr:uid="{00000000-0005-0000-0000-0000BD480000}"/>
    <cellStyle name="40% - Accent4 2 2 2 3 3 4 2" xfId="20579" xr:uid="{00000000-0005-0000-0000-0000BE480000}"/>
    <cellStyle name="40% - Accent4 2 2 2 3 3 5" xfId="20583" xr:uid="{00000000-0005-0000-0000-0000BF480000}"/>
    <cellStyle name="40% - Accent4 2 2 2 3 4" xfId="25818" xr:uid="{00000000-0005-0000-0000-0000C0480000}"/>
    <cellStyle name="40% - Accent4 2 2 2 3 4 2" xfId="25631" xr:uid="{00000000-0005-0000-0000-0000C1480000}"/>
    <cellStyle name="40% - Accent4 2 2 2 3 4 2 2" xfId="26828" xr:uid="{00000000-0005-0000-0000-0000C2480000}"/>
    <cellStyle name="40% - Accent4 2 2 2 3 4 2 2 2" xfId="21685" xr:uid="{00000000-0005-0000-0000-0000C3480000}"/>
    <cellStyle name="40% - Accent4 2 2 2 3 4 2 3" xfId="20588" xr:uid="{00000000-0005-0000-0000-0000C4480000}"/>
    <cellStyle name="40% - Accent4 2 2 2 3 4 3" xfId="10660" xr:uid="{00000000-0005-0000-0000-0000C5480000}"/>
    <cellStyle name="40% - Accent4 2 2 2 3 4 3 2" xfId="20590" xr:uid="{00000000-0005-0000-0000-0000C6480000}"/>
    <cellStyle name="40% - Accent4 2 2 2 3 4 4" xfId="25832" xr:uid="{00000000-0005-0000-0000-0000C7480000}"/>
    <cellStyle name="40% - Accent4 2 2 2 3 5" xfId="25830" xr:uid="{00000000-0005-0000-0000-0000C8480000}"/>
    <cellStyle name="40% - Accent4 2 2 2 3 5 2" xfId="20593" xr:uid="{00000000-0005-0000-0000-0000C9480000}"/>
    <cellStyle name="40% - Accent4 2 2 2 3 5 2 2" xfId="30186" xr:uid="{00000000-0005-0000-0000-0000CA480000}"/>
    <cellStyle name="40% - Accent4 2 2 2 3 5 3" xfId="21574" xr:uid="{00000000-0005-0000-0000-0000CB480000}"/>
    <cellStyle name="40% - Accent4 2 2 2 3 6" xfId="20595" xr:uid="{00000000-0005-0000-0000-0000CC480000}"/>
    <cellStyle name="40% - Accent4 2 2 2 3 6 2" xfId="24114" xr:uid="{00000000-0005-0000-0000-0000CD480000}"/>
    <cellStyle name="40% - Accent4 2 2 2 3 7" xfId="20596" xr:uid="{00000000-0005-0000-0000-0000CE480000}"/>
    <cellStyle name="40% - Accent4 2 2 2 4" xfId="5098" xr:uid="{00000000-0005-0000-0000-0000CF480000}"/>
    <cellStyle name="40% - Accent4 2 2 2 4 2" xfId="20601" xr:uid="{00000000-0005-0000-0000-0000D0480000}"/>
    <cellStyle name="40% - Accent4 2 2 2 4 2 2" xfId="20607" xr:uid="{00000000-0005-0000-0000-0000D1480000}"/>
    <cellStyle name="40% - Accent4 2 2 2 4 2 2 2" xfId="22886" xr:uid="{00000000-0005-0000-0000-0000D2480000}"/>
    <cellStyle name="40% - Accent4 2 2 2 4 2 2 2 2" xfId="22095" xr:uid="{00000000-0005-0000-0000-0000D3480000}"/>
    <cellStyle name="40% - Accent4 2 2 2 4 2 2 2 2 2" xfId="4062" xr:uid="{00000000-0005-0000-0000-0000D4480000}"/>
    <cellStyle name="40% - Accent4 2 2 2 4 2 2 2 3" xfId="22099" xr:uid="{00000000-0005-0000-0000-0000D5480000}"/>
    <cellStyle name="40% - Accent4 2 2 2 4 2 2 3" xfId="33455" xr:uid="{00000000-0005-0000-0000-0000D6480000}"/>
    <cellStyle name="40% - Accent4 2 2 2 4 2 2 3 2" xfId="27320" xr:uid="{00000000-0005-0000-0000-0000D7480000}"/>
    <cellStyle name="40% - Accent4 2 2 2 4 2 2 4" xfId="27563" xr:uid="{00000000-0005-0000-0000-0000D8480000}"/>
    <cellStyle name="40% - Accent4 2 2 2 4 2 3" xfId="24157" xr:uid="{00000000-0005-0000-0000-0000D9480000}"/>
    <cellStyle name="40% - Accent4 2 2 2 4 2 3 2" xfId="32852" xr:uid="{00000000-0005-0000-0000-0000DA480000}"/>
    <cellStyle name="40% - Accent4 2 2 2 4 2 3 2 2" xfId="32207" xr:uid="{00000000-0005-0000-0000-0000DB480000}"/>
    <cellStyle name="40% - Accent4 2 2 2 4 2 3 3" xfId="28432" xr:uid="{00000000-0005-0000-0000-0000DC480000}"/>
    <cellStyle name="40% - Accent4 2 2 2 4 2 4" xfId="20609" xr:uid="{00000000-0005-0000-0000-0000DD480000}"/>
    <cellStyle name="40% - Accent4 2 2 2 4 2 4 2" xfId="26380" xr:uid="{00000000-0005-0000-0000-0000DE480000}"/>
    <cellStyle name="40% - Accent4 2 2 2 4 2 5" xfId="20616" xr:uid="{00000000-0005-0000-0000-0000DF480000}"/>
    <cellStyle name="40% - Accent4 2 2 2 4 3" xfId="20624" xr:uid="{00000000-0005-0000-0000-0000E0480000}"/>
    <cellStyle name="40% - Accent4 2 2 2 4 3 2" xfId="14821" xr:uid="{00000000-0005-0000-0000-0000E1480000}"/>
    <cellStyle name="40% - Accent4 2 2 2 4 3 2 2" xfId="25212" xr:uid="{00000000-0005-0000-0000-0000E2480000}"/>
    <cellStyle name="40% - Accent4 2 2 2 4 3 2 2 2" xfId="27773" xr:uid="{00000000-0005-0000-0000-0000E3480000}"/>
    <cellStyle name="40% - Accent4 2 2 2 4 3 2 3" xfId="20628" xr:uid="{00000000-0005-0000-0000-0000E4480000}"/>
    <cellStyle name="40% - Accent4 2 2 2 4 3 3" xfId="14841" xr:uid="{00000000-0005-0000-0000-0000E5480000}"/>
    <cellStyle name="40% - Accent4 2 2 2 4 3 3 2" xfId="22674" xr:uid="{00000000-0005-0000-0000-0000E6480000}"/>
    <cellStyle name="40% - Accent4 2 2 2 4 3 4" xfId="14851" xr:uid="{00000000-0005-0000-0000-0000E7480000}"/>
    <cellStyle name="40% - Accent4 2 2 2 4 4" xfId="25842" xr:uid="{00000000-0005-0000-0000-0000E8480000}"/>
    <cellStyle name="40% - Accent4 2 2 2 4 4 2" xfId="14883" xr:uid="{00000000-0005-0000-0000-0000E9480000}"/>
    <cellStyle name="40% - Accent4 2 2 2 4 4 2 2" xfId="20633" xr:uid="{00000000-0005-0000-0000-0000EA480000}"/>
    <cellStyle name="40% - Accent4 2 2 2 4 4 3" xfId="7530" xr:uid="{00000000-0005-0000-0000-0000EB480000}"/>
    <cellStyle name="40% - Accent4 2 2 2 4 5" xfId="20637" xr:uid="{00000000-0005-0000-0000-0000EC480000}"/>
    <cellStyle name="40% - Accent4 2 2 2 4 5 2" xfId="20400" xr:uid="{00000000-0005-0000-0000-0000ED480000}"/>
    <cellStyle name="40% - Accent4 2 2 2 4 6" xfId="20641" xr:uid="{00000000-0005-0000-0000-0000EE480000}"/>
    <cellStyle name="40% - Accent4 2 2 2 5" xfId="23919" xr:uid="{00000000-0005-0000-0000-0000EF480000}"/>
    <cellStyle name="40% - Accent4 2 2 2 5 2" xfId="20647" xr:uid="{00000000-0005-0000-0000-0000F0480000}"/>
    <cellStyle name="40% - Accent4 2 2 2 5 2 2" xfId="20653" xr:uid="{00000000-0005-0000-0000-0000F1480000}"/>
    <cellStyle name="40% - Accent4 2 2 2 5 2 2 2" xfId="1827" xr:uid="{00000000-0005-0000-0000-0000F2480000}"/>
    <cellStyle name="40% - Accent4 2 2 2 5 2 2 2 2" xfId="25125" xr:uid="{00000000-0005-0000-0000-0000F3480000}"/>
    <cellStyle name="40% - Accent4 2 2 2 5 2 2 3" xfId="20657" xr:uid="{00000000-0005-0000-0000-0000F4480000}"/>
    <cellStyle name="40% - Accent4 2 2 2 5 2 3" xfId="27153" xr:uid="{00000000-0005-0000-0000-0000F5480000}"/>
    <cellStyle name="40% - Accent4 2 2 2 5 2 3 2" xfId="30880" xr:uid="{00000000-0005-0000-0000-0000F6480000}"/>
    <cellStyle name="40% - Accent4 2 2 2 5 2 4" xfId="20663" xr:uid="{00000000-0005-0000-0000-0000F7480000}"/>
    <cellStyle name="40% - Accent4 2 2 2 5 3" xfId="20666" xr:uid="{00000000-0005-0000-0000-0000F8480000}"/>
    <cellStyle name="40% - Accent4 2 2 2 5 3 2" xfId="14947" xr:uid="{00000000-0005-0000-0000-0000F9480000}"/>
    <cellStyle name="40% - Accent4 2 2 2 5 3 2 2" xfId="20672" xr:uid="{00000000-0005-0000-0000-0000FA480000}"/>
    <cellStyle name="40% - Accent4 2 2 2 5 3 3" xfId="14959" xr:uid="{00000000-0005-0000-0000-0000FB480000}"/>
    <cellStyle name="40% - Accent4 2 2 2 5 4" xfId="20678" xr:uid="{00000000-0005-0000-0000-0000FC480000}"/>
    <cellStyle name="40% - Accent4 2 2 2 5 4 2" xfId="14981" xr:uid="{00000000-0005-0000-0000-0000FD480000}"/>
    <cellStyle name="40% - Accent4 2 2 2 5 5" xfId="22769" xr:uid="{00000000-0005-0000-0000-0000FE480000}"/>
    <cellStyle name="40% - Accent4 2 2 2 6" xfId="15462" xr:uid="{00000000-0005-0000-0000-0000FF480000}"/>
    <cellStyle name="40% - Accent4 2 2 2 6 2" xfId="20681" xr:uid="{00000000-0005-0000-0000-000000490000}"/>
    <cellStyle name="40% - Accent4 2 2 2 6 2 2" xfId="20690" xr:uid="{00000000-0005-0000-0000-000001490000}"/>
    <cellStyle name="40% - Accent4 2 2 2 6 2 2 2" xfId="20697" xr:uid="{00000000-0005-0000-0000-000002490000}"/>
    <cellStyle name="40% - Accent4 2 2 2 6 2 3" xfId="20700" xr:uid="{00000000-0005-0000-0000-000003490000}"/>
    <cellStyle name="40% - Accent4 2 2 2 6 3" xfId="20704" xr:uid="{00000000-0005-0000-0000-000004490000}"/>
    <cellStyle name="40% - Accent4 2 2 2 6 3 2" xfId="24756" xr:uid="{00000000-0005-0000-0000-000005490000}"/>
    <cellStyle name="40% - Accent4 2 2 2 6 4" xfId="20709" xr:uid="{00000000-0005-0000-0000-000006490000}"/>
    <cellStyle name="40% - Accent4 2 2 2 7" xfId="18773" xr:uid="{00000000-0005-0000-0000-000007490000}"/>
    <cellStyle name="40% - Accent4 2 2 2 7 2" xfId="20710" xr:uid="{00000000-0005-0000-0000-000008490000}"/>
    <cellStyle name="40% - Accent4 2 2 2 7 2 2" xfId="16880" xr:uid="{00000000-0005-0000-0000-000009490000}"/>
    <cellStyle name="40% - Accent4 2 2 2 7 3" xfId="20714" xr:uid="{00000000-0005-0000-0000-00000A490000}"/>
    <cellStyle name="40% - Accent4 2 2 2 8" xfId="29051" xr:uid="{00000000-0005-0000-0000-00000B490000}"/>
    <cellStyle name="40% - Accent4 2 2 2 8 2" xfId="4223" xr:uid="{00000000-0005-0000-0000-00000C490000}"/>
    <cellStyle name="40% - Accent4 2 2 2 9" xfId="30183" xr:uid="{00000000-0005-0000-0000-00000D490000}"/>
    <cellStyle name="40% - Accent4 2 2 3" xfId="21232" xr:uid="{00000000-0005-0000-0000-00000E490000}"/>
    <cellStyle name="40% - Accent4 2 2 3 2" xfId="12011" xr:uid="{00000000-0005-0000-0000-00000F490000}"/>
    <cellStyle name="40% - Accent4 2 2 3 2 2" xfId="18662" xr:uid="{00000000-0005-0000-0000-000010490000}"/>
    <cellStyle name="40% - Accent4 2 2 3 2 2 2" xfId="24712" xr:uid="{00000000-0005-0000-0000-000011490000}"/>
    <cellStyle name="40% - Accent4 2 2 3 2 2 2 2" xfId="16077" xr:uid="{00000000-0005-0000-0000-000012490000}"/>
    <cellStyle name="40% - Accent4 2 2 3 2 2 2 2 2" xfId="14034" xr:uid="{00000000-0005-0000-0000-000013490000}"/>
    <cellStyle name="40% - Accent4 2 2 3 2 2 2 2 2 2" xfId="22384" xr:uid="{00000000-0005-0000-0000-000014490000}"/>
    <cellStyle name="40% - Accent4 2 2 3 2 2 2 2 2 2 2" xfId="30631" xr:uid="{00000000-0005-0000-0000-000015490000}"/>
    <cellStyle name="40% - Accent4 2 2 3 2 2 2 2 2 3" xfId="22387" xr:uid="{00000000-0005-0000-0000-000016490000}"/>
    <cellStyle name="40% - Accent4 2 2 3 2 2 2 2 3" xfId="28628" xr:uid="{00000000-0005-0000-0000-000017490000}"/>
    <cellStyle name="40% - Accent4 2 2 3 2 2 2 2 3 2" xfId="527" xr:uid="{00000000-0005-0000-0000-000018490000}"/>
    <cellStyle name="40% - Accent4 2 2 3 2 2 2 2 4" xfId="14047" xr:uid="{00000000-0005-0000-0000-000019490000}"/>
    <cellStyle name="40% - Accent4 2 2 3 2 2 2 3" xfId="2130" xr:uid="{00000000-0005-0000-0000-00001A490000}"/>
    <cellStyle name="40% - Accent4 2 2 3 2 2 2 3 2" xfId="14056" xr:uid="{00000000-0005-0000-0000-00001B490000}"/>
    <cellStyle name="40% - Accent4 2 2 3 2 2 2 3 2 2" xfId="22400" xr:uid="{00000000-0005-0000-0000-00001C490000}"/>
    <cellStyle name="40% - Accent4 2 2 3 2 2 2 3 3" xfId="14059" xr:uid="{00000000-0005-0000-0000-00001D490000}"/>
    <cellStyle name="40% - Accent4 2 2 3 2 2 2 4" xfId="735" xr:uid="{00000000-0005-0000-0000-00001E490000}"/>
    <cellStyle name="40% - Accent4 2 2 3 2 2 2 4 2" xfId="14068" xr:uid="{00000000-0005-0000-0000-00001F490000}"/>
    <cellStyle name="40% - Accent4 2 2 3 2 2 2 5" xfId="22641" xr:uid="{00000000-0005-0000-0000-000020490000}"/>
    <cellStyle name="40% - Accent4 2 2 3 2 2 3" xfId="20715" xr:uid="{00000000-0005-0000-0000-000021490000}"/>
    <cellStyle name="40% - Accent4 2 2 3 2 2 3 2" xfId="10935" xr:uid="{00000000-0005-0000-0000-000022490000}"/>
    <cellStyle name="40% - Accent4 2 2 3 2 2 3 2 2" xfId="5841" xr:uid="{00000000-0005-0000-0000-000023490000}"/>
    <cellStyle name="40% - Accent4 2 2 3 2 2 3 2 2 2" xfId="24652" xr:uid="{00000000-0005-0000-0000-000024490000}"/>
    <cellStyle name="40% - Accent4 2 2 3 2 2 3 2 3" xfId="14129" xr:uid="{00000000-0005-0000-0000-000025490000}"/>
    <cellStyle name="40% - Accent4 2 2 3 2 2 3 3" xfId="10940" xr:uid="{00000000-0005-0000-0000-000026490000}"/>
    <cellStyle name="40% - Accent4 2 2 3 2 2 3 3 2" xfId="18743" xr:uid="{00000000-0005-0000-0000-000027490000}"/>
    <cellStyle name="40% - Accent4 2 2 3 2 2 3 4" xfId="12869" xr:uid="{00000000-0005-0000-0000-000028490000}"/>
    <cellStyle name="40% - Accent4 2 2 3 2 2 4" xfId="21381" xr:uid="{00000000-0005-0000-0000-000029490000}"/>
    <cellStyle name="40% - Accent4 2 2 3 2 2 4 2" xfId="10943" xr:uid="{00000000-0005-0000-0000-00002A490000}"/>
    <cellStyle name="40% - Accent4 2 2 3 2 2 4 2 2" xfId="14140" xr:uid="{00000000-0005-0000-0000-00002B490000}"/>
    <cellStyle name="40% - Accent4 2 2 3 2 2 4 3" xfId="4855" xr:uid="{00000000-0005-0000-0000-00002C490000}"/>
    <cellStyle name="40% - Accent4 2 2 3 2 2 5" xfId="33602" xr:uid="{00000000-0005-0000-0000-00002D490000}"/>
    <cellStyle name="40% - Accent4 2 2 3 2 2 5 2" xfId="26570" xr:uid="{00000000-0005-0000-0000-00002E490000}"/>
    <cellStyle name="40% - Accent4 2 2 3 2 2 6" xfId="30808" xr:uid="{00000000-0005-0000-0000-00002F490000}"/>
    <cellStyle name="40% - Accent4 2 2 3 2 3" xfId="20921" xr:uid="{00000000-0005-0000-0000-000030490000}"/>
    <cellStyle name="40% - Accent4 2 2 3 2 3 2" xfId="30887" xr:uid="{00000000-0005-0000-0000-000031490000}"/>
    <cellStyle name="40% - Accent4 2 2 3 2 3 2 2" xfId="6413" xr:uid="{00000000-0005-0000-0000-000032490000}"/>
    <cellStyle name="40% - Accent4 2 2 3 2 3 2 2 2" xfId="9569" xr:uid="{00000000-0005-0000-0000-000033490000}"/>
    <cellStyle name="40% - Accent4 2 2 3 2 3 2 2 2 2" xfId="12014" xr:uid="{00000000-0005-0000-0000-000034490000}"/>
    <cellStyle name="40% - Accent4 2 2 3 2 3 2 2 3" xfId="18359" xr:uid="{00000000-0005-0000-0000-000035490000}"/>
    <cellStyle name="40% - Accent4 2 2 3 2 3 2 3" xfId="4675" xr:uid="{00000000-0005-0000-0000-000036490000}"/>
    <cellStyle name="40% - Accent4 2 2 3 2 3 2 3 2" xfId="18363" xr:uid="{00000000-0005-0000-0000-000037490000}"/>
    <cellStyle name="40% - Accent4 2 2 3 2 3 2 4" xfId="20720" xr:uid="{00000000-0005-0000-0000-000038490000}"/>
    <cellStyle name="40% - Accent4 2 2 3 2 3 3" xfId="30897" xr:uid="{00000000-0005-0000-0000-000039490000}"/>
    <cellStyle name="40% - Accent4 2 2 3 2 3 3 2" xfId="10956" xr:uid="{00000000-0005-0000-0000-00003A490000}"/>
    <cellStyle name="40% - Accent4 2 2 3 2 3 3 2 2" xfId="10784" xr:uid="{00000000-0005-0000-0000-00003B490000}"/>
    <cellStyle name="40% - Accent4 2 2 3 2 3 3 3" xfId="20724" xr:uid="{00000000-0005-0000-0000-00003C490000}"/>
    <cellStyle name="40% - Accent4 2 2 3 2 3 4" xfId="30902" xr:uid="{00000000-0005-0000-0000-00003D490000}"/>
    <cellStyle name="40% - Accent4 2 2 3 2 3 4 2" xfId="20728" xr:uid="{00000000-0005-0000-0000-00003E490000}"/>
    <cellStyle name="40% - Accent4 2 2 3 2 3 5" xfId="30914" xr:uid="{00000000-0005-0000-0000-00003F490000}"/>
    <cellStyle name="40% - Accent4 2 2 3 2 4" xfId="20734" xr:uid="{00000000-0005-0000-0000-000040490000}"/>
    <cellStyle name="40% - Accent4 2 2 3 2 4 2" xfId="2333" xr:uid="{00000000-0005-0000-0000-000041490000}"/>
    <cellStyle name="40% - Accent4 2 2 3 2 4 2 2" xfId="25383" xr:uid="{00000000-0005-0000-0000-000042490000}"/>
    <cellStyle name="40% - Accent4 2 2 3 2 4 2 2 2" xfId="18377" xr:uid="{00000000-0005-0000-0000-000043490000}"/>
    <cellStyle name="40% - Accent4 2 2 3 2 4 2 3" xfId="20737" xr:uid="{00000000-0005-0000-0000-000044490000}"/>
    <cellStyle name="40% - Accent4 2 2 3 2 4 3" xfId="5985" xr:uid="{00000000-0005-0000-0000-000045490000}"/>
    <cellStyle name="40% - Accent4 2 2 3 2 4 3 2" xfId="21609" xr:uid="{00000000-0005-0000-0000-000046490000}"/>
    <cellStyle name="40% - Accent4 2 2 3 2 4 4" xfId="722" xr:uid="{00000000-0005-0000-0000-000047490000}"/>
    <cellStyle name="40% - Accent4 2 2 3 2 5" xfId="20743" xr:uid="{00000000-0005-0000-0000-000048490000}"/>
    <cellStyle name="40% - Accent4 2 2 3 2 5 2" xfId="2968" xr:uid="{00000000-0005-0000-0000-000049490000}"/>
    <cellStyle name="40% - Accent4 2 2 3 2 5 2 2" xfId="20745" xr:uid="{00000000-0005-0000-0000-00004A490000}"/>
    <cellStyle name="40% - Accent4 2 2 3 2 5 3" xfId="13874" xr:uid="{00000000-0005-0000-0000-00004B490000}"/>
    <cellStyle name="40% - Accent4 2 2 3 2 6" xfId="28616" xr:uid="{00000000-0005-0000-0000-00004C490000}"/>
    <cellStyle name="40% - Accent4 2 2 3 2 6 2" xfId="33088" xr:uid="{00000000-0005-0000-0000-00004D490000}"/>
    <cellStyle name="40% - Accent4 2 2 3 2 7" xfId="20746" xr:uid="{00000000-0005-0000-0000-00004E490000}"/>
    <cellStyle name="40% - Accent4 2 2 3 3" xfId="20748" xr:uid="{00000000-0005-0000-0000-00004F490000}"/>
    <cellStyle name="40% - Accent4 2 2 3 3 2" xfId="20751" xr:uid="{00000000-0005-0000-0000-000050490000}"/>
    <cellStyle name="40% - Accent4 2 2 3 3 2 2" xfId="30937" xr:uid="{00000000-0005-0000-0000-000051490000}"/>
    <cellStyle name="40% - Accent4 2 2 3 3 2 2 2" xfId="23521" xr:uid="{00000000-0005-0000-0000-000052490000}"/>
    <cellStyle name="40% - Accent4 2 2 3 3 2 2 2 2" xfId="23637" xr:uid="{00000000-0005-0000-0000-000053490000}"/>
    <cellStyle name="40% - Accent4 2 2 3 3 2 2 2 2 2" xfId="25140" xr:uid="{00000000-0005-0000-0000-000054490000}"/>
    <cellStyle name="40% - Accent4 2 2 3 3 2 2 2 3" xfId="23654" xr:uid="{00000000-0005-0000-0000-000055490000}"/>
    <cellStyle name="40% - Accent4 2 2 3 3 2 2 3" xfId="813" xr:uid="{00000000-0005-0000-0000-000056490000}"/>
    <cellStyle name="40% - Accent4 2 2 3 3 2 2 3 2" xfId="23491" xr:uid="{00000000-0005-0000-0000-000057490000}"/>
    <cellStyle name="40% - Accent4 2 2 3 3 2 2 4" xfId="27234" xr:uid="{00000000-0005-0000-0000-000058490000}"/>
    <cellStyle name="40% - Accent4 2 2 3 3 2 3" xfId="20755" xr:uid="{00000000-0005-0000-0000-000059490000}"/>
    <cellStyle name="40% - Accent4 2 2 3 3 2 3 2" xfId="12541" xr:uid="{00000000-0005-0000-0000-00005A490000}"/>
    <cellStyle name="40% - Accent4 2 2 3 3 2 3 2 2" xfId="25953" xr:uid="{00000000-0005-0000-0000-00005B490000}"/>
    <cellStyle name="40% - Accent4 2 2 3 3 2 3 3" xfId="6846" xr:uid="{00000000-0005-0000-0000-00005C490000}"/>
    <cellStyle name="40% - Accent4 2 2 3 3 2 4" xfId="5239" xr:uid="{00000000-0005-0000-0000-00005D490000}"/>
    <cellStyle name="40% - Accent4 2 2 3 3 2 4 2" xfId="12543" xr:uid="{00000000-0005-0000-0000-00005E490000}"/>
    <cellStyle name="40% - Accent4 2 2 3 3 2 5" xfId="20765" xr:uid="{00000000-0005-0000-0000-00005F490000}"/>
    <cellStyle name="40% - Accent4 2 2 3 3 3" xfId="20773" xr:uid="{00000000-0005-0000-0000-000060490000}"/>
    <cellStyle name="40% - Accent4 2 2 3 3 3 2" xfId="20781" xr:uid="{00000000-0005-0000-0000-000061490000}"/>
    <cellStyle name="40% - Accent4 2 2 3 3 3 2 2" xfId="25418" xr:uid="{00000000-0005-0000-0000-000062490000}"/>
    <cellStyle name="40% - Accent4 2 2 3 3 3 2 2 2" xfId="24111" xr:uid="{00000000-0005-0000-0000-000063490000}"/>
    <cellStyle name="40% - Accent4 2 2 3 3 3 2 3" xfId="20786" xr:uid="{00000000-0005-0000-0000-000064490000}"/>
    <cellStyle name="40% - Accent4 2 2 3 3 3 3" xfId="20790" xr:uid="{00000000-0005-0000-0000-000065490000}"/>
    <cellStyle name="40% - Accent4 2 2 3 3 3 3 2" xfId="897" xr:uid="{00000000-0005-0000-0000-000066490000}"/>
    <cellStyle name="40% - Accent4 2 2 3 3 3 4" xfId="20798" xr:uid="{00000000-0005-0000-0000-000067490000}"/>
    <cellStyle name="40% - Accent4 2 2 3 3 4" xfId="18864" xr:uid="{00000000-0005-0000-0000-000068490000}"/>
    <cellStyle name="40% - Accent4 2 2 3 3 4 2" xfId="20806" xr:uid="{00000000-0005-0000-0000-000069490000}"/>
    <cellStyle name="40% - Accent4 2 2 3 3 4 2 2" xfId="20808" xr:uid="{00000000-0005-0000-0000-00006A490000}"/>
    <cellStyle name="40% - Accent4 2 2 3 3 4 3" xfId="7591" xr:uid="{00000000-0005-0000-0000-00006B490000}"/>
    <cellStyle name="40% - Accent4 2 2 3 3 5" xfId="20811" xr:uid="{00000000-0005-0000-0000-00006C490000}"/>
    <cellStyle name="40% - Accent4 2 2 3 3 5 2" xfId="20812" xr:uid="{00000000-0005-0000-0000-00006D490000}"/>
    <cellStyle name="40% - Accent4 2 2 3 3 6" xfId="20815" xr:uid="{00000000-0005-0000-0000-00006E490000}"/>
    <cellStyle name="40% - Accent4 2 2 3 4" xfId="20817" xr:uid="{00000000-0005-0000-0000-00006F490000}"/>
    <cellStyle name="40% - Accent4 2 2 3 4 2" xfId="20819" xr:uid="{00000000-0005-0000-0000-000070490000}"/>
    <cellStyle name="40% - Accent4 2 2 3 4 2 2" xfId="20831" xr:uid="{00000000-0005-0000-0000-000071490000}"/>
    <cellStyle name="40% - Accent4 2 2 3 4 2 2 2" xfId="23120" xr:uid="{00000000-0005-0000-0000-000072490000}"/>
    <cellStyle name="40% - Accent4 2 2 3 4 2 2 2 2" xfId="30440" xr:uid="{00000000-0005-0000-0000-000073490000}"/>
    <cellStyle name="40% - Accent4 2 2 3 4 2 2 3" xfId="20832" xr:uid="{00000000-0005-0000-0000-000074490000}"/>
    <cellStyle name="40% - Accent4 2 2 3 4 2 3" xfId="20836" xr:uid="{00000000-0005-0000-0000-000075490000}"/>
    <cellStyle name="40% - Accent4 2 2 3 4 2 3 2" xfId="14233" xr:uid="{00000000-0005-0000-0000-000076490000}"/>
    <cellStyle name="40% - Accent4 2 2 3 4 2 4" xfId="13460" xr:uid="{00000000-0005-0000-0000-000077490000}"/>
    <cellStyle name="40% - Accent4 2 2 3 4 3" xfId="20841" xr:uid="{00000000-0005-0000-0000-000078490000}"/>
    <cellStyle name="40% - Accent4 2 2 3 4 3 2" xfId="15069" xr:uid="{00000000-0005-0000-0000-000079490000}"/>
    <cellStyle name="40% - Accent4 2 2 3 4 3 2 2" xfId="20843" xr:uid="{00000000-0005-0000-0000-00007A490000}"/>
    <cellStyle name="40% - Accent4 2 2 3 4 3 3" xfId="15073" xr:uid="{00000000-0005-0000-0000-00007B490000}"/>
    <cellStyle name="40% - Accent4 2 2 3 4 4" xfId="20847" xr:uid="{00000000-0005-0000-0000-00007C490000}"/>
    <cellStyle name="40% - Accent4 2 2 3 4 4 2" xfId="15102" xr:uid="{00000000-0005-0000-0000-00007D490000}"/>
    <cellStyle name="40% - Accent4 2 2 3 4 5" xfId="20853" xr:uid="{00000000-0005-0000-0000-00007E490000}"/>
    <cellStyle name="40% - Accent4 2 2 3 5" xfId="15469" xr:uid="{00000000-0005-0000-0000-00007F490000}"/>
    <cellStyle name="40% - Accent4 2 2 3 5 2" xfId="20858" xr:uid="{00000000-0005-0000-0000-000080490000}"/>
    <cellStyle name="40% - Accent4 2 2 3 5 2 2" xfId="20868" xr:uid="{00000000-0005-0000-0000-000081490000}"/>
    <cellStyle name="40% - Accent4 2 2 3 5 2 2 2" xfId="20870" xr:uid="{00000000-0005-0000-0000-000082490000}"/>
    <cellStyle name="40% - Accent4 2 2 3 5 2 3" xfId="20872" xr:uid="{00000000-0005-0000-0000-000083490000}"/>
    <cellStyle name="40% - Accent4 2 2 3 5 3" xfId="20875" xr:uid="{00000000-0005-0000-0000-000084490000}"/>
    <cellStyle name="40% - Accent4 2 2 3 5 3 2" xfId="15154" xr:uid="{00000000-0005-0000-0000-000085490000}"/>
    <cellStyle name="40% - Accent4 2 2 3 5 4" xfId="20879" xr:uid="{00000000-0005-0000-0000-000086490000}"/>
    <cellStyle name="40% - Accent4 2 2 3 6" xfId="18781" xr:uid="{00000000-0005-0000-0000-000087490000}"/>
    <cellStyle name="40% - Accent4 2 2 3 6 2" xfId="20882" xr:uid="{00000000-0005-0000-0000-000088490000}"/>
    <cellStyle name="40% - Accent4 2 2 3 6 2 2" xfId="20885" xr:uid="{00000000-0005-0000-0000-000089490000}"/>
    <cellStyle name="40% - Accent4 2 2 3 6 3" xfId="20888" xr:uid="{00000000-0005-0000-0000-00008A490000}"/>
    <cellStyle name="40% - Accent4 2 2 3 7" xfId="33197" xr:uid="{00000000-0005-0000-0000-00008B490000}"/>
    <cellStyle name="40% - Accent4 2 2 3 7 2" xfId="20890" xr:uid="{00000000-0005-0000-0000-00008C490000}"/>
    <cellStyle name="40% - Accent4 2 2 3 8" xfId="20891" xr:uid="{00000000-0005-0000-0000-00008D490000}"/>
    <cellStyle name="40% - Accent4 2 2 4" xfId="20893" xr:uid="{00000000-0005-0000-0000-00008E490000}"/>
    <cellStyle name="40% - Accent4 2 2 4 2" xfId="20901" xr:uid="{00000000-0005-0000-0000-00008F490000}"/>
    <cellStyle name="40% - Accent4 2 2 4 2 2" xfId="683" xr:uid="{00000000-0005-0000-0000-000090490000}"/>
    <cellStyle name="40% - Accent4 2 2 4 2 2 2" xfId="20906" xr:uid="{00000000-0005-0000-0000-000091490000}"/>
    <cellStyle name="40% - Accent4 2 2 4 2 2 2 2" xfId="20910" xr:uid="{00000000-0005-0000-0000-000092490000}"/>
    <cellStyle name="40% - Accent4 2 2 4 2 2 2 2 2" xfId="27121" xr:uid="{00000000-0005-0000-0000-000093490000}"/>
    <cellStyle name="40% - Accent4 2 2 4 2 2 2 2 2 2" xfId="20913" xr:uid="{00000000-0005-0000-0000-000094490000}"/>
    <cellStyle name="40% - Accent4 2 2 4 2 2 2 2 3" xfId="26304" xr:uid="{00000000-0005-0000-0000-000095490000}"/>
    <cellStyle name="40% - Accent4 2 2 4 2 2 2 3" xfId="20467" xr:uid="{00000000-0005-0000-0000-000096490000}"/>
    <cellStyle name="40% - Accent4 2 2 4 2 2 2 3 2" xfId="4279" xr:uid="{00000000-0005-0000-0000-000097490000}"/>
    <cellStyle name="40% - Accent4 2 2 4 2 2 2 4" xfId="20491" xr:uid="{00000000-0005-0000-0000-000098490000}"/>
    <cellStyle name="40% - Accent4 2 2 4 2 2 3" xfId="20916" xr:uid="{00000000-0005-0000-0000-000099490000}"/>
    <cellStyle name="40% - Accent4 2 2 4 2 2 3 2" xfId="20554" xr:uid="{00000000-0005-0000-0000-00009A490000}"/>
    <cellStyle name="40% - Accent4 2 2 4 2 2 3 2 2" xfId="20221" xr:uid="{00000000-0005-0000-0000-00009B490000}"/>
    <cellStyle name="40% - Accent4 2 2 4 2 2 3 3" xfId="25817" xr:uid="{00000000-0005-0000-0000-00009C490000}"/>
    <cellStyle name="40% - Accent4 2 2 4 2 2 4" xfId="12257" xr:uid="{00000000-0005-0000-0000-00009D490000}"/>
    <cellStyle name="40% - Accent4 2 2 4 2 2 4 2" xfId="20623" xr:uid="{00000000-0005-0000-0000-00009E490000}"/>
    <cellStyle name="40% - Accent4 2 2 4 2 2 5" xfId="13443" xr:uid="{00000000-0005-0000-0000-00009F490000}"/>
    <cellStyle name="40% - Accent4 2 2 4 2 3" xfId="20924" xr:uid="{00000000-0005-0000-0000-0000A0490000}"/>
    <cellStyle name="40% - Accent4 2 2 4 2 3 2" xfId="20918" xr:uid="{00000000-0005-0000-0000-0000A1490000}"/>
    <cellStyle name="40% - Accent4 2 2 4 2 3 2 2" xfId="20920" xr:uid="{00000000-0005-0000-0000-0000A2490000}"/>
    <cellStyle name="40% - Accent4 2 2 4 2 3 2 2 2" xfId="11748" xr:uid="{00000000-0005-0000-0000-0000A3490000}"/>
    <cellStyle name="40% - Accent4 2 2 4 2 3 2 3" xfId="20733" xr:uid="{00000000-0005-0000-0000-0000A4490000}"/>
    <cellStyle name="40% - Accent4 2 2 4 2 3 3" xfId="24490" xr:uid="{00000000-0005-0000-0000-0000A5490000}"/>
    <cellStyle name="40% - Accent4 2 2 4 2 3 3 2" xfId="20774" xr:uid="{00000000-0005-0000-0000-0000A6490000}"/>
    <cellStyle name="40% - Accent4 2 2 4 2 3 4" xfId="13464" xr:uid="{00000000-0005-0000-0000-0000A7490000}"/>
    <cellStyle name="40% - Accent4 2 2 4 2 4" xfId="6517" xr:uid="{00000000-0005-0000-0000-0000A8490000}"/>
    <cellStyle name="40% - Accent4 2 2 4 2 4 2" xfId="20922" xr:uid="{00000000-0005-0000-0000-0000A9490000}"/>
    <cellStyle name="40% - Accent4 2 2 4 2 4 2 2" xfId="20923" xr:uid="{00000000-0005-0000-0000-0000AA490000}"/>
    <cellStyle name="40% - Accent4 2 2 4 2 4 3" xfId="996" xr:uid="{00000000-0005-0000-0000-0000AB490000}"/>
    <cellStyle name="40% - Accent4 2 2 4 2 5" xfId="20926" xr:uid="{00000000-0005-0000-0000-0000AC490000}"/>
    <cellStyle name="40% - Accent4 2 2 4 2 5 2" xfId="20932" xr:uid="{00000000-0005-0000-0000-0000AD490000}"/>
    <cellStyle name="40% - Accent4 2 2 4 2 6" xfId="20939" xr:uid="{00000000-0005-0000-0000-0000AE490000}"/>
    <cellStyle name="40% - Accent4 2 2 4 3" xfId="20942" xr:uid="{00000000-0005-0000-0000-0000AF490000}"/>
    <cellStyle name="40% - Accent4 2 2 4 3 2" xfId="20945" xr:uid="{00000000-0005-0000-0000-0000B0490000}"/>
    <cellStyle name="40% - Accent4 2 2 4 3 2 2" xfId="20952" xr:uid="{00000000-0005-0000-0000-0000B1490000}"/>
    <cellStyle name="40% - Accent4 2 2 4 3 2 2 2" xfId="20961" xr:uid="{00000000-0005-0000-0000-0000B2490000}"/>
    <cellStyle name="40% - Accent4 2 2 4 3 2 2 2 2" xfId="20970" xr:uid="{00000000-0005-0000-0000-0000B3490000}"/>
    <cellStyle name="40% - Accent4 2 2 4 3 2 2 3" xfId="21178" xr:uid="{00000000-0005-0000-0000-0000B4490000}"/>
    <cellStyle name="40% - Accent4 2 2 4 3 2 3" xfId="20964" xr:uid="{00000000-0005-0000-0000-0000B5490000}"/>
    <cellStyle name="40% - Accent4 2 2 4 3 2 3 2" xfId="31113" xr:uid="{00000000-0005-0000-0000-0000B6490000}"/>
    <cellStyle name="40% - Accent4 2 2 4 3 2 4" xfId="6946" xr:uid="{00000000-0005-0000-0000-0000B7490000}"/>
    <cellStyle name="40% - Accent4 2 2 4 3 3" xfId="21519" xr:uid="{00000000-0005-0000-0000-0000B8490000}"/>
    <cellStyle name="40% - Accent4 2 2 4 3 3 2" xfId="20978" xr:uid="{00000000-0005-0000-0000-0000B9490000}"/>
    <cellStyle name="40% - Accent4 2 2 4 3 3 2 2" xfId="21014" xr:uid="{00000000-0005-0000-0000-0000BA490000}"/>
    <cellStyle name="40% - Accent4 2 2 4 3 3 3" xfId="20985" xr:uid="{00000000-0005-0000-0000-0000BB490000}"/>
    <cellStyle name="40% - Accent4 2 2 4 3 4" xfId="20987" xr:uid="{00000000-0005-0000-0000-0000BC490000}"/>
    <cellStyle name="40% - Accent4 2 2 4 3 4 2" xfId="20991" xr:uid="{00000000-0005-0000-0000-0000BD490000}"/>
    <cellStyle name="40% - Accent4 2 2 4 3 5" xfId="19643" xr:uid="{00000000-0005-0000-0000-0000BE490000}"/>
    <cellStyle name="40% - Accent4 2 2 4 4" xfId="20996" xr:uid="{00000000-0005-0000-0000-0000BF490000}"/>
    <cellStyle name="40% - Accent4 2 2 4 4 2" xfId="20999" xr:uid="{00000000-0005-0000-0000-0000C0490000}"/>
    <cellStyle name="40% - Accent4 2 2 4 4 2 2" xfId="21010" xr:uid="{00000000-0005-0000-0000-0000C1490000}"/>
    <cellStyle name="40% - Accent4 2 2 4 4 2 2 2" xfId="21582" xr:uid="{00000000-0005-0000-0000-0000C2490000}"/>
    <cellStyle name="40% - Accent4 2 2 4 4 2 3" xfId="21019" xr:uid="{00000000-0005-0000-0000-0000C3490000}"/>
    <cellStyle name="40% - Accent4 2 2 4 4 3" xfId="21023" xr:uid="{00000000-0005-0000-0000-0000C4490000}"/>
    <cellStyle name="40% - Accent4 2 2 4 4 3 2" xfId="16173" xr:uid="{00000000-0005-0000-0000-0000C5490000}"/>
    <cellStyle name="40% - Accent4 2 2 4 4 4" xfId="21027" xr:uid="{00000000-0005-0000-0000-0000C6490000}"/>
    <cellStyle name="40% - Accent4 2 2 4 5" xfId="18791" xr:uid="{00000000-0005-0000-0000-0000C7490000}"/>
    <cellStyle name="40% - Accent4 2 2 4 5 2" xfId="21030" xr:uid="{00000000-0005-0000-0000-0000C8490000}"/>
    <cellStyle name="40% - Accent4 2 2 4 5 2 2" xfId="21035" xr:uid="{00000000-0005-0000-0000-0000C9490000}"/>
    <cellStyle name="40% - Accent4 2 2 4 5 3" xfId="21038" xr:uid="{00000000-0005-0000-0000-0000CA490000}"/>
    <cellStyle name="40% - Accent4 2 2 4 6" xfId="1376" xr:uid="{00000000-0005-0000-0000-0000CB490000}"/>
    <cellStyle name="40% - Accent4 2 2 4 6 2" xfId="18443" xr:uid="{00000000-0005-0000-0000-0000CC490000}"/>
    <cellStyle name="40% - Accent4 2 2 4 7" xfId="2434" xr:uid="{00000000-0005-0000-0000-0000CD490000}"/>
    <cellStyle name="40% - Accent4 2 2 5" xfId="21039" xr:uid="{00000000-0005-0000-0000-0000CE490000}"/>
    <cellStyle name="40% - Accent4 2 2 5 2" xfId="21042" xr:uid="{00000000-0005-0000-0000-0000CF490000}"/>
    <cellStyle name="40% - Accent4 2 2 5 2 2" xfId="33204" xr:uid="{00000000-0005-0000-0000-0000D0490000}"/>
    <cellStyle name="40% - Accent4 2 2 5 2 2 2" xfId="21044" xr:uid="{00000000-0005-0000-0000-0000D1490000}"/>
    <cellStyle name="40% - Accent4 2 2 5 2 2 2 2" xfId="6525" xr:uid="{00000000-0005-0000-0000-0000D2490000}"/>
    <cellStyle name="40% - Accent4 2 2 5 2 2 2 2 2" xfId="21046" xr:uid="{00000000-0005-0000-0000-0000D3490000}"/>
    <cellStyle name="40% - Accent4 2 2 5 2 2 2 3" xfId="21952" xr:uid="{00000000-0005-0000-0000-0000D4490000}"/>
    <cellStyle name="40% - Accent4 2 2 5 2 2 3" xfId="21048" xr:uid="{00000000-0005-0000-0000-0000D5490000}"/>
    <cellStyle name="40% - Accent4 2 2 5 2 2 3 2" xfId="29875" xr:uid="{00000000-0005-0000-0000-0000D6490000}"/>
    <cellStyle name="40% - Accent4 2 2 5 2 2 4" xfId="13591" xr:uid="{00000000-0005-0000-0000-0000D7490000}"/>
    <cellStyle name="40% - Accent4 2 2 5 2 3" xfId="31426" xr:uid="{00000000-0005-0000-0000-0000D8490000}"/>
    <cellStyle name="40% - Accent4 2 2 5 2 3 2" xfId="21049" xr:uid="{00000000-0005-0000-0000-0000D9490000}"/>
    <cellStyle name="40% - Accent4 2 2 5 2 3 2 2" xfId="21055" xr:uid="{00000000-0005-0000-0000-0000DA490000}"/>
    <cellStyle name="40% - Accent4 2 2 5 2 3 3" xfId="21058" xr:uid="{00000000-0005-0000-0000-0000DB490000}"/>
    <cellStyle name="40% - Accent4 2 2 5 2 4" xfId="21060" xr:uid="{00000000-0005-0000-0000-0000DC490000}"/>
    <cellStyle name="40% - Accent4 2 2 5 2 4 2" xfId="21065" xr:uid="{00000000-0005-0000-0000-0000DD490000}"/>
    <cellStyle name="40% - Accent4 2 2 5 2 5" xfId="12105" xr:uid="{00000000-0005-0000-0000-0000DE490000}"/>
    <cellStyle name="40% - Accent4 2 2 5 3" xfId="33336" xr:uid="{00000000-0005-0000-0000-0000DF490000}"/>
    <cellStyle name="40% - Accent4 2 2 5 3 2" xfId="27491" xr:uid="{00000000-0005-0000-0000-0000E0490000}"/>
    <cellStyle name="40% - Accent4 2 2 5 3 2 2" xfId="21069" xr:uid="{00000000-0005-0000-0000-0000E1490000}"/>
    <cellStyle name="40% - Accent4 2 2 5 3 2 2 2" xfId="27981" xr:uid="{00000000-0005-0000-0000-0000E2490000}"/>
    <cellStyle name="40% - Accent4 2 2 5 3 2 3" xfId="21073" xr:uid="{00000000-0005-0000-0000-0000E3490000}"/>
    <cellStyle name="40% - Accent4 2 2 5 3 3" xfId="21080" xr:uid="{00000000-0005-0000-0000-0000E4490000}"/>
    <cellStyle name="40% - Accent4 2 2 5 3 3 2" xfId="21083" xr:uid="{00000000-0005-0000-0000-0000E5490000}"/>
    <cellStyle name="40% - Accent4 2 2 5 3 4" xfId="21089" xr:uid="{00000000-0005-0000-0000-0000E6490000}"/>
    <cellStyle name="40% - Accent4 2 2 5 4" xfId="27082" xr:uid="{00000000-0005-0000-0000-0000E7490000}"/>
    <cellStyle name="40% - Accent4 2 2 5 4 2" xfId="21093" xr:uid="{00000000-0005-0000-0000-0000E8490000}"/>
    <cellStyle name="40% - Accent4 2 2 5 4 2 2" xfId="21100" xr:uid="{00000000-0005-0000-0000-0000E9490000}"/>
    <cellStyle name="40% - Accent4 2 2 5 4 3" xfId="21105" xr:uid="{00000000-0005-0000-0000-0000EA490000}"/>
    <cellStyle name="40% - Accent4 2 2 5 5" xfId="31801" xr:uid="{00000000-0005-0000-0000-0000EB490000}"/>
    <cellStyle name="40% - Accent4 2 2 5 5 2" xfId="21107" xr:uid="{00000000-0005-0000-0000-0000EC490000}"/>
    <cellStyle name="40% - Accent4 2 2 5 6" xfId="18452" xr:uid="{00000000-0005-0000-0000-0000ED490000}"/>
    <cellStyle name="40% - Accent4 2 2 6" xfId="21109" xr:uid="{00000000-0005-0000-0000-0000EE490000}"/>
    <cellStyle name="40% - Accent4 2 2 6 2" xfId="21116" xr:uid="{00000000-0005-0000-0000-0000EF490000}"/>
    <cellStyle name="40% - Accent4 2 2 6 2 2" xfId="21118" xr:uid="{00000000-0005-0000-0000-0000F0490000}"/>
    <cellStyle name="40% - Accent4 2 2 6 2 2 2" xfId="21256" xr:uid="{00000000-0005-0000-0000-0000F1490000}"/>
    <cellStyle name="40% - Accent4 2 2 6 2 2 2 2" xfId="22695" xr:uid="{00000000-0005-0000-0000-0000F2490000}"/>
    <cellStyle name="40% - Accent4 2 2 6 2 2 3" xfId="21122" xr:uid="{00000000-0005-0000-0000-0000F3490000}"/>
    <cellStyle name="40% - Accent4 2 2 6 2 3" xfId="21125" xr:uid="{00000000-0005-0000-0000-0000F4490000}"/>
    <cellStyle name="40% - Accent4 2 2 6 2 3 2" xfId="21002" xr:uid="{00000000-0005-0000-0000-0000F5490000}"/>
    <cellStyle name="40% - Accent4 2 2 6 2 4" xfId="21127" xr:uid="{00000000-0005-0000-0000-0000F6490000}"/>
    <cellStyle name="40% - Accent4 2 2 6 3" xfId="21129" xr:uid="{00000000-0005-0000-0000-0000F7490000}"/>
    <cellStyle name="40% - Accent4 2 2 6 3 2" xfId="21130" xr:uid="{00000000-0005-0000-0000-0000F8490000}"/>
    <cellStyle name="40% - Accent4 2 2 6 3 2 2" xfId="19985" xr:uid="{00000000-0005-0000-0000-0000F9490000}"/>
    <cellStyle name="40% - Accent4 2 2 6 3 3" xfId="21133" xr:uid="{00000000-0005-0000-0000-0000FA490000}"/>
    <cellStyle name="40% - Accent4 2 2 6 4" xfId="21135" xr:uid="{00000000-0005-0000-0000-0000FB490000}"/>
    <cellStyle name="40% - Accent4 2 2 6 4 2" xfId="21136" xr:uid="{00000000-0005-0000-0000-0000FC490000}"/>
    <cellStyle name="40% - Accent4 2 2 6 5" xfId="21138" xr:uid="{00000000-0005-0000-0000-0000FD490000}"/>
    <cellStyle name="40% - Accent4 2 2 7" xfId="5842" xr:uid="{00000000-0005-0000-0000-0000FE490000}"/>
    <cellStyle name="40% - Accent4 2 2 7 2" xfId="9603" xr:uid="{00000000-0005-0000-0000-0000FF490000}"/>
    <cellStyle name="40% - Accent4 2 2 7 2 2" xfId="14124" xr:uid="{00000000-0005-0000-0000-0000004A0000}"/>
    <cellStyle name="40% - Accent4 2 2 7 2 2 2" xfId="22330" xr:uid="{00000000-0005-0000-0000-0000014A0000}"/>
    <cellStyle name="40% - Accent4 2 2 7 2 3" xfId="21142" xr:uid="{00000000-0005-0000-0000-0000024A0000}"/>
    <cellStyle name="40% - Accent4 2 2 7 3" xfId="11771" xr:uid="{00000000-0005-0000-0000-0000034A0000}"/>
    <cellStyle name="40% - Accent4 2 2 7 3 2" xfId="21143" xr:uid="{00000000-0005-0000-0000-0000044A0000}"/>
    <cellStyle name="40% - Accent4 2 2 7 4" xfId="21144" xr:uid="{00000000-0005-0000-0000-0000054A0000}"/>
    <cellStyle name="40% - Accent4 2 2 8" xfId="14130" xr:uid="{00000000-0005-0000-0000-0000064A0000}"/>
    <cellStyle name="40% - Accent4 2 2 8 2" xfId="18378" xr:uid="{00000000-0005-0000-0000-0000074A0000}"/>
    <cellStyle name="40% - Accent4 2 2 8 2 2" xfId="30613" xr:uid="{00000000-0005-0000-0000-0000084A0000}"/>
    <cellStyle name="40% - Accent4 2 2 8 3" xfId="32307" xr:uid="{00000000-0005-0000-0000-0000094A0000}"/>
    <cellStyle name="40% - Accent4 2 2 9" xfId="16949" xr:uid="{00000000-0005-0000-0000-00000A4A0000}"/>
    <cellStyle name="40% - Accent4 2 2 9 2" xfId="33318" xr:uid="{00000000-0005-0000-0000-00000B4A0000}"/>
    <cellStyle name="40% - Accent4 2 3" xfId="11769" xr:uid="{00000000-0005-0000-0000-00000C4A0000}"/>
    <cellStyle name="40% - Accent4 2 3 2" xfId="20123" xr:uid="{00000000-0005-0000-0000-00000D4A0000}"/>
    <cellStyle name="40% - Accent4 2 3 2 2" xfId="20127" xr:uid="{00000000-0005-0000-0000-00000E4A0000}"/>
    <cellStyle name="40% - Accent4 2 3 2 2 2" xfId="27445" xr:uid="{00000000-0005-0000-0000-00000F4A0000}"/>
    <cellStyle name="40% - Accent4 2 3 2 2 2 2" xfId="1684" xr:uid="{00000000-0005-0000-0000-0000104A0000}"/>
    <cellStyle name="40% - Accent4 2 3 2 2 2 2 2" xfId="30090" xr:uid="{00000000-0005-0000-0000-0000114A0000}"/>
    <cellStyle name="40% - Accent4 2 3 2 2 2 2 2 2" xfId="19708" xr:uid="{00000000-0005-0000-0000-0000124A0000}"/>
    <cellStyle name="40% - Accent4 2 3 2 2 2 2 2 2 2" xfId="21146" xr:uid="{00000000-0005-0000-0000-0000134A0000}"/>
    <cellStyle name="40% - Accent4 2 3 2 2 2 2 2 2 2 2" xfId="22905" xr:uid="{00000000-0005-0000-0000-0000144A0000}"/>
    <cellStyle name="40% - Accent4 2 3 2 2 2 2 2 2 3" xfId="15933" xr:uid="{00000000-0005-0000-0000-0000154A0000}"/>
    <cellStyle name="40% - Accent4 2 3 2 2 2 2 2 3" xfId="7646" xr:uid="{00000000-0005-0000-0000-0000164A0000}"/>
    <cellStyle name="40% - Accent4 2 3 2 2 2 2 2 3 2" xfId="29093" xr:uid="{00000000-0005-0000-0000-0000174A0000}"/>
    <cellStyle name="40% - Accent4 2 3 2 2 2 2 2 4" xfId="12309" xr:uid="{00000000-0005-0000-0000-0000184A0000}"/>
    <cellStyle name="40% - Accent4 2 3 2 2 2 2 3" xfId="28542" xr:uid="{00000000-0005-0000-0000-0000194A0000}"/>
    <cellStyle name="40% - Accent4 2 3 2 2 2 2 3 2" xfId="17439" xr:uid="{00000000-0005-0000-0000-00001A4A0000}"/>
    <cellStyle name="40% - Accent4 2 3 2 2 2 2 3 2 2" xfId="21151" xr:uid="{00000000-0005-0000-0000-00001B4A0000}"/>
    <cellStyle name="40% - Accent4 2 3 2 2 2 2 3 3" xfId="12317" xr:uid="{00000000-0005-0000-0000-00001C4A0000}"/>
    <cellStyle name="40% - Accent4 2 3 2 2 2 2 4" xfId="21152" xr:uid="{00000000-0005-0000-0000-00001D4A0000}"/>
    <cellStyle name="40% - Accent4 2 3 2 2 2 2 4 2" xfId="13566" xr:uid="{00000000-0005-0000-0000-00001E4A0000}"/>
    <cellStyle name="40% - Accent4 2 3 2 2 2 2 5" xfId="21157" xr:uid="{00000000-0005-0000-0000-00001F4A0000}"/>
    <cellStyle name="40% - Accent4 2 3 2 2 2 3" xfId="28511" xr:uid="{00000000-0005-0000-0000-0000204A0000}"/>
    <cellStyle name="40% - Accent4 2 3 2 2 2 3 2" xfId="288" xr:uid="{00000000-0005-0000-0000-0000214A0000}"/>
    <cellStyle name="40% - Accent4 2 3 2 2 2 3 2 2" xfId="12065" xr:uid="{00000000-0005-0000-0000-0000224A0000}"/>
    <cellStyle name="40% - Accent4 2 3 2 2 2 3 2 2 2" xfId="21160" xr:uid="{00000000-0005-0000-0000-0000234A0000}"/>
    <cellStyle name="40% - Accent4 2 3 2 2 2 3 2 3" xfId="12074" xr:uid="{00000000-0005-0000-0000-0000244A0000}"/>
    <cellStyle name="40% - Accent4 2 3 2 2 2 3 3" xfId="641" xr:uid="{00000000-0005-0000-0000-0000254A0000}"/>
    <cellStyle name="40% - Accent4 2 3 2 2 2 3 3 2" xfId="7279" xr:uid="{00000000-0005-0000-0000-0000264A0000}"/>
    <cellStyle name="40% - Accent4 2 3 2 2 2 3 4" xfId="768" xr:uid="{00000000-0005-0000-0000-0000274A0000}"/>
    <cellStyle name="40% - Accent4 2 3 2 2 2 4" xfId="30169" xr:uid="{00000000-0005-0000-0000-0000284A0000}"/>
    <cellStyle name="40% - Accent4 2 3 2 2 2 4 2" xfId="10822" xr:uid="{00000000-0005-0000-0000-0000294A0000}"/>
    <cellStyle name="40% - Accent4 2 3 2 2 2 4 2 2" xfId="12077" xr:uid="{00000000-0005-0000-0000-00002A4A0000}"/>
    <cellStyle name="40% - Accent4 2 3 2 2 2 4 3" xfId="5262" xr:uid="{00000000-0005-0000-0000-00002B4A0000}"/>
    <cellStyle name="40% - Accent4 2 3 2 2 2 5" xfId="28530" xr:uid="{00000000-0005-0000-0000-00002C4A0000}"/>
    <cellStyle name="40% - Accent4 2 3 2 2 2 5 2" xfId="6112" xr:uid="{00000000-0005-0000-0000-00002D4A0000}"/>
    <cellStyle name="40% - Accent4 2 3 2 2 2 6" xfId="21163" xr:uid="{00000000-0005-0000-0000-00002E4A0000}"/>
    <cellStyle name="40% - Accent4 2 3 2 2 3" xfId="20960" xr:uid="{00000000-0005-0000-0000-00002F4A0000}"/>
    <cellStyle name="40% - Accent4 2 3 2 2 3 2" xfId="21165" xr:uid="{00000000-0005-0000-0000-0000304A0000}"/>
    <cellStyle name="40% - Accent4 2 3 2 2 3 2 2" xfId="3074" xr:uid="{00000000-0005-0000-0000-0000314A0000}"/>
    <cellStyle name="40% - Accent4 2 3 2 2 3 2 2 2" xfId="13728" xr:uid="{00000000-0005-0000-0000-0000324A0000}"/>
    <cellStyle name="40% - Accent4 2 3 2 2 3 2 2 2 2" xfId="21616" xr:uid="{00000000-0005-0000-0000-0000334A0000}"/>
    <cellStyle name="40% - Accent4 2 3 2 2 3 2 2 3" xfId="9291" xr:uid="{00000000-0005-0000-0000-0000344A0000}"/>
    <cellStyle name="40% - Accent4 2 3 2 2 3 2 3" xfId="22643" xr:uid="{00000000-0005-0000-0000-0000354A0000}"/>
    <cellStyle name="40% - Accent4 2 3 2 2 3 2 3 2" xfId="13738" xr:uid="{00000000-0005-0000-0000-0000364A0000}"/>
    <cellStyle name="40% - Accent4 2 3 2 2 3 2 4" xfId="21166" xr:uid="{00000000-0005-0000-0000-0000374A0000}"/>
    <cellStyle name="40% - Accent4 2 3 2 2 3 3" xfId="28533" xr:uid="{00000000-0005-0000-0000-0000384A0000}"/>
    <cellStyle name="40% - Accent4 2 3 2 2 3 3 2" xfId="328" xr:uid="{00000000-0005-0000-0000-0000394A0000}"/>
    <cellStyle name="40% - Accent4 2 3 2 2 3 3 2 2" xfId="12088" xr:uid="{00000000-0005-0000-0000-00003A4A0000}"/>
    <cellStyle name="40% - Accent4 2 3 2 2 3 3 3" xfId="21173" xr:uid="{00000000-0005-0000-0000-00003B4A0000}"/>
    <cellStyle name="40% - Accent4 2 3 2 2 3 4" xfId="28538" xr:uid="{00000000-0005-0000-0000-00003C4A0000}"/>
    <cellStyle name="40% - Accent4 2 3 2 2 3 4 2" xfId="9153" xr:uid="{00000000-0005-0000-0000-00003D4A0000}"/>
    <cellStyle name="40% - Accent4 2 3 2 2 3 5" xfId="21177" xr:uid="{00000000-0005-0000-0000-00003E4A0000}"/>
    <cellStyle name="40% - Accent4 2 3 2 2 4" xfId="21179" xr:uid="{00000000-0005-0000-0000-00003F4A0000}"/>
    <cellStyle name="40% - Accent4 2 3 2 2 4 2" xfId="4372" xr:uid="{00000000-0005-0000-0000-0000404A0000}"/>
    <cellStyle name="40% - Accent4 2 3 2 2 4 2 2" xfId="33640" xr:uid="{00000000-0005-0000-0000-0000414A0000}"/>
    <cellStyle name="40% - Accent4 2 3 2 2 4 2 2 2" xfId="13789" xr:uid="{00000000-0005-0000-0000-0000424A0000}"/>
    <cellStyle name="40% - Accent4 2 3 2 2 4 2 3" xfId="21181" xr:uid="{00000000-0005-0000-0000-0000434A0000}"/>
    <cellStyle name="40% - Accent4 2 3 2 2 4 3" xfId="112" xr:uid="{00000000-0005-0000-0000-0000444A0000}"/>
    <cellStyle name="40% - Accent4 2 3 2 2 4 3 2" xfId="30092" xr:uid="{00000000-0005-0000-0000-0000454A0000}"/>
    <cellStyle name="40% - Accent4 2 3 2 2 4 4" xfId="21183" xr:uid="{00000000-0005-0000-0000-0000464A0000}"/>
    <cellStyle name="40% - Accent4 2 3 2 2 5" xfId="21184" xr:uid="{00000000-0005-0000-0000-0000474A0000}"/>
    <cellStyle name="40% - Accent4 2 3 2 2 5 2" xfId="21185" xr:uid="{00000000-0005-0000-0000-0000484A0000}"/>
    <cellStyle name="40% - Accent4 2 3 2 2 5 2 2" xfId="22233" xr:uid="{00000000-0005-0000-0000-0000494A0000}"/>
    <cellStyle name="40% - Accent4 2 3 2 2 5 3" xfId="32568" xr:uid="{00000000-0005-0000-0000-00004A4A0000}"/>
    <cellStyle name="40% - Accent4 2 3 2 2 6" xfId="21188" xr:uid="{00000000-0005-0000-0000-00004B4A0000}"/>
    <cellStyle name="40% - Accent4 2 3 2 2 6 2" xfId="21189" xr:uid="{00000000-0005-0000-0000-00004C4A0000}"/>
    <cellStyle name="40% - Accent4 2 3 2 2 7" xfId="21190" xr:uid="{00000000-0005-0000-0000-00004D4A0000}"/>
    <cellStyle name="40% - Accent4 2 3 2 3" xfId="9458" xr:uid="{00000000-0005-0000-0000-00004E4A0000}"/>
    <cellStyle name="40% - Accent4 2 3 2 3 2" xfId="29207" xr:uid="{00000000-0005-0000-0000-00004F4A0000}"/>
    <cellStyle name="40% - Accent4 2 3 2 3 2 2" xfId="21194" xr:uid="{00000000-0005-0000-0000-0000504A0000}"/>
    <cellStyle name="40% - Accent4 2 3 2 3 2 2 2" xfId="21196" xr:uid="{00000000-0005-0000-0000-0000514A0000}"/>
    <cellStyle name="40% - Accent4 2 3 2 3 2 2 2 2" xfId="13903" xr:uid="{00000000-0005-0000-0000-0000524A0000}"/>
    <cellStyle name="40% - Accent4 2 3 2 3 2 2 2 2 2" xfId="21197" xr:uid="{00000000-0005-0000-0000-0000534A0000}"/>
    <cellStyle name="40% - Accent4 2 3 2 3 2 2 2 3" xfId="16433" xr:uid="{00000000-0005-0000-0000-0000544A0000}"/>
    <cellStyle name="40% - Accent4 2 3 2 3 2 2 3" xfId="31505" xr:uid="{00000000-0005-0000-0000-0000554A0000}"/>
    <cellStyle name="40% - Accent4 2 3 2 3 2 2 3 2" xfId="13908" xr:uid="{00000000-0005-0000-0000-0000564A0000}"/>
    <cellStyle name="40% - Accent4 2 3 2 3 2 2 4" xfId="27665" xr:uid="{00000000-0005-0000-0000-0000574A0000}"/>
    <cellStyle name="40% - Accent4 2 3 2 3 2 3" xfId="21200" xr:uid="{00000000-0005-0000-0000-0000584A0000}"/>
    <cellStyle name="40% - Accent4 2 3 2 3 2 3 2" xfId="451" xr:uid="{00000000-0005-0000-0000-0000594A0000}"/>
    <cellStyle name="40% - Accent4 2 3 2 3 2 3 2 2" xfId="16511" xr:uid="{00000000-0005-0000-0000-00005A4A0000}"/>
    <cellStyle name="40% - Accent4 2 3 2 3 2 3 3" xfId="31409" xr:uid="{00000000-0005-0000-0000-00005B4A0000}"/>
    <cellStyle name="40% - Accent4 2 3 2 3 2 4" xfId="21204" xr:uid="{00000000-0005-0000-0000-00005C4A0000}"/>
    <cellStyle name="40% - Accent4 2 3 2 3 2 4 2" xfId="9171" xr:uid="{00000000-0005-0000-0000-00005D4A0000}"/>
    <cellStyle name="40% - Accent4 2 3 2 3 2 5" xfId="21206" xr:uid="{00000000-0005-0000-0000-00005E4A0000}"/>
    <cellStyle name="40% - Accent4 2 3 2 3 3" xfId="31114" xr:uid="{00000000-0005-0000-0000-00005F4A0000}"/>
    <cellStyle name="40% - Accent4 2 3 2 3 3 2" xfId="21219" xr:uid="{00000000-0005-0000-0000-0000604A0000}"/>
    <cellStyle name="40% - Accent4 2 3 2 3 3 2 2" xfId="26910" xr:uid="{00000000-0005-0000-0000-0000614A0000}"/>
    <cellStyle name="40% - Accent4 2 3 2 3 3 2 2 2" xfId="20792" xr:uid="{00000000-0005-0000-0000-0000624A0000}"/>
    <cellStyle name="40% - Accent4 2 3 2 3 3 2 3" xfId="21226" xr:uid="{00000000-0005-0000-0000-0000634A0000}"/>
    <cellStyle name="40% - Accent4 2 3 2 3 3 3" xfId="21229" xr:uid="{00000000-0005-0000-0000-0000644A0000}"/>
    <cellStyle name="40% - Accent4 2 3 2 3 3 3 2" xfId="24315" xr:uid="{00000000-0005-0000-0000-0000654A0000}"/>
    <cellStyle name="40% - Accent4 2 3 2 3 3 4" xfId="21236" xr:uid="{00000000-0005-0000-0000-0000664A0000}"/>
    <cellStyle name="40% - Accent4 2 3 2 3 4" xfId="26000" xr:uid="{00000000-0005-0000-0000-0000674A0000}"/>
    <cellStyle name="40% - Accent4 2 3 2 3 4 2" xfId="21240" xr:uid="{00000000-0005-0000-0000-0000684A0000}"/>
    <cellStyle name="40% - Accent4 2 3 2 3 4 2 2" xfId="21243" xr:uid="{00000000-0005-0000-0000-0000694A0000}"/>
    <cellStyle name="40% - Accent4 2 3 2 3 4 3" xfId="21245" xr:uid="{00000000-0005-0000-0000-00006A4A0000}"/>
    <cellStyle name="40% - Accent4 2 3 2 3 5" xfId="21248" xr:uid="{00000000-0005-0000-0000-00006B4A0000}"/>
    <cellStyle name="40% - Accent4 2 3 2 3 5 2" xfId="21250" xr:uid="{00000000-0005-0000-0000-00006C4A0000}"/>
    <cellStyle name="40% - Accent4 2 3 2 3 6" xfId="21252" xr:uid="{00000000-0005-0000-0000-00006D4A0000}"/>
    <cellStyle name="40% - Accent4 2 3 2 4" xfId="21259" xr:uid="{00000000-0005-0000-0000-00006E4A0000}"/>
    <cellStyle name="40% - Accent4 2 3 2 4 2" xfId="17257" xr:uid="{00000000-0005-0000-0000-00006F4A0000}"/>
    <cellStyle name="40% - Accent4 2 3 2 4 2 2" xfId="21263" xr:uid="{00000000-0005-0000-0000-0000704A0000}"/>
    <cellStyle name="40% - Accent4 2 3 2 4 2 2 2" xfId="21265" xr:uid="{00000000-0005-0000-0000-0000714A0000}"/>
    <cellStyle name="40% - Accent4 2 3 2 4 2 2 2 2" xfId="14049" xr:uid="{00000000-0005-0000-0000-0000724A0000}"/>
    <cellStyle name="40% - Accent4 2 3 2 4 2 2 3" xfId="33567" xr:uid="{00000000-0005-0000-0000-0000734A0000}"/>
    <cellStyle name="40% - Accent4 2 3 2 4 2 3" xfId="21266" xr:uid="{00000000-0005-0000-0000-0000744A0000}"/>
    <cellStyle name="40% - Accent4 2 3 2 4 2 3 2" xfId="31490" xr:uid="{00000000-0005-0000-0000-0000754A0000}"/>
    <cellStyle name="40% - Accent4 2 3 2 4 2 4" xfId="21846" xr:uid="{00000000-0005-0000-0000-0000764A0000}"/>
    <cellStyle name="40% - Accent4 2 3 2 4 3" xfId="1515" xr:uid="{00000000-0005-0000-0000-0000774A0000}"/>
    <cellStyle name="40% - Accent4 2 3 2 4 3 2" xfId="15654" xr:uid="{00000000-0005-0000-0000-0000784A0000}"/>
    <cellStyle name="40% - Accent4 2 3 2 4 3 2 2" xfId="26923" xr:uid="{00000000-0005-0000-0000-0000794A0000}"/>
    <cellStyle name="40% - Accent4 2 3 2 4 3 3" xfId="15666" xr:uid="{00000000-0005-0000-0000-00007A4A0000}"/>
    <cellStyle name="40% - Accent4 2 3 2 4 4" xfId="21273" xr:uid="{00000000-0005-0000-0000-00007B4A0000}"/>
    <cellStyle name="40% - Accent4 2 3 2 4 4 2" xfId="15695" xr:uid="{00000000-0005-0000-0000-00007C4A0000}"/>
    <cellStyle name="40% - Accent4 2 3 2 4 5" xfId="21275" xr:uid="{00000000-0005-0000-0000-00007D4A0000}"/>
    <cellStyle name="40% - Accent4 2 3 2 5" xfId="25014" xr:uid="{00000000-0005-0000-0000-00007E4A0000}"/>
    <cellStyle name="40% - Accent4 2 3 2 5 2" xfId="21281" xr:uid="{00000000-0005-0000-0000-00007F4A0000}"/>
    <cellStyle name="40% - Accent4 2 3 2 5 2 2" xfId="28305" xr:uid="{00000000-0005-0000-0000-0000804A0000}"/>
    <cellStyle name="40% - Accent4 2 3 2 5 2 2 2" xfId="7829" xr:uid="{00000000-0005-0000-0000-0000814A0000}"/>
    <cellStyle name="40% - Accent4 2 3 2 5 2 3" xfId="21289" xr:uid="{00000000-0005-0000-0000-0000824A0000}"/>
    <cellStyle name="40% - Accent4 2 3 2 5 3" xfId="21302" xr:uid="{00000000-0005-0000-0000-0000834A0000}"/>
    <cellStyle name="40% - Accent4 2 3 2 5 3 2" xfId="15748" xr:uid="{00000000-0005-0000-0000-0000844A0000}"/>
    <cellStyle name="40% - Accent4 2 3 2 5 4" xfId="21307" xr:uid="{00000000-0005-0000-0000-0000854A0000}"/>
    <cellStyle name="40% - Accent4 2 3 2 6" xfId="18801" xr:uid="{00000000-0005-0000-0000-0000864A0000}"/>
    <cellStyle name="40% - Accent4 2 3 2 6 2" xfId="28021" xr:uid="{00000000-0005-0000-0000-0000874A0000}"/>
    <cellStyle name="40% - Accent4 2 3 2 6 2 2" xfId="21309" xr:uid="{00000000-0005-0000-0000-0000884A0000}"/>
    <cellStyle name="40% - Accent4 2 3 2 6 3" xfId="13372" xr:uid="{00000000-0005-0000-0000-0000894A0000}"/>
    <cellStyle name="40% - Accent4 2 3 2 7" xfId="29281" xr:uid="{00000000-0005-0000-0000-00008A4A0000}"/>
    <cellStyle name="40% - Accent4 2 3 2 7 2" xfId="6208" xr:uid="{00000000-0005-0000-0000-00008B4A0000}"/>
    <cellStyle name="40% - Accent4 2 3 2 8" xfId="33790" xr:uid="{00000000-0005-0000-0000-00008C4A0000}"/>
    <cellStyle name="40% - Accent4 2 3 3" xfId="20131" xr:uid="{00000000-0005-0000-0000-00008D4A0000}"/>
    <cellStyle name="40% - Accent4 2 3 3 2" xfId="20136" xr:uid="{00000000-0005-0000-0000-00008E4A0000}"/>
    <cellStyle name="40% - Accent4 2 3 3 2 2" xfId="31437" xr:uid="{00000000-0005-0000-0000-00008F4A0000}"/>
    <cellStyle name="40% - Accent4 2 3 3 2 2 2" xfId="21314" xr:uid="{00000000-0005-0000-0000-0000904A0000}"/>
    <cellStyle name="40% - Accent4 2 3 3 2 2 2 2" xfId="1281" xr:uid="{00000000-0005-0000-0000-0000914A0000}"/>
    <cellStyle name="40% - Accent4 2 3 3 2 2 2 2 2" xfId="19942" xr:uid="{00000000-0005-0000-0000-0000924A0000}"/>
    <cellStyle name="40% - Accent4 2 3 3 2 2 2 2 2 2" xfId="16184" xr:uid="{00000000-0005-0000-0000-0000934A0000}"/>
    <cellStyle name="40% - Accent4 2 3 3 2 2 2 2 3" xfId="21320" xr:uid="{00000000-0005-0000-0000-0000944A0000}"/>
    <cellStyle name="40% - Accent4 2 3 3 2 2 2 3" xfId="8181" xr:uid="{00000000-0005-0000-0000-0000954A0000}"/>
    <cellStyle name="40% - Accent4 2 3 3 2 2 2 3 2" xfId="19955" xr:uid="{00000000-0005-0000-0000-0000964A0000}"/>
    <cellStyle name="40% - Accent4 2 3 3 2 2 2 4" xfId="8265" xr:uid="{00000000-0005-0000-0000-0000974A0000}"/>
    <cellStyle name="40% - Accent4 2 3 3 2 2 3" xfId="33551" xr:uid="{00000000-0005-0000-0000-0000984A0000}"/>
    <cellStyle name="40% - Accent4 2 3 3 2 2 3 2" xfId="2749" xr:uid="{00000000-0005-0000-0000-0000994A0000}"/>
    <cellStyle name="40% - Accent4 2 3 3 2 2 3 2 2" xfId="21326" xr:uid="{00000000-0005-0000-0000-00009A4A0000}"/>
    <cellStyle name="40% - Accent4 2 3 3 2 2 3 3" xfId="1406" xr:uid="{00000000-0005-0000-0000-00009B4A0000}"/>
    <cellStyle name="40% - Accent4 2 3 3 2 2 4" xfId="33162" xr:uid="{00000000-0005-0000-0000-00009C4A0000}"/>
    <cellStyle name="40% - Accent4 2 3 3 2 2 4 2" xfId="19079" xr:uid="{00000000-0005-0000-0000-00009D4A0000}"/>
    <cellStyle name="40% - Accent4 2 3 3 2 2 5" xfId="21329" xr:uid="{00000000-0005-0000-0000-00009E4A0000}"/>
    <cellStyle name="40% - Accent4 2 3 3 2 3" xfId="21015" xr:uid="{00000000-0005-0000-0000-00009F4A0000}"/>
    <cellStyle name="40% - Accent4 2 3 3 2 3 2" xfId="21330" xr:uid="{00000000-0005-0000-0000-0000A04A0000}"/>
    <cellStyle name="40% - Accent4 2 3 3 2 3 2 2" xfId="6795" xr:uid="{00000000-0005-0000-0000-0000A14A0000}"/>
    <cellStyle name="40% - Accent4 2 3 3 2 3 2 2 2" xfId="24007" xr:uid="{00000000-0005-0000-0000-0000A24A0000}"/>
    <cellStyle name="40% - Accent4 2 3 3 2 3 2 3" xfId="14036" xr:uid="{00000000-0005-0000-0000-0000A34A0000}"/>
    <cellStyle name="40% - Accent4 2 3 3 2 3 3" xfId="28606" xr:uid="{00000000-0005-0000-0000-0000A44A0000}"/>
    <cellStyle name="40% - Accent4 2 3 3 2 3 3 2" xfId="17404" xr:uid="{00000000-0005-0000-0000-0000A54A0000}"/>
    <cellStyle name="40% - Accent4 2 3 3 2 3 4" xfId="21332" xr:uid="{00000000-0005-0000-0000-0000A64A0000}"/>
    <cellStyle name="40% - Accent4 2 3 3 2 4" xfId="21337" xr:uid="{00000000-0005-0000-0000-0000A74A0000}"/>
    <cellStyle name="40% - Accent4 2 3 3 2 4 2" xfId="21340" xr:uid="{00000000-0005-0000-0000-0000A84A0000}"/>
    <cellStyle name="40% - Accent4 2 3 3 2 4 2 2" xfId="21108" xr:uid="{00000000-0005-0000-0000-0000A94A0000}"/>
    <cellStyle name="40% - Accent4 2 3 3 2 4 3" xfId="1658" xr:uid="{00000000-0005-0000-0000-0000AA4A0000}"/>
    <cellStyle name="40% - Accent4 2 3 3 2 5" xfId="21343" xr:uid="{00000000-0005-0000-0000-0000AB4A0000}"/>
    <cellStyle name="40% - Accent4 2 3 3 2 5 2" xfId="25655" xr:uid="{00000000-0005-0000-0000-0000AC4A0000}"/>
    <cellStyle name="40% - Accent4 2 3 3 2 6" xfId="4757" xr:uid="{00000000-0005-0000-0000-0000AD4A0000}"/>
    <cellStyle name="40% - Accent4 2 3 3 3" xfId="21347" xr:uid="{00000000-0005-0000-0000-0000AE4A0000}"/>
    <cellStyle name="40% - Accent4 2 3 3 3 2" xfId="21349" xr:uid="{00000000-0005-0000-0000-0000AF4A0000}"/>
    <cellStyle name="40% - Accent4 2 3 3 3 2 2" xfId="21358" xr:uid="{00000000-0005-0000-0000-0000B04A0000}"/>
    <cellStyle name="40% - Accent4 2 3 3 3 2 2 2" xfId="2615" xr:uid="{00000000-0005-0000-0000-0000B14A0000}"/>
    <cellStyle name="40% - Accent4 2 3 3 3 2 2 2 2" xfId="22627" xr:uid="{00000000-0005-0000-0000-0000B24A0000}"/>
    <cellStyle name="40% - Accent4 2 3 3 3 2 2 3" xfId="2651" xr:uid="{00000000-0005-0000-0000-0000B34A0000}"/>
    <cellStyle name="40% - Accent4 2 3 3 3 2 3" xfId="21362" xr:uid="{00000000-0005-0000-0000-0000B44A0000}"/>
    <cellStyle name="40% - Accent4 2 3 3 3 2 3 2" xfId="2150" xr:uid="{00000000-0005-0000-0000-0000B54A0000}"/>
    <cellStyle name="40% - Accent4 2 3 3 3 2 4" xfId="17887" xr:uid="{00000000-0005-0000-0000-0000B64A0000}"/>
    <cellStyle name="40% - Accent4 2 3 3 3 3" xfId="21371" xr:uid="{00000000-0005-0000-0000-0000B74A0000}"/>
    <cellStyle name="40% - Accent4 2 3 3 3 3 2" xfId="21380" xr:uid="{00000000-0005-0000-0000-0000B84A0000}"/>
    <cellStyle name="40% - Accent4 2 3 3 3 3 2 2" xfId="12366" xr:uid="{00000000-0005-0000-0000-0000B94A0000}"/>
    <cellStyle name="40% - Accent4 2 3 3 3 3 3" xfId="21384" xr:uid="{00000000-0005-0000-0000-0000BA4A0000}"/>
    <cellStyle name="40% - Accent4 2 3 3 3 4" xfId="21394" xr:uid="{00000000-0005-0000-0000-0000BB4A0000}"/>
    <cellStyle name="40% - Accent4 2 3 3 3 4 2" xfId="21397" xr:uid="{00000000-0005-0000-0000-0000BC4A0000}"/>
    <cellStyle name="40% - Accent4 2 3 3 3 5" xfId="21400" xr:uid="{00000000-0005-0000-0000-0000BD4A0000}"/>
    <cellStyle name="40% - Accent4 2 3 3 4" xfId="19934" xr:uid="{00000000-0005-0000-0000-0000BE4A0000}"/>
    <cellStyle name="40% - Accent4 2 3 3 4 2" xfId="18245" xr:uid="{00000000-0005-0000-0000-0000BF4A0000}"/>
    <cellStyle name="40% - Accent4 2 3 3 4 2 2" xfId="21406" xr:uid="{00000000-0005-0000-0000-0000C04A0000}"/>
    <cellStyle name="40% - Accent4 2 3 3 4 2 2 2" xfId="5998" xr:uid="{00000000-0005-0000-0000-0000C14A0000}"/>
    <cellStyle name="40% - Accent4 2 3 3 4 2 3" xfId="21409" xr:uid="{00000000-0005-0000-0000-0000C24A0000}"/>
    <cellStyle name="40% - Accent4 2 3 3 4 3" xfId="21423" xr:uid="{00000000-0005-0000-0000-0000C34A0000}"/>
    <cellStyle name="40% - Accent4 2 3 3 4 3 2" xfId="15827" xr:uid="{00000000-0005-0000-0000-0000C44A0000}"/>
    <cellStyle name="40% - Accent4 2 3 3 4 4" xfId="21425" xr:uid="{00000000-0005-0000-0000-0000C54A0000}"/>
    <cellStyle name="40% - Accent4 2 3 3 5" xfId="19939" xr:uid="{00000000-0005-0000-0000-0000C64A0000}"/>
    <cellStyle name="40% - Accent4 2 3 3 5 2" xfId="21430" xr:uid="{00000000-0005-0000-0000-0000C74A0000}"/>
    <cellStyle name="40% - Accent4 2 3 3 5 2 2" xfId="21437" xr:uid="{00000000-0005-0000-0000-0000C84A0000}"/>
    <cellStyle name="40% - Accent4 2 3 3 5 3" xfId="21442" xr:uid="{00000000-0005-0000-0000-0000C94A0000}"/>
    <cellStyle name="40% - Accent4 2 3 3 6" xfId="28500" xr:uid="{00000000-0005-0000-0000-0000CA4A0000}"/>
    <cellStyle name="40% - Accent4 2 3 3 6 2" xfId="28505" xr:uid="{00000000-0005-0000-0000-0000CB4A0000}"/>
    <cellStyle name="40% - Accent4 2 3 3 7" xfId="22532" xr:uid="{00000000-0005-0000-0000-0000CC4A0000}"/>
    <cellStyle name="40% - Accent4 2 3 4" xfId="20138" xr:uid="{00000000-0005-0000-0000-0000CD4A0000}"/>
    <cellStyle name="40% - Accent4 2 3 4 2" xfId="21446" xr:uid="{00000000-0005-0000-0000-0000CE4A0000}"/>
    <cellStyle name="40% - Accent4 2 3 4 2 2" xfId="21034" xr:uid="{00000000-0005-0000-0000-0000CF4A0000}"/>
    <cellStyle name="40% - Accent4 2 3 4 2 2 2" xfId="5688" xr:uid="{00000000-0005-0000-0000-0000D04A0000}"/>
    <cellStyle name="40% - Accent4 2 3 4 2 2 2 2" xfId="21578" xr:uid="{00000000-0005-0000-0000-0000D14A0000}"/>
    <cellStyle name="40% - Accent4 2 3 4 2 2 2 2 2" xfId="12997" xr:uid="{00000000-0005-0000-0000-0000D24A0000}"/>
    <cellStyle name="40% - Accent4 2 3 4 2 2 2 3" xfId="23397" xr:uid="{00000000-0005-0000-0000-0000D34A0000}"/>
    <cellStyle name="40% - Accent4 2 3 4 2 2 3" xfId="21447" xr:uid="{00000000-0005-0000-0000-0000D44A0000}"/>
    <cellStyle name="40% - Accent4 2 3 4 2 2 3 2" xfId="24520" xr:uid="{00000000-0005-0000-0000-0000D54A0000}"/>
    <cellStyle name="40% - Accent4 2 3 4 2 2 4" xfId="13692" xr:uid="{00000000-0005-0000-0000-0000D64A0000}"/>
    <cellStyle name="40% - Accent4 2 3 4 2 3" xfId="21451" xr:uid="{00000000-0005-0000-0000-0000D74A0000}"/>
    <cellStyle name="40% - Accent4 2 3 4 2 3 2" xfId="21453" xr:uid="{00000000-0005-0000-0000-0000D84A0000}"/>
    <cellStyle name="40% - Accent4 2 3 4 2 3 2 2" xfId="27833" xr:uid="{00000000-0005-0000-0000-0000D94A0000}"/>
    <cellStyle name="40% - Accent4 2 3 4 2 3 3" xfId="21454" xr:uid="{00000000-0005-0000-0000-0000DA4A0000}"/>
    <cellStyle name="40% - Accent4 2 3 4 2 4" xfId="21457" xr:uid="{00000000-0005-0000-0000-0000DB4A0000}"/>
    <cellStyle name="40% - Accent4 2 3 4 2 4 2" xfId="21460" xr:uid="{00000000-0005-0000-0000-0000DC4A0000}"/>
    <cellStyle name="40% - Accent4 2 3 4 2 5" xfId="21462" xr:uid="{00000000-0005-0000-0000-0000DD4A0000}"/>
    <cellStyle name="40% - Accent4 2 3 4 3" xfId="21464" xr:uid="{00000000-0005-0000-0000-0000DE4A0000}"/>
    <cellStyle name="40% - Accent4 2 3 4 3 2" xfId="21467" xr:uid="{00000000-0005-0000-0000-0000DF4A0000}"/>
    <cellStyle name="40% - Accent4 2 3 4 3 2 2" xfId="21482" xr:uid="{00000000-0005-0000-0000-0000E04A0000}"/>
    <cellStyle name="40% - Accent4 2 3 4 3 2 2 2" xfId="29188" xr:uid="{00000000-0005-0000-0000-0000E14A0000}"/>
    <cellStyle name="40% - Accent4 2 3 4 3 2 3" xfId="21493" xr:uid="{00000000-0005-0000-0000-0000E24A0000}"/>
    <cellStyle name="40% - Accent4 2 3 4 3 3" xfId="21504" xr:uid="{00000000-0005-0000-0000-0000E34A0000}"/>
    <cellStyle name="40% - Accent4 2 3 4 3 3 2" xfId="21508" xr:uid="{00000000-0005-0000-0000-0000E44A0000}"/>
    <cellStyle name="40% - Accent4 2 3 4 3 4" xfId="18985" xr:uid="{00000000-0005-0000-0000-0000E54A0000}"/>
    <cellStyle name="40% - Accent4 2 3 4 4" xfId="19951" xr:uid="{00000000-0005-0000-0000-0000E64A0000}"/>
    <cellStyle name="40% - Accent4 2 3 4 4 2" xfId="21517" xr:uid="{00000000-0005-0000-0000-0000E74A0000}"/>
    <cellStyle name="40% - Accent4 2 3 4 4 2 2" xfId="21521" xr:uid="{00000000-0005-0000-0000-0000E84A0000}"/>
    <cellStyle name="40% - Accent4 2 3 4 4 3" xfId="21528" xr:uid="{00000000-0005-0000-0000-0000E94A0000}"/>
    <cellStyle name="40% - Accent4 2 3 4 5" xfId="31486" xr:uid="{00000000-0005-0000-0000-0000EA4A0000}"/>
    <cellStyle name="40% - Accent4 2 3 4 5 2" xfId="21530" xr:uid="{00000000-0005-0000-0000-0000EB4A0000}"/>
    <cellStyle name="40% - Accent4 2 3 4 6" xfId="23065" xr:uid="{00000000-0005-0000-0000-0000EC4A0000}"/>
    <cellStyle name="40% - Accent4 2 3 5" xfId="28544" xr:uid="{00000000-0005-0000-0000-0000ED4A0000}"/>
    <cellStyle name="40% - Accent4 2 3 5 2" xfId="33888" xr:uid="{00000000-0005-0000-0000-0000EE4A0000}"/>
    <cellStyle name="40% - Accent4 2 3 5 2 2" xfId="33374" xr:uid="{00000000-0005-0000-0000-0000EF4A0000}"/>
    <cellStyle name="40% - Accent4 2 3 5 2 2 2" xfId="6291" xr:uid="{00000000-0005-0000-0000-0000F04A0000}"/>
    <cellStyle name="40% - Accent4 2 3 5 2 2 2 2" xfId="6976" xr:uid="{00000000-0005-0000-0000-0000F14A0000}"/>
    <cellStyle name="40% - Accent4 2 3 5 2 2 3" xfId="21537" xr:uid="{00000000-0005-0000-0000-0000F24A0000}"/>
    <cellStyle name="40% - Accent4 2 3 5 2 3" xfId="26853" xr:uid="{00000000-0005-0000-0000-0000F34A0000}"/>
    <cellStyle name="40% - Accent4 2 3 5 2 3 2" xfId="21538" xr:uid="{00000000-0005-0000-0000-0000F44A0000}"/>
    <cellStyle name="40% - Accent4 2 3 5 2 4" xfId="21540" xr:uid="{00000000-0005-0000-0000-0000F54A0000}"/>
    <cellStyle name="40% - Accent4 2 3 5 3" xfId="19963" xr:uid="{00000000-0005-0000-0000-0000F64A0000}"/>
    <cellStyle name="40% - Accent4 2 3 5 3 2" xfId="23410" xr:uid="{00000000-0005-0000-0000-0000F74A0000}"/>
    <cellStyle name="40% - Accent4 2 3 5 3 2 2" xfId="21541" xr:uid="{00000000-0005-0000-0000-0000F84A0000}"/>
    <cellStyle name="40% - Accent4 2 3 5 3 3" xfId="21549" xr:uid="{00000000-0005-0000-0000-0000F94A0000}"/>
    <cellStyle name="40% - Accent4 2 3 5 4" xfId="25356" xr:uid="{00000000-0005-0000-0000-0000FA4A0000}"/>
    <cellStyle name="40% - Accent4 2 3 5 4 2" xfId="21556" xr:uid="{00000000-0005-0000-0000-0000FB4A0000}"/>
    <cellStyle name="40% - Accent4 2 3 5 5" xfId="25366" xr:uid="{00000000-0005-0000-0000-0000FC4A0000}"/>
    <cellStyle name="40% - Accent4 2 3 6" xfId="21560" xr:uid="{00000000-0005-0000-0000-0000FD4A0000}"/>
    <cellStyle name="40% - Accent4 2 3 6 2" xfId="21564" xr:uid="{00000000-0005-0000-0000-0000FE4A0000}"/>
    <cellStyle name="40% - Accent4 2 3 6 2 2" xfId="32331" xr:uid="{00000000-0005-0000-0000-0000FF4A0000}"/>
    <cellStyle name="40% - Accent4 2 3 6 2 2 2" xfId="5725" xr:uid="{00000000-0005-0000-0000-0000004B0000}"/>
    <cellStyle name="40% - Accent4 2 3 6 2 3" xfId="21568" xr:uid="{00000000-0005-0000-0000-0000014B0000}"/>
    <cellStyle name="40% - Accent4 2 3 6 3" xfId="21599" xr:uid="{00000000-0005-0000-0000-0000024B0000}"/>
    <cellStyle name="40% - Accent4 2 3 6 3 2" xfId="21572" xr:uid="{00000000-0005-0000-0000-0000034B0000}"/>
    <cellStyle name="40% - Accent4 2 3 6 4" xfId="22417" xr:uid="{00000000-0005-0000-0000-0000044B0000}"/>
    <cellStyle name="40% - Accent4 2 3 7" xfId="18744" xr:uid="{00000000-0005-0000-0000-0000054B0000}"/>
    <cellStyle name="40% - Accent4 2 3 7 2" xfId="5819" xr:uid="{00000000-0005-0000-0000-0000064B0000}"/>
    <cellStyle name="40% - Accent4 2 3 7 2 2" xfId="32430" xr:uid="{00000000-0005-0000-0000-0000074B0000}"/>
    <cellStyle name="40% - Accent4 2 3 7 3" xfId="21576" xr:uid="{00000000-0005-0000-0000-0000084B0000}"/>
    <cellStyle name="40% - Accent4 2 3 8" xfId="5823" xr:uid="{00000000-0005-0000-0000-0000094B0000}"/>
    <cellStyle name="40% - Accent4 2 3 8 2" xfId="27236" xr:uid="{00000000-0005-0000-0000-00000A4B0000}"/>
    <cellStyle name="40% - Accent4 2 3 9" xfId="33325" xr:uid="{00000000-0005-0000-0000-00000B4B0000}"/>
    <cellStyle name="40% - Accent4 2 4" xfId="2455" xr:uid="{00000000-0005-0000-0000-00000C4B0000}"/>
    <cellStyle name="40% - Accent4 2 4 2" xfId="20139" xr:uid="{00000000-0005-0000-0000-00000D4B0000}"/>
    <cellStyle name="40% - Accent4 2 4 2 2" xfId="20144" xr:uid="{00000000-0005-0000-0000-00000E4B0000}"/>
    <cellStyle name="40% - Accent4 2 4 2 2 2" xfId="4043" xr:uid="{00000000-0005-0000-0000-00000F4B0000}"/>
    <cellStyle name="40% - Accent4 2 4 2 2 2 2" xfId="23681" xr:uid="{00000000-0005-0000-0000-0000104B0000}"/>
    <cellStyle name="40% - Accent4 2 4 2 2 2 2 2" xfId="19342" xr:uid="{00000000-0005-0000-0000-0000114B0000}"/>
    <cellStyle name="40% - Accent4 2 4 2 2 2 2 2 2" xfId="9782" xr:uid="{00000000-0005-0000-0000-0000124B0000}"/>
    <cellStyle name="40% - Accent4 2 4 2 2 2 2 2 2 2" xfId="22897" xr:uid="{00000000-0005-0000-0000-0000134B0000}"/>
    <cellStyle name="40% - Accent4 2 4 2 2 2 2 2 3" xfId="9791" xr:uid="{00000000-0005-0000-0000-0000144B0000}"/>
    <cellStyle name="40% - Accent4 2 4 2 2 2 2 3" xfId="19347" xr:uid="{00000000-0005-0000-0000-0000154B0000}"/>
    <cellStyle name="40% - Accent4 2 4 2 2 2 2 3 2" xfId="30360" xr:uid="{00000000-0005-0000-0000-0000164B0000}"/>
    <cellStyle name="40% - Accent4 2 4 2 2 2 2 4" xfId="23734" xr:uid="{00000000-0005-0000-0000-0000174B0000}"/>
    <cellStyle name="40% - Accent4 2 4 2 2 2 3" xfId="29182" xr:uid="{00000000-0005-0000-0000-0000184B0000}"/>
    <cellStyle name="40% - Accent4 2 4 2 2 2 3 2" xfId="23779" xr:uid="{00000000-0005-0000-0000-0000194B0000}"/>
    <cellStyle name="40% - Accent4 2 4 2 2 2 3 2 2" xfId="27799" xr:uid="{00000000-0005-0000-0000-00001A4B0000}"/>
    <cellStyle name="40% - Accent4 2 4 2 2 2 3 3" xfId="23821" xr:uid="{00000000-0005-0000-0000-00001B4B0000}"/>
    <cellStyle name="40% - Accent4 2 4 2 2 2 4" xfId="19358" xr:uid="{00000000-0005-0000-0000-00001C4B0000}"/>
    <cellStyle name="40% - Accent4 2 4 2 2 2 4 2" xfId="10909" xr:uid="{00000000-0005-0000-0000-00001D4B0000}"/>
    <cellStyle name="40% - Accent4 2 4 2 2 2 5" xfId="21577" xr:uid="{00000000-0005-0000-0000-00001E4B0000}"/>
    <cellStyle name="40% - Accent4 2 4 2 2 3" xfId="21581" xr:uid="{00000000-0005-0000-0000-00001F4B0000}"/>
    <cellStyle name="40% - Accent4 2 4 2 2 3 2" xfId="29003" xr:uid="{00000000-0005-0000-0000-0000204B0000}"/>
    <cellStyle name="40% - Accent4 2 4 2 2 3 2 2" xfId="19367" xr:uid="{00000000-0005-0000-0000-0000214B0000}"/>
    <cellStyle name="40% - Accent4 2 4 2 2 3 2 2 2" xfId="8192" xr:uid="{00000000-0005-0000-0000-0000224B0000}"/>
    <cellStyle name="40% - Accent4 2 4 2 2 3 2 3" xfId="24122" xr:uid="{00000000-0005-0000-0000-0000234B0000}"/>
    <cellStyle name="40% - Accent4 2 4 2 2 3 3" xfId="29008" xr:uid="{00000000-0005-0000-0000-0000244B0000}"/>
    <cellStyle name="40% - Accent4 2 4 2 2 3 3 2" xfId="19823" xr:uid="{00000000-0005-0000-0000-0000254B0000}"/>
    <cellStyle name="40% - Accent4 2 4 2 2 3 4" xfId="29012" xr:uid="{00000000-0005-0000-0000-0000264B0000}"/>
    <cellStyle name="40% - Accent4 2 4 2 2 4" xfId="15670" xr:uid="{00000000-0005-0000-0000-0000274B0000}"/>
    <cellStyle name="40% - Accent4 2 4 2 2 4 2" xfId="32573" xr:uid="{00000000-0005-0000-0000-0000284B0000}"/>
    <cellStyle name="40% - Accent4 2 4 2 2 4 2 2" xfId="24326" xr:uid="{00000000-0005-0000-0000-0000294B0000}"/>
    <cellStyle name="40% - Accent4 2 4 2 2 4 3" xfId="31086" xr:uid="{00000000-0005-0000-0000-00002A4B0000}"/>
    <cellStyle name="40% - Accent4 2 4 2 2 5" xfId="21588" xr:uid="{00000000-0005-0000-0000-00002B4B0000}"/>
    <cellStyle name="40% - Accent4 2 4 2 2 5 2" xfId="21589" xr:uid="{00000000-0005-0000-0000-00002C4B0000}"/>
    <cellStyle name="40% - Accent4 2 4 2 2 6" xfId="21590" xr:uid="{00000000-0005-0000-0000-00002D4B0000}"/>
    <cellStyle name="40% - Accent4 2 4 2 3" xfId="21593" xr:uid="{00000000-0005-0000-0000-00002E4B0000}"/>
    <cellStyle name="40% - Accent4 2 4 2 3 2" xfId="28585" xr:uid="{00000000-0005-0000-0000-00002F4B0000}"/>
    <cellStyle name="40% - Accent4 2 4 2 3 2 2" xfId="19411" xr:uid="{00000000-0005-0000-0000-0000304B0000}"/>
    <cellStyle name="40% - Accent4 2 4 2 3 2 2 2" xfId="19416" xr:uid="{00000000-0005-0000-0000-0000314B0000}"/>
    <cellStyle name="40% - Accent4 2 4 2 3 2 2 2 2" xfId="8198" xr:uid="{00000000-0005-0000-0000-0000324B0000}"/>
    <cellStyle name="40% - Accent4 2 4 2 3 2 2 3" xfId="24779" xr:uid="{00000000-0005-0000-0000-0000334B0000}"/>
    <cellStyle name="40% - Accent4 2 4 2 3 2 3" xfId="19421" xr:uid="{00000000-0005-0000-0000-0000344B0000}"/>
    <cellStyle name="40% - Accent4 2 4 2 3 2 3 2" xfId="24811" xr:uid="{00000000-0005-0000-0000-0000354B0000}"/>
    <cellStyle name="40% - Accent4 2 4 2 3 2 4" xfId="21596" xr:uid="{00000000-0005-0000-0000-0000364B0000}"/>
    <cellStyle name="40% - Accent4 2 4 2 3 3" xfId="22438" xr:uid="{00000000-0005-0000-0000-0000374B0000}"/>
    <cellStyle name="40% - Accent4 2 4 2 3 3 2" xfId="19439" xr:uid="{00000000-0005-0000-0000-0000384B0000}"/>
    <cellStyle name="40% - Accent4 2 4 2 3 3 2 2" xfId="21602" xr:uid="{00000000-0005-0000-0000-0000394B0000}"/>
    <cellStyle name="40% - Accent4 2 4 2 3 3 3" xfId="21605" xr:uid="{00000000-0005-0000-0000-00003A4B0000}"/>
    <cellStyle name="40% - Accent4 2 4 2 3 4" xfId="21610" xr:uid="{00000000-0005-0000-0000-00003B4B0000}"/>
    <cellStyle name="40% - Accent4 2 4 2 3 4 2" xfId="18090" xr:uid="{00000000-0005-0000-0000-00003C4B0000}"/>
    <cellStyle name="40% - Accent4 2 4 2 3 5" xfId="27995" xr:uid="{00000000-0005-0000-0000-00003D4B0000}"/>
    <cellStyle name="40% - Accent4 2 4 2 4" xfId="21626" xr:uid="{00000000-0005-0000-0000-00003E4B0000}"/>
    <cellStyle name="40% - Accent4 2 4 2 4 2" xfId="24118" xr:uid="{00000000-0005-0000-0000-00003F4B0000}"/>
    <cellStyle name="40% - Accent4 2 4 2 4 2 2" xfId="19466" xr:uid="{00000000-0005-0000-0000-0000404B0000}"/>
    <cellStyle name="40% - Accent4 2 4 2 4 2 2 2" xfId="25597" xr:uid="{00000000-0005-0000-0000-0000414B0000}"/>
    <cellStyle name="40% - Accent4 2 4 2 4 2 3" xfId="26187" xr:uid="{00000000-0005-0000-0000-0000424B0000}"/>
    <cellStyle name="40% - Accent4 2 4 2 4 3" xfId="21633" xr:uid="{00000000-0005-0000-0000-0000434B0000}"/>
    <cellStyle name="40% - Accent4 2 4 2 4 3 2" xfId="16151" xr:uid="{00000000-0005-0000-0000-0000444B0000}"/>
    <cellStyle name="40% - Accent4 2 4 2 4 4" xfId="21642" xr:uid="{00000000-0005-0000-0000-0000454B0000}"/>
    <cellStyle name="40% - Accent4 2 4 2 5" xfId="30007" xr:uid="{00000000-0005-0000-0000-0000464B0000}"/>
    <cellStyle name="40% - Accent4 2 4 2 5 2" xfId="24206" xr:uid="{00000000-0005-0000-0000-0000474B0000}"/>
    <cellStyle name="40% - Accent4 2 4 2 5 2 2" xfId="21655" xr:uid="{00000000-0005-0000-0000-0000484B0000}"/>
    <cellStyle name="40% - Accent4 2 4 2 5 3" xfId="24216" xr:uid="{00000000-0005-0000-0000-0000494B0000}"/>
    <cellStyle name="40% - Accent4 2 4 2 6" xfId="28030" xr:uid="{00000000-0005-0000-0000-00004A4B0000}"/>
    <cellStyle name="40% - Accent4 2 4 2 6 2" xfId="14810" xr:uid="{00000000-0005-0000-0000-00004B4B0000}"/>
    <cellStyle name="40% - Accent4 2 4 2 7" xfId="19761" xr:uid="{00000000-0005-0000-0000-00004C4B0000}"/>
    <cellStyle name="40% - Accent4 2 4 3" xfId="20147" xr:uid="{00000000-0005-0000-0000-00004D4B0000}"/>
    <cellStyle name="40% - Accent4 2 4 3 2" xfId="18568" xr:uid="{00000000-0005-0000-0000-00004E4B0000}"/>
    <cellStyle name="40% - Accent4 2 4 3 2 2" xfId="21669" xr:uid="{00000000-0005-0000-0000-00004F4B0000}"/>
    <cellStyle name="40% - Accent4 2 4 3 2 2 2" xfId="25936" xr:uid="{00000000-0005-0000-0000-0000504B0000}"/>
    <cellStyle name="40% - Accent4 2 4 3 2 2 2 2" xfId="24527" xr:uid="{00000000-0005-0000-0000-0000514B0000}"/>
    <cellStyle name="40% - Accent4 2 4 3 2 2 2 2 2" xfId="10320" xr:uid="{00000000-0005-0000-0000-0000524B0000}"/>
    <cellStyle name="40% - Accent4 2 4 3 2 2 2 3" xfId="8961" xr:uid="{00000000-0005-0000-0000-0000534B0000}"/>
    <cellStyle name="40% - Accent4 2 4 3 2 2 3" xfId="24068" xr:uid="{00000000-0005-0000-0000-0000544B0000}"/>
    <cellStyle name="40% - Accent4 2 4 3 2 2 3 2" xfId="3919" xr:uid="{00000000-0005-0000-0000-0000554B0000}"/>
    <cellStyle name="40% - Accent4 2 4 3 2 2 4" xfId="21672" xr:uid="{00000000-0005-0000-0000-0000564B0000}"/>
    <cellStyle name="40% - Accent4 2 4 3 2 3" xfId="25210" xr:uid="{00000000-0005-0000-0000-0000574B0000}"/>
    <cellStyle name="40% - Accent4 2 4 3 2 3 2" xfId="24077" xr:uid="{00000000-0005-0000-0000-0000584B0000}"/>
    <cellStyle name="40% - Accent4 2 4 3 2 3 2 2" xfId="24543" xr:uid="{00000000-0005-0000-0000-0000594B0000}"/>
    <cellStyle name="40% - Accent4 2 4 3 2 3 3" xfId="29671" xr:uid="{00000000-0005-0000-0000-00005A4B0000}"/>
    <cellStyle name="40% - Accent4 2 4 3 2 4" xfId="21684" xr:uid="{00000000-0005-0000-0000-00005B4B0000}"/>
    <cellStyle name="40% - Accent4 2 4 3 2 4 2" xfId="32373" xr:uid="{00000000-0005-0000-0000-00005C4B0000}"/>
    <cellStyle name="40% - Accent4 2 4 3 2 5" xfId="21687" xr:uid="{00000000-0005-0000-0000-00005D4B0000}"/>
    <cellStyle name="40% - Accent4 2 4 3 3" xfId="19979" xr:uid="{00000000-0005-0000-0000-00005E4B0000}"/>
    <cellStyle name="40% - Accent4 2 4 3 3 2" xfId="21693" xr:uid="{00000000-0005-0000-0000-00005F4B0000}"/>
    <cellStyle name="40% - Accent4 2 4 3 3 2 2" xfId="19510" xr:uid="{00000000-0005-0000-0000-0000604B0000}"/>
    <cellStyle name="40% - Accent4 2 4 3 3 2 2 2" xfId="26875" xr:uid="{00000000-0005-0000-0000-0000614B0000}"/>
    <cellStyle name="40% - Accent4 2 4 3 3 2 3" xfId="21695" xr:uid="{00000000-0005-0000-0000-0000624B0000}"/>
    <cellStyle name="40% - Accent4 2 4 3 3 3" xfId="23987" xr:uid="{00000000-0005-0000-0000-0000634B0000}"/>
    <cellStyle name="40% - Accent4 2 4 3 3 3 2" xfId="30054" xr:uid="{00000000-0005-0000-0000-0000644B0000}"/>
    <cellStyle name="40% - Accent4 2 4 3 3 4" xfId="21703" xr:uid="{00000000-0005-0000-0000-0000654B0000}"/>
    <cellStyle name="40% - Accent4 2 4 3 4" xfId="20009" xr:uid="{00000000-0005-0000-0000-0000664B0000}"/>
    <cellStyle name="40% - Accent4 2 4 3 4 2" xfId="28776" xr:uid="{00000000-0005-0000-0000-0000674B0000}"/>
    <cellStyle name="40% - Accent4 2 4 3 4 2 2" xfId="819" xr:uid="{00000000-0005-0000-0000-0000684B0000}"/>
    <cellStyle name="40% - Accent4 2 4 3 4 3" xfId="24340" xr:uid="{00000000-0005-0000-0000-0000694B0000}"/>
    <cellStyle name="40% - Accent4 2 4 3 5" xfId="18811" xr:uid="{00000000-0005-0000-0000-00006A4B0000}"/>
    <cellStyle name="40% - Accent4 2 4 3 5 2" xfId="21715" xr:uid="{00000000-0005-0000-0000-00006B4B0000}"/>
    <cellStyle name="40% - Accent4 2 4 3 6" xfId="19371" xr:uid="{00000000-0005-0000-0000-00006C4B0000}"/>
    <cellStyle name="40% - Accent4 2 4 4" xfId="21721" xr:uid="{00000000-0005-0000-0000-00006D4B0000}"/>
    <cellStyle name="40% - Accent4 2 4 4 2" xfId="1326" xr:uid="{00000000-0005-0000-0000-00006E4B0000}"/>
    <cellStyle name="40% - Accent4 2 4 4 2 2" xfId="5319" xr:uid="{00000000-0005-0000-0000-00006F4B0000}"/>
    <cellStyle name="40% - Accent4 2 4 4 2 2 2" xfId="5324" xr:uid="{00000000-0005-0000-0000-0000704B0000}"/>
    <cellStyle name="40% - Accent4 2 4 4 2 2 2 2" xfId="24502" xr:uid="{00000000-0005-0000-0000-0000714B0000}"/>
    <cellStyle name="40% - Accent4 2 4 4 2 2 3" xfId="21722" xr:uid="{00000000-0005-0000-0000-0000724B0000}"/>
    <cellStyle name="40% - Accent4 2 4 4 2 3" xfId="8631" xr:uid="{00000000-0005-0000-0000-0000734B0000}"/>
    <cellStyle name="40% - Accent4 2 4 4 2 3 2" xfId="22025" xr:uid="{00000000-0005-0000-0000-0000744B0000}"/>
    <cellStyle name="40% - Accent4 2 4 4 2 4" xfId="21727" xr:uid="{00000000-0005-0000-0000-0000754B0000}"/>
    <cellStyle name="40% - Accent4 2 4 4 3" xfId="8502" xr:uid="{00000000-0005-0000-0000-0000764B0000}"/>
    <cellStyle name="40% - Accent4 2 4 4 3 2" xfId="5342" xr:uid="{00000000-0005-0000-0000-0000774B0000}"/>
    <cellStyle name="40% - Accent4 2 4 4 3 2 2" xfId="21735" xr:uid="{00000000-0005-0000-0000-0000784B0000}"/>
    <cellStyle name="40% - Accent4 2 4 4 3 3" xfId="21737" xr:uid="{00000000-0005-0000-0000-0000794B0000}"/>
    <cellStyle name="40% - Accent4 2 4 4 4" xfId="6142" xr:uid="{00000000-0005-0000-0000-00007A4B0000}"/>
    <cellStyle name="40% - Accent4 2 4 4 4 2" xfId="17814" xr:uid="{00000000-0005-0000-0000-00007B4B0000}"/>
    <cellStyle name="40% - Accent4 2 4 4 5" xfId="26748" xr:uid="{00000000-0005-0000-0000-00007C4B0000}"/>
    <cellStyle name="40% - Accent4 2 4 5" xfId="25084" xr:uid="{00000000-0005-0000-0000-00007D4B0000}"/>
    <cellStyle name="40% - Accent4 2 4 5 2" xfId="5438" xr:uid="{00000000-0005-0000-0000-00007E4B0000}"/>
    <cellStyle name="40% - Accent4 2 4 5 2 2" xfId="5451" xr:uid="{00000000-0005-0000-0000-00007F4B0000}"/>
    <cellStyle name="40% - Accent4 2 4 5 2 2 2" xfId="16820" xr:uid="{00000000-0005-0000-0000-0000804B0000}"/>
    <cellStyle name="40% - Accent4 2 4 5 2 3" xfId="21746" xr:uid="{00000000-0005-0000-0000-0000814B0000}"/>
    <cellStyle name="40% - Accent4 2 4 5 3" xfId="5460" xr:uid="{00000000-0005-0000-0000-0000824B0000}"/>
    <cellStyle name="40% - Accent4 2 4 5 3 2" xfId="26778" xr:uid="{00000000-0005-0000-0000-0000834B0000}"/>
    <cellStyle name="40% - Accent4 2 4 5 4" xfId="25376" xr:uid="{00000000-0005-0000-0000-0000844B0000}"/>
    <cellStyle name="40% - Accent4 2 4 6" xfId="29643" xr:uid="{00000000-0005-0000-0000-0000854B0000}"/>
    <cellStyle name="40% - Accent4 2 4 6 2" xfId="27412" xr:uid="{00000000-0005-0000-0000-0000864B0000}"/>
    <cellStyle name="40% - Accent4 2 4 6 2 2" xfId="21752" xr:uid="{00000000-0005-0000-0000-0000874B0000}"/>
    <cellStyle name="40% - Accent4 2 4 6 3" xfId="27051" xr:uid="{00000000-0005-0000-0000-0000884B0000}"/>
    <cellStyle name="40% - Accent4 2 4 7" xfId="14142" xr:uid="{00000000-0005-0000-0000-0000894B0000}"/>
    <cellStyle name="40% - Accent4 2 4 7 2" xfId="15548" xr:uid="{00000000-0005-0000-0000-00008A4B0000}"/>
    <cellStyle name="40% - Accent4 2 4 8" xfId="21753" xr:uid="{00000000-0005-0000-0000-00008B4B0000}"/>
    <cellStyle name="40% - Accent4 2 5" xfId="5895" xr:uid="{00000000-0005-0000-0000-00008C4B0000}"/>
    <cellStyle name="40% - Accent4 2 5 2" xfId="20149" xr:uid="{00000000-0005-0000-0000-00008D4B0000}"/>
    <cellStyle name="40% - Accent4 2 5 2 2" xfId="21757" xr:uid="{00000000-0005-0000-0000-00008E4B0000}"/>
    <cellStyle name="40% - Accent4 2 5 2 2 2" xfId="22223" xr:uid="{00000000-0005-0000-0000-00008F4B0000}"/>
    <cellStyle name="40% - Accent4 2 5 2 2 2 2" xfId="14619" xr:uid="{00000000-0005-0000-0000-0000904B0000}"/>
    <cellStyle name="40% - Accent4 2 5 2 2 2 2 2" xfId="19628" xr:uid="{00000000-0005-0000-0000-0000914B0000}"/>
    <cellStyle name="40% - Accent4 2 5 2 2 2 2 2 2" xfId="14969" xr:uid="{00000000-0005-0000-0000-0000924B0000}"/>
    <cellStyle name="40% - Accent4 2 5 2 2 2 2 3" xfId="21761" xr:uid="{00000000-0005-0000-0000-0000934B0000}"/>
    <cellStyle name="40% - Accent4 2 5 2 2 2 3" xfId="7428" xr:uid="{00000000-0005-0000-0000-0000944B0000}"/>
    <cellStyle name="40% - Accent4 2 5 2 2 2 3 2" xfId="26427" xr:uid="{00000000-0005-0000-0000-0000954B0000}"/>
    <cellStyle name="40% - Accent4 2 5 2 2 2 4" xfId="7443" xr:uid="{00000000-0005-0000-0000-0000964B0000}"/>
    <cellStyle name="40% - Accent4 2 5 2 2 3" xfId="18195" xr:uid="{00000000-0005-0000-0000-0000974B0000}"/>
    <cellStyle name="40% - Accent4 2 5 2 2 3 2" xfId="5481" xr:uid="{00000000-0005-0000-0000-0000984B0000}"/>
    <cellStyle name="40% - Accent4 2 5 2 2 3 2 2" xfId="29731" xr:uid="{00000000-0005-0000-0000-0000994B0000}"/>
    <cellStyle name="40% - Accent4 2 5 2 2 3 3" xfId="7727" xr:uid="{00000000-0005-0000-0000-00009A4B0000}"/>
    <cellStyle name="40% - Accent4 2 5 2 2 4" xfId="21763" xr:uid="{00000000-0005-0000-0000-00009B4B0000}"/>
    <cellStyle name="40% - Accent4 2 5 2 2 4 2" xfId="2436" xr:uid="{00000000-0005-0000-0000-00009C4B0000}"/>
    <cellStyle name="40% - Accent4 2 5 2 2 5" xfId="32397" xr:uid="{00000000-0005-0000-0000-00009D4B0000}"/>
    <cellStyle name="40% - Accent4 2 5 2 3" xfId="21764" xr:uid="{00000000-0005-0000-0000-00009E4B0000}"/>
    <cellStyle name="40% - Accent4 2 5 2 3 2" xfId="33151" xr:uid="{00000000-0005-0000-0000-00009F4B0000}"/>
    <cellStyle name="40% - Accent4 2 5 2 3 2 2" xfId="2570" xr:uid="{00000000-0005-0000-0000-0000A04B0000}"/>
    <cellStyle name="40% - Accent4 2 5 2 3 2 2 2" xfId="21767" xr:uid="{00000000-0005-0000-0000-0000A14B0000}"/>
    <cellStyle name="40% - Accent4 2 5 2 3 2 3" xfId="4977" xr:uid="{00000000-0005-0000-0000-0000A24B0000}"/>
    <cellStyle name="40% - Accent4 2 5 2 3 3" xfId="21768" xr:uid="{00000000-0005-0000-0000-0000A34B0000}"/>
    <cellStyle name="40% - Accent4 2 5 2 3 3 2" xfId="987" xr:uid="{00000000-0005-0000-0000-0000A44B0000}"/>
    <cellStyle name="40% - Accent4 2 5 2 3 4" xfId="25285" xr:uid="{00000000-0005-0000-0000-0000A54B0000}"/>
    <cellStyle name="40% - Accent4 2 5 2 4" xfId="15227" xr:uid="{00000000-0005-0000-0000-0000A64B0000}"/>
    <cellStyle name="40% - Accent4 2 5 2 4 2" xfId="24877" xr:uid="{00000000-0005-0000-0000-0000A74B0000}"/>
    <cellStyle name="40% - Accent4 2 5 2 4 2 2" xfId="9658" xr:uid="{00000000-0005-0000-0000-0000A84B0000}"/>
    <cellStyle name="40% - Accent4 2 5 2 4 3" xfId="21783" xr:uid="{00000000-0005-0000-0000-0000A94B0000}"/>
    <cellStyle name="40% - Accent4 2 5 2 5" xfId="18815" xr:uid="{00000000-0005-0000-0000-0000AA4B0000}"/>
    <cellStyle name="40% - Accent4 2 5 2 5 2" xfId="21892" xr:uid="{00000000-0005-0000-0000-0000AB4B0000}"/>
    <cellStyle name="40% - Accent4 2 5 2 6" xfId="21792" xr:uid="{00000000-0005-0000-0000-0000AC4B0000}"/>
    <cellStyle name="40% - Accent4 2 5 3" xfId="19975" xr:uid="{00000000-0005-0000-0000-0000AD4B0000}"/>
    <cellStyle name="40% - Accent4 2 5 3 2" xfId="27123" xr:uid="{00000000-0005-0000-0000-0000AE4B0000}"/>
    <cellStyle name="40% - Accent4 2 5 3 2 2" xfId="3471" xr:uid="{00000000-0005-0000-0000-0000AF4B0000}"/>
    <cellStyle name="40% - Accent4 2 5 3 2 2 2" xfId="3304" xr:uid="{00000000-0005-0000-0000-0000B04B0000}"/>
    <cellStyle name="40% - Accent4 2 5 3 2 2 2 2" xfId="6954" xr:uid="{00000000-0005-0000-0000-0000B14B0000}"/>
    <cellStyle name="40% - Accent4 2 5 3 2 2 3" xfId="3371" xr:uid="{00000000-0005-0000-0000-0000B24B0000}"/>
    <cellStyle name="40% - Accent4 2 5 3 2 3" xfId="8699" xr:uid="{00000000-0005-0000-0000-0000B34B0000}"/>
    <cellStyle name="40% - Accent4 2 5 3 2 3 2" xfId="10925" xr:uid="{00000000-0005-0000-0000-0000B44B0000}"/>
    <cellStyle name="40% - Accent4 2 5 3 2 4" xfId="21795" xr:uid="{00000000-0005-0000-0000-0000B54B0000}"/>
    <cellStyle name="40% - Accent4 2 5 3 3" xfId="19991" xr:uid="{00000000-0005-0000-0000-0000B64B0000}"/>
    <cellStyle name="40% - Accent4 2 5 3 3 2" xfId="19999" xr:uid="{00000000-0005-0000-0000-0000B74B0000}"/>
    <cellStyle name="40% - Accent4 2 5 3 3 2 2" xfId="3403" xr:uid="{00000000-0005-0000-0000-0000B84B0000}"/>
    <cellStyle name="40% - Accent4 2 5 3 3 3" xfId="21798" xr:uid="{00000000-0005-0000-0000-0000B94B0000}"/>
    <cellStyle name="40% - Accent4 2 5 3 4" xfId="20008" xr:uid="{00000000-0005-0000-0000-0000BA4B0000}"/>
    <cellStyle name="40% - Accent4 2 5 3 4 2" xfId="21800" xr:uid="{00000000-0005-0000-0000-0000BB4B0000}"/>
    <cellStyle name="40% - Accent4 2 5 3 5" xfId="21806" xr:uid="{00000000-0005-0000-0000-0000BC4B0000}"/>
    <cellStyle name="40% - Accent4 2 5 4" xfId="20014" xr:uid="{00000000-0005-0000-0000-0000BD4B0000}"/>
    <cellStyle name="40% - Accent4 2 5 4 2" xfId="12642" xr:uid="{00000000-0005-0000-0000-0000BE4B0000}"/>
    <cellStyle name="40% - Accent4 2 5 4 2 2" xfId="5676" xr:uid="{00000000-0005-0000-0000-0000BF4B0000}"/>
    <cellStyle name="40% - Accent4 2 5 4 2 2 2" xfId="3449" xr:uid="{00000000-0005-0000-0000-0000C04B0000}"/>
    <cellStyle name="40% - Accent4 2 5 4 2 3" xfId="21811" xr:uid="{00000000-0005-0000-0000-0000C14B0000}"/>
    <cellStyle name="40% - Accent4 2 5 4 3" xfId="12646" xr:uid="{00000000-0005-0000-0000-0000C24B0000}"/>
    <cellStyle name="40% - Accent4 2 5 4 3 2" xfId="21814" xr:uid="{00000000-0005-0000-0000-0000C34B0000}"/>
    <cellStyle name="40% - Accent4 2 5 4 4" xfId="21818" xr:uid="{00000000-0005-0000-0000-0000C44B0000}"/>
    <cellStyle name="40% - Accent4 2 5 5" xfId="20016" xr:uid="{00000000-0005-0000-0000-0000C54B0000}"/>
    <cellStyle name="40% - Accent4 2 5 5 2" xfId="6490" xr:uid="{00000000-0005-0000-0000-0000C64B0000}"/>
    <cellStyle name="40% - Accent4 2 5 5 2 2" xfId="4034" xr:uid="{00000000-0005-0000-0000-0000C74B0000}"/>
    <cellStyle name="40% - Accent4 2 5 5 3" xfId="18368" xr:uid="{00000000-0005-0000-0000-0000C84B0000}"/>
    <cellStyle name="40% - Accent4 2 5 6" xfId="18723" xr:uid="{00000000-0005-0000-0000-0000C94B0000}"/>
    <cellStyle name="40% - Accent4 2 5 6 2" xfId="21822" xr:uid="{00000000-0005-0000-0000-0000CA4B0000}"/>
    <cellStyle name="40% - Accent4 2 5 7" xfId="23166" xr:uid="{00000000-0005-0000-0000-0000CB4B0000}"/>
    <cellStyle name="40% - Accent4 2 6" xfId="5900" xr:uid="{00000000-0005-0000-0000-0000CC4B0000}"/>
    <cellStyle name="40% - Accent4 2 6 2" xfId="18543" xr:uid="{00000000-0005-0000-0000-0000CD4B0000}"/>
    <cellStyle name="40% - Accent4 2 6 2 2" xfId="26249" xr:uid="{00000000-0005-0000-0000-0000CE4B0000}"/>
    <cellStyle name="40% - Accent4 2 6 2 2 2" xfId="14988" xr:uid="{00000000-0005-0000-0000-0000CF4B0000}"/>
    <cellStyle name="40% - Accent4 2 6 2 2 2 2" xfId="19245" xr:uid="{00000000-0005-0000-0000-0000D04B0000}"/>
    <cellStyle name="40% - Accent4 2 6 2 2 2 2 2" xfId="27553" xr:uid="{00000000-0005-0000-0000-0000D14B0000}"/>
    <cellStyle name="40% - Accent4 2 6 2 2 2 3" xfId="23738" xr:uid="{00000000-0005-0000-0000-0000D24B0000}"/>
    <cellStyle name="40% - Accent4 2 6 2 2 3" xfId="21823" xr:uid="{00000000-0005-0000-0000-0000D34B0000}"/>
    <cellStyle name="40% - Accent4 2 6 2 2 3 2" xfId="21825" xr:uid="{00000000-0005-0000-0000-0000D44B0000}"/>
    <cellStyle name="40% - Accent4 2 6 2 2 4" xfId="21827" xr:uid="{00000000-0005-0000-0000-0000D54B0000}"/>
    <cellStyle name="40% - Accent4 2 6 2 3" xfId="21829" xr:uid="{00000000-0005-0000-0000-0000D64B0000}"/>
    <cellStyle name="40% - Accent4 2 6 2 3 2" xfId="22360" xr:uid="{00000000-0005-0000-0000-0000D74B0000}"/>
    <cellStyle name="40% - Accent4 2 6 2 3 2 2" xfId="21835" xr:uid="{00000000-0005-0000-0000-0000D84B0000}"/>
    <cellStyle name="40% - Accent4 2 6 2 3 3" xfId="21838" xr:uid="{00000000-0005-0000-0000-0000D94B0000}"/>
    <cellStyle name="40% - Accent4 2 6 2 4" xfId="21841" xr:uid="{00000000-0005-0000-0000-0000DA4B0000}"/>
    <cellStyle name="40% - Accent4 2 6 2 4 2" xfId="21847" xr:uid="{00000000-0005-0000-0000-0000DB4B0000}"/>
    <cellStyle name="40% - Accent4 2 6 2 5" xfId="8497" xr:uid="{00000000-0005-0000-0000-0000DC4B0000}"/>
    <cellStyle name="40% - Accent4 2 6 3" xfId="20023" xr:uid="{00000000-0005-0000-0000-0000DD4B0000}"/>
    <cellStyle name="40% - Accent4 2 6 3 2" xfId="24504" xr:uid="{00000000-0005-0000-0000-0000DE4B0000}"/>
    <cellStyle name="40% - Accent4 2 6 3 2 2" xfId="20025" xr:uid="{00000000-0005-0000-0000-0000DF4B0000}"/>
    <cellStyle name="40% - Accent4 2 6 3 2 2 2" xfId="23023" xr:uid="{00000000-0005-0000-0000-0000E04B0000}"/>
    <cellStyle name="40% - Accent4 2 6 3 2 3" xfId="21849" xr:uid="{00000000-0005-0000-0000-0000E14B0000}"/>
    <cellStyle name="40% - Accent4 2 6 3 3" xfId="20030" xr:uid="{00000000-0005-0000-0000-0000E24B0000}"/>
    <cellStyle name="40% - Accent4 2 6 3 3 2" xfId="22176" xr:uid="{00000000-0005-0000-0000-0000E34B0000}"/>
    <cellStyle name="40% - Accent4 2 6 3 4" xfId="21852" xr:uid="{00000000-0005-0000-0000-0000E44B0000}"/>
    <cellStyle name="40% - Accent4 2 6 4" xfId="20032" xr:uid="{00000000-0005-0000-0000-0000E54B0000}"/>
    <cellStyle name="40% - Accent4 2 6 4 2" xfId="7855" xr:uid="{00000000-0005-0000-0000-0000E64B0000}"/>
    <cellStyle name="40% - Accent4 2 6 4 2 2" xfId="21853" xr:uid="{00000000-0005-0000-0000-0000E74B0000}"/>
    <cellStyle name="40% - Accent4 2 6 4 3" xfId="21855" xr:uid="{00000000-0005-0000-0000-0000E84B0000}"/>
    <cellStyle name="40% - Accent4 2 6 5" xfId="20038" xr:uid="{00000000-0005-0000-0000-0000E94B0000}"/>
    <cellStyle name="40% - Accent4 2 6 5 2" xfId="21856" xr:uid="{00000000-0005-0000-0000-0000EA4B0000}"/>
    <cellStyle name="40% - Accent4 2 6 6" xfId="21859" xr:uid="{00000000-0005-0000-0000-0000EB4B0000}"/>
    <cellStyle name="40% - Accent4 2 7" xfId="7950" xr:uid="{00000000-0005-0000-0000-0000EC4B0000}"/>
    <cellStyle name="40% - Accent4 2 7 2" xfId="16729" xr:uid="{00000000-0005-0000-0000-0000ED4B0000}"/>
    <cellStyle name="40% - Accent4 2 7 2 2" xfId="16731" xr:uid="{00000000-0005-0000-0000-0000EE4B0000}"/>
    <cellStyle name="40% - Accent4 2 7 2 2 2" xfId="21865" xr:uid="{00000000-0005-0000-0000-0000EF4B0000}"/>
    <cellStyle name="40% - Accent4 2 7 2 2 2 2" xfId="27760" xr:uid="{00000000-0005-0000-0000-0000F04B0000}"/>
    <cellStyle name="40% - Accent4 2 7 2 2 3" xfId="32599" xr:uid="{00000000-0005-0000-0000-0000F14B0000}"/>
    <cellStyle name="40% - Accent4 2 7 2 3" xfId="21866" xr:uid="{00000000-0005-0000-0000-0000F24B0000}"/>
    <cellStyle name="40% - Accent4 2 7 2 3 2" xfId="7750" xr:uid="{00000000-0005-0000-0000-0000F34B0000}"/>
    <cellStyle name="40% - Accent4 2 7 2 4" xfId="21868" xr:uid="{00000000-0005-0000-0000-0000F44B0000}"/>
    <cellStyle name="40% - Accent4 2 7 3" xfId="16732" xr:uid="{00000000-0005-0000-0000-0000F54B0000}"/>
    <cellStyle name="40% - Accent4 2 7 3 2" xfId="16735" xr:uid="{00000000-0005-0000-0000-0000F64B0000}"/>
    <cellStyle name="40% - Accent4 2 7 3 2 2" xfId="21509" xr:uid="{00000000-0005-0000-0000-0000F74B0000}"/>
    <cellStyle name="40% - Accent4 2 7 3 3" xfId="21870" xr:uid="{00000000-0005-0000-0000-0000F84B0000}"/>
    <cellStyle name="40% - Accent4 2 7 4" xfId="20042" xr:uid="{00000000-0005-0000-0000-0000F94B0000}"/>
    <cellStyle name="40% - Accent4 2 7 4 2" xfId="21874" xr:uid="{00000000-0005-0000-0000-0000FA4B0000}"/>
    <cellStyle name="40% - Accent4 2 7 5" xfId="21879" xr:uid="{00000000-0005-0000-0000-0000FB4B0000}"/>
    <cellStyle name="40% - Accent4 2 8" xfId="21880" xr:uid="{00000000-0005-0000-0000-0000FC4B0000}"/>
    <cellStyle name="40% - Accent4 2 8 2" xfId="16758" xr:uid="{00000000-0005-0000-0000-0000FD4B0000}"/>
    <cellStyle name="40% - Accent4 2 8 2 2" xfId="27524" xr:uid="{00000000-0005-0000-0000-0000FE4B0000}"/>
    <cellStyle name="40% - Accent4 2 8 2 2 2" xfId="21885" xr:uid="{00000000-0005-0000-0000-0000FF4B0000}"/>
    <cellStyle name="40% - Accent4 2 8 2 3" xfId="25736" xr:uid="{00000000-0005-0000-0000-0000004C0000}"/>
    <cellStyle name="40% - Accent4 2 8 3" xfId="20044" xr:uid="{00000000-0005-0000-0000-0000014C0000}"/>
    <cellStyle name="40% - Accent4 2 8 3 2" xfId="32551" xr:uid="{00000000-0005-0000-0000-0000024C0000}"/>
    <cellStyle name="40% - Accent4 2 8 4" xfId="16559" xr:uid="{00000000-0005-0000-0000-0000034C0000}"/>
    <cellStyle name="40% - Accent4 2 9" xfId="21889" xr:uid="{00000000-0005-0000-0000-0000044C0000}"/>
    <cellStyle name="40% - Accent4 2 9 2" xfId="21894" xr:uid="{00000000-0005-0000-0000-0000054C0000}"/>
    <cellStyle name="40% - Accent4 2 9 2 2" xfId="33366" xr:uid="{00000000-0005-0000-0000-0000064C0000}"/>
    <cellStyle name="40% - Accent4 2 9 3" xfId="9930" xr:uid="{00000000-0005-0000-0000-0000074C0000}"/>
    <cellStyle name="40% - Accent4 3" xfId="14126" xr:uid="{00000000-0005-0000-0000-0000084C0000}"/>
    <cellStyle name="40% - Accent4 3 10" xfId="21897" xr:uid="{00000000-0005-0000-0000-0000094C0000}"/>
    <cellStyle name="40% - Accent4 3 2" xfId="18374" xr:uid="{00000000-0005-0000-0000-00000A4C0000}"/>
    <cellStyle name="40% - Accent4 3 2 2" xfId="32106" xr:uid="{00000000-0005-0000-0000-00000B4C0000}"/>
    <cellStyle name="40% - Accent4 3 2 2 2" xfId="21902" xr:uid="{00000000-0005-0000-0000-00000C4C0000}"/>
    <cellStyle name="40% - Accent4 3 2 2 2 2" xfId="23131" xr:uid="{00000000-0005-0000-0000-00000D4C0000}"/>
    <cellStyle name="40% - Accent4 3 2 2 2 2 2" xfId="21904" xr:uid="{00000000-0005-0000-0000-00000E4C0000}"/>
    <cellStyle name="40% - Accent4 3 2 2 2 2 2 2" xfId="10455" xr:uid="{00000000-0005-0000-0000-00000F4C0000}"/>
    <cellStyle name="40% - Accent4 3 2 2 2 2 2 2 2" xfId="29596" xr:uid="{00000000-0005-0000-0000-0000104C0000}"/>
    <cellStyle name="40% - Accent4 3 2 2 2 2 2 2 2 2" xfId="12" xr:uid="{00000000-0005-0000-0000-0000114C0000}"/>
    <cellStyle name="40% - Accent4 3 2 2 2 2 2 2 2 2 2" xfId="33919" xr:uid="{00000000-0005-0000-0000-0000124C0000}"/>
    <cellStyle name="40% - Accent4 3 2 2 2 2 2 2 2 3" xfId="21905" xr:uid="{00000000-0005-0000-0000-0000134C0000}"/>
    <cellStyle name="40% - Accent4 3 2 2 2 2 2 2 3" xfId="21908" xr:uid="{00000000-0005-0000-0000-0000144C0000}"/>
    <cellStyle name="40% - Accent4 3 2 2 2 2 2 2 3 2" xfId="21909" xr:uid="{00000000-0005-0000-0000-0000154C0000}"/>
    <cellStyle name="40% - Accent4 3 2 2 2 2 2 2 4" xfId="21911" xr:uid="{00000000-0005-0000-0000-0000164C0000}"/>
    <cellStyle name="40% - Accent4 3 2 2 2 2 2 3" xfId="21912" xr:uid="{00000000-0005-0000-0000-0000174C0000}"/>
    <cellStyle name="40% - Accent4 3 2 2 2 2 2 3 2" xfId="23633" xr:uid="{00000000-0005-0000-0000-0000184C0000}"/>
    <cellStyle name="40% - Accent4 3 2 2 2 2 2 3 2 2" xfId="32164" xr:uid="{00000000-0005-0000-0000-0000194C0000}"/>
    <cellStyle name="40% - Accent4 3 2 2 2 2 2 3 3" xfId="29629" xr:uid="{00000000-0005-0000-0000-00001A4C0000}"/>
    <cellStyle name="40% - Accent4 3 2 2 2 2 2 4" xfId="21915" xr:uid="{00000000-0005-0000-0000-00001B4C0000}"/>
    <cellStyle name="40% - Accent4 3 2 2 2 2 2 4 2" xfId="21918" xr:uid="{00000000-0005-0000-0000-00001C4C0000}"/>
    <cellStyle name="40% - Accent4 3 2 2 2 2 2 5" xfId="27284" xr:uid="{00000000-0005-0000-0000-00001D4C0000}"/>
    <cellStyle name="40% - Accent4 3 2 2 2 2 3" xfId="21920" xr:uid="{00000000-0005-0000-0000-00001E4C0000}"/>
    <cellStyle name="40% - Accent4 3 2 2 2 2 3 2" xfId="29091" xr:uid="{00000000-0005-0000-0000-00001F4C0000}"/>
    <cellStyle name="40% - Accent4 3 2 2 2 2 3 2 2" xfId="23652" xr:uid="{00000000-0005-0000-0000-0000204C0000}"/>
    <cellStyle name="40% - Accent4 3 2 2 2 2 3 2 2 2" xfId="30144" xr:uid="{00000000-0005-0000-0000-0000214C0000}"/>
    <cellStyle name="40% - Accent4 3 2 2 2 2 3 2 3" xfId="21921" xr:uid="{00000000-0005-0000-0000-0000224C0000}"/>
    <cellStyle name="40% - Accent4 3 2 2 2 2 3 3" xfId="21922" xr:uid="{00000000-0005-0000-0000-0000234C0000}"/>
    <cellStyle name="40% - Accent4 3 2 2 2 2 3 3 2" xfId="21923" xr:uid="{00000000-0005-0000-0000-0000244C0000}"/>
    <cellStyle name="40% - Accent4 3 2 2 2 2 3 4" xfId="21929" xr:uid="{00000000-0005-0000-0000-0000254C0000}"/>
    <cellStyle name="40% - Accent4 3 2 2 2 2 4" xfId="12111" xr:uid="{00000000-0005-0000-0000-0000264C0000}"/>
    <cellStyle name="40% - Accent4 3 2 2 2 2 4 2" xfId="21931" xr:uid="{00000000-0005-0000-0000-0000274C0000}"/>
    <cellStyle name="40% - Accent4 3 2 2 2 2 4 2 2" xfId="27581" xr:uid="{00000000-0005-0000-0000-0000284C0000}"/>
    <cellStyle name="40% - Accent4 3 2 2 2 2 4 3" xfId="21933" xr:uid="{00000000-0005-0000-0000-0000294C0000}"/>
    <cellStyle name="40% - Accent4 3 2 2 2 2 5" xfId="9315" xr:uid="{00000000-0005-0000-0000-00002A4C0000}"/>
    <cellStyle name="40% - Accent4 3 2 2 2 2 5 2" xfId="22560" xr:uid="{00000000-0005-0000-0000-00002B4C0000}"/>
    <cellStyle name="40% - Accent4 3 2 2 2 2 6" xfId="13477" xr:uid="{00000000-0005-0000-0000-00002C4C0000}"/>
    <cellStyle name="40% - Accent4 3 2 2 2 3" xfId="6524" xr:uid="{00000000-0005-0000-0000-00002D4C0000}"/>
    <cellStyle name="40% - Accent4 3 2 2 2 3 2" xfId="28801" xr:uid="{00000000-0005-0000-0000-00002E4C0000}"/>
    <cellStyle name="40% - Accent4 3 2 2 2 3 2 2" xfId="30822" xr:uid="{00000000-0005-0000-0000-00002F4C0000}"/>
    <cellStyle name="40% - Accent4 3 2 2 2 3 2 2 2" xfId="23711" xr:uid="{00000000-0005-0000-0000-0000304C0000}"/>
    <cellStyle name="40% - Accent4 3 2 2 2 3 2 2 2 2" xfId="3630" xr:uid="{00000000-0005-0000-0000-0000314C0000}"/>
    <cellStyle name="40% - Accent4 3 2 2 2 3 2 2 3" xfId="16779" xr:uid="{00000000-0005-0000-0000-0000324C0000}"/>
    <cellStyle name="40% - Accent4 3 2 2 2 3 2 3" xfId="8863" xr:uid="{00000000-0005-0000-0000-0000334C0000}"/>
    <cellStyle name="40% - Accent4 3 2 2 2 3 2 3 2" xfId="33737" xr:uid="{00000000-0005-0000-0000-0000344C0000}"/>
    <cellStyle name="40% - Accent4 3 2 2 2 3 2 4" xfId="8819" xr:uid="{00000000-0005-0000-0000-0000354C0000}"/>
    <cellStyle name="40% - Accent4 3 2 2 2 3 3" xfId="21941" xr:uid="{00000000-0005-0000-0000-0000364C0000}"/>
    <cellStyle name="40% - Accent4 3 2 2 2 3 3 2" xfId="32966" xr:uid="{00000000-0005-0000-0000-0000374C0000}"/>
    <cellStyle name="40% - Accent4 3 2 2 2 3 3 2 2" xfId="21944" xr:uid="{00000000-0005-0000-0000-0000384C0000}"/>
    <cellStyle name="40% - Accent4 3 2 2 2 3 3 3" xfId="11035" xr:uid="{00000000-0005-0000-0000-0000394C0000}"/>
    <cellStyle name="40% - Accent4 3 2 2 2 3 4" xfId="9318" xr:uid="{00000000-0005-0000-0000-00003A4C0000}"/>
    <cellStyle name="40% - Accent4 3 2 2 2 3 4 2" xfId="21948" xr:uid="{00000000-0005-0000-0000-00003B4C0000}"/>
    <cellStyle name="40% - Accent4 3 2 2 2 3 5" xfId="9411" xr:uid="{00000000-0005-0000-0000-00003C4C0000}"/>
    <cellStyle name="40% - Accent4 3 2 2 2 4" xfId="21951" xr:uid="{00000000-0005-0000-0000-00003D4C0000}"/>
    <cellStyle name="40% - Accent4 3 2 2 2 4 2" xfId="11158" xr:uid="{00000000-0005-0000-0000-00003E4C0000}"/>
    <cellStyle name="40% - Accent4 3 2 2 2 4 2 2" xfId="8876" xr:uid="{00000000-0005-0000-0000-00003F4C0000}"/>
    <cellStyle name="40% - Accent4 3 2 2 2 4 2 2 2" xfId="24685" xr:uid="{00000000-0005-0000-0000-0000404C0000}"/>
    <cellStyle name="40% - Accent4 3 2 2 2 4 2 3" xfId="21957" xr:uid="{00000000-0005-0000-0000-0000414C0000}"/>
    <cellStyle name="40% - Accent4 3 2 2 2 4 3" xfId="7753" xr:uid="{00000000-0005-0000-0000-0000424C0000}"/>
    <cellStyle name="40% - Accent4 3 2 2 2 4 3 2" xfId="21961" xr:uid="{00000000-0005-0000-0000-0000434C0000}"/>
    <cellStyle name="40% - Accent4 3 2 2 2 4 4" xfId="29022" xr:uid="{00000000-0005-0000-0000-0000444C0000}"/>
    <cellStyle name="40% - Accent4 3 2 2 2 5" xfId="21963" xr:uid="{00000000-0005-0000-0000-0000454C0000}"/>
    <cellStyle name="40% - Accent4 3 2 2 2 5 2" xfId="22688" xr:uid="{00000000-0005-0000-0000-0000464C0000}"/>
    <cellStyle name="40% - Accent4 3 2 2 2 5 2 2" xfId="21965" xr:uid="{00000000-0005-0000-0000-0000474C0000}"/>
    <cellStyle name="40% - Accent4 3 2 2 2 5 3" xfId="32571" xr:uid="{00000000-0005-0000-0000-0000484C0000}"/>
    <cellStyle name="40% - Accent4 3 2 2 2 6" xfId="21966" xr:uid="{00000000-0005-0000-0000-0000494C0000}"/>
    <cellStyle name="40% - Accent4 3 2 2 2 6 2" xfId="21967" xr:uid="{00000000-0005-0000-0000-00004A4C0000}"/>
    <cellStyle name="40% - Accent4 3 2 2 2 7" xfId="21968" xr:uid="{00000000-0005-0000-0000-00004B4C0000}"/>
    <cellStyle name="40% - Accent4 3 2 2 3" xfId="21969" xr:uid="{00000000-0005-0000-0000-00004C4C0000}"/>
    <cellStyle name="40% - Accent4 3 2 2 3 2" xfId="21974" xr:uid="{00000000-0005-0000-0000-00004D4C0000}"/>
    <cellStyle name="40% - Accent4 3 2 2 3 2 2" xfId="21978" xr:uid="{00000000-0005-0000-0000-00004E4C0000}"/>
    <cellStyle name="40% - Accent4 3 2 2 3 2 2 2" xfId="22457" xr:uid="{00000000-0005-0000-0000-00004F4C0000}"/>
    <cellStyle name="40% - Accent4 3 2 2 3 2 2 2 2" xfId="23805" xr:uid="{00000000-0005-0000-0000-0000504C0000}"/>
    <cellStyle name="40% - Accent4 3 2 2 3 2 2 2 2 2" xfId="29058" xr:uid="{00000000-0005-0000-0000-0000514C0000}"/>
    <cellStyle name="40% - Accent4 3 2 2 3 2 2 2 3" xfId="14604" xr:uid="{00000000-0005-0000-0000-0000524C0000}"/>
    <cellStyle name="40% - Accent4 3 2 2 3 2 2 3" xfId="28023" xr:uid="{00000000-0005-0000-0000-0000534C0000}"/>
    <cellStyle name="40% - Accent4 3 2 2 3 2 2 3 2" xfId="14041" xr:uid="{00000000-0005-0000-0000-0000544C0000}"/>
    <cellStyle name="40% - Accent4 3 2 2 3 2 2 4" xfId="30534" xr:uid="{00000000-0005-0000-0000-0000554C0000}"/>
    <cellStyle name="40% - Accent4 3 2 2 3 2 3" xfId="21980" xr:uid="{00000000-0005-0000-0000-0000564C0000}"/>
    <cellStyle name="40% - Accent4 3 2 2 3 2 3 2" xfId="28052" xr:uid="{00000000-0005-0000-0000-0000574C0000}"/>
    <cellStyle name="40% - Accent4 3 2 2 3 2 3 2 2" xfId="14628" xr:uid="{00000000-0005-0000-0000-0000584C0000}"/>
    <cellStyle name="40% - Accent4 3 2 2 3 2 3 3" xfId="23454" xr:uid="{00000000-0005-0000-0000-0000594C0000}"/>
    <cellStyle name="40% - Accent4 3 2 2 3 2 4" xfId="5561" xr:uid="{00000000-0005-0000-0000-00005A4C0000}"/>
    <cellStyle name="40% - Accent4 3 2 2 3 2 4 2" xfId="28399" xr:uid="{00000000-0005-0000-0000-00005B4C0000}"/>
    <cellStyle name="40% - Accent4 3 2 2 3 2 5" xfId="9025" xr:uid="{00000000-0005-0000-0000-00005C4C0000}"/>
    <cellStyle name="40% - Accent4 3 2 2 3 3" xfId="29876" xr:uid="{00000000-0005-0000-0000-00005D4C0000}"/>
    <cellStyle name="40% - Accent4 3 2 2 3 3 2" xfId="21987" xr:uid="{00000000-0005-0000-0000-00005E4C0000}"/>
    <cellStyle name="40% - Accent4 3 2 2 3 3 2 2" xfId="33128" xr:uid="{00000000-0005-0000-0000-00005F4C0000}"/>
    <cellStyle name="40% - Accent4 3 2 2 3 3 2 2 2" xfId="14688" xr:uid="{00000000-0005-0000-0000-0000604C0000}"/>
    <cellStyle name="40% - Accent4 3 2 2 3 3 2 3" xfId="21992" xr:uid="{00000000-0005-0000-0000-0000614C0000}"/>
    <cellStyle name="40% - Accent4 3 2 2 3 3 3" xfId="21996" xr:uid="{00000000-0005-0000-0000-0000624C0000}"/>
    <cellStyle name="40% - Accent4 3 2 2 3 3 3 2" xfId="28478" xr:uid="{00000000-0005-0000-0000-0000634C0000}"/>
    <cellStyle name="40% - Accent4 3 2 2 3 3 4" xfId="5571" xr:uid="{00000000-0005-0000-0000-0000644C0000}"/>
    <cellStyle name="40% - Accent4 3 2 2 3 4" xfId="26240" xr:uid="{00000000-0005-0000-0000-0000654C0000}"/>
    <cellStyle name="40% - Accent4 3 2 2 3 4 2" xfId="21997" xr:uid="{00000000-0005-0000-0000-0000664C0000}"/>
    <cellStyle name="40% - Accent4 3 2 2 3 4 2 2" xfId="23560" xr:uid="{00000000-0005-0000-0000-0000674C0000}"/>
    <cellStyle name="40% - Accent4 3 2 2 3 4 3" xfId="22000" xr:uid="{00000000-0005-0000-0000-0000684C0000}"/>
    <cellStyle name="40% - Accent4 3 2 2 3 5" xfId="22006" xr:uid="{00000000-0005-0000-0000-0000694C0000}"/>
    <cellStyle name="40% - Accent4 3 2 2 3 5 2" xfId="22011" xr:uid="{00000000-0005-0000-0000-00006A4C0000}"/>
    <cellStyle name="40% - Accent4 3 2 2 3 6" xfId="22013" xr:uid="{00000000-0005-0000-0000-00006B4C0000}"/>
    <cellStyle name="40% - Accent4 3 2 2 4" xfId="5122" xr:uid="{00000000-0005-0000-0000-00006C4C0000}"/>
    <cellStyle name="40% - Accent4 3 2 2 4 2" xfId="22015" xr:uid="{00000000-0005-0000-0000-00006D4C0000}"/>
    <cellStyle name="40% - Accent4 3 2 2 4 2 2" xfId="22020" xr:uid="{00000000-0005-0000-0000-00006E4C0000}"/>
    <cellStyle name="40% - Accent4 3 2 2 4 2 2 2" xfId="23669" xr:uid="{00000000-0005-0000-0000-00006F4C0000}"/>
    <cellStyle name="40% - Accent4 3 2 2 4 2 2 2 2" xfId="1494" xr:uid="{00000000-0005-0000-0000-0000704C0000}"/>
    <cellStyle name="40% - Accent4 3 2 2 4 2 2 3" xfId="29094" xr:uid="{00000000-0005-0000-0000-0000714C0000}"/>
    <cellStyle name="40% - Accent4 3 2 2 4 2 3" xfId="22023" xr:uid="{00000000-0005-0000-0000-0000724C0000}"/>
    <cellStyle name="40% - Accent4 3 2 2 4 2 3 2" xfId="29114" xr:uid="{00000000-0005-0000-0000-0000734C0000}"/>
    <cellStyle name="40% - Accent4 3 2 2 4 2 4" xfId="5587" xr:uid="{00000000-0005-0000-0000-0000744C0000}"/>
    <cellStyle name="40% - Accent4 3 2 2 4 3" xfId="22026" xr:uid="{00000000-0005-0000-0000-0000754C0000}"/>
    <cellStyle name="40% - Accent4 3 2 2 4 3 2" xfId="17009" xr:uid="{00000000-0005-0000-0000-0000764C0000}"/>
    <cellStyle name="40% - Accent4 3 2 2 4 3 2 2" xfId="23735" xr:uid="{00000000-0005-0000-0000-0000774C0000}"/>
    <cellStyle name="40% - Accent4 3 2 2 4 3 3" xfId="17016" xr:uid="{00000000-0005-0000-0000-0000784C0000}"/>
    <cellStyle name="40% - Accent4 3 2 2 4 4" xfId="22029" xr:uid="{00000000-0005-0000-0000-0000794C0000}"/>
    <cellStyle name="40% - Accent4 3 2 2 4 4 2" xfId="17063" xr:uid="{00000000-0005-0000-0000-00007A4C0000}"/>
    <cellStyle name="40% - Accent4 3 2 2 4 5" xfId="29849" xr:uid="{00000000-0005-0000-0000-00007B4C0000}"/>
    <cellStyle name="40% - Accent4 3 2 2 5" xfId="33671" xr:uid="{00000000-0005-0000-0000-00007C4C0000}"/>
    <cellStyle name="40% - Accent4 3 2 2 5 2" xfId="22034" xr:uid="{00000000-0005-0000-0000-00007D4C0000}"/>
    <cellStyle name="40% - Accent4 3 2 2 5 2 2" xfId="22040" xr:uid="{00000000-0005-0000-0000-00007E4C0000}"/>
    <cellStyle name="40% - Accent4 3 2 2 5 2 2 2" xfId="6362" xr:uid="{00000000-0005-0000-0000-00007F4C0000}"/>
    <cellStyle name="40% - Accent4 3 2 2 5 2 3" xfId="22046" xr:uid="{00000000-0005-0000-0000-0000804C0000}"/>
    <cellStyle name="40% - Accent4 3 2 2 5 3" xfId="22049" xr:uid="{00000000-0005-0000-0000-0000814C0000}"/>
    <cellStyle name="40% - Accent4 3 2 2 5 3 2" xfId="17115" xr:uid="{00000000-0005-0000-0000-0000824C0000}"/>
    <cellStyle name="40% - Accent4 3 2 2 5 4" xfId="22053" xr:uid="{00000000-0005-0000-0000-0000834C0000}"/>
    <cellStyle name="40% - Accent4 3 2 2 6" xfId="18832" xr:uid="{00000000-0005-0000-0000-0000844C0000}"/>
    <cellStyle name="40% - Accent4 3 2 2 6 2" xfId="28507" xr:uid="{00000000-0005-0000-0000-0000854C0000}"/>
    <cellStyle name="40% - Accent4 3 2 2 6 2 2" xfId="906" xr:uid="{00000000-0005-0000-0000-0000864C0000}"/>
    <cellStyle name="40% - Accent4 3 2 2 6 3" xfId="22060" xr:uid="{00000000-0005-0000-0000-0000874C0000}"/>
    <cellStyle name="40% - Accent4 3 2 2 7" xfId="32399" xr:uid="{00000000-0005-0000-0000-0000884C0000}"/>
    <cellStyle name="40% - Accent4 3 2 2 7 2" xfId="23072" xr:uid="{00000000-0005-0000-0000-0000894C0000}"/>
    <cellStyle name="40% - Accent4 3 2 2 8" xfId="33038" xr:uid="{00000000-0005-0000-0000-00008A4C0000}"/>
    <cellStyle name="40% - Accent4 3 2 3" xfId="22065" xr:uid="{00000000-0005-0000-0000-00008B4C0000}"/>
    <cellStyle name="40% - Accent4 3 2 3 2" xfId="23145" xr:uid="{00000000-0005-0000-0000-00008C4C0000}"/>
    <cellStyle name="40% - Accent4 3 2 3 2 2" xfId="22066" xr:uid="{00000000-0005-0000-0000-00008D4C0000}"/>
    <cellStyle name="40% - Accent4 3 2 3 2 2 2" xfId="27706" xr:uid="{00000000-0005-0000-0000-00008E4C0000}"/>
    <cellStyle name="40% - Accent4 3 2 3 2 2 2 2" xfId="22067" xr:uid="{00000000-0005-0000-0000-00008F4C0000}"/>
    <cellStyle name="40% - Accent4 3 2 3 2 2 2 2 2" xfId="11916" xr:uid="{00000000-0005-0000-0000-0000904C0000}"/>
    <cellStyle name="40% - Accent4 3 2 3 2 2 2 2 2 2" xfId="22075" xr:uid="{00000000-0005-0000-0000-0000914C0000}"/>
    <cellStyle name="40% - Accent4 3 2 3 2 2 2 2 3" xfId="17129" xr:uid="{00000000-0005-0000-0000-0000924C0000}"/>
    <cellStyle name="40% - Accent4 3 2 3 2 2 2 3" xfId="22082" xr:uid="{00000000-0005-0000-0000-0000934C0000}"/>
    <cellStyle name="40% - Accent4 3 2 3 2 2 2 3 2" xfId="17134" xr:uid="{00000000-0005-0000-0000-0000944C0000}"/>
    <cellStyle name="40% - Accent4 3 2 3 2 2 2 4" xfId="30560" xr:uid="{00000000-0005-0000-0000-0000954C0000}"/>
    <cellStyle name="40% - Accent4 3 2 3 2 2 3" xfId="32919" xr:uid="{00000000-0005-0000-0000-0000964C0000}"/>
    <cellStyle name="40% - Accent4 3 2 3 2 2 3 2" xfId="27174" xr:uid="{00000000-0005-0000-0000-0000974C0000}"/>
    <cellStyle name="40% - Accent4 3 2 3 2 2 3 2 2" xfId="17143" xr:uid="{00000000-0005-0000-0000-0000984C0000}"/>
    <cellStyle name="40% - Accent4 3 2 3 2 2 3 3" xfId="22084" xr:uid="{00000000-0005-0000-0000-0000994C0000}"/>
    <cellStyle name="40% - Accent4 3 2 3 2 2 4" xfId="9623" xr:uid="{00000000-0005-0000-0000-00009A4C0000}"/>
    <cellStyle name="40% - Accent4 3 2 3 2 2 4 2" xfId="8399" xr:uid="{00000000-0005-0000-0000-00009B4C0000}"/>
    <cellStyle name="40% - Accent4 3 2 3 2 2 5" xfId="11108" xr:uid="{00000000-0005-0000-0000-00009C4C0000}"/>
    <cellStyle name="40% - Accent4 3 2 3 2 3" xfId="21054" xr:uid="{00000000-0005-0000-0000-00009D4C0000}"/>
    <cellStyle name="40% - Accent4 3 2 3 2 3 2" xfId="8539" xr:uid="{00000000-0005-0000-0000-00009E4C0000}"/>
    <cellStyle name="40% - Accent4 3 2 3 2 3 2 2" xfId="3485" xr:uid="{00000000-0005-0000-0000-00009F4C0000}"/>
    <cellStyle name="40% - Accent4 3 2 3 2 3 2 2 2" xfId="17164" xr:uid="{00000000-0005-0000-0000-0000A04C0000}"/>
    <cellStyle name="40% - Accent4 3 2 3 2 3 2 3" xfId="19710" xr:uid="{00000000-0005-0000-0000-0000A14C0000}"/>
    <cellStyle name="40% - Accent4 3 2 3 2 3 3" xfId="32634" xr:uid="{00000000-0005-0000-0000-0000A24C0000}"/>
    <cellStyle name="40% - Accent4 3 2 3 2 3 3 2" xfId="22090" xr:uid="{00000000-0005-0000-0000-0000A34C0000}"/>
    <cellStyle name="40% - Accent4 3 2 3 2 3 4" xfId="9360" xr:uid="{00000000-0005-0000-0000-0000A44C0000}"/>
    <cellStyle name="40% - Accent4 3 2 3 2 4" xfId="22093" xr:uid="{00000000-0005-0000-0000-0000A54C0000}"/>
    <cellStyle name="40% - Accent4 3 2 3 2 4 2" xfId="4017" xr:uid="{00000000-0005-0000-0000-0000A64C0000}"/>
    <cellStyle name="40% - Accent4 3 2 3 2 4 2 2" xfId="27371" xr:uid="{00000000-0005-0000-0000-0000A74C0000}"/>
    <cellStyle name="40% - Accent4 3 2 3 2 4 3" xfId="4813" xr:uid="{00000000-0005-0000-0000-0000A84C0000}"/>
    <cellStyle name="40% - Accent4 3 2 3 2 5" xfId="22098" xr:uid="{00000000-0005-0000-0000-0000A94C0000}"/>
    <cellStyle name="40% - Accent4 3 2 3 2 5 2" xfId="24411" xr:uid="{00000000-0005-0000-0000-0000AA4C0000}"/>
    <cellStyle name="40% - Accent4 3 2 3 2 6" xfId="24413" xr:uid="{00000000-0005-0000-0000-0000AB4C0000}"/>
    <cellStyle name="40% - Accent4 3 2 3 3" xfId="22100" xr:uid="{00000000-0005-0000-0000-0000AC4C0000}"/>
    <cellStyle name="40% - Accent4 3 2 3 3 2" xfId="22361" xr:uid="{00000000-0005-0000-0000-0000AD4C0000}"/>
    <cellStyle name="40% - Accent4 3 2 3 3 2 2" xfId="22106" xr:uid="{00000000-0005-0000-0000-0000AE4C0000}"/>
    <cellStyle name="40% - Accent4 3 2 3 3 2 2 2" xfId="27689" xr:uid="{00000000-0005-0000-0000-0000AF4C0000}"/>
    <cellStyle name="40% - Accent4 3 2 3 3 2 2 2 2" xfId="22440" xr:uid="{00000000-0005-0000-0000-0000B04C0000}"/>
    <cellStyle name="40% - Accent4 3 2 3 3 2 2 3" xfId="28416" xr:uid="{00000000-0005-0000-0000-0000B14C0000}"/>
    <cellStyle name="40% - Accent4 3 2 3 3 2 3" xfId="22109" xr:uid="{00000000-0005-0000-0000-0000B24C0000}"/>
    <cellStyle name="40% - Accent4 3 2 3 3 2 3 2" xfId="31770" xr:uid="{00000000-0005-0000-0000-0000B34C0000}"/>
    <cellStyle name="40% - Accent4 3 2 3 3 2 4" xfId="2782" xr:uid="{00000000-0005-0000-0000-0000B44C0000}"/>
    <cellStyle name="40% - Accent4 3 2 3 3 3" xfId="22112" xr:uid="{00000000-0005-0000-0000-0000B54C0000}"/>
    <cellStyle name="40% - Accent4 3 2 3 3 3 2" xfId="22118" xr:uid="{00000000-0005-0000-0000-0000B64C0000}"/>
    <cellStyle name="40% - Accent4 3 2 3 3 3 2 2" xfId="26460" xr:uid="{00000000-0005-0000-0000-0000B74C0000}"/>
    <cellStyle name="40% - Accent4 3 2 3 3 3 3" xfId="22121" xr:uid="{00000000-0005-0000-0000-0000B84C0000}"/>
    <cellStyle name="40% - Accent4 3 2 3 3 4" xfId="27321" xr:uid="{00000000-0005-0000-0000-0000B94C0000}"/>
    <cellStyle name="40% - Accent4 3 2 3 3 4 2" xfId="22126" xr:uid="{00000000-0005-0000-0000-0000BA4C0000}"/>
    <cellStyle name="40% - Accent4 3 2 3 3 5" xfId="22128" xr:uid="{00000000-0005-0000-0000-0000BB4C0000}"/>
    <cellStyle name="40% - Accent4 3 2 3 4" xfId="23828" xr:uid="{00000000-0005-0000-0000-0000BC4C0000}"/>
    <cellStyle name="40% - Accent4 3 2 3 4 2" xfId="22133" xr:uid="{00000000-0005-0000-0000-0000BD4C0000}"/>
    <cellStyle name="40% - Accent4 3 2 3 4 2 2" xfId="22137" xr:uid="{00000000-0005-0000-0000-0000BE4C0000}"/>
    <cellStyle name="40% - Accent4 3 2 3 4 2 2 2" xfId="32412" xr:uid="{00000000-0005-0000-0000-0000BF4C0000}"/>
    <cellStyle name="40% - Accent4 3 2 3 4 2 3" xfId="24884" xr:uid="{00000000-0005-0000-0000-0000C04C0000}"/>
    <cellStyle name="40% - Accent4 3 2 3 4 3" xfId="22147" xr:uid="{00000000-0005-0000-0000-0000C14C0000}"/>
    <cellStyle name="40% - Accent4 3 2 3 4 3 2" xfId="17230" xr:uid="{00000000-0005-0000-0000-0000C24C0000}"/>
    <cellStyle name="40% - Accent4 3 2 3 4 4" xfId="25334" xr:uid="{00000000-0005-0000-0000-0000C34C0000}"/>
    <cellStyle name="40% - Accent4 3 2 3 5" xfId="18837" xr:uid="{00000000-0005-0000-0000-0000C44C0000}"/>
    <cellStyle name="40% - Accent4 3 2 3 5 2" xfId="22153" xr:uid="{00000000-0005-0000-0000-0000C54C0000}"/>
    <cellStyle name="40% - Accent4 3 2 3 5 2 2" xfId="27717" xr:uid="{00000000-0005-0000-0000-0000C64C0000}"/>
    <cellStyle name="40% - Accent4 3 2 3 5 3" xfId="24425" xr:uid="{00000000-0005-0000-0000-0000C74C0000}"/>
    <cellStyle name="40% - Accent4 3 2 3 6" xfId="18839" xr:uid="{00000000-0005-0000-0000-0000C84C0000}"/>
    <cellStyle name="40% - Accent4 3 2 3 6 2" xfId="23808" xr:uid="{00000000-0005-0000-0000-0000C94C0000}"/>
    <cellStyle name="40% - Accent4 3 2 3 7" xfId="22162" xr:uid="{00000000-0005-0000-0000-0000CA4C0000}"/>
    <cellStyle name="40% - Accent4 3 2 4" xfId="27279" xr:uid="{00000000-0005-0000-0000-0000CB4C0000}"/>
    <cellStyle name="40% - Accent4 3 2 4 2" xfId="33339" xr:uid="{00000000-0005-0000-0000-0000CC4C0000}"/>
    <cellStyle name="40% - Accent4 3 2 4 2 2" xfId="22164" xr:uid="{00000000-0005-0000-0000-0000CD4C0000}"/>
    <cellStyle name="40% - Accent4 3 2 4 2 2 2" xfId="22167" xr:uid="{00000000-0005-0000-0000-0000CE4C0000}"/>
    <cellStyle name="40% - Accent4 3 2 4 2 2 2 2" xfId="21153" xr:uid="{00000000-0005-0000-0000-0000CF4C0000}"/>
    <cellStyle name="40% - Accent4 3 2 4 2 2 2 2 2" xfId="14352" xr:uid="{00000000-0005-0000-0000-0000D04C0000}"/>
    <cellStyle name="40% - Accent4 3 2 4 2 2 2 3" xfId="21158" xr:uid="{00000000-0005-0000-0000-0000D14C0000}"/>
    <cellStyle name="40% - Accent4 3 2 4 2 2 3" xfId="22168" xr:uid="{00000000-0005-0000-0000-0000D24C0000}"/>
    <cellStyle name="40% - Accent4 3 2 4 2 2 3 2" xfId="5497" xr:uid="{00000000-0005-0000-0000-0000D34C0000}"/>
    <cellStyle name="40% - Accent4 3 2 4 2 2 4" xfId="13838" xr:uid="{00000000-0005-0000-0000-0000D44C0000}"/>
    <cellStyle name="40% - Accent4 3 2 4 2 3" xfId="22169" xr:uid="{00000000-0005-0000-0000-0000D54C0000}"/>
    <cellStyle name="40% - Accent4 3 2 4 2 3 2" xfId="22171" xr:uid="{00000000-0005-0000-0000-0000D64C0000}"/>
    <cellStyle name="40% - Accent4 3 2 4 2 3 2 2" xfId="21170" xr:uid="{00000000-0005-0000-0000-0000D74C0000}"/>
    <cellStyle name="40% - Accent4 3 2 4 2 3 3" xfId="24430" xr:uid="{00000000-0005-0000-0000-0000D84C0000}"/>
    <cellStyle name="40% - Accent4 3 2 4 2 4" xfId="32208" xr:uid="{00000000-0005-0000-0000-0000D94C0000}"/>
    <cellStyle name="40% - Accent4 3 2 4 2 4 2" xfId="24441" xr:uid="{00000000-0005-0000-0000-0000DA4C0000}"/>
    <cellStyle name="40% - Accent4 3 2 4 2 5" xfId="15545" xr:uid="{00000000-0005-0000-0000-0000DB4C0000}"/>
    <cellStyle name="40% - Accent4 3 2 4 3" xfId="27992" xr:uid="{00000000-0005-0000-0000-0000DC4C0000}"/>
    <cellStyle name="40% - Accent4 3 2 4 3 2" xfId="22174" xr:uid="{00000000-0005-0000-0000-0000DD4C0000}"/>
    <cellStyle name="40% - Accent4 3 2 4 3 2 2" xfId="22179" xr:uid="{00000000-0005-0000-0000-0000DE4C0000}"/>
    <cellStyle name="40% - Accent4 3 2 4 3 2 2 2" xfId="27664" xr:uid="{00000000-0005-0000-0000-0000DF4C0000}"/>
    <cellStyle name="40% - Accent4 3 2 4 3 2 3" xfId="24347" xr:uid="{00000000-0005-0000-0000-0000E04C0000}"/>
    <cellStyle name="40% - Accent4 3 2 4 3 3" xfId="19475" xr:uid="{00000000-0005-0000-0000-0000E14C0000}"/>
    <cellStyle name="40% - Accent4 3 2 4 3 3 2" xfId="22185" xr:uid="{00000000-0005-0000-0000-0000E24C0000}"/>
    <cellStyle name="40% - Accent4 3 2 4 3 4" xfId="19477" xr:uid="{00000000-0005-0000-0000-0000E34C0000}"/>
    <cellStyle name="40% - Accent4 3 2 4 4" xfId="22188" xr:uid="{00000000-0005-0000-0000-0000E44C0000}"/>
    <cellStyle name="40% - Accent4 3 2 4 4 2" xfId="31210" xr:uid="{00000000-0005-0000-0000-0000E54C0000}"/>
    <cellStyle name="40% - Accent4 3 2 4 4 2 2" xfId="22190" xr:uid="{00000000-0005-0000-0000-0000E64C0000}"/>
    <cellStyle name="40% - Accent4 3 2 4 4 3" xfId="19850" xr:uid="{00000000-0005-0000-0000-0000E74C0000}"/>
    <cellStyle name="40% - Accent4 3 2 4 5" xfId="33371" xr:uid="{00000000-0005-0000-0000-0000E84C0000}"/>
    <cellStyle name="40% - Accent4 3 2 4 5 2" xfId="23530" xr:uid="{00000000-0005-0000-0000-0000E94C0000}"/>
    <cellStyle name="40% - Accent4 3 2 4 6" xfId="20377" xr:uid="{00000000-0005-0000-0000-0000EA4C0000}"/>
    <cellStyle name="40% - Accent4 3 2 5" xfId="33125" xr:uid="{00000000-0005-0000-0000-0000EB4C0000}"/>
    <cellStyle name="40% - Accent4 3 2 5 2" xfId="27242" xr:uid="{00000000-0005-0000-0000-0000EC4C0000}"/>
    <cellStyle name="40% - Accent4 3 2 5 2 2" xfId="33597" xr:uid="{00000000-0005-0000-0000-0000ED4C0000}"/>
    <cellStyle name="40% - Accent4 3 2 5 2 2 2" xfId="28550" xr:uid="{00000000-0005-0000-0000-0000EE4C0000}"/>
    <cellStyle name="40% - Accent4 3 2 5 2 2 2 2" xfId="7143" xr:uid="{00000000-0005-0000-0000-0000EF4C0000}"/>
    <cellStyle name="40% - Accent4 3 2 5 2 2 3" xfId="33838" xr:uid="{00000000-0005-0000-0000-0000F04C0000}"/>
    <cellStyle name="40% - Accent4 3 2 5 2 3" xfId="28554" xr:uid="{00000000-0005-0000-0000-0000F14C0000}"/>
    <cellStyle name="40% - Accent4 3 2 5 2 3 2" xfId="28555" xr:uid="{00000000-0005-0000-0000-0000F24C0000}"/>
    <cellStyle name="40% - Accent4 3 2 5 2 4" xfId="24453" xr:uid="{00000000-0005-0000-0000-0000F34C0000}"/>
    <cellStyle name="40% - Accent4 3 2 5 3" xfId="27227" xr:uid="{00000000-0005-0000-0000-0000F44C0000}"/>
    <cellStyle name="40% - Accent4 3 2 5 3 2" xfId="22198" xr:uid="{00000000-0005-0000-0000-0000F54C0000}"/>
    <cellStyle name="40% - Accent4 3 2 5 3 2 2" xfId="28570" xr:uid="{00000000-0005-0000-0000-0000F64C0000}"/>
    <cellStyle name="40% - Accent4 3 2 5 3 3" xfId="19485" xr:uid="{00000000-0005-0000-0000-0000F74C0000}"/>
    <cellStyle name="40% - Accent4 3 2 5 4" xfId="22202" xr:uid="{00000000-0005-0000-0000-0000F84C0000}"/>
    <cellStyle name="40% - Accent4 3 2 5 4 2" xfId="22907" xr:uid="{00000000-0005-0000-0000-0000F94C0000}"/>
    <cellStyle name="40% - Accent4 3 2 5 5" xfId="22207" xr:uid="{00000000-0005-0000-0000-0000FA4C0000}"/>
    <cellStyle name="40% - Accent4 3 2 6" xfId="27281" xr:uid="{00000000-0005-0000-0000-0000FB4C0000}"/>
    <cellStyle name="40% - Accent4 3 2 6 2" xfId="14806" xr:uid="{00000000-0005-0000-0000-0000FC4C0000}"/>
    <cellStyle name="40% - Accent4 3 2 6 2 2" xfId="33826" xr:uid="{00000000-0005-0000-0000-0000FD4C0000}"/>
    <cellStyle name="40% - Accent4 3 2 6 2 2 2" xfId="32631" xr:uid="{00000000-0005-0000-0000-0000FE4C0000}"/>
    <cellStyle name="40% - Accent4 3 2 6 2 3" xfId="4600" xr:uid="{00000000-0005-0000-0000-0000FF4C0000}"/>
    <cellStyle name="40% - Accent4 3 2 6 3" xfId="27486" xr:uid="{00000000-0005-0000-0000-0000004D0000}"/>
    <cellStyle name="40% - Accent4 3 2 6 3 2" xfId="22208" xr:uid="{00000000-0005-0000-0000-0000014D0000}"/>
    <cellStyle name="40% - Accent4 3 2 6 4" xfId="26038" xr:uid="{00000000-0005-0000-0000-0000024D0000}"/>
    <cellStyle name="40% - Accent4 3 2 7" xfId="14139" xr:uid="{00000000-0005-0000-0000-0000034D0000}"/>
    <cellStyle name="40% - Accent4 3 2 7 2" xfId="4005" xr:uid="{00000000-0005-0000-0000-0000044D0000}"/>
    <cellStyle name="40% - Accent4 3 2 7 2 2" xfId="22212" xr:uid="{00000000-0005-0000-0000-0000054D0000}"/>
    <cellStyle name="40% - Accent4 3 2 7 3" xfId="33986" xr:uid="{00000000-0005-0000-0000-0000064D0000}"/>
    <cellStyle name="40% - Accent4 3 2 8" xfId="11212" xr:uid="{00000000-0005-0000-0000-0000074D0000}"/>
    <cellStyle name="40% - Accent4 3 2 8 2" xfId="15492" xr:uid="{00000000-0005-0000-0000-0000084D0000}"/>
    <cellStyle name="40% - Accent4 3 2 9" xfId="1416" xr:uid="{00000000-0005-0000-0000-0000094D0000}"/>
    <cellStyle name="40% - Accent4 3 3" xfId="2483" xr:uid="{00000000-0005-0000-0000-00000A4D0000}"/>
    <cellStyle name="40% - Accent4 3 3 2" xfId="28190" xr:uid="{00000000-0005-0000-0000-00000B4D0000}"/>
    <cellStyle name="40% - Accent4 3 3 2 2" xfId="20153" xr:uid="{00000000-0005-0000-0000-00000C4D0000}"/>
    <cellStyle name="40% - Accent4 3 3 2 2 2" xfId="1001" xr:uid="{00000000-0005-0000-0000-00000D4D0000}"/>
    <cellStyle name="40% - Accent4 3 3 2 2 2 2" xfId="5597" xr:uid="{00000000-0005-0000-0000-00000E4D0000}"/>
    <cellStyle name="40% - Accent4 3 3 2 2 2 2 2" xfId="17738" xr:uid="{00000000-0005-0000-0000-00000F4D0000}"/>
    <cellStyle name="40% - Accent4 3 3 2 2 2 2 2 2" xfId="25392" xr:uid="{00000000-0005-0000-0000-0000104D0000}"/>
    <cellStyle name="40% - Accent4 3 3 2 2 2 2 2 2 2" xfId="22214" xr:uid="{00000000-0005-0000-0000-0000114D0000}"/>
    <cellStyle name="40% - Accent4 3 3 2 2 2 2 2 3" xfId="32341" xr:uid="{00000000-0005-0000-0000-0000124D0000}"/>
    <cellStyle name="40% - Accent4 3 3 2 2 2 2 3" xfId="22224" xr:uid="{00000000-0005-0000-0000-0000134D0000}"/>
    <cellStyle name="40% - Accent4 3 3 2 2 2 2 3 2" xfId="318" xr:uid="{00000000-0005-0000-0000-0000144D0000}"/>
    <cellStyle name="40% - Accent4 3 3 2 2 2 2 4" xfId="22227" xr:uid="{00000000-0005-0000-0000-0000154D0000}"/>
    <cellStyle name="40% - Accent4 3 3 2 2 2 3" xfId="22231" xr:uid="{00000000-0005-0000-0000-0000164D0000}"/>
    <cellStyle name="40% - Accent4 3 3 2 2 2 3 2" xfId="17765" xr:uid="{00000000-0005-0000-0000-0000174D0000}"/>
    <cellStyle name="40% - Accent4 3 3 2 2 2 3 2 2" xfId="22234" xr:uid="{00000000-0005-0000-0000-0000184D0000}"/>
    <cellStyle name="40% - Accent4 3 3 2 2 2 3 3" xfId="22237" xr:uid="{00000000-0005-0000-0000-0000194D0000}"/>
    <cellStyle name="40% - Accent4 3 3 2 2 2 4" xfId="9436" xr:uid="{00000000-0005-0000-0000-00001A4D0000}"/>
    <cellStyle name="40% - Accent4 3 3 2 2 2 4 2" xfId="11875" xr:uid="{00000000-0005-0000-0000-00001B4D0000}"/>
    <cellStyle name="40% - Accent4 3 3 2 2 2 5" xfId="14288" xr:uid="{00000000-0005-0000-0000-00001C4D0000}"/>
    <cellStyle name="40% - Accent4 3 3 2 2 3" xfId="27980" xr:uid="{00000000-0005-0000-0000-00001D4D0000}"/>
    <cellStyle name="40% - Accent4 3 3 2 2 3 2" xfId="22242" xr:uid="{00000000-0005-0000-0000-00001E4D0000}"/>
    <cellStyle name="40% - Accent4 3 3 2 2 3 2 2" xfId="14952" xr:uid="{00000000-0005-0000-0000-00001F4D0000}"/>
    <cellStyle name="40% - Accent4 3 3 2 2 3 2 2 2" xfId="30466" xr:uid="{00000000-0005-0000-0000-0000204D0000}"/>
    <cellStyle name="40% - Accent4 3 3 2 2 3 2 3" xfId="22246" xr:uid="{00000000-0005-0000-0000-0000214D0000}"/>
    <cellStyle name="40% - Accent4 3 3 2 2 3 3" xfId="22253" xr:uid="{00000000-0005-0000-0000-0000224D0000}"/>
    <cellStyle name="40% - Accent4 3 3 2 2 3 3 2" xfId="22257" xr:uid="{00000000-0005-0000-0000-0000234D0000}"/>
    <cellStyle name="40% - Accent4 3 3 2 2 3 4" xfId="9449" xr:uid="{00000000-0005-0000-0000-0000244D0000}"/>
    <cellStyle name="40% - Accent4 3 3 2 2 4" xfId="22258" xr:uid="{00000000-0005-0000-0000-0000254D0000}"/>
    <cellStyle name="40% - Accent4 3 3 2 2 4 2" xfId="31167" xr:uid="{00000000-0005-0000-0000-0000264D0000}"/>
    <cellStyle name="40% - Accent4 3 3 2 2 4 2 2" xfId="22261" xr:uid="{00000000-0005-0000-0000-0000274D0000}"/>
    <cellStyle name="40% - Accent4 3 3 2 2 4 3" xfId="22263" xr:uid="{00000000-0005-0000-0000-0000284D0000}"/>
    <cellStyle name="40% - Accent4 3 3 2 2 5" xfId="22264" xr:uid="{00000000-0005-0000-0000-0000294D0000}"/>
    <cellStyle name="40% - Accent4 3 3 2 2 5 2" xfId="30756" xr:uid="{00000000-0005-0000-0000-00002A4D0000}"/>
    <cellStyle name="40% - Accent4 3 3 2 2 6" xfId="22265" xr:uid="{00000000-0005-0000-0000-00002B4D0000}"/>
    <cellStyle name="40% - Accent4 3 3 2 3" xfId="22267" xr:uid="{00000000-0005-0000-0000-00002C4D0000}"/>
    <cellStyle name="40% - Accent4 3 3 2 3 2" xfId="1015" xr:uid="{00000000-0005-0000-0000-00002D4D0000}"/>
    <cellStyle name="40% - Accent4 3 3 2 3 2 2" xfId="22269" xr:uid="{00000000-0005-0000-0000-00002E4D0000}"/>
    <cellStyle name="40% - Accent4 3 3 2 3 2 2 2" xfId="22272" xr:uid="{00000000-0005-0000-0000-00002F4D0000}"/>
    <cellStyle name="40% - Accent4 3 3 2 3 2 2 2 2" xfId="15331" xr:uid="{00000000-0005-0000-0000-0000304D0000}"/>
    <cellStyle name="40% - Accent4 3 3 2 3 2 2 3" xfId="22276" xr:uid="{00000000-0005-0000-0000-0000314D0000}"/>
    <cellStyle name="40% - Accent4 3 3 2 3 2 3" xfId="22283" xr:uid="{00000000-0005-0000-0000-0000324D0000}"/>
    <cellStyle name="40% - Accent4 3 3 2 3 2 3 2" xfId="22293" xr:uid="{00000000-0005-0000-0000-0000334D0000}"/>
    <cellStyle name="40% - Accent4 3 3 2 3 2 4" xfId="2998" xr:uid="{00000000-0005-0000-0000-0000344D0000}"/>
    <cellStyle name="40% - Accent4 3 3 2 3 3" xfId="22298" xr:uid="{00000000-0005-0000-0000-0000354D0000}"/>
    <cellStyle name="40% - Accent4 3 3 2 3 3 2" xfId="22307" xr:uid="{00000000-0005-0000-0000-0000364D0000}"/>
    <cellStyle name="40% - Accent4 3 3 2 3 3 2 2" xfId="22312" xr:uid="{00000000-0005-0000-0000-0000374D0000}"/>
    <cellStyle name="40% - Accent4 3 3 2 3 3 3" xfId="22317" xr:uid="{00000000-0005-0000-0000-0000384D0000}"/>
    <cellStyle name="40% - Accent4 3 3 2 3 4" xfId="23610" xr:uid="{00000000-0005-0000-0000-0000394D0000}"/>
    <cellStyle name="40% - Accent4 3 3 2 3 4 2" xfId="360" xr:uid="{00000000-0005-0000-0000-00003A4D0000}"/>
    <cellStyle name="40% - Accent4 3 3 2 3 5" xfId="22325" xr:uid="{00000000-0005-0000-0000-00003B4D0000}"/>
    <cellStyle name="40% - Accent4 3 3 2 4" xfId="22331" xr:uid="{00000000-0005-0000-0000-00003C4D0000}"/>
    <cellStyle name="40% - Accent4 3 3 2 4 2" xfId="23612" xr:uid="{00000000-0005-0000-0000-00003D4D0000}"/>
    <cellStyle name="40% - Accent4 3 3 2 4 2 2" xfId="22336" xr:uid="{00000000-0005-0000-0000-00003E4D0000}"/>
    <cellStyle name="40% - Accent4 3 3 2 4 2 2 2" xfId="22750" xr:uid="{00000000-0005-0000-0000-00003F4D0000}"/>
    <cellStyle name="40% - Accent4 3 3 2 4 2 3" xfId="22742" xr:uid="{00000000-0005-0000-0000-0000404D0000}"/>
    <cellStyle name="40% - Accent4 3 3 2 4 3" xfId="22345" xr:uid="{00000000-0005-0000-0000-0000414D0000}"/>
    <cellStyle name="40% - Accent4 3 3 2 4 3 2" xfId="17584" xr:uid="{00000000-0005-0000-0000-0000424D0000}"/>
    <cellStyle name="40% - Accent4 3 3 2 4 4" xfId="29351" xr:uid="{00000000-0005-0000-0000-0000434D0000}"/>
    <cellStyle name="40% - Accent4 3 3 2 5" xfId="32954" xr:uid="{00000000-0005-0000-0000-0000444D0000}"/>
    <cellStyle name="40% - Accent4 3 3 2 5 2" xfId="22357" xr:uid="{00000000-0005-0000-0000-0000454D0000}"/>
    <cellStyle name="40% - Accent4 3 3 2 5 2 2" xfId="22525" xr:uid="{00000000-0005-0000-0000-0000464D0000}"/>
    <cellStyle name="40% - Accent4 3 3 2 5 3" xfId="23929" xr:uid="{00000000-0005-0000-0000-0000474D0000}"/>
    <cellStyle name="40% - Accent4 3 3 2 6" xfId="27444" xr:uid="{00000000-0005-0000-0000-0000484D0000}"/>
    <cellStyle name="40% - Accent4 3 3 2 6 2" xfId="840" xr:uid="{00000000-0005-0000-0000-0000494D0000}"/>
    <cellStyle name="40% - Accent4 3 3 2 7" xfId="22381" xr:uid="{00000000-0005-0000-0000-00004A4D0000}"/>
    <cellStyle name="40% - Accent4 3 3 3" xfId="20160" xr:uid="{00000000-0005-0000-0000-00004B4D0000}"/>
    <cellStyle name="40% - Accent4 3 3 3 2" xfId="17893" xr:uid="{00000000-0005-0000-0000-00004C4D0000}"/>
    <cellStyle name="40% - Accent4 3 3 3 2 2" xfId="1046" xr:uid="{00000000-0005-0000-0000-00004D4D0000}"/>
    <cellStyle name="40% - Accent4 3 3 3 2 2 2" xfId="28101" xr:uid="{00000000-0005-0000-0000-00004E4D0000}"/>
    <cellStyle name="40% - Accent4 3 3 3 2 2 2 2" xfId="19274" xr:uid="{00000000-0005-0000-0000-00004F4D0000}"/>
    <cellStyle name="40% - Accent4 3 3 3 2 2 2 2 2" xfId="5021" xr:uid="{00000000-0005-0000-0000-0000504D0000}"/>
    <cellStyle name="40% - Accent4 3 3 3 2 2 2 3" xfId="22392" xr:uid="{00000000-0005-0000-0000-0000514D0000}"/>
    <cellStyle name="40% - Accent4 3 3 3 2 2 3" xfId="22395" xr:uid="{00000000-0005-0000-0000-0000524D0000}"/>
    <cellStyle name="40% - Accent4 3 3 3 2 2 3 2" xfId="22632" xr:uid="{00000000-0005-0000-0000-0000534D0000}"/>
    <cellStyle name="40% - Accent4 3 3 3 2 2 4" xfId="9476" xr:uid="{00000000-0005-0000-0000-0000544D0000}"/>
    <cellStyle name="40% - Accent4 3 3 3 2 3" xfId="22398" xr:uid="{00000000-0005-0000-0000-0000554D0000}"/>
    <cellStyle name="40% - Accent4 3 3 3 2 3 2" xfId="25734" xr:uid="{00000000-0005-0000-0000-0000564D0000}"/>
    <cellStyle name="40% - Accent4 3 3 3 2 3 2 2" xfId="22403" xr:uid="{00000000-0005-0000-0000-0000574D0000}"/>
    <cellStyle name="40% - Accent4 3 3 3 2 3 3" xfId="28956" xr:uid="{00000000-0005-0000-0000-0000584D0000}"/>
    <cellStyle name="40% - Accent4 3 3 3 2 4" xfId="27772" xr:uid="{00000000-0005-0000-0000-0000594D0000}"/>
    <cellStyle name="40% - Accent4 3 3 3 2 4 2" xfId="24508" xr:uid="{00000000-0005-0000-0000-00005A4D0000}"/>
    <cellStyle name="40% - Accent4 3 3 3 2 5" xfId="14369" xr:uid="{00000000-0005-0000-0000-00005B4D0000}"/>
    <cellStyle name="40% - Accent4 3 3 3 3" xfId="17897" xr:uid="{00000000-0005-0000-0000-00005C4D0000}"/>
    <cellStyle name="40% - Accent4 3 3 3 3 2" xfId="22407" xr:uid="{00000000-0005-0000-0000-00005D4D0000}"/>
    <cellStyle name="40% - Accent4 3 3 3 3 2 2" xfId="22414" xr:uid="{00000000-0005-0000-0000-00005E4D0000}"/>
    <cellStyle name="40% - Accent4 3 3 3 3 2 2 2" xfId="21323" xr:uid="{00000000-0005-0000-0000-00005F4D0000}"/>
    <cellStyle name="40% - Accent4 3 3 3 3 2 3" xfId="22420" xr:uid="{00000000-0005-0000-0000-0000604D0000}"/>
    <cellStyle name="40% - Accent4 3 3 3 3 3" xfId="23569" xr:uid="{00000000-0005-0000-0000-0000614D0000}"/>
    <cellStyle name="40% - Accent4 3 3 3 3 3 2" xfId="22423" xr:uid="{00000000-0005-0000-0000-0000624D0000}"/>
    <cellStyle name="40% - Accent4 3 3 3 3 4" xfId="29338" xr:uid="{00000000-0005-0000-0000-0000634D0000}"/>
    <cellStyle name="40% - Accent4 3 3 3 4" xfId="23266" xr:uid="{00000000-0005-0000-0000-0000644D0000}"/>
    <cellStyle name="40% - Accent4 3 3 3 4 2" xfId="23626" xr:uid="{00000000-0005-0000-0000-0000654D0000}"/>
    <cellStyle name="40% - Accent4 3 3 3 4 2 2" xfId="22434" xr:uid="{00000000-0005-0000-0000-0000664D0000}"/>
    <cellStyle name="40% - Accent4 3 3 3 4 3" xfId="27824" xr:uid="{00000000-0005-0000-0000-0000674D0000}"/>
    <cellStyle name="40% - Accent4 3 3 3 5" xfId="27186" xr:uid="{00000000-0005-0000-0000-0000684D0000}"/>
    <cellStyle name="40% - Accent4 3 3 3 5 2" xfId="28547" xr:uid="{00000000-0005-0000-0000-0000694D0000}"/>
    <cellStyle name="40% - Accent4 3 3 3 6" xfId="22446" xr:uid="{00000000-0005-0000-0000-00006A4D0000}"/>
    <cellStyle name="40% - Accent4 3 3 4" xfId="27286" xr:uid="{00000000-0005-0000-0000-00006B4D0000}"/>
    <cellStyle name="40% - Accent4 3 3 4 2" xfId="17905" xr:uid="{00000000-0005-0000-0000-00006C4D0000}"/>
    <cellStyle name="40% - Accent4 3 3 4 2 2" xfId="22450" xr:uid="{00000000-0005-0000-0000-00006D4D0000}"/>
    <cellStyle name="40% - Accent4 3 3 4 2 2 2" xfId="22452" xr:uid="{00000000-0005-0000-0000-00006E4D0000}"/>
    <cellStyle name="40% - Accent4 3 3 4 2 2 2 2" xfId="23732" xr:uid="{00000000-0005-0000-0000-00006F4D0000}"/>
    <cellStyle name="40% - Accent4 3 3 4 2 2 3" xfId="22459" xr:uid="{00000000-0005-0000-0000-0000704D0000}"/>
    <cellStyle name="40% - Accent4 3 3 4 2 3" xfId="22467" xr:uid="{00000000-0005-0000-0000-0000714D0000}"/>
    <cellStyle name="40% - Accent4 3 3 4 2 3 2" xfId="22470" xr:uid="{00000000-0005-0000-0000-0000724D0000}"/>
    <cellStyle name="40% - Accent4 3 3 4 2 4" xfId="14395" xr:uid="{00000000-0005-0000-0000-0000734D0000}"/>
    <cellStyle name="40% - Accent4 3 3 4 3" xfId="22474" xr:uid="{00000000-0005-0000-0000-0000744D0000}"/>
    <cellStyle name="40% - Accent4 3 3 4 3 2" xfId="22481" xr:uid="{00000000-0005-0000-0000-0000754D0000}"/>
    <cellStyle name="40% - Accent4 3 3 4 3 2 2" xfId="22485" xr:uid="{00000000-0005-0000-0000-0000764D0000}"/>
    <cellStyle name="40% - Accent4 3 3 4 3 3" xfId="23647" xr:uid="{00000000-0005-0000-0000-0000774D0000}"/>
    <cellStyle name="40% - Accent4 3 3 4 4" xfId="23395" xr:uid="{00000000-0005-0000-0000-0000784D0000}"/>
    <cellStyle name="40% - Accent4 3 3 4 4 2" xfId="27850" xr:uid="{00000000-0005-0000-0000-0000794D0000}"/>
    <cellStyle name="40% - Accent4 3 3 4 5" xfId="31888" xr:uid="{00000000-0005-0000-0000-00007A4D0000}"/>
    <cellStyle name="40% - Accent4 3 3 5" xfId="17847" xr:uid="{00000000-0005-0000-0000-00007B4D0000}"/>
    <cellStyle name="40% - Accent4 3 3 5 2" xfId="19711" xr:uid="{00000000-0005-0000-0000-00007C4D0000}"/>
    <cellStyle name="40% - Accent4 3 3 5 2 2" xfId="26888" xr:uid="{00000000-0005-0000-0000-00007D4D0000}"/>
    <cellStyle name="40% - Accent4 3 3 5 2 2 2" xfId="22487" xr:uid="{00000000-0005-0000-0000-00007E4D0000}"/>
    <cellStyle name="40% - Accent4 3 3 5 2 3" xfId="22493" xr:uid="{00000000-0005-0000-0000-00007F4D0000}"/>
    <cellStyle name="40% - Accent4 3 3 5 3" xfId="22496" xr:uid="{00000000-0005-0000-0000-0000804D0000}"/>
    <cellStyle name="40% - Accent4 3 3 5 3 2" xfId="23661" xr:uid="{00000000-0005-0000-0000-0000814D0000}"/>
    <cellStyle name="40% - Accent4 3 3 5 4" xfId="25414" xr:uid="{00000000-0005-0000-0000-0000824D0000}"/>
    <cellStyle name="40% - Accent4 3 3 6" xfId="15193" xr:uid="{00000000-0005-0000-0000-0000834D0000}"/>
    <cellStyle name="40% - Accent4 3 3 6 2" xfId="22503" xr:uid="{00000000-0005-0000-0000-0000844D0000}"/>
    <cellStyle name="40% - Accent4 3 3 6 2 2" xfId="1820" xr:uid="{00000000-0005-0000-0000-0000854D0000}"/>
    <cellStyle name="40% - Accent4 3 3 6 3" xfId="26054" xr:uid="{00000000-0005-0000-0000-0000864D0000}"/>
    <cellStyle name="40% - Accent4 3 3 7" xfId="5034" xr:uid="{00000000-0005-0000-0000-0000874D0000}"/>
    <cellStyle name="40% - Accent4 3 3 7 2" xfId="10948" xr:uid="{00000000-0005-0000-0000-0000884D0000}"/>
    <cellStyle name="40% - Accent4 3 3 8" xfId="5043" xr:uid="{00000000-0005-0000-0000-0000894D0000}"/>
    <cellStyle name="40% - Accent4 3 4" xfId="2634" xr:uid="{00000000-0005-0000-0000-00008A4D0000}"/>
    <cellStyle name="40% - Accent4 3 4 2" xfId="27132" xr:uid="{00000000-0005-0000-0000-00008B4D0000}"/>
    <cellStyle name="40% - Accent4 3 4 2 2" xfId="24039" xr:uid="{00000000-0005-0000-0000-00008C4D0000}"/>
    <cellStyle name="40% - Accent4 3 4 2 2 2" xfId="17305" xr:uid="{00000000-0005-0000-0000-00008D4D0000}"/>
    <cellStyle name="40% - Accent4 3 4 2 2 2 2" xfId="4533" xr:uid="{00000000-0005-0000-0000-00008E4D0000}"/>
    <cellStyle name="40% - Accent4 3 4 2 2 2 2 2" xfId="23093" xr:uid="{00000000-0005-0000-0000-00008F4D0000}"/>
    <cellStyle name="40% - Accent4 3 4 2 2 2 2 2 2" xfId="7334" xr:uid="{00000000-0005-0000-0000-0000904D0000}"/>
    <cellStyle name="40% - Accent4 3 4 2 2 2 2 3" xfId="22507" xr:uid="{00000000-0005-0000-0000-0000914D0000}"/>
    <cellStyle name="40% - Accent4 3 4 2 2 2 3" xfId="5160" xr:uid="{00000000-0005-0000-0000-0000924D0000}"/>
    <cellStyle name="40% - Accent4 3 4 2 2 2 3 2" xfId="23155" xr:uid="{00000000-0005-0000-0000-0000934D0000}"/>
    <cellStyle name="40% - Accent4 3 4 2 2 2 4" xfId="9504" xr:uid="{00000000-0005-0000-0000-0000944D0000}"/>
    <cellStyle name="40% - Accent4 3 4 2 2 3" xfId="22515" xr:uid="{00000000-0005-0000-0000-0000954D0000}"/>
    <cellStyle name="40% - Accent4 3 4 2 2 3 2" xfId="5172" xr:uid="{00000000-0005-0000-0000-0000964D0000}"/>
    <cellStyle name="40% - Accent4 3 4 2 2 3 2 2" xfId="23238" xr:uid="{00000000-0005-0000-0000-0000974D0000}"/>
    <cellStyle name="40% - Accent4 3 4 2 2 3 3" xfId="22516" xr:uid="{00000000-0005-0000-0000-0000984D0000}"/>
    <cellStyle name="40% - Accent4 3 4 2 2 4" xfId="22517" xr:uid="{00000000-0005-0000-0000-0000994D0000}"/>
    <cellStyle name="40% - Accent4 3 4 2 2 4 2" xfId="22518" xr:uid="{00000000-0005-0000-0000-00009A4D0000}"/>
    <cellStyle name="40% - Accent4 3 4 2 2 5" xfId="22519" xr:uid="{00000000-0005-0000-0000-00009B4D0000}"/>
    <cellStyle name="40% - Accent4 3 4 2 3" xfId="22520" xr:uid="{00000000-0005-0000-0000-00009C4D0000}"/>
    <cellStyle name="40% - Accent4 3 4 2 3 2" xfId="19479" xr:uid="{00000000-0005-0000-0000-00009D4D0000}"/>
    <cellStyle name="40% - Accent4 3 4 2 3 2 2" xfId="467" xr:uid="{00000000-0005-0000-0000-00009E4D0000}"/>
    <cellStyle name="40% - Accent4 3 4 2 3 2 2 2" xfId="22528" xr:uid="{00000000-0005-0000-0000-00009F4D0000}"/>
    <cellStyle name="40% - Accent4 3 4 2 3 2 3" xfId="22536" xr:uid="{00000000-0005-0000-0000-0000A04D0000}"/>
    <cellStyle name="40% - Accent4 3 4 2 3 3" xfId="22543" xr:uid="{00000000-0005-0000-0000-0000A14D0000}"/>
    <cellStyle name="40% - Accent4 3 4 2 3 3 2" xfId="27932" xr:uid="{00000000-0005-0000-0000-0000A24D0000}"/>
    <cellStyle name="40% - Accent4 3 4 2 3 4" xfId="22546" xr:uid="{00000000-0005-0000-0000-0000A34D0000}"/>
    <cellStyle name="40% - Accent4 3 4 2 4" xfId="23731" xr:uid="{00000000-0005-0000-0000-0000A44D0000}"/>
    <cellStyle name="40% - Accent4 3 4 2 4 2" xfId="29108" xr:uid="{00000000-0005-0000-0000-0000A54D0000}"/>
    <cellStyle name="40% - Accent4 3 4 2 4 2 2" xfId="7502" xr:uid="{00000000-0005-0000-0000-0000A64D0000}"/>
    <cellStyle name="40% - Accent4 3 4 2 4 3" xfId="26208" xr:uid="{00000000-0005-0000-0000-0000A74D0000}"/>
    <cellStyle name="40% - Accent4 3 4 2 5" xfId="18846" xr:uid="{00000000-0005-0000-0000-0000A84D0000}"/>
    <cellStyle name="40% - Accent4 3 4 2 5 2" xfId="22555" xr:uid="{00000000-0005-0000-0000-0000A94D0000}"/>
    <cellStyle name="40% - Accent4 3 4 2 6" xfId="22556" xr:uid="{00000000-0005-0000-0000-0000AA4D0000}"/>
    <cellStyle name="40% - Accent4 3 4 3" xfId="19464" xr:uid="{00000000-0005-0000-0000-0000AB4D0000}"/>
    <cellStyle name="40% - Accent4 3 4 3 2" xfId="17917" xr:uid="{00000000-0005-0000-0000-0000AC4D0000}"/>
    <cellStyle name="40% - Accent4 3 4 3 2 2" xfId="22561" xr:uid="{00000000-0005-0000-0000-0000AD4D0000}"/>
    <cellStyle name="40% - Accent4 3 4 3 2 2 2" xfId="5208" xr:uid="{00000000-0005-0000-0000-0000AE4D0000}"/>
    <cellStyle name="40% - Accent4 3 4 3 2 2 2 2" xfId="22562" xr:uid="{00000000-0005-0000-0000-0000AF4D0000}"/>
    <cellStyle name="40% - Accent4 3 4 3 2 2 3" xfId="15359" xr:uid="{00000000-0005-0000-0000-0000B04D0000}"/>
    <cellStyle name="40% - Accent4 3 4 3 2 3" xfId="22565" xr:uid="{00000000-0005-0000-0000-0000B14D0000}"/>
    <cellStyle name="40% - Accent4 3 4 3 2 3 2" xfId="29225" xr:uid="{00000000-0005-0000-0000-0000B24D0000}"/>
    <cellStyle name="40% - Accent4 3 4 3 2 4" xfId="4014" xr:uid="{00000000-0005-0000-0000-0000B34D0000}"/>
    <cellStyle name="40% - Accent4 3 4 3 3" xfId="22569" xr:uid="{00000000-0005-0000-0000-0000B44D0000}"/>
    <cellStyle name="40% - Accent4 3 4 3 3 2" xfId="22577" xr:uid="{00000000-0005-0000-0000-0000B54D0000}"/>
    <cellStyle name="40% - Accent4 3 4 3 3 2 2" xfId="24269" xr:uid="{00000000-0005-0000-0000-0000B64D0000}"/>
    <cellStyle name="40% - Accent4 3 4 3 3 3" xfId="22580" xr:uid="{00000000-0005-0000-0000-0000B74D0000}"/>
    <cellStyle name="40% - Accent4 3 4 3 4" xfId="24959" xr:uid="{00000000-0005-0000-0000-0000B84D0000}"/>
    <cellStyle name="40% - Accent4 3 4 3 4 2" xfId="28268" xr:uid="{00000000-0005-0000-0000-0000B94D0000}"/>
    <cellStyle name="40% - Accent4 3 4 3 5" xfId="22587" xr:uid="{00000000-0005-0000-0000-0000BA4D0000}"/>
    <cellStyle name="40% - Accent4 3 4 4" xfId="33614" xr:uid="{00000000-0005-0000-0000-0000BB4D0000}"/>
    <cellStyle name="40% - Accent4 3 4 4 2" xfId="6615" xr:uid="{00000000-0005-0000-0000-0000BC4D0000}"/>
    <cellStyle name="40% - Accent4 3 4 4 2 2" xfId="6629" xr:uid="{00000000-0005-0000-0000-0000BD4D0000}"/>
    <cellStyle name="40% - Accent4 3 4 4 2 2 2" xfId="25853" xr:uid="{00000000-0005-0000-0000-0000BE4D0000}"/>
    <cellStyle name="40% - Accent4 3 4 4 2 3" xfId="23467" xr:uid="{00000000-0005-0000-0000-0000BF4D0000}"/>
    <cellStyle name="40% - Accent4 3 4 4 3" xfId="6046" xr:uid="{00000000-0005-0000-0000-0000C04D0000}"/>
    <cellStyle name="40% - Accent4 3 4 4 3 2" xfId="22591" xr:uid="{00000000-0005-0000-0000-0000C14D0000}"/>
    <cellStyle name="40% - Accent4 3 4 4 4" xfId="22596" xr:uid="{00000000-0005-0000-0000-0000C24D0000}"/>
    <cellStyle name="40% - Accent4 3 4 5" xfId="17878" xr:uid="{00000000-0005-0000-0000-0000C34D0000}"/>
    <cellStyle name="40% - Accent4 3 4 5 2" xfId="6663" xr:uid="{00000000-0005-0000-0000-0000C44D0000}"/>
    <cellStyle name="40% - Accent4 3 4 5 2 2" xfId="22599" xr:uid="{00000000-0005-0000-0000-0000C54D0000}"/>
    <cellStyle name="40% - Accent4 3 4 5 3" xfId="18407" xr:uid="{00000000-0005-0000-0000-0000C64D0000}"/>
    <cellStyle name="40% - Accent4 3 4 6" xfId="27452" xr:uid="{00000000-0005-0000-0000-0000C74D0000}"/>
    <cellStyle name="40% - Accent4 3 4 6 2" xfId="25003" xr:uid="{00000000-0005-0000-0000-0000C84D0000}"/>
    <cellStyle name="40% - Accent4 3 4 7" xfId="489" xr:uid="{00000000-0005-0000-0000-0000C94D0000}"/>
    <cellStyle name="40% - Accent4 3 5" xfId="5909" xr:uid="{00000000-0005-0000-0000-0000CA4D0000}"/>
    <cellStyle name="40% - Accent4 3 5 2" xfId="22604" xr:uid="{00000000-0005-0000-0000-0000CB4D0000}"/>
    <cellStyle name="40% - Accent4 3 5 2 2" xfId="22607" xr:uid="{00000000-0005-0000-0000-0000CC4D0000}"/>
    <cellStyle name="40% - Accent4 3 5 2 2 2" xfId="15531" xr:uid="{00000000-0005-0000-0000-0000CD4D0000}"/>
    <cellStyle name="40% - Accent4 3 5 2 2 2 2" xfId="3210" xr:uid="{00000000-0005-0000-0000-0000CE4D0000}"/>
    <cellStyle name="40% - Accent4 3 5 2 2 2 2 2" xfId="10728" xr:uid="{00000000-0005-0000-0000-0000CF4D0000}"/>
    <cellStyle name="40% - Accent4 3 5 2 2 2 3" xfId="22609" xr:uid="{00000000-0005-0000-0000-0000D04D0000}"/>
    <cellStyle name="40% - Accent4 3 5 2 2 3" xfId="27949" xr:uid="{00000000-0005-0000-0000-0000D14D0000}"/>
    <cellStyle name="40% - Accent4 3 5 2 2 3 2" xfId="22613" xr:uid="{00000000-0005-0000-0000-0000D24D0000}"/>
    <cellStyle name="40% - Accent4 3 5 2 2 4" xfId="27953" xr:uid="{00000000-0005-0000-0000-0000D34D0000}"/>
    <cellStyle name="40% - Accent4 3 5 2 3" xfId="22615" xr:uid="{00000000-0005-0000-0000-0000D44D0000}"/>
    <cellStyle name="40% - Accent4 3 5 2 3 2" xfId="23740" xr:uid="{00000000-0005-0000-0000-0000D54D0000}"/>
    <cellStyle name="40% - Accent4 3 5 2 3 2 2" xfId="22617" xr:uid="{00000000-0005-0000-0000-0000D64D0000}"/>
    <cellStyle name="40% - Accent4 3 5 2 3 3" xfId="20281" xr:uid="{00000000-0005-0000-0000-0000D74D0000}"/>
    <cellStyle name="40% - Accent4 3 5 2 4" xfId="1589" xr:uid="{00000000-0005-0000-0000-0000D84D0000}"/>
    <cellStyle name="40% - Accent4 3 5 2 4 2" xfId="23487" xr:uid="{00000000-0005-0000-0000-0000D94D0000}"/>
    <cellStyle name="40% - Accent4 3 5 2 5" xfId="22628" xr:uid="{00000000-0005-0000-0000-0000DA4D0000}"/>
    <cellStyle name="40% - Accent4 3 5 3" xfId="20050" xr:uid="{00000000-0005-0000-0000-0000DB4D0000}"/>
    <cellStyle name="40% - Accent4 3 5 3 2" xfId="20061" xr:uid="{00000000-0005-0000-0000-0000DC4D0000}"/>
    <cellStyle name="40% - Accent4 3 5 3 2 2" xfId="26027" xr:uid="{00000000-0005-0000-0000-0000DD4D0000}"/>
    <cellStyle name="40% - Accent4 3 5 3 2 2 2" xfId="22635" xr:uid="{00000000-0005-0000-0000-0000DE4D0000}"/>
    <cellStyle name="40% - Accent4 3 5 3 2 3" xfId="20721" xr:uid="{00000000-0005-0000-0000-0000DF4D0000}"/>
    <cellStyle name="40% - Accent4 3 5 3 3" xfId="20067" xr:uid="{00000000-0005-0000-0000-0000E04D0000}"/>
    <cellStyle name="40% - Accent4 3 5 3 3 2" xfId="23759" xr:uid="{00000000-0005-0000-0000-0000E14D0000}"/>
    <cellStyle name="40% - Accent4 3 5 3 4" xfId="22636" xr:uid="{00000000-0005-0000-0000-0000E24D0000}"/>
    <cellStyle name="40% - Accent4 3 5 4" xfId="23726" xr:uid="{00000000-0005-0000-0000-0000E34D0000}"/>
    <cellStyle name="40% - Accent4 3 5 4 2" xfId="12673" xr:uid="{00000000-0005-0000-0000-0000E44D0000}"/>
    <cellStyle name="40% - Accent4 3 5 4 2 2" xfId="22646" xr:uid="{00000000-0005-0000-0000-0000E54D0000}"/>
    <cellStyle name="40% - Accent4 3 5 4 3" xfId="22648" xr:uid="{00000000-0005-0000-0000-0000E64D0000}"/>
    <cellStyle name="40% - Accent4 3 5 5" xfId="10195" xr:uid="{00000000-0005-0000-0000-0000E74D0000}"/>
    <cellStyle name="40% - Accent4 3 5 5 2" xfId="22649" xr:uid="{00000000-0005-0000-0000-0000E84D0000}"/>
    <cellStyle name="40% - Accent4 3 5 6" xfId="22652" xr:uid="{00000000-0005-0000-0000-0000E94D0000}"/>
    <cellStyle name="40% - Accent4 3 6" xfId="22655" xr:uid="{00000000-0005-0000-0000-0000EA4D0000}"/>
    <cellStyle name="40% - Accent4 3 6 2" xfId="22658" xr:uid="{00000000-0005-0000-0000-0000EB4D0000}"/>
    <cellStyle name="40% - Accent4 3 6 2 2" xfId="19253" xr:uid="{00000000-0005-0000-0000-0000EC4D0000}"/>
    <cellStyle name="40% - Accent4 3 6 2 2 2" xfId="22660" xr:uid="{00000000-0005-0000-0000-0000ED4D0000}"/>
    <cellStyle name="40% - Accent4 3 6 2 2 2 2" xfId="21796" xr:uid="{00000000-0005-0000-0000-0000EE4D0000}"/>
    <cellStyle name="40% - Accent4 3 6 2 2 3" xfId="24938" xr:uid="{00000000-0005-0000-0000-0000EF4D0000}"/>
    <cellStyle name="40% - Accent4 3 6 2 3" xfId="22663" xr:uid="{00000000-0005-0000-0000-0000F04D0000}"/>
    <cellStyle name="40% - Accent4 3 6 2 3 2" xfId="22667" xr:uid="{00000000-0005-0000-0000-0000F14D0000}"/>
    <cellStyle name="40% - Accent4 3 6 2 4" xfId="22668" xr:uid="{00000000-0005-0000-0000-0000F24D0000}"/>
    <cellStyle name="40% - Accent4 3 6 3" xfId="19762" xr:uid="{00000000-0005-0000-0000-0000F34D0000}"/>
    <cellStyle name="40% - Accent4 3 6 3 2" xfId="19768" xr:uid="{00000000-0005-0000-0000-0000F44D0000}"/>
    <cellStyle name="40% - Accent4 3 6 3 2 2" xfId="33304" xr:uid="{00000000-0005-0000-0000-0000F54D0000}"/>
    <cellStyle name="40% - Accent4 3 6 3 3" xfId="31972" xr:uid="{00000000-0005-0000-0000-0000F64D0000}"/>
    <cellStyle name="40% - Accent4 3 6 4" xfId="19779" xr:uid="{00000000-0005-0000-0000-0000F74D0000}"/>
    <cellStyle name="40% - Accent4 3 6 4 2" xfId="31028" xr:uid="{00000000-0005-0000-0000-0000F84D0000}"/>
    <cellStyle name="40% - Accent4 3 6 5" xfId="22669" xr:uid="{00000000-0005-0000-0000-0000F94D0000}"/>
    <cellStyle name="40% - Accent4 3 7" xfId="26191" xr:uid="{00000000-0005-0000-0000-0000FA4D0000}"/>
    <cellStyle name="40% - Accent4 3 7 2" xfId="16828" xr:uid="{00000000-0005-0000-0000-0000FB4D0000}"/>
    <cellStyle name="40% - Accent4 3 7 2 2" xfId="22671" xr:uid="{00000000-0005-0000-0000-0000FC4D0000}"/>
    <cellStyle name="40% - Accent4 3 7 2 2 2" xfId="22673" xr:uid="{00000000-0005-0000-0000-0000FD4D0000}"/>
    <cellStyle name="40% - Accent4 3 7 2 3" xfId="22675" xr:uid="{00000000-0005-0000-0000-0000FE4D0000}"/>
    <cellStyle name="40% - Accent4 3 7 3" xfId="19783" xr:uid="{00000000-0005-0000-0000-0000FF4D0000}"/>
    <cellStyle name="40% - Accent4 3 7 3 2" xfId="32460" xr:uid="{00000000-0005-0000-0000-0000004E0000}"/>
    <cellStyle name="40% - Accent4 3 7 4" xfId="28026" xr:uid="{00000000-0005-0000-0000-0000014E0000}"/>
    <cellStyle name="40% - Accent4 3 8" xfId="16578" xr:uid="{00000000-0005-0000-0000-0000024E0000}"/>
    <cellStyle name="40% - Accent4 3 8 2" xfId="22677" xr:uid="{00000000-0005-0000-0000-0000034E0000}"/>
    <cellStyle name="40% - Accent4 3 8 2 2" xfId="7366" xr:uid="{00000000-0005-0000-0000-0000044E0000}"/>
    <cellStyle name="40% - Accent4 3 8 3" xfId="32361" xr:uid="{00000000-0005-0000-0000-0000054E0000}"/>
    <cellStyle name="40% - Accent4 3 9" xfId="14890" xr:uid="{00000000-0005-0000-0000-0000064E0000}"/>
    <cellStyle name="40% - Accent4 3 9 2" xfId="29400" xr:uid="{00000000-0005-0000-0000-0000074E0000}"/>
    <cellStyle name="40% - Accent4 4" xfId="16952" xr:uid="{00000000-0005-0000-0000-0000084E0000}"/>
    <cellStyle name="40% - Accent4 4 2" xfId="33121" xr:uid="{00000000-0005-0000-0000-0000094E0000}"/>
    <cellStyle name="40% - Accent4 4 2 2" xfId="22683" xr:uid="{00000000-0005-0000-0000-00000A4E0000}"/>
    <cellStyle name="40% - Accent4 4 2 2 2" xfId="18588" xr:uid="{00000000-0005-0000-0000-00000B4E0000}"/>
    <cellStyle name="40% - Accent4 4 2 2 2 2" xfId="3065" xr:uid="{00000000-0005-0000-0000-00000C4E0000}"/>
    <cellStyle name="40% - Accent4 4 2 2 2 2 2" xfId="33437" xr:uid="{00000000-0005-0000-0000-00000D4E0000}"/>
    <cellStyle name="40% - Accent4 4 2 2 2 2 2 2" xfId="22685" xr:uid="{00000000-0005-0000-0000-00000E4E0000}"/>
    <cellStyle name="40% - Accent4 4 2 2 2 2 2 2 2" xfId="22597" xr:uid="{00000000-0005-0000-0000-00000F4E0000}"/>
    <cellStyle name="40% - Accent4 4 2 2 2 2 2 2 2 2" xfId="23321" xr:uid="{00000000-0005-0000-0000-0000104E0000}"/>
    <cellStyle name="40% - Accent4 4 2 2 2 2 2 2 3" xfId="25948" xr:uid="{00000000-0005-0000-0000-0000114E0000}"/>
    <cellStyle name="40% - Accent4 4 2 2 2 2 2 3" xfId="13434" xr:uid="{00000000-0005-0000-0000-0000124E0000}"/>
    <cellStyle name="40% - Accent4 4 2 2 2 2 2 3 2" xfId="22687" xr:uid="{00000000-0005-0000-0000-0000134E0000}"/>
    <cellStyle name="40% - Accent4 4 2 2 2 2 2 4" xfId="19968" xr:uid="{00000000-0005-0000-0000-0000144E0000}"/>
    <cellStyle name="40% - Accent4 4 2 2 2 2 3" xfId="5231" xr:uid="{00000000-0005-0000-0000-0000154E0000}"/>
    <cellStyle name="40% - Accent4 4 2 2 2 2 3 2" xfId="33024" xr:uid="{00000000-0005-0000-0000-0000164E0000}"/>
    <cellStyle name="40% - Accent4 4 2 2 2 2 3 2 2" xfId="19841" xr:uid="{00000000-0005-0000-0000-0000174E0000}"/>
    <cellStyle name="40% - Accent4 4 2 2 2 2 3 3" xfId="2712" xr:uid="{00000000-0005-0000-0000-0000184E0000}"/>
    <cellStyle name="40% - Accent4 4 2 2 2 2 4" xfId="18009" xr:uid="{00000000-0005-0000-0000-0000194E0000}"/>
    <cellStyle name="40% - Accent4 4 2 2 2 2 4 2" xfId="24338" xr:uid="{00000000-0005-0000-0000-00001A4E0000}"/>
    <cellStyle name="40% - Accent4 4 2 2 2 2 5" xfId="7047" xr:uid="{00000000-0005-0000-0000-00001B4E0000}"/>
    <cellStyle name="40% - Accent4 4 2 2 2 3" xfId="22694" xr:uid="{00000000-0005-0000-0000-00001C4E0000}"/>
    <cellStyle name="40% - Accent4 4 2 2 2 3 2" xfId="22696" xr:uid="{00000000-0005-0000-0000-00001D4E0000}"/>
    <cellStyle name="40% - Accent4 4 2 2 2 3 2 2" xfId="1144" xr:uid="{00000000-0005-0000-0000-00001E4E0000}"/>
    <cellStyle name="40% - Accent4 4 2 2 2 3 2 2 2" xfId="25993" xr:uid="{00000000-0005-0000-0000-00001F4E0000}"/>
    <cellStyle name="40% - Accent4 4 2 2 2 3 2 3" xfId="13589" xr:uid="{00000000-0005-0000-0000-0000204E0000}"/>
    <cellStyle name="40% - Accent4 4 2 2 2 3 3" xfId="701" xr:uid="{00000000-0005-0000-0000-0000214E0000}"/>
    <cellStyle name="40% - Accent4 4 2 2 2 3 3 2" xfId="1177" xr:uid="{00000000-0005-0000-0000-0000224E0000}"/>
    <cellStyle name="40% - Accent4 4 2 2 2 3 4" xfId="33094" xr:uid="{00000000-0005-0000-0000-0000234E0000}"/>
    <cellStyle name="40% - Accent4 4 2 2 2 4" xfId="22697" xr:uid="{00000000-0005-0000-0000-0000244E0000}"/>
    <cellStyle name="40% - Accent4 4 2 2 2 4 2" xfId="22719" xr:uid="{00000000-0005-0000-0000-0000254E0000}"/>
    <cellStyle name="40% - Accent4 4 2 2 2 4 2 2" xfId="2908" xr:uid="{00000000-0005-0000-0000-0000264E0000}"/>
    <cellStyle name="40% - Accent4 4 2 2 2 4 3" xfId="31126" xr:uid="{00000000-0005-0000-0000-0000274E0000}"/>
    <cellStyle name="40% - Accent4 4 2 2 2 5" xfId="33109" xr:uid="{00000000-0005-0000-0000-0000284E0000}"/>
    <cellStyle name="40% - Accent4 4 2 2 2 5 2" xfId="33587" xr:uid="{00000000-0005-0000-0000-0000294E0000}"/>
    <cellStyle name="40% - Accent4 4 2 2 2 6" xfId="22937" xr:uid="{00000000-0005-0000-0000-00002A4E0000}"/>
    <cellStyle name="40% - Accent4 4 2 2 3" xfId="18595" xr:uid="{00000000-0005-0000-0000-00002B4E0000}"/>
    <cellStyle name="40% - Accent4 4 2 2 3 2" xfId="20520" xr:uid="{00000000-0005-0000-0000-00002C4E0000}"/>
    <cellStyle name="40% - Accent4 4 2 2 3 2 2" xfId="22699" xr:uid="{00000000-0005-0000-0000-00002D4E0000}"/>
    <cellStyle name="40% - Accent4 4 2 2 3 2 2 2" xfId="27587" xr:uid="{00000000-0005-0000-0000-00002E4E0000}"/>
    <cellStyle name="40% - Accent4 4 2 2 3 2 2 2 2" xfId="26062" xr:uid="{00000000-0005-0000-0000-00002F4E0000}"/>
    <cellStyle name="40% - Accent4 4 2 2 3 2 2 3" xfId="13686" xr:uid="{00000000-0005-0000-0000-0000304E0000}"/>
    <cellStyle name="40% - Accent4 4 2 2 3 2 3" xfId="8041" xr:uid="{00000000-0005-0000-0000-0000314E0000}"/>
    <cellStyle name="40% - Accent4 4 2 2 3 2 3 2" xfId="22701" xr:uid="{00000000-0005-0000-0000-0000324E0000}"/>
    <cellStyle name="40% - Accent4 4 2 2 3 2 4" xfId="14871" xr:uid="{00000000-0005-0000-0000-0000334E0000}"/>
    <cellStyle name="40% - Accent4 4 2 2 3 3" xfId="28448" xr:uid="{00000000-0005-0000-0000-0000344E0000}"/>
    <cellStyle name="40% - Accent4 4 2 2 3 3 2" xfId="22704" xr:uid="{00000000-0005-0000-0000-0000354E0000}"/>
    <cellStyle name="40% - Accent4 4 2 2 3 3 2 2" xfId="1446" xr:uid="{00000000-0005-0000-0000-0000364E0000}"/>
    <cellStyle name="40% - Accent4 4 2 2 3 3 3" xfId="29375" xr:uid="{00000000-0005-0000-0000-0000374E0000}"/>
    <cellStyle name="40% - Accent4 4 2 2 3 4" xfId="20535" xr:uid="{00000000-0005-0000-0000-0000384E0000}"/>
    <cellStyle name="40% - Accent4 4 2 2 3 4 2" xfId="25921" xr:uid="{00000000-0005-0000-0000-0000394E0000}"/>
    <cellStyle name="40% - Accent4 4 2 2 3 5" xfId="20543" xr:uid="{00000000-0005-0000-0000-00003A4E0000}"/>
    <cellStyle name="40% - Accent4 4 2 2 4" xfId="20552" xr:uid="{00000000-0005-0000-0000-00003B4E0000}"/>
    <cellStyle name="40% - Accent4 4 2 2 4 2" xfId="20562" xr:uid="{00000000-0005-0000-0000-00003C4E0000}"/>
    <cellStyle name="40% - Accent4 4 2 2 4 2 2" xfId="28151" xr:uid="{00000000-0005-0000-0000-00003D4E0000}"/>
    <cellStyle name="40% - Accent4 4 2 2 4 2 2 2" xfId="24910" xr:uid="{00000000-0005-0000-0000-00003E4E0000}"/>
    <cellStyle name="40% - Accent4 4 2 2 4 2 3" xfId="5552" xr:uid="{00000000-0005-0000-0000-00003F4E0000}"/>
    <cellStyle name="40% - Accent4 4 2 2 4 3" xfId="20575" xr:uid="{00000000-0005-0000-0000-0000404E0000}"/>
    <cellStyle name="40% - Accent4 4 2 2 4 3 2" xfId="30013" xr:uid="{00000000-0005-0000-0000-0000414E0000}"/>
    <cellStyle name="40% - Accent4 4 2 2 4 4" xfId="30382" xr:uid="{00000000-0005-0000-0000-0000424E0000}"/>
    <cellStyle name="40% - Accent4 4 2 2 5" xfId="25819" xr:uid="{00000000-0005-0000-0000-0000434E0000}"/>
    <cellStyle name="40% - Accent4 4 2 2 5 2" xfId="17491" xr:uid="{00000000-0005-0000-0000-0000444E0000}"/>
    <cellStyle name="40% - Accent4 4 2 2 5 2 2" xfId="28794" xr:uid="{00000000-0005-0000-0000-0000454E0000}"/>
    <cellStyle name="40% - Accent4 4 2 2 5 3" xfId="17162" xr:uid="{00000000-0005-0000-0000-0000464E0000}"/>
    <cellStyle name="40% - Accent4 4 2 2 6" xfId="25831" xr:uid="{00000000-0005-0000-0000-0000474E0000}"/>
    <cellStyle name="40% - Accent4 4 2 2 6 2" xfId="20591" xr:uid="{00000000-0005-0000-0000-0000484E0000}"/>
    <cellStyle name="40% - Accent4 4 2 2 7" xfId="20594" xr:uid="{00000000-0005-0000-0000-0000494E0000}"/>
    <cellStyle name="40% - Accent4 4 2 3" xfId="22708" xr:uid="{00000000-0005-0000-0000-00004A4E0000}"/>
    <cellStyle name="40% - Accent4 4 2 3 2" xfId="18607" xr:uid="{00000000-0005-0000-0000-00004B4E0000}"/>
    <cellStyle name="40% - Accent4 4 2 3 2 2" xfId="22709" xr:uid="{00000000-0005-0000-0000-00004C4E0000}"/>
    <cellStyle name="40% - Accent4 4 2 3 2 2 2" xfId="17070" xr:uid="{00000000-0005-0000-0000-00004D4E0000}"/>
    <cellStyle name="40% - Accent4 4 2 3 2 2 2 2" xfId="22710" xr:uid="{00000000-0005-0000-0000-00004E4E0000}"/>
    <cellStyle name="40% - Accent4 4 2 3 2 2 2 2 2" xfId="22716" xr:uid="{00000000-0005-0000-0000-00004F4E0000}"/>
    <cellStyle name="40% - Accent4 4 2 3 2 2 2 3" xfId="13833" xr:uid="{00000000-0005-0000-0000-0000504E0000}"/>
    <cellStyle name="40% - Accent4 4 2 3 2 2 3" xfId="206" xr:uid="{00000000-0005-0000-0000-0000514E0000}"/>
    <cellStyle name="40% - Accent4 4 2 3 2 2 3 2" xfId="22721" xr:uid="{00000000-0005-0000-0000-0000524E0000}"/>
    <cellStyle name="40% - Accent4 4 2 3 2 2 4" xfId="33949" xr:uid="{00000000-0005-0000-0000-0000534E0000}"/>
    <cellStyle name="40% - Accent4 4 2 3 2 3" xfId="22726" xr:uid="{00000000-0005-0000-0000-0000544E0000}"/>
    <cellStyle name="40% - Accent4 4 2 3 2 3 2" xfId="17141" xr:uid="{00000000-0005-0000-0000-0000554E0000}"/>
    <cellStyle name="40% - Accent4 4 2 3 2 3 2 2" xfId="27712" xr:uid="{00000000-0005-0000-0000-0000564E0000}"/>
    <cellStyle name="40% - Accent4 4 2 3 2 3 3" xfId="17148" xr:uid="{00000000-0005-0000-0000-0000574E0000}"/>
    <cellStyle name="40% - Accent4 4 2 3 2 4" xfId="25124" xr:uid="{00000000-0005-0000-0000-0000584E0000}"/>
    <cellStyle name="40% - Accent4 4 2 3 2 4 2" xfId="31264" xr:uid="{00000000-0005-0000-0000-0000594E0000}"/>
    <cellStyle name="40% - Accent4 4 2 3 2 5" xfId="25321" xr:uid="{00000000-0005-0000-0000-00005A4E0000}"/>
    <cellStyle name="40% - Accent4 4 2 3 3" xfId="20599" xr:uid="{00000000-0005-0000-0000-00005B4E0000}"/>
    <cellStyle name="40% - Accent4 4 2 3 3 2" xfId="20605" xr:uid="{00000000-0005-0000-0000-00005C4E0000}"/>
    <cellStyle name="40% - Accent4 4 2 3 3 2 2" xfId="28492" xr:uid="{00000000-0005-0000-0000-00005D4E0000}"/>
    <cellStyle name="40% - Accent4 4 2 3 3 2 2 2" xfId="32264" xr:uid="{00000000-0005-0000-0000-00005E4E0000}"/>
    <cellStyle name="40% - Accent4 4 2 3 3 2 3" xfId="17255" xr:uid="{00000000-0005-0000-0000-00005F4E0000}"/>
    <cellStyle name="40% - Accent4 4 2 3 3 3" xfId="24158" xr:uid="{00000000-0005-0000-0000-0000604E0000}"/>
    <cellStyle name="40% - Accent4 4 2 3 3 3 2" xfId="17275" xr:uid="{00000000-0005-0000-0000-0000614E0000}"/>
    <cellStyle name="40% - Accent4 4 2 3 3 4" xfId="20610" xr:uid="{00000000-0005-0000-0000-0000624E0000}"/>
    <cellStyle name="40% - Accent4 4 2 3 4" xfId="20626" xr:uid="{00000000-0005-0000-0000-0000634E0000}"/>
    <cellStyle name="40% - Accent4 4 2 3 4 2" xfId="14822" xr:uid="{00000000-0005-0000-0000-0000644E0000}"/>
    <cellStyle name="40% - Accent4 4 2 3 4 2 2" xfId="15007" xr:uid="{00000000-0005-0000-0000-0000654E0000}"/>
    <cellStyle name="40% - Accent4 4 2 3 4 3" xfId="14844" xr:uid="{00000000-0005-0000-0000-0000664E0000}"/>
    <cellStyle name="40% - Accent4 4 2 3 5" xfId="18859" xr:uid="{00000000-0005-0000-0000-0000674E0000}"/>
    <cellStyle name="40% - Accent4 4 2 3 5 2" xfId="14884" xr:uid="{00000000-0005-0000-0000-0000684E0000}"/>
    <cellStyle name="40% - Accent4 4 2 3 6" xfId="20636" xr:uid="{00000000-0005-0000-0000-0000694E0000}"/>
    <cellStyle name="40% - Accent4 4 2 4" xfId="22727" xr:uid="{00000000-0005-0000-0000-00006A4E0000}"/>
    <cellStyle name="40% - Accent4 4 2 4 2" xfId="22730" xr:uid="{00000000-0005-0000-0000-00006B4E0000}"/>
    <cellStyle name="40% - Accent4 4 2 4 2 2" xfId="22735" xr:uid="{00000000-0005-0000-0000-00006C4E0000}"/>
    <cellStyle name="40% - Accent4 4 2 4 2 2 2" xfId="17617" xr:uid="{00000000-0005-0000-0000-00006D4E0000}"/>
    <cellStyle name="40% - Accent4 4 2 4 2 2 2 2" xfId="22228" xr:uid="{00000000-0005-0000-0000-00006E4E0000}"/>
    <cellStyle name="40% - Accent4 4 2 4 2 2 3" xfId="17622" xr:uid="{00000000-0005-0000-0000-00006F4E0000}"/>
    <cellStyle name="40% - Accent4 4 2 4 2 3" xfId="22738" xr:uid="{00000000-0005-0000-0000-0000704E0000}"/>
    <cellStyle name="40% - Accent4 4 2 4 2 3 2" xfId="17655" xr:uid="{00000000-0005-0000-0000-0000714E0000}"/>
    <cellStyle name="40% - Accent4 4 2 4 2 4" xfId="26676" xr:uid="{00000000-0005-0000-0000-0000724E0000}"/>
    <cellStyle name="40% - Accent4 4 2 4 3" xfId="20645" xr:uid="{00000000-0005-0000-0000-0000734E0000}"/>
    <cellStyle name="40% - Accent4 4 2 4 3 2" xfId="20652" xr:uid="{00000000-0005-0000-0000-0000744E0000}"/>
    <cellStyle name="40% - Accent4 4 2 4 3 2 2" xfId="31105" xr:uid="{00000000-0005-0000-0000-0000754E0000}"/>
    <cellStyle name="40% - Accent4 4 2 4 3 3" xfId="28204" xr:uid="{00000000-0005-0000-0000-0000764E0000}"/>
    <cellStyle name="40% - Accent4 4 2 4 4" xfId="20668" xr:uid="{00000000-0005-0000-0000-0000774E0000}"/>
    <cellStyle name="40% - Accent4 4 2 4 4 2" xfId="14948" xr:uid="{00000000-0005-0000-0000-0000784E0000}"/>
    <cellStyle name="40% - Accent4 4 2 4 5" xfId="20679" xr:uid="{00000000-0005-0000-0000-0000794E0000}"/>
    <cellStyle name="40% - Accent4 4 2 5" xfId="22740" xr:uid="{00000000-0005-0000-0000-00007A4E0000}"/>
    <cellStyle name="40% - Accent4 4 2 5 2" xfId="25872" xr:uid="{00000000-0005-0000-0000-00007B4E0000}"/>
    <cellStyle name="40% - Accent4 4 2 5 2 2" xfId="22747" xr:uid="{00000000-0005-0000-0000-00007C4E0000}"/>
    <cellStyle name="40% - Accent4 4 2 5 2 2 2" xfId="18698" xr:uid="{00000000-0005-0000-0000-00007D4E0000}"/>
    <cellStyle name="40% - Accent4 4 2 5 2 3" xfId="24123" xr:uid="{00000000-0005-0000-0000-00007E4E0000}"/>
    <cellStyle name="40% - Accent4 4 2 5 3" xfId="20685" xr:uid="{00000000-0005-0000-0000-00007F4E0000}"/>
    <cellStyle name="40% - Accent4 4 2 5 3 2" xfId="20693" xr:uid="{00000000-0005-0000-0000-0000804E0000}"/>
    <cellStyle name="40% - Accent4 4 2 5 4" xfId="20706" xr:uid="{00000000-0005-0000-0000-0000814E0000}"/>
    <cellStyle name="40% - Accent4 4 2 6" xfId="10816" xr:uid="{00000000-0005-0000-0000-0000824E0000}"/>
    <cellStyle name="40% - Accent4 4 2 6 2" xfId="22749" xr:uid="{00000000-0005-0000-0000-0000834E0000}"/>
    <cellStyle name="40% - Accent4 4 2 6 2 2" xfId="29105" xr:uid="{00000000-0005-0000-0000-0000844E0000}"/>
    <cellStyle name="40% - Accent4 4 2 6 3" xfId="20712" xr:uid="{00000000-0005-0000-0000-0000854E0000}"/>
    <cellStyle name="40% - Accent4 4 2 7" xfId="14149" xr:uid="{00000000-0005-0000-0000-0000864E0000}"/>
    <cellStyle name="40% - Accent4 4 2 7 2" xfId="3956" xr:uid="{00000000-0005-0000-0000-0000874E0000}"/>
    <cellStyle name="40% - Accent4 4 2 8" xfId="8283" xr:uid="{00000000-0005-0000-0000-0000884E0000}"/>
    <cellStyle name="40% - Accent4 4 3" xfId="2642" xr:uid="{00000000-0005-0000-0000-0000894E0000}"/>
    <cellStyle name="40% - Accent4 4 3 2" xfId="20165" xr:uid="{00000000-0005-0000-0000-00008A4E0000}"/>
    <cellStyle name="40% - Accent4 4 3 2 2" xfId="18676" xr:uid="{00000000-0005-0000-0000-00008B4E0000}"/>
    <cellStyle name="40% - Accent4 4 3 2 2 2" xfId="12902" xr:uid="{00000000-0005-0000-0000-00008C4E0000}"/>
    <cellStyle name="40% - Accent4 4 3 2 2 2 2" xfId="6831" xr:uid="{00000000-0005-0000-0000-00008D4E0000}"/>
    <cellStyle name="40% - Accent4 4 3 2 2 2 2 2" xfId="28463" xr:uid="{00000000-0005-0000-0000-00008E4E0000}"/>
    <cellStyle name="40% - Accent4 4 3 2 2 2 2 2 2" xfId="26633" xr:uid="{00000000-0005-0000-0000-00008F4E0000}"/>
    <cellStyle name="40% - Accent4 4 3 2 2 2 2 3" xfId="22753" xr:uid="{00000000-0005-0000-0000-0000904E0000}"/>
    <cellStyle name="40% - Accent4 4 3 2 2 2 3" xfId="204" xr:uid="{00000000-0005-0000-0000-0000914E0000}"/>
    <cellStyle name="40% - Accent4 4 3 2 2 2 3 2" xfId="22759" xr:uid="{00000000-0005-0000-0000-0000924E0000}"/>
    <cellStyle name="40% - Accent4 4 3 2 2 2 4" xfId="31061" xr:uid="{00000000-0005-0000-0000-0000934E0000}"/>
    <cellStyle name="40% - Accent4 4 3 2 2 3" xfId="1188" xr:uid="{00000000-0005-0000-0000-0000944E0000}"/>
    <cellStyle name="40% - Accent4 4 3 2 2 3 2" xfId="802" xr:uid="{00000000-0005-0000-0000-0000954E0000}"/>
    <cellStyle name="40% - Accent4 4 3 2 2 3 2 2" xfId="17176" xr:uid="{00000000-0005-0000-0000-0000964E0000}"/>
    <cellStyle name="40% - Accent4 4 3 2 2 3 3" xfId="31439" xr:uid="{00000000-0005-0000-0000-0000974E0000}"/>
    <cellStyle name="40% - Accent4 4 3 2 2 4" xfId="28687" xr:uid="{00000000-0005-0000-0000-0000984E0000}"/>
    <cellStyle name="40% - Accent4 4 3 2 2 4 2" xfId="22762" xr:uid="{00000000-0005-0000-0000-0000994E0000}"/>
    <cellStyle name="40% - Accent4 4 3 2 2 5" xfId="22776" xr:uid="{00000000-0005-0000-0000-00009A4E0000}"/>
    <cellStyle name="40% - Accent4 4 3 2 3" xfId="20750" xr:uid="{00000000-0005-0000-0000-00009B4E0000}"/>
    <cellStyle name="40% - Accent4 4 3 2 3 2" xfId="12876" xr:uid="{00000000-0005-0000-0000-00009C4E0000}"/>
    <cellStyle name="40% - Accent4 4 3 2 3 2 2" xfId="6839" xr:uid="{00000000-0005-0000-0000-00009D4E0000}"/>
    <cellStyle name="40% - Accent4 4 3 2 3 2 2 2" xfId="30023" xr:uid="{00000000-0005-0000-0000-00009E4E0000}"/>
    <cellStyle name="40% - Accent4 4 3 2 3 2 3" xfId="15302" xr:uid="{00000000-0005-0000-0000-00009F4E0000}"/>
    <cellStyle name="40% - Accent4 4 3 2 3 3" xfId="20759" xr:uid="{00000000-0005-0000-0000-0000A04E0000}"/>
    <cellStyle name="40% - Accent4 4 3 2 3 3 2" xfId="18761" xr:uid="{00000000-0005-0000-0000-0000A14E0000}"/>
    <cellStyle name="40% - Accent4 4 3 2 3 4" xfId="779" xr:uid="{00000000-0005-0000-0000-0000A24E0000}"/>
    <cellStyle name="40% - Accent4 4 3 2 4" xfId="21475" xr:uid="{00000000-0005-0000-0000-0000A34E0000}"/>
    <cellStyle name="40% - Accent4 4 3 2 4 2" xfId="20778" xr:uid="{00000000-0005-0000-0000-0000A44E0000}"/>
    <cellStyle name="40% - Accent4 4 3 2 4 2 2" xfId="15954" xr:uid="{00000000-0005-0000-0000-0000A54E0000}"/>
    <cellStyle name="40% - Accent4 4 3 2 4 3" xfId="20788" xr:uid="{00000000-0005-0000-0000-0000A64E0000}"/>
    <cellStyle name="40% - Accent4 4 3 2 5" xfId="25868" xr:uid="{00000000-0005-0000-0000-0000A74E0000}"/>
    <cellStyle name="40% - Accent4 4 3 2 5 2" xfId="20805" xr:uid="{00000000-0005-0000-0000-0000A84E0000}"/>
    <cellStyle name="40% - Accent4 4 3 2 6" xfId="20809" xr:uid="{00000000-0005-0000-0000-0000A94E0000}"/>
    <cellStyle name="40% - Accent4 4 3 3" xfId="22780" xr:uid="{00000000-0005-0000-0000-0000AA4E0000}"/>
    <cellStyle name="40% - Accent4 4 3 3 2" xfId="17936" xr:uid="{00000000-0005-0000-0000-0000AB4E0000}"/>
    <cellStyle name="40% - Accent4 4 3 3 2 2" xfId="1264" xr:uid="{00000000-0005-0000-0000-0000AC4E0000}"/>
    <cellStyle name="40% - Accent4 4 3 3 2 2 2" xfId="1103" xr:uid="{00000000-0005-0000-0000-0000AD4E0000}"/>
    <cellStyle name="40% - Accent4 4 3 3 2 2 2 2" xfId="22782" xr:uid="{00000000-0005-0000-0000-0000AE4E0000}"/>
    <cellStyle name="40% - Accent4 4 3 3 2 2 3" xfId="32023" xr:uid="{00000000-0005-0000-0000-0000AF4E0000}"/>
    <cellStyle name="40% - Accent4 4 3 3 2 3" xfId="24448" xr:uid="{00000000-0005-0000-0000-0000B04E0000}"/>
    <cellStyle name="40% - Accent4 4 3 3 2 3 2" xfId="22779" xr:uid="{00000000-0005-0000-0000-0000B14E0000}"/>
    <cellStyle name="40% - Accent4 4 3 3 2 4" xfId="14551" xr:uid="{00000000-0005-0000-0000-0000B24E0000}"/>
    <cellStyle name="40% - Accent4 4 3 3 3" xfId="20822" xr:uid="{00000000-0005-0000-0000-0000B34E0000}"/>
    <cellStyle name="40% - Accent4 4 3 3 3 2" xfId="20828" xr:uid="{00000000-0005-0000-0000-0000B44E0000}"/>
    <cellStyle name="40% - Accent4 4 3 3 3 2 2" xfId="17414" xr:uid="{00000000-0005-0000-0000-0000B54E0000}"/>
    <cellStyle name="40% - Accent4 4 3 3 3 3" xfId="23804" xr:uid="{00000000-0005-0000-0000-0000B64E0000}"/>
    <cellStyle name="40% - Accent4 4 3 3 4" xfId="20898" xr:uid="{00000000-0005-0000-0000-0000B74E0000}"/>
    <cellStyle name="40% - Accent4 4 3 3 4 2" xfId="15066" xr:uid="{00000000-0005-0000-0000-0000B84E0000}"/>
    <cellStyle name="40% - Accent4 4 3 3 5" xfId="20852" xr:uid="{00000000-0005-0000-0000-0000B94E0000}"/>
    <cellStyle name="40% - Accent4 4 3 4" xfId="22784" xr:uid="{00000000-0005-0000-0000-0000BA4E0000}"/>
    <cellStyle name="40% - Accent4 4 3 4 2" xfId="22786" xr:uid="{00000000-0005-0000-0000-0000BB4E0000}"/>
    <cellStyle name="40% - Accent4 4 3 4 2 2" xfId="22790" xr:uid="{00000000-0005-0000-0000-0000BC4E0000}"/>
    <cellStyle name="40% - Accent4 4 3 4 2 2 2" xfId="25025" xr:uid="{00000000-0005-0000-0000-0000BD4E0000}"/>
    <cellStyle name="40% - Accent4 4 3 4 2 3" xfId="22792" xr:uid="{00000000-0005-0000-0000-0000BE4E0000}"/>
    <cellStyle name="40% - Accent4 4 3 4 3" xfId="20857" xr:uid="{00000000-0005-0000-0000-0000BF4E0000}"/>
    <cellStyle name="40% - Accent4 4 3 4 3 2" xfId="20861" xr:uid="{00000000-0005-0000-0000-0000C04E0000}"/>
    <cellStyle name="40% - Accent4 4 3 4 4" xfId="20877" xr:uid="{00000000-0005-0000-0000-0000C14E0000}"/>
    <cellStyle name="40% - Accent4 4 3 5" xfId="15196" xr:uid="{00000000-0005-0000-0000-0000C24E0000}"/>
    <cellStyle name="40% - Accent4 4 3 5 2" xfId="22795" xr:uid="{00000000-0005-0000-0000-0000C34E0000}"/>
    <cellStyle name="40% - Accent4 4 3 5 2 2" xfId="22799" xr:uid="{00000000-0005-0000-0000-0000C44E0000}"/>
    <cellStyle name="40% - Accent4 4 3 5 3" xfId="20883" xr:uid="{00000000-0005-0000-0000-0000C54E0000}"/>
    <cellStyle name="40% - Accent4 4 3 6" xfId="10457" xr:uid="{00000000-0005-0000-0000-0000C64E0000}"/>
    <cellStyle name="40% - Accent4 4 3 6 2" xfId="4627" xr:uid="{00000000-0005-0000-0000-0000C74E0000}"/>
    <cellStyle name="40% - Accent4 4 3 7" xfId="6573" xr:uid="{00000000-0005-0000-0000-0000C84E0000}"/>
    <cellStyle name="40% - Accent4 4 4" xfId="20168" xr:uid="{00000000-0005-0000-0000-0000C94E0000}"/>
    <cellStyle name="40% - Accent4 4 4 2" xfId="22807" xr:uid="{00000000-0005-0000-0000-0000CA4E0000}"/>
    <cellStyle name="40% - Accent4 4 4 2 2" xfId="22820" xr:uid="{00000000-0005-0000-0000-0000CB4E0000}"/>
    <cellStyle name="40% - Accent4 4 4 2 2 2" xfId="13581" xr:uid="{00000000-0005-0000-0000-0000CC4E0000}"/>
    <cellStyle name="40% - Accent4 4 4 2 2 2 2" xfId="6991" xr:uid="{00000000-0005-0000-0000-0000CD4E0000}"/>
    <cellStyle name="40% - Accent4 4 4 2 2 2 2 2" xfId="19882" xr:uid="{00000000-0005-0000-0000-0000CE4E0000}"/>
    <cellStyle name="40% - Accent4 4 4 2 2 2 3" xfId="30340" xr:uid="{00000000-0005-0000-0000-0000CF4E0000}"/>
    <cellStyle name="40% - Accent4 4 4 2 2 3" xfId="22810" xr:uid="{00000000-0005-0000-0000-0000D04E0000}"/>
    <cellStyle name="40% - Accent4 4 4 2 2 3 2" xfId="23531" xr:uid="{00000000-0005-0000-0000-0000D14E0000}"/>
    <cellStyle name="40% - Accent4 4 4 2 2 4" xfId="30980" xr:uid="{00000000-0005-0000-0000-0000D24E0000}"/>
    <cellStyle name="40% - Accent4 4 4 2 3" xfId="20944" xr:uid="{00000000-0005-0000-0000-0000D34E0000}"/>
    <cellStyle name="40% - Accent4 4 4 2 3 2" xfId="20948" xr:uid="{00000000-0005-0000-0000-0000D44E0000}"/>
    <cellStyle name="40% - Accent4 4 4 2 3 2 2" xfId="22812" xr:uid="{00000000-0005-0000-0000-0000D54E0000}"/>
    <cellStyle name="40% - Accent4 4 4 2 3 3" xfId="20975" xr:uid="{00000000-0005-0000-0000-0000D64E0000}"/>
    <cellStyle name="40% - Accent4 4 4 2 4" xfId="21518" xr:uid="{00000000-0005-0000-0000-0000D74E0000}"/>
    <cellStyle name="40% - Accent4 4 4 2 4 2" xfId="20980" xr:uid="{00000000-0005-0000-0000-0000D84E0000}"/>
    <cellStyle name="40% - Accent4 4 4 2 5" xfId="20986" xr:uid="{00000000-0005-0000-0000-0000D94E0000}"/>
    <cellStyle name="40% - Accent4 4 4 3" xfId="22823" xr:uid="{00000000-0005-0000-0000-0000DA4E0000}"/>
    <cellStyle name="40% - Accent4 4 4 3 2" xfId="22825" xr:uid="{00000000-0005-0000-0000-0000DB4E0000}"/>
    <cellStyle name="40% - Accent4 4 4 3 2 2" xfId="33847" xr:uid="{00000000-0005-0000-0000-0000DC4E0000}"/>
    <cellStyle name="40% - Accent4 4 4 3 2 2 2" xfId="21257" xr:uid="{00000000-0005-0000-0000-0000DD4E0000}"/>
    <cellStyle name="40% - Accent4 4 4 3 2 3" xfId="24988" xr:uid="{00000000-0005-0000-0000-0000DE4E0000}"/>
    <cellStyle name="40% - Accent4 4 4 3 3" xfId="20998" xr:uid="{00000000-0005-0000-0000-0000DF4E0000}"/>
    <cellStyle name="40% - Accent4 4 4 3 3 2" xfId="21008" xr:uid="{00000000-0005-0000-0000-0000E04E0000}"/>
    <cellStyle name="40% - Accent4 4 4 3 4" xfId="21025" xr:uid="{00000000-0005-0000-0000-0000E14E0000}"/>
    <cellStyle name="40% - Accent4 4 4 4" xfId="18496" xr:uid="{00000000-0005-0000-0000-0000E24E0000}"/>
    <cellStyle name="40% - Accent4 4 4 4 2" xfId="6329" xr:uid="{00000000-0005-0000-0000-0000E34E0000}"/>
    <cellStyle name="40% - Accent4 4 4 4 2 2" xfId="22830" xr:uid="{00000000-0005-0000-0000-0000E44E0000}"/>
    <cellStyle name="40% - Accent4 4 4 4 3" xfId="21032" xr:uid="{00000000-0005-0000-0000-0000E54E0000}"/>
    <cellStyle name="40% - Accent4 4 4 5" xfId="22833" xr:uid="{00000000-0005-0000-0000-0000E64E0000}"/>
    <cellStyle name="40% - Accent4 4 4 5 2" xfId="22836" xr:uid="{00000000-0005-0000-0000-0000E74E0000}"/>
    <cellStyle name="40% - Accent4 4 4 6" xfId="26722" xr:uid="{00000000-0005-0000-0000-0000E84E0000}"/>
    <cellStyle name="40% - Accent4 4 5" xfId="22839" xr:uid="{00000000-0005-0000-0000-0000E94E0000}"/>
    <cellStyle name="40% - Accent4 4 5 2" xfId="22891" xr:uid="{00000000-0005-0000-0000-0000EA4E0000}"/>
    <cellStyle name="40% - Accent4 4 5 2 2" xfId="26604" xr:uid="{00000000-0005-0000-0000-0000EB4E0000}"/>
    <cellStyle name="40% - Accent4 4 5 2 2 2" xfId="4565" xr:uid="{00000000-0005-0000-0000-0000EC4E0000}"/>
    <cellStyle name="40% - Accent4 4 5 2 2 2 2" xfId="22840" xr:uid="{00000000-0005-0000-0000-0000ED4E0000}"/>
    <cellStyle name="40% - Accent4 4 5 2 2 3" xfId="23868" xr:uid="{00000000-0005-0000-0000-0000EE4E0000}"/>
    <cellStyle name="40% - Accent4 4 5 2 3" xfId="27492" xr:uid="{00000000-0005-0000-0000-0000EF4E0000}"/>
    <cellStyle name="40% - Accent4 4 5 2 3 2" xfId="21067" xr:uid="{00000000-0005-0000-0000-0000F04E0000}"/>
    <cellStyle name="40% - Accent4 4 5 2 4" xfId="21081" xr:uid="{00000000-0005-0000-0000-0000F14E0000}"/>
    <cellStyle name="40% - Accent4 4 5 3" xfId="20069" xr:uid="{00000000-0005-0000-0000-0000F24E0000}"/>
    <cellStyle name="40% - Accent4 4 5 3 2" xfId="20072" xr:uid="{00000000-0005-0000-0000-0000F34E0000}"/>
    <cellStyle name="40% - Accent4 4 5 3 2 2" xfId="22841" xr:uid="{00000000-0005-0000-0000-0000F44E0000}"/>
    <cellStyle name="40% - Accent4 4 5 3 3" xfId="21092" xr:uid="{00000000-0005-0000-0000-0000F54E0000}"/>
    <cellStyle name="40% - Accent4 4 5 4" xfId="20082" xr:uid="{00000000-0005-0000-0000-0000F64E0000}"/>
    <cellStyle name="40% - Accent4 4 5 4 2" xfId="22843" xr:uid="{00000000-0005-0000-0000-0000F74E0000}"/>
    <cellStyle name="40% - Accent4 4 5 5" xfId="22844" xr:uid="{00000000-0005-0000-0000-0000F84E0000}"/>
    <cellStyle name="40% - Accent4 4 6" xfId="22846" xr:uid="{00000000-0005-0000-0000-0000F94E0000}"/>
    <cellStyle name="40% - Accent4 4 6 2" xfId="18104" xr:uid="{00000000-0005-0000-0000-0000FA4E0000}"/>
    <cellStyle name="40% - Accent4 4 6 2 2" xfId="22847" xr:uid="{00000000-0005-0000-0000-0000FB4E0000}"/>
    <cellStyle name="40% - Accent4 4 6 2 2 2" xfId="27341" xr:uid="{00000000-0005-0000-0000-0000FC4E0000}"/>
    <cellStyle name="40% - Accent4 4 6 2 3" xfId="21131" xr:uid="{00000000-0005-0000-0000-0000FD4E0000}"/>
    <cellStyle name="40% - Accent4 4 6 3" xfId="19752" xr:uid="{00000000-0005-0000-0000-0000FE4E0000}"/>
    <cellStyle name="40% - Accent4 4 6 3 2" xfId="22850" xr:uid="{00000000-0005-0000-0000-0000FF4E0000}"/>
    <cellStyle name="40% - Accent4 4 6 4" xfId="22852" xr:uid="{00000000-0005-0000-0000-0000004F0000}"/>
    <cellStyle name="40% - Accent4 4 7" xfId="22855" xr:uid="{00000000-0005-0000-0000-0000014F0000}"/>
    <cellStyle name="40% - Accent4 4 7 2" xfId="22860" xr:uid="{00000000-0005-0000-0000-0000024F0000}"/>
    <cellStyle name="40% - Accent4 4 7 2 2" xfId="22865" xr:uid="{00000000-0005-0000-0000-0000034F0000}"/>
    <cellStyle name="40% - Accent4 4 7 3" xfId="22866" xr:uid="{00000000-0005-0000-0000-0000044F0000}"/>
    <cellStyle name="40% - Accent4 4 8" xfId="16005" xr:uid="{00000000-0005-0000-0000-0000054F0000}"/>
    <cellStyle name="40% - Accent4 4 8 2" xfId="22868" xr:uid="{00000000-0005-0000-0000-0000064F0000}"/>
    <cellStyle name="40% - Accent4 4 9" xfId="5946" xr:uid="{00000000-0005-0000-0000-0000074F0000}"/>
    <cellStyle name="40% - Accent4 5" xfId="16960" xr:uid="{00000000-0005-0000-0000-0000084F0000}"/>
    <cellStyle name="40% - Accent4 5 2" xfId="22871" xr:uid="{00000000-0005-0000-0000-0000094F0000}"/>
    <cellStyle name="40% - Accent4 5 2 2" xfId="22875" xr:uid="{00000000-0005-0000-0000-00000A4F0000}"/>
    <cellStyle name="40% - Accent4 5 2 2 2" xfId="14342" xr:uid="{00000000-0005-0000-0000-00000B4F0000}"/>
    <cellStyle name="40% - Accent4 5 2 2 2 2" xfId="9387" xr:uid="{00000000-0005-0000-0000-00000C4F0000}"/>
    <cellStyle name="40% - Accent4 5 2 2 2 2 2" xfId="22877" xr:uid="{00000000-0005-0000-0000-00000D4F0000}"/>
    <cellStyle name="40% - Accent4 5 2 2 2 2 2 2" xfId="26728" xr:uid="{00000000-0005-0000-0000-00000E4F0000}"/>
    <cellStyle name="40% - Accent4 5 2 2 2 2 2 2 2" xfId="32212" xr:uid="{00000000-0005-0000-0000-00000F4F0000}"/>
    <cellStyle name="40% - Accent4 5 2 2 2 2 2 3" xfId="28273" xr:uid="{00000000-0005-0000-0000-0000104F0000}"/>
    <cellStyle name="40% - Accent4 5 2 2 2 2 3" xfId="1741" xr:uid="{00000000-0005-0000-0000-0000114F0000}"/>
    <cellStyle name="40% - Accent4 5 2 2 2 2 3 2" xfId="26737" xr:uid="{00000000-0005-0000-0000-0000124F0000}"/>
    <cellStyle name="40% - Accent4 5 2 2 2 2 4" xfId="19894" xr:uid="{00000000-0005-0000-0000-0000134F0000}"/>
    <cellStyle name="40% - Accent4 5 2 2 2 3" xfId="23275" xr:uid="{00000000-0005-0000-0000-0000144F0000}"/>
    <cellStyle name="40% - Accent4 5 2 2 2 3 2" xfId="22880" xr:uid="{00000000-0005-0000-0000-0000154F0000}"/>
    <cellStyle name="40% - Accent4 5 2 2 2 3 2 2" xfId="12425" xr:uid="{00000000-0005-0000-0000-0000164F0000}"/>
    <cellStyle name="40% - Accent4 5 2 2 2 3 3" xfId="25629" xr:uid="{00000000-0005-0000-0000-0000174F0000}"/>
    <cellStyle name="40% - Accent4 5 2 2 2 4" xfId="22889" xr:uid="{00000000-0005-0000-0000-0000184F0000}"/>
    <cellStyle name="40% - Accent4 5 2 2 2 4 2" xfId="22893" xr:uid="{00000000-0005-0000-0000-0000194F0000}"/>
    <cellStyle name="40% - Accent4 5 2 2 2 5" xfId="25081" xr:uid="{00000000-0005-0000-0000-00001A4F0000}"/>
    <cellStyle name="40% - Accent4 5 2 2 3" xfId="33288" xr:uid="{00000000-0005-0000-0000-00001B4F0000}"/>
    <cellStyle name="40% - Accent4 5 2 2 3 2" xfId="21192" xr:uid="{00000000-0005-0000-0000-00001C4F0000}"/>
    <cellStyle name="40% - Accent4 5 2 2 3 2 2" xfId="22904" xr:uid="{00000000-0005-0000-0000-00001D4F0000}"/>
    <cellStyle name="40% - Accent4 5 2 2 3 2 2 2" xfId="26739" xr:uid="{00000000-0005-0000-0000-00001E4F0000}"/>
    <cellStyle name="40% - Accent4 5 2 2 3 2 3" xfId="26422" xr:uid="{00000000-0005-0000-0000-00001F4F0000}"/>
    <cellStyle name="40% - Accent4 5 2 2 3 3" xfId="21202" xr:uid="{00000000-0005-0000-0000-0000204F0000}"/>
    <cellStyle name="40% - Accent4 5 2 2 3 3 2" xfId="31248" xr:uid="{00000000-0005-0000-0000-0000214F0000}"/>
    <cellStyle name="40% - Accent4 5 2 2 3 4" xfId="21677" xr:uid="{00000000-0005-0000-0000-0000224F0000}"/>
    <cellStyle name="40% - Accent4 5 2 2 4" xfId="31116" xr:uid="{00000000-0005-0000-0000-0000234F0000}"/>
    <cellStyle name="40% - Accent4 5 2 2 4 2" xfId="21218" xr:uid="{00000000-0005-0000-0000-0000244F0000}"/>
    <cellStyle name="40% - Accent4 5 2 2 4 2 2" xfId="33307" xr:uid="{00000000-0005-0000-0000-0000254F0000}"/>
    <cellStyle name="40% - Accent4 5 2 2 4 3" xfId="21230" xr:uid="{00000000-0005-0000-0000-0000264F0000}"/>
    <cellStyle name="40% - Accent4 5 2 2 5" xfId="26001" xr:uid="{00000000-0005-0000-0000-0000274F0000}"/>
    <cellStyle name="40% - Accent4 5 2 2 5 2" xfId="21239" xr:uid="{00000000-0005-0000-0000-0000284F0000}"/>
    <cellStyle name="40% - Accent4 5 2 2 6" xfId="21247" xr:uid="{00000000-0005-0000-0000-0000294F0000}"/>
    <cellStyle name="40% - Accent4 5 2 3" xfId="2702" xr:uid="{00000000-0005-0000-0000-00002A4F0000}"/>
    <cellStyle name="40% - Accent4 5 2 3 2" xfId="9485" xr:uid="{00000000-0005-0000-0000-00002B4F0000}"/>
    <cellStyle name="40% - Accent4 5 2 3 2 2" xfId="22916" xr:uid="{00000000-0005-0000-0000-00002C4F0000}"/>
    <cellStyle name="40% - Accent4 5 2 3 2 2 2" xfId="22925" xr:uid="{00000000-0005-0000-0000-00002D4F0000}"/>
    <cellStyle name="40% - Accent4 5 2 3 2 2 2 2" xfId="26774" xr:uid="{00000000-0005-0000-0000-00002E4F0000}"/>
    <cellStyle name="40% - Accent4 5 2 3 2 2 3" xfId="22930" xr:uid="{00000000-0005-0000-0000-00002F4F0000}"/>
    <cellStyle name="40% - Accent4 5 2 3 2 3" xfId="22932" xr:uid="{00000000-0005-0000-0000-0000304F0000}"/>
    <cellStyle name="40% - Accent4 5 2 3 2 3 2" xfId="22939" xr:uid="{00000000-0005-0000-0000-0000314F0000}"/>
    <cellStyle name="40% - Accent4 5 2 3 2 4" xfId="23048" xr:uid="{00000000-0005-0000-0000-0000324F0000}"/>
    <cellStyle name="40% - Accent4 5 2 3 3" xfId="8555" xr:uid="{00000000-0005-0000-0000-0000334F0000}"/>
    <cellStyle name="40% - Accent4 5 2 3 3 2" xfId="21261" xr:uid="{00000000-0005-0000-0000-0000344F0000}"/>
    <cellStyle name="40% - Accent4 5 2 3 3 2 2" xfId="22948" xr:uid="{00000000-0005-0000-0000-0000354F0000}"/>
    <cellStyle name="40% - Accent4 5 2 3 3 3" xfId="21268" xr:uid="{00000000-0005-0000-0000-0000364F0000}"/>
    <cellStyle name="40% - Accent4 5 2 3 4" xfId="1516" xr:uid="{00000000-0005-0000-0000-0000374F0000}"/>
    <cellStyle name="40% - Accent4 5 2 3 4 2" xfId="15655" xr:uid="{00000000-0005-0000-0000-0000384F0000}"/>
    <cellStyle name="40% - Accent4 5 2 3 5" xfId="21271" xr:uid="{00000000-0005-0000-0000-0000394F0000}"/>
    <cellStyle name="40% - Accent4 5 2 4" xfId="2727" xr:uid="{00000000-0005-0000-0000-00003A4F0000}"/>
    <cellStyle name="40% - Accent4 5 2 4 2" xfId="2739" xr:uid="{00000000-0005-0000-0000-00003B4F0000}"/>
    <cellStyle name="40% - Accent4 5 2 4 2 2" xfId="18498" xr:uid="{00000000-0005-0000-0000-00003C4F0000}"/>
    <cellStyle name="40% - Accent4 5 2 4 2 2 2" xfId="22951" xr:uid="{00000000-0005-0000-0000-00003D4F0000}"/>
    <cellStyle name="40% - Accent4 5 2 4 2 3" xfId="18503" xr:uid="{00000000-0005-0000-0000-00003E4F0000}"/>
    <cellStyle name="40% - Accent4 5 2 4 3" xfId="21280" xr:uid="{00000000-0005-0000-0000-00003F4F0000}"/>
    <cellStyle name="40% - Accent4 5 2 4 3 2" xfId="28306" xr:uid="{00000000-0005-0000-0000-0000404F0000}"/>
    <cellStyle name="40% - Accent4 5 2 4 4" xfId="21298" xr:uid="{00000000-0005-0000-0000-0000414F0000}"/>
    <cellStyle name="40% - Accent4 5 2 5" xfId="10918" xr:uid="{00000000-0005-0000-0000-0000424F0000}"/>
    <cellStyle name="40% - Accent4 5 2 5 2" xfId="22956" xr:uid="{00000000-0005-0000-0000-0000434F0000}"/>
    <cellStyle name="40% - Accent4 5 2 5 2 2" xfId="18534" xr:uid="{00000000-0005-0000-0000-0000444F0000}"/>
    <cellStyle name="40% - Accent4 5 2 5 3" xfId="10410" xr:uid="{00000000-0005-0000-0000-0000454F0000}"/>
    <cellStyle name="40% - Accent4 5 2 6" xfId="10471" xr:uid="{00000000-0005-0000-0000-0000464F0000}"/>
    <cellStyle name="40% - Accent4 5 2 6 2" xfId="22963" xr:uid="{00000000-0005-0000-0000-0000474F0000}"/>
    <cellStyle name="40% - Accent4 5 2 7" xfId="7013" xr:uid="{00000000-0005-0000-0000-0000484F0000}"/>
    <cellStyle name="40% - Accent4 5 3" xfId="20173" xr:uid="{00000000-0005-0000-0000-0000494F0000}"/>
    <cellStyle name="40% - Accent4 5 3 2" xfId="22966" xr:uid="{00000000-0005-0000-0000-00004A4F0000}"/>
    <cellStyle name="40% - Accent4 5 3 2 2" xfId="29178" xr:uid="{00000000-0005-0000-0000-00004B4F0000}"/>
    <cellStyle name="40% - Accent4 5 3 2 2 2" xfId="22971" xr:uid="{00000000-0005-0000-0000-00004C4F0000}"/>
    <cellStyle name="40% - Accent4 5 3 2 2 2 2" xfId="146" xr:uid="{00000000-0005-0000-0000-00004D4F0000}"/>
    <cellStyle name="40% - Accent4 5 3 2 2 2 2 2" xfId="22976" xr:uid="{00000000-0005-0000-0000-00004E4F0000}"/>
    <cellStyle name="40% - Accent4 5 3 2 2 2 3" xfId="22979" xr:uid="{00000000-0005-0000-0000-00004F4F0000}"/>
    <cellStyle name="40% - Accent4 5 3 2 2 3" xfId="22983" xr:uid="{00000000-0005-0000-0000-0000504F0000}"/>
    <cellStyle name="40% - Accent4 5 3 2 2 3 2" xfId="23460" xr:uid="{00000000-0005-0000-0000-0000514F0000}"/>
    <cellStyle name="40% - Accent4 5 3 2 2 4" xfId="22993" xr:uid="{00000000-0005-0000-0000-0000524F0000}"/>
    <cellStyle name="40% - Accent4 5 3 2 3" xfId="21350" xr:uid="{00000000-0005-0000-0000-0000534F0000}"/>
    <cellStyle name="40% - Accent4 5 3 2 3 2" xfId="21353" xr:uid="{00000000-0005-0000-0000-0000544F0000}"/>
    <cellStyle name="40% - Accent4 5 3 2 3 2 2" xfId="27423" xr:uid="{00000000-0005-0000-0000-0000554F0000}"/>
    <cellStyle name="40% - Accent4 5 3 2 3 3" xfId="21365" xr:uid="{00000000-0005-0000-0000-0000564F0000}"/>
    <cellStyle name="40% - Accent4 5 3 2 4" xfId="21374" xr:uid="{00000000-0005-0000-0000-0000574F0000}"/>
    <cellStyle name="40% - Accent4 5 3 2 4 2" xfId="21379" xr:uid="{00000000-0005-0000-0000-0000584F0000}"/>
    <cellStyle name="40% - Accent4 5 3 2 5" xfId="21391" xr:uid="{00000000-0005-0000-0000-0000594F0000}"/>
    <cellStyle name="40% - Accent4 5 3 3" xfId="2759" xr:uid="{00000000-0005-0000-0000-00005A4F0000}"/>
    <cellStyle name="40% - Accent4 5 3 3 2" xfId="3252" xr:uid="{00000000-0005-0000-0000-00005B4F0000}"/>
    <cellStyle name="40% - Accent4 5 3 3 2 2" xfId="22996" xr:uid="{00000000-0005-0000-0000-00005C4F0000}"/>
    <cellStyle name="40% - Accent4 5 3 3 2 2 2" xfId="23003" xr:uid="{00000000-0005-0000-0000-00005D4F0000}"/>
    <cellStyle name="40% - Accent4 5 3 3 2 3" xfId="23005" xr:uid="{00000000-0005-0000-0000-00005E4F0000}"/>
    <cellStyle name="40% - Accent4 5 3 3 3" xfId="17541" xr:uid="{00000000-0005-0000-0000-00005F4F0000}"/>
    <cellStyle name="40% - Accent4 5 3 3 3 2" xfId="21402" xr:uid="{00000000-0005-0000-0000-0000604F0000}"/>
    <cellStyle name="40% - Accent4 5 3 3 4" xfId="21421" xr:uid="{00000000-0005-0000-0000-0000614F0000}"/>
    <cellStyle name="40% - Accent4 5 3 4" xfId="3599" xr:uid="{00000000-0005-0000-0000-0000624F0000}"/>
    <cellStyle name="40% - Accent4 5 3 4 2" xfId="17551" xr:uid="{00000000-0005-0000-0000-0000634F0000}"/>
    <cellStyle name="40% - Accent4 5 3 4 2 2" xfId="18574" xr:uid="{00000000-0005-0000-0000-0000644F0000}"/>
    <cellStyle name="40% - Accent4 5 3 4 3" xfId="21429" xr:uid="{00000000-0005-0000-0000-0000654F0000}"/>
    <cellStyle name="40% - Accent4 5 3 5" xfId="23011" xr:uid="{00000000-0005-0000-0000-0000664F0000}"/>
    <cellStyle name="40% - Accent4 5 3 5 2" xfId="23016" xr:uid="{00000000-0005-0000-0000-0000674F0000}"/>
    <cellStyle name="40% - Accent4 5 3 6" xfId="23021" xr:uid="{00000000-0005-0000-0000-0000684F0000}"/>
    <cellStyle name="40% - Accent4 5 4" xfId="23024" xr:uid="{00000000-0005-0000-0000-0000694F0000}"/>
    <cellStyle name="40% - Accent4 5 4 2" xfId="21321" xr:uid="{00000000-0005-0000-0000-00006A4F0000}"/>
    <cellStyle name="40% - Accent4 5 4 2 2" xfId="30400" xr:uid="{00000000-0005-0000-0000-00006B4F0000}"/>
    <cellStyle name="40% - Accent4 5 4 2 2 2" xfId="4511" xr:uid="{00000000-0005-0000-0000-00006C4F0000}"/>
    <cellStyle name="40% - Accent4 5 4 2 2 2 2" xfId="23298" xr:uid="{00000000-0005-0000-0000-00006D4F0000}"/>
    <cellStyle name="40% - Accent4 5 4 2 2 3" xfId="23035" xr:uid="{00000000-0005-0000-0000-00006E4F0000}"/>
    <cellStyle name="40% - Accent4 5 4 2 3" xfId="21468" xr:uid="{00000000-0005-0000-0000-00006F4F0000}"/>
    <cellStyle name="40% - Accent4 5 4 2 3 2" xfId="21481" xr:uid="{00000000-0005-0000-0000-0000704F0000}"/>
    <cellStyle name="40% - Accent4 5 4 2 4" xfId="21499" xr:uid="{00000000-0005-0000-0000-0000714F0000}"/>
    <cellStyle name="40% - Accent4 5 4 3" xfId="2779" xr:uid="{00000000-0005-0000-0000-0000724F0000}"/>
    <cellStyle name="40% - Accent4 5 4 3 2" xfId="18959" xr:uid="{00000000-0005-0000-0000-0000734F0000}"/>
    <cellStyle name="40% - Accent4 5 4 3 2 2" xfId="23041" xr:uid="{00000000-0005-0000-0000-0000744F0000}"/>
    <cellStyle name="40% - Accent4 5 4 3 3" xfId="19151" xr:uid="{00000000-0005-0000-0000-0000754F0000}"/>
    <cellStyle name="40% - Accent4 5 4 4" xfId="14092" xr:uid="{00000000-0005-0000-0000-0000764F0000}"/>
    <cellStyle name="40% - Accent4 5 4 4 2" xfId="19592" xr:uid="{00000000-0005-0000-0000-0000774F0000}"/>
    <cellStyle name="40% - Accent4 5 4 5" xfId="6680" xr:uid="{00000000-0005-0000-0000-0000784F0000}"/>
    <cellStyle name="40% - Accent4 5 5" xfId="28627" xr:uid="{00000000-0005-0000-0000-0000794F0000}"/>
    <cellStyle name="40% - Accent4 5 5 2" xfId="23053" xr:uid="{00000000-0005-0000-0000-00007A4F0000}"/>
    <cellStyle name="40% - Accent4 5 5 2 2" xfId="26135" xr:uid="{00000000-0005-0000-0000-00007B4F0000}"/>
    <cellStyle name="40% - Accent4 5 5 2 2 2" xfId="2846" xr:uid="{00000000-0005-0000-0000-00007C4F0000}"/>
    <cellStyle name="40% - Accent4 5 5 2 3" xfId="23414" xr:uid="{00000000-0005-0000-0000-00007D4F0000}"/>
    <cellStyle name="40% - Accent4 5 5 3" xfId="20091" xr:uid="{00000000-0005-0000-0000-00007E4F0000}"/>
    <cellStyle name="40% - Accent4 5 5 3 2" xfId="19225" xr:uid="{00000000-0005-0000-0000-00007F4F0000}"/>
    <cellStyle name="40% - Accent4 5 5 4" xfId="14094" xr:uid="{00000000-0005-0000-0000-0000804F0000}"/>
    <cellStyle name="40% - Accent4 5 6" xfId="23059" xr:uid="{00000000-0005-0000-0000-0000814F0000}"/>
    <cellStyle name="40% - Accent4 5 6 2" xfId="23063" xr:uid="{00000000-0005-0000-0000-0000824F0000}"/>
    <cellStyle name="40% - Accent4 5 6 2 2" xfId="23066" xr:uid="{00000000-0005-0000-0000-0000834F0000}"/>
    <cellStyle name="40% - Accent4 5 6 3" xfId="23074" xr:uid="{00000000-0005-0000-0000-0000844F0000}"/>
    <cellStyle name="40% - Accent4 5 7" xfId="23080" xr:uid="{00000000-0005-0000-0000-0000854F0000}"/>
    <cellStyle name="40% - Accent4 5 7 2" xfId="23081" xr:uid="{00000000-0005-0000-0000-0000864F0000}"/>
    <cellStyle name="40% - Accent4 5 8" xfId="23087" xr:uid="{00000000-0005-0000-0000-0000874F0000}"/>
    <cellStyle name="40% - Accent4 6" xfId="18474" xr:uid="{00000000-0005-0000-0000-0000884F0000}"/>
    <cellStyle name="40% - Accent4 6 2" xfId="23090" xr:uid="{00000000-0005-0000-0000-0000894F0000}"/>
    <cellStyle name="40% - Accent4 6 2 2" xfId="23095" xr:uid="{00000000-0005-0000-0000-00008A4F0000}"/>
    <cellStyle name="40% - Accent4 6 2 2 2" xfId="18476" xr:uid="{00000000-0005-0000-0000-00008B4F0000}"/>
    <cellStyle name="40% - Accent4 6 2 2 2 2" xfId="23104" xr:uid="{00000000-0005-0000-0000-00008C4F0000}"/>
    <cellStyle name="40% - Accent4 6 2 2 2 2 2" xfId="23109" xr:uid="{00000000-0005-0000-0000-00008D4F0000}"/>
    <cellStyle name="40% - Accent4 6 2 2 2 2 2 2" xfId="18497" xr:uid="{00000000-0005-0000-0000-00008E4F0000}"/>
    <cellStyle name="40% - Accent4 6 2 2 2 2 3" xfId="23114" xr:uid="{00000000-0005-0000-0000-00008F4F0000}"/>
    <cellStyle name="40% - Accent4 6 2 2 2 3" xfId="23753" xr:uid="{00000000-0005-0000-0000-0000904F0000}"/>
    <cellStyle name="40% - Accent4 6 2 2 2 3 2" xfId="23119" xr:uid="{00000000-0005-0000-0000-0000914F0000}"/>
    <cellStyle name="40% - Accent4 6 2 2 2 4" xfId="23122" xr:uid="{00000000-0005-0000-0000-0000924F0000}"/>
    <cellStyle name="40% - Accent4 6 2 2 3" xfId="24706" xr:uid="{00000000-0005-0000-0000-0000934F0000}"/>
    <cellStyle name="40% - Accent4 6 2 2 3 2" xfId="19409" xr:uid="{00000000-0005-0000-0000-0000944F0000}"/>
    <cellStyle name="40% - Accent4 6 2 2 3 2 2" xfId="23123" xr:uid="{00000000-0005-0000-0000-0000954F0000}"/>
    <cellStyle name="40% - Accent4 6 2 2 3 3" xfId="21562" xr:uid="{00000000-0005-0000-0000-0000964F0000}"/>
    <cellStyle name="40% - Accent4 6 2 2 4" xfId="22437" xr:uid="{00000000-0005-0000-0000-0000974F0000}"/>
    <cellStyle name="40% - Accent4 6 2 2 4 2" xfId="19435" xr:uid="{00000000-0005-0000-0000-0000984F0000}"/>
    <cellStyle name="40% - Accent4 6 2 2 5" xfId="21607" xr:uid="{00000000-0005-0000-0000-0000994F0000}"/>
    <cellStyle name="40% - Accent4 6 2 3" xfId="22512" xr:uid="{00000000-0005-0000-0000-00009A4F0000}"/>
    <cellStyle name="40% - Accent4 6 2 3 2" xfId="18621" xr:uid="{00000000-0005-0000-0000-00009B4F0000}"/>
    <cellStyle name="40% - Accent4 6 2 3 2 2" xfId="23129" xr:uid="{00000000-0005-0000-0000-00009C4F0000}"/>
    <cellStyle name="40% - Accent4 6 2 3 2 2 2" xfId="23135" xr:uid="{00000000-0005-0000-0000-00009D4F0000}"/>
    <cellStyle name="40% - Accent4 6 2 3 2 3" xfId="23141" xr:uid="{00000000-0005-0000-0000-00009E4F0000}"/>
    <cellStyle name="40% - Accent4 6 2 3 3" xfId="19432" xr:uid="{00000000-0005-0000-0000-00009F4F0000}"/>
    <cellStyle name="40% - Accent4 6 2 3 3 2" xfId="21971" xr:uid="{00000000-0005-0000-0000-0000A04F0000}"/>
    <cellStyle name="40% - Accent4 6 2 3 4" xfId="21632" xr:uid="{00000000-0005-0000-0000-0000A14F0000}"/>
    <cellStyle name="40% - Accent4 6 2 4" xfId="8725" xr:uid="{00000000-0005-0000-0000-0000A24F0000}"/>
    <cellStyle name="40% - Accent4 6 2 4 2" xfId="23148" xr:uid="{00000000-0005-0000-0000-0000A34F0000}"/>
    <cellStyle name="40% - Accent4 6 2 4 2 2" xfId="18688" xr:uid="{00000000-0005-0000-0000-0000A44F0000}"/>
    <cellStyle name="40% - Accent4 6 2 4 3" xfId="21645" xr:uid="{00000000-0005-0000-0000-0000A54F0000}"/>
    <cellStyle name="40% - Accent4 6 2 5" xfId="10675" xr:uid="{00000000-0005-0000-0000-0000A64F0000}"/>
    <cellStyle name="40% - Accent4 6 2 5 2" xfId="23151" xr:uid="{00000000-0005-0000-0000-0000A74F0000}"/>
    <cellStyle name="40% - Accent4 6 2 6" xfId="13658" xr:uid="{00000000-0005-0000-0000-0000A84F0000}"/>
    <cellStyle name="40% - Accent4 6 3" xfId="18749" xr:uid="{00000000-0005-0000-0000-0000A94F0000}"/>
    <cellStyle name="40% - Accent4 6 3 2" xfId="23158" xr:uid="{00000000-0005-0000-0000-0000AA4F0000}"/>
    <cellStyle name="40% - Accent4 6 3 2 2" xfId="23164" xr:uid="{00000000-0005-0000-0000-0000AB4F0000}"/>
    <cellStyle name="40% - Accent4 6 3 2 2 2" xfId="23168" xr:uid="{00000000-0005-0000-0000-0000AC4F0000}"/>
    <cellStyle name="40% - Accent4 6 3 2 2 2 2" xfId="23171" xr:uid="{00000000-0005-0000-0000-0000AD4F0000}"/>
    <cellStyle name="40% - Accent4 6 3 2 2 3" xfId="23175" xr:uid="{00000000-0005-0000-0000-0000AE4F0000}"/>
    <cellStyle name="40% - Accent4 6 3 2 3" xfId="21688" xr:uid="{00000000-0005-0000-0000-0000AF4F0000}"/>
    <cellStyle name="40% - Accent4 6 3 2 3 2" xfId="19509" xr:uid="{00000000-0005-0000-0000-0000B04F0000}"/>
    <cellStyle name="40% - Accent4 6 3 2 4" xfId="21699" xr:uid="{00000000-0005-0000-0000-0000B14F0000}"/>
    <cellStyle name="40% - Accent4 6 3 3" xfId="18819" xr:uid="{00000000-0005-0000-0000-0000B24F0000}"/>
    <cellStyle name="40% - Accent4 6 3 3 2" xfId="18825" xr:uid="{00000000-0005-0000-0000-0000B34F0000}"/>
    <cellStyle name="40% - Accent4 6 3 3 2 2" xfId="595" xr:uid="{00000000-0005-0000-0000-0000B44F0000}"/>
    <cellStyle name="40% - Accent4 6 3 3 3" xfId="21705" xr:uid="{00000000-0005-0000-0000-0000B54F0000}"/>
    <cellStyle name="40% - Accent4 6 3 4" xfId="9430" xr:uid="{00000000-0005-0000-0000-0000B64F0000}"/>
    <cellStyle name="40% - Accent4 6 3 4 2" xfId="23177" xr:uid="{00000000-0005-0000-0000-0000B74F0000}"/>
    <cellStyle name="40% - Accent4 6 3 5" xfId="18515" xr:uid="{00000000-0005-0000-0000-0000B84F0000}"/>
    <cellStyle name="40% - Accent4 6 4" xfId="18872" xr:uid="{00000000-0005-0000-0000-0000B94F0000}"/>
    <cellStyle name="40% - Accent4 6 4 2" xfId="23180" xr:uid="{00000000-0005-0000-0000-0000BA4F0000}"/>
    <cellStyle name="40% - Accent4 6 4 2 2" xfId="23188" xr:uid="{00000000-0005-0000-0000-0000BB4F0000}"/>
    <cellStyle name="40% - Accent4 6 4 2 2 2" xfId="23194" xr:uid="{00000000-0005-0000-0000-0000BC4F0000}"/>
    <cellStyle name="40% - Accent4 6 4 2 3" xfId="18899" xr:uid="{00000000-0005-0000-0000-0000BD4F0000}"/>
    <cellStyle name="40% - Accent4 6 4 3" xfId="12981" xr:uid="{00000000-0005-0000-0000-0000BE4F0000}"/>
    <cellStyle name="40% - Accent4 6 4 3 2" xfId="23197" xr:uid="{00000000-0005-0000-0000-0000BF4F0000}"/>
    <cellStyle name="40% - Accent4 6 4 4" xfId="18915" xr:uid="{00000000-0005-0000-0000-0000C04F0000}"/>
    <cellStyle name="40% - Accent4 6 5" xfId="13357" xr:uid="{00000000-0005-0000-0000-0000C14F0000}"/>
    <cellStyle name="40% - Accent4 6 5 2" xfId="23201" xr:uid="{00000000-0005-0000-0000-0000C24F0000}"/>
    <cellStyle name="40% - Accent4 6 5 2 2" xfId="23206" xr:uid="{00000000-0005-0000-0000-0000C34F0000}"/>
    <cellStyle name="40% - Accent4 6 5 3" xfId="18922" xr:uid="{00000000-0005-0000-0000-0000C44F0000}"/>
    <cellStyle name="40% - Accent4 6 6" xfId="23213" xr:uid="{00000000-0005-0000-0000-0000C54F0000}"/>
    <cellStyle name="40% - Accent4 6 6 2" xfId="18936" xr:uid="{00000000-0005-0000-0000-0000C64F0000}"/>
    <cellStyle name="40% - Accent4 6 7" xfId="23223" xr:uid="{00000000-0005-0000-0000-0000C74F0000}"/>
    <cellStyle name="40% - Accent4 7" xfId="18957" xr:uid="{00000000-0005-0000-0000-0000C84F0000}"/>
    <cellStyle name="40% - Accent4 7 2" xfId="23231" xr:uid="{00000000-0005-0000-0000-0000C94F0000}"/>
    <cellStyle name="40% - Accent4 7 2 2" xfId="23233" xr:uid="{00000000-0005-0000-0000-0000CA4F0000}"/>
    <cellStyle name="40% - Accent4 7 2 2 2" xfId="14634" xr:uid="{00000000-0005-0000-0000-0000CB4F0000}"/>
    <cellStyle name="40% - Accent4 7 2 2 2 2" xfId="6339" xr:uid="{00000000-0005-0000-0000-0000CC4F0000}"/>
    <cellStyle name="40% - Accent4 7 2 2 2 2 2" xfId="1354" xr:uid="{00000000-0005-0000-0000-0000CD4F0000}"/>
    <cellStyle name="40% - Accent4 7 2 2 2 3" xfId="2556" xr:uid="{00000000-0005-0000-0000-0000CE4F0000}"/>
    <cellStyle name="40% - Accent4 7 2 2 3" xfId="18988" xr:uid="{00000000-0005-0000-0000-0000CF4F0000}"/>
    <cellStyle name="40% - Accent4 7 2 2 3 2" xfId="4780" xr:uid="{00000000-0005-0000-0000-0000D04F0000}"/>
    <cellStyle name="40% - Accent4 7 2 2 4" xfId="21770" xr:uid="{00000000-0005-0000-0000-0000D14F0000}"/>
    <cellStyle name="40% - Accent4 7 2 3" xfId="22680" xr:uid="{00000000-0005-0000-0000-0000D24F0000}"/>
    <cellStyle name="40% - Accent4 7 2 3 2" xfId="19027" xr:uid="{00000000-0005-0000-0000-0000D34F0000}"/>
    <cellStyle name="40% - Accent4 7 2 3 2 2" xfId="4753" xr:uid="{00000000-0005-0000-0000-0000D44F0000}"/>
    <cellStyle name="40% - Accent4 7 2 3 3" xfId="21779" xr:uid="{00000000-0005-0000-0000-0000D54F0000}"/>
    <cellStyle name="40% - Accent4 7 2 4" xfId="8738" xr:uid="{00000000-0005-0000-0000-0000D64F0000}"/>
    <cellStyle name="40% - Accent4 7 2 4 2" xfId="23242" xr:uid="{00000000-0005-0000-0000-0000D74F0000}"/>
    <cellStyle name="40% - Accent4 7 2 5" xfId="18558" xr:uid="{00000000-0005-0000-0000-0000D84F0000}"/>
    <cellStyle name="40% - Accent4 7 3" xfId="19060" xr:uid="{00000000-0005-0000-0000-0000D94F0000}"/>
    <cellStyle name="40% - Accent4 7 3 2" xfId="23246" xr:uid="{00000000-0005-0000-0000-0000DA4F0000}"/>
    <cellStyle name="40% - Accent4 7 3 2 2" xfId="14715" xr:uid="{00000000-0005-0000-0000-0000DB4F0000}"/>
    <cellStyle name="40% - Accent4 7 3 2 2 2" xfId="10065" xr:uid="{00000000-0005-0000-0000-0000DC4F0000}"/>
    <cellStyle name="40% - Accent4 7 3 2 3" xfId="20002" xr:uid="{00000000-0005-0000-0000-0000DD4F0000}"/>
    <cellStyle name="40% - Accent4 7 3 3" xfId="19084" xr:uid="{00000000-0005-0000-0000-0000DE4F0000}"/>
    <cellStyle name="40% - Accent4 7 3 3 2" xfId="23251" xr:uid="{00000000-0005-0000-0000-0000DF4F0000}"/>
    <cellStyle name="40% - Accent4 7 3 4" xfId="19095" xr:uid="{00000000-0005-0000-0000-0000E04F0000}"/>
    <cellStyle name="40% - Accent4 7 4" xfId="19111" xr:uid="{00000000-0005-0000-0000-0000E14F0000}"/>
    <cellStyle name="40% - Accent4 7 4 2" xfId="19113" xr:uid="{00000000-0005-0000-0000-0000E24F0000}"/>
    <cellStyle name="40% - Accent4 7 4 2 2" xfId="23265" xr:uid="{00000000-0005-0000-0000-0000E34F0000}"/>
    <cellStyle name="40% - Accent4 7 4 3" xfId="19120" xr:uid="{00000000-0005-0000-0000-0000E44F0000}"/>
    <cellStyle name="40% - Accent4 7 5" xfId="23272" xr:uid="{00000000-0005-0000-0000-0000E54F0000}"/>
    <cellStyle name="40% - Accent4 7 5 2" xfId="23277" xr:uid="{00000000-0005-0000-0000-0000E64F0000}"/>
    <cellStyle name="40% - Accent4 7 6" xfId="23279" xr:uid="{00000000-0005-0000-0000-0000E74F0000}"/>
    <cellStyle name="40% - Accent4 8" xfId="19147" xr:uid="{00000000-0005-0000-0000-0000E84F0000}"/>
    <cellStyle name="40% - Accent4 8 2" xfId="23285" xr:uid="{00000000-0005-0000-0000-0000E94F0000}"/>
    <cellStyle name="40% - Accent4 8 2 2" xfId="22768" xr:uid="{00000000-0005-0000-0000-0000EA4F0000}"/>
    <cellStyle name="40% - Accent4 8 2 2 2" xfId="17355" xr:uid="{00000000-0005-0000-0000-0000EB4F0000}"/>
    <cellStyle name="40% - Accent4 8 2 2 2 2" xfId="23288" xr:uid="{00000000-0005-0000-0000-0000EC4F0000}"/>
    <cellStyle name="40% - Accent4 8 2 2 3" xfId="21831" xr:uid="{00000000-0005-0000-0000-0000ED4F0000}"/>
    <cellStyle name="40% - Accent4 8 2 3" xfId="17399" xr:uid="{00000000-0005-0000-0000-0000EE4F0000}"/>
    <cellStyle name="40% - Accent4 8 2 3 2" xfId="22984" xr:uid="{00000000-0005-0000-0000-0000EF4F0000}"/>
    <cellStyle name="40% - Accent4 8 2 4" xfId="17411" xr:uid="{00000000-0005-0000-0000-0000F04F0000}"/>
    <cellStyle name="40% - Accent4 8 3" xfId="19184" xr:uid="{00000000-0005-0000-0000-0000F14F0000}"/>
    <cellStyle name="40% - Accent4 8 3 2" xfId="22088" xr:uid="{00000000-0005-0000-0000-0000F24F0000}"/>
    <cellStyle name="40% - Accent4 8 3 2 2" xfId="27164" xr:uid="{00000000-0005-0000-0000-0000F34F0000}"/>
    <cellStyle name="40% - Accent4 8 3 3" xfId="17443" xr:uid="{00000000-0005-0000-0000-0000F44F0000}"/>
    <cellStyle name="40% - Accent4 8 4" xfId="19203" xr:uid="{00000000-0005-0000-0000-0000F54F0000}"/>
    <cellStyle name="40% - Accent4 8 4 2" xfId="20191" xr:uid="{00000000-0005-0000-0000-0000F64F0000}"/>
    <cellStyle name="40% - Accent4 8 5" xfId="29921" xr:uid="{00000000-0005-0000-0000-0000F74F0000}"/>
    <cellStyle name="40% - Accent4 9" xfId="23294" xr:uid="{00000000-0005-0000-0000-0000F84F0000}"/>
    <cellStyle name="40% - Accent4 9 2" xfId="23299" xr:uid="{00000000-0005-0000-0000-0000F94F0000}"/>
    <cellStyle name="40% - Accent4 9 2 2" xfId="23302" xr:uid="{00000000-0005-0000-0000-0000FA4F0000}"/>
    <cellStyle name="40% - Accent4 9 2 2 2" xfId="17832" xr:uid="{00000000-0005-0000-0000-0000FB4F0000}"/>
    <cellStyle name="40% - Accent4 9 2 3" xfId="17843" xr:uid="{00000000-0005-0000-0000-0000FC4F0000}"/>
    <cellStyle name="40% - Accent4 9 3" xfId="23304" xr:uid="{00000000-0005-0000-0000-0000FD4F0000}"/>
    <cellStyle name="40% - Accent4 9 3 2" xfId="22115" xr:uid="{00000000-0005-0000-0000-0000FE4F0000}"/>
    <cellStyle name="40% - Accent4 9 4" xfId="19262" xr:uid="{00000000-0005-0000-0000-0000FF4F0000}"/>
    <cellStyle name="40% - Accent5 10" xfId="9559" xr:uid="{00000000-0005-0000-0000-000000500000}"/>
    <cellStyle name="40% - Accent5 10 2" xfId="233" xr:uid="{00000000-0005-0000-0000-000001500000}"/>
    <cellStyle name="40% - Accent5 10 2 2" xfId="27375" xr:uid="{00000000-0005-0000-0000-000002500000}"/>
    <cellStyle name="40% - Accent5 10 3" xfId="11622" xr:uid="{00000000-0005-0000-0000-000003500000}"/>
    <cellStyle name="40% - Accent5 11" xfId="11165" xr:uid="{00000000-0005-0000-0000-000004500000}"/>
    <cellStyle name="40% - Accent5 11 2" xfId="23314" xr:uid="{00000000-0005-0000-0000-000005500000}"/>
    <cellStyle name="40% - Accent5 12" xfId="11172" xr:uid="{00000000-0005-0000-0000-000006500000}"/>
    <cellStyle name="40% - Accent5 13" xfId="17582" xr:uid="{00000000-0005-0000-0000-000007500000}"/>
    <cellStyle name="40% - Accent5 2" xfId="18745" xr:uid="{00000000-0005-0000-0000-000008500000}"/>
    <cellStyle name="40% - Accent5 2 10" xfId="29367" xr:uid="{00000000-0005-0000-0000-000009500000}"/>
    <cellStyle name="40% - Accent5 2 10 2" xfId="23185" xr:uid="{00000000-0005-0000-0000-00000A500000}"/>
    <cellStyle name="40% - Accent5 2 11" xfId="23317" xr:uid="{00000000-0005-0000-0000-00000B500000}"/>
    <cellStyle name="40% - Accent5 2 2" xfId="5817" xr:uid="{00000000-0005-0000-0000-00000C500000}"/>
    <cellStyle name="40% - Accent5 2 2 10" xfId="15426" xr:uid="{00000000-0005-0000-0000-00000D500000}"/>
    <cellStyle name="40% - Accent5 2 2 2" xfId="25652" xr:uid="{00000000-0005-0000-0000-00000E500000}"/>
    <cellStyle name="40% - Accent5 2 2 2 2" xfId="23318" xr:uid="{00000000-0005-0000-0000-00000F500000}"/>
    <cellStyle name="40% - Accent5 2 2 2 2 2" xfId="19357" xr:uid="{00000000-0005-0000-0000-000010500000}"/>
    <cellStyle name="40% - Accent5 2 2 2 2 2 2" xfId="23320" xr:uid="{00000000-0005-0000-0000-000011500000}"/>
    <cellStyle name="40% - Accent5 2 2 2 2 2 2 2" xfId="6654" xr:uid="{00000000-0005-0000-0000-000012500000}"/>
    <cellStyle name="40% - Accent5 2 2 2 2 2 2 2 2" xfId="25764" xr:uid="{00000000-0005-0000-0000-000013500000}"/>
    <cellStyle name="40% - Accent5 2 2 2 2 2 2 2 2 2" xfId="1586" xr:uid="{00000000-0005-0000-0000-000014500000}"/>
    <cellStyle name="40% - Accent5 2 2 2 2 2 2 2 2 2 2" xfId="1546" xr:uid="{00000000-0005-0000-0000-000015500000}"/>
    <cellStyle name="40% - Accent5 2 2 2 2 2 2 2 2 2 2 2" xfId="13831" xr:uid="{00000000-0005-0000-0000-000016500000}"/>
    <cellStyle name="40% - Accent5 2 2 2 2 2 2 2 2 2 3" xfId="10696" xr:uid="{00000000-0005-0000-0000-000017500000}"/>
    <cellStyle name="40% - Accent5 2 2 2 2 2 2 2 2 3" xfId="7653" xr:uid="{00000000-0005-0000-0000-000018500000}"/>
    <cellStyle name="40% - Accent5 2 2 2 2 2 2 2 2 3 2" xfId="10714" xr:uid="{00000000-0005-0000-0000-000019500000}"/>
    <cellStyle name="40% - Accent5 2 2 2 2 2 2 2 2 4" xfId="1482" xr:uid="{00000000-0005-0000-0000-00001A500000}"/>
    <cellStyle name="40% - Accent5 2 2 2 2 2 2 2 3" xfId="29676" xr:uid="{00000000-0005-0000-0000-00001B500000}"/>
    <cellStyle name="40% - Accent5 2 2 2 2 2 2 2 3 2" xfId="7682" xr:uid="{00000000-0005-0000-0000-00001C500000}"/>
    <cellStyle name="40% - Accent5 2 2 2 2 2 2 2 3 2 2" xfId="10740" xr:uid="{00000000-0005-0000-0000-00001D500000}"/>
    <cellStyle name="40% - Accent5 2 2 2 2 2 2 2 3 3" xfId="7692" xr:uid="{00000000-0005-0000-0000-00001E500000}"/>
    <cellStyle name="40% - Accent5 2 2 2 2 2 2 2 4" xfId="23326" xr:uid="{00000000-0005-0000-0000-00001F500000}"/>
    <cellStyle name="40% - Accent5 2 2 2 2 2 2 2 4 2" xfId="7711" xr:uid="{00000000-0005-0000-0000-000020500000}"/>
    <cellStyle name="40% - Accent5 2 2 2 2 2 2 2 5" xfId="3213" xr:uid="{00000000-0005-0000-0000-000021500000}"/>
    <cellStyle name="40% - Accent5 2 2 2 2 2 2 3" xfId="13237" xr:uid="{00000000-0005-0000-0000-000022500000}"/>
    <cellStyle name="40% - Accent5 2 2 2 2 2 2 3 2" xfId="23327" xr:uid="{00000000-0005-0000-0000-000023500000}"/>
    <cellStyle name="40% - Accent5 2 2 2 2 2 2 3 2 2" xfId="7002" xr:uid="{00000000-0005-0000-0000-000024500000}"/>
    <cellStyle name="40% - Accent5 2 2 2 2 2 2 3 2 2 2" xfId="33027" xr:uid="{00000000-0005-0000-0000-000025500000}"/>
    <cellStyle name="40% - Accent5 2 2 2 2 2 2 3 2 3" xfId="3718" xr:uid="{00000000-0005-0000-0000-000026500000}"/>
    <cellStyle name="40% - Accent5 2 2 2 2 2 2 3 3" xfId="23333" xr:uid="{00000000-0005-0000-0000-000027500000}"/>
    <cellStyle name="40% - Accent5 2 2 2 2 2 2 3 3 2" xfId="26687" xr:uid="{00000000-0005-0000-0000-000028500000}"/>
    <cellStyle name="40% - Accent5 2 2 2 2 2 2 3 4" xfId="23335" xr:uid="{00000000-0005-0000-0000-000029500000}"/>
    <cellStyle name="40% - Accent5 2 2 2 2 2 2 4" xfId="23342" xr:uid="{00000000-0005-0000-0000-00002A500000}"/>
    <cellStyle name="40% - Accent5 2 2 2 2 2 2 4 2" xfId="14356" xr:uid="{00000000-0005-0000-0000-00002B500000}"/>
    <cellStyle name="40% - Accent5 2 2 2 2 2 2 4 2 2" xfId="7774" xr:uid="{00000000-0005-0000-0000-00002C500000}"/>
    <cellStyle name="40% - Accent5 2 2 2 2 2 2 4 3" xfId="23343" xr:uid="{00000000-0005-0000-0000-00002D500000}"/>
    <cellStyle name="40% - Accent5 2 2 2 2 2 2 5" xfId="5967" xr:uid="{00000000-0005-0000-0000-00002E500000}"/>
    <cellStyle name="40% - Accent5 2 2 2 2 2 2 5 2" xfId="23346" xr:uid="{00000000-0005-0000-0000-00002F500000}"/>
    <cellStyle name="40% - Accent5 2 2 2 2 2 2 6" xfId="8801" xr:uid="{00000000-0005-0000-0000-000030500000}"/>
    <cellStyle name="40% - Accent5 2 2 2 2 2 3" xfId="23349" xr:uid="{00000000-0005-0000-0000-000031500000}"/>
    <cellStyle name="40% - Accent5 2 2 2 2 2 3 2" xfId="23350" xr:uid="{00000000-0005-0000-0000-000032500000}"/>
    <cellStyle name="40% - Accent5 2 2 2 2 2 3 2 2" xfId="12633" xr:uid="{00000000-0005-0000-0000-000033500000}"/>
    <cellStyle name="40% - Accent5 2 2 2 2 2 3 2 2 2" xfId="29846" xr:uid="{00000000-0005-0000-0000-000034500000}"/>
    <cellStyle name="40% - Accent5 2 2 2 2 2 3 2 2 2 2" xfId="5564" xr:uid="{00000000-0005-0000-0000-000035500000}"/>
    <cellStyle name="40% - Accent5 2 2 2 2 2 3 2 2 3" xfId="29487" xr:uid="{00000000-0005-0000-0000-000036500000}"/>
    <cellStyle name="40% - Accent5 2 2 2 2 2 3 2 3" xfId="8373" xr:uid="{00000000-0005-0000-0000-000037500000}"/>
    <cellStyle name="40% - Accent5 2 2 2 2 2 3 2 3 2" xfId="10598" xr:uid="{00000000-0005-0000-0000-000038500000}"/>
    <cellStyle name="40% - Accent5 2 2 2 2 2 3 2 4" xfId="20527" xr:uid="{00000000-0005-0000-0000-000039500000}"/>
    <cellStyle name="40% - Accent5 2 2 2 2 2 3 3" xfId="23354" xr:uid="{00000000-0005-0000-0000-00003A500000}"/>
    <cellStyle name="40% - Accent5 2 2 2 2 2 3 3 2" xfId="21557" xr:uid="{00000000-0005-0000-0000-00003B500000}"/>
    <cellStyle name="40% - Accent5 2 2 2 2 2 3 3 2 2" xfId="10700" xr:uid="{00000000-0005-0000-0000-00003C500000}"/>
    <cellStyle name="40% - Accent5 2 2 2 2 2 3 3 3" xfId="23629" xr:uid="{00000000-0005-0000-0000-00003D500000}"/>
    <cellStyle name="40% - Accent5 2 2 2 2 2 3 4" xfId="29217" xr:uid="{00000000-0005-0000-0000-00003E500000}"/>
    <cellStyle name="40% - Accent5 2 2 2 2 2 3 4 2" xfId="23355" xr:uid="{00000000-0005-0000-0000-00003F500000}"/>
    <cellStyle name="40% - Accent5 2 2 2 2 2 3 5" xfId="8461" xr:uid="{00000000-0005-0000-0000-000040500000}"/>
    <cellStyle name="40% - Accent5 2 2 2 2 2 4" xfId="16619" xr:uid="{00000000-0005-0000-0000-000041500000}"/>
    <cellStyle name="40% - Accent5 2 2 2 2 2 4 2" xfId="9020" xr:uid="{00000000-0005-0000-0000-000042500000}"/>
    <cellStyle name="40% - Accent5 2 2 2 2 2 4 2 2" xfId="25997" xr:uid="{00000000-0005-0000-0000-000043500000}"/>
    <cellStyle name="40% - Accent5 2 2 2 2 2 4 2 2 2" xfId="12342" xr:uid="{00000000-0005-0000-0000-000044500000}"/>
    <cellStyle name="40% - Accent5 2 2 2 2 2 4 2 3" xfId="29802" xr:uid="{00000000-0005-0000-0000-000045500000}"/>
    <cellStyle name="40% - Accent5 2 2 2 2 2 4 3" xfId="15913" xr:uid="{00000000-0005-0000-0000-000046500000}"/>
    <cellStyle name="40% - Accent5 2 2 2 2 2 4 3 2" xfId="23358" xr:uid="{00000000-0005-0000-0000-000047500000}"/>
    <cellStyle name="40% - Accent5 2 2 2 2 2 4 4" xfId="23361" xr:uid="{00000000-0005-0000-0000-000048500000}"/>
    <cellStyle name="40% - Accent5 2 2 2 2 2 5" xfId="16623" xr:uid="{00000000-0005-0000-0000-000049500000}"/>
    <cellStyle name="40% - Accent5 2 2 2 2 2 5 2" xfId="23363" xr:uid="{00000000-0005-0000-0000-00004A500000}"/>
    <cellStyle name="40% - Accent5 2 2 2 2 2 5 2 2" xfId="10680" xr:uid="{00000000-0005-0000-0000-00004B500000}"/>
    <cellStyle name="40% - Accent5 2 2 2 2 2 5 3" xfId="27791" xr:uid="{00000000-0005-0000-0000-00004C500000}"/>
    <cellStyle name="40% - Accent5 2 2 2 2 2 6" xfId="23719" xr:uid="{00000000-0005-0000-0000-00004D500000}"/>
    <cellStyle name="40% - Accent5 2 2 2 2 2 6 2" xfId="33067" xr:uid="{00000000-0005-0000-0000-00004E500000}"/>
    <cellStyle name="40% - Accent5 2 2 2 2 2 7" xfId="2031" xr:uid="{00000000-0005-0000-0000-00004F500000}"/>
    <cellStyle name="40% - Accent5 2 2 2 2 3" xfId="21579" xr:uid="{00000000-0005-0000-0000-000050500000}"/>
    <cellStyle name="40% - Accent5 2 2 2 2 3 2" xfId="23364" xr:uid="{00000000-0005-0000-0000-000051500000}"/>
    <cellStyle name="40% - Accent5 2 2 2 2 3 2 2" xfId="10586" xr:uid="{00000000-0005-0000-0000-000052500000}"/>
    <cellStyle name="40% - Accent5 2 2 2 2 3 2 2 2" xfId="23368" xr:uid="{00000000-0005-0000-0000-000053500000}"/>
    <cellStyle name="40% - Accent5 2 2 2 2 3 2 2 2 2" xfId="23369" xr:uid="{00000000-0005-0000-0000-000054500000}"/>
    <cellStyle name="40% - Accent5 2 2 2 2 3 2 2 2 2 2" xfId="23372" xr:uid="{00000000-0005-0000-0000-000055500000}"/>
    <cellStyle name="40% - Accent5 2 2 2 2 3 2 2 2 3" xfId="26014" xr:uid="{00000000-0005-0000-0000-000056500000}"/>
    <cellStyle name="40% - Accent5 2 2 2 2 3 2 2 3" xfId="23374" xr:uid="{00000000-0005-0000-0000-000057500000}"/>
    <cellStyle name="40% - Accent5 2 2 2 2 3 2 2 3 2" xfId="17092" xr:uid="{00000000-0005-0000-0000-000058500000}"/>
    <cellStyle name="40% - Accent5 2 2 2 2 3 2 2 4" xfId="23376" xr:uid="{00000000-0005-0000-0000-000059500000}"/>
    <cellStyle name="40% - Accent5 2 2 2 2 3 2 3" xfId="16417" xr:uid="{00000000-0005-0000-0000-00005A500000}"/>
    <cellStyle name="40% - Accent5 2 2 2 2 3 2 3 2" xfId="10875" xr:uid="{00000000-0005-0000-0000-00005B500000}"/>
    <cellStyle name="40% - Accent5 2 2 2 2 3 2 3 2 2" xfId="31353" xr:uid="{00000000-0005-0000-0000-00005C500000}"/>
    <cellStyle name="40% - Accent5 2 2 2 2 3 2 3 3" xfId="13784" xr:uid="{00000000-0005-0000-0000-00005D500000}"/>
    <cellStyle name="40% - Accent5 2 2 2 2 3 2 4" xfId="8125" xr:uid="{00000000-0005-0000-0000-00005E500000}"/>
    <cellStyle name="40% - Accent5 2 2 2 2 3 2 4 2" xfId="12226" xr:uid="{00000000-0005-0000-0000-00005F500000}"/>
    <cellStyle name="40% - Accent5 2 2 2 2 3 2 5" xfId="8832" xr:uid="{00000000-0005-0000-0000-000060500000}"/>
    <cellStyle name="40% - Accent5 2 2 2 2 3 3" xfId="23378" xr:uid="{00000000-0005-0000-0000-000061500000}"/>
    <cellStyle name="40% - Accent5 2 2 2 2 3 3 2" xfId="8350" xr:uid="{00000000-0005-0000-0000-000062500000}"/>
    <cellStyle name="40% - Accent5 2 2 2 2 3 3 2 2" xfId="23379" xr:uid="{00000000-0005-0000-0000-000063500000}"/>
    <cellStyle name="40% - Accent5 2 2 2 2 3 3 2 2 2" xfId="23381" xr:uid="{00000000-0005-0000-0000-000064500000}"/>
    <cellStyle name="40% - Accent5 2 2 2 2 3 3 2 3" xfId="23714" xr:uid="{00000000-0005-0000-0000-000065500000}"/>
    <cellStyle name="40% - Accent5 2 2 2 2 3 3 3" xfId="23383" xr:uid="{00000000-0005-0000-0000-000066500000}"/>
    <cellStyle name="40% - Accent5 2 2 2 2 3 3 3 2" xfId="12242" xr:uid="{00000000-0005-0000-0000-000067500000}"/>
    <cellStyle name="40% - Accent5 2 2 2 2 3 3 4" xfId="29644" xr:uid="{00000000-0005-0000-0000-000068500000}"/>
    <cellStyle name="40% - Accent5 2 2 2 2 3 4" xfId="17891" xr:uid="{00000000-0005-0000-0000-000069500000}"/>
    <cellStyle name="40% - Accent5 2 2 2 2 3 4 2" xfId="23385" xr:uid="{00000000-0005-0000-0000-00006A500000}"/>
    <cellStyle name="40% - Accent5 2 2 2 2 3 4 2 2" xfId="23386" xr:uid="{00000000-0005-0000-0000-00006B500000}"/>
    <cellStyle name="40% - Accent5 2 2 2 2 3 4 3" xfId="23390" xr:uid="{00000000-0005-0000-0000-00006C500000}"/>
    <cellStyle name="40% - Accent5 2 2 2 2 3 5" xfId="24091" xr:uid="{00000000-0005-0000-0000-00006D500000}"/>
    <cellStyle name="40% - Accent5 2 2 2 2 3 5 2" xfId="23394" xr:uid="{00000000-0005-0000-0000-00006E500000}"/>
    <cellStyle name="40% - Accent5 2 2 2 2 3 6" xfId="31678" xr:uid="{00000000-0005-0000-0000-00006F500000}"/>
    <cellStyle name="40% - Accent5 2 2 2 2 4" xfId="23398" xr:uid="{00000000-0005-0000-0000-000070500000}"/>
    <cellStyle name="40% - Accent5 2 2 2 2 4 2" xfId="7135" xr:uid="{00000000-0005-0000-0000-000071500000}"/>
    <cellStyle name="40% - Accent5 2 2 2 2 4 2 2" xfId="8646" xr:uid="{00000000-0005-0000-0000-000072500000}"/>
    <cellStyle name="40% - Accent5 2 2 2 2 4 2 2 2" xfId="24438" xr:uid="{00000000-0005-0000-0000-000073500000}"/>
    <cellStyle name="40% - Accent5 2 2 2 2 4 2 2 2 2" xfId="32001" xr:uid="{00000000-0005-0000-0000-000074500000}"/>
    <cellStyle name="40% - Accent5 2 2 2 2 4 2 2 3" xfId="23399" xr:uid="{00000000-0005-0000-0000-000075500000}"/>
    <cellStyle name="40% - Accent5 2 2 2 2 4 2 3" xfId="23402" xr:uid="{00000000-0005-0000-0000-000076500000}"/>
    <cellStyle name="40% - Accent5 2 2 2 2 4 2 3 2" xfId="6068" xr:uid="{00000000-0005-0000-0000-000077500000}"/>
    <cellStyle name="40% - Accent5 2 2 2 2 4 2 4" xfId="23404" xr:uid="{00000000-0005-0000-0000-000078500000}"/>
    <cellStyle name="40% - Accent5 2 2 2 2 4 3" xfId="7137" xr:uid="{00000000-0005-0000-0000-000079500000}"/>
    <cellStyle name="40% - Accent5 2 2 2 2 4 3 2" xfId="23406" xr:uid="{00000000-0005-0000-0000-00007A500000}"/>
    <cellStyle name="40% - Accent5 2 2 2 2 4 3 2 2" xfId="13776" xr:uid="{00000000-0005-0000-0000-00007B500000}"/>
    <cellStyle name="40% - Accent5 2 2 2 2 4 3 3" xfId="19189" xr:uid="{00000000-0005-0000-0000-00007C500000}"/>
    <cellStyle name="40% - Accent5 2 2 2 2 4 4" xfId="12530" xr:uid="{00000000-0005-0000-0000-00007D500000}"/>
    <cellStyle name="40% - Accent5 2 2 2 2 4 4 2" xfId="23407" xr:uid="{00000000-0005-0000-0000-00007E500000}"/>
    <cellStyle name="40% - Accent5 2 2 2 2 4 5" xfId="12546" xr:uid="{00000000-0005-0000-0000-00007F500000}"/>
    <cellStyle name="40% - Accent5 2 2 2 2 5" xfId="23409" xr:uid="{00000000-0005-0000-0000-000080500000}"/>
    <cellStyle name="40% - Accent5 2 2 2 2 5 2" xfId="5296" xr:uid="{00000000-0005-0000-0000-000081500000}"/>
    <cellStyle name="40% - Accent5 2 2 2 2 5 2 2" xfId="23418" xr:uid="{00000000-0005-0000-0000-000082500000}"/>
    <cellStyle name="40% - Accent5 2 2 2 2 5 2 2 2" xfId="25183" xr:uid="{00000000-0005-0000-0000-000083500000}"/>
    <cellStyle name="40% - Accent5 2 2 2 2 5 2 3" xfId="22007" xr:uid="{00000000-0005-0000-0000-000084500000}"/>
    <cellStyle name="40% - Accent5 2 2 2 2 5 3" xfId="33075" xr:uid="{00000000-0005-0000-0000-000085500000}"/>
    <cellStyle name="40% - Accent5 2 2 2 2 5 3 2" xfId="23420" xr:uid="{00000000-0005-0000-0000-000086500000}"/>
    <cellStyle name="40% - Accent5 2 2 2 2 5 4" xfId="33534" xr:uid="{00000000-0005-0000-0000-000087500000}"/>
    <cellStyle name="40% - Accent5 2 2 2 2 6" xfId="30529" xr:uid="{00000000-0005-0000-0000-000088500000}"/>
    <cellStyle name="40% - Accent5 2 2 2 2 6 2" xfId="32489" xr:uid="{00000000-0005-0000-0000-000089500000}"/>
    <cellStyle name="40% - Accent5 2 2 2 2 6 2 2" xfId="20935" xr:uid="{00000000-0005-0000-0000-00008A500000}"/>
    <cellStyle name="40% - Accent5 2 2 2 2 6 3" xfId="23421" xr:uid="{00000000-0005-0000-0000-00008B500000}"/>
    <cellStyle name="40% - Accent5 2 2 2 2 7" xfId="27775" xr:uid="{00000000-0005-0000-0000-00008C500000}"/>
    <cellStyle name="40% - Accent5 2 2 2 2 7 2" xfId="12006" xr:uid="{00000000-0005-0000-0000-00008D500000}"/>
    <cellStyle name="40% - Accent5 2 2 2 2 8" xfId="23422" xr:uid="{00000000-0005-0000-0000-00008E500000}"/>
    <cellStyle name="40% - Accent5 2 2 2 3" xfId="23425" xr:uid="{00000000-0005-0000-0000-00008F500000}"/>
    <cellStyle name="40% - Accent5 2 2 2 3 2" xfId="29011" xr:uid="{00000000-0005-0000-0000-000090500000}"/>
    <cellStyle name="40% - Accent5 2 2 2 3 2 2" xfId="19102" xr:uid="{00000000-0005-0000-0000-000091500000}"/>
    <cellStyle name="40% - Accent5 2 2 2 3 2 2 2" xfId="28928" xr:uid="{00000000-0005-0000-0000-000092500000}"/>
    <cellStyle name="40% - Accent5 2 2 2 3 2 2 2 2" xfId="33413" xr:uid="{00000000-0005-0000-0000-000093500000}"/>
    <cellStyle name="40% - Accent5 2 2 2 3 2 2 2 2 2" xfId="18307" xr:uid="{00000000-0005-0000-0000-000094500000}"/>
    <cellStyle name="40% - Accent5 2 2 2 3 2 2 2 2 2 2" xfId="28902" xr:uid="{00000000-0005-0000-0000-000095500000}"/>
    <cellStyle name="40% - Accent5 2 2 2 3 2 2 2 2 3" xfId="2405" xr:uid="{00000000-0005-0000-0000-000096500000}"/>
    <cellStyle name="40% - Accent5 2 2 2 3 2 2 2 3" xfId="8079" xr:uid="{00000000-0005-0000-0000-000097500000}"/>
    <cellStyle name="40% - Accent5 2 2 2 3 2 2 2 3 2" xfId="4247" xr:uid="{00000000-0005-0000-0000-000098500000}"/>
    <cellStyle name="40% - Accent5 2 2 2 3 2 2 2 4" xfId="28233" xr:uid="{00000000-0005-0000-0000-000099500000}"/>
    <cellStyle name="40% - Accent5 2 2 2 3 2 2 3" xfId="23427" xr:uid="{00000000-0005-0000-0000-00009A500000}"/>
    <cellStyle name="40% - Accent5 2 2 2 3 2 2 3 2" xfId="26717" xr:uid="{00000000-0005-0000-0000-00009B500000}"/>
    <cellStyle name="40% - Accent5 2 2 2 3 2 2 3 2 2" xfId="23429" xr:uid="{00000000-0005-0000-0000-00009C500000}"/>
    <cellStyle name="40% - Accent5 2 2 2 3 2 2 3 3" xfId="29292" xr:uid="{00000000-0005-0000-0000-00009D500000}"/>
    <cellStyle name="40% - Accent5 2 2 2 3 2 2 4" xfId="3490" xr:uid="{00000000-0005-0000-0000-00009E500000}"/>
    <cellStyle name="40% - Accent5 2 2 2 3 2 2 4 2" xfId="29393" xr:uid="{00000000-0005-0000-0000-00009F500000}"/>
    <cellStyle name="40% - Accent5 2 2 2 3 2 2 5" xfId="3422" xr:uid="{00000000-0005-0000-0000-0000A0500000}"/>
    <cellStyle name="40% - Accent5 2 2 2 3 2 3" xfId="23434" xr:uid="{00000000-0005-0000-0000-0000A1500000}"/>
    <cellStyle name="40% - Accent5 2 2 2 3 2 3 2" xfId="18044" xr:uid="{00000000-0005-0000-0000-0000A2500000}"/>
    <cellStyle name="40% - Accent5 2 2 2 3 2 3 2 2" xfId="32616" xr:uid="{00000000-0005-0000-0000-0000A3500000}"/>
    <cellStyle name="40% - Accent5 2 2 2 3 2 3 2 2 2" xfId="15310" xr:uid="{00000000-0005-0000-0000-0000A4500000}"/>
    <cellStyle name="40% - Accent5 2 2 2 3 2 3 2 3" xfId="29308" xr:uid="{00000000-0005-0000-0000-0000A5500000}"/>
    <cellStyle name="40% - Accent5 2 2 2 3 2 3 3" xfId="18053" xr:uid="{00000000-0005-0000-0000-0000A6500000}"/>
    <cellStyle name="40% - Accent5 2 2 2 3 2 3 3 2" xfId="32115" xr:uid="{00000000-0005-0000-0000-0000A7500000}"/>
    <cellStyle name="40% - Accent5 2 2 2 3 2 3 4" xfId="29737" xr:uid="{00000000-0005-0000-0000-0000A8500000}"/>
    <cellStyle name="40% - Accent5 2 2 2 3 2 4" xfId="16631" xr:uid="{00000000-0005-0000-0000-0000A9500000}"/>
    <cellStyle name="40% - Accent5 2 2 2 3 2 4 2" xfId="18059" xr:uid="{00000000-0005-0000-0000-0000AA500000}"/>
    <cellStyle name="40% - Accent5 2 2 2 3 2 4 2 2" xfId="3117" xr:uid="{00000000-0005-0000-0000-0000AB500000}"/>
    <cellStyle name="40% - Accent5 2 2 2 3 2 4 3" xfId="27830" xr:uid="{00000000-0005-0000-0000-0000AC500000}"/>
    <cellStyle name="40% - Accent5 2 2 2 3 2 5" xfId="23435" xr:uid="{00000000-0005-0000-0000-0000AD500000}"/>
    <cellStyle name="40% - Accent5 2 2 2 3 2 5 2" xfId="23440" xr:uid="{00000000-0005-0000-0000-0000AE500000}"/>
    <cellStyle name="40% - Accent5 2 2 2 3 2 6" xfId="23441" xr:uid="{00000000-0005-0000-0000-0000AF500000}"/>
    <cellStyle name="40% - Accent5 2 2 2 3 3" xfId="24519" xr:uid="{00000000-0005-0000-0000-0000B0500000}"/>
    <cellStyle name="40% - Accent5 2 2 2 3 3 2" xfId="23444" xr:uid="{00000000-0005-0000-0000-0000B1500000}"/>
    <cellStyle name="40% - Accent5 2 2 2 3 3 2 2" xfId="7973" xr:uid="{00000000-0005-0000-0000-0000B2500000}"/>
    <cellStyle name="40% - Accent5 2 2 2 3 3 2 2 2" xfId="32268" xr:uid="{00000000-0005-0000-0000-0000B3500000}"/>
    <cellStyle name="40% - Accent5 2 2 2 3 3 2 2 2 2" xfId="23447" xr:uid="{00000000-0005-0000-0000-0000B4500000}"/>
    <cellStyle name="40% - Accent5 2 2 2 3 3 2 2 3" xfId="32790" xr:uid="{00000000-0005-0000-0000-0000B5500000}"/>
    <cellStyle name="40% - Accent5 2 2 2 3 3 2 3" xfId="24219" xr:uid="{00000000-0005-0000-0000-0000B6500000}"/>
    <cellStyle name="40% - Accent5 2 2 2 3 3 2 3 2" xfId="12306" xr:uid="{00000000-0005-0000-0000-0000B7500000}"/>
    <cellStyle name="40% - Accent5 2 2 2 3 3 2 4" xfId="23449" xr:uid="{00000000-0005-0000-0000-0000B8500000}"/>
    <cellStyle name="40% - Accent5 2 2 2 3 3 3" xfId="19981" xr:uid="{00000000-0005-0000-0000-0000B9500000}"/>
    <cellStyle name="40% - Accent5 2 2 2 3 3 3 2" xfId="10834" xr:uid="{00000000-0005-0000-0000-0000BA500000}"/>
    <cellStyle name="40% - Accent5 2 2 2 3 3 3 2 2" xfId="31203" xr:uid="{00000000-0005-0000-0000-0000BB500000}"/>
    <cellStyle name="40% - Accent5 2 2 2 3 3 3 3" xfId="10849" xr:uid="{00000000-0005-0000-0000-0000BC500000}"/>
    <cellStyle name="40% - Accent5 2 2 2 3 3 4" xfId="23456" xr:uid="{00000000-0005-0000-0000-0000BD500000}"/>
    <cellStyle name="40% - Accent5 2 2 2 3 3 4 2" xfId="10868" xr:uid="{00000000-0005-0000-0000-0000BE500000}"/>
    <cellStyle name="40% - Accent5 2 2 2 3 3 5" xfId="23458" xr:uid="{00000000-0005-0000-0000-0000BF500000}"/>
    <cellStyle name="40% - Accent5 2 2 2 3 4" xfId="19101" xr:uid="{00000000-0005-0000-0000-0000C0500000}"/>
    <cellStyle name="40% - Accent5 2 2 2 3 4 2" xfId="7145" xr:uid="{00000000-0005-0000-0000-0000C1500000}"/>
    <cellStyle name="40% - Accent5 2 2 2 3 4 2 2" xfId="30001" xr:uid="{00000000-0005-0000-0000-0000C2500000}"/>
    <cellStyle name="40% - Accent5 2 2 2 3 4 2 2 2" xfId="23606" xr:uid="{00000000-0005-0000-0000-0000C3500000}"/>
    <cellStyle name="40% - Accent5 2 2 2 3 4 2 3" xfId="23465" xr:uid="{00000000-0005-0000-0000-0000C4500000}"/>
    <cellStyle name="40% - Accent5 2 2 2 3 4 3" xfId="20896" xr:uid="{00000000-0005-0000-0000-0000C5500000}"/>
    <cellStyle name="40% - Accent5 2 2 2 3 4 3 2" xfId="11959" xr:uid="{00000000-0005-0000-0000-0000C6500000}"/>
    <cellStyle name="40% - Accent5 2 2 2 3 4 4" xfId="11140" xr:uid="{00000000-0005-0000-0000-0000C7500000}"/>
    <cellStyle name="40% - Accent5 2 2 2 3 5" xfId="23432" xr:uid="{00000000-0005-0000-0000-0000C8500000}"/>
    <cellStyle name="40% - Accent5 2 2 2 3 5 2" xfId="23476" xr:uid="{00000000-0005-0000-0000-0000C9500000}"/>
    <cellStyle name="40% - Accent5 2 2 2 3 5 2 2" xfId="23484" xr:uid="{00000000-0005-0000-0000-0000CA500000}"/>
    <cellStyle name="40% - Accent5 2 2 2 3 5 3" xfId="26967" xr:uid="{00000000-0005-0000-0000-0000CB500000}"/>
    <cellStyle name="40% - Accent5 2 2 2 3 6" xfId="18545" xr:uid="{00000000-0005-0000-0000-0000CC500000}"/>
    <cellStyle name="40% - Accent5 2 2 2 3 6 2" xfId="235" xr:uid="{00000000-0005-0000-0000-0000CD500000}"/>
    <cellStyle name="40% - Accent5 2 2 2 3 7" xfId="23438" xr:uid="{00000000-0005-0000-0000-0000CE500000}"/>
    <cellStyle name="40% - Accent5 2 2 2 4" xfId="26511" xr:uid="{00000000-0005-0000-0000-0000CF500000}"/>
    <cellStyle name="40% - Accent5 2 2 2 4 2" xfId="28243" xr:uid="{00000000-0005-0000-0000-0000D0500000}"/>
    <cellStyle name="40% - Accent5 2 2 2 4 2 2" xfId="23488" xr:uid="{00000000-0005-0000-0000-0000D1500000}"/>
    <cellStyle name="40% - Accent5 2 2 2 4 2 2 2" xfId="33152" xr:uid="{00000000-0005-0000-0000-0000D2500000}"/>
    <cellStyle name="40% - Accent5 2 2 2 4 2 2 2 2" xfId="23502" xr:uid="{00000000-0005-0000-0000-0000D3500000}"/>
    <cellStyle name="40% - Accent5 2 2 2 4 2 2 2 2 2" xfId="20202" xr:uid="{00000000-0005-0000-0000-0000D4500000}"/>
    <cellStyle name="40% - Accent5 2 2 2 4 2 2 2 3" xfId="23417" xr:uid="{00000000-0005-0000-0000-0000D5500000}"/>
    <cellStyle name="40% - Accent5 2 2 2 4 2 2 3" xfId="23505" xr:uid="{00000000-0005-0000-0000-0000D6500000}"/>
    <cellStyle name="40% - Accent5 2 2 2 4 2 2 3 2" xfId="23507" xr:uid="{00000000-0005-0000-0000-0000D7500000}"/>
    <cellStyle name="40% - Accent5 2 2 2 4 2 2 4" xfId="23269" xr:uid="{00000000-0005-0000-0000-0000D8500000}"/>
    <cellStyle name="40% - Accent5 2 2 2 4 2 3" xfId="23513" xr:uid="{00000000-0005-0000-0000-0000D9500000}"/>
    <cellStyle name="40% - Accent5 2 2 2 4 2 3 2" xfId="18150" xr:uid="{00000000-0005-0000-0000-0000DA500000}"/>
    <cellStyle name="40% - Accent5 2 2 2 4 2 3 2 2" xfId="23516" xr:uid="{00000000-0005-0000-0000-0000DB500000}"/>
    <cellStyle name="40% - Accent5 2 2 2 4 2 3 3" xfId="23519" xr:uid="{00000000-0005-0000-0000-0000DC500000}"/>
    <cellStyle name="40% - Accent5 2 2 2 4 2 4" xfId="23522" xr:uid="{00000000-0005-0000-0000-0000DD500000}"/>
    <cellStyle name="40% - Accent5 2 2 2 4 2 4 2" xfId="23526" xr:uid="{00000000-0005-0000-0000-0000DE500000}"/>
    <cellStyle name="40% - Accent5 2 2 2 4 2 5" xfId="23528" xr:uid="{00000000-0005-0000-0000-0000DF500000}"/>
    <cellStyle name="40% - Accent5 2 2 2 4 3" xfId="23535" xr:uid="{00000000-0005-0000-0000-0000E0500000}"/>
    <cellStyle name="40% - Accent5 2 2 2 4 3 2" xfId="24462" xr:uid="{00000000-0005-0000-0000-0000E1500000}"/>
    <cellStyle name="40% - Accent5 2 2 2 4 3 2 2" xfId="23536" xr:uid="{00000000-0005-0000-0000-0000E2500000}"/>
    <cellStyle name="40% - Accent5 2 2 2 4 3 2 2 2" xfId="23537" xr:uid="{00000000-0005-0000-0000-0000E3500000}"/>
    <cellStyle name="40% - Accent5 2 2 2 4 3 2 3" xfId="7907" xr:uid="{00000000-0005-0000-0000-0000E4500000}"/>
    <cellStyle name="40% - Accent5 2 2 2 4 3 3" xfId="23543" xr:uid="{00000000-0005-0000-0000-0000E5500000}"/>
    <cellStyle name="40% - Accent5 2 2 2 4 3 3 2" xfId="12486" xr:uid="{00000000-0005-0000-0000-0000E6500000}"/>
    <cellStyle name="40% - Accent5 2 2 2 4 3 4" xfId="31661" xr:uid="{00000000-0005-0000-0000-0000E7500000}"/>
    <cellStyle name="40% - Accent5 2 2 2 4 4" xfId="23443" xr:uid="{00000000-0005-0000-0000-0000E8500000}"/>
    <cellStyle name="40% - Accent5 2 2 2 4 4 2" xfId="23547" xr:uid="{00000000-0005-0000-0000-0000E9500000}"/>
    <cellStyle name="40% - Accent5 2 2 2 4 4 2 2" xfId="23553" xr:uid="{00000000-0005-0000-0000-0000EA500000}"/>
    <cellStyle name="40% - Accent5 2 2 2 4 4 3" xfId="19611" xr:uid="{00000000-0005-0000-0000-0000EB500000}"/>
    <cellStyle name="40% - Accent5 2 2 2 4 5" xfId="23451" xr:uid="{00000000-0005-0000-0000-0000EC500000}"/>
    <cellStyle name="40% - Accent5 2 2 2 4 5 2" xfId="266" xr:uid="{00000000-0005-0000-0000-0000ED500000}"/>
    <cellStyle name="40% - Accent5 2 2 2 4 6" xfId="23457" xr:uid="{00000000-0005-0000-0000-0000EE500000}"/>
    <cellStyle name="40% - Accent5 2 2 2 5" xfId="31953" xr:uid="{00000000-0005-0000-0000-0000EF500000}"/>
    <cellStyle name="40% - Accent5 2 2 2 5 2" xfId="27730" xr:uid="{00000000-0005-0000-0000-0000F0500000}"/>
    <cellStyle name="40% - Accent5 2 2 2 5 2 2" xfId="23557" xr:uid="{00000000-0005-0000-0000-0000F1500000}"/>
    <cellStyle name="40% - Accent5 2 2 2 5 2 2 2" xfId="23561" xr:uid="{00000000-0005-0000-0000-0000F2500000}"/>
    <cellStyle name="40% - Accent5 2 2 2 5 2 2 2 2" xfId="23564" xr:uid="{00000000-0005-0000-0000-0000F3500000}"/>
    <cellStyle name="40% - Accent5 2 2 2 5 2 2 3" xfId="31071" xr:uid="{00000000-0005-0000-0000-0000F4500000}"/>
    <cellStyle name="40% - Accent5 2 2 2 5 2 3" xfId="7015" xr:uid="{00000000-0005-0000-0000-0000F5500000}"/>
    <cellStyle name="40% - Accent5 2 2 2 5 2 3 2" xfId="32282" xr:uid="{00000000-0005-0000-0000-0000F6500000}"/>
    <cellStyle name="40% - Accent5 2 2 2 5 2 4" xfId="7031" xr:uid="{00000000-0005-0000-0000-0000F7500000}"/>
    <cellStyle name="40% - Accent5 2 2 2 5 3" xfId="12978" xr:uid="{00000000-0005-0000-0000-0000F8500000}"/>
    <cellStyle name="40% - Accent5 2 2 2 5 3 2" xfId="23365" xr:uid="{00000000-0005-0000-0000-0000F9500000}"/>
    <cellStyle name="40% - Accent5 2 2 2 5 3 2 2" xfId="552" xr:uid="{00000000-0005-0000-0000-0000FA500000}"/>
    <cellStyle name="40% - Accent5 2 2 2 5 3 3" xfId="412" xr:uid="{00000000-0005-0000-0000-0000FB500000}"/>
    <cellStyle name="40% - Accent5 2 2 2 5 4" xfId="7147" xr:uid="{00000000-0005-0000-0000-0000FC500000}"/>
    <cellStyle name="40% - Accent5 2 2 2 5 4 2" xfId="20514" xr:uid="{00000000-0005-0000-0000-0000FD500000}"/>
    <cellStyle name="40% - Accent5 2 2 2 5 5" xfId="23471" xr:uid="{00000000-0005-0000-0000-0000FE500000}"/>
    <cellStyle name="40% - Accent5 2 2 2 6" xfId="18890" xr:uid="{00000000-0005-0000-0000-0000FF500000}"/>
    <cellStyle name="40% - Accent5 2 2 2 6 2" xfId="11706" xr:uid="{00000000-0005-0000-0000-000000510000}"/>
    <cellStyle name="40% - Accent5 2 2 2 6 2 2" xfId="23568" xr:uid="{00000000-0005-0000-0000-000001510000}"/>
    <cellStyle name="40% - Accent5 2 2 2 6 2 2 2" xfId="6464" xr:uid="{00000000-0005-0000-0000-000002510000}"/>
    <cellStyle name="40% - Accent5 2 2 2 6 2 3" xfId="18007" xr:uid="{00000000-0005-0000-0000-000003510000}"/>
    <cellStyle name="40% - Accent5 2 2 2 6 3" xfId="7155" xr:uid="{00000000-0005-0000-0000-000004510000}"/>
    <cellStyle name="40% - Accent5 2 2 2 6 3 2" xfId="23573" xr:uid="{00000000-0005-0000-0000-000005510000}"/>
    <cellStyle name="40% - Accent5 2 2 2 6 4" xfId="23479" xr:uid="{00000000-0005-0000-0000-000006510000}"/>
    <cellStyle name="40% - Accent5 2 2 2 7" xfId="18894" xr:uid="{00000000-0005-0000-0000-000007510000}"/>
    <cellStyle name="40% - Accent5 2 2 2 7 2" xfId="25664" xr:uid="{00000000-0005-0000-0000-000008510000}"/>
    <cellStyle name="40% - Accent5 2 2 2 7 2 2" xfId="23575" xr:uid="{00000000-0005-0000-0000-000009510000}"/>
    <cellStyle name="40% - Accent5 2 2 2 7 3" xfId="23578" xr:uid="{00000000-0005-0000-0000-00000A510000}"/>
    <cellStyle name="40% - Accent5 2 2 2 8" xfId="8056" xr:uid="{00000000-0005-0000-0000-00000B510000}"/>
    <cellStyle name="40% - Accent5 2 2 2 8 2" xfId="7239" xr:uid="{00000000-0005-0000-0000-00000C510000}"/>
    <cellStyle name="40% - Accent5 2 2 2 9" xfId="23580" xr:uid="{00000000-0005-0000-0000-00000D510000}"/>
    <cellStyle name="40% - Accent5 2 2 3" xfId="23581" xr:uid="{00000000-0005-0000-0000-00000E510000}"/>
    <cellStyle name="40% - Accent5 2 2 3 2" xfId="19341" xr:uid="{00000000-0005-0000-0000-00000F510000}"/>
    <cellStyle name="40% - Accent5 2 2 3 2 2" xfId="21598" xr:uid="{00000000-0005-0000-0000-000010510000}"/>
    <cellStyle name="40% - Accent5 2 2 3 2 2 2" xfId="30094" xr:uid="{00000000-0005-0000-0000-000011510000}"/>
    <cellStyle name="40% - Accent5 2 2 3 2 2 2 2" xfId="23583" xr:uid="{00000000-0005-0000-0000-000012510000}"/>
    <cellStyle name="40% - Accent5 2 2 3 2 2 2 2 2" xfId="23587" xr:uid="{00000000-0005-0000-0000-000013510000}"/>
    <cellStyle name="40% - Accent5 2 2 3 2 2 2 2 2 2" xfId="17598" xr:uid="{00000000-0005-0000-0000-000014510000}"/>
    <cellStyle name="40% - Accent5 2 2 3 2 2 2 2 2 2 2" xfId="23589" xr:uid="{00000000-0005-0000-0000-000015510000}"/>
    <cellStyle name="40% - Accent5 2 2 3 2 2 2 2 2 3" xfId="23592" xr:uid="{00000000-0005-0000-0000-000016510000}"/>
    <cellStyle name="40% - Accent5 2 2 3 2 2 2 2 3" xfId="23594" xr:uid="{00000000-0005-0000-0000-000017510000}"/>
    <cellStyle name="40% - Accent5 2 2 3 2 2 2 2 3 2" xfId="23595" xr:uid="{00000000-0005-0000-0000-000018510000}"/>
    <cellStyle name="40% - Accent5 2 2 3 2 2 2 2 4" xfId="23600" xr:uid="{00000000-0005-0000-0000-000019510000}"/>
    <cellStyle name="40% - Accent5 2 2 3 2 2 2 3" xfId="23601" xr:uid="{00000000-0005-0000-0000-00001A510000}"/>
    <cellStyle name="40% - Accent5 2 2 3 2 2 2 3 2" xfId="23605" xr:uid="{00000000-0005-0000-0000-00001B510000}"/>
    <cellStyle name="40% - Accent5 2 2 3 2 2 2 3 2 2" xfId="10799" xr:uid="{00000000-0005-0000-0000-00001C510000}"/>
    <cellStyle name="40% - Accent5 2 2 3 2 2 2 3 3" xfId="22571" xr:uid="{00000000-0005-0000-0000-00001D510000}"/>
    <cellStyle name="40% - Accent5 2 2 3 2 2 2 4" xfId="23611" xr:uid="{00000000-0005-0000-0000-00001E510000}"/>
    <cellStyle name="40% - Accent5 2 2 3 2 2 2 4 2" xfId="6465" xr:uid="{00000000-0005-0000-0000-00001F510000}"/>
    <cellStyle name="40% - Accent5 2 2 3 2 2 2 5" xfId="7226" xr:uid="{00000000-0005-0000-0000-000020510000}"/>
    <cellStyle name="40% - Accent5 2 2 3 2 2 3" xfId="31186" xr:uid="{00000000-0005-0000-0000-000021510000}"/>
    <cellStyle name="40% - Accent5 2 2 3 2 2 3 2" xfId="23614" xr:uid="{00000000-0005-0000-0000-000022510000}"/>
    <cellStyle name="40% - Accent5 2 2 3 2 2 3 2 2" xfId="31118" xr:uid="{00000000-0005-0000-0000-000023510000}"/>
    <cellStyle name="40% - Accent5 2 2 3 2 2 3 2 2 2" xfId="23615" xr:uid="{00000000-0005-0000-0000-000024510000}"/>
    <cellStyle name="40% - Accent5 2 2 3 2 2 3 2 3" xfId="7703" xr:uid="{00000000-0005-0000-0000-000025510000}"/>
    <cellStyle name="40% - Accent5 2 2 3 2 2 3 3" xfId="23616" xr:uid="{00000000-0005-0000-0000-000026510000}"/>
    <cellStyle name="40% - Accent5 2 2 3 2 2 3 3 2" xfId="15620" xr:uid="{00000000-0005-0000-0000-000027510000}"/>
    <cellStyle name="40% - Accent5 2 2 3 2 2 3 4" xfId="18808" xr:uid="{00000000-0005-0000-0000-000028510000}"/>
    <cellStyle name="40% - Accent5 2 2 3 2 2 4" xfId="16645" xr:uid="{00000000-0005-0000-0000-000029510000}"/>
    <cellStyle name="40% - Accent5 2 2 3 2 2 4 2" xfId="27382" xr:uid="{00000000-0005-0000-0000-00002A510000}"/>
    <cellStyle name="40% - Accent5 2 2 3 2 2 4 2 2" xfId="31131" xr:uid="{00000000-0005-0000-0000-00002B510000}"/>
    <cellStyle name="40% - Accent5 2 2 3 2 2 4 3" xfId="27179" xr:uid="{00000000-0005-0000-0000-00002C510000}"/>
    <cellStyle name="40% - Accent5 2 2 3 2 2 5" xfId="30112" xr:uid="{00000000-0005-0000-0000-00002D510000}"/>
    <cellStyle name="40% - Accent5 2 2 3 2 2 5 2" xfId="23617" xr:uid="{00000000-0005-0000-0000-00002E510000}"/>
    <cellStyle name="40% - Accent5 2 2 3 2 2 6" xfId="29636" xr:uid="{00000000-0005-0000-0000-00002F510000}"/>
    <cellStyle name="40% - Accent5 2 2 3 2 3" xfId="27834" xr:uid="{00000000-0005-0000-0000-000030510000}"/>
    <cellStyle name="40% - Accent5 2 2 3 2 3 2" xfId="27836" xr:uid="{00000000-0005-0000-0000-000031510000}"/>
    <cellStyle name="40% - Accent5 2 2 3 2 3 2 2" xfId="8447" xr:uid="{00000000-0005-0000-0000-000032510000}"/>
    <cellStyle name="40% - Accent5 2 2 3 2 3 2 2 2" xfId="27468" xr:uid="{00000000-0005-0000-0000-000033510000}"/>
    <cellStyle name="40% - Accent5 2 2 3 2 3 2 2 2 2" xfId="23620" xr:uid="{00000000-0005-0000-0000-000034510000}"/>
    <cellStyle name="40% - Accent5 2 2 3 2 3 2 2 3" xfId="31146" xr:uid="{00000000-0005-0000-0000-000035510000}"/>
    <cellStyle name="40% - Accent5 2 2 3 2 3 2 3" xfId="29597" xr:uid="{00000000-0005-0000-0000-000036510000}"/>
    <cellStyle name="40% - Accent5 2 2 3 2 3 2 3 2" xfId="31156" xr:uid="{00000000-0005-0000-0000-000037510000}"/>
    <cellStyle name="40% - Accent5 2 2 3 2 3 2 4" xfId="21907" xr:uid="{00000000-0005-0000-0000-000038510000}"/>
    <cellStyle name="40% - Accent5 2 2 3 2 3 3" xfId="23624" xr:uid="{00000000-0005-0000-0000-000039510000}"/>
    <cellStyle name="40% - Accent5 2 2 3 2 3 3 2" xfId="23628" xr:uid="{00000000-0005-0000-0000-00003A510000}"/>
    <cellStyle name="40% - Accent5 2 2 3 2 3 3 2 2" xfId="32901" xr:uid="{00000000-0005-0000-0000-00003B510000}"/>
    <cellStyle name="40% - Accent5 2 2 3 2 3 3 3" xfId="23632" xr:uid="{00000000-0005-0000-0000-00003C510000}"/>
    <cellStyle name="40% - Accent5 2 2 3 2 3 4" xfId="30118" xr:uid="{00000000-0005-0000-0000-00003D510000}"/>
    <cellStyle name="40% - Accent5 2 2 3 2 3 4 2" xfId="24022" xr:uid="{00000000-0005-0000-0000-00003E510000}"/>
    <cellStyle name="40% - Accent5 2 2 3 2 3 5" xfId="23636" xr:uid="{00000000-0005-0000-0000-00003F510000}"/>
    <cellStyle name="40% - Accent5 2 2 3 2 4" xfId="23638" xr:uid="{00000000-0005-0000-0000-000040510000}"/>
    <cellStyle name="40% - Accent5 2 2 3 2 4 2" xfId="7198" xr:uid="{00000000-0005-0000-0000-000041510000}"/>
    <cellStyle name="40% - Accent5 2 2 3 2 4 2 2" xfId="23643" xr:uid="{00000000-0005-0000-0000-000042510000}"/>
    <cellStyle name="40% - Accent5 2 2 3 2 4 2 2 2" xfId="33839" xr:uid="{00000000-0005-0000-0000-000043510000}"/>
    <cellStyle name="40% - Accent5 2 2 3 2 4 2 3" xfId="23653" xr:uid="{00000000-0005-0000-0000-000044510000}"/>
    <cellStyle name="40% - Accent5 2 2 3 2 4 3" xfId="6303" xr:uid="{00000000-0005-0000-0000-000045510000}"/>
    <cellStyle name="40% - Accent5 2 2 3 2 4 3 2" xfId="30918" xr:uid="{00000000-0005-0000-0000-000046510000}"/>
    <cellStyle name="40% - Accent5 2 2 3 2 4 4" xfId="8847" xr:uid="{00000000-0005-0000-0000-000047510000}"/>
    <cellStyle name="40% - Accent5 2 2 3 2 5" xfId="23655" xr:uid="{00000000-0005-0000-0000-000048510000}"/>
    <cellStyle name="40% - Accent5 2 2 3 2 5 2" xfId="32679" xr:uid="{00000000-0005-0000-0000-000049510000}"/>
    <cellStyle name="40% - Accent5 2 2 3 2 5 2 2" xfId="23662" xr:uid="{00000000-0005-0000-0000-00004A510000}"/>
    <cellStyle name="40% - Accent5 2 2 3 2 5 3" xfId="1548" xr:uid="{00000000-0005-0000-0000-00004B510000}"/>
    <cellStyle name="40% - Accent5 2 2 3 2 6" xfId="30537" xr:uid="{00000000-0005-0000-0000-00004C510000}"/>
    <cellStyle name="40% - Accent5 2 2 3 2 6 2" xfId="31527" xr:uid="{00000000-0005-0000-0000-00004D510000}"/>
    <cellStyle name="40% - Accent5 2 2 3 2 7" xfId="23665" xr:uid="{00000000-0005-0000-0000-00004E510000}"/>
    <cellStyle name="40% - Accent5 2 2 3 3" xfId="19345" xr:uid="{00000000-0005-0000-0000-00004F510000}"/>
    <cellStyle name="40% - Accent5 2 2 3 3 2" xfId="23667" xr:uid="{00000000-0005-0000-0000-000050510000}"/>
    <cellStyle name="40% - Accent5 2 2 3 3 2 2" xfId="23670" xr:uid="{00000000-0005-0000-0000-000051510000}"/>
    <cellStyle name="40% - Accent5 2 2 3 3 2 2 2" xfId="23675" xr:uid="{00000000-0005-0000-0000-000052510000}"/>
    <cellStyle name="40% - Accent5 2 2 3 3 2 2 2 2" xfId="218" xr:uid="{00000000-0005-0000-0000-000053510000}"/>
    <cellStyle name="40% - Accent5 2 2 3 3 2 2 2 2 2" xfId="31323" xr:uid="{00000000-0005-0000-0000-000054510000}"/>
    <cellStyle name="40% - Accent5 2 2 3 3 2 2 2 3" xfId="972" xr:uid="{00000000-0005-0000-0000-000055510000}"/>
    <cellStyle name="40% - Accent5 2 2 3 3 2 2 3" xfId="32653" xr:uid="{00000000-0005-0000-0000-000056510000}"/>
    <cellStyle name="40% - Accent5 2 2 3 3 2 2 3 2" xfId="811" xr:uid="{00000000-0005-0000-0000-000057510000}"/>
    <cellStyle name="40% - Accent5 2 2 3 3 2 2 4" xfId="26744" xr:uid="{00000000-0005-0000-0000-000058510000}"/>
    <cellStyle name="40% - Accent5 2 2 3 3 2 3" xfId="23685" xr:uid="{00000000-0005-0000-0000-000059510000}"/>
    <cellStyle name="40% - Accent5 2 2 3 3 2 3 2" xfId="18301" xr:uid="{00000000-0005-0000-0000-00005A510000}"/>
    <cellStyle name="40% - Accent5 2 2 3 3 2 3 2 2" xfId="89" xr:uid="{00000000-0005-0000-0000-00005B510000}"/>
    <cellStyle name="40% - Accent5 2 2 3 3 2 3 3" xfId="26205" xr:uid="{00000000-0005-0000-0000-00005C510000}"/>
    <cellStyle name="40% - Accent5 2 2 3 3 2 4" xfId="23693" xr:uid="{00000000-0005-0000-0000-00005D510000}"/>
    <cellStyle name="40% - Accent5 2 2 3 3 2 4 2" xfId="28996" xr:uid="{00000000-0005-0000-0000-00005E510000}"/>
    <cellStyle name="40% - Accent5 2 2 3 3 2 5" xfId="23702" xr:uid="{00000000-0005-0000-0000-00005F510000}"/>
    <cellStyle name="40% - Accent5 2 2 3 3 3" xfId="23706" xr:uid="{00000000-0005-0000-0000-000060510000}"/>
    <cellStyle name="40% - Accent5 2 2 3 3 3 2" xfId="31709" xr:uid="{00000000-0005-0000-0000-000061510000}"/>
    <cellStyle name="40% - Accent5 2 2 3 3 3 2 2" xfId="33699" xr:uid="{00000000-0005-0000-0000-000062510000}"/>
    <cellStyle name="40% - Accent5 2 2 3 3 3 2 2 2" xfId="23710" xr:uid="{00000000-0005-0000-0000-000063510000}"/>
    <cellStyle name="40% - Accent5 2 2 3 3 3 2 3" xfId="23712" xr:uid="{00000000-0005-0000-0000-000064510000}"/>
    <cellStyle name="40% - Accent5 2 2 3 3 3 3" xfId="23717" xr:uid="{00000000-0005-0000-0000-000065510000}"/>
    <cellStyle name="40% - Accent5 2 2 3 3 3 3 2" xfId="2274" xr:uid="{00000000-0005-0000-0000-000066510000}"/>
    <cellStyle name="40% - Accent5 2 2 3 3 3 4" xfId="27917" xr:uid="{00000000-0005-0000-0000-000067510000}"/>
    <cellStyle name="40% - Accent5 2 2 3 3 4" xfId="23490" xr:uid="{00000000-0005-0000-0000-000068510000}"/>
    <cellStyle name="40% - Accent5 2 2 3 3 4 2" xfId="23720" xr:uid="{00000000-0005-0000-0000-000069510000}"/>
    <cellStyle name="40% - Accent5 2 2 3 3 4 2 2" xfId="23728" xr:uid="{00000000-0005-0000-0000-00006A510000}"/>
    <cellStyle name="40% - Accent5 2 2 3 3 4 3" xfId="6309" xr:uid="{00000000-0005-0000-0000-00006B510000}"/>
    <cellStyle name="40% - Accent5 2 2 3 3 5" xfId="23515" xr:uid="{00000000-0005-0000-0000-00006C510000}"/>
    <cellStyle name="40% - Accent5 2 2 3 3 5 2" xfId="32048" xr:uid="{00000000-0005-0000-0000-00006D510000}"/>
    <cellStyle name="40% - Accent5 2 2 3 3 6" xfId="23525" xr:uid="{00000000-0005-0000-0000-00006E510000}"/>
    <cellStyle name="40% - Accent5 2 2 3 4" xfId="23733" xr:uid="{00000000-0005-0000-0000-00006F510000}"/>
    <cellStyle name="40% - Accent5 2 2 3 4 2" xfId="28468" xr:uid="{00000000-0005-0000-0000-000070510000}"/>
    <cellStyle name="40% - Accent5 2 2 3 4 2 2" xfId="23736" xr:uid="{00000000-0005-0000-0000-000071510000}"/>
    <cellStyle name="40% - Accent5 2 2 3 4 2 2 2" xfId="23744" xr:uid="{00000000-0005-0000-0000-000072510000}"/>
    <cellStyle name="40% - Accent5 2 2 3 4 2 2 2 2" xfId="23745" xr:uid="{00000000-0005-0000-0000-000073510000}"/>
    <cellStyle name="40% - Accent5 2 2 3 4 2 2 3" xfId="23748" xr:uid="{00000000-0005-0000-0000-000074510000}"/>
    <cellStyle name="40% - Accent5 2 2 3 4 2 3" xfId="23755" xr:uid="{00000000-0005-0000-0000-000075510000}"/>
    <cellStyle name="40% - Accent5 2 2 3 4 2 3 2" xfId="30650" xr:uid="{00000000-0005-0000-0000-000076510000}"/>
    <cellStyle name="40% - Accent5 2 2 3 4 2 4" xfId="13870" xr:uid="{00000000-0005-0000-0000-000077510000}"/>
    <cellStyle name="40% - Accent5 2 2 3 4 3" xfId="17208" xr:uid="{00000000-0005-0000-0000-000078510000}"/>
    <cellStyle name="40% - Accent5 2 2 3 4 3 2" xfId="23757" xr:uid="{00000000-0005-0000-0000-000079510000}"/>
    <cellStyle name="40% - Accent5 2 2 3 4 3 2 2" xfId="23767" xr:uid="{00000000-0005-0000-0000-00007A510000}"/>
    <cellStyle name="40% - Accent5 2 2 3 4 3 3" xfId="32400" xr:uid="{00000000-0005-0000-0000-00007B510000}"/>
    <cellStyle name="40% - Accent5 2 2 3 4 4" xfId="24461" xr:uid="{00000000-0005-0000-0000-00007C510000}"/>
    <cellStyle name="40% - Accent5 2 2 3 4 4 2" xfId="22896" xr:uid="{00000000-0005-0000-0000-00007D510000}"/>
    <cellStyle name="40% - Accent5 2 2 3 4 5" xfId="23545" xr:uid="{00000000-0005-0000-0000-00007E510000}"/>
    <cellStyle name="40% - Accent5 2 2 3 5" xfId="18896" xr:uid="{00000000-0005-0000-0000-00007F510000}"/>
    <cellStyle name="40% - Accent5 2 2 3 5 2" xfId="30369" xr:uid="{00000000-0005-0000-0000-000080510000}"/>
    <cellStyle name="40% - Accent5 2 2 3 5 2 2" xfId="26158" xr:uid="{00000000-0005-0000-0000-000081510000}"/>
    <cellStyle name="40% - Accent5 2 2 3 5 2 2 2" xfId="23772" xr:uid="{00000000-0005-0000-0000-000082510000}"/>
    <cellStyle name="40% - Accent5 2 2 3 5 2 3" xfId="7063" xr:uid="{00000000-0005-0000-0000-000083510000}"/>
    <cellStyle name="40% - Accent5 2 2 3 5 3" xfId="12992" xr:uid="{00000000-0005-0000-0000-000084510000}"/>
    <cellStyle name="40% - Accent5 2 2 3 5 3 2" xfId="23773" xr:uid="{00000000-0005-0000-0000-000085510000}"/>
    <cellStyle name="40% - Accent5 2 2 3 5 4" xfId="23550" xr:uid="{00000000-0005-0000-0000-000086510000}"/>
    <cellStyle name="40% - Accent5 2 2 3 6" xfId="33841" xr:uid="{00000000-0005-0000-0000-000087510000}"/>
    <cellStyle name="40% - Accent5 2 2 3 6 2" xfId="154" xr:uid="{00000000-0005-0000-0000-000088510000}"/>
    <cellStyle name="40% - Accent5 2 2 3 6 2 2" xfId="23774" xr:uid="{00000000-0005-0000-0000-000089510000}"/>
    <cellStyle name="40% - Accent5 2 2 3 6 3" xfId="13004" xr:uid="{00000000-0005-0000-0000-00008A510000}"/>
    <cellStyle name="40% - Accent5 2 2 3 7" xfId="27170" xr:uid="{00000000-0005-0000-0000-00008B510000}"/>
    <cellStyle name="40% - Accent5 2 2 3 7 2" xfId="27428" xr:uid="{00000000-0005-0000-0000-00008C510000}"/>
    <cellStyle name="40% - Accent5 2 2 3 8" xfId="25097" xr:uid="{00000000-0005-0000-0000-00008D510000}"/>
    <cellStyle name="40% - Accent5 2 2 4" xfId="23775" xr:uid="{00000000-0005-0000-0000-00008E510000}"/>
    <cellStyle name="40% - Accent5 2 2 4 2" xfId="23780" xr:uid="{00000000-0005-0000-0000-00008F510000}"/>
    <cellStyle name="40% - Accent5 2 2 4 2 2" xfId="23783" xr:uid="{00000000-0005-0000-0000-000090510000}"/>
    <cellStyle name="40% - Accent5 2 2 4 2 2 2" xfId="29369" xr:uid="{00000000-0005-0000-0000-000091510000}"/>
    <cellStyle name="40% - Accent5 2 2 4 2 2 2 2" xfId="23785" xr:uid="{00000000-0005-0000-0000-000092510000}"/>
    <cellStyle name="40% - Accent5 2 2 4 2 2 2 2 2" xfId="3009" xr:uid="{00000000-0005-0000-0000-000093510000}"/>
    <cellStyle name="40% - Accent5 2 2 4 2 2 2 2 2 2" xfId="6533" xr:uid="{00000000-0005-0000-0000-000094510000}"/>
    <cellStyle name="40% - Accent5 2 2 4 2 2 2 2 3" xfId="23789" xr:uid="{00000000-0005-0000-0000-000095510000}"/>
    <cellStyle name="40% - Accent5 2 2 4 2 2 2 3" xfId="23791" xr:uid="{00000000-0005-0000-0000-000096510000}"/>
    <cellStyle name="40% - Accent5 2 2 4 2 2 2 3 2" xfId="24924" xr:uid="{00000000-0005-0000-0000-000097510000}"/>
    <cellStyle name="40% - Accent5 2 2 4 2 2 2 4" xfId="23794" xr:uid="{00000000-0005-0000-0000-000098510000}"/>
    <cellStyle name="40% - Accent5 2 2 4 2 2 3" xfId="29837" xr:uid="{00000000-0005-0000-0000-000099510000}"/>
    <cellStyle name="40% - Accent5 2 2 4 2 2 3 2" xfId="13707" xr:uid="{00000000-0005-0000-0000-00009A510000}"/>
    <cellStyle name="40% - Accent5 2 2 4 2 2 3 2 2" xfId="25103" xr:uid="{00000000-0005-0000-0000-00009B510000}"/>
    <cellStyle name="40% - Accent5 2 2 4 2 2 3 3" xfId="23796" xr:uid="{00000000-0005-0000-0000-00009C510000}"/>
    <cellStyle name="40% - Accent5 2 2 4 2 2 4" xfId="16811" xr:uid="{00000000-0005-0000-0000-00009D510000}"/>
    <cellStyle name="40% - Accent5 2 2 4 2 2 4 2" xfId="18576" xr:uid="{00000000-0005-0000-0000-00009E510000}"/>
    <cellStyle name="40% - Accent5 2 2 4 2 2 5" xfId="9252" xr:uid="{00000000-0005-0000-0000-00009F510000}"/>
    <cellStyle name="40% - Accent5 2 2 4 2 3" xfId="27843" xr:uid="{00000000-0005-0000-0000-0000A0510000}"/>
    <cellStyle name="40% - Accent5 2 2 4 2 3 2" xfId="28524" xr:uid="{00000000-0005-0000-0000-0000A1510000}"/>
    <cellStyle name="40% - Accent5 2 2 4 2 3 2 2" xfId="23800" xr:uid="{00000000-0005-0000-0000-0000A2510000}"/>
    <cellStyle name="40% - Accent5 2 2 4 2 3 2 2 2" xfId="8916" xr:uid="{00000000-0005-0000-0000-0000A3510000}"/>
    <cellStyle name="40% - Accent5 2 2 4 2 3 2 3" xfId="23806" xr:uid="{00000000-0005-0000-0000-0000A4510000}"/>
    <cellStyle name="40% - Accent5 2 2 4 2 3 3" xfId="23811" xr:uid="{00000000-0005-0000-0000-0000A5510000}"/>
    <cellStyle name="40% - Accent5 2 2 4 2 3 3 2" xfId="23812" xr:uid="{00000000-0005-0000-0000-0000A6510000}"/>
    <cellStyle name="40% - Accent5 2 2 4 2 3 4" xfId="9254" xr:uid="{00000000-0005-0000-0000-0000A7510000}"/>
    <cellStyle name="40% - Accent5 2 2 4 2 4" xfId="25952" xr:uid="{00000000-0005-0000-0000-0000A8510000}"/>
    <cellStyle name="40% - Accent5 2 2 4 2 4 2" xfId="23814" xr:uid="{00000000-0005-0000-0000-0000A9510000}"/>
    <cellStyle name="40% - Accent5 2 2 4 2 4 2 2" xfId="23816" xr:uid="{00000000-0005-0000-0000-0000AA510000}"/>
    <cellStyle name="40% - Accent5 2 2 4 2 4 3" xfId="6346" xr:uid="{00000000-0005-0000-0000-0000AB510000}"/>
    <cellStyle name="40% - Accent5 2 2 4 2 5" xfId="23818" xr:uid="{00000000-0005-0000-0000-0000AC510000}"/>
    <cellStyle name="40% - Accent5 2 2 4 2 5 2" xfId="27695" xr:uid="{00000000-0005-0000-0000-0000AD510000}"/>
    <cellStyle name="40% - Accent5 2 2 4 2 6" xfId="24786" xr:uid="{00000000-0005-0000-0000-0000AE510000}"/>
    <cellStyle name="40% - Accent5 2 2 4 3" xfId="23822" xr:uid="{00000000-0005-0000-0000-0000AF510000}"/>
    <cellStyle name="40% - Accent5 2 2 4 3 2" xfId="23825" xr:uid="{00000000-0005-0000-0000-0000B0510000}"/>
    <cellStyle name="40% - Accent5 2 2 4 3 2 2" xfId="23826" xr:uid="{00000000-0005-0000-0000-0000B1510000}"/>
    <cellStyle name="40% - Accent5 2 2 4 3 2 2 2" xfId="19922" xr:uid="{00000000-0005-0000-0000-0000B2510000}"/>
    <cellStyle name="40% - Accent5 2 2 4 3 2 2 2 2" xfId="23831" xr:uid="{00000000-0005-0000-0000-0000B3510000}"/>
    <cellStyle name="40% - Accent5 2 2 4 3 2 2 3" xfId="23832" xr:uid="{00000000-0005-0000-0000-0000B4510000}"/>
    <cellStyle name="40% - Accent5 2 2 4 3 2 3" xfId="23838" xr:uid="{00000000-0005-0000-0000-0000B5510000}"/>
    <cellStyle name="40% - Accent5 2 2 4 3 2 3 2" xfId="23841" xr:uid="{00000000-0005-0000-0000-0000B6510000}"/>
    <cellStyle name="40% - Accent5 2 2 4 3 2 4" xfId="9257" xr:uid="{00000000-0005-0000-0000-0000B7510000}"/>
    <cellStyle name="40% - Accent5 2 2 4 3 3" xfId="33656" xr:uid="{00000000-0005-0000-0000-0000B8510000}"/>
    <cellStyle name="40% - Accent5 2 2 4 3 3 2" xfId="23846" xr:uid="{00000000-0005-0000-0000-0000B9510000}"/>
    <cellStyle name="40% - Accent5 2 2 4 3 3 2 2" xfId="23847" xr:uid="{00000000-0005-0000-0000-0000BA510000}"/>
    <cellStyle name="40% - Accent5 2 2 4 3 3 3" xfId="29908" xr:uid="{00000000-0005-0000-0000-0000BB510000}"/>
    <cellStyle name="40% - Accent5 2 2 4 3 4" xfId="23556" xr:uid="{00000000-0005-0000-0000-0000BC510000}"/>
    <cellStyle name="40% - Accent5 2 2 4 3 4 2" xfId="27713" xr:uid="{00000000-0005-0000-0000-0000BD510000}"/>
    <cellStyle name="40% - Accent5 2 2 4 3 5" xfId="7018" xr:uid="{00000000-0005-0000-0000-0000BE510000}"/>
    <cellStyle name="40% - Accent5 2 2 4 4" xfId="23849" xr:uid="{00000000-0005-0000-0000-0000BF510000}"/>
    <cellStyle name="40% - Accent5 2 2 4 4 2" xfId="28580" xr:uid="{00000000-0005-0000-0000-0000C0510000}"/>
    <cellStyle name="40% - Accent5 2 2 4 4 2 2" xfId="23851" xr:uid="{00000000-0005-0000-0000-0000C1510000}"/>
    <cellStyle name="40% - Accent5 2 2 4 4 2 2 2" xfId="25760" xr:uid="{00000000-0005-0000-0000-0000C2510000}"/>
    <cellStyle name="40% - Accent5 2 2 4 4 2 3" xfId="26385" xr:uid="{00000000-0005-0000-0000-0000C3510000}"/>
    <cellStyle name="40% - Accent5 2 2 4 4 3" xfId="28586" xr:uid="{00000000-0005-0000-0000-0000C4510000}"/>
    <cellStyle name="40% - Accent5 2 2 4 4 3 2" xfId="23858" xr:uid="{00000000-0005-0000-0000-0000C5510000}"/>
    <cellStyle name="40% - Accent5 2 2 4 4 4" xfId="23565" xr:uid="{00000000-0005-0000-0000-0000C6510000}"/>
    <cellStyle name="40% - Accent5 2 2 4 5" xfId="18898" xr:uid="{00000000-0005-0000-0000-0000C7510000}"/>
    <cellStyle name="40% - Accent5 2 2 4 5 2" xfId="25018" xr:uid="{00000000-0005-0000-0000-0000C8510000}"/>
    <cellStyle name="40% - Accent5 2 2 4 5 2 2" xfId="23864" xr:uid="{00000000-0005-0000-0000-0000C9510000}"/>
    <cellStyle name="40% - Accent5 2 2 4 5 3" xfId="20409" xr:uid="{00000000-0005-0000-0000-0000CA510000}"/>
    <cellStyle name="40% - Accent5 2 2 4 6" xfId="23867" xr:uid="{00000000-0005-0000-0000-0000CB510000}"/>
    <cellStyle name="40% - Accent5 2 2 4 6 2" xfId="444" xr:uid="{00000000-0005-0000-0000-0000CC510000}"/>
    <cellStyle name="40% - Accent5 2 2 4 7" xfId="28638" xr:uid="{00000000-0005-0000-0000-0000CD510000}"/>
    <cellStyle name="40% - Accent5 2 2 5" xfId="502" xr:uid="{00000000-0005-0000-0000-0000CE510000}"/>
    <cellStyle name="40% - Accent5 2 2 5 2" xfId="10910" xr:uid="{00000000-0005-0000-0000-0000CF510000}"/>
    <cellStyle name="40% - Accent5 2 2 5 2 2" xfId="27828" xr:uid="{00000000-0005-0000-0000-0000D0510000}"/>
    <cellStyle name="40% - Accent5 2 2 5 2 2 2" xfId="32172" xr:uid="{00000000-0005-0000-0000-0000D1510000}"/>
    <cellStyle name="40% - Accent5 2 2 5 2 2 2 2" xfId="10631" xr:uid="{00000000-0005-0000-0000-0000D2510000}"/>
    <cellStyle name="40% - Accent5 2 2 5 2 2 2 2 2" xfId="24486" xr:uid="{00000000-0005-0000-0000-0000D3510000}"/>
    <cellStyle name="40% - Accent5 2 2 5 2 2 2 3" xfId="4211" xr:uid="{00000000-0005-0000-0000-0000D4510000}"/>
    <cellStyle name="40% - Accent5 2 2 5 2 2 3" xfId="23870" xr:uid="{00000000-0005-0000-0000-0000D5510000}"/>
    <cellStyle name="40% - Accent5 2 2 5 2 2 3 2" xfId="2585" xr:uid="{00000000-0005-0000-0000-0000D6510000}"/>
    <cellStyle name="40% - Accent5 2 2 5 2 2 4" xfId="11708" xr:uid="{00000000-0005-0000-0000-0000D7510000}"/>
    <cellStyle name="40% - Accent5 2 2 5 2 3" xfId="27867" xr:uid="{00000000-0005-0000-0000-0000D8510000}"/>
    <cellStyle name="40% - Accent5 2 2 5 2 3 2" xfId="33268" xr:uid="{00000000-0005-0000-0000-0000D9510000}"/>
    <cellStyle name="40% - Accent5 2 2 5 2 3 2 2" xfId="9733" xr:uid="{00000000-0005-0000-0000-0000DA510000}"/>
    <cellStyle name="40% - Accent5 2 2 5 2 3 3" xfId="21732" xr:uid="{00000000-0005-0000-0000-0000DB510000}"/>
    <cellStyle name="40% - Accent5 2 2 5 2 4" xfId="23872" xr:uid="{00000000-0005-0000-0000-0000DC510000}"/>
    <cellStyle name="40% - Accent5 2 2 5 2 4 2" xfId="33630" xr:uid="{00000000-0005-0000-0000-0000DD510000}"/>
    <cellStyle name="40% - Accent5 2 2 5 2 5" xfId="16614" xr:uid="{00000000-0005-0000-0000-0000DE510000}"/>
    <cellStyle name="40% - Accent5 2 2 5 3" xfId="4495" xr:uid="{00000000-0005-0000-0000-0000DF510000}"/>
    <cellStyle name="40% - Accent5 2 2 5 3 2" xfId="31883" xr:uid="{00000000-0005-0000-0000-0000E0510000}"/>
    <cellStyle name="40% - Accent5 2 2 5 3 2 2" xfId="23875" xr:uid="{00000000-0005-0000-0000-0000E1510000}"/>
    <cellStyle name="40% - Accent5 2 2 5 3 2 2 2" xfId="23877" xr:uid="{00000000-0005-0000-0000-0000E2510000}"/>
    <cellStyle name="40% - Accent5 2 2 5 3 2 3" xfId="27869" xr:uid="{00000000-0005-0000-0000-0000E3510000}"/>
    <cellStyle name="40% - Accent5 2 2 5 3 3" xfId="23878" xr:uid="{00000000-0005-0000-0000-0000E4510000}"/>
    <cellStyle name="40% - Accent5 2 2 5 3 3 2" xfId="30666" xr:uid="{00000000-0005-0000-0000-0000E5510000}"/>
    <cellStyle name="40% - Accent5 2 2 5 3 4" xfId="23566" xr:uid="{00000000-0005-0000-0000-0000E6510000}"/>
    <cellStyle name="40% - Accent5 2 2 5 4" xfId="23879" xr:uid="{00000000-0005-0000-0000-0000E7510000}"/>
    <cellStyle name="40% - Accent5 2 2 5 4 2" xfId="6552" xr:uid="{00000000-0005-0000-0000-0000E8510000}"/>
    <cellStyle name="40% - Accent5 2 2 5 4 2 2" xfId="28114" xr:uid="{00000000-0005-0000-0000-0000E9510000}"/>
    <cellStyle name="40% - Accent5 2 2 5 4 3" xfId="5969" xr:uid="{00000000-0005-0000-0000-0000EA510000}"/>
    <cellStyle name="40% - Accent5 2 2 5 5" xfId="1663" xr:uid="{00000000-0005-0000-0000-0000EB510000}"/>
    <cellStyle name="40% - Accent5 2 2 5 5 2" xfId="2277" xr:uid="{00000000-0005-0000-0000-0000EC510000}"/>
    <cellStyle name="40% - Accent5 2 2 5 6" xfId="23881" xr:uid="{00000000-0005-0000-0000-0000ED510000}"/>
    <cellStyle name="40% - Accent5 2 2 6" xfId="16908" xr:uid="{00000000-0005-0000-0000-0000EE510000}"/>
    <cellStyle name="40% - Accent5 2 2 6 2" xfId="9501" xr:uid="{00000000-0005-0000-0000-0000EF510000}"/>
    <cellStyle name="40% - Accent5 2 2 6 2 2" xfId="21899" xr:uid="{00000000-0005-0000-0000-0000F0510000}"/>
    <cellStyle name="40% - Accent5 2 2 6 2 2 2" xfId="23882" xr:uid="{00000000-0005-0000-0000-0000F1510000}"/>
    <cellStyle name="40% - Accent5 2 2 6 2 2 2 2" xfId="23884" xr:uid="{00000000-0005-0000-0000-0000F2510000}"/>
    <cellStyle name="40% - Accent5 2 2 6 2 2 3" xfId="23889" xr:uid="{00000000-0005-0000-0000-0000F3510000}"/>
    <cellStyle name="40% - Accent5 2 2 6 2 3" xfId="23892" xr:uid="{00000000-0005-0000-0000-0000F4510000}"/>
    <cellStyle name="40% - Accent5 2 2 6 2 3 2" xfId="2984" xr:uid="{00000000-0005-0000-0000-0000F5510000}"/>
    <cellStyle name="40% - Accent5 2 2 6 2 4" xfId="23894" xr:uid="{00000000-0005-0000-0000-0000F6510000}"/>
    <cellStyle name="40% - Accent5 2 2 6 3" xfId="23897" xr:uid="{00000000-0005-0000-0000-0000F7510000}"/>
    <cellStyle name="40% - Accent5 2 2 6 3 2" xfId="23899" xr:uid="{00000000-0005-0000-0000-0000F8510000}"/>
    <cellStyle name="40% - Accent5 2 2 6 3 2 2" xfId="1790" xr:uid="{00000000-0005-0000-0000-0000F9510000}"/>
    <cellStyle name="40% - Accent5 2 2 6 3 3" xfId="13564" xr:uid="{00000000-0005-0000-0000-0000FA510000}"/>
    <cellStyle name="40% - Accent5 2 2 6 4" xfId="23900" xr:uid="{00000000-0005-0000-0000-0000FB510000}"/>
    <cellStyle name="40% - Accent5 2 2 6 4 2" xfId="5987" xr:uid="{00000000-0005-0000-0000-0000FC510000}"/>
    <cellStyle name="40% - Accent5 2 2 6 5" xfId="23901" xr:uid="{00000000-0005-0000-0000-0000FD510000}"/>
    <cellStyle name="40% - Accent5 2 2 7" xfId="10783" xr:uid="{00000000-0005-0000-0000-0000FE510000}"/>
    <cellStyle name="40% - Accent5 2 2 7 2" xfId="10788" xr:uid="{00000000-0005-0000-0000-0000FF510000}"/>
    <cellStyle name="40% - Accent5 2 2 7 2 2" xfId="23903" xr:uid="{00000000-0005-0000-0000-000000520000}"/>
    <cellStyle name="40% - Accent5 2 2 7 2 2 2" xfId="23909" xr:uid="{00000000-0005-0000-0000-000001520000}"/>
    <cellStyle name="40% - Accent5 2 2 7 2 3" xfId="23912" xr:uid="{00000000-0005-0000-0000-000002520000}"/>
    <cellStyle name="40% - Accent5 2 2 7 3" xfId="20894" xr:uid="{00000000-0005-0000-0000-000003520000}"/>
    <cellStyle name="40% - Accent5 2 2 7 3 2" xfId="23916" xr:uid="{00000000-0005-0000-0000-000004520000}"/>
    <cellStyle name="40% - Accent5 2 2 7 4" xfId="20940" xr:uid="{00000000-0005-0000-0000-000005520000}"/>
    <cellStyle name="40% - Accent5 2 2 8" xfId="10829" xr:uid="{00000000-0005-0000-0000-000006520000}"/>
    <cellStyle name="40% - Accent5 2 2 8 2" xfId="32952" xr:uid="{00000000-0005-0000-0000-000007520000}"/>
    <cellStyle name="40% - Accent5 2 2 8 2 2" xfId="23920" xr:uid="{00000000-0005-0000-0000-000008520000}"/>
    <cellStyle name="40% - Accent5 2 2 8 3" xfId="21040" xr:uid="{00000000-0005-0000-0000-000009520000}"/>
    <cellStyle name="40% - Accent5 2 2 9" xfId="32620" xr:uid="{00000000-0005-0000-0000-00000A520000}"/>
    <cellStyle name="40% - Accent5 2 2 9 2" xfId="32760" xr:uid="{00000000-0005-0000-0000-00000B520000}"/>
    <cellStyle name="40% - Accent5 2 3" xfId="2519" xr:uid="{00000000-0005-0000-0000-00000C520000}"/>
    <cellStyle name="40% - Accent5 2 3 2" xfId="20053" xr:uid="{00000000-0005-0000-0000-00000D520000}"/>
    <cellStyle name="40% - Accent5 2 3 2 2" xfId="20207" xr:uid="{00000000-0005-0000-0000-00000E520000}"/>
    <cellStyle name="40% - Accent5 2 3 2 2 2" xfId="21674" xr:uid="{00000000-0005-0000-0000-00000F520000}"/>
    <cellStyle name="40% - Accent5 2 3 2 2 2 2" xfId="9193" xr:uid="{00000000-0005-0000-0000-000010520000}"/>
    <cellStyle name="40% - Accent5 2 3 2 2 2 2 2" xfId="23931" xr:uid="{00000000-0005-0000-0000-000011520000}"/>
    <cellStyle name="40% - Accent5 2 3 2 2 2 2 2 2" xfId="26430" xr:uid="{00000000-0005-0000-0000-000012520000}"/>
    <cellStyle name="40% - Accent5 2 3 2 2 2 2 2 2 2" xfId="20365" xr:uid="{00000000-0005-0000-0000-000013520000}"/>
    <cellStyle name="40% - Accent5 2 3 2 2 2 2 2 2 2 2" xfId="30719" xr:uid="{00000000-0005-0000-0000-000014520000}"/>
    <cellStyle name="40% - Accent5 2 3 2 2 2 2 2 2 3" xfId="21877" xr:uid="{00000000-0005-0000-0000-000015520000}"/>
    <cellStyle name="40% - Accent5 2 3 2 2 2 2 2 3" xfId="7837" xr:uid="{00000000-0005-0000-0000-000016520000}"/>
    <cellStyle name="40% - Accent5 2 3 2 2 2 2 2 3 2" xfId="16561" xr:uid="{00000000-0005-0000-0000-000017520000}"/>
    <cellStyle name="40% - Accent5 2 3 2 2 2 2 2 4" xfId="8513" xr:uid="{00000000-0005-0000-0000-000018520000}"/>
    <cellStyle name="40% - Accent5 2 3 2 2 2 2 3" xfId="23934" xr:uid="{00000000-0005-0000-0000-000019520000}"/>
    <cellStyle name="40% - Accent5 2 3 2 2 2 2 3 2" xfId="23937" xr:uid="{00000000-0005-0000-0000-00001A520000}"/>
    <cellStyle name="40% - Accent5 2 3 2 2 2 2 3 2 2" xfId="29319" xr:uid="{00000000-0005-0000-0000-00001B520000}"/>
    <cellStyle name="40% - Accent5 2 3 2 2 2 2 3 3" xfId="8519" xr:uid="{00000000-0005-0000-0000-00001C520000}"/>
    <cellStyle name="40% - Accent5 2 3 2 2 2 2 4" xfId="23943" xr:uid="{00000000-0005-0000-0000-00001D520000}"/>
    <cellStyle name="40% - Accent5 2 3 2 2 2 2 4 2" xfId="23950" xr:uid="{00000000-0005-0000-0000-00001E520000}"/>
    <cellStyle name="40% - Accent5 2 3 2 2 2 2 5" xfId="7885" xr:uid="{00000000-0005-0000-0000-00001F520000}"/>
    <cellStyle name="40% - Accent5 2 3 2 2 2 3" xfId="4898" xr:uid="{00000000-0005-0000-0000-000020520000}"/>
    <cellStyle name="40% - Accent5 2 3 2 2 2 3 2" xfId="18227" xr:uid="{00000000-0005-0000-0000-000021520000}"/>
    <cellStyle name="40% - Accent5 2 3 2 2 2 3 2 2" xfId="27076" xr:uid="{00000000-0005-0000-0000-000022520000}"/>
    <cellStyle name="40% - Accent5 2 3 2 2 2 3 2 2 2" xfId="23959" xr:uid="{00000000-0005-0000-0000-000023520000}"/>
    <cellStyle name="40% - Accent5 2 3 2 2 2 3 2 3" xfId="27085" xr:uid="{00000000-0005-0000-0000-000024520000}"/>
    <cellStyle name="40% - Accent5 2 3 2 2 2 3 3" xfId="23961" xr:uid="{00000000-0005-0000-0000-000025520000}"/>
    <cellStyle name="40% - Accent5 2 3 2 2 2 3 3 2" xfId="23964" xr:uid="{00000000-0005-0000-0000-000026520000}"/>
    <cellStyle name="40% - Accent5 2 3 2 2 2 3 4" xfId="23965" xr:uid="{00000000-0005-0000-0000-000027520000}"/>
    <cellStyle name="40% - Accent5 2 3 2 2 2 4" xfId="2039" xr:uid="{00000000-0005-0000-0000-000028520000}"/>
    <cellStyle name="40% - Accent5 2 3 2 2 2 4 2" xfId="8911" xr:uid="{00000000-0005-0000-0000-000029520000}"/>
    <cellStyle name="40% - Accent5 2 3 2 2 2 4 2 2" xfId="26686" xr:uid="{00000000-0005-0000-0000-00002A520000}"/>
    <cellStyle name="40% - Accent5 2 3 2 2 2 4 3" xfId="23973" xr:uid="{00000000-0005-0000-0000-00002B520000}"/>
    <cellStyle name="40% - Accent5 2 3 2 2 2 5" xfId="9085" xr:uid="{00000000-0005-0000-0000-00002C520000}"/>
    <cellStyle name="40% - Accent5 2 3 2 2 2 5 2" xfId="23978" xr:uid="{00000000-0005-0000-0000-00002D520000}"/>
    <cellStyle name="40% - Accent5 2 3 2 2 2 6" xfId="23984" xr:uid="{00000000-0005-0000-0000-00002E520000}"/>
    <cellStyle name="40% - Accent5 2 3 2 2 3" xfId="29189" xr:uid="{00000000-0005-0000-0000-00002F520000}"/>
    <cellStyle name="40% - Accent5 2 3 2 2 3 2" xfId="4911" xr:uid="{00000000-0005-0000-0000-000030520000}"/>
    <cellStyle name="40% - Accent5 2 3 2 2 3 2 2" xfId="8663" xr:uid="{00000000-0005-0000-0000-000031520000}"/>
    <cellStyle name="40% - Accent5 2 3 2 2 3 2 2 2" xfId="23990" xr:uid="{00000000-0005-0000-0000-000032520000}"/>
    <cellStyle name="40% - Accent5 2 3 2 2 3 2 2 2 2" xfId="21029" xr:uid="{00000000-0005-0000-0000-000033520000}"/>
    <cellStyle name="40% - Accent5 2 3 2 2 3 2 2 3" xfId="8524" xr:uid="{00000000-0005-0000-0000-000034520000}"/>
    <cellStyle name="40% - Accent5 2 3 2 2 3 2 3" xfId="8951" xr:uid="{00000000-0005-0000-0000-000035520000}"/>
    <cellStyle name="40% - Accent5 2 3 2 2 3 2 3 2" xfId="7244" xr:uid="{00000000-0005-0000-0000-000036520000}"/>
    <cellStyle name="40% - Accent5 2 3 2 2 3 2 4" xfId="1319" xr:uid="{00000000-0005-0000-0000-000037520000}"/>
    <cellStyle name="40% - Accent5 2 3 2 2 3 3" xfId="2048" xr:uid="{00000000-0005-0000-0000-000038520000}"/>
    <cellStyle name="40% - Accent5 2 3 2 2 3 3 2" xfId="24342" xr:uid="{00000000-0005-0000-0000-000039520000}"/>
    <cellStyle name="40% - Accent5 2 3 2 2 3 3 2 2" xfId="29084" xr:uid="{00000000-0005-0000-0000-00003A520000}"/>
    <cellStyle name="40% - Accent5 2 3 2 2 3 3 3" xfId="1337" xr:uid="{00000000-0005-0000-0000-00003B520000}"/>
    <cellStyle name="40% - Accent5 2 3 2 2 3 4" xfId="9094" xr:uid="{00000000-0005-0000-0000-00003C520000}"/>
    <cellStyle name="40% - Accent5 2 3 2 2 3 4 2" xfId="3693" xr:uid="{00000000-0005-0000-0000-00003D520000}"/>
    <cellStyle name="40% - Accent5 2 3 2 2 3 5" xfId="23993" xr:uid="{00000000-0005-0000-0000-00003E520000}"/>
    <cellStyle name="40% - Accent5 2 3 2 2 4" xfId="23994" xr:uid="{00000000-0005-0000-0000-00003F520000}"/>
    <cellStyle name="40% - Accent5 2 3 2 2 4 2" xfId="7440" xr:uid="{00000000-0005-0000-0000-000040520000}"/>
    <cellStyle name="40% - Accent5 2 3 2 2 4 2 2" xfId="23995" xr:uid="{00000000-0005-0000-0000-000041520000}"/>
    <cellStyle name="40% - Accent5 2 3 2 2 4 2 2 2" xfId="23999" xr:uid="{00000000-0005-0000-0000-000042520000}"/>
    <cellStyle name="40% - Accent5 2 3 2 2 4 2 3" xfId="1401" xr:uid="{00000000-0005-0000-0000-000043520000}"/>
    <cellStyle name="40% - Accent5 2 3 2 2 4 3" xfId="1224" xr:uid="{00000000-0005-0000-0000-000044520000}"/>
    <cellStyle name="40% - Accent5 2 3 2 2 4 3 2" xfId="24004" xr:uid="{00000000-0005-0000-0000-000045520000}"/>
    <cellStyle name="40% - Accent5 2 3 2 2 4 4" xfId="10708" xr:uid="{00000000-0005-0000-0000-000046520000}"/>
    <cellStyle name="40% - Accent5 2 3 2 2 5" xfId="24006" xr:uid="{00000000-0005-0000-0000-000047520000}"/>
    <cellStyle name="40% - Accent5 2 3 2 2 5 2" xfId="1386" xr:uid="{00000000-0005-0000-0000-000048520000}"/>
    <cellStyle name="40% - Accent5 2 3 2 2 5 2 2" xfId="24011" xr:uid="{00000000-0005-0000-0000-000049520000}"/>
    <cellStyle name="40% - Accent5 2 3 2 2 5 3" xfId="24016" xr:uid="{00000000-0005-0000-0000-00004A520000}"/>
    <cellStyle name="40% - Accent5 2 3 2 2 6" xfId="27783" xr:uid="{00000000-0005-0000-0000-00004B520000}"/>
    <cellStyle name="40% - Accent5 2 3 2 2 6 2" xfId="24018" xr:uid="{00000000-0005-0000-0000-00004C520000}"/>
    <cellStyle name="40% - Accent5 2 3 2 2 7" xfId="24019" xr:uid="{00000000-0005-0000-0000-00004D520000}"/>
    <cellStyle name="40% - Accent5 2 3 2 3" xfId="24020" xr:uid="{00000000-0005-0000-0000-00004E520000}"/>
    <cellStyle name="40% - Accent5 2 3 2 3 2" xfId="24025" xr:uid="{00000000-0005-0000-0000-00004F520000}"/>
    <cellStyle name="40% - Accent5 2 3 2 3 2 2" xfId="7807" xr:uid="{00000000-0005-0000-0000-000050520000}"/>
    <cellStyle name="40% - Accent5 2 3 2 3 2 2 2" xfId="25708" xr:uid="{00000000-0005-0000-0000-000051520000}"/>
    <cellStyle name="40% - Accent5 2 3 2 3 2 2 2 2" xfId="28238" xr:uid="{00000000-0005-0000-0000-000052520000}"/>
    <cellStyle name="40% - Accent5 2 3 2 3 2 2 2 2 2" xfId="24028" xr:uid="{00000000-0005-0000-0000-000053520000}"/>
    <cellStyle name="40% - Accent5 2 3 2 3 2 2 2 3" xfId="10043" xr:uid="{00000000-0005-0000-0000-000054520000}"/>
    <cellStyle name="40% - Accent5 2 3 2 3 2 2 3" xfId="28870" xr:uid="{00000000-0005-0000-0000-000055520000}"/>
    <cellStyle name="40% - Accent5 2 3 2 3 2 2 3 2" xfId="33164" xr:uid="{00000000-0005-0000-0000-000056520000}"/>
    <cellStyle name="40% - Accent5 2 3 2 3 2 2 4" xfId="24030" xr:uid="{00000000-0005-0000-0000-000057520000}"/>
    <cellStyle name="40% - Accent5 2 3 2 3 2 3" xfId="6052" xr:uid="{00000000-0005-0000-0000-000058520000}"/>
    <cellStyle name="40% - Accent5 2 3 2 3 2 3 2" xfId="19899" xr:uid="{00000000-0005-0000-0000-000059520000}"/>
    <cellStyle name="40% - Accent5 2 3 2 3 2 3 2 2" xfId="24409" xr:uid="{00000000-0005-0000-0000-00005A520000}"/>
    <cellStyle name="40% - Accent5 2 3 2 3 2 3 3" xfId="22637" xr:uid="{00000000-0005-0000-0000-00005B520000}"/>
    <cellStyle name="40% - Accent5 2 3 2 3 2 4" xfId="9110" xr:uid="{00000000-0005-0000-0000-00005C520000}"/>
    <cellStyle name="40% - Accent5 2 3 2 3 2 4 2" xfId="19901" xr:uid="{00000000-0005-0000-0000-00005D520000}"/>
    <cellStyle name="40% - Accent5 2 3 2 3 2 5" xfId="22771" xr:uid="{00000000-0005-0000-0000-00005E520000}"/>
    <cellStyle name="40% - Accent5 2 3 2 3 3" xfId="24035" xr:uid="{00000000-0005-0000-0000-00005F520000}"/>
    <cellStyle name="40% - Accent5 2 3 2 3 3 2" xfId="2088" xr:uid="{00000000-0005-0000-0000-000060520000}"/>
    <cellStyle name="40% - Accent5 2 3 2 3 3 2 2" xfId="19665" xr:uid="{00000000-0005-0000-0000-000061520000}"/>
    <cellStyle name="40% - Accent5 2 3 2 3 3 2 2 2" xfId="28841" xr:uid="{00000000-0005-0000-0000-000062520000}"/>
    <cellStyle name="40% - Accent5 2 3 2 3 3 2 3" xfId="4404" xr:uid="{00000000-0005-0000-0000-000063520000}"/>
    <cellStyle name="40% - Accent5 2 3 2 3 3 3" xfId="9124" xr:uid="{00000000-0005-0000-0000-000064520000}"/>
    <cellStyle name="40% - Accent5 2 3 2 3 3 3 2" xfId="19906" xr:uid="{00000000-0005-0000-0000-000065520000}"/>
    <cellStyle name="40% - Accent5 2 3 2 3 3 4" xfId="24044" xr:uid="{00000000-0005-0000-0000-000066520000}"/>
    <cellStyle name="40% - Accent5 2 3 2 3 4" xfId="23673" xr:uid="{00000000-0005-0000-0000-000067520000}"/>
    <cellStyle name="40% - Accent5 2 3 2 3 4 2" xfId="9918" xr:uid="{00000000-0005-0000-0000-000068520000}"/>
    <cellStyle name="40% - Accent5 2 3 2 3 4 2 2" xfId="24049" xr:uid="{00000000-0005-0000-0000-000069520000}"/>
    <cellStyle name="40% - Accent5 2 3 2 3 4 3" xfId="23770" xr:uid="{00000000-0005-0000-0000-00006A520000}"/>
    <cellStyle name="40% - Accent5 2 3 2 3 5" xfId="23687" xr:uid="{00000000-0005-0000-0000-00006B520000}"/>
    <cellStyle name="40% - Accent5 2 3 2 3 5 2" xfId="24054" xr:uid="{00000000-0005-0000-0000-00006C520000}"/>
    <cellStyle name="40% - Accent5 2 3 2 3 6" xfId="23700" xr:uid="{00000000-0005-0000-0000-00006D520000}"/>
    <cellStyle name="40% - Accent5 2 3 2 4" xfId="31441" xr:uid="{00000000-0005-0000-0000-00006E520000}"/>
    <cellStyle name="40% - Accent5 2 3 2 4 2" xfId="28117" xr:uid="{00000000-0005-0000-0000-00006F520000}"/>
    <cellStyle name="40% - Accent5 2 3 2 4 2 2" xfId="5355" xr:uid="{00000000-0005-0000-0000-000070520000}"/>
    <cellStyle name="40% - Accent5 2 3 2 4 2 2 2" xfId="24057" xr:uid="{00000000-0005-0000-0000-000071520000}"/>
    <cellStyle name="40% - Accent5 2 3 2 4 2 2 2 2" xfId="23599" xr:uid="{00000000-0005-0000-0000-000072520000}"/>
    <cellStyle name="40% - Accent5 2 3 2 4 2 2 3" xfId="24063" xr:uid="{00000000-0005-0000-0000-000073520000}"/>
    <cellStyle name="40% - Accent5 2 3 2 4 2 3" xfId="8548" xr:uid="{00000000-0005-0000-0000-000074520000}"/>
    <cellStyle name="40% - Accent5 2 3 2 4 2 3 2" xfId="22146" xr:uid="{00000000-0005-0000-0000-000075520000}"/>
    <cellStyle name="40% - Accent5 2 3 2 4 2 4" xfId="24067" xr:uid="{00000000-0005-0000-0000-000076520000}"/>
    <cellStyle name="40% - Accent5 2 3 2 4 3" xfId="28121" xr:uid="{00000000-0005-0000-0000-000077520000}"/>
    <cellStyle name="40% - Accent5 2 3 2 4 3 2" xfId="2082" xr:uid="{00000000-0005-0000-0000-000078520000}"/>
    <cellStyle name="40% - Accent5 2 3 2 4 3 2 2" xfId="15975" xr:uid="{00000000-0005-0000-0000-000079520000}"/>
    <cellStyle name="40% - Accent5 2 3 2 4 3 3" xfId="24076" xr:uid="{00000000-0005-0000-0000-00007A520000}"/>
    <cellStyle name="40% - Accent5 2 3 2 4 4" xfId="23707" xr:uid="{00000000-0005-0000-0000-00007B520000}"/>
    <cellStyle name="40% - Accent5 2 3 2 4 4 2" xfId="24082" xr:uid="{00000000-0005-0000-0000-00007C520000}"/>
    <cellStyle name="40% - Accent5 2 3 2 4 5" xfId="23718" xr:uid="{00000000-0005-0000-0000-00007D520000}"/>
    <cellStyle name="40% - Accent5 2 3 2 5" xfId="32303" xr:uid="{00000000-0005-0000-0000-00007E520000}"/>
    <cellStyle name="40% - Accent5 2 3 2 5 2" xfId="24085" xr:uid="{00000000-0005-0000-0000-00007F520000}"/>
    <cellStyle name="40% - Accent5 2 3 2 5 2 2" xfId="10361" xr:uid="{00000000-0005-0000-0000-000080520000}"/>
    <cellStyle name="40% - Accent5 2 3 2 5 2 2 2" xfId="21881" xr:uid="{00000000-0005-0000-0000-000081520000}"/>
    <cellStyle name="40% - Accent5 2 3 2 5 2 3" xfId="10374" xr:uid="{00000000-0005-0000-0000-000082520000}"/>
    <cellStyle name="40% - Accent5 2 3 2 5 3" xfId="17962" xr:uid="{00000000-0005-0000-0000-000083520000}"/>
    <cellStyle name="40% - Accent5 2 3 2 5 3 2" xfId="24087" xr:uid="{00000000-0005-0000-0000-000084520000}"/>
    <cellStyle name="40% - Accent5 2 3 2 5 4" xfId="23722" xr:uid="{00000000-0005-0000-0000-000085520000}"/>
    <cellStyle name="40% - Accent5 2 3 2 6" xfId="29072" xr:uid="{00000000-0005-0000-0000-000086520000}"/>
    <cellStyle name="40% - Accent5 2 3 2 6 2" xfId="10504" xr:uid="{00000000-0005-0000-0000-000087520000}"/>
    <cellStyle name="40% - Accent5 2 3 2 6 2 2" xfId="24090" xr:uid="{00000000-0005-0000-0000-000088520000}"/>
    <cellStyle name="40% - Accent5 2 3 2 6 3" xfId="24093" xr:uid="{00000000-0005-0000-0000-000089520000}"/>
    <cellStyle name="40% - Accent5 2 3 2 7" xfId="24095" xr:uid="{00000000-0005-0000-0000-00008A520000}"/>
    <cellStyle name="40% - Accent5 2 3 2 7 2" xfId="24096" xr:uid="{00000000-0005-0000-0000-00008B520000}"/>
    <cellStyle name="40% - Accent5 2 3 2 8" xfId="24098" xr:uid="{00000000-0005-0000-0000-00008C520000}"/>
    <cellStyle name="40% - Accent5 2 3 3" xfId="20212" xr:uid="{00000000-0005-0000-0000-00008D520000}"/>
    <cellStyle name="40% - Accent5 2 3 3 2" xfId="19366" xr:uid="{00000000-0005-0000-0000-00008E520000}"/>
    <cellStyle name="40% - Accent5 2 3 3 2 2" xfId="24100" xr:uid="{00000000-0005-0000-0000-00008F520000}"/>
    <cellStyle name="40% - Accent5 2 3 3 2 2 2" xfId="2201" xr:uid="{00000000-0005-0000-0000-000090520000}"/>
    <cellStyle name="40% - Accent5 2 3 3 2 2 2 2" xfId="19800" xr:uid="{00000000-0005-0000-0000-000091520000}"/>
    <cellStyle name="40% - Accent5 2 3 3 2 2 2 2 2" xfId="5060" xr:uid="{00000000-0005-0000-0000-000092520000}"/>
    <cellStyle name="40% - Accent5 2 3 3 2 2 2 2 2 2" xfId="3160" xr:uid="{00000000-0005-0000-0000-000093520000}"/>
    <cellStyle name="40% - Accent5 2 3 3 2 2 2 2 3" xfId="31963" xr:uid="{00000000-0005-0000-0000-000094520000}"/>
    <cellStyle name="40% - Accent5 2 3 3 2 2 2 3" xfId="11542" xr:uid="{00000000-0005-0000-0000-000095520000}"/>
    <cellStyle name="40% - Accent5 2 3 3 2 2 2 3 2" xfId="28162" xr:uid="{00000000-0005-0000-0000-000096520000}"/>
    <cellStyle name="40% - Accent5 2 3 3 2 2 2 4" xfId="27054" xr:uid="{00000000-0005-0000-0000-000097520000}"/>
    <cellStyle name="40% - Accent5 2 3 3 2 2 3" xfId="10997" xr:uid="{00000000-0005-0000-0000-000098520000}"/>
    <cellStyle name="40% - Accent5 2 3 3 2 2 3 2" xfId="19908" xr:uid="{00000000-0005-0000-0000-000099520000}"/>
    <cellStyle name="40% - Accent5 2 3 3 2 2 3 2 2" xfId="28183" xr:uid="{00000000-0005-0000-0000-00009A520000}"/>
    <cellStyle name="40% - Accent5 2 3 3 2 2 3 3" xfId="19946" xr:uid="{00000000-0005-0000-0000-00009B520000}"/>
    <cellStyle name="40% - Accent5 2 3 3 2 2 4" xfId="11004" xr:uid="{00000000-0005-0000-0000-00009C520000}"/>
    <cellStyle name="40% - Accent5 2 3 3 2 2 4 2" xfId="19973" xr:uid="{00000000-0005-0000-0000-00009D520000}"/>
    <cellStyle name="40% - Accent5 2 3 3 2 2 5" xfId="24104" xr:uid="{00000000-0005-0000-0000-00009E520000}"/>
    <cellStyle name="40% - Accent5 2 3 3 2 3" xfId="27872" xr:uid="{00000000-0005-0000-0000-00009F520000}"/>
    <cellStyle name="40% - Accent5 2 3 3 2 3 2" xfId="2217" xr:uid="{00000000-0005-0000-0000-0000A0520000}"/>
    <cellStyle name="40% - Accent5 2 3 3 2 3 2 2" xfId="26873" xr:uid="{00000000-0005-0000-0000-0000A1520000}"/>
    <cellStyle name="40% - Accent5 2 3 3 2 3 2 2 2" xfId="25704" xr:uid="{00000000-0005-0000-0000-0000A2520000}"/>
    <cellStyle name="40% - Accent5 2 3 3 2 3 2 3" xfId="11915" xr:uid="{00000000-0005-0000-0000-0000A3520000}"/>
    <cellStyle name="40% - Accent5 2 3 3 2 3 3" xfId="11007" xr:uid="{00000000-0005-0000-0000-0000A4520000}"/>
    <cellStyle name="40% - Accent5 2 3 3 2 3 3 2" xfId="20179" xr:uid="{00000000-0005-0000-0000-0000A5520000}"/>
    <cellStyle name="40% - Accent5 2 3 3 2 3 4" xfId="24106" xr:uid="{00000000-0005-0000-0000-0000A6520000}"/>
    <cellStyle name="40% - Accent5 2 3 3 2 4" xfId="24110" xr:uid="{00000000-0005-0000-0000-0000A7520000}"/>
    <cellStyle name="40% - Accent5 2 3 3 2 4 2" xfId="23855" xr:uid="{00000000-0005-0000-0000-0000A8520000}"/>
    <cellStyle name="40% - Accent5 2 3 3 2 4 2 2" xfId="20620" xr:uid="{00000000-0005-0000-0000-0000A9520000}"/>
    <cellStyle name="40% - Accent5 2 3 3 2 4 3" xfId="12711" xr:uid="{00000000-0005-0000-0000-0000AA520000}"/>
    <cellStyle name="40% - Accent5 2 3 3 2 5" xfId="24115" xr:uid="{00000000-0005-0000-0000-0000AB520000}"/>
    <cellStyle name="40% - Accent5 2 3 3 2 5 2" xfId="24116" xr:uid="{00000000-0005-0000-0000-0000AC520000}"/>
    <cellStyle name="40% - Accent5 2 3 3 2 6" xfId="13862" xr:uid="{00000000-0005-0000-0000-0000AD520000}"/>
    <cellStyle name="40% - Accent5 2 3 3 3" xfId="24121" xr:uid="{00000000-0005-0000-0000-0000AE520000}"/>
    <cellStyle name="40% - Accent5 2 3 3 3 2" xfId="24129" xr:uid="{00000000-0005-0000-0000-0000AF520000}"/>
    <cellStyle name="40% - Accent5 2 3 3 3 2 2" xfId="26850" xr:uid="{00000000-0005-0000-0000-0000B0520000}"/>
    <cellStyle name="40% - Accent5 2 3 3 3 2 2 2" xfId="22682" xr:uid="{00000000-0005-0000-0000-0000B1520000}"/>
    <cellStyle name="40% - Accent5 2 3 3 3 2 2 2 2" xfId="20324" xr:uid="{00000000-0005-0000-0000-0000B2520000}"/>
    <cellStyle name="40% - Accent5 2 3 3 3 2 2 3" xfId="22706" xr:uid="{00000000-0005-0000-0000-0000B3520000}"/>
    <cellStyle name="40% - Accent5 2 3 3 3 2 3" xfId="11026" xr:uid="{00000000-0005-0000-0000-0000B4520000}"/>
    <cellStyle name="40% - Accent5 2 3 3 3 2 3 2" xfId="20166" xr:uid="{00000000-0005-0000-0000-0000B5520000}"/>
    <cellStyle name="40% - Accent5 2 3 3 3 2 4" xfId="24134" xr:uid="{00000000-0005-0000-0000-0000B6520000}"/>
    <cellStyle name="40% - Accent5 2 3 3 3 3" xfId="24138" xr:uid="{00000000-0005-0000-0000-0000B7520000}"/>
    <cellStyle name="40% - Accent5 2 3 3 3 3 2" xfId="16024" xr:uid="{00000000-0005-0000-0000-0000B8520000}"/>
    <cellStyle name="40% - Accent5 2 3 3 3 3 2 2" xfId="22874" xr:uid="{00000000-0005-0000-0000-0000B9520000}"/>
    <cellStyle name="40% - Accent5 2 3 3 3 3 3" xfId="24144" xr:uid="{00000000-0005-0000-0000-0000BA520000}"/>
    <cellStyle name="40% - Accent5 2 3 3 3 4" xfId="23737" xr:uid="{00000000-0005-0000-0000-0000BB520000}"/>
    <cellStyle name="40% - Accent5 2 3 3 3 4 2" xfId="24151" xr:uid="{00000000-0005-0000-0000-0000BC520000}"/>
    <cellStyle name="40% - Accent5 2 3 3 3 5" xfId="23756" xr:uid="{00000000-0005-0000-0000-0000BD520000}"/>
    <cellStyle name="40% - Accent5 2 3 3 4" xfId="24154" xr:uid="{00000000-0005-0000-0000-0000BE520000}"/>
    <cellStyle name="40% - Accent5 2 3 3 4 2" xfId="29137" xr:uid="{00000000-0005-0000-0000-0000BF520000}"/>
    <cellStyle name="40% - Accent5 2 3 3 4 2 2" xfId="31431" xr:uid="{00000000-0005-0000-0000-0000C0520000}"/>
    <cellStyle name="40% - Accent5 2 3 3 4 2 2 2" xfId="24161" xr:uid="{00000000-0005-0000-0000-0000C1520000}"/>
    <cellStyle name="40% - Accent5 2 3 3 4 2 3" xfId="24164" xr:uid="{00000000-0005-0000-0000-0000C2520000}"/>
    <cellStyle name="40% - Accent5 2 3 3 4 3" xfId="28165" xr:uid="{00000000-0005-0000-0000-0000C3520000}"/>
    <cellStyle name="40% - Accent5 2 3 3 4 3 2" xfId="24171" xr:uid="{00000000-0005-0000-0000-0000C4520000}"/>
    <cellStyle name="40% - Accent5 2 3 3 4 4" xfId="23758" xr:uid="{00000000-0005-0000-0000-0000C5520000}"/>
    <cellStyle name="40% - Accent5 2 3 3 5" xfId="20254" xr:uid="{00000000-0005-0000-0000-0000C6520000}"/>
    <cellStyle name="40% - Accent5 2 3 3 5 2" xfId="24175" xr:uid="{00000000-0005-0000-0000-0000C7520000}"/>
    <cellStyle name="40% - Accent5 2 3 3 5 2 2" xfId="24176" xr:uid="{00000000-0005-0000-0000-0000C8520000}"/>
    <cellStyle name="40% - Accent5 2 3 3 5 3" xfId="24179" xr:uid="{00000000-0005-0000-0000-0000C9520000}"/>
    <cellStyle name="40% - Accent5 2 3 3 6" xfId="33775" xr:uid="{00000000-0005-0000-0000-0000CA520000}"/>
    <cellStyle name="40% - Accent5 2 3 3 6 2" xfId="384" xr:uid="{00000000-0005-0000-0000-0000CB520000}"/>
    <cellStyle name="40% - Accent5 2 3 3 7" xfId="24186" xr:uid="{00000000-0005-0000-0000-0000CC520000}"/>
    <cellStyle name="40% - Accent5 2 3 4" xfId="24188" xr:uid="{00000000-0005-0000-0000-0000CD520000}"/>
    <cellStyle name="40% - Accent5 2 3 4 2" xfId="19824" xr:uid="{00000000-0005-0000-0000-0000CE520000}"/>
    <cellStyle name="40% - Accent5 2 3 4 2 2" xfId="33959" xr:uid="{00000000-0005-0000-0000-0000CF520000}"/>
    <cellStyle name="40% - Accent5 2 3 4 2 2 2" xfId="2330" xr:uid="{00000000-0005-0000-0000-0000D0520000}"/>
    <cellStyle name="40% - Accent5 2 3 4 2 2 2 2" xfId="20429" xr:uid="{00000000-0005-0000-0000-0000D1520000}"/>
    <cellStyle name="40% - Accent5 2 3 4 2 2 2 2 2" xfId="7928" xr:uid="{00000000-0005-0000-0000-0000D2520000}"/>
    <cellStyle name="40% - Accent5 2 3 4 2 2 2 3" xfId="29186" xr:uid="{00000000-0005-0000-0000-0000D3520000}"/>
    <cellStyle name="40% - Accent5 2 3 4 2 2 3" xfId="11048" xr:uid="{00000000-0005-0000-0000-0000D4520000}"/>
    <cellStyle name="40% - Accent5 2 3 4 2 2 3 2" xfId="24189" xr:uid="{00000000-0005-0000-0000-0000D5520000}"/>
    <cellStyle name="40% - Accent5 2 3 4 2 2 4" xfId="9651" xr:uid="{00000000-0005-0000-0000-0000D6520000}"/>
    <cellStyle name="40% - Accent5 2 3 4 2 3" xfId="24194" xr:uid="{00000000-0005-0000-0000-0000D7520000}"/>
    <cellStyle name="40% - Accent5 2 3 4 2 3 2" xfId="2770" xr:uid="{00000000-0005-0000-0000-0000D8520000}"/>
    <cellStyle name="40% - Accent5 2 3 4 2 3 2 2" xfId="24200" xr:uid="{00000000-0005-0000-0000-0000D9520000}"/>
    <cellStyle name="40% - Accent5 2 3 4 2 3 3" xfId="24202" xr:uid="{00000000-0005-0000-0000-0000DA520000}"/>
    <cellStyle name="40% - Accent5 2 3 4 2 4" xfId="28482" xr:uid="{00000000-0005-0000-0000-0000DB520000}"/>
    <cellStyle name="40% - Accent5 2 3 4 2 4 2" xfId="29800" xr:uid="{00000000-0005-0000-0000-0000DC520000}"/>
    <cellStyle name="40% - Accent5 2 3 4 2 5" xfId="32627" xr:uid="{00000000-0005-0000-0000-0000DD520000}"/>
    <cellStyle name="40% - Accent5 2 3 4 3" xfId="24209" xr:uid="{00000000-0005-0000-0000-0000DE520000}"/>
    <cellStyle name="40% - Accent5 2 3 4 3 2" xfId="24210" xr:uid="{00000000-0005-0000-0000-0000DF520000}"/>
    <cellStyle name="40% - Accent5 2 3 4 3 2 2" xfId="28180" xr:uid="{00000000-0005-0000-0000-0000E0520000}"/>
    <cellStyle name="40% - Accent5 2 3 4 3 2 2 2" xfId="28096" xr:uid="{00000000-0005-0000-0000-0000E1520000}"/>
    <cellStyle name="40% - Accent5 2 3 4 3 2 3" xfId="11066" xr:uid="{00000000-0005-0000-0000-0000E2520000}"/>
    <cellStyle name="40% - Accent5 2 3 4 3 3" xfId="24214" xr:uid="{00000000-0005-0000-0000-0000E3520000}"/>
    <cellStyle name="40% - Accent5 2 3 4 3 3 2" xfId="268" xr:uid="{00000000-0005-0000-0000-0000E4520000}"/>
    <cellStyle name="40% - Accent5 2 3 4 3 4" xfId="30364" xr:uid="{00000000-0005-0000-0000-0000E5520000}"/>
    <cellStyle name="40% - Accent5 2 3 4 4" xfId="24218" xr:uid="{00000000-0005-0000-0000-0000E6520000}"/>
    <cellStyle name="40% - Accent5 2 3 4 4 2" xfId="31927" xr:uid="{00000000-0005-0000-0000-0000E7520000}"/>
    <cellStyle name="40% - Accent5 2 3 4 4 2 2" xfId="27074" xr:uid="{00000000-0005-0000-0000-0000E8520000}"/>
    <cellStyle name="40% - Accent5 2 3 4 4 3" xfId="12068" xr:uid="{00000000-0005-0000-0000-0000E9520000}"/>
    <cellStyle name="40% - Accent5 2 3 4 5" xfId="18756" xr:uid="{00000000-0005-0000-0000-0000EA520000}"/>
    <cellStyle name="40% - Accent5 2 3 4 5 2" xfId="28259" xr:uid="{00000000-0005-0000-0000-0000EB520000}"/>
    <cellStyle name="40% - Accent5 2 3 4 6" xfId="18760" xr:uid="{00000000-0005-0000-0000-0000EC520000}"/>
    <cellStyle name="40% - Accent5 2 3 5" xfId="24222" xr:uid="{00000000-0005-0000-0000-0000ED520000}"/>
    <cellStyle name="40% - Accent5 2 3 5 2" xfId="9511" xr:uid="{00000000-0005-0000-0000-0000EE520000}"/>
    <cellStyle name="40% - Accent5 2 3 5 2 2" xfId="24223" xr:uid="{00000000-0005-0000-0000-0000EF520000}"/>
    <cellStyle name="40% - Accent5 2 3 5 2 2 2" xfId="9244" xr:uid="{00000000-0005-0000-0000-0000F0520000}"/>
    <cellStyle name="40% - Accent5 2 3 5 2 2 2 2" xfId="10059" xr:uid="{00000000-0005-0000-0000-0000F1520000}"/>
    <cellStyle name="40% - Accent5 2 3 5 2 2 3" xfId="24224" xr:uid="{00000000-0005-0000-0000-0000F2520000}"/>
    <cellStyle name="40% - Accent5 2 3 5 2 3" xfId="24229" xr:uid="{00000000-0005-0000-0000-0000F3520000}"/>
    <cellStyle name="40% - Accent5 2 3 5 2 3 2" xfId="24233" xr:uid="{00000000-0005-0000-0000-0000F4520000}"/>
    <cellStyle name="40% - Accent5 2 3 5 2 4" xfId="27750" xr:uid="{00000000-0005-0000-0000-0000F5520000}"/>
    <cellStyle name="40% - Accent5 2 3 5 3" xfId="24238" xr:uid="{00000000-0005-0000-0000-0000F6520000}"/>
    <cellStyle name="40% - Accent5 2 3 5 3 2" xfId="24241" xr:uid="{00000000-0005-0000-0000-0000F7520000}"/>
    <cellStyle name="40% - Accent5 2 3 5 3 2 2" xfId="15361" xr:uid="{00000000-0005-0000-0000-0000F8520000}"/>
    <cellStyle name="40% - Accent5 2 3 5 3 3" xfId="24242" xr:uid="{00000000-0005-0000-0000-0000F9520000}"/>
    <cellStyle name="40% - Accent5 2 3 5 4" xfId="25528" xr:uid="{00000000-0005-0000-0000-0000FA520000}"/>
    <cellStyle name="40% - Accent5 2 3 5 4 2" xfId="23698" xr:uid="{00000000-0005-0000-0000-0000FB520000}"/>
    <cellStyle name="40% - Accent5 2 3 5 5" xfId="25533" xr:uid="{00000000-0005-0000-0000-0000FC520000}"/>
    <cellStyle name="40% - Accent5 2 3 6" xfId="24244" xr:uid="{00000000-0005-0000-0000-0000FD520000}"/>
    <cellStyle name="40% - Accent5 2 3 6 2" xfId="24246" xr:uid="{00000000-0005-0000-0000-0000FE520000}"/>
    <cellStyle name="40% - Accent5 2 3 6 2 2" xfId="24247" xr:uid="{00000000-0005-0000-0000-0000FF520000}"/>
    <cellStyle name="40% - Accent5 2 3 6 2 2 2" xfId="24251" xr:uid="{00000000-0005-0000-0000-000000530000}"/>
    <cellStyle name="40% - Accent5 2 3 6 2 3" xfId="24254" xr:uid="{00000000-0005-0000-0000-000001530000}"/>
    <cellStyle name="40% - Accent5 2 3 6 3" xfId="24257" xr:uid="{00000000-0005-0000-0000-000002530000}"/>
    <cellStyle name="40% - Accent5 2 3 6 3 2" xfId="24262" xr:uid="{00000000-0005-0000-0000-000003530000}"/>
    <cellStyle name="40% - Accent5 2 3 6 4" xfId="24267" xr:uid="{00000000-0005-0000-0000-000004530000}"/>
    <cellStyle name="40% - Accent5 2 3 7" xfId="6242" xr:uid="{00000000-0005-0000-0000-000005530000}"/>
    <cellStyle name="40% - Accent5 2 3 7 2" xfId="24270" xr:uid="{00000000-0005-0000-0000-000006530000}"/>
    <cellStyle name="40% - Accent5 2 3 7 2 2" xfId="24272" xr:uid="{00000000-0005-0000-0000-000007530000}"/>
    <cellStyle name="40% - Accent5 2 3 7 3" xfId="21444" xr:uid="{00000000-0005-0000-0000-000008530000}"/>
    <cellStyle name="40% - Accent5 2 3 8" xfId="16988" xr:uid="{00000000-0005-0000-0000-000009530000}"/>
    <cellStyle name="40% - Accent5 2 3 8 2" xfId="24276" xr:uid="{00000000-0005-0000-0000-00000A530000}"/>
    <cellStyle name="40% - Accent5 2 3 9" xfId="16992" xr:uid="{00000000-0005-0000-0000-00000B530000}"/>
    <cellStyle name="40% - Accent5 2 4" xfId="2660" xr:uid="{00000000-0005-0000-0000-00000C530000}"/>
    <cellStyle name="40% - Accent5 2 4 2" xfId="7629" xr:uid="{00000000-0005-0000-0000-00000D530000}"/>
    <cellStyle name="40% - Accent5 2 4 2 2" xfId="7632" xr:uid="{00000000-0005-0000-0000-00000E530000}"/>
    <cellStyle name="40% - Accent5 2 4 2 2 2" xfId="24279" xr:uid="{00000000-0005-0000-0000-00000F530000}"/>
    <cellStyle name="40% - Accent5 2 4 2 2 2 2" xfId="28163" xr:uid="{00000000-0005-0000-0000-000010530000}"/>
    <cellStyle name="40% - Accent5 2 4 2 2 2 2 2" xfId="21930" xr:uid="{00000000-0005-0000-0000-000011530000}"/>
    <cellStyle name="40% - Accent5 2 4 2 2 2 2 2 2" xfId="27582" xr:uid="{00000000-0005-0000-0000-000012530000}"/>
    <cellStyle name="40% - Accent5 2 4 2 2 2 2 2 2 2" xfId="24282" xr:uid="{00000000-0005-0000-0000-000013530000}"/>
    <cellStyle name="40% - Accent5 2 4 2 2 2 2 2 3" xfId="26351" xr:uid="{00000000-0005-0000-0000-000014530000}"/>
    <cellStyle name="40% - Accent5 2 4 2 2 2 2 3" xfId="21932" xr:uid="{00000000-0005-0000-0000-000015530000}"/>
    <cellStyle name="40% - Accent5 2 4 2 2 2 2 3 2" xfId="24285" xr:uid="{00000000-0005-0000-0000-000016530000}"/>
    <cellStyle name="40% - Accent5 2 4 2 2 2 2 4" xfId="24287" xr:uid="{00000000-0005-0000-0000-000017530000}"/>
    <cellStyle name="40% - Accent5 2 4 2 2 2 3" xfId="9312" xr:uid="{00000000-0005-0000-0000-000018530000}"/>
    <cellStyle name="40% - Accent5 2 4 2 2 2 3 2" xfId="21936" xr:uid="{00000000-0005-0000-0000-000019530000}"/>
    <cellStyle name="40% - Accent5 2 4 2 2 2 3 2 2" xfId="31716" xr:uid="{00000000-0005-0000-0000-00001A530000}"/>
    <cellStyle name="40% - Accent5 2 4 2 2 2 3 3" xfId="30064" xr:uid="{00000000-0005-0000-0000-00001B530000}"/>
    <cellStyle name="40% - Accent5 2 4 2 2 2 4" xfId="13478" xr:uid="{00000000-0005-0000-0000-00001C530000}"/>
    <cellStyle name="40% - Accent5 2 4 2 2 2 4 2" xfId="24292" xr:uid="{00000000-0005-0000-0000-00001D530000}"/>
    <cellStyle name="40% - Accent5 2 4 2 2 2 5" xfId="2899" xr:uid="{00000000-0005-0000-0000-00001E530000}"/>
    <cellStyle name="40% - Accent5 2 4 2 2 3" xfId="30445" xr:uid="{00000000-0005-0000-0000-00001F530000}"/>
    <cellStyle name="40% - Accent5 2 4 2 2 3 2" xfId="9319" xr:uid="{00000000-0005-0000-0000-000020530000}"/>
    <cellStyle name="40% - Accent5 2 4 2 2 3 2 2" xfId="21946" xr:uid="{00000000-0005-0000-0000-000021530000}"/>
    <cellStyle name="40% - Accent5 2 4 2 2 3 2 2 2" xfId="13639" xr:uid="{00000000-0005-0000-0000-000022530000}"/>
    <cellStyle name="40% - Accent5 2 4 2 2 3 2 3" xfId="11054" xr:uid="{00000000-0005-0000-0000-000023530000}"/>
    <cellStyle name="40% - Accent5 2 4 2 2 3 3" xfId="9409" xr:uid="{00000000-0005-0000-0000-000024530000}"/>
    <cellStyle name="40% - Accent5 2 4 2 2 3 3 2" xfId="30222" xr:uid="{00000000-0005-0000-0000-000025530000}"/>
    <cellStyle name="40% - Accent5 2 4 2 2 3 4" xfId="2966" xr:uid="{00000000-0005-0000-0000-000026530000}"/>
    <cellStyle name="40% - Accent5 2 4 2 2 4" xfId="24296" xr:uid="{00000000-0005-0000-0000-000027530000}"/>
    <cellStyle name="40% - Accent5 2 4 2 2 4 2" xfId="29023" xr:uid="{00000000-0005-0000-0000-000028530000}"/>
    <cellStyle name="40% - Accent5 2 4 2 2 4 2 2" xfId="24364" xr:uid="{00000000-0005-0000-0000-000029530000}"/>
    <cellStyle name="40% - Accent5 2 4 2 2 4 3" xfId="32845" xr:uid="{00000000-0005-0000-0000-00002A530000}"/>
    <cellStyle name="40% - Accent5 2 4 2 2 5" xfId="7106" xr:uid="{00000000-0005-0000-0000-00002B530000}"/>
    <cellStyle name="40% - Accent5 2 4 2 2 5 2" xfId="8994" xr:uid="{00000000-0005-0000-0000-00002C530000}"/>
    <cellStyle name="40% - Accent5 2 4 2 2 6" xfId="18551" xr:uid="{00000000-0005-0000-0000-00002D530000}"/>
    <cellStyle name="40% - Accent5 2 4 2 3" xfId="24297" xr:uid="{00000000-0005-0000-0000-00002E530000}"/>
    <cellStyle name="40% - Accent5 2 4 2 3 2" xfId="32869" xr:uid="{00000000-0005-0000-0000-00002F530000}"/>
    <cellStyle name="40% - Accent5 2 4 2 3 2 2" xfId="11" xr:uid="{00000000-0005-0000-0000-000030530000}"/>
    <cellStyle name="40% - Accent5 2 4 2 3 2 2 2" xfId="28398" xr:uid="{00000000-0005-0000-0000-000031530000}"/>
    <cellStyle name="40% - Accent5 2 4 2 3 2 2 2 2" xfId="2329" xr:uid="{00000000-0005-0000-0000-000032530000}"/>
    <cellStyle name="40% - Accent5 2 4 2 3 2 2 3" xfId="31045" xr:uid="{00000000-0005-0000-0000-000033530000}"/>
    <cellStyle name="40% - Accent5 2 4 2 3 2 3" xfId="9022" xr:uid="{00000000-0005-0000-0000-000034530000}"/>
    <cellStyle name="40% - Accent5 2 4 2 3 2 3 2" xfId="22746" xr:uid="{00000000-0005-0000-0000-000035530000}"/>
    <cellStyle name="40% - Accent5 2 4 2 3 2 4" xfId="3081" xr:uid="{00000000-0005-0000-0000-000036530000}"/>
    <cellStyle name="40% - Accent5 2 4 2 3 3" xfId="24299" xr:uid="{00000000-0005-0000-0000-000037530000}"/>
    <cellStyle name="40% - Accent5 2 4 2 3 3 2" xfId="519" xr:uid="{00000000-0005-0000-0000-000038530000}"/>
    <cellStyle name="40% - Accent5 2 4 2 3 3 2 2" xfId="31057" xr:uid="{00000000-0005-0000-0000-000039530000}"/>
    <cellStyle name="40% - Accent5 2 4 2 3 3 3" xfId="28342" xr:uid="{00000000-0005-0000-0000-00003A530000}"/>
    <cellStyle name="40% - Accent5 2 4 2 3 4" xfId="23827" xr:uid="{00000000-0005-0000-0000-00003B530000}"/>
    <cellStyle name="40% - Accent5 2 4 2 3 4 2" xfId="31048" xr:uid="{00000000-0005-0000-0000-00003C530000}"/>
    <cellStyle name="40% - Accent5 2 4 2 3 5" xfId="23836" xr:uid="{00000000-0005-0000-0000-00003D530000}"/>
    <cellStyle name="40% - Accent5 2 4 2 4" xfId="24305" xr:uid="{00000000-0005-0000-0000-00003E530000}"/>
    <cellStyle name="40% - Accent5 2 4 2 4 2" xfId="30056" xr:uid="{00000000-0005-0000-0000-00003F530000}"/>
    <cellStyle name="40% - Accent5 2 4 2 4 2 2" xfId="8073" xr:uid="{00000000-0005-0000-0000-000040530000}"/>
    <cellStyle name="40% - Accent5 2 4 2 4 2 2 2" xfId="264" xr:uid="{00000000-0005-0000-0000-000041530000}"/>
    <cellStyle name="40% - Accent5 2 4 2 4 2 3" xfId="24309" xr:uid="{00000000-0005-0000-0000-000042530000}"/>
    <cellStyle name="40% - Accent5 2 4 2 4 3" xfId="24311" xr:uid="{00000000-0005-0000-0000-000043530000}"/>
    <cellStyle name="40% - Accent5 2 4 2 4 3 2" xfId="17020" xr:uid="{00000000-0005-0000-0000-000044530000}"/>
    <cellStyle name="40% - Accent5 2 4 2 4 4" xfId="23845" xr:uid="{00000000-0005-0000-0000-000045530000}"/>
    <cellStyle name="40% - Accent5 2 4 2 5" xfId="33578" xr:uid="{00000000-0005-0000-0000-000046530000}"/>
    <cellStyle name="40% - Accent5 2 4 2 5 2" xfId="20956" xr:uid="{00000000-0005-0000-0000-000047530000}"/>
    <cellStyle name="40% - Accent5 2 4 2 5 2 2" xfId="14287" xr:uid="{00000000-0005-0000-0000-000048530000}"/>
    <cellStyle name="40% - Accent5 2 4 2 5 3" xfId="24323" xr:uid="{00000000-0005-0000-0000-000049530000}"/>
    <cellStyle name="40% - Accent5 2 4 2 6" xfId="28331" xr:uid="{00000000-0005-0000-0000-00004A530000}"/>
    <cellStyle name="40% - Accent5 2 4 2 6 2" xfId="30119" xr:uid="{00000000-0005-0000-0000-00004B530000}"/>
    <cellStyle name="40% - Accent5 2 4 2 7" xfId="21938" xr:uid="{00000000-0005-0000-0000-00004C530000}"/>
    <cellStyle name="40% - Accent5 2 4 3" xfId="7641" xr:uid="{00000000-0005-0000-0000-00004D530000}"/>
    <cellStyle name="40% - Accent5 2 4 3 2" xfId="24325" xr:uid="{00000000-0005-0000-0000-00004E530000}"/>
    <cellStyle name="40% - Accent5 2 4 3 2 2" xfId="33901" xr:uid="{00000000-0005-0000-0000-00004F530000}"/>
    <cellStyle name="40% - Accent5 2 4 3 2 2 2" xfId="9624" xr:uid="{00000000-0005-0000-0000-000050530000}"/>
    <cellStyle name="40% - Accent5 2 4 3 2 2 2 2" xfId="8400" xr:uid="{00000000-0005-0000-0000-000051530000}"/>
    <cellStyle name="40% - Accent5 2 4 3 2 2 2 2 2" xfId="21649" xr:uid="{00000000-0005-0000-0000-000052530000}"/>
    <cellStyle name="40% - Accent5 2 4 3 2 2 2 3" xfId="32428" xr:uid="{00000000-0005-0000-0000-000053530000}"/>
    <cellStyle name="40% - Accent5 2 4 3 2 2 3" xfId="11110" xr:uid="{00000000-0005-0000-0000-000054530000}"/>
    <cellStyle name="40% - Accent5 2 4 3 2 2 3 2" xfId="24328" xr:uid="{00000000-0005-0000-0000-000055530000}"/>
    <cellStyle name="40% - Accent5 2 4 3 2 2 4" xfId="22917" xr:uid="{00000000-0005-0000-0000-000056530000}"/>
    <cellStyle name="40% - Accent5 2 4 3 2 3" xfId="24331" xr:uid="{00000000-0005-0000-0000-000057530000}"/>
    <cellStyle name="40% - Accent5 2 4 3 2 3 2" xfId="9361" xr:uid="{00000000-0005-0000-0000-000058530000}"/>
    <cellStyle name="40% - Accent5 2 4 3 2 3 2 2" xfId="26526" xr:uid="{00000000-0005-0000-0000-000059530000}"/>
    <cellStyle name="40% - Accent5 2 4 3 2 3 3" xfId="19703" xr:uid="{00000000-0005-0000-0000-00005A530000}"/>
    <cellStyle name="40% - Accent5 2 4 3 2 4" xfId="24333" xr:uid="{00000000-0005-0000-0000-00005B530000}"/>
    <cellStyle name="40% - Accent5 2 4 3 2 4 2" xfId="3096" xr:uid="{00000000-0005-0000-0000-00005C530000}"/>
    <cellStyle name="40% - Accent5 2 4 3 2 5" xfId="32121" xr:uid="{00000000-0005-0000-0000-00005D530000}"/>
    <cellStyle name="40% - Accent5 2 4 3 3" xfId="27360" xr:uid="{00000000-0005-0000-0000-00005E530000}"/>
    <cellStyle name="40% - Accent5 2 4 3 3 2" xfId="24336" xr:uid="{00000000-0005-0000-0000-00005F530000}"/>
    <cellStyle name="40% - Accent5 2 4 3 3 2 2" xfId="2784" xr:uid="{00000000-0005-0000-0000-000060530000}"/>
    <cellStyle name="40% - Accent5 2 4 3 3 2 2 2" xfId="18528" xr:uid="{00000000-0005-0000-0000-000061530000}"/>
    <cellStyle name="40% - Accent5 2 4 3 3 2 3" xfId="19914" xr:uid="{00000000-0005-0000-0000-000062530000}"/>
    <cellStyle name="40% - Accent5 2 4 3 3 3" xfId="24339" xr:uid="{00000000-0005-0000-0000-000063530000}"/>
    <cellStyle name="40% - Accent5 2 4 3 3 3 2" xfId="31104" xr:uid="{00000000-0005-0000-0000-000064530000}"/>
    <cellStyle name="40% - Accent5 2 4 3 3 4" xfId="23852" xr:uid="{00000000-0005-0000-0000-000065530000}"/>
    <cellStyle name="40% - Accent5 2 4 3 4" xfId="24343" xr:uid="{00000000-0005-0000-0000-000066530000}"/>
    <cellStyle name="40% - Accent5 2 4 3 4 2" xfId="30219" xr:uid="{00000000-0005-0000-0000-000067530000}"/>
    <cellStyle name="40% - Accent5 2 4 3 4 2 2" xfId="13714" xr:uid="{00000000-0005-0000-0000-000068530000}"/>
    <cellStyle name="40% - Accent5 2 4 3 4 3" xfId="30223" xr:uid="{00000000-0005-0000-0000-000069530000}"/>
    <cellStyle name="40% - Accent5 2 4 3 5" xfId="21871" xr:uid="{00000000-0005-0000-0000-00006A530000}"/>
    <cellStyle name="40% - Accent5 2 4 3 5 2" xfId="30885" xr:uid="{00000000-0005-0000-0000-00006B530000}"/>
    <cellStyle name="40% - Accent5 2 4 3 6" xfId="31495" xr:uid="{00000000-0005-0000-0000-00006C530000}"/>
    <cellStyle name="40% - Accent5 2 4 4" xfId="1057" xr:uid="{00000000-0005-0000-0000-00006D530000}"/>
    <cellStyle name="40% - Accent5 2 4 4 2" xfId="2380" xr:uid="{00000000-0005-0000-0000-00006E530000}"/>
    <cellStyle name="40% - Accent5 2 4 4 2 2" xfId="2197" xr:uid="{00000000-0005-0000-0000-00006F530000}"/>
    <cellStyle name="40% - Accent5 2 4 4 2 2 2" xfId="13837" xr:uid="{00000000-0005-0000-0000-000070530000}"/>
    <cellStyle name="40% - Accent5 2 4 4 2 2 2 2" xfId="24350" xr:uid="{00000000-0005-0000-0000-000071530000}"/>
    <cellStyle name="40% - Accent5 2 4 4 2 2 3" xfId="24353" xr:uid="{00000000-0005-0000-0000-000072530000}"/>
    <cellStyle name="40% - Accent5 2 4 4 2 3" xfId="13280" xr:uid="{00000000-0005-0000-0000-000073530000}"/>
    <cellStyle name="40% - Accent5 2 4 4 2 3 2" xfId="24355" xr:uid="{00000000-0005-0000-0000-000074530000}"/>
    <cellStyle name="40% - Accent5 2 4 4 2 4" xfId="24356" xr:uid="{00000000-0005-0000-0000-000075530000}"/>
    <cellStyle name="40% - Accent5 2 4 4 3" xfId="2490" xr:uid="{00000000-0005-0000-0000-000076530000}"/>
    <cellStyle name="40% - Accent5 2 4 4 3 2" xfId="2500" xr:uid="{00000000-0005-0000-0000-000077530000}"/>
    <cellStyle name="40% - Accent5 2 4 4 3 2 2" xfId="24362" xr:uid="{00000000-0005-0000-0000-000078530000}"/>
    <cellStyle name="40% - Accent5 2 4 4 3 3" xfId="24367" xr:uid="{00000000-0005-0000-0000-000079530000}"/>
    <cellStyle name="40% - Accent5 2 4 4 4" xfId="3197" xr:uid="{00000000-0005-0000-0000-00007A530000}"/>
    <cellStyle name="40% - Accent5 2 4 4 4 2" xfId="32408" xr:uid="{00000000-0005-0000-0000-00007B530000}"/>
    <cellStyle name="40% - Accent5 2 4 4 5" xfId="18766" xr:uid="{00000000-0005-0000-0000-00007C530000}"/>
    <cellStyle name="40% - Accent5 2 4 5" xfId="24375" xr:uid="{00000000-0005-0000-0000-00007D530000}"/>
    <cellStyle name="40% - Accent5 2 4 5 2" xfId="2612" xr:uid="{00000000-0005-0000-0000-00007E530000}"/>
    <cellStyle name="40% - Accent5 2 4 5 2 2" xfId="2618" xr:uid="{00000000-0005-0000-0000-00007F530000}"/>
    <cellStyle name="40% - Accent5 2 4 5 2 2 2" xfId="24380" xr:uid="{00000000-0005-0000-0000-000080530000}"/>
    <cellStyle name="40% - Accent5 2 4 5 2 3" xfId="24386" xr:uid="{00000000-0005-0000-0000-000081530000}"/>
    <cellStyle name="40% - Accent5 2 4 5 3" xfId="2693" xr:uid="{00000000-0005-0000-0000-000082530000}"/>
    <cellStyle name="40% - Accent5 2 4 5 3 2" xfId="20273" xr:uid="{00000000-0005-0000-0000-000083530000}"/>
    <cellStyle name="40% - Accent5 2 4 5 4" xfId="20292" xr:uid="{00000000-0005-0000-0000-000084530000}"/>
    <cellStyle name="40% - Accent5 2 4 6" xfId="17924" xr:uid="{00000000-0005-0000-0000-000085530000}"/>
    <cellStyle name="40% - Accent5 2 4 6 2" xfId="16090" xr:uid="{00000000-0005-0000-0000-000086530000}"/>
    <cellStyle name="40% - Accent5 2 4 6 2 2" xfId="24401" xr:uid="{00000000-0005-0000-0000-000087530000}"/>
    <cellStyle name="40% - Accent5 2 4 6 3" xfId="522" xr:uid="{00000000-0005-0000-0000-000088530000}"/>
    <cellStyle name="40% - Accent5 2 4 7" xfId="24406" xr:uid="{00000000-0005-0000-0000-000089530000}"/>
    <cellStyle name="40% - Accent5 2 4 7 2" xfId="24407" xr:uid="{00000000-0005-0000-0000-00008A530000}"/>
    <cellStyle name="40% - Accent5 2 4 8" xfId="17004" xr:uid="{00000000-0005-0000-0000-00008B530000}"/>
    <cellStyle name="40% - Accent5 2 5" xfId="5920" xr:uid="{00000000-0005-0000-0000-00008C530000}"/>
    <cellStyle name="40% - Accent5 2 5 2" xfId="7725" xr:uid="{00000000-0005-0000-0000-00008D530000}"/>
    <cellStyle name="40% - Accent5 2 5 2 2" xfId="32523" xr:uid="{00000000-0005-0000-0000-00008E530000}"/>
    <cellStyle name="40% - Accent5 2 5 2 2 2" xfId="16830" xr:uid="{00000000-0005-0000-0000-00008F530000}"/>
    <cellStyle name="40% - Accent5 2 5 2 2 2 2" xfId="24656" xr:uid="{00000000-0005-0000-0000-000090530000}"/>
    <cellStyle name="40% - Accent5 2 5 2 2 2 2 2" xfId="11879" xr:uid="{00000000-0005-0000-0000-000091530000}"/>
    <cellStyle name="40% - Accent5 2 5 2 2 2 2 2 2" xfId="23648" xr:uid="{00000000-0005-0000-0000-000092530000}"/>
    <cellStyle name="40% - Accent5 2 5 2 2 2 2 3" xfId="21807" xr:uid="{00000000-0005-0000-0000-000093530000}"/>
    <cellStyle name="40% - Accent5 2 5 2 2 2 3" xfId="14294" xr:uid="{00000000-0005-0000-0000-000094530000}"/>
    <cellStyle name="40% - Accent5 2 5 2 2 2 3 2" xfId="27342" xr:uid="{00000000-0005-0000-0000-000095530000}"/>
    <cellStyle name="40% - Accent5 2 5 2 2 2 4" xfId="1886" xr:uid="{00000000-0005-0000-0000-000096530000}"/>
    <cellStyle name="40% - Accent5 2 5 2 2 3" xfId="19784" xr:uid="{00000000-0005-0000-0000-000097530000}"/>
    <cellStyle name="40% - Accent5 2 5 2 2 3 2" xfId="9450" xr:uid="{00000000-0005-0000-0000-000098530000}"/>
    <cellStyle name="40% - Accent5 2 5 2 2 3 2 2" xfId="27372" xr:uid="{00000000-0005-0000-0000-000099530000}"/>
    <cellStyle name="40% - Accent5 2 5 2 2 3 3" xfId="24410" xr:uid="{00000000-0005-0000-0000-00009A530000}"/>
    <cellStyle name="40% - Accent5 2 5 2 2 4" xfId="30261" xr:uid="{00000000-0005-0000-0000-00009B530000}"/>
    <cellStyle name="40% - Accent5 2 5 2 2 4 2" xfId="24412" xr:uid="{00000000-0005-0000-0000-00009C530000}"/>
    <cellStyle name="40% - Accent5 2 5 2 2 5" xfId="24415" xr:uid="{00000000-0005-0000-0000-00009D530000}"/>
    <cellStyle name="40% - Accent5 2 5 2 3" xfId="33783" xr:uid="{00000000-0005-0000-0000-00009E530000}"/>
    <cellStyle name="40% - Accent5 2 5 2 3 2" xfId="22676" xr:uid="{00000000-0005-0000-0000-00009F530000}"/>
    <cellStyle name="40% - Accent5 2 5 2 3 2 2" xfId="3001" xr:uid="{00000000-0005-0000-0000-0000A0530000}"/>
    <cellStyle name="40% - Accent5 2 5 2 3 2 2 2" xfId="26462" xr:uid="{00000000-0005-0000-0000-0000A1530000}"/>
    <cellStyle name="40% - Accent5 2 5 2 3 2 3" xfId="3795" xr:uid="{00000000-0005-0000-0000-0000A2530000}"/>
    <cellStyle name="40% - Accent5 2 5 2 3 3" xfId="24915" xr:uid="{00000000-0005-0000-0000-0000A3530000}"/>
    <cellStyle name="40% - Accent5 2 5 2 3 3 2" xfId="31219" xr:uid="{00000000-0005-0000-0000-0000A4530000}"/>
    <cellStyle name="40% - Accent5 2 5 2 3 4" xfId="25710" xr:uid="{00000000-0005-0000-0000-0000A5530000}"/>
    <cellStyle name="40% - Accent5 2 5 2 4" xfId="24417" xr:uid="{00000000-0005-0000-0000-0000A6530000}"/>
    <cellStyle name="40% - Accent5 2 5 2 4 2" xfId="24419" xr:uid="{00000000-0005-0000-0000-0000A7530000}"/>
    <cellStyle name="40% - Accent5 2 5 2 4 2 2" xfId="32117" xr:uid="{00000000-0005-0000-0000-0000A8530000}"/>
    <cellStyle name="40% - Accent5 2 5 2 4 3" xfId="21900" xr:uid="{00000000-0005-0000-0000-0000A9530000}"/>
    <cellStyle name="40% - Accent5 2 5 2 5" xfId="24421" xr:uid="{00000000-0005-0000-0000-0000AA530000}"/>
    <cellStyle name="40% - Accent5 2 5 2 5 2" xfId="24426" xr:uid="{00000000-0005-0000-0000-0000AB530000}"/>
    <cellStyle name="40% - Accent5 2 5 2 6" xfId="15417" xr:uid="{00000000-0005-0000-0000-0000AC530000}"/>
    <cellStyle name="40% - Accent5 2 5 3" xfId="20218" xr:uid="{00000000-0005-0000-0000-0000AD530000}"/>
    <cellStyle name="40% - Accent5 2 5 3 2" xfId="20967" xr:uid="{00000000-0005-0000-0000-0000AE530000}"/>
    <cellStyle name="40% - Accent5 2 5 3 2 2" xfId="6448" xr:uid="{00000000-0005-0000-0000-0000AF530000}"/>
    <cellStyle name="40% - Accent5 2 5 3 2 2 2" xfId="9477" xr:uid="{00000000-0005-0000-0000-0000B0530000}"/>
    <cellStyle name="40% - Accent5 2 5 3 2 2 2 2" xfId="24429" xr:uid="{00000000-0005-0000-0000-0000B1530000}"/>
    <cellStyle name="40% - Accent5 2 5 3 2 2 3" xfId="24432" xr:uid="{00000000-0005-0000-0000-0000B2530000}"/>
    <cellStyle name="40% - Accent5 2 5 3 2 3" xfId="24439" xr:uid="{00000000-0005-0000-0000-0000B3530000}"/>
    <cellStyle name="40% - Accent5 2 5 3 2 3 2" xfId="24443" xr:uid="{00000000-0005-0000-0000-0000B4530000}"/>
    <cellStyle name="40% - Accent5 2 5 3 2 4" xfId="24445" xr:uid="{00000000-0005-0000-0000-0000B5530000}"/>
    <cellStyle name="40% - Accent5 2 5 3 3" xfId="20228" xr:uid="{00000000-0005-0000-0000-0000B6530000}"/>
    <cellStyle name="40% - Accent5 2 5 3 3 2" xfId="24447" xr:uid="{00000000-0005-0000-0000-0000B7530000}"/>
    <cellStyle name="40% - Accent5 2 5 3 3 2 2" xfId="30605" xr:uid="{00000000-0005-0000-0000-0000B8530000}"/>
    <cellStyle name="40% - Accent5 2 5 3 3 3" xfId="24450" xr:uid="{00000000-0005-0000-0000-0000B9530000}"/>
    <cellStyle name="40% - Accent5 2 5 3 4" xfId="28947" xr:uid="{00000000-0005-0000-0000-0000BA530000}"/>
    <cellStyle name="40% - Accent5 2 5 3 4 2" xfId="19845" xr:uid="{00000000-0005-0000-0000-0000BB530000}"/>
    <cellStyle name="40% - Accent5 2 5 3 5" xfId="28949" xr:uid="{00000000-0005-0000-0000-0000BC530000}"/>
    <cellStyle name="40% - Accent5 2 5 4" xfId="20232" xr:uid="{00000000-0005-0000-0000-0000BD530000}"/>
    <cellStyle name="40% - Accent5 2 5 4 2" xfId="12759" xr:uid="{00000000-0005-0000-0000-0000BE530000}"/>
    <cellStyle name="40% - Accent5 2 5 4 2 2" xfId="3155" xr:uid="{00000000-0005-0000-0000-0000BF530000}"/>
    <cellStyle name="40% - Accent5 2 5 4 2 2 2" xfId="23982" xr:uid="{00000000-0005-0000-0000-0000C0530000}"/>
    <cellStyle name="40% - Accent5 2 5 4 2 3" xfId="24459" xr:uid="{00000000-0005-0000-0000-0000C1530000}"/>
    <cellStyle name="40% - Accent5 2 5 4 3" xfId="2901" xr:uid="{00000000-0005-0000-0000-0000C2530000}"/>
    <cellStyle name="40% - Accent5 2 5 4 3 2" xfId="26788" xr:uid="{00000000-0005-0000-0000-0000C3530000}"/>
    <cellStyle name="40% - Accent5 2 5 4 4" xfId="820" xr:uid="{00000000-0005-0000-0000-0000C4530000}"/>
    <cellStyle name="40% - Accent5 2 5 5" xfId="25068" xr:uid="{00000000-0005-0000-0000-0000C5530000}"/>
    <cellStyle name="40% - Accent5 2 5 5 2" xfId="2970" xr:uid="{00000000-0005-0000-0000-0000C6530000}"/>
    <cellStyle name="40% - Accent5 2 5 5 2 2" xfId="24467" xr:uid="{00000000-0005-0000-0000-0000C7530000}"/>
    <cellStyle name="40% - Accent5 2 5 5 3" xfId="28978" xr:uid="{00000000-0005-0000-0000-0000C8530000}"/>
    <cellStyle name="40% - Accent5 2 5 6" xfId="24470" xr:uid="{00000000-0005-0000-0000-0000C9530000}"/>
    <cellStyle name="40% - Accent5 2 5 6 2" xfId="24472" xr:uid="{00000000-0005-0000-0000-0000CA530000}"/>
    <cellStyle name="40% - Accent5 2 5 7" xfId="23192" xr:uid="{00000000-0005-0000-0000-0000CB530000}"/>
    <cellStyle name="40% - Accent5 2 6" xfId="24475" xr:uid="{00000000-0005-0000-0000-0000CC530000}"/>
    <cellStyle name="40% - Accent5 2 6 2" xfId="24481" xr:uid="{00000000-0005-0000-0000-0000CD530000}"/>
    <cellStyle name="40% - Accent5 2 6 2 2" xfId="24485" xr:uid="{00000000-0005-0000-0000-0000CE530000}"/>
    <cellStyle name="40% - Accent5 2 6 2 2 2" xfId="33139" xr:uid="{00000000-0005-0000-0000-0000CF530000}"/>
    <cellStyle name="40% - Accent5 2 6 2 2 2 2" xfId="9505" xr:uid="{00000000-0005-0000-0000-0000D0530000}"/>
    <cellStyle name="40% - Accent5 2 6 2 2 2 2 2" xfId="33277" xr:uid="{00000000-0005-0000-0000-0000D1530000}"/>
    <cellStyle name="40% - Accent5 2 6 2 2 2 3" xfId="24499" xr:uid="{00000000-0005-0000-0000-0000D2530000}"/>
    <cellStyle name="40% - Accent5 2 6 2 2 3" xfId="18259" xr:uid="{00000000-0005-0000-0000-0000D3530000}"/>
    <cellStyle name="40% - Accent5 2 6 2 2 3 2" xfId="24512" xr:uid="{00000000-0005-0000-0000-0000D4530000}"/>
    <cellStyle name="40% - Accent5 2 6 2 2 4" xfId="18262" xr:uid="{00000000-0005-0000-0000-0000D5530000}"/>
    <cellStyle name="40% - Accent5 2 6 2 3" xfId="24517" xr:uid="{00000000-0005-0000-0000-0000D6530000}"/>
    <cellStyle name="40% - Accent5 2 6 2 3 2" xfId="24526" xr:uid="{00000000-0005-0000-0000-0000D7530000}"/>
    <cellStyle name="40% - Accent5 2 6 2 3 2 2" xfId="24530" xr:uid="{00000000-0005-0000-0000-0000D8530000}"/>
    <cellStyle name="40% - Accent5 2 6 2 3 3" xfId="18266" xr:uid="{00000000-0005-0000-0000-0000D9530000}"/>
    <cellStyle name="40% - Accent5 2 6 2 4" xfId="3459" xr:uid="{00000000-0005-0000-0000-0000DA530000}"/>
    <cellStyle name="40% - Accent5 2 6 2 4 2" xfId="1769" xr:uid="{00000000-0005-0000-0000-0000DB530000}"/>
    <cellStyle name="40% - Accent5 2 6 2 5" xfId="10961" xr:uid="{00000000-0005-0000-0000-0000DC530000}"/>
    <cellStyle name="40% - Accent5 2 6 3" xfId="17018" xr:uid="{00000000-0005-0000-0000-0000DD530000}"/>
    <cellStyle name="40% - Accent5 2 6 3 2" xfId="20237" xr:uid="{00000000-0005-0000-0000-0000DE530000}"/>
    <cellStyle name="40% - Accent5 2 6 3 2 2" xfId="24536" xr:uid="{00000000-0005-0000-0000-0000DF530000}"/>
    <cellStyle name="40% - Accent5 2 6 3 2 2 2" xfId="15363" xr:uid="{00000000-0005-0000-0000-0000E0530000}"/>
    <cellStyle name="40% - Accent5 2 6 3 2 3" xfId="18280" xr:uid="{00000000-0005-0000-0000-0000E1530000}"/>
    <cellStyle name="40% - Accent5 2 6 3 3" xfId="24539" xr:uid="{00000000-0005-0000-0000-0000E2530000}"/>
    <cellStyle name="40% - Accent5 2 6 3 3 2" xfId="24541" xr:uid="{00000000-0005-0000-0000-0000E3530000}"/>
    <cellStyle name="40% - Accent5 2 6 3 4" xfId="3729" xr:uid="{00000000-0005-0000-0000-0000E4530000}"/>
    <cellStyle name="40% - Accent5 2 6 4" xfId="20250" xr:uid="{00000000-0005-0000-0000-0000E5530000}"/>
    <cellStyle name="40% - Accent5 2 6 4 2" xfId="3084" xr:uid="{00000000-0005-0000-0000-0000E6530000}"/>
    <cellStyle name="40% - Accent5 2 6 4 2 2" xfId="24554" xr:uid="{00000000-0005-0000-0000-0000E7530000}"/>
    <cellStyle name="40% - Accent5 2 6 4 3" xfId="24556" xr:uid="{00000000-0005-0000-0000-0000E8530000}"/>
    <cellStyle name="40% - Accent5 2 6 5" xfId="24558" xr:uid="{00000000-0005-0000-0000-0000E9530000}"/>
    <cellStyle name="40% - Accent5 2 6 5 2" xfId="24561" xr:uid="{00000000-0005-0000-0000-0000EA530000}"/>
    <cellStyle name="40% - Accent5 2 6 6" xfId="24566" xr:uid="{00000000-0005-0000-0000-0000EB530000}"/>
    <cellStyle name="40% - Accent5 2 7" xfId="24570" xr:uid="{00000000-0005-0000-0000-0000EC530000}"/>
    <cellStyle name="40% - Accent5 2 7 2" xfId="17068" xr:uid="{00000000-0005-0000-0000-0000ED530000}"/>
    <cellStyle name="40% - Accent5 2 7 2 2" xfId="24573" xr:uid="{00000000-0005-0000-0000-0000EE530000}"/>
    <cellStyle name="40% - Accent5 2 7 2 2 2" xfId="24580" xr:uid="{00000000-0005-0000-0000-0000EF530000}"/>
    <cellStyle name="40% - Accent5 2 7 2 2 2 2" xfId="17076" xr:uid="{00000000-0005-0000-0000-0000F0530000}"/>
    <cellStyle name="40% - Accent5 2 7 2 2 3" xfId="18310" xr:uid="{00000000-0005-0000-0000-0000F1530000}"/>
    <cellStyle name="40% - Accent5 2 7 2 3" xfId="24582" xr:uid="{00000000-0005-0000-0000-0000F2530000}"/>
    <cellStyle name="40% - Accent5 2 7 2 3 2" xfId="26877" xr:uid="{00000000-0005-0000-0000-0000F3530000}"/>
    <cellStyle name="40% - Accent5 2 7 2 4" xfId="3738" xr:uid="{00000000-0005-0000-0000-0000F4530000}"/>
    <cellStyle name="40% - Accent5 2 7 3" xfId="20258" xr:uid="{00000000-0005-0000-0000-0000F5530000}"/>
    <cellStyle name="40% - Accent5 2 7 3 2" xfId="24584" xr:uid="{00000000-0005-0000-0000-0000F6530000}"/>
    <cellStyle name="40% - Accent5 2 7 3 2 2" xfId="24588" xr:uid="{00000000-0005-0000-0000-0000F7530000}"/>
    <cellStyle name="40% - Accent5 2 7 3 3" xfId="24592" xr:uid="{00000000-0005-0000-0000-0000F8530000}"/>
    <cellStyle name="40% - Accent5 2 7 4" xfId="23956" xr:uid="{00000000-0005-0000-0000-0000F9530000}"/>
    <cellStyle name="40% - Accent5 2 7 4 2" xfId="25649" xr:uid="{00000000-0005-0000-0000-0000FA530000}"/>
    <cellStyle name="40% - Accent5 2 7 5" xfId="24594" xr:uid="{00000000-0005-0000-0000-0000FB530000}"/>
    <cellStyle name="40% - Accent5 2 8" xfId="16979" xr:uid="{00000000-0005-0000-0000-0000FC530000}"/>
    <cellStyle name="40% - Accent5 2 8 2" xfId="24597" xr:uid="{00000000-0005-0000-0000-0000FD530000}"/>
    <cellStyle name="40% - Accent5 2 8 2 2" xfId="30777" xr:uid="{00000000-0005-0000-0000-0000FE530000}"/>
    <cellStyle name="40% - Accent5 2 8 2 2 2" xfId="32473" xr:uid="{00000000-0005-0000-0000-0000FF530000}"/>
    <cellStyle name="40% - Accent5 2 8 2 3" xfId="32475" xr:uid="{00000000-0005-0000-0000-000000540000}"/>
    <cellStyle name="40% - Accent5 2 8 3" xfId="24606" xr:uid="{00000000-0005-0000-0000-000001540000}"/>
    <cellStyle name="40% - Accent5 2 8 3 2" xfId="24607" xr:uid="{00000000-0005-0000-0000-000002540000}"/>
    <cellStyle name="40% - Accent5 2 8 4" xfId="16587" xr:uid="{00000000-0005-0000-0000-000003540000}"/>
    <cellStyle name="40% - Accent5 2 9" xfId="24614" xr:uid="{00000000-0005-0000-0000-000004540000}"/>
    <cellStyle name="40% - Accent5 2 9 2" xfId="24618" xr:uid="{00000000-0005-0000-0000-000005540000}"/>
    <cellStyle name="40% - Accent5 2 9 2 2" xfId="24620" xr:uid="{00000000-0005-0000-0000-000006540000}"/>
    <cellStyle name="40% - Accent5 2 9 3" xfId="24622" xr:uid="{00000000-0005-0000-0000-000007540000}"/>
    <cellStyle name="40% - Accent5 3" xfId="24627" xr:uid="{00000000-0005-0000-0000-000008540000}"/>
    <cellStyle name="40% - Accent5 3 10" xfId="24630" xr:uid="{00000000-0005-0000-0000-000009540000}"/>
    <cellStyle name="40% - Accent5 3 2" xfId="24633" xr:uid="{00000000-0005-0000-0000-00000A540000}"/>
    <cellStyle name="40% - Accent5 3 2 2" xfId="24638" xr:uid="{00000000-0005-0000-0000-00000B540000}"/>
    <cellStyle name="40% - Accent5 3 2 2 2" xfId="25494" xr:uid="{00000000-0005-0000-0000-00000C540000}"/>
    <cellStyle name="40% - Accent5 3 2 2 2 2" xfId="7445" xr:uid="{00000000-0005-0000-0000-00000D540000}"/>
    <cellStyle name="40% - Accent5 3 2 2 2 2 2" xfId="7448" xr:uid="{00000000-0005-0000-0000-00000E540000}"/>
    <cellStyle name="40% - Accent5 3 2 2 2 2 2 2" xfId="10053" xr:uid="{00000000-0005-0000-0000-00000F540000}"/>
    <cellStyle name="40% - Accent5 3 2 2 2 2 2 2 2" xfId="24640" xr:uid="{00000000-0005-0000-0000-000010540000}"/>
    <cellStyle name="40% - Accent5 3 2 2 2 2 2 2 2 2" xfId="24644" xr:uid="{00000000-0005-0000-0000-000011540000}"/>
    <cellStyle name="40% - Accent5 3 2 2 2 2 2 2 2 2 2" xfId="2991" xr:uid="{00000000-0005-0000-0000-000012540000}"/>
    <cellStyle name="40% - Accent5 3 2 2 2 2 2 2 2 3" xfId="13557" xr:uid="{00000000-0005-0000-0000-000013540000}"/>
    <cellStyle name="40% - Accent5 3 2 2 2 2 2 2 3" xfId="24648" xr:uid="{00000000-0005-0000-0000-000014540000}"/>
    <cellStyle name="40% - Accent5 3 2 2 2 2 2 2 3 2" xfId="24651" xr:uid="{00000000-0005-0000-0000-000015540000}"/>
    <cellStyle name="40% - Accent5 3 2 2 2 2 2 2 4" xfId="5429" xr:uid="{00000000-0005-0000-0000-000016540000}"/>
    <cellStyle name="40% - Accent5 3 2 2 2 2 2 3" xfId="11653" xr:uid="{00000000-0005-0000-0000-000017540000}"/>
    <cellStyle name="40% - Accent5 3 2 2 2 2 2 3 2" xfId="24655" xr:uid="{00000000-0005-0000-0000-000018540000}"/>
    <cellStyle name="40% - Accent5 3 2 2 2 2 2 3 2 2" xfId="24666" xr:uid="{00000000-0005-0000-0000-000019540000}"/>
    <cellStyle name="40% - Accent5 3 2 2 2 2 2 3 3" xfId="24667" xr:uid="{00000000-0005-0000-0000-00001A540000}"/>
    <cellStyle name="40% - Accent5 3 2 2 2 2 2 4" xfId="978" xr:uid="{00000000-0005-0000-0000-00001B540000}"/>
    <cellStyle name="40% - Accent5 3 2 2 2 2 2 4 2" xfId="28390" xr:uid="{00000000-0005-0000-0000-00001C540000}"/>
    <cellStyle name="40% - Accent5 3 2 2 2 2 2 5" xfId="7919" xr:uid="{00000000-0005-0000-0000-00001D540000}"/>
    <cellStyle name="40% - Accent5 3 2 2 2 2 3" xfId="7450" xr:uid="{00000000-0005-0000-0000-00001E540000}"/>
    <cellStyle name="40% - Accent5 3 2 2 2 2 3 2" xfId="24108" xr:uid="{00000000-0005-0000-0000-00001F540000}"/>
    <cellStyle name="40% - Accent5 3 2 2 2 2 3 2 2" xfId="24669" xr:uid="{00000000-0005-0000-0000-000020540000}"/>
    <cellStyle name="40% - Accent5 3 2 2 2 2 3 2 2 2" xfId="23873" xr:uid="{00000000-0005-0000-0000-000021540000}"/>
    <cellStyle name="40% - Accent5 3 2 2 2 2 3 2 3" xfId="8984" xr:uid="{00000000-0005-0000-0000-000022540000}"/>
    <cellStyle name="40% - Accent5 3 2 2 2 2 3 3" xfId="999" xr:uid="{00000000-0005-0000-0000-000023540000}"/>
    <cellStyle name="40% - Accent5 3 2 2 2 2 3 3 2" xfId="24682" xr:uid="{00000000-0005-0000-0000-000024540000}"/>
    <cellStyle name="40% - Accent5 3 2 2 2 2 3 4" xfId="1004" xr:uid="{00000000-0005-0000-0000-000025540000}"/>
    <cellStyle name="40% - Accent5 3 2 2 2 2 4" xfId="30627" xr:uid="{00000000-0005-0000-0000-000026540000}"/>
    <cellStyle name="40% - Accent5 3 2 2 2 2 4 2" xfId="22827" xr:uid="{00000000-0005-0000-0000-000027540000}"/>
    <cellStyle name="40% - Accent5 3 2 2 2 2 4 2 2" xfId="24689" xr:uid="{00000000-0005-0000-0000-000028540000}"/>
    <cellStyle name="40% - Accent5 3 2 2 2 2 4 3" xfId="5762" xr:uid="{00000000-0005-0000-0000-000029540000}"/>
    <cellStyle name="40% - Accent5 3 2 2 2 2 5" xfId="22373" xr:uid="{00000000-0005-0000-0000-00002A540000}"/>
    <cellStyle name="40% - Accent5 3 2 2 2 2 5 2" xfId="24694" xr:uid="{00000000-0005-0000-0000-00002B540000}"/>
    <cellStyle name="40% - Accent5 3 2 2 2 2 6" xfId="24636" xr:uid="{00000000-0005-0000-0000-00002C540000}"/>
    <cellStyle name="40% - Accent5 3 2 2 2 3" xfId="6975" xr:uid="{00000000-0005-0000-0000-00002D540000}"/>
    <cellStyle name="40% - Accent5 3 2 2 2 3 2" xfId="7460" xr:uid="{00000000-0005-0000-0000-00002E540000}"/>
    <cellStyle name="40% - Accent5 3 2 2 2 3 2 2" xfId="10210" xr:uid="{00000000-0005-0000-0000-00002F540000}"/>
    <cellStyle name="40% - Accent5 3 2 2 2 3 2 2 2" xfId="12766" xr:uid="{00000000-0005-0000-0000-000030540000}"/>
    <cellStyle name="40% - Accent5 3 2 2 2 3 2 2 2 2" xfId="30725" xr:uid="{00000000-0005-0000-0000-000031540000}"/>
    <cellStyle name="40% - Accent5 3 2 2 2 3 2 2 3" xfId="12780" xr:uid="{00000000-0005-0000-0000-000032540000}"/>
    <cellStyle name="40% - Accent5 3 2 2 2 3 2 3" xfId="16656" xr:uid="{00000000-0005-0000-0000-000033540000}"/>
    <cellStyle name="40% - Accent5 3 2 2 2 3 2 3 2" xfId="12794" xr:uid="{00000000-0005-0000-0000-000034540000}"/>
    <cellStyle name="40% - Accent5 3 2 2 2 3 2 4" xfId="10106" xr:uid="{00000000-0005-0000-0000-000035540000}"/>
    <cellStyle name="40% - Accent5 3 2 2 2 3 3" xfId="7462" xr:uid="{00000000-0005-0000-0000-000036540000}"/>
    <cellStyle name="40% - Accent5 3 2 2 2 3 3 2" xfId="6660" xr:uid="{00000000-0005-0000-0000-000037540000}"/>
    <cellStyle name="40% - Accent5 3 2 2 2 3 3 2 2" xfId="12412" xr:uid="{00000000-0005-0000-0000-000038540000}"/>
    <cellStyle name="40% - Accent5 3 2 2 2 3 3 3" xfId="11816" xr:uid="{00000000-0005-0000-0000-000039540000}"/>
    <cellStyle name="40% - Accent5 3 2 2 2 3 4" xfId="13083" xr:uid="{00000000-0005-0000-0000-00003A540000}"/>
    <cellStyle name="40% - Accent5 3 2 2 2 3 4 2" xfId="23227" xr:uid="{00000000-0005-0000-0000-00003B540000}"/>
    <cellStyle name="40% - Accent5 3 2 2 2 3 5" xfId="13090" xr:uid="{00000000-0005-0000-0000-00003C540000}"/>
    <cellStyle name="40% - Accent5 3 2 2 2 4" xfId="6979" xr:uid="{00000000-0005-0000-0000-00003D540000}"/>
    <cellStyle name="40% - Accent5 3 2 2 2 4 2" xfId="8222" xr:uid="{00000000-0005-0000-0000-00003E540000}"/>
    <cellStyle name="40% - Accent5 3 2 2 2 4 2 2" xfId="10220" xr:uid="{00000000-0005-0000-0000-00003F540000}"/>
    <cellStyle name="40% - Accent5 3 2 2 2 4 2 2 2" xfId="8341" xr:uid="{00000000-0005-0000-0000-000040540000}"/>
    <cellStyle name="40% - Accent5 3 2 2 2 4 2 3" xfId="11531" xr:uid="{00000000-0005-0000-0000-000041540000}"/>
    <cellStyle name="40% - Accent5 3 2 2 2 4 3" xfId="7483" xr:uid="{00000000-0005-0000-0000-000042540000}"/>
    <cellStyle name="40% - Accent5 3 2 2 2 4 3 2" xfId="24289" xr:uid="{00000000-0005-0000-0000-000043540000}"/>
    <cellStyle name="40% - Accent5 3 2 2 2 4 4" xfId="28943" xr:uid="{00000000-0005-0000-0000-000044540000}"/>
    <cellStyle name="40% - Accent5 3 2 2 2 5" xfId="7488" xr:uid="{00000000-0005-0000-0000-000045540000}"/>
    <cellStyle name="40% - Accent5 3 2 2 2 5 2" xfId="7491" xr:uid="{00000000-0005-0000-0000-000046540000}"/>
    <cellStyle name="40% - Accent5 3 2 2 2 5 2 2" xfId="24698" xr:uid="{00000000-0005-0000-0000-000047540000}"/>
    <cellStyle name="40% - Accent5 3 2 2 2 5 3" xfId="28083" xr:uid="{00000000-0005-0000-0000-000048540000}"/>
    <cellStyle name="40% - Accent5 3 2 2 2 6" xfId="17121" xr:uid="{00000000-0005-0000-0000-000049540000}"/>
    <cellStyle name="40% - Accent5 3 2 2 2 6 2" xfId="31748" xr:uid="{00000000-0005-0000-0000-00004A540000}"/>
    <cellStyle name="40% - Accent5 3 2 2 2 7" xfId="30604" xr:uid="{00000000-0005-0000-0000-00004B540000}"/>
    <cellStyle name="40% - Accent5 3 2 2 3" xfId="24700" xr:uid="{00000000-0005-0000-0000-00004C540000}"/>
    <cellStyle name="40% - Accent5 3 2 2 3 2" xfId="33419" xr:uid="{00000000-0005-0000-0000-00004D540000}"/>
    <cellStyle name="40% - Accent5 3 2 2 3 2 2" xfId="14263" xr:uid="{00000000-0005-0000-0000-00004E540000}"/>
    <cellStyle name="40% - Accent5 3 2 2 3 2 2 2" xfId="10453" xr:uid="{00000000-0005-0000-0000-00004F540000}"/>
    <cellStyle name="40% - Accent5 3 2 2 3 2 2 2 2" xfId="24704" xr:uid="{00000000-0005-0000-0000-000050540000}"/>
    <cellStyle name="40% - Accent5 3 2 2 3 2 2 2 2 2" xfId="24708" xr:uid="{00000000-0005-0000-0000-000051540000}"/>
    <cellStyle name="40% - Accent5 3 2 2 3 2 2 2 3" xfId="22552" xr:uid="{00000000-0005-0000-0000-000052540000}"/>
    <cellStyle name="40% - Accent5 3 2 2 3 2 2 3" xfId="1792" xr:uid="{00000000-0005-0000-0000-000053540000}"/>
    <cellStyle name="40% - Accent5 3 2 2 3 2 2 3 2" xfId="24723" xr:uid="{00000000-0005-0000-0000-000054540000}"/>
    <cellStyle name="40% - Accent5 3 2 2 3 2 2 4" xfId="4964" xr:uid="{00000000-0005-0000-0000-000055540000}"/>
    <cellStyle name="40% - Accent5 3 2 2 3 2 3" xfId="14269" xr:uid="{00000000-0005-0000-0000-000056540000}"/>
    <cellStyle name="40% - Accent5 3 2 2 3 2 3 2" xfId="3669" xr:uid="{00000000-0005-0000-0000-000057540000}"/>
    <cellStyle name="40% - Accent5 3 2 2 3 2 3 2 2" xfId="24727" xr:uid="{00000000-0005-0000-0000-000058540000}"/>
    <cellStyle name="40% - Accent5 3 2 2 3 2 3 3" xfId="1137" xr:uid="{00000000-0005-0000-0000-000059540000}"/>
    <cellStyle name="40% - Accent5 3 2 2 3 2 4" xfId="13283" xr:uid="{00000000-0005-0000-0000-00005A540000}"/>
    <cellStyle name="40% - Accent5 3 2 2 3 2 4 2" xfId="18929" xr:uid="{00000000-0005-0000-0000-00005B540000}"/>
    <cellStyle name="40% - Accent5 3 2 2 3 2 5" xfId="13287" xr:uid="{00000000-0005-0000-0000-00005C540000}"/>
    <cellStyle name="40% - Accent5 3 2 2 3 3" xfId="14273" xr:uid="{00000000-0005-0000-0000-00005D540000}"/>
    <cellStyle name="40% - Accent5 3 2 2 3 3 2" xfId="14277" xr:uid="{00000000-0005-0000-0000-00005E540000}"/>
    <cellStyle name="40% - Accent5 3 2 2 3 3 2 2" xfId="6321" xr:uid="{00000000-0005-0000-0000-00005F540000}"/>
    <cellStyle name="40% - Accent5 3 2 2 3 3 2 2 2" xfId="31454" xr:uid="{00000000-0005-0000-0000-000060540000}"/>
    <cellStyle name="40% - Accent5 3 2 2 3 3 2 3" xfId="6333" xr:uid="{00000000-0005-0000-0000-000061540000}"/>
    <cellStyle name="40% - Accent5 3 2 2 3 3 3" xfId="8532" xr:uid="{00000000-0005-0000-0000-000062540000}"/>
    <cellStyle name="40% - Accent5 3 2 2 3 3 3 2" xfId="18945" xr:uid="{00000000-0005-0000-0000-000063540000}"/>
    <cellStyle name="40% - Accent5 3 2 2 3 3 4" xfId="13292" xr:uid="{00000000-0005-0000-0000-000064540000}"/>
    <cellStyle name="40% - Accent5 3 2 2 3 4" xfId="7809" xr:uid="{00000000-0005-0000-0000-000065540000}"/>
    <cellStyle name="40% - Accent5 3 2 2 3 4 2" xfId="7812" xr:uid="{00000000-0005-0000-0000-000066540000}"/>
    <cellStyle name="40% - Accent5 3 2 2 3 4 2 2" xfId="24731" xr:uid="{00000000-0005-0000-0000-000067540000}"/>
    <cellStyle name="40% - Accent5 3 2 2 3 4 3" xfId="3134" xr:uid="{00000000-0005-0000-0000-000068540000}"/>
    <cellStyle name="40% - Accent5 3 2 2 3 5" xfId="18651" xr:uid="{00000000-0005-0000-0000-000069540000}"/>
    <cellStyle name="40% - Accent5 3 2 2 3 5 2" xfId="24734" xr:uid="{00000000-0005-0000-0000-00006A540000}"/>
    <cellStyle name="40% - Accent5 3 2 2 3 6" xfId="9493" xr:uid="{00000000-0005-0000-0000-00006B540000}"/>
    <cellStyle name="40% - Accent5 3 2 2 4" xfId="29499" xr:uid="{00000000-0005-0000-0000-00006C540000}"/>
    <cellStyle name="40% - Accent5 3 2 2 4 2" xfId="7883" xr:uid="{00000000-0005-0000-0000-00006D540000}"/>
    <cellStyle name="40% - Accent5 3 2 2 4 2 2" xfId="5313" xr:uid="{00000000-0005-0000-0000-00006E540000}"/>
    <cellStyle name="40% - Accent5 3 2 2 4 2 2 2" xfId="3681" xr:uid="{00000000-0005-0000-0000-00006F540000}"/>
    <cellStyle name="40% - Accent5 3 2 2 4 2 2 2 2" xfId="32463" xr:uid="{00000000-0005-0000-0000-000070540000}"/>
    <cellStyle name="40% - Accent5 3 2 2 4 2 2 3" xfId="2891" xr:uid="{00000000-0005-0000-0000-000071540000}"/>
    <cellStyle name="40% - Accent5 3 2 2 4 2 3" xfId="7890" xr:uid="{00000000-0005-0000-0000-000072540000}"/>
    <cellStyle name="40% - Accent5 3 2 2 4 2 3 2" xfId="25159" xr:uid="{00000000-0005-0000-0000-000073540000}"/>
    <cellStyle name="40% - Accent5 3 2 2 4 2 4" xfId="28381" xr:uid="{00000000-0005-0000-0000-000074540000}"/>
    <cellStyle name="40% - Accent5 3 2 2 4 3" xfId="7897" xr:uid="{00000000-0005-0000-0000-000075540000}"/>
    <cellStyle name="40% - Accent5 3 2 2 4 3 2" xfId="7900" xr:uid="{00000000-0005-0000-0000-000076540000}"/>
    <cellStyle name="40% - Accent5 3 2 2 4 3 2 2" xfId="24739" xr:uid="{00000000-0005-0000-0000-000077540000}"/>
    <cellStyle name="40% - Accent5 3 2 2 4 3 3" xfId="3189" xr:uid="{00000000-0005-0000-0000-000078540000}"/>
    <cellStyle name="40% - Accent5 3 2 2 4 4" xfId="2090" xr:uid="{00000000-0005-0000-0000-000079540000}"/>
    <cellStyle name="40% - Accent5 3 2 2 4 4 2" xfId="30773" xr:uid="{00000000-0005-0000-0000-00007A540000}"/>
    <cellStyle name="40% - Accent5 3 2 2 4 5" xfId="28112" xr:uid="{00000000-0005-0000-0000-00007B540000}"/>
    <cellStyle name="40% - Accent5 3 2 2 5" xfId="29509" xr:uid="{00000000-0005-0000-0000-00007C540000}"/>
    <cellStyle name="40% - Accent5 3 2 2 5 2" xfId="7939" xr:uid="{00000000-0005-0000-0000-00007D540000}"/>
    <cellStyle name="40% - Accent5 3 2 2 5 2 2" xfId="1996" xr:uid="{00000000-0005-0000-0000-00007E540000}"/>
    <cellStyle name="40% - Accent5 3 2 2 5 2 2 2" xfId="25681" xr:uid="{00000000-0005-0000-0000-00007F540000}"/>
    <cellStyle name="40% - Accent5 3 2 2 5 2 3" xfId="7389" xr:uid="{00000000-0005-0000-0000-000080540000}"/>
    <cellStyle name="40% - Accent5 3 2 2 5 3" xfId="13680" xr:uid="{00000000-0005-0000-0000-000081540000}"/>
    <cellStyle name="40% - Accent5 3 2 2 5 3 2" xfId="24742" xr:uid="{00000000-0005-0000-0000-000082540000}"/>
    <cellStyle name="40% - Accent5 3 2 2 5 4" xfId="9138" xr:uid="{00000000-0005-0000-0000-000083540000}"/>
    <cellStyle name="40% - Accent5 3 2 2 6" xfId="33522" xr:uid="{00000000-0005-0000-0000-000084540000}"/>
    <cellStyle name="40% - Accent5 3 2 2 6 2" xfId="7970" xr:uid="{00000000-0005-0000-0000-000085540000}"/>
    <cellStyle name="40% - Accent5 3 2 2 6 2 2" xfId="4906" xr:uid="{00000000-0005-0000-0000-000086540000}"/>
    <cellStyle name="40% - Accent5 3 2 2 6 3" xfId="24747" xr:uid="{00000000-0005-0000-0000-000087540000}"/>
    <cellStyle name="40% - Accent5 3 2 2 7" xfId="24755" xr:uid="{00000000-0005-0000-0000-000088540000}"/>
    <cellStyle name="40% - Accent5 3 2 2 7 2" xfId="32658" xr:uid="{00000000-0005-0000-0000-000089540000}"/>
    <cellStyle name="40% - Accent5 3 2 2 8" xfId="25666" xr:uid="{00000000-0005-0000-0000-00008A540000}"/>
    <cellStyle name="40% - Accent5 3 2 3" xfId="24757" xr:uid="{00000000-0005-0000-0000-00008B540000}"/>
    <cellStyle name="40% - Accent5 3 2 3 2" xfId="19415" xr:uid="{00000000-0005-0000-0000-00008C540000}"/>
    <cellStyle name="40% - Accent5 3 2 3 2 2" xfId="2302" xr:uid="{00000000-0005-0000-0000-00008D540000}"/>
    <cellStyle name="40% - Accent5 3 2 3 2 2 2" xfId="8410" xr:uid="{00000000-0005-0000-0000-00008E540000}"/>
    <cellStyle name="40% - Accent5 3 2 3 2 2 2 2" xfId="28751" xr:uid="{00000000-0005-0000-0000-00008F540000}"/>
    <cellStyle name="40% - Accent5 3 2 3 2 2 2 2 2" xfId="24758" xr:uid="{00000000-0005-0000-0000-000090540000}"/>
    <cellStyle name="40% - Accent5 3 2 3 2 2 2 2 2 2" xfId="24763" xr:uid="{00000000-0005-0000-0000-000091540000}"/>
    <cellStyle name="40% - Accent5 3 2 3 2 2 2 2 3" xfId="24767" xr:uid="{00000000-0005-0000-0000-000092540000}"/>
    <cellStyle name="40% - Accent5 3 2 3 2 2 2 3" xfId="5956" xr:uid="{00000000-0005-0000-0000-000093540000}"/>
    <cellStyle name="40% - Accent5 3 2 3 2 2 2 3 2" xfId="20936" xr:uid="{00000000-0005-0000-0000-000094540000}"/>
    <cellStyle name="40% - Accent5 3 2 3 2 2 2 4" xfId="607" xr:uid="{00000000-0005-0000-0000-000095540000}"/>
    <cellStyle name="40% - Accent5 3 2 3 2 2 3" xfId="25689" xr:uid="{00000000-0005-0000-0000-000096540000}"/>
    <cellStyle name="40% - Accent5 3 2 3 2 2 3 2" xfId="6299" xr:uid="{00000000-0005-0000-0000-000097540000}"/>
    <cellStyle name="40% - Accent5 3 2 3 2 2 3 2 2" xfId="28847" xr:uid="{00000000-0005-0000-0000-000098540000}"/>
    <cellStyle name="40% - Accent5 3 2 3 2 2 3 3" xfId="33012" xr:uid="{00000000-0005-0000-0000-000099540000}"/>
    <cellStyle name="40% - Accent5 3 2 3 2 2 4" xfId="25694" xr:uid="{00000000-0005-0000-0000-00009A540000}"/>
    <cellStyle name="40% - Accent5 3 2 3 2 2 4 2" xfId="5892" xr:uid="{00000000-0005-0000-0000-00009B540000}"/>
    <cellStyle name="40% - Accent5 3 2 3 2 2 5" xfId="24392" xr:uid="{00000000-0005-0000-0000-00009C540000}"/>
    <cellStyle name="40% - Accent5 3 2 3 2 3" xfId="6985" xr:uid="{00000000-0005-0000-0000-00009D540000}"/>
    <cellStyle name="40% - Accent5 3 2 3 2 3 2" xfId="8424" xr:uid="{00000000-0005-0000-0000-00009E540000}"/>
    <cellStyle name="40% - Accent5 3 2 3 2 3 2 2" xfId="10301" xr:uid="{00000000-0005-0000-0000-00009F540000}"/>
    <cellStyle name="40% - Accent5 3 2 3 2 3 2 2 2" xfId="4692" xr:uid="{00000000-0005-0000-0000-0000A0540000}"/>
    <cellStyle name="40% - Accent5 3 2 3 2 3 2 3" xfId="25393" xr:uid="{00000000-0005-0000-0000-0000A1540000}"/>
    <cellStyle name="40% - Accent5 3 2 3 2 3 3" xfId="9832" xr:uid="{00000000-0005-0000-0000-0000A2540000}"/>
    <cellStyle name="40% - Accent5 3 2 3 2 3 3 2" xfId="3829" xr:uid="{00000000-0005-0000-0000-0000A3540000}"/>
    <cellStyle name="40% - Accent5 3 2 3 2 3 4" xfId="24771" xr:uid="{00000000-0005-0000-0000-0000A4540000}"/>
    <cellStyle name="40% - Accent5 3 2 3 2 4" xfId="30439" xr:uid="{00000000-0005-0000-0000-0000A5540000}"/>
    <cellStyle name="40% - Accent5 3 2 3 2 4 2" xfId="14103" xr:uid="{00000000-0005-0000-0000-0000A6540000}"/>
    <cellStyle name="40% - Accent5 3 2 3 2 4 2 2" xfId="10390" xr:uid="{00000000-0005-0000-0000-0000A7540000}"/>
    <cellStyle name="40% - Accent5 3 2 3 2 4 3" xfId="6470" xr:uid="{00000000-0005-0000-0000-0000A8540000}"/>
    <cellStyle name="40% - Accent5 3 2 3 2 5" xfId="8431" xr:uid="{00000000-0005-0000-0000-0000A9540000}"/>
    <cellStyle name="40% - Accent5 3 2 3 2 5 2" xfId="24776" xr:uid="{00000000-0005-0000-0000-0000AA540000}"/>
    <cellStyle name="40% - Accent5 3 2 3 2 6" xfId="27388" xr:uid="{00000000-0005-0000-0000-0000AB540000}"/>
    <cellStyle name="40% - Accent5 3 2 3 3" xfId="24778" xr:uid="{00000000-0005-0000-0000-0000AC540000}"/>
    <cellStyle name="40% - Accent5 3 2 3 3 2" xfId="7543" xr:uid="{00000000-0005-0000-0000-0000AD540000}"/>
    <cellStyle name="40% - Accent5 3 2 3 3 2 2" xfId="7549" xr:uid="{00000000-0005-0000-0000-0000AE540000}"/>
    <cellStyle name="40% - Accent5 3 2 3 3 2 2 2" xfId="3719" xr:uid="{00000000-0005-0000-0000-0000AF540000}"/>
    <cellStyle name="40% - Accent5 3 2 3 3 2 2 2 2" xfId="24783" xr:uid="{00000000-0005-0000-0000-0000B0540000}"/>
    <cellStyle name="40% - Accent5 3 2 3 3 2 2 3" xfId="5174" xr:uid="{00000000-0005-0000-0000-0000B1540000}"/>
    <cellStyle name="40% - Accent5 3 2 3 3 2 3" xfId="7565" xr:uid="{00000000-0005-0000-0000-0000B2540000}"/>
    <cellStyle name="40% - Accent5 3 2 3 3 2 3 2" xfId="32819" xr:uid="{00000000-0005-0000-0000-0000B3540000}"/>
    <cellStyle name="40% - Accent5 3 2 3 3 2 4" xfId="3868" xr:uid="{00000000-0005-0000-0000-0000B4540000}"/>
    <cellStyle name="40% - Accent5 3 2 3 3 3" xfId="7575" xr:uid="{00000000-0005-0000-0000-0000B5540000}"/>
    <cellStyle name="40% - Accent5 3 2 3 3 3 2" xfId="7585" xr:uid="{00000000-0005-0000-0000-0000B6540000}"/>
    <cellStyle name="40% - Accent5 3 2 3 3 3 2 2" xfId="2582" xr:uid="{00000000-0005-0000-0000-0000B7540000}"/>
    <cellStyle name="40% - Accent5 3 2 3 3 3 3" xfId="1284" xr:uid="{00000000-0005-0000-0000-0000B8540000}"/>
    <cellStyle name="40% - Accent5 3 2 3 3 4" xfId="5357" xr:uid="{00000000-0005-0000-0000-0000B9540000}"/>
    <cellStyle name="40% - Accent5 3 2 3 3 4 2" xfId="24784" xr:uid="{00000000-0005-0000-0000-0000BA540000}"/>
    <cellStyle name="40% - Accent5 3 2 3 3 5" xfId="5075" xr:uid="{00000000-0005-0000-0000-0000BB540000}"/>
    <cellStyle name="40% - Accent5 3 2 3 4" xfId="29065" xr:uid="{00000000-0005-0000-0000-0000BC540000}"/>
    <cellStyle name="40% - Accent5 3 2 3 4 2" xfId="7607" xr:uid="{00000000-0005-0000-0000-0000BD540000}"/>
    <cellStyle name="40% - Accent5 3 2 3 4 2 2" xfId="7610" xr:uid="{00000000-0005-0000-0000-0000BE540000}"/>
    <cellStyle name="40% - Accent5 3 2 3 4 2 2 2" xfId="24788" xr:uid="{00000000-0005-0000-0000-0000BF540000}"/>
    <cellStyle name="40% - Accent5 3 2 3 4 2 3" xfId="1330" xr:uid="{00000000-0005-0000-0000-0000C0540000}"/>
    <cellStyle name="40% - Accent5 3 2 3 4 3" xfId="7616" xr:uid="{00000000-0005-0000-0000-0000C1540000}"/>
    <cellStyle name="40% - Accent5 3 2 3 4 3 2" xfId="24789" xr:uid="{00000000-0005-0000-0000-0000C2540000}"/>
    <cellStyle name="40% - Accent5 3 2 3 4 4" xfId="2084" xr:uid="{00000000-0005-0000-0000-0000C3540000}"/>
    <cellStyle name="40% - Accent5 3 2 3 5" xfId="26797" xr:uid="{00000000-0005-0000-0000-0000C4540000}"/>
    <cellStyle name="40% - Accent5 3 2 3 5 2" xfId="4542" xr:uid="{00000000-0005-0000-0000-0000C5540000}"/>
    <cellStyle name="40% - Accent5 3 2 3 5 2 2" xfId="24793" xr:uid="{00000000-0005-0000-0000-0000C6540000}"/>
    <cellStyle name="40% - Accent5 3 2 3 5 3" xfId="24797" xr:uid="{00000000-0005-0000-0000-0000C7540000}"/>
    <cellStyle name="40% - Accent5 3 2 3 6" xfId="24804" xr:uid="{00000000-0005-0000-0000-0000C8540000}"/>
    <cellStyle name="40% - Accent5 3 2 3 6 2" xfId="2881" xr:uid="{00000000-0005-0000-0000-0000C9540000}"/>
    <cellStyle name="40% - Accent5 3 2 3 7" xfId="24806" xr:uid="{00000000-0005-0000-0000-0000CA540000}"/>
    <cellStyle name="40% - Accent5 3 2 4" xfId="24808" xr:uid="{00000000-0005-0000-0000-0000CB540000}"/>
    <cellStyle name="40% - Accent5 3 2 4 2" xfId="24812" xr:uid="{00000000-0005-0000-0000-0000CC540000}"/>
    <cellStyle name="40% - Accent5 3 2 4 2 2" xfId="21216" xr:uid="{00000000-0005-0000-0000-0000CD540000}"/>
    <cellStyle name="40% - Accent5 3 2 4 2 2 2" xfId="65" xr:uid="{00000000-0005-0000-0000-0000CE540000}"/>
    <cellStyle name="40% - Accent5 3 2 4 2 2 2 2" xfId="23948" xr:uid="{00000000-0005-0000-0000-0000CF540000}"/>
    <cellStyle name="40% - Accent5 3 2 4 2 2 2 2 2" xfId="23952" xr:uid="{00000000-0005-0000-0000-0000D0540000}"/>
    <cellStyle name="40% - Accent5 3 2 4 2 2 2 3" xfId="7887" xr:uid="{00000000-0005-0000-0000-0000D1540000}"/>
    <cellStyle name="40% - Accent5 3 2 4 2 2 3" xfId="25724" xr:uid="{00000000-0005-0000-0000-0000D2540000}"/>
    <cellStyle name="40% - Accent5 3 2 4 2 2 3 2" xfId="23968" xr:uid="{00000000-0005-0000-0000-0000D3540000}"/>
    <cellStyle name="40% - Accent5 3 2 4 2 2 4" xfId="13359" xr:uid="{00000000-0005-0000-0000-0000D4540000}"/>
    <cellStyle name="40% - Accent5 3 2 4 2 3" xfId="1628" xr:uid="{00000000-0005-0000-0000-0000D5540000}"/>
    <cellStyle name="40% - Accent5 3 2 4 2 3 2" xfId="8715" xr:uid="{00000000-0005-0000-0000-0000D6540000}"/>
    <cellStyle name="40% - Accent5 3 2 4 2 3 2 2" xfId="9048" xr:uid="{00000000-0005-0000-0000-0000D7540000}"/>
    <cellStyle name="40% - Accent5 3 2 4 2 3 3" xfId="31725" xr:uid="{00000000-0005-0000-0000-0000D8540000}"/>
    <cellStyle name="40% - Accent5 3 2 4 2 4" xfId="32718" xr:uid="{00000000-0005-0000-0000-0000D9540000}"/>
    <cellStyle name="40% - Accent5 3 2 4 2 4 2" xfId="26480" xr:uid="{00000000-0005-0000-0000-0000DA540000}"/>
    <cellStyle name="40% - Accent5 3 2 4 2 5" xfId="31749" xr:uid="{00000000-0005-0000-0000-0000DB540000}"/>
    <cellStyle name="40% - Accent5 3 2 4 3" xfId="24817" xr:uid="{00000000-0005-0000-0000-0000DC540000}"/>
    <cellStyle name="40% - Accent5 3 2 4 3 2" xfId="1484" xr:uid="{00000000-0005-0000-0000-0000DD540000}"/>
    <cellStyle name="40% - Accent5 3 2 4 3 2 2" xfId="7664" xr:uid="{00000000-0005-0000-0000-0000DE540000}"/>
    <cellStyle name="40% - Accent5 3 2 4 3 2 2 2" xfId="24033" xr:uid="{00000000-0005-0000-0000-0000DF540000}"/>
    <cellStyle name="40% - Accent5 3 2 4 3 2 3" xfId="2215" xr:uid="{00000000-0005-0000-0000-0000E0540000}"/>
    <cellStyle name="40% - Accent5 3 2 4 3 3" xfId="7676" xr:uid="{00000000-0005-0000-0000-0000E1540000}"/>
    <cellStyle name="40% - Accent5 3 2 4 3 3 2" xfId="24819" xr:uid="{00000000-0005-0000-0000-0000E2540000}"/>
    <cellStyle name="40% - Accent5 3 2 4 3 4" xfId="2119" xr:uid="{00000000-0005-0000-0000-0000E3540000}"/>
    <cellStyle name="40% - Accent5 3 2 4 4" xfId="24820" xr:uid="{00000000-0005-0000-0000-0000E4540000}"/>
    <cellStyle name="40% - Accent5 3 2 4 4 2" xfId="7701" xr:uid="{00000000-0005-0000-0000-0000E5540000}"/>
    <cellStyle name="40% - Accent5 3 2 4 4 2 2" xfId="24823" xr:uid="{00000000-0005-0000-0000-0000E6540000}"/>
    <cellStyle name="40% - Accent5 3 2 4 4 3" xfId="26490" xr:uid="{00000000-0005-0000-0000-0000E7540000}"/>
    <cellStyle name="40% - Accent5 3 2 4 5" xfId="24824" xr:uid="{00000000-0005-0000-0000-0000E8540000}"/>
    <cellStyle name="40% - Accent5 3 2 4 5 2" xfId="24825" xr:uid="{00000000-0005-0000-0000-0000E9540000}"/>
    <cellStyle name="40% - Accent5 3 2 4 6" xfId="24827" xr:uid="{00000000-0005-0000-0000-0000EA540000}"/>
    <cellStyle name="40% - Accent5 3 2 5" xfId="26809" xr:uid="{00000000-0005-0000-0000-0000EB540000}"/>
    <cellStyle name="40% - Accent5 3 2 5 2" xfId="12517" xr:uid="{00000000-0005-0000-0000-0000EC540000}"/>
    <cellStyle name="40% - Accent5 3 2 5 2 2" xfId="1523" xr:uid="{00000000-0005-0000-0000-0000ED540000}"/>
    <cellStyle name="40% - Accent5 3 2 5 2 2 2" xfId="8908" xr:uid="{00000000-0005-0000-0000-0000EE540000}"/>
    <cellStyle name="40% - Accent5 3 2 5 2 2 2 2" xfId="27055" xr:uid="{00000000-0005-0000-0000-0000EF540000}"/>
    <cellStyle name="40% - Accent5 3 2 5 2 2 3" xfId="27384" xr:uid="{00000000-0005-0000-0000-0000F0540000}"/>
    <cellStyle name="40% - Accent5 3 2 5 2 3" xfId="1084" xr:uid="{00000000-0005-0000-0000-0000F1540000}"/>
    <cellStyle name="40% - Accent5 3 2 5 2 3 2" xfId="27395" xr:uid="{00000000-0005-0000-0000-0000F2540000}"/>
    <cellStyle name="40% - Accent5 3 2 5 2 4" xfId="26190" xr:uid="{00000000-0005-0000-0000-0000F3540000}"/>
    <cellStyle name="40% - Accent5 3 2 5 3" xfId="28429" xr:uid="{00000000-0005-0000-0000-0000F4540000}"/>
    <cellStyle name="40% - Accent5 3 2 5 3 2" xfId="1173" xr:uid="{00000000-0005-0000-0000-0000F5540000}"/>
    <cellStyle name="40% - Accent5 3 2 5 3 2 2" xfId="24829" xr:uid="{00000000-0005-0000-0000-0000F6540000}"/>
    <cellStyle name="40% - Accent5 3 2 5 3 3" xfId="26492" xr:uid="{00000000-0005-0000-0000-0000F7540000}"/>
    <cellStyle name="40% - Accent5 3 2 5 4" xfId="24830" xr:uid="{00000000-0005-0000-0000-0000F8540000}"/>
    <cellStyle name="40% - Accent5 3 2 5 4 2" xfId="7779" xr:uid="{00000000-0005-0000-0000-0000F9540000}"/>
    <cellStyle name="40% - Accent5 3 2 5 5" xfId="24831" xr:uid="{00000000-0005-0000-0000-0000FA540000}"/>
    <cellStyle name="40% - Accent5 3 2 6" xfId="32103" xr:uid="{00000000-0005-0000-0000-0000FB540000}"/>
    <cellStyle name="40% - Accent5 3 2 6 2" xfId="26518" xr:uid="{00000000-0005-0000-0000-0000FC540000}"/>
    <cellStyle name="40% - Accent5 3 2 6 2 2" xfId="1286" xr:uid="{00000000-0005-0000-0000-0000FD540000}"/>
    <cellStyle name="40% - Accent5 3 2 6 2 2 2" xfId="22229" xr:uid="{00000000-0005-0000-0000-0000FE540000}"/>
    <cellStyle name="40% - Accent5 3 2 6 2 3" xfId="6057" xr:uid="{00000000-0005-0000-0000-0000FF540000}"/>
    <cellStyle name="40% - Accent5 3 2 6 3" xfId="24834" xr:uid="{00000000-0005-0000-0000-000000550000}"/>
    <cellStyle name="40% - Accent5 3 2 6 3 2" xfId="24836" xr:uid="{00000000-0005-0000-0000-000001550000}"/>
    <cellStyle name="40% - Accent5 3 2 6 4" xfId="24839" xr:uid="{00000000-0005-0000-0000-000002550000}"/>
    <cellStyle name="40% - Accent5 3 2 7" xfId="31540" xr:uid="{00000000-0005-0000-0000-000003550000}"/>
    <cellStyle name="40% - Accent5 3 2 7 2" xfId="15713" xr:uid="{00000000-0005-0000-0000-000004550000}"/>
    <cellStyle name="40% - Accent5 3 2 7 2 2" xfId="4903" xr:uid="{00000000-0005-0000-0000-000005550000}"/>
    <cellStyle name="40% - Accent5 3 2 7 3" xfId="15724" xr:uid="{00000000-0005-0000-0000-000006550000}"/>
    <cellStyle name="40% - Accent5 3 2 8" xfId="2109" xr:uid="{00000000-0005-0000-0000-000007550000}"/>
    <cellStyle name="40% - Accent5 3 2 8 2" xfId="26615" xr:uid="{00000000-0005-0000-0000-000008550000}"/>
    <cellStyle name="40% - Accent5 3 2 9" xfId="15745" xr:uid="{00000000-0005-0000-0000-000009550000}"/>
    <cellStyle name="40% - Accent5 3 3" xfId="21255" xr:uid="{00000000-0005-0000-0000-00000A550000}"/>
    <cellStyle name="40% - Accent5 3 3 2" xfId="19770" xr:uid="{00000000-0005-0000-0000-00000B550000}"/>
    <cellStyle name="40% - Accent5 3 3 2 2" xfId="25537" xr:uid="{00000000-0005-0000-0000-00000C550000}"/>
    <cellStyle name="40% - Accent5 3 3 2 2 2" xfId="17188" xr:uid="{00000000-0005-0000-0000-00000D550000}"/>
    <cellStyle name="40% - Accent5 3 3 2 2 2 2" xfId="17189" xr:uid="{00000000-0005-0000-0000-00000E550000}"/>
    <cellStyle name="40% - Accent5 3 3 2 2 2 2 2" xfId="15262" xr:uid="{00000000-0005-0000-0000-00000F550000}"/>
    <cellStyle name="40% - Accent5 3 3 2 2 2 2 2 2" xfId="25216" xr:uid="{00000000-0005-0000-0000-000010550000}"/>
    <cellStyle name="40% - Accent5 3 3 2 2 2 2 2 2 2" xfId="24846" xr:uid="{00000000-0005-0000-0000-000011550000}"/>
    <cellStyle name="40% - Accent5 3 3 2 2 2 2 2 3" xfId="24848" xr:uid="{00000000-0005-0000-0000-000012550000}"/>
    <cellStyle name="40% - Accent5 3 3 2 2 2 2 3" xfId="10084" xr:uid="{00000000-0005-0000-0000-000013550000}"/>
    <cellStyle name="40% - Accent5 3 3 2 2 2 2 3 2" xfId="18883" xr:uid="{00000000-0005-0000-0000-000014550000}"/>
    <cellStyle name="40% - Accent5 3 3 2 2 2 2 4" xfId="2166" xr:uid="{00000000-0005-0000-0000-000015550000}"/>
    <cellStyle name="40% - Accent5 3 3 2 2 2 3" xfId="29228" xr:uid="{00000000-0005-0000-0000-000016550000}"/>
    <cellStyle name="40% - Accent5 3 3 2 2 2 3 2" xfId="24852" xr:uid="{00000000-0005-0000-0000-000017550000}"/>
    <cellStyle name="40% - Accent5 3 3 2 2 2 3 2 2" xfId="25241" xr:uid="{00000000-0005-0000-0000-000018550000}"/>
    <cellStyle name="40% - Accent5 3 3 2 2 2 3 3" xfId="260" xr:uid="{00000000-0005-0000-0000-000019550000}"/>
    <cellStyle name="40% - Accent5 3 3 2 2 2 4" xfId="15684" xr:uid="{00000000-0005-0000-0000-00001A550000}"/>
    <cellStyle name="40% - Accent5 3 3 2 2 2 4 2" xfId="22631" xr:uid="{00000000-0005-0000-0000-00001B550000}"/>
    <cellStyle name="40% - Accent5 3 3 2 2 2 5" xfId="27532" xr:uid="{00000000-0005-0000-0000-00001C550000}"/>
    <cellStyle name="40% - Accent5 3 3 2 2 3" xfId="17193" xr:uid="{00000000-0005-0000-0000-00001D550000}"/>
    <cellStyle name="40% - Accent5 3 3 2 2 3 2" xfId="9563" xr:uid="{00000000-0005-0000-0000-00001E550000}"/>
    <cellStyle name="40% - Accent5 3 3 2 2 3 2 2" xfId="10507" xr:uid="{00000000-0005-0000-0000-00001F550000}"/>
    <cellStyle name="40% - Accent5 3 3 2 2 3 2 2 2" xfId="25230" xr:uid="{00000000-0005-0000-0000-000020550000}"/>
    <cellStyle name="40% - Accent5 3 3 2 2 3 2 3" xfId="2188" xr:uid="{00000000-0005-0000-0000-000021550000}"/>
    <cellStyle name="40% - Accent5 3 3 2 2 3 3" xfId="9567" xr:uid="{00000000-0005-0000-0000-000022550000}"/>
    <cellStyle name="40% - Accent5 3 3 2 2 3 3 2" xfId="27181" xr:uid="{00000000-0005-0000-0000-000023550000}"/>
    <cellStyle name="40% - Accent5 3 3 2 2 3 4" xfId="9725" xr:uid="{00000000-0005-0000-0000-000024550000}"/>
    <cellStyle name="40% - Accent5 3 3 2 2 4" xfId="17485" xr:uid="{00000000-0005-0000-0000-000025550000}"/>
    <cellStyle name="40% - Accent5 3 3 2 2 4 2" xfId="9729" xr:uid="{00000000-0005-0000-0000-000026550000}"/>
    <cellStyle name="40% - Accent5 3 3 2 2 4 2 2" xfId="24858" xr:uid="{00000000-0005-0000-0000-000027550000}"/>
    <cellStyle name="40% - Accent5 3 3 2 2 4 3" xfId="28791" xr:uid="{00000000-0005-0000-0000-000028550000}"/>
    <cellStyle name="40% - Accent5 3 3 2 2 5" xfId="6134" xr:uid="{00000000-0005-0000-0000-000029550000}"/>
    <cellStyle name="40% - Accent5 3 3 2 2 5 2" xfId="381" xr:uid="{00000000-0005-0000-0000-00002A550000}"/>
    <cellStyle name="40% - Accent5 3 3 2 2 6" xfId="17161" xr:uid="{00000000-0005-0000-0000-00002B550000}"/>
    <cellStyle name="40% - Accent5 3 3 2 3" xfId="31636" xr:uid="{00000000-0005-0000-0000-00002C550000}"/>
    <cellStyle name="40% - Accent5 3 3 2 3 2" xfId="17202" xr:uid="{00000000-0005-0000-0000-00002D550000}"/>
    <cellStyle name="40% - Accent5 3 3 2 3 2 2" xfId="5629" xr:uid="{00000000-0005-0000-0000-00002E550000}"/>
    <cellStyle name="40% - Accent5 3 3 2 3 2 2 2" xfId="12884" xr:uid="{00000000-0005-0000-0000-00002F550000}"/>
    <cellStyle name="40% - Accent5 3 3 2 3 2 2 2 2" xfId="24859" xr:uid="{00000000-0005-0000-0000-000030550000}"/>
    <cellStyle name="40% - Accent5 3 3 2 3 2 2 3" xfId="8412" xr:uid="{00000000-0005-0000-0000-000031550000}"/>
    <cellStyle name="40% - Accent5 3 3 2 3 2 3" xfId="6196" xr:uid="{00000000-0005-0000-0000-000032550000}"/>
    <cellStyle name="40% - Accent5 3 3 2 3 2 3 2" xfId="21062" xr:uid="{00000000-0005-0000-0000-000033550000}"/>
    <cellStyle name="40% - Accent5 3 3 2 3 2 4" xfId="9839" xr:uid="{00000000-0005-0000-0000-000034550000}"/>
    <cellStyle name="40% - Accent5 3 3 2 3 3" xfId="26592" xr:uid="{00000000-0005-0000-0000-000035550000}"/>
    <cellStyle name="40% - Accent5 3 3 2 3 3 2" xfId="28291" xr:uid="{00000000-0005-0000-0000-000036550000}"/>
    <cellStyle name="40% - Accent5 3 3 2 3 3 2 2" xfId="24865" xr:uid="{00000000-0005-0000-0000-000037550000}"/>
    <cellStyle name="40% - Accent5 3 3 2 3 3 3" xfId="9845" xr:uid="{00000000-0005-0000-0000-000038550000}"/>
    <cellStyle name="40% - Accent5 3 3 2 3 4" xfId="28138" xr:uid="{00000000-0005-0000-0000-000039550000}"/>
    <cellStyle name="40% - Accent5 3 3 2 3 4 2" xfId="9851" xr:uid="{00000000-0005-0000-0000-00003A550000}"/>
    <cellStyle name="40% - Accent5 3 3 2 3 5" xfId="8209" xr:uid="{00000000-0005-0000-0000-00003B550000}"/>
    <cellStyle name="40% - Accent5 3 3 2 4" xfId="26217" xr:uid="{00000000-0005-0000-0000-00003C550000}"/>
    <cellStyle name="40% - Accent5 3 3 2 4 2" xfId="30322" xr:uid="{00000000-0005-0000-0000-00003D550000}"/>
    <cellStyle name="40% - Accent5 3 3 2 4 2 2" xfId="30083" xr:uid="{00000000-0005-0000-0000-00003E550000}"/>
    <cellStyle name="40% - Accent5 3 3 2 4 2 2 2" xfId="24870" xr:uid="{00000000-0005-0000-0000-00003F550000}"/>
    <cellStyle name="40% - Accent5 3 3 2 4 2 3" xfId="9864" xr:uid="{00000000-0005-0000-0000-000040550000}"/>
    <cellStyle name="40% - Accent5 3 3 2 4 3" xfId="13338" xr:uid="{00000000-0005-0000-0000-000041550000}"/>
    <cellStyle name="40% - Accent5 3 3 2 4 3 2" xfId="3541" xr:uid="{00000000-0005-0000-0000-000042550000}"/>
    <cellStyle name="40% - Accent5 3 3 2 4 4" xfId="33531" xr:uid="{00000000-0005-0000-0000-000043550000}"/>
    <cellStyle name="40% - Accent5 3 3 2 5" xfId="18911" xr:uid="{00000000-0005-0000-0000-000044550000}"/>
    <cellStyle name="40% - Accent5 3 3 2 5 2" xfId="9882" xr:uid="{00000000-0005-0000-0000-000045550000}"/>
    <cellStyle name="40% - Accent5 3 3 2 5 2 2" xfId="20241" xr:uid="{00000000-0005-0000-0000-000046550000}"/>
    <cellStyle name="40% - Accent5 3 3 2 5 3" xfId="12191" xr:uid="{00000000-0005-0000-0000-000047550000}"/>
    <cellStyle name="40% - Accent5 3 3 2 6" xfId="24872" xr:uid="{00000000-0005-0000-0000-000048550000}"/>
    <cellStyle name="40% - Accent5 3 3 2 6 2" xfId="3830" xr:uid="{00000000-0005-0000-0000-000049550000}"/>
    <cellStyle name="40% - Accent5 3 3 2 7" xfId="24873" xr:uid="{00000000-0005-0000-0000-00004A550000}"/>
    <cellStyle name="40% - Accent5 3 3 3" xfId="24874" xr:uid="{00000000-0005-0000-0000-00004B550000}"/>
    <cellStyle name="40% - Accent5 3 3 3 2" xfId="21601" xr:uid="{00000000-0005-0000-0000-00004C550000}"/>
    <cellStyle name="40% - Accent5 3 3 3 2 2" xfId="17314" xr:uid="{00000000-0005-0000-0000-00004D550000}"/>
    <cellStyle name="40% - Accent5 3 3 3 2 2 2" xfId="11689" xr:uid="{00000000-0005-0000-0000-00004E550000}"/>
    <cellStyle name="40% - Accent5 3 3 3 2 2 2 2" xfId="24875" xr:uid="{00000000-0005-0000-0000-00004F550000}"/>
    <cellStyle name="40% - Accent5 3 3 3 2 2 2 2 2" xfId="27892" xr:uid="{00000000-0005-0000-0000-000050550000}"/>
    <cellStyle name="40% - Accent5 3 3 3 2 2 2 3" xfId="2305" xr:uid="{00000000-0005-0000-0000-000051550000}"/>
    <cellStyle name="40% - Accent5 3 3 3 2 2 3" xfId="15121" xr:uid="{00000000-0005-0000-0000-000052550000}"/>
    <cellStyle name="40% - Accent5 3 3 3 2 2 3 2" xfId="31413" xr:uid="{00000000-0005-0000-0000-000053550000}"/>
    <cellStyle name="40% - Accent5 3 3 3 2 2 4" xfId="10266" xr:uid="{00000000-0005-0000-0000-000054550000}"/>
    <cellStyle name="40% - Accent5 3 3 3 2 3" xfId="8744" xr:uid="{00000000-0005-0000-0000-000055550000}"/>
    <cellStyle name="40% - Accent5 3 3 3 2 3 2" xfId="14242" xr:uid="{00000000-0005-0000-0000-000056550000}"/>
    <cellStyle name="40% - Accent5 3 3 3 2 3 2 2" xfId="4026" xr:uid="{00000000-0005-0000-0000-000057550000}"/>
    <cellStyle name="40% - Accent5 3 3 3 2 3 3" xfId="11225" xr:uid="{00000000-0005-0000-0000-000058550000}"/>
    <cellStyle name="40% - Accent5 3 3 3 2 4" xfId="28156" xr:uid="{00000000-0005-0000-0000-000059550000}"/>
    <cellStyle name="40% - Accent5 3 3 3 2 4 2" xfId="10273" xr:uid="{00000000-0005-0000-0000-00005A550000}"/>
    <cellStyle name="40% - Accent5 3 3 3 2 5" xfId="28159" xr:uid="{00000000-0005-0000-0000-00005B550000}"/>
    <cellStyle name="40% - Accent5 3 3 3 3" xfId="24878" xr:uid="{00000000-0005-0000-0000-00005C550000}"/>
    <cellStyle name="40% - Accent5 3 3 3 3 2" xfId="12732" xr:uid="{00000000-0005-0000-0000-00005D550000}"/>
    <cellStyle name="40% - Accent5 3 3 3 3 2 2" xfId="5810" xr:uid="{00000000-0005-0000-0000-00005E550000}"/>
    <cellStyle name="40% - Accent5 3 3 3 3 2 2 2" xfId="24881" xr:uid="{00000000-0005-0000-0000-00005F550000}"/>
    <cellStyle name="40% - Accent5 3 3 3 3 2 3" xfId="11237" xr:uid="{00000000-0005-0000-0000-000060550000}"/>
    <cellStyle name="40% - Accent5 3 3 3 3 3" xfId="12749" xr:uid="{00000000-0005-0000-0000-000061550000}"/>
    <cellStyle name="40% - Accent5 3 3 3 3 3 2" xfId="10359" xr:uid="{00000000-0005-0000-0000-000062550000}"/>
    <cellStyle name="40% - Accent5 3 3 3 3 4" xfId="31432" xr:uid="{00000000-0005-0000-0000-000063550000}"/>
    <cellStyle name="40% - Accent5 3 3 3 4" xfId="24887" xr:uid="{00000000-0005-0000-0000-000064550000}"/>
    <cellStyle name="40% - Accent5 3 3 3 4 2" xfId="16547" xr:uid="{00000000-0005-0000-0000-000065550000}"/>
    <cellStyle name="40% - Accent5 3 3 3 4 2 2" xfId="13607" xr:uid="{00000000-0005-0000-0000-000066550000}"/>
    <cellStyle name="40% - Accent5 3 3 3 4 3" xfId="30798" xr:uid="{00000000-0005-0000-0000-000067550000}"/>
    <cellStyle name="40% - Accent5 3 3 3 5" xfId="24889" xr:uid="{00000000-0005-0000-0000-000068550000}"/>
    <cellStyle name="40% - Accent5 3 3 3 5 2" xfId="4689" xr:uid="{00000000-0005-0000-0000-000069550000}"/>
    <cellStyle name="40% - Accent5 3 3 3 6" xfId="29516" xr:uid="{00000000-0005-0000-0000-00006A550000}"/>
    <cellStyle name="40% - Accent5 3 3 4" xfId="25544" xr:uid="{00000000-0005-0000-0000-00006B550000}"/>
    <cellStyle name="40% - Accent5 3 3 4 2" xfId="24893" xr:uid="{00000000-0005-0000-0000-00006C550000}"/>
    <cellStyle name="40% - Accent5 3 3 4 2 2" xfId="10543" xr:uid="{00000000-0005-0000-0000-00006D550000}"/>
    <cellStyle name="40% - Accent5 3 3 4 2 2 2" xfId="1946" xr:uid="{00000000-0005-0000-0000-00006E550000}"/>
    <cellStyle name="40% - Accent5 3 3 4 2 2 2 2" xfId="24288" xr:uid="{00000000-0005-0000-0000-00006F550000}"/>
    <cellStyle name="40% - Accent5 3 3 4 2 2 3" xfId="11250" xr:uid="{00000000-0005-0000-0000-000070550000}"/>
    <cellStyle name="40% - Accent5 3 3 4 2 3" xfId="10553" xr:uid="{00000000-0005-0000-0000-000071550000}"/>
    <cellStyle name="40% - Accent5 3 3 4 2 3 2" xfId="1175" xr:uid="{00000000-0005-0000-0000-000072550000}"/>
    <cellStyle name="40% - Accent5 3 3 4 2 4" xfId="24658" xr:uid="{00000000-0005-0000-0000-000073550000}"/>
    <cellStyle name="40% - Accent5 3 3 4 3" xfId="24896" xr:uid="{00000000-0005-0000-0000-000074550000}"/>
    <cellStyle name="40% - Accent5 3 3 4 3 2" xfId="28335" xr:uid="{00000000-0005-0000-0000-000075550000}"/>
    <cellStyle name="40% - Accent5 3 3 4 3 2 2" xfId="1290" xr:uid="{00000000-0005-0000-0000-000076550000}"/>
    <cellStyle name="40% - Accent5 3 3 4 3 3" xfId="17212" xr:uid="{00000000-0005-0000-0000-000077550000}"/>
    <cellStyle name="40% - Accent5 3 3 4 4" xfId="24901" xr:uid="{00000000-0005-0000-0000-000078550000}"/>
    <cellStyle name="40% - Accent5 3 3 4 4 2" xfId="10604" xr:uid="{00000000-0005-0000-0000-000079550000}"/>
    <cellStyle name="40% - Accent5 3 3 4 5" xfId="18779" xr:uid="{00000000-0005-0000-0000-00007A550000}"/>
    <cellStyle name="40% - Accent5 3 3 5" xfId="15203" xr:uid="{00000000-0005-0000-0000-00007B550000}"/>
    <cellStyle name="40% - Accent5 3 3 5 2" xfId="24904" xr:uid="{00000000-0005-0000-0000-00007C550000}"/>
    <cellStyle name="40% - Accent5 3 3 5 2 2" xfId="15574" xr:uid="{00000000-0005-0000-0000-00007D550000}"/>
    <cellStyle name="40% - Accent5 3 3 5 2 2 2" xfId="15461" xr:uid="{00000000-0005-0000-0000-00007E550000}"/>
    <cellStyle name="40% - Accent5 3 3 5 2 3" xfId="10667" xr:uid="{00000000-0005-0000-0000-00007F550000}"/>
    <cellStyle name="40% - Accent5 3 3 5 3" xfId="24907" xr:uid="{00000000-0005-0000-0000-000080550000}"/>
    <cellStyle name="40% - Accent5 3 3 5 3 2" xfId="10734" xr:uid="{00000000-0005-0000-0000-000081550000}"/>
    <cellStyle name="40% - Accent5 3 3 5 4" xfId="25567" xr:uid="{00000000-0005-0000-0000-000082550000}"/>
    <cellStyle name="40% - Accent5 3 3 6" xfId="24911" xr:uid="{00000000-0005-0000-0000-000083550000}"/>
    <cellStyle name="40% - Accent5 3 3 6 2" xfId="24912" xr:uid="{00000000-0005-0000-0000-000084550000}"/>
    <cellStyle name="40% - Accent5 3 3 6 2 2" xfId="10825" xr:uid="{00000000-0005-0000-0000-000085550000}"/>
    <cellStyle name="40% - Accent5 3 3 6 3" xfId="24914" xr:uid="{00000000-0005-0000-0000-000086550000}"/>
    <cellStyle name="40% - Accent5 3 3 7" xfId="30117" xr:uid="{00000000-0005-0000-0000-000087550000}"/>
    <cellStyle name="40% - Accent5 3 3 7 2" xfId="27944" xr:uid="{00000000-0005-0000-0000-000088550000}"/>
    <cellStyle name="40% - Accent5 3 3 8" xfId="12399" xr:uid="{00000000-0005-0000-0000-000089550000}"/>
    <cellStyle name="40% - Accent5 3 4" xfId="21123" xr:uid="{00000000-0005-0000-0000-00008A550000}"/>
    <cellStyle name="40% - Accent5 3 4 2" xfId="7850" xr:uid="{00000000-0005-0000-0000-00008B550000}"/>
    <cellStyle name="40% - Accent5 3 4 2 2" xfId="29411" xr:uid="{00000000-0005-0000-0000-00008C550000}"/>
    <cellStyle name="40% - Accent5 3 4 2 2 2" xfId="17705" xr:uid="{00000000-0005-0000-0000-00008D550000}"/>
    <cellStyle name="40% - Accent5 3 4 2 2 2 2" xfId="18013" xr:uid="{00000000-0005-0000-0000-00008E550000}"/>
    <cellStyle name="40% - Accent5 3 4 2 2 2 2 2" xfId="22690" xr:uid="{00000000-0005-0000-0000-00008F550000}"/>
    <cellStyle name="40% - Accent5 3 4 2 2 2 2 2 2" xfId="24920" xr:uid="{00000000-0005-0000-0000-000090550000}"/>
    <cellStyle name="40% - Accent5 3 4 2 2 2 2 3" xfId="8286" xr:uid="{00000000-0005-0000-0000-000091550000}"/>
    <cellStyle name="40% - Accent5 3 4 2 2 2 3" xfId="7048" xr:uid="{00000000-0005-0000-0000-000092550000}"/>
    <cellStyle name="40% - Accent5 3 4 2 2 2 3 2" xfId="24647" xr:uid="{00000000-0005-0000-0000-000093550000}"/>
    <cellStyle name="40% - Accent5 3 4 2 2 2 4" xfId="29694" xr:uid="{00000000-0005-0000-0000-000094550000}"/>
    <cellStyle name="40% - Accent5 3 4 2 2 3" xfId="10694" xr:uid="{00000000-0005-0000-0000-000095550000}"/>
    <cellStyle name="40% - Accent5 3 4 2 2 3 2" xfId="33095" xr:uid="{00000000-0005-0000-0000-000096550000}"/>
    <cellStyle name="40% - Accent5 3 4 2 2 3 2 2" xfId="8423" xr:uid="{00000000-0005-0000-0000-000097550000}"/>
    <cellStyle name="40% - Accent5 3 4 2 2 3 3" xfId="31729" xr:uid="{00000000-0005-0000-0000-000098550000}"/>
    <cellStyle name="40% - Accent5 3 4 2 2 4" xfId="28170" xr:uid="{00000000-0005-0000-0000-000099550000}"/>
    <cellStyle name="40% - Accent5 3 4 2 2 4 2" xfId="33980" xr:uid="{00000000-0005-0000-0000-00009A550000}"/>
    <cellStyle name="40% - Accent5 3 4 2 2 5" xfId="28177" xr:uid="{00000000-0005-0000-0000-00009B550000}"/>
    <cellStyle name="40% - Accent5 3 4 2 3" xfId="29415" xr:uid="{00000000-0005-0000-0000-00009C550000}"/>
    <cellStyle name="40% - Accent5 3 4 2 3 2" xfId="33000" xr:uid="{00000000-0005-0000-0000-00009D550000}"/>
    <cellStyle name="40% - Accent5 3 4 2 3 2 2" xfId="14872" xr:uid="{00000000-0005-0000-0000-00009E550000}"/>
    <cellStyle name="40% - Accent5 3 4 2 3 2 2 2" xfId="20383" xr:uid="{00000000-0005-0000-0000-00009F550000}"/>
    <cellStyle name="40% - Accent5 3 4 2 3 2 3" xfId="13539" xr:uid="{00000000-0005-0000-0000-0000A0550000}"/>
    <cellStyle name="40% - Accent5 3 4 2 3 3" xfId="11729" xr:uid="{00000000-0005-0000-0000-0000A1550000}"/>
    <cellStyle name="40% - Accent5 3 4 2 3 3 2" xfId="14881" xr:uid="{00000000-0005-0000-0000-0000A2550000}"/>
    <cellStyle name="40% - Accent5 3 4 2 3 4" xfId="28181" xr:uid="{00000000-0005-0000-0000-0000A3550000}"/>
    <cellStyle name="40% - Accent5 3 4 2 4" xfId="29425" xr:uid="{00000000-0005-0000-0000-0000A4550000}"/>
    <cellStyle name="40% - Accent5 3 4 2 4 2" xfId="157" xr:uid="{00000000-0005-0000-0000-0000A5550000}"/>
    <cellStyle name="40% - Accent5 3 4 2 4 2 2" xfId="14527" xr:uid="{00000000-0005-0000-0000-0000A6550000}"/>
    <cellStyle name="40% - Accent5 3 4 2 4 3" xfId="249" xr:uid="{00000000-0005-0000-0000-0000A7550000}"/>
    <cellStyle name="40% - Accent5 3 4 2 5" xfId="24921" xr:uid="{00000000-0005-0000-0000-0000A8550000}"/>
    <cellStyle name="40% - Accent5 3 4 2 5 2" xfId="253" xr:uid="{00000000-0005-0000-0000-0000A9550000}"/>
    <cellStyle name="40% - Accent5 3 4 2 6" xfId="15496" xr:uid="{00000000-0005-0000-0000-0000AA550000}"/>
    <cellStyle name="40% - Accent5 3 4 3" xfId="24925" xr:uid="{00000000-0005-0000-0000-0000AB550000}"/>
    <cellStyle name="40% - Accent5 3 4 3 2" xfId="33650" xr:uid="{00000000-0005-0000-0000-0000AC550000}"/>
    <cellStyle name="40% - Accent5 3 4 3 2 2" xfId="10711" xr:uid="{00000000-0005-0000-0000-0000AD550000}"/>
    <cellStyle name="40% - Accent5 3 4 3 2 2 2" xfId="33950" xr:uid="{00000000-0005-0000-0000-0000AE550000}"/>
    <cellStyle name="40% - Accent5 3 4 3 2 2 2 2" xfId="1369" xr:uid="{00000000-0005-0000-0000-0000AF550000}"/>
    <cellStyle name="40% - Accent5 3 4 3 2 2 3" xfId="32136" xr:uid="{00000000-0005-0000-0000-0000B0550000}"/>
    <cellStyle name="40% - Accent5 3 4 3 2 3" xfId="12127" xr:uid="{00000000-0005-0000-0000-0000B1550000}"/>
    <cellStyle name="40% - Accent5 3 4 3 2 3 2" xfId="12130" xr:uid="{00000000-0005-0000-0000-0000B2550000}"/>
    <cellStyle name="40% - Accent5 3 4 3 2 4" xfId="1830" xr:uid="{00000000-0005-0000-0000-0000B3550000}"/>
    <cellStyle name="40% - Accent5 3 4 3 3" xfId="11207" xr:uid="{00000000-0005-0000-0000-0000B4550000}"/>
    <cellStyle name="40% - Accent5 3 4 3 3 2" xfId="18539" xr:uid="{00000000-0005-0000-0000-0000B5550000}"/>
    <cellStyle name="40% - Accent5 3 4 3 3 2 2" xfId="14904" xr:uid="{00000000-0005-0000-0000-0000B6550000}"/>
    <cellStyle name="40% - Accent5 3 4 3 3 3" xfId="12165" xr:uid="{00000000-0005-0000-0000-0000B7550000}"/>
    <cellStyle name="40% - Accent5 3 4 3 4" xfId="11214" xr:uid="{00000000-0005-0000-0000-0000B8550000}"/>
    <cellStyle name="40% - Accent5 3 4 3 4 2" xfId="447" xr:uid="{00000000-0005-0000-0000-0000B9550000}"/>
    <cellStyle name="40% - Accent5 3 4 3 5" xfId="24926" xr:uid="{00000000-0005-0000-0000-0000BA550000}"/>
    <cellStyle name="40% - Accent5 3 4 4" xfId="24927" xr:uid="{00000000-0005-0000-0000-0000BB550000}"/>
    <cellStyle name="40% - Accent5 3 4 4 2" xfId="614" xr:uid="{00000000-0005-0000-0000-0000BC550000}"/>
    <cellStyle name="40% - Accent5 3 4 4 2 2" xfId="11598" xr:uid="{00000000-0005-0000-0000-0000BD550000}"/>
    <cellStyle name="40% - Accent5 3 4 4 2 2 2" xfId="1425" xr:uid="{00000000-0005-0000-0000-0000BE550000}"/>
    <cellStyle name="40% - Accent5 3 4 4 2 3" xfId="13403" xr:uid="{00000000-0005-0000-0000-0000BF550000}"/>
    <cellStyle name="40% - Accent5 3 4 4 3" xfId="11219" xr:uid="{00000000-0005-0000-0000-0000C0550000}"/>
    <cellStyle name="40% - Accent5 3 4 4 3 2" xfId="12346" xr:uid="{00000000-0005-0000-0000-0000C1550000}"/>
    <cellStyle name="40% - Accent5 3 4 4 4" xfId="24928" xr:uid="{00000000-0005-0000-0000-0000C2550000}"/>
    <cellStyle name="40% - Accent5 3 4 5" xfId="24930" xr:uid="{00000000-0005-0000-0000-0000C3550000}"/>
    <cellStyle name="40% - Accent5 3 4 5 2" xfId="626" xr:uid="{00000000-0005-0000-0000-0000C4550000}"/>
    <cellStyle name="40% - Accent5 3 4 5 2 2" xfId="12437" xr:uid="{00000000-0005-0000-0000-0000C5550000}"/>
    <cellStyle name="40% - Accent5 3 4 5 3" xfId="20358" xr:uid="{00000000-0005-0000-0000-0000C6550000}"/>
    <cellStyle name="40% - Accent5 3 4 6" xfId="24936" xr:uid="{00000000-0005-0000-0000-0000C7550000}"/>
    <cellStyle name="40% - Accent5 3 4 6 2" xfId="24947" xr:uid="{00000000-0005-0000-0000-0000C8550000}"/>
    <cellStyle name="40% - Accent5 3 4 7" xfId="11696" xr:uid="{00000000-0005-0000-0000-0000C9550000}"/>
    <cellStyle name="40% - Accent5 3 5" xfId="24950" xr:uid="{00000000-0005-0000-0000-0000CA550000}"/>
    <cellStyle name="40% - Accent5 3 5 2" xfId="25576" xr:uid="{00000000-0005-0000-0000-0000CB550000}"/>
    <cellStyle name="40% - Accent5 3 5 2 2" xfId="5217" xr:uid="{00000000-0005-0000-0000-0000CC550000}"/>
    <cellStyle name="40% - Accent5 3 5 2 2 2" xfId="32251" xr:uid="{00000000-0005-0000-0000-0000CD550000}"/>
    <cellStyle name="40% - Accent5 3 5 2 2 2 2" xfId="31062" xr:uid="{00000000-0005-0000-0000-0000CE550000}"/>
    <cellStyle name="40% - Accent5 3 5 2 2 2 2 2" xfId="24953" xr:uid="{00000000-0005-0000-0000-0000CF550000}"/>
    <cellStyle name="40% - Accent5 3 5 2 2 2 3" xfId="32560" xr:uid="{00000000-0005-0000-0000-0000D0550000}"/>
    <cellStyle name="40% - Accent5 3 5 2 2 3" xfId="28403" xr:uid="{00000000-0005-0000-0000-0000D1550000}"/>
    <cellStyle name="40% - Accent5 3 5 2 2 3 2" xfId="32947" xr:uid="{00000000-0005-0000-0000-0000D2550000}"/>
    <cellStyle name="40% - Accent5 3 5 2 2 4" xfId="28186" xr:uid="{00000000-0005-0000-0000-0000D3550000}"/>
    <cellStyle name="40% - Accent5 3 5 2 3" xfId="5228" xr:uid="{00000000-0005-0000-0000-0000D4550000}"/>
    <cellStyle name="40% - Accent5 3 5 2 3 2" xfId="28370" xr:uid="{00000000-0005-0000-0000-0000D5550000}"/>
    <cellStyle name="40% - Accent5 3 5 2 3 2 2" xfId="32547" xr:uid="{00000000-0005-0000-0000-0000D6550000}"/>
    <cellStyle name="40% - Accent5 3 5 2 3 3" xfId="13380" xr:uid="{00000000-0005-0000-0000-0000D7550000}"/>
    <cellStyle name="40% - Accent5 3 5 2 4" xfId="24956" xr:uid="{00000000-0005-0000-0000-0000D8550000}"/>
    <cellStyle name="40% - Accent5 3 5 2 4 2" xfId="387" xr:uid="{00000000-0005-0000-0000-0000D9550000}"/>
    <cellStyle name="40% - Accent5 3 5 2 5" xfId="24958" xr:uid="{00000000-0005-0000-0000-0000DA550000}"/>
    <cellStyle name="40% - Accent5 3 5 3" xfId="24321" xr:uid="{00000000-0005-0000-0000-0000DB550000}"/>
    <cellStyle name="40% - Accent5 3 5 3 2" xfId="5259" xr:uid="{00000000-0005-0000-0000-0000DC550000}"/>
    <cellStyle name="40% - Accent5 3 5 3 2 2" xfId="1164" xr:uid="{00000000-0005-0000-0000-0000DD550000}"/>
    <cellStyle name="40% - Accent5 3 5 3 2 2 2" xfId="32034" xr:uid="{00000000-0005-0000-0000-0000DE550000}"/>
    <cellStyle name="40% - Accent5 3 5 3 2 3" xfId="14055" xr:uid="{00000000-0005-0000-0000-0000DF550000}"/>
    <cellStyle name="40% - Accent5 3 5 3 3" xfId="11221" xr:uid="{00000000-0005-0000-0000-0000E0550000}"/>
    <cellStyle name="40% - Accent5 3 5 3 3 2" xfId="13804" xr:uid="{00000000-0005-0000-0000-0000E1550000}"/>
    <cellStyle name="40% - Accent5 3 5 3 4" xfId="24960" xr:uid="{00000000-0005-0000-0000-0000E2550000}"/>
    <cellStyle name="40% - Accent5 3 5 4" xfId="20263" xr:uid="{00000000-0005-0000-0000-0000E3550000}"/>
    <cellStyle name="40% - Accent5 3 5 4 2" xfId="296" xr:uid="{00000000-0005-0000-0000-0000E4550000}"/>
    <cellStyle name="40% - Accent5 3 5 4 2 2" xfId="13958" xr:uid="{00000000-0005-0000-0000-0000E5550000}"/>
    <cellStyle name="40% - Accent5 3 5 4 3" xfId="24961" xr:uid="{00000000-0005-0000-0000-0000E6550000}"/>
    <cellStyle name="40% - Accent5 3 5 5" xfId="24967" xr:uid="{00000000-0005-0000-0000-0000E7550000}"/>
    <cellStyle name="40% - Accent5 3 5 5 2" xfId="26796" xr:uid="{00000000-0005-0000-0000-0000E8550000}"/>
    <cellStyle name="40% - Accent5 3 5 6" xfId="24970" xr:uid="{00000000-0005-0000-0000-0000E9550000}"/>
    <cellStyle name="40% - Accent5 3 6" xfId="24972" xr:uid="{00000000-0005-0000-0000-0000EA550000}"/>
    <cellStyle name="40% - Accent5 3 6 2" xfId="24973" xr:uid="{00000000-0005-0000-0000-0000EB550000}"/>
    <cellStyle name="40% - Accent5 3 6 2 2" xfId="9491" xr:uid="{00000000-0005-0000-0000-0000EC550000}"/>
    <cellStyle name="40% - Accent5 3 6 2 2 2" xfId="24975" xr:uid="{00000000-0005-0000-0000-0000ED550000}"/>
    <cellStyle name="40% - Accent5 3 6 2 2 2 2" xfId="24977" xr:uid="{00000000-0005-0000-0000-0000EE550000}"/>
    <cellStyle name="40% - Accent5 3 6 2 2 3" xfId="18345" xr:uid="{00000000-0005-0000-0000-0000EF550000}"/>
    <cellStyle name="40% - Accent5 3 6 2 3" xfId="24978" xr:uid="{00000000-0005-0000-0000-0000F0550000}"/>
    <cellStyle name="40% - Accent5 3 6 2 3 2" xfId="24979" xr:uid="{00000000-0005-0000-0000-0000F1550000}"/>
    <cellStyle name="40% - Accent5 3 6 2 4" xfId="4108" xr:uid="{00000000-0005-0000-0000-0000F2550000}"/>
    <cellStyle name="40% - Accent5 3 6 3" xfId="19789" xr:uid="{00000000-0005-0000-0000-0000F3550000}"/>
    <cellStyle name="40% - Accent5 3 6 3 2" xfId="24980" xr:uid="{00000000-0005-0000-0000-0000F4550000}"/>
    <cellStyle name="40% - Accent5 3 6 3 2 2" xfId="24981" xr:uid="{00000000-0005-0000-0000-0000F5550000}"/>
    <cellStyle name="40% - Accent5 3 6 3 3" xfId="32459" xr:uid="{00000000-0005-0000-0000-0000F6550000}"/>
    <cellStyle name="40% - Accent5 3 6 4" xfId="24982" xr:uid="{00000000-0005-0000-0000-0000F7550000}"/>
    <cellStyle name="40% - Accent5 3 6 4 2" xfId="24983" xr:uid="{00000000-0005-0000-0000-0000F8550000}"/>
    <cellStyle name="40% - Accent5 3 6 5" xfId="34019" xr:uid="{00000000-0005-0000-0000-0000F9550000}"/>
    <cellStyle name="40% - Accent5 3 7" xfId="24985" xr:uid="{00000000-0005-0000-0000-0000FA550000}"/>
    <cellStyle name="40% - Accent5 3 7 2" xfId="24987" xr:uid="{00000000-0005-0000-0000-0000FB550000}"/>
    <cellStyle name="40% - Accent5 3 7 2 2" xfId="11699" xr:uid="{00000000-0005-0000-0000-0000FC550000}"/>
    <cellStyle name="40% - Accent5 3 7 2 2 2" xfId="24612" xr:uid="{00000000-0005-0000-0000-0000FD550000}"/>
    <cellStyle name="40% - Accent5 3 7 2 3" xfId="24989" xr:uid="{00000000-0005-0000-0000-0000FE550000}"/>
    <cellStyle name="40% - Accent5 3 7 3" xfId="24990" xr:uid="{00000000-0005-0000-0000-0000FF550000}"/>
    <cellStyle name="40% - Accent5 3 7 3 2" xfId="22035" xr:uid="{00000000-0005-0000-0000-000000560000}"/>
    <cellStyle name="40% - Accent5 3 7 4" xfId="24992" xr:uid="{00000000-0005-0000-0000-000001560000}"/>
    <cellStyle name="40% - Accent5 3 8" xfId="9731" xr:uid="{00000000-0005-0000-0000-000002560000}"/>
    <cellStyle name="40% - Accent5 3 8 2" xfId="32485" xr:uid="{00000000-0005-0000-0000-000003560000}"/>
    <cellStyle name="40% - Accent5 3 8 2 2" xfId="24993" xr:uid="{00000000-0005-0000-0000-000004560000}"/>
    <cellStyle name="40% - Accent5 3 8 3" xfId="8920" xr:uid="{00000000-0005-0000-0000-000005560000}"/>
    <cellStyle name="40% - Accent5 3 9" xfId="1334" xr:uid="{00000000-0005-0000-0000-000006560000}"/>
    <cellStyle name="40% - Accent5 3 9 2" xfId="27328" xr:uid="{00000000-0005-0000-0000-000007560000}"/>
    <cellStyle name="40% - Accent5 4" xfId="16973" xr:uid="{00000000-0005-0000-0000-000008560000}"/>
    <cellStyle name="40% - Accent5 4 2" xfId="24994" xr:uid="{00000000-0005-0000-0000-000009560000}"/>
    <cellStyle name="40% - Accent5 4 2 2" xfId="24160" xr:uid="{00000000-0005-0000-0000-00000A560000}"/>
    <cellStyle name="40% - Accent5 4 2 2 2" xfId="28080" xr:uid="{00000000-0005-0000-0000-00000B560000}"/>
    <cellStyle name="40% - Accent5 4 2 2 2 2" xfId="16838" xr:uid="{00000000-0005-0000-0000-00000C560000}"/>
    <cellStyle name="40% - Accent5 4 2 2 2 2 2" xfId="24995" xr:uid="{00000000-0005-0000-0000-00000D560000}"/>
    <cellStyle name="40% - Accent5 4 2 2 2 2 2 2" xfId="406" xr:uid="{00000000-0005-0000-0000-00000E560000}"/>
    <cellStyle name="40% - Accent5 4 2 2 2 2 2 2 2" xfId="15562" xr:uid="{00000000-0005-0000-0000-00000F560000}"/>
    <cellStyle name="40% - Accent5 4 2 2 2 2 2 2 2 2" xfId="24996" xr:uid="{00000000-0005-0000-0000-000010560000}"/>
    <cellStyle name="40% - Accent5 4 2 2 2 2 2 2 3" xfId="15579" xr:uid="{00000000-0005-0000-0000-000011560000}"/>
    <cellStyle name="40% - Accent5 4 2 2 2 2 2 3" xfId="25000" xr:uid="{00000000-0005-0000-0000-000012560000}"/>
    <cellStyle name="40% - Accent5 4 2 2 2 2 2 3 2" xfId="15586" xr:uid="{00000000-0005-0000-0000-000013560000}"/>
    <cellStyle name="40% - Accent5 4 2 2 2 2 2 4" xfId="25001" xr:uid="{00000000-0005-0000-0000-000014560000}"/>
    <cellStyle name="40% - Accent5 4 2 2 2 2 3" xfId="59" xr:uid="{00000000-0005-0000-0000-000015560000}"/>
    <cellStyle name="40% - Accent5 4 2 2 2 2 3 2" xfId="25004" xr:uid="{00000000-0005-0000-0000-000016560000}"/>
    <cellStyle name="40% - Accent5 4 2 2 2 2 3 2 2" xfId="15607" xr:uid="{00000000-0005-0000-0000-000017560000}"/>
    <cellStyle name="40% - Accent5 4 2 2 2 2 3 3" xfId="25006" xr:uid="{00000000-0005-0000-0000-000018560000}"/>
    <cellStyle name="40% - Accent5 4 2 2 2 2 4" xfId="30335" xr:uid="{00000000-0005-0000-0000-000019560000}"/>
    <cellStyle name="40% - Accent5 4 2 2 2 2 4 2" xfId="11299" xr:uid="{00000000-0005-0000-0000-00001A560000}"/>
    <cellStyle name="40% - Accent5 4 2 2 2 2 5" xfId="25007" xr:uid="{00000000-0005-0000-0000-00001B560000}"/>
    <cellStyle name="40% - Accent5 4 2 2 2 3" xfId="33216" xr:uid="{00000000-0005-0000-0000-00001C560000}"/>
    <cellStyle name="40% - Accent5 4 2 2 2 3 2" xfId="16572" xr:uid="{00000000-0005-0000-0000-00001D560000}"/>
    <cellStyle name="40% - Accent5 4 2 2 2 3 2 2" xfId="12090" xr:uid="{00000000-0005-0000-0000-00001E560000}"/>
    <cellStyle name="40% - Accent5 4 2 2 2 3 2 2 2" xfId="15788" xr:uid="{00000000-0005-0000-0000-00001F560000}"/>
    <cellStyle name="40% - Accent5 4 2 2 2 3 2 3" xfId="12094" xr:uid="{00000000-0005-0000-0000-000020560000}"/>
    <cellStyle name="40% - Accent5 4 2 2 2 3 3" xfId="31656" xr:uid="{00000000-0005-0000-0000-000021560000}"/>
    <cellStyle name="40% - Accent5 4 2 2 2 3 3 2" xfId="7224" xr:uid="{00000000-0005-0000-0000-000022560000}"/>
    <cellStyle name="40% - Accent5 4 2 2 2 3 4" xfId="25008" xr:uid="{00000000-0005-0000-0000-000023560000}"/>
    <cellStyle name="40% - Accent5 4 2 2 2 4" xfId="27448" xr:uid="{00000000-0005-0000-0000-000024560000}"/>
    <cellStyle name="40% - Accent5 4 2 2 2 4 2" xfId="28188" xr:uid="{00000000-0005-0000-0000-000025560000}"/>
    <cellStyle name="40% - Accent5 4 2 2 2 4 2 2" xfId="12102" xr:uid="{00000000-0005-0000-0000-000026560000}"/>
    <cellStyle name="40% - Accent5 4 2 2 2 4 3" xfId="28191" xr:uid="{00000000-0005-0000-0000-000027560000}"/>
    <cellStyle name="40% - Accent5 4 2 2 2 5" xfId="30583" xr:uid="{00000000-0005-0000-0000-000028560000}"/>
    <cellStyle name="40% - Accent5 4 2 2 2 5 2" xfId="28193" xr:uid="{00000000-0005-0000-0000-000029560000}"/>
    <cellStyle name="40% - Accent5 4 2 2 2 6" xfId="1691" xr:uid="{00000000-0005-0000-0000-00002A560000}"/>
    <cellStyle name="40% - Accent5 4 2 2 3" xfId="21973" xr:uid="{00000000-0005-0000-0000-00002B560000}"/>
    <cellStyle name="40% - Accent5 4 2 2 3 2" xfId="21976" xr:uid="{00000000-0005-0000-0000-00002C560000}"/>
    <cellStyle name="40% - Accent5 4 2 2 3 2 2" xfId="25009" xr:uid="{00000000-0005-0000-0000-00002D560000}"/>
    <cellStyle name="40% - Accent5 4 2 2 3 2 2 2" xfId="11256" xr:uid="{00000000-0005-0000-0000-00002E560000}"/>
    <cellStyle name="40% - Accent5 4 2 2 3 2 2 2 2" xfId="16122" xr:uid="{00000000-0005-0000-0000-00002F560000}"/>
    <cellStyle name="40% - Accent5 4 2 2 3 2 2 3" xfId="25013" xr:uid="{00000000-0005-0000-0000-000030560000}"/>
    <cellStyle name="40% - Accent5 4 2 2 3 2 3" xfId="28588" xr:uid="{00000000-0005-0000-0000-000031560000}"/>
    <cellStyle name="40% - Accent5 4 2 2 3 2 3 2" xfId="25015" xr:uid="{00000000-0005-0000-0000-000032560000}"/>
    <cellStyle name="40% - Accent5 4 2 2 3 2 4" xfId="32721" xr:uid="{00000000-0005-0000-0000-000033560000}"/>
    <cellStyle name="40% - Accent5 4 2 2 3 3" xfId="19207" xr:uid="{00000000-0005-0000-0000-000034560000}"/>
    <cellStyle name="40% - Accent5 4 2 2 3 3 2" xfId="29895" xr:uid="{00000000-0005-0000-0000-000035560000}"/>
    <cellStyle name="40% - Accent5 4 2 2 3 3 2 2" xfId="7216" xr:uid="{00000000-0005-0000-0000-000036560000}"/>
    <cellStyle name="40% - Accent5 4 2 2 3 3 3" xfId="25024" xr:uid="{00000000-0005-0000-0000-000037560000}"/>
    <cellStyle name="40% - Accent5 4 2 2 3 4" xfId="14449" xr:uid="{00000000-0005-0000-0000-000038560000}"/>
    <cellStyle name="40% - Accent5 4 2 2 3 4 2" xfId="32968" xr:uid="{00000000-0005-0000-0000-000039560000}"/>
    <cellStyle name="40% - Accent5 4 2 2 3 5" xfId="14453" xr:uid="{00000000-0005-0000-0000-00003A560000}"/>
    <cellStyle name="40% - Accent5 4 2 2 4" xfId="29877" xr:uid="{00000000-0005-0000-0000-00003B560000}"/>
    <cellStyle name="40% - Accent5 4 2 2 4 2" xfId="21985" xr:uid="{00000000-0005-0000-0000-00003C560000}"/>
    <cellStyle name="40% - Accent5 4 2 2 4 2 2" xfId="4011" xr:uid="{00000000-0005-0000-0000-00003D560000}"/>
    <cellStyle name="40% - Accent5 4 2 2 4 2 2 2" xfId="32404" xr:uid="{00000000-0005-0000-0000-00003E560000}"/>
    <cellStyle name="40% - Accent5 4 2 2 4 2 3" xfId="3362" xr:uid="{00000000-0005-0000-0000-00003F560000}"/>
    <cellStyle name="40% - Accent5 4 2 2 4 3" xfId="19266" xr:uid="{00000000-0005-0000-0000-000040560000}"/>
    <cellStyle name="40% - Accent5 4 2 2 4 3 2" xfId="2524" xr:uid="{00000000-0005-0000-0000-000041560000}"/>
    <cellStyle name="40% - Accent5 4 2 2 4 4" xfId="3231" xr:uid="{00000000-0005-0000-0000-000042560000}"/>
    <cellStyle name="40% - Accent5 4 2 2 5" xfId="26238" xr:uid="{00000000-0005-0000-0000-000043560000}"/>
    <cellStyle name="40% - Accent5 4 2 2 5 2" xfId="26040" xr:uid="{00000000-0005-0000-0000-000044560000}"/>
    <cellStyle name="40% - Accent5 4 2 2 5 2 2" xfId="2685" xr:uid="{00000000-0005-0000-0000-000045560000}"/>
    <cellStyle name="40% - Accent5 4 2 2 5 3" xfId="22002" xr:uid="{00000000-0005-0000-0000-000046560000}"/>
    <cellStyle name="40% - Accent5 4 2 2 6" xfId="22005" xr:uid="{00000000-0005-0000-0000-000047560000}"/>
    <cellStyle name="40% - Accent5 4 2 2 6 2" xfId="25646" xr:uid="{00000000-0005-0000-0000-000048560000}"/>
    <cellStyle name="40% - Accent5 4 2 2 7" xfId="22014" xr:uid="{00000000-0005-0000-0000-000049560000}"/>
    <cellStyle name="40% - Accent5 4 2 3" xfId="25027" xr:uid="{00000000-0005-0000-0000-00004A560000}"/>
    <cellStyle name="40% - Accent5 4 2 3 2" xfId="25598" xr:uid="{00000000-0005-0000-0000-00004B560000}"/>
    <cellStyle name="40% - Accent5 4 2 3 2 2" xfId="26808" xr:uid="{00000000-0005-0000-0000-00004C560000}"/>
    <cellStyle name="40% - Accent5 4 2 3 2 2 2" xfId="20892" xr:uid="{00000000-0005-0000-0000-00004D560000}"/>
    <cellStyle name="40% - Accent5 4 2 3 2 2 2 2" xfId="4931" xr:uid="{00000000-0005-0000-0000-00004E560000}"/>
    <cellStyle name="40% - Accent5 4 2 3 2 2 2 2 2" xfId="16882" xr:uid="{00000000-0005-0000-0000-00004F560000}"/>
    <cellStyle name="40% - Accent5 4 2 3 2 2 2 3" xfId="1362" xr:uid="{00000000-0005-0000-0000-000050560000}"/>
    <cellStyle name="40% - Accent5 4 2 3 2 2 3" xfId="25033" xr:uid="{00000000-0005-0000-0000-000051560000}"/>
    <cellStyle name="40% - Accent5 4 2 3 2 2 3 2" xfId="391" xr:uid="{00000000-0005-0000-0000-000052560000}"/>
    <cellStyle name="40% - Accent5 4 2 3 2 2 4" xfId="25036" xr:uid="{00000000-0005-0000-0000-000053560000}"/>
    <cellStyle name="40% - Accent5 4 2 3 2 3" xfId="26708" xr:uid="{00000000-0005-0000-0000-000054560000}"/>
    <cellStyle name="40% - Accent5 4 2 3 2 3 2" xfId="4215" xr:uid="{00000000-0005-0000-0000-000055560000}"/>
    <cellStyle name="40% - Accent5 4 2 3 2 3 2 2" xfId="12143" xr:uid="{00000000-0005-0000-0000-000056560000}"/>
    <cellStyle name="40% - Accent5 4 2 3 2 3 3" xfId="26799" xr:uid="{00000000-0005-0000-0000-000057560000}"/>
    <cellStyle name="40% - Accent5 4 2 3 2 4" xfId="26719" xr:uid="{00000000-0005-0000-0000-000058560000}"/>
    <cellStyle name="40% - Accent5 4 2 3 2 4 2" xfId="26802" xr:uid="{00000000-0005-0000-0000-000059560000}"/>
    <cellStyle name="40% - Accent5 4 2 3 2 5" xfId="25038" xr:uid="{00000000-0005-0000-0000-00005A560000}"/>
    <cellStyle name="40% - Accent5 4 2 3 3" xfId="22017" xr:uid="{00000000-0005-0000-0000-00005B560000}"/>
    <cellStyle name="40% - Accent5 4 2 3 3 2" xfId="22018" xr:uid="{00000000-0005-0000-0000-00005C560000}"/>
    <cellStyle name="40% - Accent5 4 2 3 3 2 2" xfId="31123" xr:uid="{00000000-0005-0000-0000-00005D560000}"/>
    <cellStyle name="40% - Accent5 4 2 3 3 2 2 2" xfId="5044" xr:uid="{00000000-0005-0000-0000-00005E560000}"/>
    <cellStyle name="40% - Accent5 4 2 3 3 2 3" xfId="25041" xr:uid="{00000000-0005-0000-0000-00005F560000}"/>
    <cellStyle name="40% - Accent5 4 2 3 3 3" xfId="19997" xr:uid="{00000000-0005-0000-0000-000060560000}"/>
    <cellStyle name="40% - Accent5 4 2 3 3 3 2" xfId="33003" xr:uid="{00000000-0005-0000-0000-000061560000}"/>
    <cellStyle name="40% - Accent5 4 2 3 3 4" xfId="8455" xr:uid="{00000000-0005-0000-0000-000062560000}"/>
    <cellStyle name="40% - Accent5 4 2 3 4" xfId="22027" xr:uid="{00000000-0005-0000-0000-000063560000}"/>
    <cellStyle name="40% - Accent5 4 2 3 4 2" xfId="17010" xr:uid="{00000000-0005-0000-0000-000064560000}"/>
    <cellStyle name="40% - Accent5 4 2 3 4 2 2" xfId="2736" xr:uid="{00000000-0005-0000-0000-000065560000}"/>
    <cellStyle name="40% - Accent5 4 2 3 4 3" xfId="24483" xr:uid="{00000000-0005-0000-0000-000066560000}"/>
    <cellStyle name="40% - Accent5 4 2 3 5" xfId="22030" xr:uid="{00000000-0005-0000-0000-000067560000}"/>
    <cellStyle name="40% - Accent5 4 2 3 5 2" xfId="17064" xr:uid="{00000000-0005-0000-0000-000068560000}"/>
    <cellStyle name="40% - Accent5 4 2 3 6" xfId="29851" xr:uid="{00000000-0005-0000-0000-000069560000}"/>
    <cellStyle name="40% - Accent5 4 2 4" xfId="25042" xr:uid="{00000000-0005-0000-0000-00006A560000}"/>
    <cellStyle name="40% - Accent5 4 2 4 2" xfId="25045" xr:uid="{00000000-0005-0000-0000-00006B560000}"/>
    <cellStyle name="40% - Accent5 4 2 4 2 2" xfId="33008" xr:uid="{00000000-0005-0000-0000-00006C560000}"/>
    <cellStyle name="40% - Accent5 4 2 4 2 2 2" xfId="27104" xr:uid="{00000000-0005-0000-0000-00006D560000}"/>
    <cellStyle name="40% - Accent5 4 2 4 2 2 2 2" xfId="2167" xr:uid="{00000000-0005-0000-0000-00006E560000}"/>
    <cellStyle name="40% - Accent5 4 2 4 2 2 3" xfId="27788" xr:uid="{00000000-0005-0000-0000-00006F560000}"/>
    <cellStyle name="40% - Accent5 4 2 4 2 3" xfId="28322" xr:uid="{00000000-0005-0000-0000-000070560000}"/>
    <cellStyle name="40% - Accent5 4 2 4 2 3 2" xfId="20381" xr:uid="{00000000-0005-0000-0000-000071560000}"/>
    <cellStyle name="40% - Accent5 4 2 4 2 4" xfId="25047" xr:uid="{00000000-0005-0000-0000-000072560000}"/>
    <cellStyle name="40% - Accent5 4 2 4 3" xfId="22033" xr:uid="{00000000-0005-0000-0000-000073560000}"/>
    <cellStyle name="40% - Accent5 4 2 4 3 2" xfId="22038" xr:uid="{00000000-0005-0000-0000-000074560000}"/>
    <cellStyle name="40% - Accent5 4 2 4 3 2 2" xfId="29284" xr:uid="{00000000-0005-0000-0000-000075560000}"/>
    <cellStyle name="40% - Accent5 4 2 4 3 3" xfId="22043" xr:uid="{00000000-0005-0000-0000-000076560000}"/>
    <cellStyle name="40% - Accent5 4 2 4 4" xfId="22051" xr:uid="{00000000-0005-0000-0000-000077560000}"/>
    <cellStyle name="40% - Accent5 4 2 4 4 2" xfId="17116" xr:uid="{00000000-0005-0000-0000-000078560000}"/>
    <cellStyle name="40% - Accent5 4 2 4 5" xfId="26639" xr:uid="{00000000-0005-0000-0000-000079560000}"/>
    <cellStyle name="40% - Accent5 4 2 5" xfId="25056" xr:uid="{00000000-0005-0000-0000-00007A560000}"/>
    <cellStyle name="40% - Accent5 4 2 5 2" xfId="25058" xr:uid="{00000000-0005-0000-0000-00007B560000}"/>
    <cellStyle name="40% - Accent5 4 2 5 2 2" xfId="33238" xr:uid="{00000000-0005-0000-0000-00007C560000}"/>
    <cellStyle name="40% - Accent5 4 2 5 2 2 2" xfId="24156" xr:uid="{00000000-0005-0000-0000-00007D560000}"/>
    <cellStyle name="40% - Accent5 4 2 5 2 3" xfId="25061" xr:uid="{00000000-0005-0000-0000-00007E560000}"/>
    <cellStyle name="40% - Accent5 4 2 5 3" xfId="22056" xr:uid="{00000000-0005-0000-0000-00007F560000}"/>
    <cellStyle name="40% - Accent5 4 2 5 3 2" xfId="908" xr:uid="{00000000-0005-0000-0000-000080560000}"/>
    <cellStyle name="40% - Accent5 4 2 5 4" xfId="22058" xr:uid="{00000000-0005-0000-0000-000081560000}"/>
    <cellStyle name="40% - Accent5 4 2 6" xfId="12588" xr:uid="{00000000-0005-0000-0000-000082560000}"/>
    <cellStyle name="40% - Accent5 4 2 6 2" xfId="25066" xr:uid="{00000000-0005-0000-0000-000083560000}"/>
    <cellStyle name="40% - Accent5 4 2 6 2 2" xfId="25070" xr:uid="{00000000-0005-0000-0000-000084560000}"/>
    <cellStyle name="40% - Accent5 4 2 6 3" xfId="23070" xr:uid="{00000000-0005-0000-0000-000085560000}"/>
    <cellStyle name="40% - Accent5 4 2 7" xfId="14627" xr:uid="{00000000-0005-0000-0000-000086560000}"/>
    <cellStyle name="40% - Accent5 4 2 7 2" xfId="16999" xr:uid="{00000000-0005-0000-0000-000087560000}"/>
    <cellStyle name="40% - Accent5 4 2 8" xfId="5545" xr:uid="{00000000-0005-0000-0000-000088560000}"/>
    <cellStyle name="40% - Accent5 4 3" xfId="21003" xr:uid="{00000000-0005-0000-0000-000089560000}"/>
    <cellStyle name="40% - Accent5 4 3 2" xfId="25072" xr:uid="{00000000-0005-0000-0000-00008A560000}"/>
    <cellStyle name="40% - Accent5 4 3 2 2" xfId="25074" xr:uid="{00000000-0005-0000-0000-00008B560000}"/>
    <cellStyle name="40% - Accent5 4 3 2 2 2" xfId="20638" xr:uid="{00000000-0005-0000-0000-00008C560000}"/>
    <cellStyle name="40% - Accent5 4 3 2 2 2 2" xfId="27498" xr:uid="{00000000-0005-0000-0000-00008D560000}"/>
    <cellStyle name="40% - Accent5 4 3 2 2 2 2 2" xfId="17364" xr:uid="{00000000-0005-0000-0000-00008E560000}"/>
    <cellStyle name="40% - Accent5 4 3 2 2 2 2 2 2" xfId="21076" xr:uid="{00000000-0005-0000-0000-00008F560000}"/>
    <cellStyle name="40% - Accent5 4 3 2 2 2 2 3" xfId="25082" xr:uid="{00000000-0005-0000-0000-000090560000}"/>
    <cellStyle name="40% - Accent5 4 3 2 2 2 3" xfId="9762" xr:uid="{00000000-0005-0000-0000-000091560000}"/>
    <cellStyle name="40% - Accent5 4 3 2 2 2 3 2" xfId="25083" xr:uid="{00000000-0005-0000-0000-000092560000}"/>
    <cellStyle name="40% - Accent5 4 3 2 2 2 4" xfId="28682" xr:uid="{00000000-0005-0000-0000-000093560000}"/>
    <cellStyle name="40% - Accent5 4 3 2 2 3" xfId="25090" xr:uid="{00000000-0005-0000-0000-000094560000}"/>
    <cellStyle name="40% - Accent5 4 3 2 2 3 2" xfId="9765" xr:uid="{00000000-0005-0000-0000-000095560000}"/>
    <cellStyle name="40% - Accent5 4 3 2 2 3 2 2" xfId="12302" xr:uid="{00000000-0005-0000-0000-000096560000}"/>
    <cellStyle name="40% - Accent5 4 3 2 2 3 3" xfId="25092" xr:uid="{00000000-0005-0000-0000-000097560000}"/>
    <cellStyle name="40% - Accent5 4 3 2 2 4" xfId="20411" xr:uid="{00000000-0005-0000-0000-000098560000}"/>
    <cellStyle name="40% - Accent5 4 3 2 2 4 2" xfId="30729" xr:uid="{00000000-0005-0000-0000-000099560000}"/>
    <cellStyle name="40% - Accent5 4 3 2 2 5" xfId="30737" xr:uid="{00000000-0005-0000-0000-00009A560000}"/>
    <cellStyle name="40% - Accent5 4 3 2 3" xfId="22362" xr:uid="{00000000-0005-0000-0000-00009B560000}"/>
    <cellStyle name="40% - Accent5 4 3 2 3 2" xfId="22103" xr:uid="{00000000-0005-0000-0000-00009C560000}"/>
    <cellStyle name="40% - Accent5 4 3 2 3 2 2" xfId="4042" xr:uid="{00000000-0005-0000-0000-00009D560000}"/>
    <cellStyle name="40% - Accent5 4 3 2 3 2 2 2" xfId="25096" xr:uid="{00000000-0005-0000-0000-00009E560000}"/>
    <cellStyle name="40% - Accent5 4 3 2 3 2 3" xfId="26634" xr:uid="{00000000-0005-0000-0000-00009F560000}"/>
    <cellStyle name="40% - Accent5 4 3 2 3 3" xfId="20845" xr:uid="{00000000-0005-0000-0000-0000A0560000}"/>
    <cellStyle name="40% - Accent5 4 3 2 3 3 2" xfId="25099" xr:uid="{00000000-0005-0000-0000-0000A1560000}"/>
    <cellStyle name="40% - Accent5 4 3 2 3 4" xfId="7480" xr:uid="{00000000-0005-0000-0000-0000A2560000}"/>
    <cellStyle name="40% - Accent5 4 3 2 4" xfId="22110" xr:uid="{00000000-0005-0000-0000-0000A3560000}"/>
    <cellStyle name="40% - Accent5 4 3 2 4 2" xfId="22119" xr:uid="{00000000-0005-0000-0000-0000A4560000}"/>
    <cellStyle name="40% - Accent5 4 3 2 4 2 2" xfId="6617" xr:uid="{00000000-0005-0000-0000-0000A5560000}"/>
    <cellStyle name="40% - Accent5 4 3 2 4 3" xfId="22123" xr:uid="{00000000-0005-0000-0000-0000A6560000}"/>
    <cellStyle name="40% - Accent5 4 3 2 5" xfId="27322" xr:uid="{00000000-0005-0000-0000-0000A7560000}"/>
    <cellStyle name="40% - Accent5 4 3 2 5 2" xfId="22127" xr:uid="{00000000-0005-0000-0000-0000A8560000}"/>
    <cellStyle name="40% - Accent5 4 3 2 6" xfId="22129" xr:uid="{00000000-0005-0000-0000-0000A9560000}"/>
    <cellStyle name="40% - Accent5 4 3 3" xfId="25105" xr:uid="{00000000-0005-0000-0000-0000AA560000}"/>
    <cellStyle name="40% - Accent5 4 3 3 2" xfId="25108" xr:uid="{00000000-0005-0000-0000-0000AB560000}"/>
    <cellStyle name="40% - Accent5 4 3 3 2 2" xfId="25113" xr:uid="{00000000-0005-0000-0000-0000AC560000}"/>
    <cellStyle name="40% - Accent5 4 3 3 2 2 2" xfId="3229" xr:uid="{00000000-0005-0000-0000-0000AD560000}"/>
    <cellStyle name="40% - Accent5 4 3 3 2 2 2 2" xfId="2637" xr:uid="{00000000-0005-0000-0000-0000AE560000}"/>
    <cellStyle name="40% - Accent5 4 3 3 2 2 3" xfId="27561" xr:uid="{00000000-0005-0000-0000-0000AF560000}"/>
    <cellStyle name="40% - Accent5 4 3 3 2 3" xfId="26816" xr:uid="{00000000-0005-0000-0000-0000B0560000}"/>
    <cellStyle name="40% - Accent5 4 3 3 2 3 2" xfId="26817" xr:uid="{00000000-0005-0000-0000-0000B1560000}"/>
    <cellStyle name="40% - Accent5 4 3 3 2 4" xfId="3878" xr:uid="{00000000-0005-0000-0000-0000B2560000}"/>
    <cellStyle name="40% - Accent5 4 3 3 3" xfId="22132" xr:uid="{00000000-0005-0000-0000-0000B3560000}"/>
    <cellStyle name="40% - Accent5 4 3 3 3 2" xfId="22136" xr:uid="{00000000-0005-0000-0000-0000B4560000}"/>
    <cellStyle name="40% - Accent5 4 3 3 3 2 2" xfId="25114" xr:uid="{00000000-0005-0000-0000-0000B5560000}"/>
    <cellStyle name="40% - Accent5 4 3 3 3 3" xfId="24886" xr:uid="{00000000-0005-0000-0000-0000B6560000}"/>
    <cellStyle name="40% - Accent5 4 3 3 4" xfId="22149" xr:uid="{00000000-0005-0000-0000-0000B7560000}"/>
    <cellStyle name="40% - Accent5 4 3 3 4 2" xfId="17231" xr:uid="{00000000-0005-0000-0000-0000B8560000}"/>
    <cellStyle name="40% - Accent5 4 3 3 5" xfId="25333" xr:uid="{00000000-0005-0000-0000-0000B9560000}"/>
    <cellStyle name="40% - Accent5 4 3 4" xfId="25115" xr:uid="{00000000-0005-0000-0000-0000BA560000}"/>
    <cellStyle name="40% - Accent5 4 3 4 2" xfId="25120" xr:uid="{00000000-0005-0000-0000-0000BB560000}"/>
    <cellStyle name="40% - Accent5 4 3 4 2 2" xfId="25126" xr:uid="{00000000-0005-0000-0000-0000BC560000}"/>
    <cellStyle name="40% - Accent5 4 3 4 2 2 2" xfId="3708" xr:uid="{00000000-0005-0000-0000-0000BD560000}"/>
    <cellStyle name="40% - Accent5 4 3 4 2 3" xfId="27710" xr:uid="{00000000-0005-0000-0000-0000BE560000}"/>
    <cellStyle name="40% - Accent5 4 3 4 3" xfId="22156" xr:uid="{00000000-0005-0000-0000-0000BF560000}"/>
    <cellStyle name="40% - Accent5 4 3 4 3 2" xfId="27718" xr:uid="{00000000-0005-0000-0000-0000C0560000}"/>
    <cellStyle name="40% - Accent5 4 3 4 4" xfId="24423" xr:uid="{00000000-0005-0000-0000-0000C1560000}"/>
    <cellStyle name="40% - Accent5 4 3 5" xfId="25131" xr:uid="{00000000-0005-0000-0000-0000C2560000}"/>
    <cellStyle name="40% - Accent5 4 3 5 2" xfId="25133" xr:uid="{00000000-0005-0000-0000-0000C3560000}"/>
    <cellStyle name="40% - Accent5 4 3 5 2 2" xfId="27738" xr:uid="{00000000-0005-0000-0000-0000C4560000}"/>
    <cellStyle name="40% - Accent5 4 3 5 3" xfId="22158" xr:uid="{00000000-0005-0000-0000-0000C5560000}"/>
    <cellStyle name="40% - Accent5 4 3 6" xfId="25136" xr:uid="{00000000-0005-0000-0000-0000C6560000}"/>
    <cellStyle name="40% - Accent5 4 3 6 2" xfId="33406" xr:uid="{00000000-0005-0000-0000-0000C7560000}"/>
    <cellStyle name="40% - Accent5 4 3 7" xfId="5555" xr:uid="{00000000-0005-0000-0000-0000C8560000}"/>
    <cellStyle name="40% - Accent5 4 4" xfId="25143" xr:uid="{00000000-0005-0000-0000-0000C9560000}"/>
    <cellStyle name="40% - Accent5 4 4 2" xfId="25147" xr:uid="{00000000-0005-0000-0000-0000CA560000}"/>
    <cellStyle name="40% - Accent5 4 4 2 2" xfId="26642" xr:uid="{00000000-0005-0000-0000-0000CB560000}"/>
    <cellStyle name="40% - Accent5 4 4 2 2 2" xfId="25150" xr:uid="{00000000-0005-0000-0000-0000CC560000}"/>
    <cellStyle name="40% - Accent5 4 4 2 2 2 2" xfId="19890" xr:uid="{00000000-0005-0000-0000-0000CD560000}"/>
    <cellStyle name="40% - Accent5 4 4 2 2 2 2 2" xfId="25153" xr:uid="{00000000-0005-0000-0000-0000CE560000}"/>
    <cellStyle name="40% - Accent5 4 4 2 2 2 3" xfId="6781" xr:uid="{00000000-0005-0000-0000-0000CF560000}"/>
    <cellStyle name="40% - Accent5 4 4 2 2 3" xfId="25154" xr:uid="{00000000-0005-0000-0000-0000D0560000}"/>
    <cellStyle name="40% - Accent5 4 4 2 2 3 2" xfId="25158" xr:uid="{00000000-0005-0000-0000-0000D1560000}"/>
    <cellStyle name="40% - Accent5 4 4 2 2 4" xfId="28200" xr:uid="{00000000-0005-0000-0000-0000D2560000}"/>
    <cellStyle name="40% - Accent5 4 4 2 3" xfId="22173" xr:uid="{00000000-0005-0000-0000-0000D3560000}"/>
    <cellStyle name="40% - Accent5 4 4 2 3 2" xfId="22180" xr:uid="{00000000-0005-0000-0000-0000D4560000}"/>
    <cellStyle name="40% - Accent5 4 4 2 3 2 2" xfId="25168" xr:uid="{00000000-0005-0000-0000-0000D5560000}"/>
    <cellStyle name="40% - Accent5 4 4 2 3 3" xfId="22182" xr:uid="{00000000-0005-0000-0000-0000D6560000}"/>
    <cellStyle name="40% - Accent5 4 4 2 4" xfId="19476" xr:uid="{00000000-0005-0000-0000-0000D7560000}"/>
    <cellStyle name="40% - Accent5 4 4 2 4 2" xfId="22186" xr:uid="{00000000-0005-0000-0000-0000D8560000}"/>
    <cellStyle name="40% - Accent5 4 4 2 5" xfId="19481" xr:uid="{00000000-0005-0000-0000-0000D9560000}"/>
    <cellStyle name="40% - Accent5 4 4 3" xfId="25173" xr:uid="{00000000-0005-0000-0000-0000DA560000}"/>
    <cellStyle name="40% - Accent5 4 4 3 2" xfId="25179" xr:uid="{00000000-0005-0000-0000-0000DB560000}"/>
    <cellStyle name="40% - Accent5 4 4 3 2 2" xfId="25185" xr:uid="{00000000-0005-0000-0000-0000DC560000}"/>
    <cellStyle name="40% - Accent5 4 4 3 2 2 2" xfId="25186" xr:uid="{00000000-0005-0000-0000-0000DD560000}"/>
    <cellStyle name="40% - Accent5 4 4 3 2 3" xfId="1466" xr:uid="{00000000-0005-0000-0000-0000DE560000}"/>
    <cellStyle name="40% - Accent5 4 4 3 3" xfId="11227" xr:uid="{00000000-0005-0000-0000-0000DF560000}"/>
    <cellStyle name="40% - Accent5 4 4 3 3 2" xfId="22191" xr:uid="{00000000-0005-0000-0000-0000E0560000}"/>
    <cellStyle name="40% - Accent5 4 4 3 4" xfId="19848" xr:uid="{00000000-0005-0000-0000-0000E1560000}"/>
    <cellStyle name="40% - Accent5 4 4 4" xfId="25189" xr:uid="{00000000-0005-0000-0000-0000E2560000}"/>
    <cellStyle name="40% - Accent5 4 4 4 2" xfId="2213" xr:uid="{00000000-0005-0000-0000-0000E3560000}"/>
    <cellStyle name="40% - Accent5 4 4 4 2 2" xfId="25191" xr:uid="{00000000-0005-0000-0000-0000E4560000}"/>
    <cellStyle name="40% - Accent5 4 4 4 3" xfId="22195" xr:uid="{00000000-0005-0000-0000-0000E5560000}"/>
    <cellStyle name="40% - Accent5 4 4 5" xfId="25194" xr:uid="{00000000-0005-0000-0000-0000E6560000}"/>
    <cellStyle name="40% - Accent5 4 4 5 2" xfId="4668" xr:uid="{00000000-0005-0000-0000-0000E7560000}"/>
    <cellStyle name="40% - Accent5 4 4 6" xfId="25200" xr:uid="{00000000-0005-0000-0000-0000E8560000}"/>
    <cellStyle name="40% - Accent5 4 5" xfId="25202" xr:uid="{00000000-0005-0000-0000-0000E9560000}"/>
    <cellStyle name="40% - Accent5 4 5 2" xfId="25204" xr:uid="{00000000-0005-0000-0000-0000EA560000}"/>
    <cellStyle name="40% - Accent5 4 5 2 2" xfId="5596" xr:uid="{00000000-0005-0000-0000-0000EB560000}"/>
    <cellStyle name="40% - Accent5 4 5 2 2 2" xfId="25206" xr:uid="{00000000-0005-0000-0000-0000EC560000}"/>
    <cellStyle name="40% - Accent5 4 5 2 2 2 2" xfId="25207" xr:uid="{00000000-0005-0000-0000-0000ED560000}"/>
    <cellStyle name="40% - Accent5 4 5 2 2 3" xfId="25213" xr:uid="{00000000-0005-0000-0000-0000EE560000}"/>
    <cellStyle name="40% - Accent5 4 5 2 3" xfId="22199" xr:uid="{00000000-0005-0000-0000-0000EF560000}"/>
    <cellStyle name="40% - Accent5 4 5 2 3 2" xfId="28569" xr:uid="{00000000-0005-0000-0000-0000F0560000}"/>
    <cellStyle name="40% - Accent5 4 5 2 4" xfId="19486" xr:uid="{00000000-0005-0000-0000-0000F1560000}"/>
    <cellStyle name="40% - Accent5 4 5 3" xfId="20266" xr:uid="{00000000-0005-0000-0000-0000F2560000}"/>
    <cellStyle name="40% - Accent5 4 5 3 2" xfId="25219" xr:uid="{00000000-0005-0000-0000-0000F3560000}"/>
    <cellStyle name="40% - Accent5 4 5 3 2 2" xfId="25225" xr:uid="{00000000-0005-0000-0000-0000F4560000}"/>
    <cellStyle name="40% - Accent5 4 5 3 3" xfId="22204" xr:uid="{00000000-0005-0000-0000-0000F5560000}"/>
    <cellStyle name="40% - Accent5 4 5 4" xfId="25226" xr:uid="{00000000-0005-0000-0000-0000F6560000}"/>
    <cellStyle name="40% - Accent5 4 5 4 2" xfId="25229" xr:uid="{00000000-0005-0000-0000-0000F7560000}"/>
    <cellStyle name="40% - Accent5 4 5 5" xfId="33722" xr:uid="{00000000-0005-0000-0000-0000F8560000}"/>
    <cellStyle name="40% - Accent5 4 6" xfId="25232" xr:uid="{00000000-0005-0000-0000-0000F9560000}"/>
    <cellStyle name="40% - Accent5 4 6 2" xfId="25235" xr:uid="{00000000-0005-0000-0000-0000FA560000}"/>
    <cellStyle name="40% - Accent5 4 6 2 2" xfId="25237" xr:uid="{00000000-0005-0000-0000-0000FB560000}"/>
    <cellStyle name="40% - Accent5 4 6 2 2 2" xfId="6139" xr:uid="{00000000-0005-0000-0000-0000FC560000}"/>
    <cellStyle name="40% - Accent5 4 6 2 3" xfId="22210" xr:uid="{00000000-0005-0000-0000-0000FD560000}"/>
    <cellStyle name="40% - Accent5 4 6 3" xfId="25238" xr:uid="{00000000-0005-0000-0000-0000FE560000}"/>
    <cellStyle name="40% - Accent5 4 6 3 2" xfId="25243" xr:uid="{00000000-0005-0000-0000-0000FF560000}"/>
    <cellStyle name="40% - Accent5 4 6 4" xfId="25244" xr:uid="{00000000-0005-0000-0000-000000570000}"/>
    <cellStyle name="40% - Accent5 4 7" xfId="25245" xr:uid="{00000000-0005-0000-0000-000001570000}"/>
    <cellStyle name="40% - Accent5 4 7 2" xfId="14773" xr:uid="{00000000-0005-0000-0000-000002570000}"/>
    <cellStyle name="40% - Accent5 4 7 2 2" xfId="19216" xr:uid="{00000000-0005-0000-0000-000003570000}"/>
    <cellStyle name="40% - Accent5 4 7 3" xfId="25246" xr:uid="{00000000-0005-0000-0000-000004570000}"/>
    <cellStyle name="40% - Accent5 4 8" xfId="25247" xr:uid="{00000000-0005-0000-0000-000005570000}"/>
    <cellStyle name="40% - Accent5 4 8 2" xfId="33493" xr:uid="{00000000-0005-0000-0000-000006570000}"/>
    <cellStyle name="40% - Accent5 4 9" xfId="7413" xr:uid="{00000000-0005-0000-0000-000007570000}"/>
    <cellStyle name="40% - Accent5 5" xfId="16976" xr:uid="{00000000-0005-0000-0000-000008570000}"/>
    <cellStyle name="40% - Accent5 5 2" xfId="25249" xr:uid="{00000000-0005-0000-0000-000009570000}"/>
    <cellStyle name="40% - Accent5 5 2 2" xfId="25252" xr:uid="{00000000-0005-0000-0000-00000A570000}"/>
    <cellStyle name="40% - Accent5 5 2 2 2" xfId="6006" xr:uid="{00000000-0005-0000-0000-00000B570000}"/>
    <cellStyle name="40% - Accent5 5 2 2 2 2" xfId="15499" xr:uid="{00000000-0005-0000-0000-00000C570000}"/>
    <cellStyle name="40% - Accent5 5 2 2 2 2 2" xfId="21955" xr:uid="{00000000-0005-0000-0000-00000D570000}"/>
    <cellStyle name="40% - Accent5 5 2 2 2 2 2 2" xfId="33755" xr:uid="{00000000-0005-0000-0000-00000E570000}"/>
    <cellStyle name="40% - Accent5 5 2 2 2 2 2 2 2" xfId="660" xr:uid="{00000000-0005-0000-0000-00000F570000}"/>
    <cellStyle name="40% - Accent5 5 2 2 2 2 2 3" xfId="29724" xr:uid="{00000000-0005-0000-0000-000010570000}"/>
    <cellStyle name="40% - Accent5 5 2 2 2 2 3" xfId="25256" xr:uid="{00000000-0005-0000-0000-000011570000}"/>
    <cellStyle name="40% - Accent5 5 2 2 2 2 3 2" xfId="7296" xr:uid="{00000000-0005-0000-0000-000012570000}"/>
    <cellStyle name="40% - Accent5 5 2 2 2 2 4" xfId="25262" xr:uid="{00000000-0005-0000-0000-000013570000}"/>
    <cellStyle name="40% - Accent5 5 2 2 2 3" xfId="25267" xr:uid="{00000000-0005-0000-0000-000014570000}"/>
    <cellStyle name="40% - Accent5 5 2 2 2 3 2" xfId="25269" xr:uid="{00000000-0005-0000-0000-000015570000}"/>
    <cellStyle name="40% - Accent5 5 2 2 2 3 2 2" xfId="160" xr:uid="{00000000-0005-0000-0000-000016570000}"/>
    <cellStyle name="40% - Accent5 5 2 2 2 3 3" xfId="25273" xr:uid="{00000000-0005-0000-0000-000017570000}"/>
    <cellStyle name="40% - Accent5 5 2 2 2 4" xfId="16846" xr:uid="{00000000-0005-0000-0000-000018570000}"/>
    <cellStyle name="40% - Accent5 5 2 2 2 4 2" xfId="25277" xr:uid="{00000000-0005-0000-0000-000019570000}"/>
    <cellStyle name="40% - Accent5 5 2 2 2 5" xfId="10627" xr:uid="{00000000-0005-0000-0000-00001A570000}"/>
    <cellStyle name="40% - Accent5 5 2 2 3" xfId="1016" xr:uid="{00000000-0005-0000-0000-00001B570000}"/>
    <cellStyle name="40% - Accent5 5 2 2 3 2" xfId="20349" xr:uid="{00000000-0005-0000-0000-00001C570000}"/>
    <cellStyle name="40% - Accent5 5 2 2 3 2 2" xfId="25284" xr:uid="{00000000-0005-0000-0000-00001D570000}"/>
    <cellStyle name="40% - Accent5 5 2 2 3 2 2 2" xfId="27948" xr:uid="{00000000-0005-0000-0000-00001E570000}"/>
    <cellStyle name="40% - Accent5 5 2 2 3 2 3" xfId="4535" xr:uid="{00000000-0005-0000-0000-00001F570000}"/>
    <cellStyle name="40% - Accent5 5 2 2 3 3" xfId="22288" xr:uid="{00000000-0005-0000-0000-000020570000}"/>
    <cellStyle name="40% - Accent5 5 2 2 3 3 2" xfId="25290" xr:uid="{00000000-0005-0000-0000-000021570000}"/>
    <cellStyle name="40% - Accent5 5 2 2 3 4" xfId="14593" xr:uid="{00000000-0005-0000-0000-000022570000}"/>
    <cellStyle name="40% - Accent5 5 2 2 4" xfId="22296" xr:uid="{00000000-0005-0000-0000-000023570000}"/>
    <cellStyle name="40% - Accent5 5 2 2 4 2" xfId="22309" xr:uid="{00000000-0005-0000-0000-000024570000}"/>
    <cellStyle name="40% - Accent5 5 2 2 4 2 2" xfId="4027" xr:uid="{00000000-0005-0000-0000-000025570000}"/>
    <cellStyle name="40% - Accent5 5 2 2 4 3" xfId="22321" xr:uid="{00000000-0005-0000-0000-000026570000}"/>
    <cellStyle name="40% - Accent5 5 2 2 5" xfId="22323" xr:uid="{00000000-0005-0000-0000-000027570000}"/>
    <cellStyle name="40% - Accent5 5 2 2 5 2" xfId="362" xr:uid="{00000000-0005-0000-0000-000028570000}"/>
    <cellStyle name="40% - Accent5 5 2 2 6" xfId="22328" xr:uid="{00000000-0005-0000-0000-000029570000}"/>
    <cellStyle name="40% - Accent5 5 2 3" xfId="10617" xr:uid="{00000000-0005-0000-0000-00002A570000}"/>
    <cellStyle name="40% - Accent5 5 2 3 2" xfId="11406" xr:uid="{00000000-0005-0000-0000-00002B570000}"/>
    <cellStyle name="40% - Accent5 5 2 3 2 2" xfId="25294" xr:uid="{00000000-0005-0000-0000-00002C570000}"/>
    <cellStyle name="40% - Accent5 5 2 3 2 2 2" xfId="25296" xr:uid="{00000000-0005-0000-0000-00002D570000}"/>
    <cellStyle name="40% - Accent5 5 2 3 2 2 2 2" xfId="16918" xr:uid="{00000000-0005-0000-0000-00002E570000}"/>
    <cellStyle name="40% - Accent5 5 2 3 2 2 3" xfId="25299" xr:uid="{00000000-0005-0000-0000-00002F570000}"/>
    <cellStyle name="40% - Accent5 5 2 3 2 3" xfId="25302" xr:uid="{00000000-0005-0000-0000-000030570000}"/>
    <cellStyle name="40% - Accent5 5 2 3 2 3 2" xfId="8509" xr:uid="{00000000-0005-0000-0000-000031570000}"/>
    <cellStyle name="40% - Accent5 5 2 3 2 4" xfId="25308" xr:uid="{00000000-0005-0000-0000-000032570000}"/>
    <cellStyle name="40% - Accent5 5 2 3 3" xfId="22334" xr:uid="{00000000-0005-0000-0000-000033570000}"/>
    <cellStyle name="40% - Accent5 5 2 3 3 2" xfId="22339" xr:uid="{00000000-0005-0000-0000-000034570000}"/>
    <cellStyle name="40% - Accent5 5 2 3 3 2 2" xfId="31908" xr:uid="{00000000-0005-0000-0000-000035570000}"/>
    <cellStyle name="40% - Accent5 5 2 3 3 3" xfId="26303" xr:uid="{00000000-0005-0000-0000-000036570000}"/>
    <cellStyle name="40% - Accent5 5 2 3 4" xfId="22343" xr:uid="{00000000-0005-0000-0000-000037570000}"/>
    <cellStyle name="40% - Accent5 5 2 3 4 2" xfId="17588" xr:uid="{00000000-0005-0000-0000-000038570000}"/>
    <cellStyle name="40% - Accent5 5 2 3 5" xfId="29350" xr:uid="{00000000-0005-0000-0000-000039570000}"/>
    <cellStyle name="40% - Accent5 5 2 4" xfId="10619" xr:uid="{00000000-0005-0000-0000-00003A570000}"/>
    <cellStyle name="40% - Accent5 5 2 4 2" xfId="25315" xr:uid="{00000000-0005-0000-0000-00003B570000}"/>
    <cellStyle name="40% - Accent5 5 2 4 2 2" xfId="18769" xr:uid="{00000000-0005-0000-0000-00003C570000}"/>
    <cellStyle name="40% - Accent5 5 2 4 2 2 2" xfId="25318" xr:uid="{00000000-0005-0000-0000-00003D570000}"/>
    <cellStyle name="40% - Accent5 5 2 4 2 3" xfId="25326" xr:uid="{00000000-0005-0000-0000-00003E570000}"/>
    <cellStyle name="40% - Accent5 5 2 4 3" xfId="22355" xr:uid="{00000000-0005-0000-0000-00003F570000}"/>
    <cellStyle name="40% - Accent5 5 2 4 3 2" xfId="22363" xr:uid="{00000000-0005-0000-0000-000040570000}"/>
    <cellStyle name="40% - Accent5 5 2 4 4" xfId="22374" xr:uid="{00000000-0005-0000-0000-000041570000}"/>
    <cellStyle name="40% - Accent5 5 2 5" xfId="25329" xr:uid="{00000000-0005-0000-0000-000042570000}"/>
    <cellStyle name="40% - Accent5 5 2 5 2" xfId="25794" xr:uid="{00000000-0005-0000-0000-000043570000}"/>
    <cellStyle name="40% - Accent5 5 2 5 2 2" xfId="25339" xr:uid="{00000000-0005-0000-0000-000044570000}"/>
    <cellStyle name="40% - Accent5 5 2 5 3" xfId="841" xr:uid="{00000000-0005-0000-0000-000045570000}"/>
    <cellStyle name="40% - Accent5 5 2 6" xfId="21661" xr:uid="{00000000-0005-0000-0000-000046570000}"/>
    <cellStyle name="40% - Accent5 5 2 6 2" xfId="25348" xr:uid="{00000000-0005-0000-0000-000047570000}"/>
    <cellStyle name="40% - Accent5 5 2 7" xfId="5741" xr:uid="{00000000-0005-0000-0000-000048570000}"/>
    <cellStyle name="40% - Accent5 5 3" xfId="9949" xr:uid="{00000000-0005-0000-0000-000049570000}"/>
    <cellStyle name="40% - Accent5 5 3 2" xfId="25352" xr:uid="{00000000-0005-0000-0000-00004A570000}"/>
    <cellStyle name="40% - Accent5 5 3 2 2" xfId="11582" xr:uid="{00000000-0005-0000-0000-00004B570000}"/>
    <cellStyle name="40% - Accent5 5 3 2 2 2" xfId="25357" xr:uid="{00000000-0005-0000-0000-00004C570000}"/>
    <cellStyle name="40% - Accent5 5 3 2 2 2 2" xfId="21555" xr:uid="{00000000-0005-0000-0000-00004D570000}"/>
    <cellStyle name="40% - Accent5 5 3 2 2 2 2 2" xfId="23839" xr:uid="{00000000-0005-0000-0000-00004E570000}"/>
    <cellStyle name="40% - Accent5 5 3 2 2 2 3" xfId="25362" xr:uid="{00000000-0005-0000-0000-00004F570000}"/>
    <cellStyle name="40% - Accent5 5 3 2 2 3" xfId="25367" xr:uid="{00000000-0005-0000-0000-000050570000}"/>
    <cellStyle name="40% - Accent5 5 3 2 2 3 2" xfId="25370" xr:uid="{00000000-0005-0000-0000-000051570000}"/>
    <cellStyle name="40% - Accent5 5 3 2 2 4" xfId="25371" xr:uid="{00000000-0005-0000-0000-000052570000}"/>
    <cellStyle name="40% - Accent5 5 3 2 3" xfId="22410" xr:uid="{00000000-0005-0000-0000-000053570000}"/>
    <cellStyle name="40% - Accent5 5 3 2 3 2" xfId="22419" xr:uid="{00000000-0005-0000-0000-000054570000}"/>
    <cellStyle name="40% - Accent5 5 3 2 3 2 2" xfId="25373" xr:uid="{00000000-0005-0000-0000-000055570000}"/>
    <cellStyle name="40% - Accent5 5 3 2 3 3" xfId="24843" xr:uid="{00000000-0005-0000-0000-000056570000}"/>
    <cellStyle name="40% - Accent5 5 3 2 4" xfId="25441" xr:uid="{00000000-0005-0000-0000-000057570000}"/>
    <cellStyle name="40% - Accent5 5 3 2 4 2" xfId="22427" xr:uid="{00000000-0005-0000-0000-000058570000}"/>
    <cellStyle name="40% - Accent5 5 3 2 5" xfId="14372" xr:uid="{00000000-0005-0000-0000-000059570000}"/>
    <cellStyle name="40% - Accent5 5 3 3" xfId="10114" xr:uid="{00000000-0005-0000-0000-00005A570000}"/>
    <cellStyle name="40% - Accent5 5 3 3 2" xfId="24521" xr:uid="{00000000-0005-0000-0000-00005B570000}"/>
    <cellStyle name="40% - Accent5 5 3 3 2 2" xfId="25377" xr:uid="{00000000-0005-0000-0000-00005C570000}"/>
    <cellStyle name="40% - Accent5 5 3 3 2 2 2" xfId="25382" xr:uid="{00000000-0005-0000-0000-00005D570000}"/>
    <cellStyle name="40% - Accent5 5 3 3 2 3" xfId="25386" xr:uid="{00000000-0005-0000-0000-00005E570000}"/>
    <cellStyle name="40% - Accent5 5 3 3 3" xfId="22430" xr:uid="{00000000-0005-0000-0000-00005F570000}"/>
    <cellStyle name="40% - Accent5 5 3 3 3 2" xfId="22443" xr:uid="{00000000-0005-0000-0000-000060570000}"/>
    <cellStyle name="40% - Accent5 5 3 3 4" xfId="23907" xr:uid="{00000000-0005-0000-0000-000061570000}"/>
    <cellStyle name="40% - Accent5 5 3 4" xfId="25396" xr:uid="{00000000-0005-0000-0000-000062570000}"/>
    <cellStyle name="40% - Accent5 5 3 4 2" xfId="25401" xr:uid="{00000000-0005-0000-0000-000063570000}"/>
    <cellStyle name="40% - Accent5 5 3 4 2 2" xfId="25403" xr:uid="{00000000-0005-0000-0000-000064570000}"/>
    <cellStyle name="40% - Accent5 5 3 4 3" xfId="22444" xr:uid="{00000000-0005-0000-0000-000065570000}"/>
    <cellStyle name="40% - Accent5 5 3 5" xfId="25406" xr:uid="{00000000-0005-0000-0000-000066570000}"/>
    <cellStyle name="40% - Accent5 5 3 5 2" xfId="28661" xr:uid="{00000000-0005-0000-0000-000067570000}"/>
    <cellStyle name="40% - Accent5 5 3 6" xfId="28671" xr:uid="{00000000-0005-0000-0000-000068570000}"/>
    <cellStyle name="40% - Accent5 5 4" xfId="25408" xr:uid="{00000000-0005-0000-0000-000069570000}"/>
    <cellStyle name="40% - Accent5 5 4 2" xfId="25410" xr:uid="{00000000-0005-0000-0000-00006A570000}"/>
    <cellStyle name="40% - Accent5 5 4 2 2" xfId="25412" xr:uid="{00000000-0005-0000-0000-00006B570000}"/>
    <cellStyle name="40% - Accent5 5 4 2 2 2" xfId="25415" xr:uid="{00000000-0005-0000-0000-00006C570000}"/>
    <cellStyle name="40% - Accent5 5 4 2 2 2 2" xfId="25417" xr:uid="{00000000-0005-0000-0000-00006D570000}"/>
    <cellStyle name="40% - Accent5 5 4 2 2 3" xfId="25422" xr:uid="{00000000-0005-0000-0000-00006E570000}"/>
    <cellStyle name="40% - Accent5 5 4 2 3" xfId="22479" xr:uid="{00000000-0005-0000-0000-00006F570000}"/>
    <cellStyle name="40% - Accent5 5 4 2 3 2" xfId="22486" xr:uid="{00000000-0005-0000-0000-000070570000}"/>
    <cellStyle name="40% - Accent5 5 4 2 4" xfId="23651" xr:uid="{00000000-0005-0000-0000-000071570000}"/>
    <cellStyle name="40% - Accent5 5 4 3" xfId="25428" xr:uid="{00000000-0005-0000-0000-000072570000}"/>
    <cellStyle name="40% - Accent5 5 4 3 2" xfId="25432" xr:uid="{00000000-0005-0000-0000-000073570000}"/>
    <cellStyle name="40% - Accent5 5 4 3 2 2" xfId="25435" xr:uid="{00000000-0005-0000-0000-000074570000}"/>
    <cellStyle name="40% - Accent5 5 4 3 3" xfId="27848" xr:uid="{00000000-0005-0000-0000-000075570000}"/>
    <cellStyle name="40% - Accent5 5 4 4" xfId="5657" xr:uid="{00000000-0005-0000-0000-000076570000}"/>
    <cellStyle name="40% - Accent5 5 4 4 2" xfId="27793" xr:uid="{00000000-0005-0000-0000-000077570000}"/>
    <cellStyle name="40% - Accent5 5 4 5" xfId="25437" xr:uid="{00000000-0005-0000-0000-000078570000}"/>
    <cellStyle name="40% - Accent5 5 5" xfId="25439" xr:uid="{00000000-0005-0000-0000-000079570000}"/>
    <cellStyle name="40% - Accent5 5 5 2" xfId="25446" xr:uid="{00000000-0005-0000-0000-00007A570000}"/>
    <cellStyle name="40% - Accent5 5 5 2 2" xfId="25086" xr:uid="{00000000-0005-0000-0000-00007B570000}"/>
    <cellStyle name="40% - Accent5 5 5 2 2 2" xfId="25456" xr:uid="{00000000-0005-0000-0000-00007C570000}"/>
    <cellStyle name="40% - Accent5 5 5 2 3" xfId="22500" xr:uid="{00000000-0005-0000-0000-00007D570000}"/>
    <cellStyle name="40% - Accent5 5 5 3" xfId="25459" xr:uid="{00000000-0005-0000-0000-00007E570000}"/>
    <cellStyle name="40% - Accent5 5 5 3 2" xfId="25465" xr:uid="{00000000-0005-0000-0000-00007F570000}"/>
    <cellStyle name="40% - Accent5 5 5 4" xfId="25468" xr:uid="{00000000-0005-0000-0000-000080570000}"/>
    <cellStyle name="40% - Accent5 5 6" xfId="24295" xr:uid="{00000000-0005-0000-0000-000081570000}"/>
    <cellStyle name="40% - Accent5 5 6 2" xfId="25470" xr:uid="{00000000-0005-0000-0000-000082570000}"/>
    <cellStyle name="40% - Accent5 5 6 2 2" xfId="1239" xr:uid="{00000000-0005-0000-0000-000083570000}"/>
    <cellStyle name="40% - Accent5 5 6 3" xfId="25471" xr:uid="{00000000-0005-0000-0000-000084570000}"/>
    <cellStyle name="40% - Accent5 5 7" xfId="25475" xr:uid="{00000000-0005-0000-0000-000085570000}"/>
    <cellStyle name="40% - Accent5 5 7 2" xfId="25476" xr:uid="{00000000-0005-0000-0000-000086570000}"/>
    <cellStyle name="40% - Accent5 5 8" xfId="23500" xr:uid="{00000000-0005-0000-0000-000087570000}"/>
    <cellStyle name="40% - Accent5 6" xfId="19212" xr:uid="{00000000-0005-0000-0000-000088570000}"/>
    <cellStyle name="40% - Accent5 6 2" xfId="19320" xr:uid="{00000000-0005-0000-0000-000089570000}"/>
    <cellStyle name="40% - Accent5 6 2 2" xfId="22530" xr:uid="{00000000-0005-0000-0000-00008A570000}"/>
    <cellStyle name="40% - Accent5 6 2 2 2" xfId="19324" xr:uid="{00000000-0005-0000-0000-00008B570000}"/>
    <cellStyle name="40% - Accent5 6 2 2 2 2" xfId="25480" xr:uid="{00000000-0005-0000-0000-00008C570000}"/>
    <cellStyle name="40% - Accent5 6 2 2 2 2 2" xfId="24929" xr:uid="{00000000-0005-0000-0000-00008D570000}"/>
    <cellStyle name="40% - Accent5 6 2 2 2 2 2 2" xfId="1745" xr:uid="{00000000-0005-0000-0000-00008E570000}"/>
    <cellStyle name="40% - Accent5 6 2 2 2 2 3" xfId="24935" xr:uid="{00000000-0005-0000-0000-00008F570000}"/>
    <cellStyle name="40% - Accent5 6 2 2 2 3" xfId="25049" xr:uid="{00000000-0005-0000-0000-000090570000}"/>
    <cellStyle name="40% - Accent5 6 2 2 2 3 2" xfId="24968" xr:uid="{00000000-0005-0000-0000-000091570000}"/>
    <cellStyle name="40% - Accent5 6 2 2 2 4" xfId="23679" xr:uid="{00000000-0005-0000-0000-000092570000}"/>
    <cellStyle name="40% - Accent5 6 2 2 3" xfId="22523" xr:uid="{00000000-0005-0000-0000-000093570000}"/>
    <cellStyle name="40% - Accent5 6 2 2 3 2" xfId="27809" xr:uid="{00000000-0005-0000-0000-000094570000}"/>
    <cellStyle name="40% - Accent5 6 2 2 3 2 2" xfId="25193" xr:uid="{00000000-0005-0000-0000-000095570000}"/>
    <cellStyle name="40% - Accent5 6 2 2 3 3" xfId="22540" xr:uid="{00000000-0005-0000-0000-000096570000}"/>
    <cellStyle name="40% - Accent5 6 2 2 4" xfId="22542" xr:uid="{00000000-0005-0000-0000-000097570000}"/>
    <cellStyle name="40% - Accent5 6 2 2 4 2" xfId="20558" xr:uid="{00000000-0005-0000-0000-000098570000}"/>
    <cellStyle name="40% - Accent5 6 2 2 5" xfId="22545" xr:uid="{00000000-0005-0000-0000-000099570000}"/>
    <cellStyle name="40% - Accent5 6 2 3" xfId="19388" xr:uid="{00000000-0005-0000-0000-00009A570000}"/>
    <cellStyle name="40% - Accent5 6 2 3 2" xfId="25493" xr:uid="{00000000-0005-0000-0000-00009B570000}"/>
    <cellStyle name="40% - Accent5 6 2 3 2 2" xfId="25499" xr:uid="{00000000-0005-0000-0000-00009C570000}"/>
    <cellStyle name="40% - Accent5 6 2 3 2 2 2" xfId="8840" xr:uid="{00000000-0005-0000-0000-00009D570000}"/>
    <cellStyle name="40% - Accent5 6 2 3 2 3" xfId="25503" xr:uid="{00000000-0005-0000-0000-00009E570000}"/>
    <cellStyle name="40% - Accent5 6 2 3 3" xfId="22548" xr:uid="{00000000-0005-0000-0000-00009F570000}"/>
    <cellStyle name="40% - Accent5 6 2 3 3 2" xfId="22301" xr:uid="{00000000-0005-0000-0000-0000A0570000}"/>
    <cellStyle name="40% - Accent5 6 2 3 4" xfId="19603" xr:uid="{00000000-0005-0000-0000-0000A1570000}"/>
    <cellStyle name="40% - Accent5 6 2 4" xfId="8748" xr:uid="{00000000-0005-0000-0000-0000A2570000}"/>
    <cellStyle name="40% - Accent5 6 2 4 2" xfId="25509" xr:uid="{00000000-0005-0000-0000-0000A3570000}"/>
    <cellStyle name="40% - Accent5 6 2 4 2 2" xfId="19453" xr:uid="{00000000-0005-0000-0000-0000A4570000}"/>
    <cellStyle name="40% - Accent5 6 2 4 3" xfId="22554" xr:uid="{00000000-0005-0000-0000-0000A5570000}"/>
    <cellStyle name="40% - Accent5 6 2 5" xfId="11285" xr:uid="{00000000-0005-0000-0000-0000A6570000}"/>
    <cellStyle name="40% - Accent5 6 2 5 2" xfId="25514" xr:uid="{00000000-0005-0000-0000-0000A7570000}"/>
    <cellStyle name="40% - Accent5 6 2 6" xfId="3882" xr:uid="{00000000-0005-0000-0000-0000A8570000}"/>
    <cellStyle name="40% - Accent5 6 3" xfId="19469" xr:uid="{00000000-0005-0000-0000-0000A9570000}"/>
    <cellStyle name="40% - Accent5 6 3 2" xfId="25518" xr:uid="{00000000-0005-0000-0000-0000AA570000}"/>
    <cellStyle name="40% - Accent5 6 3 2 2" xfId="25524" xr:uid="{00000000-0005-0000-0000-0000AB570000}"/>
    <cellStyle name="40% - Accent5 6 3 2 2 2" xfId="25527" xr:uid="{00000000-0005-0000-0000-0000AC570000}"/>
    <cellStyle name="40% - Accent5 6 3 2 2 2 2" xfId="23697" xr:uid="{00000000-0005-0000-0000-0000AD570000}"/>
    <cellStyle name="40% - Accent5 6 3 2 2 3" xfId="25534" xr:uid="{00000000-0005-0000-0000-0000AE570000}"/>
    <cellStyle name="40% - Accent5 6 3 2 3" xfId="22576" xr:uid="{00000000-0005-0000-0000-0000AF570000}"/>
    <cellStyle name="40% - Accent5 6 3 2 3 2" xfId="24266" xr:uid="{00000000-0005-0000-0000-0000B0570000}"/>
    <cellStyle name="40% - Accent5 6 3 2 4" xfId="20603" xr:uid="{00000000-0005-0000-0000-0000B1570000}"/>
    <cellStyle name="40% - Accent5 6 3 3" xfId="19493" xr:uid="{00000000-0005-0000-0000-0000B2570000}"/>
    <cellStyle name="40% - Accent5 6 3 3 2" xfId="25538" xr:uid="{00000000-0005-0000-0000-0000B3570000}"/>
    <cellStyle name="40% - Accent5 6 3 3 2 2" xfId="20293" xr:uid="{00000000-0005-0000-0000-0000B4570000}"/>
    <cellStyle name="40% - Accent5 6 3 3 3" xfId="22583" xr:uid="{00000000-0005-0000-0000-0000B5570000}"/>
    <cellStyle name="40% - Accent5 6 3 4" xfId="11290" xr:uid="{00000000-0005-0000-0000-0000B6570000}"/>
    <cellStyle name="40% - Accent5 6 3 4 2" xfId="25542" xr:uid="{00000000-0005-0000-0000-0000B7570000}"/>
    <cellStyle name="40% - Accent5 6 3 5" xfId="25548" xr:uid="{00000000-0005-0000-0000-0000B8570000}"/>
    <cellStyle name="40% - Accent5 6 4" xfId="19543" xr:uid="{00000000-0005-0000-0000-0000B9570000}"/>
    <cellStyle name="40% - Accent5 6 4 2" xfId="19545" xr:uid="{00000000-0005-0000-0000-0000BA570000}"/>
    <cellStyle name="40% - Accent5 6 4 2 2" xfId="25563" xr:uid="{00000000-0005-0000-0000-0000BB570000}"/>
    <cellStyle name="40% - Accent5 6 4 2 2 2" xfId="25566" xr:uid="{00000000-0005-0000-0000-0000BC570000}"/>
    <cellStyle name="40% - Accent5 6 4 2 3" xfId="22593" xr:uid="{00000000-0005-0000-0000-0000BD570000}"/>
    <cellStyle name="40% - Accent5 6 4 3" xfId="19555" xr:uid="{00000000-0005-0000-0000-0000BE570000}"/>
    <cellStyle name="40% - Accent5 6 4 3 2" xfId="25571" xr:uid="{00000000-0005-0000-0000-0000BF570000}"/>
    <cellStyle name="40% - Accent5 6 4 4" xfId="23585" xr:uid="{00000000-0005-0000-0000-0000C0570000}"/>
    <cellStyle name="40% - Accent5 6 5" xfId="25574" xr:uid="{00000000-0005-0000-0000-0000C1570000}"/>
    <cellStyle name="40% - Accent5 6 5 2" xfId="19574" xr:uid="{00000000-0005-0000-0000-0000C2570000}"/>
    <cellStyle name="40% - Accent5 6 5 2 2" xfId="24370" xr:uid="{00000000-0005-0000-0000-0000C3570000}"/>
    <cellStyle name="40% - Accent5 6 5 3" xfId="19580" xr:uid="{00000000-0005-0000-0000-0000C4570000}"/>
    <cellStyle name="40% - Accent5 6 6" xfId="25577" xr:uid="{00000000-0005-0000-0000-0000C5570000}"/>
    <cellStyle name="40% - Accent5 6 6 2" xfId="25581" xr:uid="{00000000-0005-0000-0000-0000C6570000}"/>
    <cellStyle name="40% - Accent5 6 7" xfId="25587" xr:uid="{00000000-0005-0000-0000-0000C7570000}"/>
    <cellStyle name="40% - Accent5 7" xfId="19589" xr:uid="{00000000-0005-0000-0000-0000C8570000}"/>
    <cellStyle name="40% - Accent5 7 2" xfId="19596" xr:uid="{00000000-0005-0000-0000-0000C9570000}"/>
    <cellStyle name="40% - Accent5 7 2 2" xfId="19598" xr:uid="{00000000-0005-0000-0000-0000CA570000}"/>
    <cellStyle name="40% - Accent5 7 2 2 2" xfId="15966" xr:uid="{00000000-0005-0000-0000-0000CB570000}"/>
    <cellStyle name="40% - Accent5 7 2 2 2 2" xfId="1248" xr:uid="{00000000-0005-0000-0000-0000CC570000}"/>
    <cellStyle name="40% - Accent5 7 2 2 2 2 2" xfId="19993" xr:uid="{00000000-0005-0000-0000-0000CD570000}"/>
    <cellStyle name="40% - Accent5 7 2 2 2 3" xfId="25591" xr:uid="{00000000-0005-0000-0000-0000CE570000}"/>
    <cellStyle name="40% - Accent5 7 2 2 3" xfId="23742" xr:uid="{00000000-0005-0000-0000-0000CF570000}"/>
    <cellStyle name="40% - Accent5 7 2 2 3 2" xfId="22620" xr:uid="{00000000-0005-0000-0000-0000D0570000}"/>
    <cellStyle name="40% - Accent5 7 2 2 4" xfId="20283" xr:uid="{00000000-0005-0000-0000-0000D1570000}"/>
    <cellStyle name="40% - Accent5 7 2 3" xfId="19634" xr:uid="{00000000-0005-0000-0000-0000D2570000}"/>
    <cellStyle name="40% - Accent5 7 2 3 2" xfId="23705" xr:uid="{00000000-0005-0000-0000-0000D3570000}"/>
    <cellStyle name="40% - Accent5 7 2 3 2 2" xfId="20264" xr:uid="{00000000-0005-0000-0000-0000D4570000}"/>
    <cellStyle name="40% - Accent5 7 2 3 3" xfId="23486" xr:uid="{00000000-0005-0000-0000-0000D5570000}"/>
    <cellStyle name="40% - Accent5 7 2 4" xfId="19650" xr:uid="{00000000-0005-0000-0000-0000D6570000}"/>
    <cellStyle name="40% - Accent5 7 2 4 2" xfId="25595" xr:uid="{00000000-0005-0000-0000-0000D7570000}"/>
    <cellStyle name="40% - Accent5 7 2 5" xfId="28925" xr:uid="{00000000-0005-0000-0000-0000D8570000}"/>
    <cellStyle name="40% - Accent5 7 3" xfId="19656" xr:uid="{00000000-0005-0000-0000-0000D9570000}"/>
    <cellStyle name="40% - Accent5 7 3 2" xfId="19660" xr:uid="{00000000-0005-0000-0000-0000DA570000}"/>
    <cellStyle name="40% - Accent5 7 3 2 2" xfId="25601" xr:uid="{00000000-0005-0000-0000-0000DB570000}"/>
    <cellStyle name="40% - Accent5 7 3 2 2 2" xfId="26357" xr:uid="{00000000-0005-0000-0000-0000DC570000}"/>
    <cellStyle name="40% - Accent5 7 3 2 3" xfId="23764" xr:uid="{00000000-0005-0000-0000-0000DD570000}"/>
    <cellStyle name="40% - Accent5 7 3 3" xfId="15212" xr:uid="{00000000-0005-0000-0000-0000DE570000}"/>
    <cellStyle name="40% - Accent5 7 3 3 2" xfId="25603" xr:uid="{00000000-0005-0000-0000-0000DF570000}"/>
    <cellStyle name="40% - Accent5 7 3 4" xfId="25100" xr:uid="{00000000-0005-0000-0000-0000E0570000}"/>
    <cellStyle name="40% - Accent5 7 4" xfId="20119" xr:uid="{00000000-0005-0000-0000-0000E1570000}"/>
    <cellStyle name="40% - Accent5 7 4 2" xfId="19674" xr:uid="{00000000-0005-0000-0000-0000E2570000}"/>
    <cellStyle name="40% - Accent5 7 4 2 2" xfId="25611" xr:uid="{00000000-0005-0000-0000-0000E3570000}"/>
    <cellStyle name="40% - Accent5 7 4 3" xfId="19684" xr:uid="{00000000-0005-0000-0000-0000E4570000}"/>
    <cellStyle name="40% - Accent5 7 5" xfId="15136" xr:uid="{00000000-0005-0000-0000-0000E5570000}"/>
    <cellStyle name="40% - Accent5 7 5 2" xfId="22490" xr:uid="{00000000-0005-0000-0000-0000E6570000}"/>
    <cellStyle name="40% - Accent5 7 6" xfId="15140" xr:uid="{00000000-0005-0000-0000-0000E7570000}"/>
    <cellStyle name="40% - Accent5 8" xfId="19695" xr:uid="{00000000-0005-0000-0000-0000E8570000}"/>
    <cellStyle name="40% - Accent5 8 2" xfId="19706" xr:uid="{00000000-0005-0000-0000-0000E9570000}"/>
    <cellStyle name="40% - Accent5 8 2 2" xfId="19232" xr:uid="{00000000-0005-0000-0000-0000EA570000}"/>
    <cellStyle name="40% - Accent5 8 2 2 2" xfId="23307" xr:uid="{00000000-0005-0000-0000-0000EB570000}"/>
    <cellStyle name="40% - Accent5 8 2 2 2 2" xfId="22573" xr:uid="{00000000-0005-0000-0000-0000EC570000}"/>
    <cellStyle name="40% - Accent5 8 2 2 3" xfId="22666" xr:uid="{00000000-0005-0000-0000-0000ED570000}"/>
    <cellStyle name="40% - Accent5 8 2 3" xfId="19259" xr:uid="{00000000-0005-0000-0000-0000EE570000}"/>
    <cellStyle name="40% - Accent5 8 2 3 2" xfId="19330" xr:uid="{00000000-0005-0000-0000-0000EF570000}"/>
    <cellStyle name="40% - Accent5 8 2 4" xfId="19273" xr:uid="{00000000-0005-0000-0000-0000F0570000}"/>
    <cellStyle name="40% - Accent5 8 3" xfId="19716" xr:uid="{00000000-0005-0000-0000-0000F1570000}"/>
    <cellStyle name="40% - Accent5 8 3 2" xfId="18524" xr:uid="{00000000-0005-0000-0000-0000F2570000}"/>
    <cellStyle name="40% - Accent5 8 3 2 2" xfId="25620" xr:uid="{00000000-0005-0000-0000-0000F3570000}"/>
    <cellStyle name="40% - Accent5 8 3 3" xfId="19302" xr:uid="{00000000-0005-0000-0000-0000F4570000}"/>
    <cellStyle name="40% - Accent5 8 4" xfId="19717" xr:uid="{00000000-0005-0000-0000-0000F5570000}"/>
    <cellStyle name="40% - Accent5 8 4 2" xfId="6020" xr:uid="{00000000-0005-0000-0000-0000F6570000}"/>
    <cellStyle name="40% - Accent5 8 5" xfId="15144" xr:uid="{00000000-0005-0000-0000-0000F7570000}"/>
    <cellStyle name="40% - Accent5 9" xfId="21484" xr:uid="{00000000-0005-0000-0000-0000F8570000}"/>
    <cellStyle name="40% - Accent5 9 2" xfId="12957" xr:uid="{00000000-0005-0000-0000-0000F9570000}"/>
    <cellStyle name="40% - Accent5 9 2 2" xfId="19719" xr:uid="{00000000-0005-0000-0000-0000FA570000}"/>
    <cellStyle name="40% - Accent5 9 2 2 2" xfId="19624" xr:uid="{00000000-0005-0000-0000-0000FB570000}"/>
    <cellStyle name="40% - Accent5 9 2 3" xfId="19744" xr:uid="{00000000-0005-0000-0000-0000FC570000}"/>
    <cellStyle name="40% - Accent5 9 3" xfId="19723" xr:uid="{00000000-0005-0000-0000-0000FD570000}"/>
    <cellStyle name="40% - Accent5 9 3 2" xfId="19725" xr:uid="{00000000-0005-0000-0000-0000FE570000}"/>
    <cellStyle name="40% - Accent5 9 4" xfId="19747" xr:uid="{00000000-0005-0000-0000-0000FF570000}"/>
    <cellStyle name="40% - Accent6 10" xfId="7544" xr:uid="{00000000-0005-0000-0000-000000580000}"/>
    <cellStyle name="40% - Accent6 10 2" xfId="7550" xr:uid="{00000000-0005-0000-0000-000001580000}"/>
    <cellStyle name="40% - Accent6 10 2 2" xfId="8482" xr:uid="{00000000-0005-0000-0000-000002580000}"/>
    <cellStyle name="40% - Accent6 10 3" xfId="7568" xr:uid="{00000000-0005-0000-0000-000003580000}"/>
    <cellStyle name="40% - Accent6 11" xfId="7576" xr:uid="{00000000-0005-0000-0000-000004580000}"/>
    <cellStyle name="40% - Accent6 11 2" xfId="7586" xr:uid="{00000000-0005-0000-0000-000005580000}"/>
    <cellStyle name="40% - Accent6 12" xfId="5358" xr:uid="{00000000-0005-0000-0000-000006580000}"/>
    <cellStyle name="40% - Accent6 13" xfId="5076" xr:uid="{00000000-0005-0000-0000-000007580000}"/>
    <cellStyle name="40% - Accent6 2" xfId="24474" xr:uid="{00000000-0005-0000-0000-000008580000}"/>
    <cellStyle name="40% - Accent6 2 10" xfId="27939" xr:uid="{00000000-0005-0000-0000-000009580000}"/>
    <cellStyle name="40% - Accent6 2 10 2" xfId="25645" xr:uid="{00000000-0005-0000-0000-00000A580000}"/>
    <cellStyle name="40% - Accent6 2 11" xfId="28086" xr:uid="{00000000-0005-0000-0000-00000B580000}"/>
    <cellStyle name="40% - Accent6 2 2" xfId="24478" xr:uid="{00000000-0005-0000-0000-00000C580000}"/>
    <cellStyle name="40% - Accent6 2 2 10" xfId="3323" xr:uid="{00000000-0005-0000-0000-00000D580000}"/>
    <cellStyle name="40% - Accent6 2 2 2" xfId="24061" xr:uid="{00000000-0005-0000-0000-00000E580000}"/>
    <cellStyle name="40% - Accent6 2 2 2 2" xfId="30159" xr:uid="{00000000-0005-0000-0000-00000F580000}"/>
    <cellStyle name="40% - Accent6 2 2 2 2 2" xfId="9506" xr:uid="{00000000-0005-0000-0000-000010580000}"/>
    <cellStyle name="40% - Accent6 2 2 2 2 2 2" xfId="12092" xr:uid="{00000000-0005-0000-0000-000011580000}"/>
    <cellStyle name="40% - Accent6 2 2 2 2 2 2 2" xfId="12744" xr:uid="{00000000-0005-0000-0000-000012580000}"/>
    <cellStyle name="40% - Accent6 2 2 2 2 2 2 2 2" xfId="25621" xr:uid="{00000000-0005-0000-0000-000013580000}"/>
    <cellStyle name="40% - Accent6 2 2 2 2 2 2 2 2 2" xfId="25627" xr:uid="{00000000-0005-0000-0000-000014580000}"/>
    <cellStyle name="40% - Accent6 2 2 2 2 2 2 2 2 2 2" xfId="9631" xr:uid="{00000000-0005-0000-0000-000015580000}"/>
    <cellStyle name="40% - Accent6 2 2 2 2 2 2 2 2 2 2 2" xfId="25632" xr:uid="{00000000-0005-0000-0000-000016580000}"/>
    <cellStyle name="40% - Accent6 2 2 2 2 2 2 2 2 2 3" xfId="11216" xr:uid="{00000000-0005-0000-0000-000017580000}"/>
    <cellStyle name="40% - Accent6 2 2 2 2 2 2 2 2 3" xfId="24072" xr:uid="{00000000-0005-0000-0000-000018580000}"/>
    <cellStyle name="40% - Accent6 2 2 2 2 2 2 2 2 3 2" xfId="625" xr:uid="{00000000-0005-0000-0000-000019580000}"/>
    <cellStyle name="40% - Accent6 2 2 2 2 2 2 2 2 4" xfId="25636" xr:uid="{00000000-0005-0000-0000-00001A580000}"/>
    <cellStyle name="40% - Accent6 2 2 2 2 2 2 2 3" xfId="22954" xr:uid="{00000000-0005-0000-0000-00001B580000}"/>
    <cellStyle name="40% - Accent6 2 2 2 2 2 2 2 3 2" xfId="11151" xr:uid="{00000000-0005-0000-0000-00001C580000}"/>
    <cellStyle name="40% - Accent6 2 2 2 2 2 2 2 3 2 2" xfId="9647" xr:uid="{00000000-0005-0000-0000-00001D580000}"/>
    <cellStyle name="40% - Accent6 2 2 2 2 2 2 2 3 3" xfId="16968" xr:uid="{00000000-0005-0000-0000-00001E580000}"/>
    <cellStyle name="40% - Accent6 2 2 2 2 2 2 2 4" xfId="10414" xr:uid="{00000000-0005-0000-0000-00001F580000}"/>
    <cellStyle name="40% - Accent6 2 2 2 2 2 2 2 4 2" xfId="24434" xr:uid="{00000000-0005-0000-0000-000020580000}"/>
    <cellStyle name="40% - Accent6 2 2 2 2 2 2 2 5" xfId="13373" xr:uid="{00000000-0005-0000-0000-000021580000}"/>
    <cellStyle name="40% - Accent6 2 2 2 2 2 2 3" xfId="26275" xr:uid="{00000000-0005-0000-0000-000022580000}"/>
    <cellStyle name="40% - Accent6 2 2 2 2 2 2 3 2" xfId="19175" xr:uid="{00000000-0005-0000-0000-000023580000}"/>
    <cellStyle name="40% - Accent6 2 2 2 2 2 2 3 2 2" xfId="25640" xr:uid="{00000000-0005-0000-0000-000024580000}"/>
    <cellStyle name="40% - Accent6 2 2 2 2 2 2 3 2 2 2" xfId="9693" xr:uid="{00000000-0005-0000-0000-000025580000}"/>
    <cellStyle name="40% - Accent6 2 2 2 2 2 2 3 2 3" xfId="25642" xr:uid="{00000000-0005-0000-0000-000026580000}"/>
    <cellStyle name="40% - Accent6 2 2 2 2 2 2 3 3" xfId="22959" xr:uid="{00000000-0005-0000-0000-000027580000}"/>
    <cellStyle name="40% - Accent6 2 2 2 2 2 2 3 3 2" xfId="29870" xr:uid="{00000000-0005-0000-0000-000028580000}"/>
    <cellStyle name="40% - Accent6 2 2 2 2 2 2 3 4" xfId="25653" xr:uid="{00000000-0005-0000-0000-000029580000}"/>
    <cellStyle name="40% - Accent6 2 2 2 2 2 2 4" xfId="5329" xr:uid="{00000000-0005-0000-0000-00002A580000}"/>
    <cellStyle name="40% - Accent6 2 2 2 2 2 2 4 2" xfId="25656" xr:uid="{00000000-0005-0000-0000-00002B580000}"/>
    <cellStyle name="40% - Accent6 2 2 2 2 2 2 4 2 2" xfId="32095" xr:uid="{00000000-0005-0000-0000-00002C580000}"/>
    <cellStyle name="40% - Accent6 2 2 2 2 2 2 4 3" xfId="25661" xr:uid="{00000000-0005-0000-0000-00002D580000}"/>
    <cellStyle name="40% - Accent6 2 2 2 2 2 2 5" xfId="21730" xr:uid="{00000000-0005-0000-0000-00002E580000}"/>
    <cellStyle name="40% - Accent6 2 2 2 2 2 2 5 2" xfId="19802" xr:uid="{00000000-0005-0000-0000-00002F580000}"/>
    <cellStyle name="40% - Accent6 2 2 2 2 2 2 6" xfId="25663" xr:uid="{00000000-0005-0000-0000-000030580000}"/>
    <cellStyle name="40% - Accent6 2 2 2 2 2 3" xfId="924" xr:uid="{00000000-0005-0000-0000-000031580000}"/>
    <cellStyle name="40% - Accent6 2 2 2 2 2 3 2" xfId="23187" xr:uid="{00000000-0005-0000-0000-000032580000}"/>
    <cellStyle name="40% - Accent6 2 2 2 2 2 3 2 2" xfId="23634" xr:uid="{00000000-0005-0000-0000-000033580000}"/>
    <cellStyle name="40% - Accent6 2 2 2 2 2 3 2 2 2" xfId="24903" xr:uid="{00000000-0005-0000-0000-000034580000}"/>
    <cellStyle name="40% - Accent6 2 2 2 2 2 3 2 2 2 2" xfId="6600" xr:uid="{00000000-0005-0000-0000-000035580000}"/>
    <cellStyle name="40% - Accent6 2 2 2 2 2 3 2 2 3" xfId="23312" xr:uid="{00000000-0005-0000-0000-000036580000}"/>
    <cellStyle name="40% - Accent6 2 2 2 2 2 3 2 3" xfId="23014" xr:uid="{00000000-0005-0000-0000-000037580000}"/>
    <cellStyle name="40% - Accent6 2 2 2 2 2 3 2 3 2" xfId="11154" xr:uid="{00000000-0005-0000-0000-000038580000}"/>
    <cellStyle name="40% - Accent6 2 2 2 2 2 3 2 4" xfId="25669" xr:uid="{00000000-0005-0000-0000-000039580000}"/>
    <cellStyle name="40% - Accent6 2 2 2 2 2 3 3" xfId="5343" xr:uid="{00000000-0005-0000-0000-00003A580000}"/>
    <cellStyle name="40% - Accent6 2 2 2 2 2 3 3 2" xfId="10494" xr:uid="{00000000-0005-0000-0000-00003B580000}"/>
    <cellStyle name="40% - Accent6 2 2 2 2 2 3 3 2 2" xfId="25672" xr:uid="{00000000-0005-0000-0000-00003C580000}"/>
    <cellStyle name="40% - Accent6 2 2 2 2 2 3 3 3" xfId="25634" xr:uid="{00000000-0005-0000-0000-00003D580000}"/>
    <cellStyle name="40% - Accent6 2 2 2 2 2 3 4" xfId="24416" xr:uid="{00000000-0005-0000-0000-00003E580000}"/>
    <cellStyle name="40% - Accent6 2 2 2 2 2 3 4 2" xfId="17747" xr:uid="{00000000-0005-0000-0000-00003F580000}"/>
    <cellStyle name="40% - Accent6 2 2 2 2 2 3 5" xfId="25673" xr:uid="{00000000-0005-0000-0000-000040580000}"/>
    <cellStyle name="40% - Accent6 2 2 2 2 2 4" xfId="3822" xr:uid="{00000000-0005-0000-0000-000041580000}"/>
    <cellStyle name="40% - Accent6 2 2 2 2 2 4 2" xfId="28490" xr:uid="{00000000-0005-0000-0000-000042580000}"/>
    <cellStyle name="40% - Accent6 2 2 2 2 2 4 2 2" xfId="25677" xr:uid="{00000000-0005-0000-0000-000043580000}"/>
    <cellStyle name="40% - Accent6 2 2 2 2 2 4 2 2 2" xfId="25682" xr:uid="{00000000-0005-0000-0000-000044580000}"/>
    <cellStyle name="40% - Accent6 2 2 2 2 2 4 2 3" xfId="27611" xr:uid="{00000000-0005-0000-0000-000045580000}"/>
    <cellStyle name="40% - Accent6 2 2 2 2 2 4 3" xfId="17815" xr:uid="{00000000-0005-0000-0000-000046580000}"/>
    <cellStyle name="40% - Accent6 2 2 2 2 2 4 3 2" xfId="6359" xr:uid="{00000000-0005-0000-0000-000047580000}"/>
    <cellStyle name="40% - Accent6 2 2 2 2 2 4 4" xfId="33146" xr:uid="{00000000-0005-0000-0000-000048580000}"/>
    <cellStyle name="40% - Accent6 2 2 2 2 2 5" xfId="16371" xr:uid="{00000000-0005-0000-0000-000049580000}"/>
    <cellStyle name="40% - Accent6 2 2 2 2 2 5 2" xfId="25684" xr:uid="{00000000-0005-0000-0000-00004A580000}"/>
    <cellStyle name="40% - Accent6 2 2 2 2 2 5 2 2" xfId="26263" xr:uid="{00000000-0005-0000-0000-00004B580000}"/>
    <cellStyle name="40% - Accent6 2 2 2 2 2 5 3" xfId="25686" xr:uid="{00000000-0005-0000-0000-00004C580000}"/>
    <cellStyle name="40% - Accent6 2 2 2 2 2 6" xfId="16376" xr:uid="{00000000-0005-0000-0000-00004D580000}"/>
    <cellStyle name="40% - Accent6 2 2 2 2 2 6 2" xfId="25687" xr:uid="{00000000-0005-0000-0000-00004E580000}"/>
    <cellStyle name="40% - Accent6 2 2 2 2 2 7" xfId="5616" xr:uid="{00000000-0005-0000-0000-00004F580000}"/>
    <cellStyle name="40% - Accent6 2 2 2 2 3" xfId="24501" xr:uid="{00000000-0005-0000-0000-000050580000}"/>
    <cellStyle name="40% - Accent6 2 2 2 2 3 2" xfId="1897" xr:uid="{00000000-0005-0000-0000-000051580000}"/>
    <cellStyle name="40% - Accent6 2 2 2 2 3 2 2" xfId="3289" xr:uid="{00000000-0005-0000-0000-000052580000}"/>
    <cellStyle name="40% - Accent6 2 2 2 2 3 2 2 2" xfId="9249" xr:uid="{00000000-0005-0000-0000-000053580000}"/>
    <cellStyle name="40% - Accent6 2 2 2 2 3 2 2 2 2" xfId="25690" xr:uid="{00000000-0005-0000-0000-000054580000}"/>
    <cellStyle name="40% - Accent6 2 2 2 2 3 2 2 2 2 2" xfId="10227" xr:uid="{00000000-0005-0000-0000-000055580000}"/>
    <cellStyle name="40% - Accent6 2 2 2 2 3 2 2 2 3" xfId="25696" xr:uid="{00000000-0005-0000-0000-000056580000}"/>
    <cellStyle name="40% - Accent6 2 2 2 2 3 2 2 3" xfId="23154" xr:uid="{00000000-0005-0000-0000-000057580000}"/>
    <cellStyle name="40% - Accent6 2 2 2 2 3 2 2 3 2" xfId="9831" xr:uid="{00000000-0005-0000-0000-000058580000}"/>
    <cellStyle name="40% - Accent6 2 2 2 2 3 2 2 4" xfId="25703" xr:uid="{00000000-0005-0000-0000-000059580000}"/>
    <cellStyle name="40% - Accent6 2 2 2 2 3 2 3" xfId="5452" xr:uid="{00000000-0005-0000-0000-00005A580000}"/>
    <cellStyle name="40% - Accent6 2 2 2 2 3 2 3 2" xfId="5828" xr:uid="{00000000-0005-0000-0000-00005B580000}"/>
    <cellStyle name="40% - Accent6 2 2 2 2 3 2 3 2 2" xfId="7567" xr:uid="{00000000-0005-0000-0000-00005C580000}"/>
    <cellStyle name="40% - Accent6 2 2 2 2 3 2 3 3" xfId="27656" xr:uid="{00000000-0005-0000-0000-00005D580000}"/>
    <cellStyle name="40% - Accent6 2 2 2 2 3 2 4" xfId="21744" xr:uid="{00000000-0005-0000-0000-00005E580000}"/>
    <cellStyle name="40% - Accent6 2 2 2 2 3 2 4 2" xfId="25713" xr:uid="{00000000-0005-0000-0000-00005F580000}"/>
    <cellStyle name="40% - Accent6 2 2 2 2 3 2 5" xfId="25716" xr:uid="{00000000-0005-0000-0000-000060580000}"/>
    <cellStyle name="40% - Accent6 2 2 2 2 3 3" xfId="31068" xr:uid="{00000000-0005-0000-0000-000061580000}"/>
    <cellStyle name="40% - Accent6 2 2 2 2 3 3 2" xfId="23207" xr:uid="{00000000-0005-0000-0000-000062580000}"/>
    <cellStyle name="40% - Accent6 2 2 2 2 3 3 2 2" xfId="7257" xr:uid="{00000000-0005-0000-0000-000063580000}"/>
    <cellStyle name="40% - Accent6 2 2 2 2 3 3 2 2 2" xfId="25725" xr:uid="{00000000-0005-0000-0000-000064580000}"/>
    <cellStyle name="40% - Accent6 2 2 2 2 3 3 2 3" xfId="24899" xr:uid="{00000000-0005-0000-0000-000065580000}"/>
    <cellStyle name="40% - Accent6 2 2 2 2 3 3 3" xfId="26779" xr:uid="{00000000-0005-0000-0000-000066580000}"/>
    <cellStyle name="40% - Accent6 2 2 2 2 3 3 3 2" xfId="26382" xr:uid="{00000000-0005-0000-0000-000067580000}"/>
    <cellStyle name="40% - Accent6 2 2 2 2 3 3 4" xfId="18343" xr:uid="{00000000-0005-0000-0000-000068580000}"/>
    <cellStyle name="40% - Accent6 2 2 2 2 3 4" xfId="25727" xr:uid="{00000000-0005-0000-0000-000069580000}"/>
    <cellStyle name="40% - Accent6 2 2 2 2 3 4 2" xfId="25732" xr:uid="{00000000-0005-0000-0000-00006A580000}"/>
    <cellStyle name="40% - Accent6 2 2 2 2 3 4 2 2" xfId="26234" xr:uid="{00000000-0005-0000-0000-00006B580000}"/>
    <cellStyle name="40% - Accent6 2 2 2 2 3 4 3" xfId="18347" xr:uid="{00000000-0005-0000-0000-00006C580000}"/>
    <cellStyle name="40% - Accent6 2 2 2 2 3 5" xfId="16381" xr:uid="{00000000-0005-0000-0000-00006D580000}"/>
    <cellStyle name="40% - Accent6 2 2 2 2 3 5 2" xfId="25741" xr:uid="{00000000-0005-0000-0000-00006E580000}"/>
    <cellStyle name="40% - Accent6 2 2 2 2 3 6" xfId="25742" xr:uid="{00000000-0005-0000-0000-00006F580000}"/>
    <cellStyle name="40% - Accent6 2 2 2 2 4" xfId="5468" xr:uid="{00000000-0005-0000-0000-000070580000}"/>
    <cellStyle name="40% - Accent6 2 2 2 2 4 2" xfId="28700" xr:uid="{00000000-0005-0000-0000-000071580000}"/>
    <cellStyle name="40% - Accent6 2 2 2 2 4 2 2" xfId="25744" xr:uid="{00000000-0005-0000-0000-000072580000}"/>
    <cellStyle name="40% - Accent6 2 2 2 2 4 2 2 2" xfId="7467" xr:uid="{00000000-0005-0000-0000-000073580000}"/>
    <cellStyle name="40% - Accent6 2 2 2 2 4 2 2 2 2" xfId="15120" xr:uid="{00000000-0005-0000-0000-000074580000}"/>
    <cellStyle name="40% - Accent6 2 2 2 2 4 2 2 3" xfId="22247" xr:uid="{00000000-0005-0000-0000-000075580000}"/>
    <cellStyle name="40% - Accent6 2 2 2 2 4 2 3" xfId="21750" xr:uid="{00000000-0005-0000-0000-000076580000}"/>
    <cellStyle name="40% - Accent6 2 2 2 2 4 2 3 2" xfId="25746" xr:uid="{00000000-0005-0000-0000-000077580000}"/>
    <cellStyle name="40% - Accent6 2 2 2 2 4 2 4" xfId="25748" xr:uid="{00000000-0005-0000-0000-000078580000}"/>
    <cellStyle name="40% - Accent6 2 2 2 2 4 3" xfId="31841" xr:uid="{00000000-0005-0000-0000-000079580000}"/>
    <cellStyle name="40% - Accent6 2 2 2 2 4 3 2" xfId="25752" xr:uid="{00000000-0005-0000-0000-00007A580000}"/>
    <cellStyle name="40% - Accent6 2 2 2 2 4 3 2 2" xfId="25755" xr:uid="{00000000-0005-0000-0000-00007B580000}"/>
    <cellStyle name="40% - Accent6 2 2 2 2 4 3 3" xfId="18354" xr:uid="{00000000-0005-0000-0000-00007C580000}"/>
    <cellStyle name="40% - Accent6 2 2 2 2 4 4" xfId="11442" xr:uid="{00000000-0005-0000-0000-00007D580000}"/>
    <cellStyle name="40% - Accent6 2 2 2 2 4 4 2" xfId="25757" xr:uid="{00000000-0005-0000-0000-00007E580000}"/>
    <cellStyle name="40% - Accent6 2 2 2 2 4 5" xfId="25761" xr:uid="{00000000-0005-0000-0000-00007F580000}"/>
    <cellStyle name="40% - Accent6 2 2 2 2 5" xfId="7745" xr:uid="{00000000-0005-0000-0000-000080580000}"/>
    <cellStyle name="40% - Accent6 2 2 2 2 5 2" xfId="7747" xr:uid="{00000000-0005-0000-0000-000081580000}"/>
    <cellStyle name="40% - Accent6 2 2 2 2 5 2 2" xfId="25767" xr:uid="{00000000-0005-0000-0000-000082580000}"/>
    <cellStyle name="40% - Accent6 2 2 2 2 5 2 2 2" xfId="3632" xr:uid="{00000000-0005-0000-0000-000083580000}"/>
    <cellStyle name="40% - Accent6 2 2 2 2 5 2 3" xfId="25770" xr:uid="{00000000-0005-0000-0000-000084580000}"/>
    <cellStyle name="40% - Accent6 2 2 2 2 5 3" xfId="3722" xr:uid="{00000000-0005-0000-0000-000085580000}"/>
    <cellStyle name="40% - Accent6 2 2 2 2 5 3 2" xfId="25774" xr:uid="{00000000-0005-0000-0000-000086580000}"/>
    <cellStyle name="40% - Accent6 2 2 2 2 5 4" xfId="25778" xr:uid="{00000000-0005-0000-0000-000087580000}"/>
    <cellStyle name="40% - Accent6 2 2 2 2 6" xfId="7760" xr:uid="{00000000-0005-0000-0000-000088580000}"/>
    <cellStyle name="40% - Accent6 2 2 2 2 6 2" xfId="7766" xr:uid="{00000000-0005-0000-0000-000089580000}"/>
    <cellStyle name="40% - Accent6 2 2 2 2 6 2 2" xfId="25784" xr:uid="{00000000-0005-0000-0000-00008A580000}"/>
    <cellStyle name="40% - Accent6 2 2 2 2 6 3" xfId="25787" xr:uid="{00000000-0005-0000-0000-00008B580000}"/>
    <cellStyle name="40% - Accent6 2 2 2 2 7" xfId="2792" xr:uid="{00000000-0005-0000-0000-00008C580000}"/>
    <cellStyle name="40% - Accent6 2 2 2 2 7 2" xfId="25788" xr:uid="{00000000-0005-0000-0000-00008D580000}"/>
    <cellStyle name="40% - Accent6 2 2 2 2 8" xfId="24479" xr:uid="{00000000-0005-0000-0000-00008E580000}"/>
    <cellStyle name="40% - Accent6 2 2 2 3" xfId="18258" xr:uid="{00000000-0005-0000-0000-00008F580000}"/>
    <cellStyle name="40% - Accent6 2 2 2 3 2" xfId="24510" xr:uid="{00000000-0005-0000-0000-000090580000}"/>
    <cellStyle name="40% - Accent6 2 2 2 3 2 2" xfId="647" xr:uid="{00000000-0005-0000-0000-000091580000}"/>
    <cellStyle name="40% - Accent6 2 2 2 3 2 2 2" xfId="12813" xr:uid="{00000000-0005-0000-0000-000092580000}"/>
    <cellStyle name="40% - Accent6 2 2 2 3 2 2 2 2" xfId="25789" xr:uid="{00000000-0005-0000-0000-000093580000}"/>
    <cellStyle name="40% - Accent6 2 2 2 3 2 2 2 2 2" xfId="16" xr:uid="{00000000-0005-0000-0000-000094580000}"/>
    <cellStyle name="40% - Accent6 2 2 2 3 2 2 2 2 2 2" xfId="12270" xr:uid="{00000000-0005-0000-0000-000095580000}"/>
    <cellStyle name="40% - Accent6 2 2 2 3 2 2 2 2 3" xfId="2765" xr:uid="{00000000-0005-0000-0000-000096580000}"/>
    <cellStyle name="40% - Accent6 2 2 2 3 2 2 2 3" xfId="25791" xr:uid="{00000000-0005-0000-0000-000097580000}"/>
    <cellStyle name="40% - Accent6 2 2 2 3 2 2 2 3 2" xfId="836" xr:uid="{00000000-0005-0000-0000-000098580000}"/>
    <cellStyle name="40% - Accent6 2 2 2 3 2 2 2 4" xfId="25796" xr:uid="{00000000-0005-0000-0000-000099580000}"/>
    <cellStyle name="40% - Accent6 2 2 2 3 2 2 3" xfId="5678" xr:uid="{00000000-0005-0000-0000-00009A580000}"/>
    <cellStyle name="40% - Accent6 2 2 2 3 2 2 3 2" xfId="20415" xr:uid="{00000000-0005-0000-0000-00009B580000}"/>
    <cellStyle name="40% - Accent6 2 2 2 3 2 2 3 2 2" xfId="4794" xr:uid="{00000000-0005-0000-0000-00009C580000}"/>
    <cellStyle name="40% - Accent6 2 2 2 3 2 2 3 3" xfId="25344" xr:uid="{00000000-0005-0000-0000-00009D580000}"/>
    <cellStyle name="40% - Accent6 2 2 2 3 2 2 4" xfId="21812" xr:uid="{00000000-0005-0000-0000-00009E580000}"/>
    <cellStyle name="40% - Accent6 2 2 2 3 2 2 4 2" xfId="21614" xr:uid="{00000000-0005-0000-0000-00009F580000}"/>
    <cellStyle name="40% - Accent6 2 2 2 3 2 2 5" xfId="25799" xr:uid="{00000000-0005-0000-0000-0000A0580000}"/>
    <cellStyle name="40% - Accent6 2 2 2 3 2 3" xfId="28703" xr:uid="{00000000-0005-0000-0000-0000A1580000}"/>
    <cellStyle name="40% - Accent6 2 2 2 3 2 3 2" xfId="23263" xr:uid="{00000000-0005-0000-0000-0000A2580000}"/>
    <cellStyle name="40% - Accent6 2 2 2 3 2 3 2 2" xfId="25802" xr:uid="{00000000-0005-0000-0000-0000A3580000}"/>
    <cellStyle name="40% - Accent6 2 2 2 3 2 3 2 2 2" xfId="6441" xr:uid="{00000000-0005-0000-0000-0000A4580000}"/>
    <cellStyle name="40% - Accent6 2 2 2 3 2 3 2 3" xfId="24314" xr:uid="{00000000-0005-0000-0000-0000A5580000}"/>
    <cellStyle name="40% - Accent6 2 2 2 3 2 3 3" xfId="21815" xr:uid="{00000000-0005-0000-0000-0000A6580000}"/>
    <cellStyle name="40% - Accent6 2 2 2 3 2 3 3 2" xfId="6356" xr:uid="{00000000-0005-0000-0000-0000A7580000}"/>
    <cellStyle name="40% - Accent6 2 2 2 3 2 3 4" xfId="32440" xr:uid="{00000000-0005-0000-0000-0000A8580000}"/>
    <cellStyle name="40% - Accent6 2 2 2 3 2 4" xfId="25804" xr:uid="{00000000-0005-0000-0000-0000A9580000}"/>
    <cellStyle name="40% - Accent6 2 2 2 3 2 4 2" xfId="1915" xr:uid="{00000000-0005-0000-0000-0000AA580000}"/>
    <cellStyle name="40% - Accent6 2 2 2 3 2 4 2 2" xfId="25806" xr:uid="{00000000-0005-0000-0000-0000AB580000}"/>
    <cellStyle name="40% - Accent6 2 2 2 3 2 4 3" xfId="25807" xr:uid="{00000000-0005-0000-0000-0000AC580000}"/>
    <cellStyle name="40% - Accent6 2 2 2 3 2 5" xfId="3387" xr:uid="{00000000-0005-0000-0000-0000AD580000}"/>
    <cellStyle name="40% - Accent6 2 2 2 3 2 5 2" xfId="25808" xr:uid="{00000000-0005-0000-0000-0000AE580000}"/>
    <cellStyle name="40% - Accent6 2 2 2 3 2 6" xfId="25810" xr:uid="{00000000-0005-0000-0000-0000AF580000}"/>
    <cellStyle name="40% - Accent6 2 2 2 3 3" xfId="25812" xr:uid="{00000000-0005-0000-0000-0000B0580000}"/>
    <cellStyle name="40% - Accent6 2 2 2 3 3 2" xfId="25813" xr:uid="{00000000-0005-0000-0000-0000B1580000}"/>
    <cellStyle name="40% - Accent6 2 2 2 3 3 2 2" xfId="3988" xr:uid="{00000000-0005-0000-0000-0000B2580000}"/>
    <cellStyle name="40% - Accent6 2 2 2 3 3 2 2 2" xfId="8298" xr:uid="{00000000-0005-0000-0000-0000B3580000}"/>
    <cellStyle name="40% - Accent6 2 2 2 3 3 2 2 2 2" xfId="25034" xr:uid="{00000000-0005-0000-0000-0000B4580000}"/>
    <cellStyle name="40% - Accent6 2 2 2 3 3 2 2 3" xfId="25939" xr:uid="{00000000-0005-0000-0000-0000B5580000}"/>
    <cellStyle name="40% - Accent6 2 2 2 3 3 2 3" xfId="4035" xr:uid="{00000000-0005-0000-0000-0000B6580000}"/>
    <cellStyle name="40% - Accent6 2 2 2 3 3 2 3 2" xfId="27270" xr:uid="{00000000-0005-0000-0000-0000B7580000}"/>
    <cellStyle name="40% - Accent6 2 2 2 3 3 2 4" xfId="25814" xr:uid="{00000000-0005-0000-0000-0000B8580000}"/>
    <cellStyle name="40% - Accent6 2 2 2 3 3 3" xfId="25815" xr:uid="{00000000-0005-0000-0000-0000B9580000}"/>
    <cellStyle name="40% - Accent6 2 2 2 3 3 3 2" xfId="26787" xr:uid="{00000000-0005-0000-0000-0000BA580000}"/>
    <cellStyle name="40% - Accent6 2 2 2 3 3 3 2 2" xfId="31139" xr:uid="{00000000-0005-0000-0000-0000BB580000}"/>
    <cellStyle name="40% - Accent6 2 2 2 3 3 3 3" xfId="19215" xr:uid="{00000000-0005-0000-0000-0000BC580000}"/>
    <cellStyle name="40% - Accent6 2 2 2 3 3 4" xfId="25822" xr:uid="{00000000-0005-0000-0000-0000BD580000}"/>
    <cellStyle name="40% - Accent6 2 2 2 3 3 4 2" xfId="25825" xr:uid="{00000000-0005-0000-0000-0000BE580000}"/>
    <cellStyle name="40% - Accent6 2 2 2 3 3 5" xfId="25828" xr:uid="{00000000-0005-0000-0000-0000BF580000}"/>
    <cellStyle name="40% - Accent6 2 2 2 3 4" xfId="14265" xr:uid="{00000000-0005-0000-0000-0000C0580000}"/>
    <cellStyle name="40% - Accent6 2 2 2 3 4 2" xfId="31342" xr:uid="{00000000-0005-0000-0000-0000C1580000}"/>
    <cellStyle name="40% - Accent6 2 2 2 3 4 2 2" xfId="17611" xr:uid="{00000000-0005-0000-0000-0000C2580000}"/>
    <cellStyle name="40% - Accent6 2 2 2 3 4 2 2 2" xfId="25834" xr:uid="{00000000-0005-0000-0000-0000C3580000}"/>
    <cellStyle name="40% - Accent6 2 2 2 3 4 2 3" xfId="25836" xr:uid="{00000000-0005-0000-0000-0000C4580000}"/>
    <cellStyle name="40% - Accent6 2 2 2 3 4 3" xfId="3733" xr:uid="{00000000-0005-0000-0000-0000C5580000}"/>
    <cellStyle name="40% - Accent6 2 2 2 3 4 3 2" xfId="25840" xr:uid="{00000000-0005-0000-0000-0000C6580000}"/>
    <cellStyle name="40% - Accent6 2 2 2 3 4 4" xfId="25844" xr:uid="{00000000-0005-0000-0000-0000C7580000}"/>
    <cellStyle name="40% - Accent6 2 2 2 3 5" xfId="18795" xr:uid="{00000000-0005-0000-0000-0000C8580000}"/>
    <cellStyle name="40% - Accent6 2 2 2 3 5 2" xfId="7790" xr:uid="{00000000-0005-0000-0000-0000C9580000}"/>
    <cellStyle name="40% - Accent6 2 2 2 3 5 2 2" xfId="25848" xr:uid="{00000000-0005-0000-0000-0000CA580000}"/>
    <cellStyle name="40% - Accent6 2 2 2 3 5 3" xfId="3098" xr:uid="{00000000-0005-0000-0000-0000CB580000}"/>
    <cellStyle name="40% - Accent6 2 2 2 3 6" xfId="29354" xr:uid="{00000000-0005-0000-0000-0000CC580000}"/>
    <cellStyle name="40% - Accent6 2 2 2 3 6 2" xfId="27316" xr:uid="{00000000-0005-0000-0000-0000CD580000}"/>
    <cellStyle name="40% - Accent6 2 2 2 3 7" xfId="1853" xr:uid="{00000000-0005-0000-0000-0000CE580000}"/>
    <cellStyle name="40% - Accent6 2 2 2 4" xfId="28961" xr:uid="{00000000-0005-0000-0000-0000CF580000}"/>
    <cellStyle name="40% - Accent6 2 2 2 4 2" xfId="24764" xr:uid="{00000000-0005-0000-0000-0000D0580000}"/>
    <cellStyle name="40% - Accent6 2 2 2 4 2 2" xfId="29187" xr:uid="{00000000-0005-0000-0000-0000D1580000}"/>
    <cellStyle name="40% - Accent6 2 2 2 4 2 2 2" xfId="25850" xr:uid="{00000000-0005-0000-0000-0000D2580000}"/>
    <cellStyle name="40% - Accent6 2 2 2 4 2 2 2 2" xfId="1213" xr:uid="{00000000-0005-0000-0000-0000D3580000}"/>
    <cellStyle name="40% - Accent6 2 2 2 4 2 2 2 2 2" xfId="4866" xr:uid="{00000000-0005-0000-0000-0000D4580000}"/>
    <cellStyle name="40% - Accent6 2 2 2 4 2 2 2 3" xfId="523" xr:uid="{00000000-0005-0000-0000-0000D5580000}"/>
    <cellStyle name="40% - Accent6 2 2 2 4 2 2 3" xfId="21854" xr:uid="{00000000-0005-0000-0000-0000D6580000}"/>
    <cellStyle name="40% - Accent6 2 2 2 4 2 2 3 2" xfId="736" xr:uid="{00000000-0005-0000-0000-0000D7580000}"/>
    <cellStyle name="40% - Accent6 2 2 2 4 2 2 4" xfId="17096" xr:uid="{00000000-0005-0000-0000-0000D8580000}"/>
    <cellStyle name="40% - Accent6 2 2 2 4 2 3" xfId="25852" xr:uid="{00000000-0005-0000-0000-0000D9580000}"/>
    <cellStyle name="40% - Accent6 2 2 2 4 2 3 2" xfId="25854" xr:uid="{00000000-0005-0000-0000-0000DA580000}"/>
    <cellStyle name="40% - Accent6 2 2 2 4 2 3 2 2" xfId="548" xr:uid="{00000000-0005-0000-0000-0000DB580000}"/>
    <cellStyle name="40% - Accent6 2 2 2 4 2 3 3" xfId="25857" xr:uid="{00000000-0005-0000-0000-0000DC580000}"/>
    <cellStyle name="40% - Accent6 2 2 2 4 2 4" xfId="33738" xr:uid="{00000000-0005-0000-0000-0000DD580000}"/>
    <cellStyle name="40% - Accent6 2 2 2 4 2 4 2" xfId="25858" xr:uid="{00000000-0005-0000-0000-0000DE580000}"/>
    <cellStyle name="40% - Accent6 2 2 2 4 2 5" xfId="25859" xr:uid="{00000000-0005-0000-0000-0000DF580000}"/>
    <cellStyle name="40% - Accent6 2 2 2 4 3" xfId="25860" xr:uid="{00000000-0005-0000-0000-0000E0580000}"/>
    <cellStyle name="40% - Accent6 2 2 2 4 3 2" xfId="25861" xr:uid="{00000000-0005-0000-0000-0000E1580000}"/>
    <cellStyle name="40% - Accent6 2 2 2 4 3 2 2" xfId="4504" xr:uid="{00000000-0005-0000-0000-0000E2580000}"/>
    <cellStyle name="40% - Accent6 2 2 2 4 3 2 2 2" xfId="1029" xr:uid="{00000000-0005-0000-0000-0000E3580000}"/>
    <cellStyle name="40% - Accent6 2 2 2 4 3 2 3" xfId="25862" xr:uid="{00000000-0005-0000-0000-0000E4580000}"/>
    <cellStyle name="40% - Accent6 2 2 2 4 3 3" xfId="25863" xr:uid="{00000000-0005-0000-0000-0000E5580000}"/>
    <cellStyle name="40% - Accent6 2 2 2 4 3 3 2" xfId="25864" xr:uid="{00000000-0005-0000-0000-0000E6580000}"/>
    <cellStyle name="40% - Accent6 2 2 2 4 3 4" xfId="25866" xr:uid="{00000000-0005-0000-0000-0000E7580000}"/>
    <cellStyle name="40% - Accent6 2 2 2 4 4" xfId="14278" xr:uid="{00000000-0005-0000-0000-0000E8580000}"/>
    <cellStyle name="40% - Accent6 2 2 2 4 4 2" xfId="7801" xr:uid="{00000000-0005-0000-0000-0000E9580000}"/>
    <cellStyle name="40% - Accent6 2 2 2 4 4 2 2" xfId="25870" xr:uid="{00000000-0005-0000-0000-0000EA580000}"/>
    <cellStyle name="40% - Accent6 2 2 2 4 4 3" xfId="25875" xr:uid="{00000000-0005-0000-0000-0000EB580000}"/>
    <cellStyle name="40% - Accent6 2 2 2 4 5" xfId="8537" xr:uid="{00000000-0005-0000-0000-0000EC580000}"/>
    <cellStyle name="40% - Accent6 2 2 2 4 5 2" xfId="3633" xr:uid="{00000000-0005-0000-0000-0000ED580000}"/>
    <cellStyle name="40% - Accent6 2 2 2 4 6" xfId="13289" xr:uid="{00000000-0005-0000-0000-0000EE580000}"/>
    <cellStyle name="40% - Accent6 2 2 2 5" xfId="565" xr:uid="{00000000-0005-0000-0000-0000EF580000}"/>
    <cellStyle name="40% - Accent6 2 2 2 5 2" xfId="25878" xr:uid="{00000000-0005-0000-0000-0000F0580000}"/>
    <cellStyle name="40% - Accent6 2 2 2 5 2 2" xfId="25880" xr:uid="{00000000-0005-0000-0000-0000F1580000}"/>
    <cellStyle name="40% - Accent6 2 2 2 5 2 2 2" xfId="25882" xr:uid="{00000000-0005-0000-0000-0000F2580000}"/>
    <cellStyle name="40% - Accent6 2 2 2 5 2 2 2 2" xfId="5728" xr:uid="{00000000-0005-0000-0000-0000F3580000}"/>
    <cellStyle name="40% - Accent6 2 2 2 5 2 2 3" xfId="26401" xr:uid="{00000000-0005-0000-0000-0000F4580000}"/>
    <cellStyle name="40% - Accent6 2 2 2 5 2 3" xfId="12358" xr:uid="{00000000-0005-0000-0000-0000F5580000}"/>
    <cellStyle name="40% - Accent6 2 2 2 5 2 3 2" xfId="17481" xr:uid="{00000000-0005-0000-0000-0000F6580000}"/>
    <cellStyle name="40% - Accent6 2 2 2 5 2 4" xfId="13773" xr:uid="{00000000-0005-0000-0000-0000F7580000}"/>
    <cellStyle name="40% - Accent6 2 2 2 5 3" xfId="13633" xr:uid="{00000000-0005-0000-0000-0000F8580000}"/>
    <cellStyle name="40% - Accent6 2 2 2 5 3 2" xfId="25884" xr:uid="{00000000-0005-0000-0000-0000F9580000}"/>
    <cellStyle name="40% - Accent6 2 2 2 5 3 2 2" xfId="25887" xr:uid="{00000000-0005-0000-0000-0000FA580000}"/>
    <cellStyle name="40% - Accent6 2 2 2 5 3 3" xfId="12458" xr:uid="{00000000-0005-0000-0000-0000FB580000}"/>
    <cellStyle name="40% - Accent6 2 2 2 5 4" xfId="7813" xr:uid="{00000000-0005-0000-0000-0000FC580000}"/>
    <cellStyle name="40% - Accent6 2 2 2 5 4 2" xfId="25891" xr:uid="{00000000-0005-0000-0000-0000FD580000}"/>
    <cellStyle name="40% - Accent6 2 2 2 5 5" xfId="3135" xr:uid="{00000000-0005-0000-0000-0000FE580000}"/>
    <cellStyle name="40% - Accent6 2 2 2 6" xfId="29881" xr:uid="{00000000-0005-0000-0000-0000FF580000}"/>
    <cellStyle name="40% - Accent6 2 2 2 6 2" xfId="30855" xr:uid="{00000000-0005-0000-0000-000000590000}"/>
    <cellStyle name="40% - Accent6 2 2 2 6 2 2" xfId="25894" xr:uid="{00000000-0005-0000-0000-000001590000}"/>
    <cellStyle name="40% - Accent6 2 2 2 6 2 2 2" xfId="28466" xr:uid="{00000000-0005-0000-0000-000002590000}"/>
    <cellStyle name="40% - Accent6 2 2 2 6 2 3" xfId="9558" xr:uid="{00000000-0005-0000-0000-000003590000}"/>
    <cellStyle name="40% - Accent6 2 2 2 6 3" xfId="25901" xr:uid="{00000000-0005-0000-0000-000004590000}"/>
    <cellStyle name="40% - Accent6 2 2 2 6 3 2" xfId="21295" xr:uid="{00000000-0005-0000-0000-000005590000}"/>
    <cellStyle name="40% - Accent6 2 2 2 6 4" xfId="25338" xr:uid="{00000000-0005-0000-0000-000006590000}"/>
    <cellStyle name="40% - Accent6 2 2 2 7" xfId="25902" xr:uid="{00000000-0005-0000-0000-000007590000}"/>
    <cellStyle name="40% - Accent6 2 2 2 7 2" xfId="23607" xr:uid="{00000000-0005-0000-0000-000008590000}"/>
    <cellStyle name="40% - Accent6 2 2 2 7 2 2" xfId="25905" xr:uid="{00000000-0005-0000-0000-000009590000}"/>
    <cellStyle name="40% - Accent6 2 2 2 7 3" xfId="31860" xr:uid="{00000000-0005-0000-0000-00000A590000}"/>
    <cellStyle name="40% - Accent6 2 2 2 8" xfId="25907" xr:uid="{00000000-0005-0000-0000-00000B590000}"/>
    <cellStyle name="40% - Accent6 2 2 2 8 2" xfId="25910" xr:uid="{00000000-0005-0000-0000-00000C590000}"/>
    <cellStyle name="40% - Accent6 2 2 2 9" xfId="6800" xr:uid="{00000000-0005-0000-0000-00000D590000}"/>
    <cellStyle name="40% - Accent6 2 2 3" xfId="24516" xr:uid="{00000000-0005-0000-0000-00000E590000}"/>
    <cellStyle name="40% - Accent6 2 2 3 2" xfId="24528" xr:uid="{00000000-0005-0000-0000-00000F590000}"/>
    <cellStyle name="40% - Accent6 2 2 3 2 2" xfId="24531" xr:uid="{00000000-0005-0000-0000-000010590000}"/>
    <cellStyle name="40% - Accent6 2 2 3 2 2 2" xfId="525" xr:uid="{00000000-0005-0000-0000-000011590000}"/>
    <cellStyle name="40% - Accent6 2 2 3 2 2 2 2" xfId="25912" xr:uid="{00000000-0005-0000-0000-000012590000}"/>
    <cellStyle name="40% - Accent6 2 2 3 2 2 2 2 2" xfId="30017" xr:uid="{00000000-0005-0000-0000-000013590000}"/>
    <cellStyle name="40% - Accent6 2 2 3 2 2 2 2 2 2" xfId="32032" xr:uid="{00000000-0005-0000-0000-000014590000}"/>
    <cellStyle name="40% - Accent6 2 2 3 2 2 2 2 2 2 2" xfId="25914" xr:uid="{00000000-0005-0000-0000-000015590000}"/>
    <cellStyle name="40% - Accent6 2 2 3 2 2 2 2 2 3" xfId="4834" xr:uid="{00000000-0005-0000-0000-000016590000}"/>
    <cellStyle name="40% - Accent6 2 2 3 2 2 2 2 3" xfId="25922" xr:uid="{00000000-0005-0000-0000-000017590000}"/>
    <cellStyle name="40% - Accent6 2 2 3 2 2 2 2 3 2" xfId="6773" xr:uid="{00000000-0005-0000-0000-000018590000}"/>
    <cellStyle name="40% - Accent6 2 2 3 2 2 2 2 4" xfId="20314" xr:uid="{00000000-0005-0000-0000-000019590000}"/>
    <cellStyle name="40% - Accent6 2 2 3 2 2 2 3" xfId="6631" xr:uid="{00000000-0005-0000-0000-00001A590000}"/>
    <cellStyle name="40% - Accent6 2 2 3 2 2 2 3 2" xfId="22072" xr:uid="{00000000-0005-0000-0000-00001B590000}"/>
    <cellStyle name="40% - Accent6 2 2 3 2 2 2 3 2 2" xfId="25924" xr:uid="{00000000-0005-0000-0000-00001C590000}"/>
    <cellStyle name="40% - Accent6 2 2 3 2 2 2 3 3" xfId="22081" xr:uid="{00000000-0005-0000-0000-00001D590000}"/>
    <cellStyle name="40% - Accent6 2 2 3 2 2 2 4" xfId="23468" xr:uid="{00000000-0005-0000-0000-00001E590000}"/>
    <cellStyle name="40% - Accent6 2 2 3 2 2 2 4 2" xfId="27173" xr:uid="{00000000-0005-0000-0000-00001F590000}"/>
    <cellStyle name="40% - Accent6 2 2 3 2 2 2 5" xfId="25926" xr:uid="{00000000-0005-0000-0000-000020590000}"/>
    <cellStyle name="40% - Accent6 2 2 3 2 2 3" xfId="20934" xr:uid="{00000000-0005-0000-0000-000021590000}"/>
    <cellStyle name="40% - Accent6 2 2 3 2 2 3 2" xfId="25562" xr:uid="{00000000-0005-0000-0000-000022590000}"/>
    <cellStyle name="40% - Accent6 2 2 3 2 2 3 2 2" xfId="29945" xr:uid="{00000000-0005-0000-0000-000023590000}"/>
    <cellStyle name="40% - Accent6 2 2 3 2 2 3 2 2 2" xfId="5289" xr:uid="{00000000-0005-0000-0000-000024590000}"/>
    <cellStyle name="40% - Accent6 2 2 3 2 2 3 2 3" xfId="29862" xr:uid="{00000000-0005-0000-0000-000025590000}"/>
    <cellStyle name="40% - Accent6 2 2 3 2 2 3 3" xfId="22594" xr:uid="{00000000-0005-0000-0000-000026590000}"/>
    <cellStyle name="40% - Accent6 2 2 3 2 2 3 3 2" xfId="3486" xr:uid="{00000000-0005-0000-0000-000027590000}"/>
    <cellStyle name="40% - Accent6 2 2 3 2 2 3 4" xfId="32980" xr:uid="{00000000-0005-0000-0000-000028590000}"/>
    <cellStyle name="40% - Accent6 2 2 3 2 2 4" xfId="25930" xr:uid="{00000000-0005-0000-0000-000029590000}"/>
    <cellStyle name="40% - Accent6 2 2 3 2 2 4 2" xfId="25572" xr:uid="{00000000-0005-0000-0000-00002A590000}"/>
    <cellStyle name="40% - Accent6 2 2 3 2 2 4 2 2" xfId="29962" xr:uid="{00000000-0005-0000-0000-00002B590000}"/>
    <cellStyle name="40% - Accent6 2 2 3 2 2 4 3" xfId="5213" xr:uid="{00000000-0005-0000-0000-00002C590000}"/>
    <cellStyle name="40% - Accent6 2 2 3 2 2 5" xfId="16495" xr:uid="{00000000-0005-0000-0000-00002D590000}"/>
    <cellStyle name="40% - Accent6 2 2 3 2 2 5 2" xfId="25931" xr:uid="{00000000-0005-0000-0000-00002E590000}"/>
    <cellStyle name="40% - Accent6 2 2 3 2 2 6" xfId="25933" xr:uid="{00000000-0005-0000-0000-00002F590000}"/>
    <cellStyle name="40% - Accent6 2 2 3 2 3" xfId="25938" xr:uid="{00000000-0005-0000-0000-000030590000}"/>
    <cellStyle name="40% - Accent6 2 2 3 2 3 2" xfId="22639" xr:uid="{00000000-0005-0000-0000-000031590000}"/>
    <cellStyle name="40% - Accent6 2 2 3 2 3 2 2" xfId="14437" xr:uid="{00000000-0005-0000-0000-000032590000}"/>
    <cellStyle name="40% - Accent6 2 2 3 2 3 2 2 2" xfId="792" xr:uid="{00000000-0005-0000-0000-000033590000}"/>
    <cellStyle name="40% - Accent6 2 2 3 2 3 2 2 2 2" xfId="25942" xr:uid="{00000000-0005-0000-0000-000034590000}"/>
    <cellStyle name="40% - Accent6 2 2 3 2 3 2 2 3" xfId="27762" xr:uid="{00000000-0005-0000-0000-000035590000}"/>
    <cellStyle name="40% - Accent6 2 2 3 2 3 2 3" xfId="22598" xr:uid="{00000000-0005-0000-0000-000036590000}"/>
    <cellStyle name="40% - Accent6 2 2 3 2 3 2 3 2" xfId="27690" xr:uid="{00000000-0005-0000-0000-000037590000}"/>
    <cellStyle name="40% - Accent6 2 2 3 2 3 2 4" xfId="25949" xr:uid="{00000000-0005-0000-0000-000038590000}"/>
    <cellStyle name="40% - Accent6 2 2 3 2 3 3" xfId="25954" xr:uid="{00000000-0005-0000-0000-000039590000}"/>
    <cellStyle name="40% - Accent6 2 2 3 2 3 3 2" xfId="24368" xr:uid="{00000000-0005-0000-0000-00003A590000}"/>
    <cellStyle name="40% - Accent6 2 2 3 2 3 3 2 2" xfId="33709" xr:uid="{00000000-0005-0000-0000-00003B590000}"/>
    <cellStyle name="40% - Accent6 2 2 3 2 3 3 3" xfId="22686" xr:uid="{00000000-0005-0000-0000-00003C590000}"/>
    <cellStyle name="40% - Accent6 2 2 3 2 3 4" xfId="10931" xr:uid="{00000000-0005-0000-0000-00003D590000}"/>
    <cellStyle name="40% - Accent6 2 2 3 2 3 4 2" xfId="25955" xr:uid="{00000000-0005-0000-0000-00003E590000}"/>
    <cellStyle name="40% - Accent6 2 2 3 2 3 5" xfId="21990" xr:uid="{00000000-0005-0000-0000-00003F590000}"/>
    <cellStyle name="40% - Accent6 2 2 3 2 4" xfId="20968" xr:uid="{00000000-0005-0000-0000-000040590000}"/>
    <cellStyle name="40% - Accent6 2 2 3 2 4 2" xfId="31407" xr:uid="{00000000-0005-0000-0000-000041590000}"/>
    <cellStyle name="40% - Accent6 2 2 3 2 4 2 2" xfId="25961" xr:uid="{00000000-0005-0000-0000-000042590000}"/>
    <cellStyle name="40% - Accent6 2 2 3 2 4 2 2 2" xfId="14520" xr:uid="{00000000-0005-0000-0000-000043590000}"/>
    <cellStyle name="40% - Accent6 2 2 3 2 4 2 3" xfId="19839" xr:uid="{00000000-0005-0000-0000-000044590000}"/>
    <cellStyle name="40% - Accent6 2 2 3 2 4 3" xfId="5522" xr:uid="{00000000-0005-0000-0000-000045590000}"/>
    <cellStyle name="40% - Accent6 2 2 3 2 4 3 2" xfId="25963" xr:uid="{00000000-0005-0000-0000-000046590000}"/>
    <cellStyle name="40% - Accent6 2 2 3 2 4 4" xfId="8762" xr:uid="{00000000-0005-0000-0000-000047590000}"/>
    <cellStyle name="40% - Accent6 2 2 3 2 5" xfId="5288" xr:uid="{00000000-0005-0000-0000-000048590000}"/>
    <cellStyle name="40% - Accent6 2 2 3 2 5 2" xfId="7877" xr:uid="{00000000-0005-0000-0000-000049590000}"/>
    <cellStyle name="40% - Accent6 2 2 3 2 5 2 2" xfId="28933" xr:uid="{00000000-0005-0000-0000-00004A590000}"/>
    <cellStyle name="40% - Accent6 2 2 3 2 5 3" xfId="8771" xr:uid="{00000000-0005-0000-0000-00004B590000}"/>
    <cellStyle name="40% - Accent6 2 2 3 2 6" xfId="511" xr:uid="{00000000-0005-0000-0000-00004C590000}"/>
    <cellStyle name="40% - Accent6 2 2 3 2 6 2" xfId="25965" xr:uid="{00000000-0005-0000-0000-00004D590000}"/>
    <cellStyle name="40% - Accent6 2 2 3 2 7" xfId="25966" xr:uid="{00000000-0005-0000-0000-00004E590000}"/>
    <cellStyle name="40% - Accent6 2 2 3 3" xfId="8960" xr:uid="{00000000-0005-0000-0000-00004F590000}"/>
    <cellStyle name="40% - Accent6 2 2 3 3 2" xfId="25967" xr:uid="{00000000-0005-0000-0000-000050590000}"/>
    <cellStyle name="40% - Accent6 2 2 3 3 2 2" xfId="28727" xr:uid="{00000000-0005-0000-0000-000051590000}"/>
    <cellStyle name="40% - Accent6 2 2 3 3 2 2 2" xfId="25968" xr:uid="{00000000-0005-0000-0000-000052590000}"/>
    <cellStyle name="40% - Accent6 2 2 3 3 2 2 2 2" xfId="25969" xr:uid="{00000000-0005-0000-0000-000053590000}"/>
    <cellStyle name="40% - Accent6 2 2 3 3 2 2 2 2 2" xfId="13479" xr:uid="{00000000-0005-0000-0000-000054590000}"/>
    <cellStyle name="40% - Accent6 2 2 3 3 2 2 2 3" xfId="25971" xr:uid="{00000000-0005-0000-0000-000055590000}"/>
    <cellStyle name="40% - Accent6 2 2 3 3 2 2 3" xfId="22645" xr:uid="{00000000-0005-0000-0000-000056590000}"/>
    <cellStyle name="40% - Accent6 2 2 3 3 2 2 3 2" xfId="21156" xr:uid="{00000000-0005-0000-0000-000057590000}"/>
    <cellStyle name="40% - Accent6 2 2 3 3 2 2 4" xfId="27769" xr:uid="{00000000-0005-0000-0000-000058590000}"/>
    <cellStyle name="40% - Accent6 2 2 3 3 2 3" xfId="25974" xr:uid="{00000000-0005-0000-0000-000059590000}"/>
    <cellStyle name="40% - Accent6 2 2 3 3 2 3 2" xfId="25610" xr:uid="{00000000-0005-0000-0000-00005A590000}"/>
    <cellStyle name="40% - Accent6 2 2 3 3 2 3 2 2" xfId="25979" xr:uid="{00000000-0005-0000-0000-00005B590000}"/>
    <cellStyle name="40% - Accent6 2 2 3 3 2 3 3" xfId="25980" xr:uid="{00000000-0005-0000-0000-00005C590000}"/>
    <cellStyle name="40% - Accent6 2 2 3 3 2 4" xfId="25981" xr:uid="{00000000-0005-0000-0000-00005D590000}"/>
    <cellStyle name="40% - Accent6 2 2 3 3 2 4 2" xfId="25982" xr:uid="{00000000-0005-0000-0000-00005E590000}"/>
    <cellStyle name="40% - Accent6 2 2 3 3 2 5" xfId="25985" xr:uid="{00000000-0005-0000-0000-00005F590000}"/>
    <cellStyle name="40% - Accent6 2 2 3 3 3" xfId="25989" xr:uid="{00000000-0005-0000-0000-000060590000}"/>
    <cellStyle name="40% - Accent6 2 2 3 3 3 2" xfId="25990" xr:uid="{00000000-0005-0000-0000-000061590000}"/>
    <cellStyle name="40% - Accent6 2 2 3 3 3 2 2" xfId="368" xr:uid="{00000000-0005-0000-0000-000062590000}"/>
    <cellStyle name="40% - Accent6 2 2 3 3 3 2 2 2" xfId="15408" xr:uid="{00000000-0005-0000-0000-000063590000}"/>
    <cellStyle name="40% - Accent6 2 2 3 3 3 2 3" xfId="25992" xr:uid="{00000000-0005-0000-0000-000064590000}"/>
    <cellStyle name="40% - Accent6 2 2 3 3 3 3" xfId="25994" xr:uid="{00000000-0005-0000-0000-000065590000}"/>
    <cellStyle name="40% - Accent6 2 2 3 3 3 3 2" xfId="29932" xr:uid="{00000000-0005-0000-0000-000066590000}"/>
    <cellStyle name="40% - Accent6 2 2 3 3 3 4" xfId="25996" xr:uid="{00000000-0005-0000-0000-000067590000}"/>
    <cellStyle name="40% - Accent6 2 2 3 3 4" xfId="5314" xr:uid="{00000000-0005-0000-0000-000068590000}"/>
    <cellStyle name="40% - Accent6 2 2 3 3 4 2" xfId="7888" xr:uid="{00000000-0005-0000-0000-000069590000}"/>
    <cellStyle name="40% - Accent6 2 2 3 3 4 2 2" xfId="26005" xr:uid="{00000000-0005-0000-0000-00006A590000}"/>
    <cellStyle name="40% - Accent6 2 2 3 3 4 3" xfId="8784" xr:uid="{00000000-0005-0000-0000-00006B590000}"/>
    <cellStyle name="40% - Accent6 2 2 3 3 5" xfId="7892" xr:uid="{00000000-0005-0000-0000-00006C590000}"/>
    <cellStyle name="40% - Accent6 2 2 3 3 5 2" xfId="3179" xr:uid="{00000000-0005-0000-0000-00006D590000}"/>
    <cellStyle name="40% - Accent6 2 2 3 3 6" xfId="5366" xr:uid="{00000000-0005-0000-0000-00006E590000}"/>
    <cellStyle name="40% - Accent6 2 2 3 4" xfId="759" xr:uid="{00000000-0005-0000-0000-00006F590000}"/>
    <cellStyle name="40% - Accent6 2 2 3 4 2" xfId="26007" xr:uid="{00000000-0005-0000-0000-000070590000}"/>
    <cellStyle name="40% - Accent6 2 2 3 4 2 2" xfId="24245" xr:uid="{00000000-0005-0000-0000-000071590000}"/>
    <cellStyle name="40% - Accent6 2 2 3 4 2 2 2" xfId="26009" xr:uid="{00000000-0005-0000-0000-000072590000}"/>
    <cellStyle name="40% - Accent6 2 2 3 4 2 2 2 2" xfId="20981" xr:uid="{00000000-0005-0000-0000-000073590000}"/>
    <cellStyle name="40% - Accent6 2 2 3 4 2 2 3" xfId="28920" xr:uid="{00000000-0005-0000-0000-000074590000}"/>
    <cellStyle name="40% - Accent6 2 2 3 4 2 3" xfId="26010" xr:uid="{00000000-0005-0000-0000-000075590000}"/>
    <cellStyle name="40% - Accent6 2 2 3 4 2 3 2" xfId="26011" xr:uid="{00000000-0005-0000-0000-000076590000}"/>
    <cellStyle name="40% - Accent6 2 2 3 4 2 4" xfId="26329" xr:uid="{00000000-0005-0000-0000-000077590000}"/>
    <cellStyle name="40% - Accent6 2 2 3 4 3" xfId="26012" xr:uid="{00000000-0005-0000-0000-000078590000}"/>
    <cellStyle name="40% - Accent6 2 2 3 4 3 2" xfId="26013" xr:uid="{00000000-0005-0000-0000-000079590000}"/>
    <cellStyle name="40% - Accent6 2 2 3 4 3 2 2" xfId="26015" xr:uid="{00000000-0005-0000-0000-00007A590000}"/>
    <cellStyle name="40% - Accent6 2 2 3 4 3 3" xfId="26016" xr:uid="{00000000-0005-0000-0000-00007B590000}"/>
    <cellStyle name="40% - Accent6 2 2 3 4 4" xfId="7901" xr:uid="{00000000-0005-0000-0000-00007C590000}"/>
    <cellStyle name="40% - Accent6 2 2 3 4 4 2" xfId="26017" xr:uid="{00000000-0005-0000-0000-00007D590000}"/>
    <cellStyle name="40% - Accent6 2 2 3 4 5" xfId="17980" xr:uid="{00000000-0005-0000-0000-00007E590000}"/>
    <cellStyle name="40% - Accent6 2 2 3 5" xfId="32576" xr:uid="{00000000-0005-0000-0000-00007F590000}"/>
    <cellStyle name="40% - Accent6 2 2 3 5 2" xfId="26018" xr:uid="{00000000-0005-0000-0000-000080590000}"/>
    <cellStyle name="40% - Accent6 2 2 3 5 2 2" xfId="26019" xr:uid="{00000000-0005-0000-0000-000081590000}"/>
    <cellStyle name="40% - Accent6 2 2 3 5 2 2 2" xfId="26022" xr:uid="{00000000-0005-0000-0000-000082590000}"/>
    <cellStyle name="40% - Accent6 2 2 3 5 2 3" xfId="8159" xr:uid="{00000000-0005-0000-0000-000083590000}"/>
    <cellStyle name="40% - Accent6 2 2 3 5 3" xfId="26024" xr:uid="{00000000-0005-0000-0000-000084590000}"/>
    <cellStyle name="40% - Accent6 2 2 3 5 3 2" xfId="26026" xr:uid="{00000000-0005-0000-0000-000085590000}"/>
    <cellStyle name="40% - Accent6 2 2 3 5 4" xfId="30774" xr:uid="{00000000-0005-0000-0000-000086590000}"/>
    <cellStyle name="40% - Accent6 2 2 3 6" xfId="22926" xr:uid="{00000000-0005-0000-0000-000087590000}"/>
    <cellStyle name="40% - Accent6 2 2 3 6 2" xfId="4523" xr:uid="{00000000-0005-0000-0000-000088590000}"/>
    <cellStyle name="40% - Accent6 2 2 3 6 2 2" xfId="26031" xr:uid="{00000000-0005-0000-0000-000089590000}"/>
    <cellStyle name="40% - Accent6 2 2 3 6 3" xfId="5152" xr:uid="{00000000-0005-0000-0000-00008A590000}"/>
    <cellStyle name="40% - Accent6 2 2 3 7" xfId="22931" xr:uid="{00000000-0005-0000-0000-00008B590000}"/>
    <cellStyle name="40% - Accent6 2 2 3 7 2" xfId="8499" xr:uid="{00000000-0005-0000-0000-00008C590000}"/>
    <cellStyle name="40% - Accent6 2 2 3 8" xfId="25187" xr:uid="{00000000-0005-0000-0000-00008D590000}"/>
    <cellStyle name="40% - Accent6 2 2 4" xfId="3461" xr:uid="{00000000-0005-0000-0000-00008E590000}"/>
    <cellStyle name="40% - Accent6 2 2 4 2" xfId="3920" xr:uid="{00000000-0005-0000-0000-00008F590000}"/>
    <cellStyle name="40% - Accent6 2 2 4 2 2" xfId="26034" xr:uid="{00000000-0005-0000-0000-000090590000}"/>
    <cellStyle name="40% - Accent6 2 2 4 2 2 2" xfId="31154" xr:uid="{00000000-0005-0000-0000-000091590000}"/>
    <cellStyle name="40% - Accent6 2 2 4 2 2 2 2" xfId="15818" xr:uid="{00000000-0005-0000-0000-000092590000}"/>
    <cellStyle name="40% - Accent6 2 2 4 2 2 2 2 2" xfId="27483" xr:uid="{00000000-0005-0000-0000-000093590000}"/>
    <cellStyle name="40% - Accent6 2 2 4 2 2 2 2 2 2" xfId="26035" xr:uid="{00000000-0005-0000-0000-000094590000}"/>
    <cellStyle name="40% - Accent6 2 2 4 2 2 2 2 3" xfId="24465" xr:uid="{00000000-0005-0000-0000-000095590000}"/>
    <cellStyle name="40% - Accent6 2 2 4 2 2 2 3" xfId="22829" xr:uid="{00000000-0005-0000-0000-000096590000}"/>
    <cellStyle name="40% - Accent6 2 2 4 2 2 2 3 2" xfId="22386" xr:uid="{00000000-0005-0000-0000-000097590000}"/>
    <cellStyle name="40% - Accent6 2 2 4 2 2 2 4" xfId="31152" xr:uid="{00000000-0005-0000-0000-000098590000}"/>
    <cellStyle name="40% - Accent6 2 2 4 2 2 3" xfId="26042" xr:uid="{00000000-0005-0000-0000-000099590000}"/>
    <cellStyle name="40% - Accent6 2 2 4 2 2 3 2" xfId="26049" xr:uid="{00000000-0005-0000-0000-00009A590000}"/>
    <cellStyle name="40% - Accent6 2 2 4 2 2 3 2 2" xfId="26058" xr:uid="{00000000-0005-0000-0000-00009B590000}"/>
    <cellStyle name="40% - Accent6 2 2 4 2 2 3 3" xfId="24601" xr:uid="{00000000-0005-0000-0000-00009C590000}"/>
    <cellStyle name="40% - Accent6 2 2 4 2 2 4" xfId="3537" xr:uid="{00000000-0005-0000-0000-00009D590000}"/>
    <cellStyle name="40% - Accent6 2 2 4 2 2 4 2" xfId="22278" xr:uid="{00000000-0005-0000-0000-00009E590000}"/>
    <cellStyle name="40% - Accent6 2 2 4 2 2 5" xfId="11184" xr:uid="{00000000-0005-0000-0000-00009F590000}"/>
    <cellStyle name="40% - Accent6 2 2 4 2 3" xfId="28373" xr:uid="{00000000-0005-0000-0000-0000A0590000}"/>
    <cellStyle name="40% - Accent6 2 2 4 2 3 2" xfId="26059" xr:uid="{00000000-0005-0000-0000-0000A1590000}"/>
    <cellStyle name="40% - Accent6 2 2 4 2 3 2 2" xfId="26060" xr:uid="{00000000-0005-0000-0000-0000A2590000}"/>
    <cellStyle name="40% - Accent6 2 2 4 2 3 2 2 2" xfId="32589" xr:uid="{00000000-0005-0000-0000-0000A3590000}"/>
    <cellStyle name="40% - Accent6 2 2 4 2 3 2 3" xfId="26061" xr:uid="{00000000-0005-0000-0000-0000A4590000}"/>
    <cellStyle name="40% - Accent6 2 2 4 2 3 3" xfId="32528" xr:uid="{00000000-0005-0000-0000-0000A5590000}"/>
    <cellStyle name="40% - Accent6 2 2 4 2 3 3 2" xfId="26063" xr:uid="{00000000-0005-0000-0000-0000A6590000}"/>
    <cellStyle name="40% - Accent6 2 2 4 2 3 4" xfId="11192" xr:uid="{00000000-0005-0000-0000-0000A7590000}"/>
    <cellStyle name="40% - Accent6 2 2 4 2 4" xfId="5420" xr:uid="{00000000-0005-0000-0000-0000A8590000}"/>
    <cellStyle name="40% - Accent6 2 2 4 2 4 2" xfId="12207" xr:uid="{00000000-0005-0000-0000-0000A9590000}"/>
    <cellStyle name="40% - Accent6 2 2 4 2 4 2 2" xfId="26067" xr:uid="{00000000-0005-0000-0000-0000AA590000}"/>
    <cellStyle name="40% - Accent6 2 2 4 2 4 3" xfId="8812" xr:uid="{00000000-0005-0000-0000-0000AB590000}"/>
    <cellStyle name="40% - Accent6 2 2 4 2 5" xfId="15456" xr:uid="{00000000-0005-0000-0000-0000AC590000}"/>
    <cellStyle name="40% - Accent6 2 2 4 2 5 2" xfId="26069" xr:uid="{00000000-0005-0000-0000-0000AD590000}"/>
    <cellStyle name="40% - Accent6 2 2 4 2 6" xfId="26071" xr:uid="{00000000-0005-0000-0000-0000AE590000}"/>
    <cellStyle name="40% - Accent6 2 2 4 3" xfId="4241" xr:uid="{00000000-0005-0000-0000-0000AF590000}"/>
    <cellStyle name="40% - Accent6 2 2 4 3 2" xfId="23618" xr:uid="{00000000-0005-0000-0000-0000B0590000}"/>
    <cellStyle name="40% - Accent6 2 2 4 3 2 2" xfId="26078" xr:uid="{00000000-0005-0000-0000-0000B1590000}"/>
    <cellStyle name="40% - Accent6 2 2 4 3 2 2 2" xfId="26079" xr:uid="{00000000-0005-0000-0000-0000B2590000}"/>
    <cellStyle name="40% - Accent6 2 2 4 3 2 2 2 2" xfId="23622" xr:uid="{00000000-0005-0000-0000-0000B3590000}"/>
    <cellStyle name="40% - Accent6 2 2 4 3 2 2 3" xfId="26080" xr:uid="{00000000-0005-0000-0000-0000B4590000}"/>
    <cellStyle name="40% - Accent6 2 2 4 3 2 3" xfId="26081" xr:uid="{00000000-0005-0000-0000-0000B5590000}"/>
    <cellStyle name="40% - Accent6 2 2 4 3 2 3 2" xfId="26082" xr:uid="{00000000-0005-0000-0000-0000B6590000}"/>
    <cellStyle name="40% - Accent6 2 2 4 3 2 4" xfId="3575" xr:uid="{00000000-0005-0000-0000-0000B7590000}"/>
    <cellStyle name="40% - Accent6 2 2 4 3 3" xfId="26088" xr:uid="{00000000-0005-0000-0000-0000B8590000}"/>
    <cellStyle name="40% - Accent6 2 2 4 3 3 2" xfId="29296" xr:uid="{00000000-0005-0000-0000-0000B9590000}"/>
    <cellStyle name="40% - Accent6 2 2 4 3 3 2 2" xfId="12260" xr:uid="{00000000-0005-0000-0000-0000BA590000}"/>
    <cellStyle name="40% - Accent6 2 2 4 3 3 3" xfId="26090" xr:uid="{00000000-0005-0000-0000-0000BB590000}"/>
    <cellStyle name="40% - Accent6 2 2 4 3 4" xfId="1998" xr:uid="{00000000-0005-0000-0000-0000BC590000}"/>
    <cellStyle name="40% - Accent6 2 2 4 3 4 2" xfId="26091" xr:uid="{00000000-0005-0000-0000-0000BD590000}"/>
    <cellStyle name="40% - Accent6 2 2 4 3 5" xfId="15476" xr:uid="{00000000-0005-0000-0000-0000BE590000}"/>
    <cellStyle name="40% - Accent6 2 2 4 4" xfId="4246" xr:uid="{00000000-0005-0000-0000-0000BF590000}"/>
    <cellStyle name="40% - Accent6 2 2 4 4 2" xfId="26092" xr:uid="{00000000-0005-0000-0000-0000C0590000}"/>
    <cellStyle name="40% - Accent6 2 2 4 4 2 2" xfId="26093" xr:uid="{00000000-0005-0000-0000-0000C1590000}"/>
    <cellStyle name="40% - Accent6 2 2 4 4 2 2 2" xfId="16865" xr:uid="{00000000-0005-0000-0000-0000C2590000}"/>
    <cellStyle name="40% - Accent6 2 2 4 4 2 3" xfId="26094" xr:uid="{00000000-0005-0000-0000-0000C3590000}"/>
    <cellStyle name="40% - Accent6 2 2 4 4 3" xfId="26095" xr:uid="{00000000-0005-0000-0000-0000C4590000}"/>
    <cellStyle name="40% - Accent6 2 2 4 4 3 2" xfId="26096" xr:uid="{00000000-0005-0000-0000-0000C5590000}"/>
    <cellStyle name="40% - Accent6 2 2 4 4 4" xfId="24743" xr:uid="{00000000-0005-0000-0000-0000C6590000}"/>
    <cellStyle name="40% - Accent6 2 2 4 5" xfId="3031" xr:uid="{00000000-0005-0000-0000-0000C7590000}"/>
    <cellStyle name="40% - Accent6 2 2 4 5 2" xfId="10684" xr:uid="{00000000-0005-0000-0000-0000C8590000}"/>
    <cellStyle name="40% - Accent6 2 2 4 5 2 2" xfId="22713" xr:uid="{00000000-0005-0000-0000-0000C9590000}"/>
    <cellStyle name="40% - Accent6 2 2 4 5 3" xfId="10691" xr:uid="{00000000-0005-0000-0000-0000CA590000}"/>
    <cellStyle name="40% - Accent6 2 2 4 6" xfId="22938" xr:uid="{00000000-0005-0000-0000-0000CB590000}"/>
    <cellStyle name="40% - Accent6 2 2 4 6 2" xfId="10720" xr:uid="{00000000-0005-0000-0000-0000CC590000}"/>
    <cellStyle name="40% - Accent6 2 2 4 7" xfId="26097" xr:uid="{00000000-0005-0000-0000-0000CD590000}"/>
    <cellStyle name="40% - Accent6 2 2 5" xfId="1592" xr:uid="{00000000-0005-0000-0000-0000CE590000}"/>
    <cellStyle name="40% - Accent6 2 2 5 2" xfId="9710" xr:uid="{00000000-0005-0000-0000-0000CF590000}"/>
    <cellStyle name="40% - Accent6 2 2 5 2 2" xfId="14473" xr:uid="{00000000-0005-0000-0000-0000D0590000}"/>
    <cellStyle name="40% - Accent6 2 2 5 2 2 2" xfId="26104" xr:uid="{00000000-0005-0000-0000-0000D1590000}"/>
    <cellStyle name="40% - Accent6 2 2 5 2 2 2 2" xfId="12371" xr:uid="{00000000-0005-0000-0000-0000D2590000}"/>
    <cellStyle name="40% - Accent6 2 2 5 2 2 2 2 2" xfId="19875" xr:uid="{00000000-0005-0000-0000-0000D3590000}"/>
    <cellStyle name="40% - Accent6 2 2 5 2 2 2 3" xfId="29848" xr:uid="{00000000-0005-0000-0000-0000D4590000}"/>
    <cellStyle name="40% - Accent6 2 2 5 2 2 3" xfId="26112" xr:uid="{00000000-0005-0000-0000-0000D5590000}"/>
    <cellStyle name="40% - Accent6 2 2 5 2 2 3 2" xfId="26118" xr:uid="{00000000-0005-0000-0000-0000D6590000}"/>
    <cellStyle name="40% - Accent6 2 2 5 2 2 4" xfId="11351" xr:uid="{00000000-0005-0000-0000-0000D7590000}"/>
    <cellStyle name="40% - Accent6 2 2 5 2 3" xfId="14477" xr:uid="{00000000-0005-0000-0000-0000D8590000}"/>
    <cellStyle name="40% - Accent6 2 2 5 2 3 2" xfId="26333" xr:uid="{00000000-0005-0000-0000-0000D9590000}"/>
    <cellStyle name="40% - Accent6 2 2 5 2 3 2 2" xfId="29288" xr:uid="{00000000-0005-0000-0000-0000DA590000}"/>
    <cellStyle name="40% - Accent6 2 2 5 2 3 3" xfId="26120" xr:uid="{00000000-0005-0000-0000-0000DB590000}"/>
    <cellStyle name="40% - Accent6 2 2 5 2 4" xfId="7969" xr:uid="{00000000-0005-0000-0000-0000DC590000}"/>
    <cellStyle name="40% - Accent6 2 2 5 2 4 2" xfId="29812" xr:uid="{00000000-0005-0000-0000-0000DD590000}"/>
    <cellStyle name="40% - Accent6 2 2 5 2 5" xfId="26125" xr:uid="{00000000-0005-0000-0000-0000DE590000}"/>
    <cellStyle name="40% - Accent6 2 2 5 3" xfId="7756" xr:uid="{00000000-0005-0000-0000-0000DF590000}"/>
    <cellStyle name="40% - Accent6 2 2 5 3 2" xfId="12483" xr:uid="{00000000-0005-0000-0000-0000E0590000}"/>
    <cellStyle name="40% - Accent6 2 2 5 3 2 2" xfId="24317" xr:uid="{00000000-0005-0000-0000-0000E1590000}"/>
    <cellStyle name="40% - Accent6 2 2 5 3 2 2 2" xfId="26251" xr:uid="{00000000-0005-0000-0000-0000E2590000}"/>
    <cellStyle name="40% - Accent6 2 2 5 3 2 3" xfId="26129" xr:uid="{00000000-0005-0000-0000-0000E3590000}"/>
    <cellStyle name="40% - Accent6 2 2 5 3 3" xfId="33409" xr:uid="{00000000-0005-0000-0000-0000E4590000}"/>
    <cellStyle name="40% - Accent6 2 2 5 3 3 2" xfId="19791" xr:uid="{00000000-0005-0000-0000-0000E5590000}"/>
    <cellStyle name="40% - Accent6 2 2 5 3 4" xfId="4907" xr:uid="{00000000-0005-0000-0000-0000E6590000}"/>
    <cellStyle name="40% - Accent6 2 2 5 4" xfId="3050" xr:uid="{00000000-0005-0000-0000-0000E7590000}"/>
    <cellStyle name="40% - Accent6 2 2 5 4 2" xfId="6153" xr:uid="{00000000-0005-0000-0000-0000E8590000}"/>
    <cellStyle name="40% - Accent6 2 2 5 4 2 2" xfId="26132" xr:uid="{00000000-0005-0000-0000-0000E9590000}"/>
    <cellStyle name="40% - Accent6 2 2 5 4 3" xfId="31223" xr:uid="{00000000-0005-0000-0000-0000EA590000}"/>
    <cellStyle name="40% - Accent6 2 2 5 5" xfId="31769" xr:uid="{00000000-0005-0000-0000-0000EB590000}"/>
    <cellStyle name="40% - Accent6 2 2 5 5 2" xfId="10704" xr:uid="{00000000-0005-0000-0000-0000EC590000}"/>
    <cellStyle name="40% - Accent6 2 2 5 6" xfId="26137" xr:uid="{00000000-0005-0000-0000-0000ED590000}"/>
    <cellStyle name="40% - Accent6 2 2 6" xfId="4996" xr:uid="{00000000-0005-0000-0000-0000EE590000}"/>
    <cellStyle name="40% - Accent6 2 2 6 2" xfId="3519" xr:uid="{00000000-0005-0000-0000-0000EF590000}"/>
    <cellStyle name="40% - Accent6 2 2 6 2 2" xfId="13126" xr:uid="{00000000-0005-0000-0000-0000F0590000}"/>
    <cellStyle name="40% - Accent6 2 2 6 2 2 2" xfId="26144" xr:uid="{00000000-0005-0000-0000-0000F1590000}"/>
    <cellStyle name="40% - Accent6 2 2 6 2 2 2 2" xfId="26152" xr:uid="{00000000-0005-0000-0000-0000F2590000}"/>
    <cellStyle name="40% - Accent6 2 2 6 2 2 3" xfId="22915" xr:uid="{00000000-0005-0000-0000-0000F3590000}"/>
    <cellStyle name="40% - Accent6 2 2 6 2 3" xfId="26154" xr:uid="{00000000-0005-0000-0000-0000F4590000}"/>
    <cellStyle name="40% - Accent6 2 2 6 2 3 2" xfId="6116" xr:uid="{00000000-0005-0000-0000-0000F5590000}"/>
    <cellStyle name="40% - Accent6 2 2 6 2 4" xfId="26161" xr:uid="{00000000-0005-0000-0000-0000F6590000}"/>
    <cellStyle name="40% - Accent6 2 2 6 3" xfId="4999" xr:uid="{00000000-0005-0000-0000-0000F7590000}"/>
    <cellStyle name="40% - Accent6 2 2 6 3 2" xfId="26164" xr:uid="{00000000-0005-0000-0000-0000F8590000}"/>
    <cellStyle name="40% - Accent6 2 2 6 3 2 2" xfId="19071" xr:uid="{00000000-0005-0000-0000-0000F9590000}"/>
    <cellStyle name="40% - Accent6 2 2 6 3 3" xfId="26170" xr:uid="{00000000-0005-0000-0000-0000FA590000}"/>
    <cellStyle name="40% - Accent6 2 2 6 4" xfId="33441" xr:uid="{00000000-0005-0000-0000-0000FB590000}"/>
    <cellStyle name="40% - Accent6 2 2 6 4 2" xfId="27014" xr:uid="{00000000-0005-0000-0000-0000FC590000}"/>
    <cellStyle name="40% - Accent6 2 2 6 5" xfId="18466" xr:uid="{00000000-0005-0000-0000-0000FD590000}"/>
    <cellStyle name="40% - Accent6 2 2 7" xfId="4128" xr:uid="{00000000-0005-0000-0000-0000FE590000}"/>
    <cellStyle name="40% - Accent6 2 2 7 2" xfId="4212" xr:uid="{00000000-0005-0000-0000-0000FF590000}"/>
    <cellStyle name="40% - Accent6 2 2 7 2 2" xfId="29979" xr:uid="{00000000-0005-0000-0000-0000005A0000}"/>
    <cellStyle name="40% - Accent6 2 2 7 2 2 2" xfId="26173" xr:uid="{00000000-0005-0000-0000-0000015A0000}"/>
    <cellStyle name="40% - Accent6 2 2 7 2 3" xfId="16662" xr:uid="{00000000-0005-0000-0000-0000025A0000}"/>
    <cellStyle name="40% - Accent6 2 2 7 3" xfId="23776" xr:uid="{00000000-0005-0000-0000-0000035A0000}"/>
    <cellStyle name="40% - Accent6 2 2 7 3 2" xfId="16671" xr:uid="{00000000-0005-0000-0000-0000045A0000}"/>
    <cellStyle name="40% - Accent6 2 2 7 4" xfId="33498" xr:uid="{00000000-0005-0000-0000-0000055A0000}"/>
    <cellStyle name="40% - Accent6 2 2 8" xfId="1669" xr:uid="{00000000-0005-0000-0000-0000065A0000}"/>
    <cellStyle name="40% - Accent6 2 2 8 2" xfId="26176" xr:uid="{00000000-0005-0000-0000-0000075A0000}"/>
    <cellStyle name="40% - Accent6 2 2 8 2 2" xfId="16675" xr:uid="{00000000-0005-0000-0000-0000085A0000}"/>
    <cellStyle name="40% - Accent6 2 2 8 3" xfId="26177" xr:uid="{00000000-0005-0000-0000-0000095A0000}"/>
    <cellStyle name="40% - Accent6 2 2 9" xfId="29562" xr:uid="{00000000-0005-0000-0000-00000A5A0000}"/>
    <cellStyle name="40% - Accent6 2 2 9 2" xfId="26179" xr:uid="{00000000-0005-0000-0000-00000B5A0000}"/>
    <cellStyle name="40% - Accent6 2 3" xfId="9879" xr:uid="{00000000-0005-0000-0000-00000C5A0000}"/>
    <cellStyle name="40% - Accent6 2 3 2" xfId="20235" xr:uid="{00000000-0005-0000-0000-00000D5A0000}"/>
    <cellStyle name="40% - Accent6 2 3 2 2" xfId="24538" xr:uid="{00000000-0005-0000-0000-00000E5A0000}"/>
    <cellStyle name="40% - Accent6 2 3 2 2 2" xfId="15365" xr:uid="{00000000-0005-0000-0000-00000F5A0000}"/>
    <cellStyle name="40% - Accent6 2 3 2 2 2 2" xfId="10356" xr:uid="{00000000-0005-0000-0000-0000105A0000}"/>
    <cellStyle name="40% - Accent6 2 3 2 2 2 2 2" xfId="26183" xr:uid="{00000000-0005-0000-0000-0000115A0000}"/>
    <cellStyle name="40% - Accent6 2 3 2 2 2 2 2 2" xfId="16473" xr:uid="{00000000-0005-0000-0000-0000125A0000}"/>
    <cellStyle name="40% - Accent6 2 3 2 2 2 2 2 2 2" xfId="24916" xr:uid="{00000000-0005-0000-0000-0000135A0000}"/>
    <cellStyle name="40% - Accent6 2 3 2 2 2 2 2 2 2 2" xfId="5041" xr:uid="{00000000-0005-0000-0000-0000145A0000}"/>
    <cellStyle name="40% - Accent6 2 3 2 2 2 2 2 2 3" xfId="25711" xr:uid="{00000000-0005-0000-0000-0000155A0000}"/>
    <cellStyle name="40% - Accent6 2 3 2 2 2 2 2 3" xfId="26201" xr:uid="{00000000-0005-0000-0000-0000165A0000}"/>
    <cellStyle name="40% - Accent6 2 3 2 2 2 2 2 3 2" xfId="21901" xr:uid="{00000000-0005-0000-0000-0000175A0000}"/>
    <cellStyle name="40% - Accent6 2 3 2 2 2 2 2 4" xfId="7913" xr:uid="{00000000-0005-0000-0000-0000185A0000}"/>
    <cellStyle name="40% - Accent6 2 3 2 2 2 2 3" xfId="2198" xr:uid="{00000000-0005-0000-0000-0000195A0000}"/>
    <cellStyle name="40% - Accent6 2 3 2 2 2 2 3 2" xfId="26185" xr:uid="{00000000-0005-0000-0000-00001A5A0000}"/>
    <cellStyle name="40% - Accent6 2 3 2 2 2 2 3 2 2" xfId="24452" xr:uid="{00000000-0005-0000-0000-00001B5A0000}"/>
    <cellStyle name="40% - Accent6 2 3 2 2 2 2 3 3" xfId="10736" xr:uid="{00000000-0005-0000-0000-00001C5A0000}"/>
    <cellStyle name="40% - Accent6 2 3 2 2 2 2 4" xfId="2409" xr:uid="{00000000-0005-0000-0000-00001D5A0000}"/>
    <cellStyle name="40% - Accent6 2 3 2 2 2 2 4 2" xfId="16426" xr:uid="{00000000-0005-0000-0000-00001E5A0000}"/>
    <cellStyle name="40% - Accent6 2 3 2 2 2 2 5" xfId="24361" xr:uid="{00000000-0005-0000-0000-00001F5A0000}"/>
    <cellStyle name="40% - Accent6 2 3 2 2 2 3" xfId="9966" xr:uid="{00000000-0005-0000-0000-0000205A0000}"/>
    <cellStyle name="40% - Accent6 2 3 2 2 2 3 2" xfId="26196" xr:uid="{00000000-0005-0000-0000-0000215A0000}"/>
    <cellStyle name="40% - Accent6 2 3 2 2 2 3 2 2" xfId="25957" xr:uid="{00000000-0005-0000-0000-0000225A0000}"/>
    <cellStyle name="40% - Accent6 2 3 2 2 2 3 2 2 2" xfId="18267" xr:uid="{00000000-0005-0000-0000-0000235A0000}"/>
    <cellStyle name="40% - Accent6 2 3 2 2 2 3 2 3" xfId="26233" xr:uid="{00000000-0005-0000-0000-0000245A0000}"/>
    <cellStyle name="40% - Accent6 2 3 2 2 2 3 3" xfId="2501" xr:uid="{00000000-0005-0000-0000-0000255A0000}"/>
    <cellStyle name="40% - Accent6 2 3 2 2 2 3 3 2" xfId="10539" xr:uid="{00000000-0005-0000-0000-0000265A0000}"/>
    <cellStyle name="40% - Accent6 2 3 2 2 2 3 4" xfId="24366" xr:uid="{00000000-0005-0000-0000-0000275A0000}"/>
    <cellStyle name="40% - Accent6 2 3 2 2 2 4" xfId="9968" xr:uid="{00000000-0005-0000-0000-0000285A0000}"/>
    <cellStyle name="40% - Accent6 2 3 2 2 2 4 2" xfId="18510" xr:uid="{00000000-0005-0000-0000-0000295A0000}"/>
    <cellStyle name="40% - Accent6 2 3 2 2 2 4 2 2" xfId="26197" xr:uid="{00000000-0005-0000-0000-00002A5A0000}"/>
    <cellStyle name="40% - Accent6 2 3 2 2 2 4 3" xfId="32409" xr:uid="{00000000-0005-0000-0000-00002B5A0000}"/>
    <cellStyle name="40% - Accent6 2 3 2 2 2 5" xfId="1910" xr:uid="{00000000-0005-0000-0000-00002C5A0000}"/>
    <cellStyle name="40% - Accent6 2 3 2 2 2 5 2" xfId="32886" xr:uid="{00000000-0005-0000-0000-00002D5A0000}"/>
    <cellStyle name="40% - Accent6 2 3 2 2 2 6" xfId="9706" xr:uid="{00000000-0005-0000-0000-00002E5A0000}"/>
    <cellStyle name="40% - Accent6 2 3 2 2 3" xfId="31434" xr:uid="{00000000-0005-0000-0000-00002F5A0000}"/>
    <cellStyle name="40% - Accent6 2 3 2 2 3 2" xfId="4477" xr:uid="{00000000-0005-0000-0000-0000305A0000}"/>
    <cellStyle name="40% - Accent6 2 3 2 2 3 2 2" xfId="12631" xr:uid="{00000000-0005-0000-0000-0000315A0000}"/>
    <cellStyle name="40% - Accent6 2 3 2 2 3 2 2 2" xfId="11177" xr:uid="{00000000-0005-0000-0000-0000325A0000}"/>
    <cellStyle name="40% - Accent6 2 3 2 2 3 2 2 2 2" xfId="13381" xr:uid="{00000000-0005-0000-0000-0000335A0000}"/>
    <cellStyle name="40% - Accent6 2 3 2 2 3 2 2 3" xfId="30245" xr:uid="{00000000-0005-0000-0000-0000345A0000}"/>
    <cellStyle name="40% - Accent6 2 3 2 2 3 2 3" xfId="2619" xr:uid="{00000000-0005-0000-0000-0000355A0000}"/>
    <cellStyle name="40% - Accent6 2 3 2 2 3 2 3 2" xfId="28437" xr:uid="{00000000-0005-0000-0000-0000365A0000}"/>
    <cellStyle name="40% - Accent6 2 3 2 2 3 2 4" xfId="24387" xr:uid="{00000000-0005-0000-0000-0000375A0000}"/>
    <cellStyle name="40% - Accent6 2 3 2 2 3 3" xfId="31397" xr:uid="{00000000-0005-0000-0000-0000385A0000}"/>
    <cellStyle name="40% - Accent6 2 3 2 2 3 3 2" xfId="26200" xr:uid="{00000000-0005-0000-0000-0000395A0000}"/>
    <cellStyle name="40% - Accent6 2 3 2 2 3 3 2 2" xfId="32310" xr:uid="{00000000-0005-0000-0000-00003A5A0000}"/>
    <cellStyle name="40% - Accent6 2 3 2 2 3 3 3" xfId="20272" xr:uid="{00000000-0005-0000-0000-00003B5A0000}"/>
    <cellStyle name="40% - Accent6 2 3 2 2 3 4" xfId="26203" xr:uid="{00000000-0005-0000-0000-00003C5A0000}"/>
    <cellStyle name="40% - Accent6 2 3 2 2 3 4 2" xfId="890" xr:uid="{00000000-0005-0000-0000-00003D5A0000}"/>
    <cellStyle name="40% - Accent6 2 3 2 2 3 5" xfId="2418" xr:uid="{00000000-0005-0000-0000-00003E5A0000}"/>
    <cellStyle name="40% - Accent6 2 3 2 2 4" xfId="7527" xr:uid="{00000000-0005-0000-0000-00003F5A0000}"/>
    <cellStyle name="40% - Accent6 2 3 2 2 4 2" xfId="31611" xr:uid="{00000000-0005-0000-0000-0000405A0000}"/>
    <cellStyle name="40% - Accent6 2 3 2 2 4 2 2" xfId="19604" xr:uid="{00000000-0005-0000-0000-0000415A0000}"/>
    <cellStyle name="40% - Accent6 2 3 2 2 4 2 2 2" xfId="27246" xr:uid="{00000000-0005-0000-0000-0000425A0000}"/>
    <cellStyle name="40% - Accent6 2 3 2 2 4 2 3" xfId="24399" xr:uid="{00000000-0005-0000-0000-0000435A0000}"/>
    <cellStyle name="40% - Accent6 2 3 2 2 4 3" xfId="8276" xr:uid="{00000000-0005-0000-0000-0000445A0000}"/>
    <cellStyle name="40% - Accent6 2 3 2 2 4 3 2" xfId="26210" xr:uid="{00000000-0005-0000-0000-0000455A0000}"/>
    <cellStyle name="40% - Accent6 2 3 2 2 4 4" xfId="22241" xr:uid="{00000000-0005-0000-0000-0000465A0000}"/>
    <cellStyle name="40% - Accent6 2 3 2 2 5" xfId="7533" xr:uid="{00000000-0005-0000-0000-0000475A0000}"/>
    <cellStyle name="40% - Accent6 2 3 2 2 5 2" xfId="24198" xr:uid="{00000000-0005-0000-0000-0000485A0000}"/>
    <cellStyle name="40% - Accent6 2 3 2 2 5 2 2" xfId="26216" xr:uid="{00000000-0005-0000-0000-0000495A0000}"/>
    <cellStyle name="40% - Accent6 2 3 2 2 5 3" xfId="26223" xr:uid="{00000000-0005-0000-0000-00004A5A0000}"/>
    <cellStyle name="40% - Accent6 2 3 2 2 6" xfId="13306" xr:uid="{00000000-0005-0000-0000-00004B5A0000}"/>
    <cellStyle name="40% - Accent6 2 3 2 2 6 2" xfId="30532" xr:uid="{00000000-0005-0000-0000-00004C5A0000}"/>
    <cellStyle name="40% - Accent6 2 3 2 2 7" xfId="26226" xr:uid="{00000000-0005-0000-0000-00004D5A0000}"/>
    <cellStyle name="40% - Accent6 2 3 2 3" xfId="7781" xr:uid="{00000000-0005-0000-0000-00004E5A0000}"/>
    <cellStyle name="40% - Accent6 2 3 2 3 2" xfId="27906" xr:uid="{00000000-0005-0000-0000-00004F5A0000}"/>
    <cellStyle name="40% - Accent6 2 3 2 3 2 2" xfId="1647" xr:uid="{00000000-0005-0000-0000-0000505A0000}"/>
    <cellStyle name="40% - Accent6 2 3 2 3 2 2 2" xfId="9011" xr:uid="{00000000-0005-0000-0000-0000515A0000}"/>
    <cellStyle name="40% - Accent6 2 3 2 3 2 2 2 2" xfId="5913" xr:uid="{00000000-0005-0000-0000-0000525A0000}"/>
    <cellStyle name="40% - Accent6 2 3 2 3 2 2 2 2 2" xfId="24514" xr:uid="{00000000-0005-0000-0000-0000535A0000}"/>
    <cellStyle name="40% - Accent6 2 3 2 3 2 2 2 3" xfId="26229" xr:uid="{00000000-0005-0000-0000-0000545A0000}"/>
    <cellStyle name="40% - Accent6 2 3 2 3 2 2 3" xfId="3157" xr:uid="{00000000-0005-0000-0000-0000555A0000}"/>
    <cellStyle name="40% - Accent6 2 3 2 3 2 2 3 2" xfId="21916" xr:uid="{00000000-0005-0000-0000-0000565A0000}"/>
    <cellStyle name="40% - Accent6 2 3 2 3 2 2 4" xfId="24457" xr:uid="{00000000-0005-0000-0000-0000575A0000}"/>
    <cellStyle name="40% - Accent6 2 3 2 3 2 3" xfId="2158" xr:uid="{00000000-0005-0000-0000-0000585A0000}"/>
    <cellStyle name="40% - Accent6 2 3 2 3 2 3 2" xfId="28044" xr:uid="{00000000-0005-0000-0000-0000595A0000}"/>
    <cellStyle name="40% - Accent6 2 3 2 3 2 3 2 2" xfId="22394" xr:uid="{00000000-0005-0000-0000-00005A5A0000}"/>
    <cellStyle name="40% - Accent6 2 3 2 3 2 3 3" xfId="28575" xr:uid="{00000000-0005-0000-0000-00005B5A0000}"/>
    <cellStyle name="40% - Accent6 2 3 2 3 2 4" xfId="26230" xr:uid="{00000000-0005-0000-0000-00005C5A0000}"/>
    <cellStyle name="40% - Accent6 2 3 2 3 2 4 2" xfId="697" xr:uid="{00000000-0005-0000-0000-00005D5A0000}"/>
    <cellStyle name="40% - Accent6 2 3 2 3 2 5" xfId="2438" xr:uid="{00000000-0005-0000-0000-00005E5A0000}"/>
    <cellStyle name="40% - Accent6 2 3 2 3 3" xfId="28426" xr:uid="{00000000-0005-0000-0000-00005F5A0000}"/>
    <cellStyle name="40% - Accent6 2 3 2 3 3 2" xfId="31794" xr:uid="{00000000-0005-0000-0000-0000605A0000}"/>
    <cellStyle name="40% - Accent6 2 3 2 3 3 2 2" xfId="62" xr:uid="{00000000-0005-0000-0000-0000615A0000}"/>
    <cellStyle name="40% - Accent6 2 3 2 3 3 2 2 2" xfId="32457" xr:uid="{00000000-0005-0000-0000-0000625A0000}"/>
    <cellStyle name="40% - Accent6 2 3 2 3 3 2 3" xfId="24468" xr:uid="{00000000-0005-0000-0000-0000635A0000}"/>
    <cellStyle name="40% - Accent6 2 3 2 3 3 3" xfId="31938" xr:uid="{00000000-0005-0000-0000-0000645A0000}"/>
    <cellStyle name="40% - Accent6 2 3 2 3 3 3 2" xfId="26231" xr:uid="{00000000-0005-0000-0000-0000655A0000}"/>
    <cellStyle name="40% - Accent6 2 3 2 3 3 4" xfId="22462" xr:uid="{00000000-0005-0000-0000-0000665A0000}"/>
    <cellStyle name="40% - Accent6 2 3 2 3 4" xfId="7551" xr:uid="{00000000-0005-0000-0000-0000675A0000}"/>
    <cellStyle name="40% - Accent6 2 3 2 3 4 2" xfId="8483" xr:uid="{00000000-0005-0000-0000-0000685A0000}"/>
    <cellStyle name="40% - Accent6 2 3 2 3 4 2 2" xfId="24857" xr:uid="{00000000-0005-0000-0000-0000695A0000}"/>
    <cellStyle name="40% - Accent6 2 3 2 3 4 3" xfId="26243" xr:uid="{00000000-0005-0000-0000-00006A5A0000}"/>
    <cellStyle name="40% - Accent6 2 3 2 3 5" xfId="7569" xr:uid="{00000000-0005-0000-0000-00006B5A0000}"/>
    <cellStyle name="40% - Accent6 2 3 2 3 5 2" xfId="1093" xr:uid="{00000000-0005-0000-0000-00006C5A0000}"/>
    <cellStyle name="40% - Accent6 2 3 2 3 6" xfId="1608" xr:uid="{00000000-0005-0000-0000-00006D5A0000}"/>
    <cellStyle name="40% - Accent6 2 3 2 4" xfId="505" xr:uid="{00000000-0005-0000-0000-00006E5A0000}"/>
    <cellStyle name="40% - Accent6 2 3 2 4 2" xfId="26424" xr:uid="{00000000-0005-0000-0000-00006F5A0000}"/>
    <cellStyle name="40% - Accent6 2 3 2 4 2 2" xfId="9991" xr:uid="{00000000-0005-0000-0000-0000705A0000}"/>
    <cellStyle name="40% - Accent6 2 3 2 4 2 2 2" xfId="26246" xr:uid="{00000000-0005-0000-0000-0000715A0000}"/>
    <cellStyle name="40% - Accent6 2 3 2 4 2 2 2 2" xfId="20316" xr:uid="{00000000-0005-0000-0000-0000725A0000}"/>
    <cellStyle name="40% - Accent6 2 3 2 4 2 2 3" xfId="24552" xr:uid="{00000000-0005-0000-0000-0000735A0000}"/>
    <cellStyle name="40% - Accent6 2 3 2 4 2 3" xfId="28642" xr:uid="{00000000-0005-0000-0000-0000745A0000}"/>
    <cellStyle name="40% - Accent6 2 3 2 4 2 3 2" xfId="26763" xr:uid="{00000000-0005-0000-0000-0000755A0000}"/>
    <cellStyle name="40% - Accent6 2 3 2 4 2 4" xfId="26248" xr:uid="{00000000-0005-0000-0000-0000765A0000}"/>
    <cellStyle name="40% - Accent6 2 3 2 4 3" xfId="21056" xr:uid="{00000000-0005-0000-0000-0000775A0000}"/>
    <cellStyle name="40% - Accent6 2 3 2 4 3 2" xfId="31857" xr:uid="{00000000-0005-0000-0000-0000785A0000}"/>
    <cellStyle name="40% - Accent6 2 3 2 4 3 2 2" xfId="26253" xr:uid="{00000000-0005-0000-0000-0000795A0000}"/>
    <cellStyle name="40% - Accent6 2 3 2 4 3 3" xfId="29269" xr:uid="{00000000-0005-0000-0000-00007A5A0000}"/>
    <cellStyle name="40% - Accent6 2 3 2 4 4" xfId="7587" xr:uid="{00000000-0005-0000-0000-00007B5A0000}"/>
    <cellStyle name="40% - Accent6 2 3 2 4 4 2" xfId="26256" xr:uid="{00000000-0005-0000-0000-00007C5A0000}"/>
    <cellStyle name="40% - Accent6 2 3 2 4 5" xfId="1285" xr:uid="{00000000-0005-0000-0000-00007D5A0000}"/>
    <cellStyle name="40% - Accent6 2 3 2 5" xfId="31574" xr:uid="{00000000-0005-0000-0000-00007E5A0000}"/>
    <cellStyle name="40% - Accent6 2 3 2 5 2" xfId="27461" xr:uid="{00000000-0005-0000-0000-00007F5A0000}"/>
    <cellStyle name="40% - Accent6 2 3 2 5 2 2" xfId="11775" xr:uid="{00000000-0005-0000-0000-0000805A0000}"/>
    <cellStyle name="40% - Accent6 2 3 2 5 2 2 2" xfId="26261" xr:uid="{00000000-0005-0000-0000-0000815A0000}"/>
    <cellStyle name="40% - Accent6 2 3 2 5 2 3" xfId="8217" xr:uid="{00000000-0005-0000-0000-0000825A0000}"/>
    <cellStyle name="40% - Accent6 2 3 2 5 3" xfId="30960" xr:uid="{00000000-0005-0000-0000-0000835A0000}"/>
    <cellStyle name="40% - Accent6 2 3 2 5 3 2" xfId="8564" xr:uid="{00000000-0005-0000-0000-0000845A0000}"/>
    <cellStyle name="40% - Accent6 2 3 2 5 4" xfId="24785" xr:uid="{00000000-0005-0000-0000-0000855A0000}"/>
    <cellStyle name="40% - Accent6 2 3 2 6" xfId="27435" xr:uid="{00000000-0005-0000-0000-0000865A0000}"/>
    <cellStyle name="40% - Accent6 2 3 2 6 2" xfId="31703" xr:uid="{00000000-0005-0000-0000-0000875A0000}"/>
    <cellStyle name="40% - Accent6 2 3 2 6 2 2" xfId="9750" xr:uid="{00000000-0005-0000-0000-0000885A0000}"/>
    <cellStyle name="40% - Accent6 2 3 2 6 3" xfId="31614" xr:uid="{00000000-0005-0000-0000-0000895A0000}"/>
    <cellStyle name="40% - Accent6 2 3 2 7" xfId="31717" xr:uid="{00000000-0005-0000-0000-00008A5A0000}"/>
    <cellStyle name="40% - Accent6 2 3 2 7 2" xfId="26267" xr:uid="{00000000-0005-0000-0000-00008B5A0000}"/>
    <cellStyle name="40% - Accent6 2 3 2 8" xfId="31858" xr:uid="{00000000-0005-0000-0000-00008C5A0000}"/>
    <cellStyle name="40% - Accent6 2 3 3" xfId="24540" xr:uid="{00000000-0005-0000-0000-00008D5A0000}"/>
    <cellStyle name="40% - Accent6 2 3 3 2" xfId="24544" xr:uid="{00000000-0005-0000-0000-00008E5A0000}"/>
    <cellStyle name="40% - Accent6 2 3 3 2 2" xfId="17211" xr:uid="{00000000-0005-0000-0000-00008F5A0000}"/>
    <cellStyle name="40% - Accent6 2 3 3 2 2 2" xfId="10023" xr:uid="{00000000-0005-0000-0000-0000905A0000}"/>
    <cellStyle name="40% - Accent6 2 3 3 2 2 2 2" xfId="10581" xr:uid="{00000000-0005-0000-0000-0000915A0000}"/>
    <cellStyle name="40% - Accent6 2 3 3 2 2 2 2 2" xfId="29078" xr:uid="{00000000-0005-0000-0000-0000925A0000}"/>
    <cellStyle name="40% - Accent6 2 3 3 2 2 2 2 2 2" xfId="28812" xr:uid="{00000000-0005-0000-0000-0000935A0000}"/>
    <cellStyle name="40% - Accent6 2 3 3 2 2 2 2 3" xfId="28825" xr:uid="{00000000-0005-0000-0000-0000945A0000}"/>
    <cellStyle name="40% - Accent6 2 3 3 2 2 2 3" xfId="11599" xr:uid="{00000000-0005-0000-0000-0000955A0000}"/>
    <cellStyle name="40% - Accent6 2 3 3 2 2 2 3 2" xfId="22711" xr:uid="{00000000-0005-0000-0000-0000965A0000}"/>
    <cellStyle name="40% - Accent6 2 3 3 2 2 2 4" xfId="13404" xr:uid="{00000000-0005-0000-0000-0000975A0000}"/>
    <cellStyle name="40% - Accent6 2 3 3 2 2 3" xfId="14600" xr:uid="{00000000-0005-0000-0000-0000985A0000}"/>
    <cellStyle name="40% - Accent6 2 3 3 2 2 3 2" xfId="12344" xr:uid="{00000000-0005-0000-0000-0000995A0000}"/>
    <cellStyle name="40% - Accent6 2 3 3 2 2 3 2 2" xfId="26274" xr:uid="{00000000-0005-0000-0000-00009A5A0000}"/>
    <cellStyle name="40% - Accent6 2 3 3 2 2 3 3" xfId="12347" xr:uid="{00000000-0005-0000-0000-00009B5A0000}"/>
    <cellStyle name="40% - Accent6 2 3 3 2 2 4" xfId="28088" xr:uid="{00000000-0005-0000-0000-00009C5A0000}"/>
    <cellStyle name="40% - Accent6 2 3 3 2 2 4 2" xfId="778" xr:uid="{00000000-0005-0000-0000-00009D5A0000}"/>
    <cellStyle name="40% - Accent6 2 3 3 2 2 5" xfId="5922" xr:uid="{00000000-0005-0000-0000-00009E5A0000}"/>
    <cellStyle name="40% - Accent6 2 3 3 2 3" xfId="28391" xr:uid="{00000000-0005-0000-0000-00009F5A0000}"/>
    <cellStyle name="40% - Accent6 2 3 3 2 3 2" xfId="186" xr:uid="{00000000-0005-0000-0000-0000A05A0000}"/>
    <cellStyle name="40% - Accent6 2 3 3 2 3 2 2" xfId="12433" xr:uid="{00000000-0005-0000-0000-0000A15A0000}"/>
    <cellStyle name="40% - Accent6 2 3 3 2 3 2 2 2" xfId="32016" xr:uid="{00000000-0005-0000-0000-0000A25A0000}"/>
    <cellStyle name="40% - Accent6 2 3 3 2 3 2 3" xfId="22715" xr:uid="{00000000-0005-0000-0000-0000A35A0000}"/>
    <cellStyle name="40% - Accent6 2 3 3 2 3 3" xfId="26284" xr:uid="{00000000-0005-0000-0000-0000A45A0000}"/>
    <cellStyle name="40% - Accent6 2 3 3 2 3 3 2" xfId="12443" xr:uid="{00000000-0005-0000-0000-0000A55A0000}"/>
    <cellStyle name="40% - Accent6 2 3 3 2 3 4" xfId="28105" xr:uid="{00000000-0005-0000-0000-0000A65A0000}"/>
    <cellStyle name="40% - Accent6 2 3 3 2 4" xfId="6157" xr:uid="{00000000-0005-0000-0000-0000A75A0000}"/>
    <cellStyle name="40% - Accent6 2 3 3 2 4 2" xfId="33620" xr:uid="{00000000-0005-0000-0000-0000A85A0000}"/>
    <cellStyle name="40% - Accent6 2 3 3 2 4 2 2" xfId="19640" xr:uid="{00000000-0005-0000-0000-0000A95A0000}"/>
    <cellStyle name="40% - Accent6 2 3 3 2 4 3" xfId="30824" xr:uid="{00000000-0005-0000-0000-0000AA5A0000}"/>
    <cellStyle name="40% - Accent6 2 3 3 2 5" xfId="7600" xr:uid="{00000000-0005-0000-0000-0000AB5A0000}"/>
    <cellStyle name="40% - Accent6 2 3 3 2 5 2" xfId="26288" xr:uid="{00000000-0005-0000-0000-0000AC5A0000}"/>
    <cellStyle name="40% - Accent6 2 3 3 2 6" xfId="3377" xr:uid="{00000000-0005-0000-0000-0000AD5A0000}"/>
    <cellStyle name="40% - Accent6 2 3 3 3" xfId="27119" xr:uid="{00000000-0005-0000-0000-0000AE5A0000}"/>
    <cellStyle name="40% - Accent6 2 3 3 3 2" xfId="26292" xr:uid="{00000000-0005-0000-0000-0000AF5A0000}"/>
    <cellStyle name="40% - Accent6 2 3 3 3 2 2" xfId="25040" xr:uid="{00000000-0005-0000-0000-0000B05A0000}"/>
    <cellStyle name="40% - Accent6 2 3 3 3 2 2 2" xfId="8563" xr:uid="{00000000-0005-0000-0000-0000B15A0000}"/>
    <cellStyle name="40% - Accent6 2 3 3 3 2 2 2 2" xfId="32642" xr:uid="{00000000-0005-0000-0000-0000B25A0000}"/>
    <cellStyle name="40% - Accent6 2 3 3 3 2 2 3" xfId="13961" xr:uid="{00000000-0005-0000-0000-0000B35A0000}"/>
    <cellStyle name="40% - Accent6 2 3 3 3 2 3" xfId="26294" xr:uid="{00000000-0005-0000-0000-0000B45A0000}"/>
    <cellStyle name="40% - Accent6 2 3 3 3 2 3 2" xfId="14001" xr:uid="{00000000-0005-0000-0000-0000B55A0000}"/>
    <cellStyle name="40% - Accent6 2 3 3 3 2 4" xfId="33436" xr:uid="{00000000-0005-0000-0000-0000B65A0000}"/>
    <cellStyle name="40% - Accent6 2 3 3 3 3" xfId="26297" xr:uid="{00000000-0005-0000-0000-0000B75A0000}"/>
    <cellStyle name="40% - Accent6 2 3 3 3 3 2" xfId="31710" xr:uid="{00000000-0005-0000-0000-0000B85A0000}"/>
    <cellStyle name="40% - Accent6 2 3 3 3 3 2 2" xfId="14112" xr:uid="{00000000-0005-0000-0000-0000B95A0000}"/>
    <cellStyle name="40% - Accent6 2 3 3 3 3 3" xfId="26299" xr:uid="{00000000-0005-0000-0000-0000BA5A0000}"/>
    <cellStyle name="40% - Accent6 2 3 3 3 4" xfId="7611" xr:uid="{00000000-0005-0000-0000-0000BB5A0000}"/>
    <cellStyle name="40% - Accent6 2 3 3 3 4 2" xfId="28789" xr:uid="{00000000-0005-0000-0000-0000BC5A0000}"/>
    <cellStyle name="40% - Accent6 2 3 3 3 5" xfId="1331" xr:uid="{00000000-0005-0000-0000-0000BD5A0000}"/>
    <cellStyle name="40% - Accent6 2 3 3 4" xfId="26305" xr:uid="{00000000-0005-0000-0000-0000BE5A0000}"/>
    <cellStyle name="40% - Accent6 2 3 3 4 2" xfId="26312" xr:uid="{00000000-0005-0000-0000-0000BF5A0000}"/>
    <cellStyle name="40% - Accent6 2 3 3 4 2 2" xfId="32567" xr:uid="{00000000-0005-0000-0000-0000C05A0000}"/>
    <cellStyle name="40% - Accent6 2 3 3 4 2 2 2" xfId="26314" xr:uid="{00000000-0005-0000-0000-0000C15A0000}"/>
    <cellStyle name="40% - Accent6 2 3 3 4 2 3" xfId="21962" xr:uid="{00000000-0005-0000-0000-0000C25A0000}"/>
    <cellStyle name="40% - Accent6 2 3 3 4 3" xfId="26315" xr:uid="{00000000-0005-0000-0000-0000C35A0000}"/>
    <cellStyle name="40% - Accent6 2 3 3 4 3 2" xfId="28067" xr:uid="{00000000-0005-0000-0000-0000C45A0000}"/>
    <cellStyle name="40% - Accent6 2 3 3 4 4" xfId="24790" xr:uid="{00000000-0005-0000-0000-0000C55A0000}"/>
    <cellStyle name="40% - Accent6 2 3 3 5" xfId="28184" xr:uid="{00000000-0005-0000-0000-0000C65A0000}"/>
    <cellStyle name="40% - Accent6 2 3 3 5 2" xfId="33878" xr:uid="{00000000-0005-0000-0000-0000C75A0000}"/>
    <cellStyle name="40% - Accent6 2 3 3 5 2 2" xfId="8659" xr:uid="{00000000-0005-0000-0000-0000C85A0000}"/>
    <cellStyle name="40% - Accent6 2 3 3 5 3" xfId="31618" xr:uid="{00000000-0005-0000-0000-0000C95A0000}"/>
    <cellStyle name="40% - Accent6 2 3 3 6" xfId="22949" xr:uid="{00000000-0005-0000-0000-0000CA5A0000}"/>
    <cellStyle name="40% - Accent6 2 3 3 6 2" xfId="4681" xr:uid="{00000000-0005-0000-0000-0000CB5A0000}"/>
    <cellStyle name="40% - Accent6 2 3 3 7" xfId="31868" xr:uid="{00000000-0005-0000-0000-0000CC5A0000}"/>
    <cellStyle name="40% - Accent6 2 3 4" xfId="3532" xr:uid="{00000000-0005-0000-0000-0000CD5A0000}"/>
    <cellStyle name="40% - Accent6 2 3 4 2" xfId="3534" xr:uid="{00000000-0005-0000-0000-0000CE5A0000}"/>
    <cellStyle name="40% - Accent6 2 3 4 2 2" xfId="26324" xr:uid="{00000000-0005-0000-0000-0000CF5A0000}"/>
    <cellStyle name="40% - Accent6 2 3 4 2 2 2" xfId="7208" xr:uid="{00000000-0005-0000-0000-0000D05A0000}"/>
    <cellStyle name="40% - Accent6 2 3 4 2 2 2 2" xfId="23362" xr:uid="{00000000-0005-0000-0000-0000D15A0000}"/>
    <cellStyle name="40% - Accent6 2 3 4 2 2 2 2 2" xfId="28004" xr:uid="{00000000-0005-0000-0000-0000D25A0000}"/>
    <cellStyle name="40% - Accent6 2 3 4 2 2 2 3" xfId="25190" xr:uid="{00000000-0005-0000-0000-0000D35A0000}"/>
    <cellStyle name="40% - Accent6 2 3 4 2 2 3" xfId="26327" xr:uid="{00000000-0005-0000-0000-0000D45A0000}"/>
    <cellStyle name="40% - Accent6 2 3 4 2 2 3 2" xfId="31993" xr:uid="{00000000-0005-0000-0000-0000D55A0000}"/>
    <cellStyle name="40% - Accent6 2 3 4 2 2 4" xfId="32141" xr:uid="{00000000-0005-0000-0000-0000D65A0000}"/>
    <cellStyle name="40% - Accent6 2 3 4 2 3" xfId="26330" xr:uid="{00000000-0005-0000-0000-0000D75A0000}"/>
    <cellStyle name="40% - Accent6 2 3 4 2 3 2" xfId="28388" xr:uid="{00000000-0005-0000-0000-0000D85A0000}"/>
    <cellStyle name="40% - Accent6 2 3 4 2 3 2 2" xfId="29373" xr:uid="{00000000-0005-0000-0000-0000D95A0000}"/>
    <cellStyle name="40% - Accent6 2 3 4 2 3 3" xfId="33051" xr:uid="{00000000-0005-0000-0000-0000DA5A0000}"/>
    <cellStyle name="40% - Accent6 2 3 4 2 4" xfId="539" xr:uid="{00000000-0005-0000-0000-0000DB5A0000}"/>
    <cellStyle name="40% - Accent6 2 3 4 2 4 2" xfId="7020" xr:uid="{00000000-0005-0000-0000-0000DC5A0000}"/>
    <cellStyle name="40% - Accent6 2 3 4 2 5" xfId="26338" xr:uid="{00000000-0005-0000-0000-0000DD5A0000}"/>
    <cellStyle name="40% - Accent6 2 3 4 3" xfId="4278" xr:uid="{00000000-0005-0000-0000-0000DE5A0000}"/>
    <cellStyle name="40% - Accent6 2 3 4 3 2" xfId="26346" xr:uid="{00000000-0005-0000-0000-0000DF5A0000}"/>
    <cellStyle name="40% - Accent6 2 3 4 3 2 2" xfId="26348" xr:uid="{00000000-0005-0000-0000-0000E05A0000}"/>
    <cellStyle name="40% - Accent6 2 3 4 3 2 2 2" xfId="29929" xr:uid="{00000000-0005-0000-0000-0000E15A0000}"/>
    <cellStyle name="40% - Accent6 2 3 4 3 2 3" xfId="26349" xr:uid="{00000000-0005-0000-0000-0000E25A0000}"/>
    <cellStyle name="40% - Accent6 2 3 4 3 3" xfId="28558" xr:uid="{00000000-0005-0000-0000-0000E35A0000}"/>
    <cellStyle name="40% - Accent6 2 3 4 3 3 2" xfId="28560" xr:uid="{00000000-0005-0000-0000-0000E45A0000}"/>
    <cellStyle name="40% - Accent6 2 3 4 3 4" xfId="24792" xr:uid="{00000000-0005-0000-0000-0000E55A0000}"/>
    <cellStyle name="40% - Accent6 2 3 4 4" xfId="3057" xr:uid="{00000000-0005-0000-0000-0000E65A0000}"/>
    <cellStyle name="40% - Accent6 2 3 4 4 2" xfId="27583" xr:uid="{00000000-0005-0000-0000-0000E75A0000}"/>
    <cellStyle name="40% - Accent6 2 3 4 4 2 2" xfId="34028" xr:uid="{00000000-0005-0000-0000-0000E85A0000}"/>
    <cellStyle name="40% - Accent6 2 3 4 4 3" xfId="26352" xr:uid="{00000000-0005-0000-0000-0000E95A0000}"/>
    <cellStyle name="40% - Accent6 2 3 4 5" xfId="18799" xr:uid="{00000000-0005-0000-0000-0000EA5A0000}"/>
    <cellStyle name="40% - Accent6 2 3 4 5 2" xfId="8944" xr:uid="{00000000-0005-0000-0000-0000EB5A0000}"/>
    <cellStyle name="40% - Accent6 2 3 4 6" xfId="30565" xr:uid="{00000000-0005-0000-0000-0000EC5A0000}"/>
    <cellStyle name="40% - Accent6 2 3 5" xfId="1594" xr:uid="{00000000-0005-0000-0000-0000ED5A0000}"/>
    <cellStyle name="40% - Accent6 2 3 5 2" xfId="3555" xr:uid="{00000000-0005-0000-0000-0000EE5A0000}"/>
    <cellStyle name="40% - Accent6 2 3 5 2 2" xfId="14483" xr:uid="{00000000-0005-0000-0000-0000EF5A0000}"/>
    <cellStyle name="40% - Accent6 2 3 5 2 2 2" xfId="26354" xr:uid="{00000000-0005-0000-0000-0000F05A0000}"/>
    <cellStyle name="40% - Accent6 2 3 5 2 2 2 2" xfId="33123" xr:uid="{00000000-0005-0000-0000-0000F15A0000}"/>
    <cellStyle name="40% - Accent6 2 3 5 2 2 3" xfId="26355" xr:uid="{00000000-0005-0000-0000-0000F25A0000}"/>
    <cellStyle name="40% - Accent6 2 3 5 2 3" xfId="11783" xr:uid="{00000000-0005-0000-0000-0000F35A0000}"/>
    <cellStyle name="40% - Accent6 2 3 5 2 3 2" xfId="33264" xr:uid="{00000000-0005-0000-0000-0000F45A0000}"/>
    <cellStyle name="40% - Accent6 2 3 5 2 4" xfId="32986" xr:uid="{00000000-0005-0000-0000-0000F55A0000}"/>
    <cellStyle name="40% - Accent6 2 3 5 3" xfId="3070" xr:uid="{00000000-0005-0000-0000-0000F65A0000}"/>
    <cellStyle name="40% - Accent6 2 3 5 3 2" xfId="11789" xr:uid="{00000000-0005-0000-0000-0000F75A0000}"/>
    <cellStyle name="40% - Accent6 2 3 5 3 2 2" xfId="22200" xr:uid="{00000000-0005-0000-0000-0000F85A0000}"/>
    <cellStyle name="40% - Accent6 2 3 5 3 3" xfId="32672" xr:uid="{00000000-0005-0000-0000-0000F95A0000}"/>
    <cellStyle name="40% - Accent6 2 3 5 4" xfId="26358" xr:uid="{00000000-0005-0000-0000-0000FA5A0000}"/>
    <cellStyle name="40% - Accent6 2 3 5 4 2" xfId="26362" xr:uid="{00000000-0005-0000-0000-0000FB5A0000}"/>
    <cellStyle name="40% - Accent6 2 3 5 5" xfId="26363" xr:uid="{00000000-0005-0000-0000-0000FC5A0000}"/>
    <cellStyle name="40% - Accent6 2 3 6" xfId="5005" xr:uid="{00000000-0005-0000-0000-0000FD5A0000}"/>
    <cellStyle name="40% - Accent6 2 3 6 2" xfId="5014" xr:uid="{00000000-0005-0000-0000-0000FE5A0000}"/>
    <cellStyle name="40% - Accent6 2 3 6 2 2" xfId="11798" xr:uid="{00000000-0005-0000-0000-0000FF5A0000}"/>
    <cellStyle name="40% - Accent6 2 3 6 2 2 2" xfId="26367" xr:uid="{00000000-0005-0000-0000-0000005B0000}"/>
    <cellStyle name="40% - Accent6 2 3 6 2 3" xfId="30108" xr:uid="{00000000-0005-0000-0000-0000015B0000}"/>
    <cellStyle name="40% - Accent6 2 3 6 3" xfId="26530" xr:uid="{00000000-0005-0000-0000-0000025B0000}"/>
    <cellStyle name="40% - Accent6 2 3 6 3 2" xfId="26369" xr:uid="{00000000-0005-0000-0000-0000035B0000}"/>
    <cellStyle name="40% - Accent6 2 3 6 4" xfId="26370" xr:uid="{00000000-0005-0000-0000-0000045B0000}"/>
    <cellStyle name="40% - Accent6 2 3 7" xfId="1252" xr:uid="{00000000-0005-0000-0000-0000055B0000}"/>
    <cellStyle name="40% - Accent6 2 3 7 2" xfId="26379" xr:uid="{00000000-0005-0000-0000-0000065B0000}"/>
    <cellStyle name="40% - Accent6 2 3 7 2 2" xfId="7926" xr:uid="{00000000-0005-0000-0000-0000075B0000}"/>
    <cellStyle name="40% - Accent6 2 3 7 3" xfId="26309" xr:uid="{00000000-0005-0000-0000-0000085B0000}"/>
    <cellStyle name="40% - Accent6 2 3 8" xfId="17049" xr:uid="{00000000-0005-0000-0000-0000095B0000}"/>
    <cellStyle name="40% - Accent6 2 3 8 2" xfId="29446" xr:uid="{00000000-0005-0000-0000-00000A5B0000}"/>
    <cellStyle name="40% - Accent6 2 3 9" xfId="806" xr:uid="{00000000-0005-0000-0000-00000B5B0000}"/>
    <cellStyle name="40% - Accent6 2 4" xfId="20247" xr:uid="{00000000-0005-0000-0000-00000C5B0000}"/>
    <cellStyle name="40% - Accent6 2 4 2" xfId="3085" xr:uid="{00000000-0005-0000-0000-00000D5B0000}"/>
    <cellStyle name="40% - Accent6 2 4 2 2" xfId="24551" xr:uid="{00000000-0005-0000-0000-00000E5B0000}"/>
    <cellStyle name="40% - Accent6 2 4 2 2 2" xfId="27066" xr:uid="{00000000-0005-0000-0000-00000F5B0000}"/>
    <cellStyle name="40% - Accent6 2 4 2 2 2 2" xfId="12167" xr:uid="{00000000-0005-0000-0000-0000105B0000}"/>
    <cellStyle name="40% - Accent6 2 4 2 2 2 2 2" xfId="24686" xr:uid="{00000000-0005-0000-0000-0000115B0000}"/>
    <cellStyle name="40% - Accent6 2 4 2 2 2 2 2 2" xfId="24688" xr:uid="{00000000-0005-0000-0000-0000125B0000}"/>
    <cellStyle name="40% - Accent6 2 4 2 2 2 2 2 2 2" xfId="27747" xr:uid="{00000000-0005-0000-0000-0000135B0000}"/>
    <cellStyle name="40% - Accent6 2 4 2 2 2 2 2 3" xfId="23139" xr:uid="{00000000-0005-0000-0000-0000145B0000}"/>
    <cellStyle name="40% - Accent6 2 4 2 2 2 2 3" xfId="1012" xr:uid="{00000000-0005-0000-0000-0000155B0000}"/>
    <cellStyle name="40% - Accent6 2 4 2 2 2 2 3 2" xfId="24308" xr:uid="{00000000-0005-0000-0000-0000165B0000}"/>
    <cellStyle name="40% - Accent6 2 4 2 2 2 2 4" xfId="32983" xr:uid="{00000000-0005-0000-0000-0000175B0000}"/>
    <cellStyle name="40% - Accent6 2 4 2 2 2 3" xfId="22371" xr:uid="{00000000-0005-0000-0000-0000185B0000}"/>
    <cellStyle name="40% - Accent6 2 4 2 2 2 3 2" xfId="24693" xr:uid="{00000000-0005-0000-0000-0000195B0000}"/>
    <cellStyle name="40% - Accent6 2 4 2 2 2 3 2 2" xfId="19500" xr:uid="{00000000-0005-0000-0000-00001A5B0000}"/>
    <cellStyle name="40% - Accent6 2 4 2 2 2 3 3" xfId="10063" xr:uid="{00000000-0005-0000-0000-00001B5B0000}"/>
    <cellStyle name="40% - Accent6 2 4 2 2 2 4" xfId="24637" xr:uid="{00000000-0005-0000-0000-00001C5B0000}"/>
    <cellStyle name="40% - Accent6 2 4 2 2 2 4 2" xfId="25051" xr:uid="{00000000-0005-0000-0000-00001D5B0000}"/>
    <cellStyle name="40% - Accent6 2 4 2 2 2 5" xfId="24420" xr:uid="{00000000-0005-0000-0000-00001E5B0000}"/>
    <cellStyle name="40% - Accent6 2 4 2 2 3" xfId="26390" xr:uid="{00000000-0005-0000-0000-00001F5B0000}"/>
    <cellStyle name="40% - Accent6 2 4 2 2 3 2" xfId="13081" xr:uid="{00000000-0005-0000-0000-0000205B0000}"/>
    <cellStyle name="40% - Accent6 2 4 2 2 3 2 2" xfId="24697" xr:uid="{00000000-0005-0000-0000-0000215B0000}"/>
    <cellStyle name="40% - Accent6 2 4 2 2 3 2 2 2" xfId="12881" xr:uid="{00000000-0005-0000-0000-0000225B0000}"/>
    <cellStyle name="40% - Accent6 2 4 2 2 3 2 3" xfId="11828" xr:uid="{00000000-0005-0000-0000-0000235B0000}"/>
    <cellStyle name="40% - Accent6 2 4 2 2 3 3" xfId="5331" xr:uid="{00000000-0005-0000-0000-0000245B0000}"/>
    <cellStyle name="40% - Accent6 2 4 2 2 3 3 2" xfId="26391" xr:uid="{00000000-0005-0000-0000-0000255B0000}"/>
    <cellStyle name="40% - Accent6 2 4 2 2 3 4" xfId="21220" xr:uid="{00000000-0005-0000-0000-0000265B0000}"/>
    <cellStyle name="40% - Accent6 2 4 2 2 4" xfId="7657" xr:uid="{00000000-0005-0000-0000-0000275B0000}"/>
    <cellStyle name="40% - Accent6 2 4 2 2 4 2" xfId="1209" xr:uid="{00000000-0005-0000-0000-0000285B0000}"/>
    <cellStyle name="40% - Accent6 2 4 2 2 4 2 2" xfId="26239" xr:uid="{00000000-0005-0000-0000-0000295B0000}"/>
    <cellStyle name="40% - Accent6 2 4 2 2 4 3" xfId="26397" xr:uid="{00000000-0005-0000-0000-00002A5B0000}"/>
    <cellStyle name="40% - Accent6 2 4 2 2 5" xfId="7660" xr:uid="{00000000-0005-0000-0000-00002B5B0000}"/>
    <cellStyle name="40% - Accent6 2 4 2 2 5 2" xfId="26402" xr:uid="{00000000-0005-0000-0000-00002C5B0000}"/>
    <cellStyle name="40% - Accent6 2 4 2 2 6" xfId="26767" xr:uid="{00000000-0005-0000-0000-00002D5B0000}"/>
    <cellStyle name="40% - Accent6 2 4 2 3" xfId="17151" xr:uid="{00000000-0005-0000-0000-00002E5B0000}"/>
    <cellStyle name="40% - Accent6 2 4 2 3 2" xfId="27029" xr:uid="{00000000-0005-0000-0000-00002F5B0000}"/>
    <cellStyle name="40% - Accent6 2 4 2 3 2 2" xfId="29355" xr:uid="{00000000-0005-0000-0000-0000305B0000}"/>
    <cellStyle name="40% - Accent6 2 4 2 3 2 2 2" xfId="18927" xr:uid="{00000000-0005-0000-0000-0000315B0000}"/>
    <cellStyle name="40% - Accent6 2 4 2 3 2 2 2 2" xfId="15464" xr:uid="{00000000-0005-0000-0000-0000325B0000}"/>
    <cellStyle name="40% - Accent6 2 4 2 3 2 2 3" xfId="32273" xr:uid="{00000000-0005-0000-0000-0000335B0000}"/>
    <cellStyle name="40% - Accent6 2 4 2 3 2 3" xfId="1854" xr:uid="{00000000-0005-0000-0000-0000345B0000}"/>
    <cellStyle name="40% - Accent6 2 4 2 3 2 3 2" xfId="26406" xr:uid="{00000000-0005-0000-0000-0000355B0000}"/>
    <cellStyle name="40% - Accent6 2 4 2 3 2 4" xfId="2826" xr:uid="{00000000-0005-0000-0000-0000365B0000}"/>
    <cellStyle name="40% - Accent6 2 4 2 3 3" xfId="26410" xr:uid="{00000000-0005-0000-0000-0000375B0000}"/>
    <cellStyle name="40% - Accent6 2 4 2 3 3 2" xfId="13290" xr:uid="{00000000-0005-0000-0000-0000385B0000}"/>
    <cellStyle name="40% - Accent6 2 4 2 3 3 2 2" xfId="29741" xr:uid="{00000000-0005-0000-0000-0000395B0000}"/>
    <cellStyle name="40% - Accent6 2 4 2 3 3 3" xfId="3130" xr:uid="{00000000-0005-0000-0000-00003A5B0000}"/>
    <cellStyle name="40% - Accent6 2 4 2 3 4" xfId="7665" xr:uid="{00000000-0005-0000-0000-00003B5B0000}"/>
    <cellStyle name="40% - Accent6 2 4 2 3 4 2" xfId="3147" xr:uid="{00000000-0005-0000-0000-00003C5B0000}"/>
    <cellStyle name="40% - Accent6 2 4 2 3 5" xfId="2216" xr:uid="{00000000-0005-0000-0000-00003D5B0000}"/>
    <cellStyle name="40% - Accent6 2 4 2 4" xfId="26878" xr:uid="{00000000-0005-0000-0000-00003E5B0000}"/>
    <cellStyle name="40% - Accent6 2 4 2 4 2" xfId="26415" xr:uid="{00000000-0005-0000-0000-00003F5B0000}"/>
    <cellStyle name="40% - Accent6 2 4 2 4 2 2" xfId="5367" xr:uid="{00000000-0005-0000-0000-0000405B0000}"/>
    <cellStyle name="40% - Accent6 2 4 2 4 2 2 2" xfId="26419" xr:uid="{00000000-0005-0000-0000-0000415B0000}"/>
    <cellStyle name="40% - Accent6 2 4 2 4 2 3" xfId="5371" xr:uid="{00000000-0005-0000-0000-0000425B0000}"/>
    <cellStyle name="40% - Accent6 2 4 2 4 3" xfId="27344" xr:uid="{00000000-0005-0000-0000-0000435B0000}"/>
    <cellStyle name="40% - Accent6 2 4 2 4 3 2" xfId="5376" xr:uid="{00000000-0005-0000-0000-0000445B0000}"/>
    <cellStyle name="40% - Accent6 2 4 2 4 4" xfId="24818" xr:uid="{00000000-0005-0000-0000-0000455B0000}"/>
    <cellStyle name="40% - Accent6 2 4 2 5" xfId="31629" xr:uid="{00000000-0005-0000-0000-0000465B0000}"/>
    <cellStyle name="40% - Accent6 2 4 2 5 2" xfId="31820" xr:uid="{00000000-0005-0000-0000-0000475B0000}"/>
    <cellStyle name="40% - Accent6 2 4 2 5 2 2" xfId="8777" xr:uid="{00000000-0005-0000-0000-0000485B0000}"/>
    <cellStyle name="40% - Accent6 2 4 2 5 3" xfId="31631" xr:uid="{00000000-0005-0000-0000-0000495B0000}"/>
    <cellStyle name="40% - Accent6 2 4 2 6" xfId="15644" xr:uid="{00000000-0005-0000-0000-00004A5B0000}"/>
    <cellStyle name="40% - Accent6 2 4 2 6 2" xfId="31297" xr:uid="{00000000-0005-0000-0000-00004B5B0000}"/>
    <cellStyle name="40% - Accent6 2 4 2 7" xfId="24327" xr:uid="{00000000-0005-0000-0000-00004C5B0000}"/>
    <cellStyle name="40% - Accent6 2 4 3" xfId="24557" xr:uid="{00000000-0005-0000-0000-00004D5B0000}"/>
    <cellStyle name="40% - Accent6 2 4 3 2" xfId="26576" xr:uid="{00000000-0005-0000-0000-00004E5B0000}"/>
    <cellStyle name="40% - Accent6 2 4 3 2 2" xfId="26425" xr:uid="{00000000-0005-0000-0000-00004F5B0000}"/>
    <cellStyle name="40% - Accent6 2 4 3 2 2 2" xfId="31819" xr:uid="{00000000-0005-0000-0000-0000505B0000}"/>
    <cellStyle name="40% - Accent6 2 4 3 2 2 2 2" xfId="5192" xr:uid="{00000000-0005-0000-0000-0000515B0000}"/>
    <cellStyle name="40% - Accent6 2 4 3 2 2 2 2 2" xfId="26428" xr:uid="{00000000-0005-0000-0000-0000525B0000}"/>
    <cellStyle name="40% - Accent6 2 4 3 2 2 2 3" xfId="14605" xr:uid="{00000000-0005-0000-0000-0000535B0000}"/>
    <cellStyle name="40% - Accent6 2 4 3 2 2 3" xfId="24768" xr:uid="{00000000-0005-0000-0000-0000545B0000}"/>
    <cellStyle name="40% - Accent6 2 4 3 2 2 3 2" xfId="91" xr:uid="{00000000-0005-0000-0000-0000555B0000}"/>
    <cellStyle name="40% - Accent6 2 4 3 2 2 4" xfId="29666" xr:uid="{00000000-0005-0000-0000-0000565B0000}"/>
    <cellStyle name="40% - Accent6 2 4 3 2 3" xfId="28711" xr:uid="{00000000-0005-0000-0000-0000575B0000}"/>
    <cellStyle name="40% - Accent6 2 4 3 2 3 2" xfId="24772" xr:uid="{00000000-0005-0000-0000-0000585B0000}"/>
    <cellStyle name="40% - Accent6 2 4 3 2 3 2 2" xfId="5205" xr:uid="{00000000-0005-0000-0000-0000595B0000}"/>
    <cellStyle name="40% - Accent6 2 4 3 2 3 3" xfId="29944" xr:uid="{00000000-0005-0000-0000-00005A5B0000}"/>
    <cellStyle name="40% - Accent6 2 4 3 2 4" xfId="4084" xr:uid="{00000000-0005-0000-0000-00005B5B0000}"/>
    <cellStyle name="40% - Accent6 2 4 3 2 4 2" xfId="6474" xr:uid="{00000000-0005-0000-0000-00005C5B0000}"/>
    <cellStyle name="40% - Accent6 2 4 3 2 5" xfId="28718" xr:uid="{00000000-0005-0000-0000-00005D5B0000}"/>
    <cellStyle name="40% - Accent6 2 4 3 3" xfId="20220" xr:uid="{00000000-0005-0000-0000-00005E5B0000}"/>
    <cellStyle name="40% - Accent6 2 4 3 3 2" xfId="28742" xr:uid="{00000000-0005-0000-0000-00005F5B0000}"/>
    <cellStyle name="40% - Accent6 2 4 3 3 2 2" xfId="1610" xr:uid="{00000000-0005-0000-0000-0000605B0000}"/>
    <cellStyle name="40% - Accent6 2 4 3 3 2 2 2" xfId="20631" xr:uid="{00000000-0005-0000-0000-0000615B0000}"/>
    <cellStyle name="40% - Accent6 2 4 3 3 2 3" xfId="1391" xr:uid="{00000000-0005-0000-0000-0000625B0000}"/>
    <cellStyle name="40% - Accent6 2 4 3 3 3" xfId="27373" xr:uid="{00000000-0005-0000-0000-0000635B0000}"/>
    <cellStyle name="40% - Accent6 2 4 3 3 3 2" xfId="1194" xr:uid="{00000000-0005-0000-0000-0000645B0000}"/>
    <cellStyle name="40% - Accent6 2 4 3 3 4" xfId="24821" xr:uid="{00000000-0005-0000-0000-0000655B0000}"/>
    <cellStyle name="40% - Accent6 2 4 3 4" xfId="26432" xr:uid="{00000000-0005-0000-0000-0000665B0000}"/>
    <cellStyle name="40% - Accent6 2 4 3 4 2" xfId="26433" xr:uid="{00000000-0005-0000-0000-0000675B0000}"/>
    <cellStyle name="40% - Accent6 2 4 3 4 2 2" xfId="5405" xr:uid="{00000000-0005-0000-0000-0000685B0000}"/>
    <cellStyle name="40% - Accent6 2 4 3 4 3" xfId="26434" xr:uid="{00000000-0005-0000-0000-0000695B0000}"/>
    <cellStyle name="40% - Accent6 2 4 3 5" xfId="28734" xr:uid="{00000000-0005-0000-0000-00006A5B0000}"/>
    <cellStyle name="40% - Accent6 2 4 3 5 2" xfId="33766" xr:uid="{00000000-0005-0000-0000-00006B5B0000}"/>
    <cellStyle name="40% - Accent6 2 4 3 6" xfId="15657" xr:uid="{00000000-0005-0000-0000-00006C5B0000}"/>
    <cellStyle name="40% - Accent6 2 4 4" xfId="3567" xr:uid="{00000000-0005-0000-0000-00006D5B0000}"/>
    <cellStyle name="40% - Accent6 2 4 4 2" xfId="3570" xr:uid="{00000000-0005-0000-0000-00006E5B0000}"/>
    <cellStyle name="40% - Accent6 2 4 4 2 2" xfId="1013" xr:uid="{00000000-0005-0000-0000-00006F5B0000}"/>
    <cellStyle name="40% - Accent6 2 4 4 2 2 2" xfId="13361" xr:uid="{00000000-0005-0000-0000-0000705B0000}"/>
    <cellStyle name="40% - Accent6 2 4 4 2 2 2 2" xfId="2155" xr:uid="{00000000-0005-0000-0000-0000715B0000}"/>
    <cellStyle name="40% - Accent6 2 4 4 2 2 3" xfId="13370" xr:uid="{00000000-0005-0000-0000-0000725B0000}"/>
    <cellStyle name="40% - Accent6 2 4 4 2 3" xfId="32984" xr:uid="{00000000-0005-0000-0000-0000735B0000}"/>
    <cellStyle name="40% - Accent6 2 4 4 2 3 2" xfId="29222" xr:uid="{00000000-0005-0000-0000-0000745B0000}"/>
    <cellStyle name="40% - Accent6 2 4 4 2 4" xfId="23631" xr:uid="{00000000-0005-0000-0000-0000755B0000}"/>
    <cellStyle name="40% - Accent6 2 4 4 3" xfId="7396" xr:uid="{00000000-0005-0000-0000-0000765B0000}"/>
    <cellStyle name="40% - Accent6 2 4 4 3 2" xfId="10064" xr:uid="{00000000-0005-0000-0000-0000775B0000}"/>
    <cellStyle name="40% - Accent6 2 4 4 3 2 2" xfId="13389" xr:uid="{00000000-0005-0000-0000-0000785B0000}"/>
    <cellStyle name="40% - Accent6 2 4 4 3 3" xfId="26435" xr:uid="{00000000-0005-0000-0000-0000795B0000}"/>
    <cellStyle name="40% - Accent6 2 4 4 4" xfId="15353" xr:uid="{00000000-0005-0000-0000-00007A5B0000}"/>
    <cellStyle name="40% - Accent6 2 4 4 4 2" xfId="23682" xr:uid="{00000000-0005-0000-0000-00007B5B0000}"/>
    <cellStyle name="40% - Accent6 2 4 4 5" xfId="21586" xr:uid="{00000000-0005-0000-0000-00007C5B0000}"/>
    <cellStyle name="40% - Accent6 2 4 5" xfId="2549" xr:uid="{00000000-0005-0000-0000-00007D5B0000}"/>
    <cellStyle name="40% - Accent6 2 4 5 2" xfId="3580" xr:uid="{00000000-0005-0000-0000-00007E5B0000}"/>
    <cellStyle name="40% - Accent6 2 4 5 2 2" xfId="11830" xr:uid="{00000000-0005-0000-0000-00007F5B0000}"/>
    <cellStyle name="40% - Accent6 2 4 5 2 2 2" xfId="26441" xr:uid="{00000000-0005-0000-0000-0000805B0000}"/>
    <cellStyle name="40% - Accent6 2 4 5 2 3" xfId="26470" xr:uid="{00000000-0005-0000-0000-0000815B0000}"/>
    <cellStyle name="40% - Accent6 2 4 5 3" xfId="18479" xr:uid="{00000000-0005-0000-0000-0000825B0000}"/>
    <cellStyle name="40% - Accent6 2 4 5 3 2" xfId="23106" xr:uid="{00000000-0005-0000-0000-0000835B0000}"/>
    <cellStyle name="40% - Accent6 2 4 5 4" xfId="25079" xr:uid="{00000000-0005-0000-0000-0000845B0000}"/>
    <cellStyle name="40% - Accent6 2 4 6" xfId="4046" xr:uid="{00000000-0005-0000-0000-0000855B0000}"/>
    <cellStyle name="40% - Accent6 2 4 6 2" xfId="10149" xr:uid="{00000000-0005-0000-0000-0000865B0000}"/>
    <cellStyle name="40% - Accent6 2 4 6 2 2" xfId="26445" xr:uid="{00000000-0005-0000-0000-0000875B0000}"/>
    <cellStyle name="40% - Accent6 2 4 6 3" xfId="2798" xr:uid="{00000000-0005-0000-0000-0000885B0000}"/>
    <cellStyle name="40% - Accent6 2 4 7" xfId="30869" xr:uid="{00000000-0005-0000-0000-0000895B0000}"/>
    <cellStyle name="40% - Accent6 2 4 7 2" xfId="26454" xr:uid="{00000000-0005-0000-0000-00008A5B0000}"/>
    <cellStyle name="40% - Accent6 2 4 8" xfId="17057" xr:uid="{00000000-0005-0000-0000-00008B5B0000}"/>
    <cellStyle name="40% - Accent6 2 5" xfId="24560" xr:uid="{00000000-0005-0000-0000-00008C5B0000}"/>
    <cellStyle name="40% - Accent6 2 5 2" xfId="24562" xr:uid="{00000000-0005-0000-0000-00008D5B0000}"/>
    <cellStyle name="40% - Accent6 2 5 2 2" xfId="26586" xr:uid="{00000000-0005-0000-0000-00008E5B0000}"/>
    <cellStyle name="40% - Accent6 2 5 2 2 2" xfId="18848" xr:uid="{00000000-0005-0000-0000-00008F5B0000}"/>
    <cellStyle name="40% - Accent6 2 5 2 2 2 2" xfId="15686" xr:uid="{00000000-0005-0000-0000-0000905B0000}"/>
    <cellStyle name="40% - Accent6 2 5 2 2 2 2 2" xfId="22629" xr:uid="{00000000-0005-0000-0000-0000915B0000}"/>
    <cellStyle name="40% - Accent6 2 5 2 2 2 2 2 2" xfId="31343" xr:uid="{00000000-0005-0000-0000-0000925B0000}"/>
    <cellStyle name="40% - Accent6 2 5 2 2 2 2 3" xfId="18625" xr:uid="{00000000-0005-0000-0000-0000935B0000}"/>
    <cellStyle name="40% - Accent6 2 5 2 2 2 3" xfId="27533" xr:uid="{00000000-0005-0000-0000-0000945B0000}"/>
    <cellStyle name="40% - Accent6 2 5 2 2 2 3 2" xfId="29399" xr:uid="{00000000-0005-0000-0000-0000955B0000}"/>
    <cellStyle name="40% - Accent6 2 5 2 2 2 4" xfId="26690" xr:uid="{00000000-0005-0000-0000-0000965B0000}"/>
    <cellStyle name="40% - Accent6 2 5 2 2 3" xfId="18851" xr:uid="{00000000-0005-0000-0000-0000975B0000}"/>
    <cellStyle name="40% - Accent6 2 5 2 2 3 2" xfId="9726" xr:uid="{00000000-0005-0000-0000-0000985B0000}"/>
    <cellStyle name="40% - Accent6 2 5 2 2 3 2 2" xfId="30465" xr:uid="{00000000-0005-0000-0000-0000995B0000}"/>
    <cellStyle name="40% - Accent6 2 5 2 2 3 3" xfId="31327" xr:uid="{00000000-0005-0000-0000-00009A5B0000}"/>
    <cellStyle name="40% - Accent6 2 5 2 2 4" xfId="7743" xr:uid="{00000000-0005-0000-0000-00009B5B0000}"/>
    <cellStyle name="40% - Accent6 2 5 2 2 4 2" xfId="27300" xr:uid="{00000000-0005-0000-0000-00009C5B0000}"/>
    <cellStyle name="40% - Accent6 2 5 2 2 5" xfId="27393" xr:uid="{00000000-0005-0000-0000-00009D5B0000}"/>
    <cellStyle name="40% - Accent6 2 5 2 3" xfId="26458" xr:uid="{00000000-0005-0000-0000-00009E5B0000}"/>
    <cellStyle name="40% - Accent6 2 5 2 3 2" xfId="18869" xr:uid="{00000000-0005-0000-0000-00009F5B0000}"/>
    <cellStyle name="40% - Accent6 2 5 2 3 2 2" xfId="29776" xr:uid="{00000000-0005-0000-0000-0000A05B0000}"/>
    <cellStyle name="40% - Accent6 2 5 2 3 2 2 2" xfId="21088" xr:uid="{00000000-0005-0000-0000-0000A15B0000}"/>
    <cellStyle name="40% - Accent6 2 5 2 3 2 3" xfId="13040" xr:uid="{00000000-0005-0000-0000-0000A25B0000}"/>
    <cellStyle name="40% - Accent6 2 5 2 3 3" xfId="24513" xr:uid="{00000000-0005-0000-0000-0000A35B0000}"/>
    <cellStyle name="40% - Accent6 2 5 2 3 3 2" xfId="6496" xr:uid="{00000000-0005-0000-0000-0000A45B0000}"/>
    <cellStyle name="40% - Accent6 2 5 2 3 4" xfId="24828" xr:uid="{00000000-0005-0000-0000-0000A55B0000}"/>
    <cellStyle name="40% - Accent6 2 5 2 4" xfId="26464" xr:uid="{00000000-0005-0000-0000-0000A65B0000}"/>
    <cellStyle name="40% - Accent6 2 5 2 4 2" xfId="26465" xr:uid="{00000000-0005-0000-0000-0000A75B0000}"/>
    <cellStyle name="40% - Accent6 2 5 2 4 2 2" xfId="6514" xr:uid="{00000000-0005-0000-0000-0000A85B0000}"/>
    <cellStyle name="40% - Accent6 2 5 2 4 3" xfId="26469" xr:uid="{00000000-0005-0000-0000-0000A95B0000}"/>
    <cellStyle name="40% - Accent6 2 5 2 5" xfId="11873" xr:uid="{00000000-0005-0000-0000-0000AA5B0000}"/>
    <cellStyle name="40% - Accent6 2 5 2 5 2" xfId="26475" xr:uid="{00000000-0005-0000-0000-0000AB5B0000}"/>
    <cellStyle name="40% - Accent6 2 5 2 6" xfId="27252" xr:uid="{00000000-0005-0000-0000-0000AC5B0000}"/>
    <cellStyle name="40% - Accent6 2 5 3" xfId="20333" xr:uid="{00000000-0005-0000-0000-0000AD5B0000}"/>
    <cellStyle name="40% - Accent6 2 5 3 2" xfId="20335" xr:uid="{00000000-0005-0000-0000-0000AE5B0000}"/>
    <cellStyle name="40% - Accent6 2 5 3 2 2" xfId="18913" xr:uid="{00000000-0005-0000-0000-0000AF5B0000}"/>
    <cellStyle name="40% - Accent6 2 5 3 2 2 2" xfId="10270" xr:uid="{00000000-0005-0000-0000-0000B05B0000}"/>
    <cellStyle name="40% - Accent6 2 5 3 2 2 2 2" xfId="24957" xr:uid="{00000000-0005-0000-0000-0000B15B0000}"/>
    <cellStyle name="40% - Accent6 2 5 3 2 2 3" xfId="31006" xr:uid="{00000000-0005-0000-0000-0000B25B0000}"/>
    <cellStyle name="40% - Accent6 2 5 3 2 3" xfId="26478" xr:uid="{00000000-0005-0000-0000-0000B35B0000}"/>
    <cellStyle name="40% - Accent6 2 5 3 2 3 2" xfId="19149" xr:uid="{00000000-0005-0000-0000-0000B45B0000}"/>
    <cellStyle name="40% - Accent6 2 5 3 2 4" xfId="26481" xr:uid="{00000000-0005-0000-0000-0000B55B0000}"/>
    <cellStyle name="40% - Accent6 2 5 3 3" xfId="26482" xr:uid="{00000000-0005-0000-0000-0000B65B0000}"/>
    <cellStyle name="40% - Accent6 2 5 3 3 2" xfId="26483" xr:uid="{00000000-0005-0000-0000-0000B75B0000}"/>
    <cellStyle name="40% - Accent6 2 5 3 3 2 2" xfId="6031" xr:uid="{00000000-0005-0000-0000-0000B85B0000}"/>
    <cellStyle name="40% - Accent6 2 5 3 3 3" xfId="26487" xr:uid="{00000000-0005-0000-0000-0000B95B0000}"/>
    <cellStyle name="40% - Accent6 2 5 3 4" xfId="26489" xr:uid="{00000000-0005-0000-0000-0000BA5B0000}"/>
    <cellStyle name="40% - Accent6 2 5 3 4 2" xfId="26491" xr:uid="{00000000-0005-0000-0000-0000BB5B0000}"/>
    <cellStyle name="40% - Accent6 2 5 3 5" xfId="31073" xr:uid="{00000000-0005-0000-0000-0000BC5B0000}"/>
    <cellStyle name="40% - Accent6 2 5 4" xfId="3589" xr:uid="{00000000-0005-0000-0000-0000BD5B0000}"/>
    <cellStyle name="40% - Accent6 2 5 4 2" xfId="1184" xr:uid="{00000000-0005-0000-0000-0000BE5B0000}"/>
    <cellStyle name="40% - Accent6 2 5 4 2 2" xfId="10234" xr:uid="{00000000-0005-0000-0000-0000BF5B0000}"/>
    <cellStyle name="40% - Accent6 2 5 4 2 2 2" xfId="27398" xr:uid="{00000000-0005-0000-0000-0000C05B0000}"/>
    <cellStyle name="40% - Accent6 2 5 4 2 3" xfId="26194" xr:uid="{00000000-0005-0000-0000-0000C15B0000}"/>
    <cellStyle name="40% - Accent6 2 5 4 3" xfId="10237" xr:uid="{00000000-0005-0000-0000-0000C25B0000}"/>
    <cellStyle name="40% - Accent6 2 5 4 3 2" xfId="26494" xr:uid="{00000000-0005-0000-0000-0000C35B0000}"/>
    <cellStyle name="40% - Accent6 2 5 4 4" xfId="21670" xr:uid="{00000000-0005-0000-0000-0000C45B0000}"/>
    <cellStyle name="40% - Accent6 2 5 5" xfId="675" xr:uid="{00000000-0005-0000-0000-0000C55B0000}"/>
    <cellStyle name="40% - Accent6 2 5 5 2" xfId="10251" xr:uid="{00000000-0005-0000-0000-0000C65B0000}"/>
    <cellStyle name="40% - Accent6 2 5 5 2 2" xfId="29688" xr:uid="{00000000-0005-0000-0000-0000C75B0000}"/>
    <cellStyle name="40% - Accent6 2 5 5 3" xfId="23163" xr:uid="{00000000-0005-0000-0000-0000C85B0000}"/>
    <cellStyle name="40% - Accent6 2 5 6" xfId="26498" xr:uid="{00000000-0005-0000-0000-0000C95B0000}"/>
    <cellStyle name="40% - Accent6 2 5 6 2" xfId="26500" xr:uid="{00000000-0005-0000-0000-0000CA5B0000}"/>
    <cellStyle name="40% - Accent6 2 5 7" xfId="26502" xr:uid="{00000000-0005-0000-0000-0000CB5B0000}"/>
    <cellStyle name="40% - Accent6 2 6" xfId="24564" xr:uid="{00000000-0005-0000-0000-0000CC5B0000}"/>
    <cellStyle name="40% - Accent6 2 6 2" xfId="26507" xr:uid="{00000000-0005-0000-0000-0000CD5B0000}"/>
    <cellStyle name="40% - Accent6 2 6 2 2" xfId="17232" xr:uid="{00000000-0005-0000-0000-0000CE5B0000}"/>
    <cellStyle name="40% - Accent6 2 6 2 2 2" xfId="19528" xr:uid="{00000000-0005-0000-0000-0000CF5B0000}"/>
    <cellStyle name="40% - Accent6 2 6 2 2 2 2" xfId="29695" xr:uid="{00000000-0005-0000-0000-0000D05B0000}"/>
    <cellStyle name="40% - Accent6 2 6 2 2 2 2 2" xfId="24650" xr:uid="{00000000-0005-0000-0000-0000D15B0000}"/>
    <cellStyle name="40% - Accent6 2 6 2 2 2 3" xfId="29718" xr:uid="{00000000-0005-0000-0000-0000D25B0000}"/>
    <cellStyle name="40% - Accent6 2 6 2 2 3" xfId="20107" xr:uid="{00000000-0005-0000-0000-0000D35B0000}"/>
    <cellStyle name="40% - Accent6 2 6 2 2 3 2" xfId="20108" xr:uid="{00000000-0005-0000-0000-0000D45B0000}"/>
    <cellStyle name="40% - Accent6 2 6 2 2 4" xfId="20111" xr:uid="{00000000-0005-0000-0000-0000D55B0000}"/>
    <cellStyle name="40% - Accent6 2 6 2 3" xfId="8903" xr:uid="{00000000-0005-0000-0000-0000D65B0000}"/>
    <cellStyle name="40% - Accent6 2 6 2 3 2" xfId="31991" xr:uid="{00000000-0005-0000-0000-0000D75B0000}"/>
    <cellStyle name="40% - Accent6 2 6 2 3 2 2" xfId="11727" xr:uid="{00000000-0005-0000-0000-0000D85B0000}"/>
    <cellStyle name="40% - Accent6 2 6 2 3 3" xfId="20116" xr:uid="{00000000-0005-0000-0000-0000D95B0000}"/>
    <cellStyle name="40% - Accent6 2 6 2 4" xfId="12716" xr:uid="{00000000-0005-0000-0000-0000DA5B0000}"/>
    <cellStyle name="40% - Accent6 2 6 2 4 2" xfId="5268" xr:uid="{00000000-0005-0000-0000-0000DB5B0000}"/>
    <cellStyle name="40% - Accent6 2 6 2 5" xfId="14358" xr:uid="{00000000-0005-0000-0000-0000DC5B0000}"/>
    <cellStyle name="40% - Accent6 2 6 3" xfId="20338" xr:uid="{00000000-0005-0000-0000-0000DD5B0000}"/>
    <cellStyle name="40% - Accent6 2 6 3 2" xfId="5796" xr:uid="{00000000-0005-0000-0000-0000DE5B0000}"/>
    <cellStyle name="40% - Accent6 2 6 3 2 2" xfId="26510" xr:uid="{00000000-0005-0000-0000-0000DF5B0000}"/>
    <cellStyle name="40% - Accent6 2 6 3 2 2 2" xfId="32151" xr:uid="{00000000-0005-0000-0000-0000E05B0000}"/>
    <cellStyle name="40% - Accent6 2 6 3 2 3" xfId="20140" xr:uid="{00000000-0005-0000-0000-0000E15B0000}"/>
    <cellStyle name="40% - Accent6 2 6 3 3" xfId="12725" xr:uid="{00000000-0005-0000-0000-0000E25B0000}"/>
    <cellStyle name="40% - Accent6 2 6 3 3 2" xfId="26513" xr:uid="{00000000-0005-0000-0000-0000E35B0000}"/>
    <cellStyle name="40% - Accent6 2 6 3 4" xfId="14756" xr:uid="{00000000-0005-0000-0000-0000E45B0000}"/>
    <cellStyle name="40% - Accent6 2 6 4" xfId="3595" xr:uid="{00000000-0005-0000-0000-0000E55B0000}"/>
    <cellStyle name="40% - Accent6 2 6 4 2" xfId="12741" xr:uid="{00000000-0005-0000-0000-0000E65B0000}"/>
    <cellStyle name="40% - Accent6 2 6 4 2 2" xfId="26516" xr:uid="{00000000-0005-0000-0000-0000E75B0000}"/>
    <cellStyle name="40% - Accent6 2 6 4 3" xfId="12745" xr:uid="{00000000-0005-0000-0000-0000E85B0000}"/>
    <cellStyle name="40% - Accent6 2 6 5" xfId="26701" xr:uid="{00000000-0005-0000-0000-0000E95B0000}"/>
    <cellStyle name="40% - Accent6 2 6 5 2" xfId="12751" xr:uid="{00000000-0005-0000-0000-0000EA5B0000}"/>
    <cellStyle name="40% - Accent6 2 6 6" xfId="23621" xr:uid="{00000000-0005-0000-0000-0000EB5B0000}"/>
    <cellStyle name="40% - Accent6 2 7" xfId="26519" xr:uid="{00000000-0005-0000-0000-0000EC5B0000}"/>
    <cellStyle name="40% - Accent6 2 7 2" xfId="26520" xr:uid="{00000000-0005-0000-0000-0000ED5B0000}"/>
    <cellStyle name="40% - Accent6 2 7 2 2" xfId="16628" xr:uid="{00000000-0005-0000-0000-0000EE5B0000}"/>
    <cellStyle name="40% - Accent6 2 7 2 2 2" xfId="26523" xr:uid="{00000000-0005-0000-0000-0000EF5B0000}"/>
    <cellStyle name="40% - Accent6 2 7 2 2 2 2" xfId="33056" xr:uid="{00000000-0005-0000-0000-0000F05B0000}"/>
    <cellStyle name="40% - Accent6 2 7 2 2 3" xfId="16815" xr:uid="{00000000-0005-0000-0000-0000F15B0000}"/>
    <cellStyle name="40% - Accent6 2 7 2 3" xfId="16634" xr:uid="{00000000-0005-0000-0000-0000F25B0000}"/>
    <cellStyle name="40% - Accent6 2 7 2 3 2" xfId="26528" xr:uid="{00000000-0005-0000-0000-0000F35B0000}"/>
    <cellStyle name="40% - Accent6 2 7 2 4" xfId="12762" xr:uid="{00000000-0005-0000-0000-0000F45B0000}"/>
    <cellStyle name="40% - Accent6 2 7 3" xfId="26529" xr:uid="{00000000-0005-0000-0000-0000F55B0000}"/>
    <cellStyle name="40% - Accent6 2 7 3 2" xfId="16639" xr:uid="{00000000-0005-0000-0000-0000F65B0000}"/>
    <cellStyle name="40% - Accent6 2 7 3 2 2" xfId="26532" xr:uid="{00000000-0005-0000-0000-0000F75B0000}"/>
    <cellStyle name="40% - Accent6 2 7 3 3" xfId="12773" xr:uid="{00000000-0005-0000-0000-0000F85B0000}"/>
    <cellStyle name="40% - Accent6 2 7 4" xfId="26823" xr:uid="{00000000-0005-0000-0000-0000F95B0000}"/>
    <cellStyle name="40% - Accent6 2 7 4 2" xfId="12784" xr:uid="{00000000-0005-0000-0000-0000FA5B0000}"/>
    <cellStyle name="40% - Accent6 2 7 5" xfId="173" xr:uid="{00000000-0005-0000-0000-0000FB5B0000}"/>
    <cellStyle name="40% - Accent6 2 8" xfId="29994" xr:uid="{00000000-0005-0000-0000-0000FC5B0000}"/>
    <cellStyle name="40% - Accent6 2 8 2" xfId="26535" xr:uid="{00000000-0005-0000-0000-0000FD5B0000}"/>
    <cellStyle name="40% - Accent6 2 8 2 2" xfId="16650" xr:uid="{00000000-0005-0000-0000-0000FE5B0000}"/>
    <cellStyle name="40% - Accent6 2 8 2 2 2" xfId="19460" xr:uid="{00000000-0005-0000-0000-0000FF5B0000}"/>
    <cellStyle name="40% - Accent6 2 8 2 3" xfId="12791" xr:uid="{00000000-0005-0000-0000-0000005C0000}"/>
    <cellStyle name="40% - Accent6 2 8 3" xfId="30684" xr:uid="{00000000-0005-0000-0000-0000015C0000}"/>
    <cellStyle name="40% - Accent6 2 8 3 2" xfId="12799" xr:uid="{00000000-0005-0000-0000-0000025C0000}"/>
    <cellStyle name="40% - Accent6 2 8 4" xfId="31044" xr:uid="{00000000-0005-0000-0000-0000035C0000}"/>
    <cellStyle name="40% - Accent6 2 9" xfId="16903" xr:uid="{00000000-0005-0000-0000-0000045C0000}"/>
    <cellStyle name="40% - Accent6 2 9 2" xfId="30320" xr:uid="{00000000-0005-0000-0000-0000055C0000}"/>
    <cellStyle name="40% - Accent6 2 9 2 2" xfId="12802" xr:uid="{00000000-0005-0000-0000-0000065C0000}"/>
    <cellStyle name="40% - Accent6 2 9 3" xfId="26653" xr:uid="{00000000-0005-0000-0000-0000075C0000}"/>
    <cellStyle name="40% - Accent6 3" xfId="24568" xr:uid="{00000000-0005-0000-0000-0000085C0000}"/>
    <cellStyle name="40% - Accent6 3 10" xfId="15297" xr:uid="{00000000-0005-0000-0000-0000095C0000}"/>
    <cellStyle name="40% - Accent6 3 2" xfId="2827" xr:uid="{00000000-0005-0000-0000-00000A5C0000}"/>
    <cellStyle name="40% - Accent6 3 2 2" xfId="24572" xr:uid="{00000000-0005-0000-0000-00000B5C0000}"/>
    <cellStyle name="40% - Accent6 3 2 2 2" xfId="24579" xr:uid="{00000000-0005-0000-0000-00000C5C0000}"/>
    <cellStyle name="40% - Accent6 3 2 2 2 2" xfId="17077" xr:uid="{00000000-0005-0000-0000-00000D5C0000}"/>
    <cellStyle name="40% - Accent6 3 2 2 2 2 2" xfId="27136" xr:uid="{00000000-0005-0000-0000-00000E5C0000}"/>
    <cellStyle name="40% - Accent6 3 2 2 2 2 2 2" xfId="33623" xr:uid="{00000000-0005-0000-0000-00000F5C0000}"/>
    <cellStyle name="40% - Accent6 3 2 2 2 2 2 2 2" xfId="29570" xr:uid="{00000000-0005-0000-0000-0000105C0000}"/>
    <cellStyle name="40% - Accent6 3 2 2 2 2 2 2 2 2" xfId="25264" xr:uid="{00000000-0005-0000-0000-0000115C0000}"/>
    <cellStyle name="40% - Accent6 3 2 2 2 2 2 2 2 2 2" xfId="12282" xr:uid="{00000000-0005-0000-0000-0000125C0000}"/>
    <cellStyle name="40% - Accent6 3 2 2 2 2 2 2 2 3" xfId="26540" xr:uid="{00000000-0005-0000-0000-0000135C0000}"/>
    <cellStyle name="40% - Accent6 3 2 2 2 2 2 2 3" xfId="7255" xr:uid="{00000000-0005-0000-0000-0000145C0000}"/>
    <cellStyle name="40% - Accent6 3 2 2 2 2 2 2 3 2" xfId="22289" xr:uid="{00000000-0005-0000-0000-0000155C0000}"/>
    <cellStyle name="40% - Accent6 3 2 2 2 2 2 2 4" xfId="7269" xr:uid="{00000000-0005-0000-0000-0000165C0000}"/>
    <cellStyle name="40% - Accent6 3 2 2 2 2 2 3" xfId="16350" xr:uid="{00000000-0005-0000-0000-0000175C0000}"/>
    <cellStyle name="40% - Accent6 3 2 2 2 2 2 3 2" xfId="21641" xr:uid="{00000000-0005-0000-0000-0000185C0000}"/>
    <cellStyle name="40% - Accent6 3 2 2 2 2 2 3 2 2" xfId="25306" xr:uid="{00000000-0005-0000-0000-0000195C0000}"/>
    <cellStyle name="40% - Accent6 3 2 2 2 2 2 3 3" xfId="7121" xr:uid="{00000000-0005-0000-0000-00001A5C0000}"/>
    <cellStyle name="40% - Accent6 3 2 2 2 2 2 4" xfId="26548" xr:uid="{00000000-0005-0000-0000-00001B5C0000}"/>
    <cellStyle name="40% - Accent6 3 2 2 2 2 2 4 2" xfId="25389" xr:uid="{00000000-0005-0000-0000-00001C5C0000}"/>
    <cellStyle name="40% - Accent6 3 2 2 2 2 2 5" xfId="26554" xr:uid="{00000000-0005-0000-0000-00001D5C0000}"/>
    <cellStyle name="40% - Accent6 3 2 2 2 2 3" xfId="25335" xr:uid="{00000000-0005-0000-0000-00001E5C0000}"/>
    <cellStyle name="40% - Accent6 3 2 2 2 2 3 2" xfId="32970" xr:uid="{00000000-0005-0000-0000-00001F5C0000}"/>
    <cellStyle name="40% - Accent6 3 2 2 2 2 3 2 2" xfId="9756" xr:uid="{00000000-0005-0000-0000-0000205C0000}"/>
    <cellStyle name="40% - Accent6 3 2 2 2 2 3 2 2 2" xfId="25364" xr:uid="{00000000-0005-0000-0000-0000215C0000}"/>
    <cellStyle name="40% - Accent6 3 2 2 2 2 3 2 3" xfId="7487" xr:uid="{00000000-0005-0000-0000-0000225C0000}"/>
    <cellStyle name="40% - Accent6 3 2 2 2 2 3 3" xfId="27489" xr:uid="{00000000-0005-0000-0000-0000235C0000}"/>
    <cellStyle name="40% - Accent6 3 2 2 2 2 3 3 2" xfId="28915" xr:uid="{00000000-0005-0000-0000-0000245C0000}"/>
    <cellStyle name="40% - Accent6 3 2 2 2 2 3 4" xfId="30764" xr:uid="{00000000-0005-0000-0000-0000255C0000}"/>
    <cellStyle name="40% - Accent6 3 2 2 2 2 4" xfId="842" xr:uid="{00000000-0005-0000-0000-0000265C0000}"/>
    <cellStyle name="40% - Accent6 3 2 2 2 2 4 2" xfId="30917" xr:uid="{00000000-0005-0000-0000-0000275C0000}"/>
    <cellStyle name="40% - Accent6 3 2 2 2 2 4 2 2" xfId="14470" xr:uid="{00000000-0005-0000-0000-0000285C0000}"/>
    <cellStyle name="40% - Accent6 3 2 2 2 2 4 3" xfId="26557" xr:uid="{00000000-0005-0000-0000-0000295C0000}"/>
    <cellStyle name="40% - Accent6 3 2 2 2 2 5" xfId="29787" xr:uid="{00000000-0005-0000-0000-00002A5C0000}"/>
    <cellStyle name="40% - Accent6 3 2 2 2 2 5 2" xfId="17885" xr:uid="{00000000-0005-0000-0000-00002B5C0000}"/>
    <cellStyle name="40% - Accent6 3 2 2 2 2 6" xfId="25792" xr:uid="{00000000-0005-0000-0000-00002C5C0000}"/>
    <cellStyle name="40% - Accent6 3 2 2 2 3" xfId="26563" xr:uid="{00000000-0005-0000-0000-00002D5C0000}"/>
    <cellStyle name="40% - Accent6 3 2 2 2 3 2" xfId="26556" xr:uid="{00000000-0005-0000-0000-00002E5C0000}"/>
    <cellStyle name="40% - Accent6 3 2 2 2 3 2 2" xfId="33263" xr:uid="{00000000-0005-0000-0000-00002F5C0000}"/>
    <cellStyle name="40% - Accent6 3 2 2 2 3 2 2 2" xfId="26564" xr:uid="{00000000-0005-0000-0000-0000305C0000}"/>
    <cellStyle name="40% - Accent6 3 2 2 2 3 2 2 2 2" xfId="25483" xr:uid="{00000000-0005-0000-0000-0000315C0000}"/>
    <cellStyle name="40% - Accent6 3 2 2 2 3 2 2 3" xfId="8317" xr:uid="{00000000-0005-0000-0000-0000325C0000}"/>
    <cellStyle name="40% - Accent6 3 2 2 2 3 2 3" xfId="26565" xr:uid="{00000000-0005-0000-0000-0000335C0000}"/>
    <cellStyle name="40% - Accent6 3 2 2 2 3 2 3 2" xfId="7141" xr:uid="{00000000-0005-0000-0000-0000345C0000}"/>
    <cellStyle name="40% - Accent6 3 2 2 2 3 2 4" xfId="26567" xr:uid="{00000000-0005-0000-0000-0000355C0000}"/>
    <cellStyle name="40% - Accent6 3 2 2 2 3 3" xfId="19895" xr:uid="{00000000-0005-0000-0000-0000365C0000}"/>
    <cellStyle name="40% - Accent6 3 2 2 2 3 3 2" xfId="19818" xr:uid="{00000000-0005-0000-0000-0000375C0000}"/>
    <cellStyle name="40% - Accent6 3 2 2 2 3 3 2 2" xfId="30363" xr:uid="{00000000-0005-0000-0000-0000385C0000}"/>
    <cellStyle name="40% - Accent6 3 2 2 2 3 3 3" xfId="29590" xr:uid="{00000000-0005-0000-0000-0000395C0000}"/>
    <cellStyle name="40% - Accent6 3 2 2 2 3 4" xfId="29548" xr:uid="{00000000-0005-0000-0000-00003A5C0000}"/>
    <cellStyle name="40% - Accent6 3 2 2 2 3 4 2" xfId="19857" xr:uid="{00000000-0005-0000-0000-00003B5C0000}"/>
    <cellStyle name="40% - Accent6 3 2 2 2 3 5" xfId="26568" xr:uid="{00000000-0005-0000-0000-00003C5C0000}"/>
    <cellStyle name="40% - Accent6 3 2 2 2 4" xfId="3151" xr:uid="{00000000-0005-0000-0000-00003D5C0000}"/>
    <cellStyle name="40% - Accent6 3 2 2 2 4 2" xfId="27779" xr:uid="{00000000-0005-0000-0000-00003E5C0000}"/>
    <cellStyle name="40% - Accent6 3 2 2 2 4 2 2" xfId="27979" xr:uid="{00000000-0005-0000-0000-00003F5C0000}"/>
    <cellStyle name="40% - Accent6 3 2 2 2 4 2 2 2" xfId="27644" xr:uid="{00000000-0005-0000-0000-0000405C0000}"/>
    <cellStyle name="40% - Accent6 3 2 2 2 4 2 3" xfId="27983" xr:uid="{00000000-0005-0000-0000-0000415C0000}"/>
    <cellStyle name="40% - Accent6 3 2 2 2 4 3" xfId="10213" xr:uid="{00000000-0005-0000-0000-0000425C0000}"/>
    <cellStyle name="40% - Accent6 3 2 2 2 4 3 2" xfId="25835" xr:uid="{00000000-0005-0000-0000-0000435C0000}"/>
    <cellStyle name="40% - Accent6 3 2 2 2 4 4" xfId="9812" xr:uid="{00000000-0005-0000-0000-0000445C0000}"/>
    <cellStyle name="40% - Accent6 3 2 2 2 5" xfId="3165" xr:uid="{00000000-0005-0000-0000-0000455C0000}"/>
    <cellStyle name="40% - Accent6 3 2 2 2 5 2" xfId="2210" xr:uid="{00000000-0005-0000-0000-0000465C0000}"/>
    <cellStyle name="40% - Accent6 3 2 2 2 5 2 2" xfId="30237" xr:uid="{00000000-0005-0000-0000-0000475C0000}"/>
    <cellStyle name="40% - Accent6 3 2 2 2 5 3" xfId="9819" xr:uid="{00000000-0005-0000-0000-0000485C0000}"/>
    <cellStyle name="40% - Accent6 3 2 2 2 6" xfId="2537" xr:uid="{00000000-0005-0000-0000-0000495C0000}"/>
    <cellStyle name="40% - Accent6 3 2 2 2 6 2" xfId="28853" xr:uid="{00000000-0005-0000-0000-00004A5C0000}"/>
    <cellStyle name="40% - Accent6 3 2 2 2 7" xfId="10972" xr:uid="{00000000-0005-0000-0000-00004B5C0000}"/>
    <cellStyle name="40% - Accent6 3 2 2 3" xfId="395" xr:uid="{00000000-0005-0000-0000-00004C5C0000}"/>
    <cellStyle name="40% - Accent6 3 2 2 3 2" xfId="26600" xr:uid="{00000000-0005-0000-0000-00004D5C0000}"/>
    <cellStyle name="40% - Accent6 3 2 2 3 2 2" xfId="28256" xr:uid="{00000000-0005-0000-0000-00004E5C0000}"/>
    <cellStyle name="40% - Accent6 3 2 2 3 2 2 2" xfId="1059" xr:uid="{00000000-0005-0000-0000-00004F5C0000}"/>
    <cellStyle name="40% - Accent6 3 2 2 3 2 2 2 2" xfId="15220" xr:uid="{00000000-0005-0000-0000-0000505C0000}"/>
    <cellStyle name="40% - Accent6 3 2 2 3 2 2 2 2 2" xfId="18824" xr:uid="{00000000-0005-0000-0000-0000515C0000}"/>
    <cellStyle name="40% - Accent6 3 2 2 3 2 2 2 3" xfId="8782" xr:uid="{00000000-0005-0000-0000-0000525C0000}"/>
    <cellStyle name="40% - Accent6 3 2 2 3 2 2 3" xfId="22818" xr:uid="{00000000-0005-0000-0000-0000535C0000}"/>
    <cellStyle name="40% - Accent6 3 2 2 3 2 2 3 2" xfId="23340" xr:uid="{00000000-0005-0000-0000-0000545C0000}"/>
    <cellStyle name="40% - Accent6 3 2 2 3 2 2 4" xfId="26574" xr:uid="{00000000-0005-0000-0000-0000555C0000}"/>
    <cellStyle name="40% - Accent6 3 2 2 3 2 3" xfId="20193" xr:uid="{00000000-0005-0000-0000-0000565C0000}"/>
    <cellStyle name="40% - Accent6 3 2 2 3 2 3 2" xfId="33281" xr:uid="{00000000-0005-0000-0000-0000575C0000}"/>
    <cellStyle name="40% - Accent6 3 2 2 3 2 3 2 2" xfId="8344" xr:uid="{00000000-0005-0000-0000-0000585C0000}"/>
    <cellStyle name="40% - Accent6 3 2 2 3 2 3 3" xfId="26577" xr:uid="{00000000-0005-0000-0000-0000595C0000}"/>
    <cellStyle name="40% - Accent6 3 2 2 3 2 4" xfId="29842" xr:uid="{00000000-0005-0000-0000-00005A5C0000}"/>
    <cellStyle name="40% - Accent6 3 2 2 3 2 4 2" xfId="3585" xr:uid="{00000000-0005-0000-0000-00005B5C0000}"/>
    <cellStyle name="40% - Accent6 3 2 2 3 2 5" xfId="29272" xr:uid="{00000000-0005-0000-0000-00005C5C0000}"/>
    <cellStyle name="40% - Accent6 3 2 2 3 3" xfId="26583" xr:uid="{00000000-0005-0000-0000-00005D5C0000}"/>
    <cellStyle name="40% - Accent6 3 2 2 3 3 2" xfId="25688" xr:uid="{00000000-0005-0000-0000-00005E5C0000}"/>
    <cellStyle name="40% - Accent6 3 2 2 3 3 2 2" xfId="7420" xr:uid="{00000000-0005-0000-0000-00005F5C0000}"/>
    <cellStyle name="40% - Accent6 3 2 2 3 3 2 2 2" xfId="26584" xr:uid="{00000000-0005-0000-0000-0000605C0000}"/>
    <cellStyle name="40% - Accent6 3 2 2 3 3 2 3" xfId="26595" xr:uid="{00000000-0005-0000-0000-0000615C0000}"/>
    <cellStyle name="40% - Accent6 3 2 2 3 3 3" xfId="25692" xr:uid="{00000000-0005-0000-0000-0000625C0000}"/>
    <cellStyle name="40% - Accent6 3 2 2 3 3 3 2" xfId="19929" xr:uid="{00000000-0005-0000-0000-0000635C0000}"/>
    <cellStyle name="40% - Accent6 3 2 2 3 3 4" xfId="29356" xr:uid="{00000000-0005-0000-0000-0000645C0000}"/>
    <cellStyle name="40% - Accent6 3 2 2 3 4" xfId="5630" xr:uid="{00000000-0005-0000-0000-0000655C0000}"/>
    <cellStyle name="40% - Accent6 3 2 2 3 4 2" xfId="28283" xr:uid="{00000000-0005-0000-0000-0000665C0000}"/>
    <cellStyle name="40% - Accent6 3 2 2 3 4 2 2" xfId="27988" xr:uid="{00000000-0005-0000-0000-0000675C0000}"/>
    <cellStyle name="40% - Accent6 3 2 2 3 4 3" xfId="9834" xr:uid="{00000000-0005-0000-0000-0000685C0000}"/>
    <cellStyle name="40% - Accent6 3 2 2 3 5" xfId="5638" xr:uid="{00000000-0005-0000-0000-0000695C0000}"/>
    <cellStyle name="40% - Accent6 3 2 2 3 5 2" xfId="20420" xr:uid="{00000000-0005-0000-0000-00006A5C0000}"/>
    <cellStyle name="40% - Accent6 3 2 2 3 6" xfId="29777" xr:uid="{00000000-0005-0000-0000-00006B5C0000}"/>
    <cellStyle name="40% - Accent6 3 2 2 4" xfId="2540" xr:uid="{00000000-0005-0000-0000-00006C5C0000}"/>
    <cellStyle name="40% - Accent6 3 2 2 4 2" xfId="26607" xr:uid="{00000000-0005-0000-0000-00006D5C0000}"/>
    <cellStyle name="40% - Accent6 3 2 2 4 2 2" xfId="171" xr:uid="{00000000-0005-0000-0000-00006E5C0000}"/>
    <cellStyle name="40% - Accent6 3 2 2 4 2 2 2" xfId="21591" xr:uid="{00000000-0005-0000-0000-00006F5C0000}"/>
    <cellStyle name="40% - Accent6 3 2 2 4 2 2 2 2" xfId="28071" xr:uid="{00000000-0005-0000-0000-0000705C0000}"/>
    <cellStyle name="40% - Accent6 3 2 2 4 2 2 3" xfId="21627" xr:uid="{00000000-0005-0000-0000-0000715C0000}"/>
    <cellStyle name="40% - Accent6 3 2 2 4 2 3" xfId="31" xr:uid="{00000000-0005-0000-0000-0000725C0000}"/>
    <cellStyle name="40% - Accent6 3 2 2 4 2 3 2" xfId="30723" xr:uid="{00000000-0005-0000-0000-0000735C0000}"/>
    <cellStyle name="40% - Accent6 3 2 2 4 2 4" xfId="29930" xr:uid="{00000000-0005-0000-0000-0000745C0000}"/>
    <cellStyle name="40% - Accent6 3 2 2 4 3" xfId="29529" xr:uid="{00000000-0005-0000-0000-0000755C0000}"/>
    <cellStyle name="40% - Accent6 3 2 2 4 3 2" xfId="181" xr:uid="{00000000-0005-0000-0000-0000765C0000}"/>
    <cellStyle name="40% - Accent6 3 2 2 4 3 2 2" xfId="23591" xr:uid="{00000000-0005-0000-0000-0000775C0000}"/>
    <cellStyle name="40% - Accent6 3 2 2 4 3 3" xfId="29536" xr:uid="{00000000-0005-0000-0000-0000785C0000}"/>
    <cellStyle name="40% - Accent6 3 2 2 4 4" xfId="28292" xr:uid="{00000000-0005-0000-0000-0000795C0000}"/>
    <cellStyle name="40% - Accent6 3 2 2 4 4 2" xfId="9844" xr:uid="{00000000-0005-0000-0000-00007A5C0000}"/>
    <cellStyle name="40% - Accent6 3 2 2 4 5" xfId="9849" xr:uid="{00000000-0005-0000-0000-00007B5C0000}"/>
    <cellStyle name="40% - Accent6 3 2 2 5" xfId="19864" xr:uid="{00000000-0005-0000-0000-00007C5C0000}"/>
    <cellStyle name="40% - Accent6 3 2 2 5 2" xfId="29561" xr:uid="{00000000-0005-0000-0000-00007D5C0000}"/>
    <cellStyle name="40% - Accent6 3 2 2 5 2 2" xfId="16816" xr:uid="{00000000-0005-0000-0000-00007E5C0000}"/>
    <cellStyle name="40% - Accent6 3 2 2 5 2 2 2" xfId="22521" xr:uid="{00000000-0005-0000-0000-00007F5C0000}"/>
    <cellStyle name="40% - Accent6 3 2 2 5 2 3" xfId="9984" xr:uid="{00000000-0005-0000-0000-0000805C0000}"/>
    <cellStyle name="40% - Accent6 3 2 2 5 3" xfId="16554" xr:uid="{00000000-0005-0000-0000-0000815C0000}"/>
    <cellStyle name="40% - Accent6 3 2 2 5 3 2" xfId="28438" xr:uid="{00000000-0005-0000-0000-0000825C0000}"/>
    <cellStyle name="40% - Accent6 3 2 2 5 4" xfId="9852" xr:uid="{00000000-0005-0000-0000-0000835C0000}"/>
    <cellStyle name="40% - Accent6 3 2 2 6" xfId="32144" xr:uid="{00000000-0005-0000-0000-0000845C0000}"/>
    <cellStyle name="40% - Accent6 3 2 2 6 2" xfId="3075" xr:uid="{00000000-0005-0000-0000-0000855C0000}"/>
    <cellStyle name="40% - Accent6 3 2 2 6 2 2" xfId="10186" xr:uid="{00000000-0005-0000-0000-0000865C0000}"/>
    <cellStyle name="40% - Accent6 3 2 2 6 3" xfId="4847" xr:uid="{00000000-0005-0000-0000-0000875C0000}"/>
    <cellStyle name="40% - Accent6 3 2 2 7" xfId="30861" xr:uid="{00000000-0005-0000-0000-0000885C0000}"/>
    <cellStyle name="40% - Accent6 3 2 2 7 2" xfId="6468" xr:uid="{00000000-0005-0000-0000-0000895C0000}"/>
    <cellStyle name="40% - Accent6 3 2 2 8" xfId="31711" xr:uid="{00000000-0005-0000-0000-00008A5C0000}"/>
    <cellStyle name="40% - Accent6 3 2 3" xfId="24581" xr:uid="{00000000-0005-0000-0000-00008B5C0000}"/>
    <cellStyle name="40% - Accent6 3 2 3 2" xfId="26876" xr:uid="{00000000-0005-0000-0000-00008C5C0000}"/>
    <cellStyle name="40% - Accent6 3 2 3 2 2" xfId="27007" xr:uid="{00000000-0005-0000-0000-00008D5C0000}"/>
    <cellStyle name="40% - Accent6 3 2 3 2 2 2" xfId="26608" xr:uid="{00000000-0005-0000-0000-00008E5C0000}"/>
    <cellStyle name="40% - Accent6 3 2 3 2 2 2 2" xfId="6672" xr:uid="{00000000-0005-0000-0000-00008F5C0000}"/>
    <cellStyle name="40% - Accent6 3 2 3 2 2 2 2 2" xfId="8621" xr:uid="{00000000-0005-0000-0000-0000905C0000}"/>
    <cellStyle name="40% - Accent6 3 2 3 2 2 2 2 2 2" xfId="4189" xr:uid="{00000000-0005-0000-0000-0000915C0000}"/>
    <cellStyle name="40% - Accent6 3 2 3 2 2 2 2 3" xfId="14229" xr:uid="{00000000-0005-0000-0000-0000925C0000}"/>
    <cellStyle name="40% - Accent6 3 2 3 2 2 2 3" xfId="6693" xr:uid="{00000000-0005-0000-0000-0000935C0000}"/>
    <cellStyle name="40% - Accent6 3 2 3 2 2 2 3 2" xfId="5947" xr:uid="{00000000-0005-0000-0000-0000945C0000}"/>
    <cellStyle name="40% - Accent6 3 2 3 2 2 2 4" xfId="5863" xr:uid="{00000000-0005-0000-0000-0000955C0000}"/>
    <cellStyle name="40% - Accent6 3 2 3 2 2 3" xfId="25945" xr:uid="{00000000-0005-0000-0000-0000965C0000}"/>
    <cellStyle name="40% - Accent6 3 2 3 2 2 3 2" xfId="6950" xr:uid="{00000000-0005-0000-0000-0000975C0000}"/>
    <cellStyle name="40% - Accent6 3 2 3 2 2 3 2 2" xfId="4594" xr:uid="{00000000-0005-0000-0000-0000985C0000}"/>
    <cellStyle name="40% - Accent6 3 2 3 2 2 3 3" xfId="31083" xr:uid="{00000000-0005-0000-0000-0000995C0000}"/>
    <cellStyle name="40% - Accent6 3 2 3 2 2 4" xfId="26618" xr:uid="{00000000-0005-0000-0000-00009A5C0000}"/>
    <cellStyle name="40% - Accent6 3 2 3 2 2 4 2" xfId="26621" xr:uid="{00000000-0005-0000-0000-00009B5C0000}"/>
    <cellStyle name="40% - Accent6 3 2 3 2 2 5" xfId="26628" xr:uid="{00000000-0005-0000-0000-00009C5C0000}"/>
    <cellStyle name="40% - Accent6 3 2 3 2 3" xfId="29941" xr:uid="{00000000-0005-0000-0000-00009D5C0000}"/>
    <cellStyle name="40% - Accent6 3 2 3 2 3 2" xfId="3283" xr:uid="{00000000-0005-0000-0000-00009E5C0000}"/>
    <cellStyle name="40% - Accent6 3 2 3 2 3 2 2" xfId="7104" xr:uid="{00000000-0005-0000-0000-00009F5C0000}"/>
    <cellStyle name="40% - Accent6 3 2 3 2 3 2 2 2" xfId="26631" xr:uid="{00000000-0005-0000-0000-0000A05C0000}"/>
    <cellStyle name="40% - Accent6 3 2 3 2 3 2 3" xfId="26632" xr:uid="{00000000-0005-0000-0000-0000A15C0000}"/>
    <cellStyle name="40% - Accent6 3 2 3 2 3 3" xfId="26637" xr:uid="{00000000-0005-0000-0000-0000A25C0000}"/>
    <cellStyle name="40% - Accent6 3 2 3 2 3 3 2" xfId="20099" xr:uid="{00000000-0005-0000-0000-0000A35C0000}"/>
    <cellStyle name="40% - Accent6 3 2 3 2 3 4" xfId="23258" xr:uid="{00000000-0005-0000-0000-0000A45C0000}"/>
    <cellStyle name="40% - Accent6 3 2 3 2 4" xfId="3234" xr:uid="{00000000-0005-0000-0000-0000A55C0000}"/>
    <cellStyle name="40% - Accent6 3 2 3 2 4 2" xfId="1693" xr:uid="{00000000-0005-0000-0000-0000A65C0000}"/>
    <cellStyle name="40% - Accent6 3 2 3 2 4 2 2" xfId="21233" xr:uid="{00000000-0005-0000-0000-0000A75C0000}"/>
    <cellStyle name="40% - Accent6 3 2 3 2 4 3" xfId="8925" xr:uid="{00000000-0005-0000-0000-0000A85C0000}"/>
    <cellStyle name="40% - Accent6 3 2 3 2 5" xfId="2174" xr:uid="{00000000-0005-0000-0000-0000A95C0000}"/>
    <cellStyle name="40% - Accent6 3 2 3 2 5 2" xfId="1533" xr:uid="{00000000-0005-0000-0000-0000AA5C0000}"/>
    <cellStyle name="40% - Accent6 3 2 3 2 6" xfId="30045" xr:uid="{00000000-0005-0000-0000-0000AB5C0000}"/>
    <cellStyle name="40% - Accent6 3 2 3 3" xfId="28746" xr:uid="{00000000-0005-0000-0000-0000AC5C0000}"/>
    <cellStyle name="40% - Accent6 3 2 3 3 2" xfId="28747" xr:uid="{00000000-0005-0000-0000-0000AD5C0000}"/>
    <cellStyle name="40% - Accent6 3 2 3 3 2 2" xfId="26384" xr:uid="{00000000-0005-0000-0000-0000AE5C0000}"/>
    <cellStyle name="40% - Accent6 3 2 3 3 2 2 2" xfId="7338" xr:uid="{00000000-0005-0000-0000-0000AF5C0000}"/>
    <cellStyle name="40% - Accent6 3 2 3 3 2 2 2 2" xfId="26640" xr:uid="{00000000-0005-0000-0000-0000B05C0000}"/>
    <cellStyle name="40% - Accent6 3 2 3 3 2 2 3" xfId="29082" xr:uid="{00000000-0005-0000-0000-0000B15C0000}"/>
    <cellStyle name="40% - Accent6 3 2 3 3 2 3" xfId="25181" xr:uid="{00000000-0005-0000-0000-0000B25C0000}"/>
    <cellStyle name="40% - Accent6 3 2 3 3 2 3 2" xfId="32367" xr:uid="{00000000-0005-0000-0000-0000B35C0000}"/>
    <cellStyle name="40% - Accent6 3 2 3 3 2 4" xfId="29606" xr:uid="{00000000-0005-0000-0000-0000B45C0000}"/>
    <cellStyle name="40% - Accent6 3 2 3 3 3" xfId="28757" xr:uid="{00000000-0005-0000-0000-0000B55C0000}"/>
    <cellStyle name="40% - Accent6 3 2 3 3 3 2" xfId="25723" xr:uid="{00000000-0005-0000-0000-0000B65C0000}"/>
    <cellStyle name="40% - Accent6 3 2 3 3 3 2 2" xfId="31293" xr:uid="{00000000-0005-0000-0000-0000B75C0000}"/>
    <cellStyle name="40% - Accent6 3 2 3 3 3 3" xfId="26649" xr:uid="{00000000-0005-0000-0000-0000B85C0000}"/>
    <cellStyle name="40% - Accent6 3 2 3 3 4" xfId="30084" xr:uid="{00000000-0005-0000-0000-0000B95C0000}"/>
    <cellStyle name="40% - Accent6 3 2 3 3 4 2" xfId="1737" xr:uid="{00000000-0005-0000-0000-0000BA5C0000}"/>
    <cellStyle name="40% - Accent6 3 2 3 3 5" xfId="30096" xr:uid="{00000000-0005-0000-0000-0000BB5C0000}"/>
    <cellStyle name="40% - Accent6 3 2 3 4" xfId="28781" xr:uid="{00000000-0005-0000-0000-0000BC5C0000}"/>
    <cellStyle name="40% - Accent6 3 2 3 4 2" xfId="26651" xr:uid="{00000000-0005-0000-0000-0000BD5C0000}"/>
    <cellStyle name="40% - Accent6 3 2 3 4 2 2" xfId="956" xr:uid="{00000000-0005-0000-0000-0000BE5C0000}"/>
    <cellStyle name="40% - Accent6 3 2 3 4 2 2 2" xfId="24298" xr:uid="{00000000-0005-0000-0000-0000BF5C0000}"/>
    <cellStyle name="40% - Accent6 3 2 3 4 2 3" xfId="29624" xr:uid="{00000000-0005-0000-0000-0000C05C0000}"/>
    <cellStyle name="40% - Accent6 3 2 3 4 3" xfId="27302" xr:uid="{00000000-0005-0000-0000-0000C15C0000}"/>
    <cellStyle name="40% - Accent6 3 2 3 4 3 2" xfId="30034" xr:uid="{00000000-0005-0000-0000-0000C25C0000}"/>
    <cellStyle name="40% - Accent6 3 2 3 4 4" xfId="3542" xr:uid="{00000000-0005-0000-0000-0000C35C0000}"/>
    <cellStyle name="40% - Accent6 3 2 3 5" xfId="33048" xr:uid="{00000000-0005-0000-0000-0000C45C0000}"/>
    <cellStyle name="40% - Accent6 3 2 3 5 2" xfId="27789" xr:uid="{00000000-0005-0000-0000-0000C55C0000}"/>
    <cellStyle name="40% - Accent6 3 2 3 5 2 2" xfId="27247" xr:uid="{00000000-0005-0000-0000-0000C65C0000}"/>
    <cellStyle name="40% - Accent6 3 2 3 5 3" xfId="29273" xr:uid="{00000000-0005-0000-0000-0000C75C0000}"/>
    <cellStyle name="40% - Accent6 3 2 3 6" xfId="22953" xr:uid="{00000000-0005-0000-0000-0000C85C0000}"/>
    <cellStyle name="40% - Accent6 3 2 3 6 2" xfId="4864" xr:uid="{00000000-0005-0000-0000-0000C95C0000}"/>
    <cellStyle name="40% - Accent6 3 2 3 7" xfId="26654" xr:uid="{00000000-0005-0000-0000-0000CA5C0000}"/>
    <cellStyle name="40% - Accent6 3 2 4" xfId="3739" xr:uid="{00000000-0005-0000-0000-0000CB5C0000}"/>
    <cellStyle name="40% - Accent6 3 2 4 2" xfId="2459" xr:uid="{00000000-0005-0000-0000-0000CC5C0000}"/>
    <cellStyle name="40% - Accent6 3 2 4 2 2" xfId="26657" xr:uid="{00000000-0005-0000-0000-0000CD5C0000}"/>
    <cellStyle name="40% - Accent6 3 2 4 2 2 2" xfId="26659" xr:uid="{00000000-0005-0000-0000-0000CE5C0000}"/>
    <cellStyle name="40% - Accent6 3 2 4 2 2 2 2" xfId="27743" xr:uid="{00000000-0005-0000-0000-0000CF5C0000}"/>
    <cellStyle name="40% - Accent6 3 2 4 2 2 2 2 2" xfId="8838" xr:uid="{00000000-0005-0000-0000-0000D05C0000}"/>
    <cellStyle name="40% - Accent6 3 2 4 2 2 2 3" xfId="24359" xr:uid="{00000000-0005-0000-0000-0000D15C0000}"/>
    <cellStyle name="40% - Accent6 3 2 4 2 2 3" xfId="26663" xr:uid="{00000000-0005-0000-0000-0000D25C0000}"/>
    <cellStyle name="40% - Accent6 3 2 4 2 2 3 2" xfId="22558" xr:uid="{00000000-0005-0000-0000-0000D35C0000}"/>
    <cellStyle name="40% - Accent6 3 2 4 2 2 4" xfId="11920" xr:uid="{00000000-0005-0000-0000-0000D45C0000}"/>
    <cellStyle name="40% - Accent6 3 2 4 2 3" xfId="3440" xr:uid="{00000000-0005-0000-0000-0000D55C0000}"/>
    <cellStyle name="40% - Accent6 3 2 4 2 3 2" xfId="26668" xr:uid="{00000000-0005-0000-0000-0000D65C0000}"/>
    <cellStyle name="40% - Accent6 3 2 4 2 3 2 2" xfId="24385" xr:uid="{00000000-0005-0000-0000-0000D75C0000}"/>
    <cellStyle name="40% - Accent6 3 2 4 2 3 3" xfId="26672" xr:uid="{00000000-0005-0000-0000-0000D85C0000}"/>
    <cellStyle name="40% - Accent6 3 2 4 2 4" xfId="24059" xr:uid="{00000000-0005-0000-0000-0000D95C0000}"/>
    <cellStyle name="40% - Accent6 3 2 4 2 4 2" xfId="3818" xr:uid="{00000000-0005-0000-0000-0000DA5C0000}"/>
    <cellStyle name="40% - Accent6 3 2 4 2 5" xfId="14782" xr:uid="{00000000-0005-0000-0000-0000DB5C0000}"/>
    <cellStyle name="40% - Accent6 3 2 4 3" xfId="4344" xr:uid="{00000000-0005-0000-0000-0000DC5C0000}"/>
    <cellStyle name="40% - Accent6 3 2 4 3 2" xfId="733" xr:uid="{00000000-0005-0000-0000-0000DD5C0000}"/>
    <cellStyle name="40% - Accent6 3 2 4 3 2 2" xfId="2831" xr:uid="{00000000-0005-0000-0000-0000DE5C0000}"/>
    <cellStyle name="40% - Accent6 3 2 4 3 2 2 2" xfId="24456" xr:uid="{00000000-0005-0000-0000-0000DF5C0000}"/>
    <cellStyle name="40% - Accent6 3 2 4 3 2 3" xfId="7769" xr:uid="{00000000-0005-0000-0000-0000E05C0000}"/>
    <cellStyle name="40% - Accent6 3 2 4 3 3" xfId="6678" xr:uid="{00000000-0005-0000-0000-0000E15C0000}"/>
    <cellStyle name="40% - Accent6 3 2 4 3 3 2" xfId="1590" xr:uid="{00000000-0005-0000-0000-0000E25C0000}"/>
    <cellStyle name="40% - Accent6 3 2 4 3 4" xfId="20242" xr:uid="{00000000-0005-0000-0000-0000E35C0000}"/>
    <cellStyle name="40% - Accent6 3 2 4 4" xfId="3200" xr:uid="{00000000-0005-0000-0000-0000E45C0000}"/>
    <cellStyle name="40% - Accent6 3 2 4 4 2" xfId="851" xr:uid="{00000000-0005-0000-0000-0000E55C0000}"/>
    <cellStyle name="40% - Accent6 3 2 4 4 2 2" xfId="437" xr:uid="{00000000-0005-0000-0000-0000E65C0000}"/>
    <cellStyle name="40% - Accent6 3 2 4 4 3" xfId="2366" xr:uid="{00000000-0005-0000-0000-0000E75C0000}"/>
    <cellStyle name="40% - Accent6 3 2 4 5" xfId="18242" xr:uid="{00000000-0005-0000-0000-0000E85C0000}"/>
    <cellStyle name="40% - Accent6 3 2 4 5 2" xfId="10841" xr:uid="{00000000-0005-0000-0000-0000E95C0000}"/>
    <cellStyle name="40% - Accent6 3 2 4 6" xfId="18248" xr:uid="{00000000-0005-0000-0000-0000EA5C0000}"/>
    <cellStyle name="40% - Accent6 3 2 5" xfId="2271" xr:uid="{00000000-0005-0000-0000-0000EB5C0000}"/>
    <cellStyle name="40% - Accent6 3 2 5 2" xfId="18068" xr:uid="{00000000-0005-0000-0000-0000EC5C0000}"/>
    <cellStyle name="40% - Accent6 3 2 5 2 2" xfId="1062" xr:uid="{00000000-0005-0000-0000-0000ED5C0000}"/>
    <cellStyle name="40% - Accent6 3 2 5 2 2 2" xfId="6307" xr:uid="{00000000-0005-0000-0000-0000EE5C0000}"/>
    <cellStyle name="40% - Accent6 3 2 5 2 2 2 2" xfId="13406" xr:uid="{00000000-0005-0000-0000-0000EF5C0000}"/>
    <cellStyle name="40% - Accent6 3 2 5 2 2 3" xfId="572" xr:uid="{00000000-0005-0000-0000-0000F05C0000}"/>
    <cellStyle name="40% - Accent6 3 2 5 2 3" xfId="4432" xr:uid="{00000000-0005-0000-0000-0000F15C0000}"/>
    <cellStyle name="40% - Accent6 3 2 5 2 3 2" xfId="1002" xr:uid="{00000000-0005-0000-0000-0000F25C0000}"/>
    <cellStyle name="40% - Accent6 3 2 5 2 4" xfId="24577" xr:uid="{00000000-0005-0000-0000-0000F35C0000}"/>
    <cellStyle name="40% - Accent6 3 2 5 3" xfId="18069" xr:uid="{00000000-0005-0000-0000-0000F45C0000}"/>
    <cellStyle name="40% - Accent6 3 2 5 3 2" xfId="15230" xr:uid="{00000000-0005-0000-0000-0000F55C0000}"/>
    <cellStyle name="40% - Accent6 3 2 5 3 2 2" xfId="8603" xr:uid="{00000000-0005-0000-0000-0000F65C0000}"/>
    <cellStyle name="40% - Accent6 3 2 5 3 3" xfId="3456" xr:uid="{00000000-0005-0000-0000-0000F75C0000}"/>
    <cellStyle name="40% - Accent6 3 2 5 4" xfId="28839" xr:uid="{00000000-0005-0000-0000-0000F85C0000}"/>
    <cellStyle name="40% - Accent6 3 2 5 4 2" xfId="602" xr:uid="{00000000-0005-0000-0000-0000F95C0000}"/>
    <cellStyle name="40% - Accent6 3 2 5 5" xfId="32640" xr:uid="{00000000-0005-0000-0000-0000FA5C0000}"/>
    <cellStyle name="40% - Accent6 3 2 6" xfId="4220" xr:uid="{00000000-0005-0000-0000-0000FB5C0000}"/>
    <cellStyle name="40% - Accent6 3 2 6 2" xfId="18074" xr:uid="{00000000-0005-0000-0000-0000FC5C0000}"/>
    <cellStyle name="40% - Accent6 3 2 6 2 2" xfId="19995" xr:uid="{00000000-0005-0000-0000-0000FD5C0000}"/>
    <cellStyle name="40% - Accent6 3 2 6 2 2 2" xfId="6019" xr:uid="{00000000-0005-0000-0000-0000FE5C0000}"/>
    <cellStyle name="40% - Accent6 3 2 6 2 3" xfId="8458" xr:uid="{00000000-0005-0000-0000-0000FF5C0000}"/>
    <cellStyle name="40% - Accent6 3 2 6 3" xfId="26679" xr:uid="{00000000-0005-0000-0000-0000005D0000}"/>
    <cellStyle name="40% - Accent6 3 2 6 3 2" xfId="6592" xr:uid="{00000000-0005-0000-0000-0000015D0000}"/>
    <cellStyle name="40% - Accent6 3 2 6 4" xfId="26682" xr:uid="{00000000-0005-0000-0000-0000025D0000}"/>
    <cellStyle name="40% - Accent6 3 2 7" xfId="1832" xr:uid="{00000000-0005-0000-0000-0000035D0000}"/>
    <cellStyle name="40% - Accent6 3 2 7 2" xfId="19353" xr:uid="{00000000-0005-0000-0000-0000045D0000}"/>
    <cellStyle name="40% - Accent6 3 2 7 2 2" xfId="14464" xr:uid="{00000000-0005-0000-0000-0000055D0000}"/>
    <cellStyle name="40% - Accent6 3 2 7 3" xfId="15848" xr:uid="{00000000-0005-0000-0000-0000065D0000}"/>
    <cellStyle name="40% - Accent6 3 2 8" xfId="1033" xr:uid="{00000000-0005-0000-0000-0000075D0000}"/>
    <cellStyle name="40% - Accent6 3 2 8 2" xfId="15853" xr:uid="{00000000-0005-0000-0000-0000085D0000}"/>
    <cellStyle name="40% - Accent6 3 2 9" xfId="15859" xr:uid="{00000000-0005-0000-0000-0000095D0000}"/>
    <cellStyle name="40% - Accent6 3 3" xfId="19984" xr:uid="{00000000-0005-0000-0000-00000A5D0000}"/>
    <cellStyle name="40% - Accent6 3 3 2" xfId="24583" xr:uid="{00000000-0005-0000-0000-00000B5D0000}"/>
    <cellStyle name="40% - Accent6 3 3 2 2" xfId="24587" xr:uid="{00000000-0005-0000-0000-00000C5D0000}"/>
    <cellStyle name="40% - Accent6 3 3 2 2 2" xfId="27958" xr:uid="{00000000-0005-0000-0000-00000D5D0000}"/>
    <cellStyle name="40% - Accent6 3 3 2 2 2 2" xfId="10194" xr:uid="{00000000-0005-0000-0000-00000E5D0000}"/>
    <cellStyle name="40% - Accent6 3 3 2 2 2 2 2" xfId="26689" xr:uid="{00000000-0005-0000-0000-00000F5D0000}"/>
    <cellStyle name="40% - Accent6 3 3 2 2 2 2 2 2" xfId="20878" xr:uid="{00000000-0005-0000-0000-0000105D0000}"/>
    <cellStyle name="40% - Accent6 3 3 2 2 2 2 2 2 2" xfId="21086" xr:uid="{00000000-0005-0000-0000-0000115D0000}"/>
    <cellStyle name="40% - Accent6 3 3 2 2 2 2 2 3" xfId="27061" xr:uid="{00000000-0005-0000-0000-0000125D0000}"/>
    <cellStyle name="40% - Accent6 3 3 2 2 2 2 3" xfId="27530" xr:uid="{00000000-0005-0000-0000-0000135D0000}"/>
    <cellStyle name="40% - Accent6 3 3 2 2 2 2 3 2" xfId="20834" xr:uid="{00000000-0005-0000-0000-0000145D0000}"/>
    <cellStyle name="40% - Accent6 3 3 2 2 2 2 4" xfId="26693" xr:uid="{00000000-0005-0000-0000-0000155D0000}"/>
    <cellStyle name="40% - Accent6 3 3 2 2 2 3" xfId="10202" xr:uid="{00000000-0005-0000-0000-0000165D0000}"/>
    <cellStyle name="40% - Accent6 3 3 2 2 2 3 2" xfId="26694" xr:uid="{00000000-0005-0000-0000-0000175D0000}"/>
    <cellStyle name="40% - Accent6 3 3 2 2 2 3 2 2" xfId="28668" xr:uid="{00000000-0005-0000-0000-0000185D0000}"/>
    <cellStyle name="40% - Accent6 3 3 2 2 2 3 3" xfId="27678" xr:uid="{00000000-0005-0000-0000-0000195D0000}"/>
    <cellStyle name="40% - Accent6 3 3 2 2 2 4" xfId="20814" xr:uid="{00000000-0005-0000-0000-00001A5D0000}"/>
    <cellStyle name="40% - Accent6 3 3 2 2 2 4 2" xfId="20418" xr:uid="{00000000-0005-0000-0000-00001B5D0000}"/>
    <cellStyle name="40% - Accent6 3 3 2 2 2 5" xfId="880" xr:uid="{00000000-0005-0000-0000-00001C5D0000}"/>
    <cellStyle name="40% - Accent6 3 3 2 2 3" xfId="26695" xr:uid="{00000000-0005-0000-0000-00001D5D0000}"/>
    <cellStyle name="40% - Accent6 3 3 2 2 3 2" xfId="10207" xr:uid="{00000000-0005-0000-0000-00001E5D0000}"/>
    <cellStyle name="40% - Accent6 3 3 2 2 3 2 2" xfId="10794" xr:uid="{00000000-0005-0000-0000-00001F5D0000}"/>
    <cellStyle name="40% - Accent6 3 3 2 2 3 2 2 2" xfId="3408" xr:uid="{00000000-0005-0000-0000-0000205D0000}"/>
    <cellStyle name="40% - Accent6 3 3 2 2 3 2 3" xfId="26702" xr:uid="{00000000-0005-0000-0000-0000215D0000}"/>
    <cellStyle name="40% - Accent6 3 3 2 2 3 3" xfId="32069" xr:uid="{00000000-0005-0000-0000-0000225D0000}"/>
    <cellStyle name="40% - Accent6 3 3 2 2 3 3 2" xfId="27488" xr:uid="{00000000-0005-0000-0000-0000235D0000}"/>
    <cellStyle name="40% - Accent6 3 3 2 2 3 4" xfId="26703" xr:uid="{00000000-0005-0000-0000-0000245D0000}"/>
    <cellStyle name="40% - Accent6 3 3 2 2 4" xfId="3087" xr:uid="{00000000-0005-0000-0000-0000255D0000}"/>
    <cellStyle name="40% - Accent6 3 3 2 2 4 2" xfId="24683" xr:uid="{00000000-0005-0000-0000-0000265D0000}"/>
    <cellStyle name="40% - Accent6 3 3 2 2 4 2 2" xfId="28409" xr:uid="{00000000-0005-0000-0000-0000275D0000}"/>
    <cellStyle name="40% - Accent6 3 3 2 2 4 3" xfId="10340" xr:uid="{00000000-0005-0000-0000-0000285D0000}"/>
    <cellStyle name="40% - Accent6 3 3 2 2 5" xfId="2920" xr:uid="{00000000-0005-0000-0000-0000295D0000}"/>
    <cellStyle name="40% - Accent6 3 3 2 2 5 2" xfId="10347" xr:uid="{00000000-0005-0000-0000-00002A5D0000}"/>
    <cellStyle name="40% - Accent6 3 3 2 2 6" xfId="10349" xr:uid="{00000000-0005-0000-0000-00002B5D0000}"/>
    <cellStyle name="40% - Accent6 3 3 2 3" xfId="27456" xr:uid="{00000000-0005-0000-0000-00002C5D0000}"/>
    <cellStyle name="40% - Accent6 3 3 2 3 2" xfId="17051" xr:uid="{00000000-0005-0000-0000-00002D5D0000}"/>
    <cellStyle name="40% - Accent6 3 3 2 3 2 2" xfId="30860" xr:uid="{00000000-0005-0000-0000-00002E5D0000}"/>
    <cellStyle name="40% - Accent6 3 3 2 3 2 2 2" xfId="28858" xr:uid="{00000000-0005-0000-0000-00002F5D0000}"/>
    <cellStyle name="40% - Accent6 3 3 2 3 2 2 2 2" xfId="16895" xr:uid="{00000000-0005-0000-0000-0000305D0000}"/>
    <cellStyle name="40% - Accent6 3 3 2 3 2 2 3" xfId="24713" xr:uid="{00000000-0005-0000-0000-0000315D0000}"/>
    <cellStyle name="40% - Accent6 3 3 2 3 2 3" xfId="15110" xr:uid="{00000000-0005-0000-0000-0000325D0000}"/>
    <cellStyle name="40% - Accent6 3 3 2 3 2 3 2" xfId="26706" xr:uid="{00000000-0005-0000-0000-0000335D0000}"/>
    <cellStyle name="40% - Accent6 3 3 2 3 2 4" xfId="15113" xr:uid="{00000000-0005-0000-0000-0000345D0000}"/>
    <cellStyle name="40% - Accent6 3 3 2 3 3" xfId="15115" xr:uid="{00000000-0005-0000-0000-0000355D0000}"/>
    <cellStyle name="40% - Accent6 3 3 2 3 3 2" xfId="15126" xr:uid="{00000000-0005-0000-0000-0000365D0000}"/>
    <cellStyle name="40% - Accent6 3 3 2 3 3 2 2" xfId="29156" xr:uid="{00000000-0005-0000-0000-0000375D0000}"/>
    <cellStyle name="40% - Accent6 3 3 2 3 3 3" xfId="15128" xr:uid="{00000000-0005-0000-0000-0000385D0000}"/>
    <cellStyle name="40% - Accent6 3 3 2 3 4" xfId="5811" xr:uid="{00000000-0005-0000-0000-0000395D0000}"/>
    <cellStyle name="40% - Accent6 3 3 2 3 4 2" xfId="10355" xr:uid="{00000000-0005-0000-0000-00003A5D0000}"/>
    <cellStyle name="40% - Accent6 3 3 2 3 5" xfId="11235" xr:uid="{00000000-0005-0000-0000-00003B5D0000}"/>
    <cellStyle name="40% - Accent6 3 3 2 4" xfId="26699" xr:uid="{00000000-0005-0000-0000-00003C5D0000}"/>
    <cellStyle name="40% - Accent6 3 3 2 4 2" xfId="17059" xr:uid="{00000000-0005-0000-0000-00003D5D0000}"/>
    <cellStyle name="40% - Accent6 3 3 2 4 2 2" xfId="28" xr:uid="{00000000-0005-0000-0000-00003E5D0000}"/>
    <cellStyle name="40% - Accent6 3 3 2 4 2 2 2" xfId="9005" xr:uid="{00000000-0005-0000-0000-00003F5D0000}"/>
    <cellStyle name="40% - Accent6 3 3 2 4 2 3" xfId="15179" xr:uid="{00000000-0005-0000-0000-0000405D0000}"/>
    <cellStyle name="40% - Accent6 3 3 2 4 3" xfId="15181" xr:uid="{00000000-0005-0000-0000-0000415D0000}"/>
    <cellStyle name="40% - Accent6 3 3 2 4 3 2" xfId="15183" xr:uid="{00000000-0005-0000-0000-0000425D0000}"/>
    <cellStyle name="40% - Accent6 3 3 2 4 4" xfId="10360" xr:uid="{00000000-0005-0000-0000-0000435D0000}"/>
    <cellStyle name="40% - Accent6 3 3 2 5" xfId="26813" xr:uid="{00000000-0005-0000-0000-0000445D0000}"/>
    <cellStyle name="40% - Accent6 3 3 2 5 2" xfId="15199" xr:uid="{00000000-0005-0000-0000-0000455D0000}"/>
    <cellStyle name="40% - Accent6 3 3 2 5 2 2" xfId="10415" xr:uid="{00000000-0005-0000-0000-0000465D0000}"/>
    <cellStyle name="40% - Accent6 3 3 2 5 3" xfId="15201" xr:uid="{00000000-0005-0000-0000-0000475D0000}"/>
    <cellStyle name="40% - Accent6 3 3 2 6" xfId="26714" xr:uid="{00000000-0005-0000-0000-0000485D0000}"/>
    <cellStyle name="40% - Accent6 3 3 2 6 2" xfId="23012" xr:uid="{00000000-0005-0000-0000-0000495D0000}"/>
    <cellStyle name="40% - Accent6 3 3 2 7" xfId="26726" xr:uid="{00000000-0005-0000-0000-00004A5D0000}"/>
    <cellStyle name="40% - Accent6 3 3 3" xfId="24591" xr:uid="{00000000-0005-0000-0000-00004B5D0000}"/>
    <cellStyle name="40% - Accent6 3 3 3 2" xfId="2296" xr:uid="{00000000-0005-0000-0000-00004C5D0000}"/>
    <cellStyle name="40% - Accent6 3 3 3 2 2" xfId="14375" xr:uid="{00000000-0005-0000-0000-00004D5D0000}"/>
    <cellStyle name="40% - Accent6 3 3 3 2 2 2" xfId="13311" xr:uid="{00000000-0005-0000-0000-00004E5D0000}"/>
    <cellStyle name="40% - Accent6 3 3 3 2 2 2 2" xfId="159" xr:uid="{00000000-0005-0000-0000-00004F5D0000}"/>
    <cellStyle name="40% - Accent6 3 3 3 2 2 2 2 2" xfId="23548" xr:uid="{00000000-0005-0000-0000-0000505D0000}"/>
    <cellStyle name="40% - Accent6 3 3 3 2 2 2 3" xfId="1360" xr:uid="{00000000-0005-0000-0000-0000515D0000}"/>
    <cellStyle name="40% - Accent6 3 3 3 2 2 3" xfId="26731" xr:uid="{00000000-0005-0000-0000-0000525D0000}"/>
    <cellStyle name="40% - Accent6 3 3 3 2 2 3 2" xfId="9259" xr:uid="{00000000-0005-0000-0000-0000535D0000}"/>
    <cellStyle name="40% - Accent6 3 3 3 2 2 4" xfId="28274" xr:uid="{00000000-0005-0000-0000-0000545D0000}"/>
    <cellStyle name="40% - Accent6 3 3 3 2 3" xfId="14386" xr:uid="{00000000-0005-0000-0000-0000555D0000}"/>
    <cellStyle name="40% - Accent6 3 3 3 2 3 2" xfId="26735" xr:uid="{00000000-0005-0000-0000-0000565D0000}"/>
    <cellStyle name="40% - Accent6 3 3 3 2 3 2 2" xfId="20440" xr:uid="{00000000-0005-0000-0000-0000575D0000}"/>
    <cellStyle name="40% - Accent6 3 3 3 2 3 3" xfId="26738" xr:uid="{00000000-0005-0000-0000-0000585D0000}"/>
    <cellStyle name="40% - Accent6 3 3 3 2 4" xfId="32816" xr:uid="{00000000-0005-0000-0000-0000595D0000}"/>
    <cellStyle name="40% - Accent6 3 3 3 2 4 2" xfId="1868" xr:uid="{00000000-0005-0000-0000-00005A5D0000}"/>
    <cellStyle name="40% - Accent6 3 3 3 2 5" xfId="13599" xr:uid="{00000000-0005-0000-0000-00005B5D0000}"/>
    <cellStyle name="40% - Accent6 3 3 3 3" xfId="11749" xr:uid="{00000000-0005-0000-0000-00005C5D0000}"/>
    <cellStyle name="40% - Accent6 3 3 3 3 2" xfId="14404" xr:uid="{00000000-0005-0000-0000-00005D5D0000}"/>
    <cellStyle name="40% - Accent6 3 3 3 3 2 2" xfId="15245" xr:uid="{00000000-0005-0000-0000-00005E5D0000}"/>
    <cellStyle name="40% - Accent6 3 3 3 3 2 2 2" xfId="9656" xr:uid="{00000000-0005-0000-0000-00005F5D0000}"/>
    <cellStyle name="40% - Accent6 3 3 3 3 2 3" xfId="15247" xr:uid="{00000000-0005-0000-0000-0000605D0000}"/>
    <cellStyle name="40% - Accent6 3 3 3 3 3" xfId="14648" xr:uid="{00000000-0005-0000-0000-0000615D0000}"/>
    <cellStyle name="40% - Accent6 3 3 3 3 3 2" xfId="25221" xr:uid="{00000000-0005-0000-0000-0000625D0000}"/>
    <cellStyle name="40% - Accent6 3 3 3 3 4" xfId="13608" xr:uid="{00000000-0005-0000-0000-0000635D0000}"/>
    <cellStyle name="40% - Accent6 3 3 3 4" xfId="6881" xr:uid="{00000000-0005-0000-0000-0000645D0000}"/>
    <cellStyle name="40% - Accent6 3 3 3 4 2" xfId="14657" xr:uid="{00000000-0005-0000-0000-0000655D0000}"/>
    <cellStyle name="40% - Accent6 3 3 3 4 2 2" xfId="15286" xr:uid="{00000000-0005-0000-0000-0000665D0000}"/>
    <cellStyle name="40% - Accent6 3 3 3 4 3" xfId="8156" xr:uid="{00000000-0005-0000-0000-0000675D0000}"/>
    <cellStyle name="40% - Accent6 3 3 3 5" xfId="14495" xr:uid="{00000000-0005-0000-0000-0000685D0000}"/>
    <cellStyle name="40% - Accent6 3 3 3 5 2" xfId="14415" xr:uid="{00000000-0005-0000-0000-0000695D0000}"/>
    <cellStyle name="40% - Accent6 3 3 3 6" xfId="14423" xr:uid="{00000000-0005-0000-0000-00006A5D0000}"/>
    <cellStyle name="40% - Accent6 3 3 4" xfId="3746" xr:uid="{00000000-0005-0000-0000-00006B5D0000}"/>
    <cellStyle name="40% - Accent6 3 3 4 2" xfId="6501" xr:uid="{00000000-0005-0000-0000-00006C5D0000}"/>
    <cellStyle name="40% - Accent6 3 3 4 2 2" xfId="5446" xr:uid="{00000000-0005-0000-0000-00006D5D0000}"/>
    <cellStyle name="40% - Accent6 3 3 4 2 2 2" xfId="27107" xr:uid="{00000000-0005-0000-0000-00006E5D0000}"/>
    <cellStyle name="40% - Accent6 3 3 4 2 2 2 2" xfId="21187" xr:uid="{00000000-0005-0000-0000-00006F5D0000}"/>
    <cellStyle name="40% - Accent6 3 3 4 2 2 3" xfId="26742" xr:uid="{00000000-0005-0000-0000-0000705D0000}"/>
    <cellStyle name="40% - Accent6 3 3 4 2 3" xfId="3481" xr:uid="{00000000-0005-0000-0000-0000715D0000}"/>
    <cellStyle name="40% - Accent6 3 3 4 2 3 2" xfId="26747" xr:uid="{00000000-0005-0000-0000-0000725D0000}"/>
    <cellStyle name="40% - Accent6 3 3 4 2 4" xfId="28803" xr:uid="{00000000-0005-0000-0000-0000735D0000}"/>
    <cellStyle name="40% - Accent6 3 3 4 3" xfId="3478" xr:uid="{00000000-0005-0000-0000-0000745D0000}"/>
    <cellStyle name="40% - Accent6 3 3 4 3 2" xfId="4838" xr:uid="{00000000-0005-0000-0000-0000755D0000}"/>
    <cellStyle name="40% - Accent6 3 3 4 3 2 2" xfId="3604" xr:uid="{00000000-0005-0000-0000-0000765D0000}"/>
    <cellStyle name="40% - Accent6 3 3 4 3 3" xfId="3500" xr:uid="{00000000-0005-0000-0000-0000775D0000}"/>
    <cellStyle name="40% - Accent6 3 3 4 4" xfId="4083" xr:uid="{00000000-0005-0000-0000-0000785D0000}"/>
    <cellStyle name="40% - Accent6 3 3 4 4 2" xfId="2591" xr:uid="{00000000-0005-0000-0000-0000795D0000}"/>
    <cellStyle name="40% - Accent6 3 3 4 5" xfId="14500" xr:uid="{00000000-0005-0000-0000-00007A5D0000}"/>
    <cellStyle name="40% - Accent6 3 3 5" xfId="3748" xr:uid="{00000000-0005-0000-0000-00007B5D0000}"/>
    <cellStyle name="40% - Accent6 3 3 5 2" xfId="16051" xr:uid="{00000000-0005-0000-0000-00007C5D0000}"/>
    <cellStyle name="40% - Accent6 3 3 5 2 2" xfId="10846" xr:uid="{00000000-0005-0000-0000-00007D5D0000}"/>
    <cellStyle name="40% - Accent6 3 3 5 2 2 2" xfId="591" xr:uid="{00000000-0005-0000-0000-00007E5D0000}"/>
    <cellStyle name="40% - Accent6 3 3 5 2 3" xfId="6555" xr:uid="{00000000-0005-0000-0000-00007F5D0000}"/>
    <cellStyle name="40% - Accent6 3 3 5 3" xfId="25644" xr:uid="{00000000-0005-0000-0000-0000805D0000}"/>
    <cellStyle name="40% - Accent6 3 3 5 3 2" xfId="6620" xr:uid="{00000000-0005-0000-0000-0000815D0000}"/>
    <cellStyle name="40% - Accent6 3 3 5 4" xfId="24181" xr:uid="{00000000-0005-0000-0000-0000825D0000}"/>
    <cellStyle name="40% - Accent6 3 3 6" xfId="3760" xr:uid="{00000000-0005-0000-0000-0000835D0000}"/>
    <cellStyle name="40% - Accent6 3 3 6 2" xfId="26713" xr:uid="{00000000-0005-0000-0000-0000845D0000}"/>
    <cellStyle name="40% - Accent6 3 3 6 2 2" xfId="6174" xr:uid="{00000000-0005-0000-0000-0000855D0000}"/>
    <cellStyle name="40% - Accent6 3 3 6 3" xfId="26725" xr:uid="{00000000-0005-0000-0000-0000865D0000}"/>
    <cellStyle name="40% - Accent6 3 3 7" xfId="1581" xr:uid="{00000000-0005-0000-0000-0000875D0000}"/>
    <cellStyle name="40% - Accent6 3 3 7 2" xfId="14422" xr:uid="{00000000-0005-0000-0000-0000885D0000}"/>
    <cellStyle name="40% - Accent6 3 3 8" xfId="14400" xr:uid="{00000000-0005-0000-0000-0000895D0000}"/>
    <cellStyle name="40% - Accent6 3 4" xfId="23954" xr:uid="{00000000-0005-0000-0000-00008A5D0000}"/>
    <cellStyle name="40% - Accent6 3 4 2" xfId="25647" xr:uid="{00000000-0005-0000-0000-00008B5D0000}"/>
    <cellStyle name="40% - Accent6 3 4 2 2" xfId="26754" xr:uid="{00000000-0005-0000-0000-00008C5D0000}"/>
    <cellStyle name="40% - Accent6 3 4 2 2 2" xfId="23051" xr:uid="{00000000-0005-0000-0000-00008D5D0000}"/>
    <cellStyle name="40% - Accent6 3 4 2 2 2 2" xfId="23054" xr:uid="{00000000-0005-0000-0000-00008E5D0000}"/>
    <cellStyle name="40% - Accent6 3 4 2 2 2 2 2" xfId="3062" xr:uid="{00000000-0005-0000-0000-00008F5D0000}"/>
    <cellStyle name="40% - Accent6 3 4 2 2 2 2 2 2" xfId="14747" xr:uid="{00000000-0005-0000-0000-0000905D0000}"/>
    <cellStyle name="40% - Accent6 3 4 2 2 2 2 3" xfId="26761" xr:uid="{00000000-0005-0000-0000-0000915D0000}"/>
    <cellStyle name="40% - Accent6 3 4 2 2 2 3" xfId="23412" xr:uid="{00000000-0005-0000-0000-0000925D0000}"/>
    <cellStyle name="40% - Accent6 3 4 2 2 2 3 2" xfId="24847" xr:uid="{00000000-0005-0000-0000-0000935D0000}"/>
    <cellStyle name="40% - Accent6 3 4 2 2 2 4" xfId="21545" xr:uid="{00000000-0005-0000-0000-0000945D0000}"/>
    <cellStyle name="40% - Accent6 3 4 2 2 3" xfId="20088" xr:uid="{00000000-0005-0000-0000-0000955D0000}"/>
    <cellStyle name="40% - Accent6 3 4 2 2 3 2" xfId="19221" xr:uid="{00000000-0005-0000-0000-0000965D0000}"/>
    <cellStyle name="40% - Accent6 3 4 2 2 3 2 2" xfId="26257" xr:uid="{00000000-0005-0000-0000-0000975D0000}"/>
    <cellStyle name="40% - Accent6 3 4 2 2 3 3" xfId="21552" xr:uid="{00000000-0005-0000-0000-0000985D0000}"/>
    <cellStyle name="40% - Accent6 3 4 2 2 4" xfId="14097" xr:uid="{00000000-0005-0000-0000-0000995D0000}"/>
    <cellStyle name="40% - Accent6 3 4 2 2 4 2" xfId="23863" xr:uid="{00000000-0005-0000-0000-00009A5D0000}"/>
    <cellStyle name="40% - Accent6 3 4 2 2 5" xfId="25355" xr:uid="{00000000-0005-0000-0000-00009B5D0000}"/>
    <cellStyle name="40% - Accent6 3 4 2 3" xfId="23057" xr:uid="{00000000-0005-0000-0000-00009C5D0000}"/>
    <cellStyle name="40% - Accent6 3 4 2 3 2" xfId="23060" xr:uid="{00000000-0005-0000-0000-00009D5D0000}"/>
    <cellStyle name="40% - Accent6 3 4 2 3 2 2" xfId="23067" xr:uid="{00000000-0005-0000-0000-00009E5D0000}"/>
    <cellStyle name="40% - Accent6 3 4 2 3 2 2 2" xfId="32351" xr:uid="{00000000-0005-0000-0000-00009F5D0000}"/>
    <cellStyle name="40% - Accent6 3 4 2 3 2 3" xfId="21569" xr:uid="{00000000-0005-0000-0000-0000A05D0000}"/>
    <cellStyle name="40% - Accent6 3 4 2 3 3" xfId="23075" xr:uid="{00000000-0005-0000-0000-0000A15D0000}"/>
    <cellStyle name="40% - Accent6 3 4 2 3 3 2" xfId="27216" xr:uid="{00000000-0005-0000-0000-0000A25D0000}"/>
    <cellStyle name="40% - Accent6 3 4 2 3 4" xfId="17032" xr:uid="{00000000-0005-0000-0000-0000A35D0000}"/>
    <cellStyle name="40% - Accent6 3 4 2 4" xfId="23078" xr:uid="{00000000-0005-0000-0000-0000A45D0000}"/>
    <cellStyle name="40% - Accent6 3 4 2 4 2" xfId="23083" xr:uid="{00000000-0005-0000-0000-0000A55D0000}"/>
    <cellStyle name="40% - Accent6 3 4 2 4 2 2" xfId="27637" xr:uid="{00000000-0005-0000-0000-0000A65D0000}"/>
    <cellStyle name="40% - Accent6 3 4 2 4 3" xfId="29826" xr:uid="{00000000-0005-0000-0000-0000A75D0000}"/>
    <cellStyle name="40% - Accent6 3 4 2 5" xfId="23084" xr:uid="{00000000-0005-0000-0000-0000A85D0000}"/>
    <cellStyle name="40% - Accent6 3 4 2 5 2" xfId="25330" xr:uid="{00000000-0005-0000-0000-0000A95D0000}"/>
    <cellStyle name="40% - Accent6 3 4 2 6" xfId="15740" xr:uid="{00000000-0005-0000-0000-0000AA5D0000}"/>
    <cellStyle name="40% - Accent6 3 4 3" xfId="33145" xr:uid="{00000000-0005-0000-0000-0000AB5D0000}"/>
    <cellStyle name="40% - Accent6 3 4 3 2" xfId="11386" xr:uid="{00000000-0005-0000-0000-0000AC5D0000}"/>
    <cellStyle name="40% - Accent6 3 4 3 2 2" xfId="27509" xr:uid="{00000000-0005-0000-0000-0000AD5D0000}"/>
    <cellStyle name="40% - Accent6 3 4 3 2 2 2" xfId="23203" xr:uid="{00000000-0005-0000-0000-0000AE5D0000}"/>
    <cellStyle name="40% - Accent6 3 4 3 2 2 2 2" xfId="11189" xr:uid="{00000000-0005-0000-0000-0000AF5D0000}"/>
    <cellStyle name="40% - Accent6 3 4 3 2 2 3" xfId="26776" xr:uid="{00000000-0005-0000-0000-0000B05D0000}"/>
    <cellStyle name="40% - Accent6 3 4 3 2 3" xfId="14567" xr:uid="{00000000-0005-0000-0000-0000B15D0000}"/>
    <cellStyle name="40% - Accent6 3 4 3 2 3 2" xfId="25729" xr:uid="{00000000-0005-0000-0000-0000B25D0000}"/>
    <cellStyle name="40% - Accent6 3 4 3 2 4" xfId="27676" xr:uid="{00000000-0005-0000-0000-0000B35D0000}"/>
    <cellStyle name="40% - Accent6 3 4 3 3" xfId="23211" xr:uid="{00000000-0005-0000-0000-0000B45D0000}"/>
    <cellStyle name="40% - Accent6 3 4 3 3 2" xfId="14583" xr:uid="{00000000-0005-0000-0000-0000B55D0000}"/>
    <cellStyle name="40% - Accent6 3 4 3 3 2 2" xfId="25750" xr:uid="{00000000-0005-0000-0000-0000B65D0000}"/>
    <cellStyle name="40% - Accent6 3 4 3 3 3" xfId="27683" xr:uid="{00000000-0005-0000-0000-0000B75D0000}"/>
    <cellStyle name="40% - Accent6 3 4 3 4" xfId="23218" xr:uid="{00000000-0005-0000-0000-0000B85D0000}"/>
    <cellStyle name="40% - Accent6 3 4 3 4 2" xfId="27697" xr:uid="{00000000-0005-0000-0000-0000B95D0000}"/>
    <cellStyle name="40% - Accent6 3 4 3 5" xfId="27364" xr:uid="{00000000-0005-0000-0000-0000BA5D0000}"/>
    <cellStyle name="40% - Accent6 3 4 4" xfId="3766" xr:uid="{00000000-0005-0000-0000-0000BB5D0000}"/>
    <cellStyle name="40% - Accent6 3 4 4 2" xfId="23270" xr:uid="{00000000-0005-0000-0000-0000BC5D0000}"/>
    <cellStyle name="40% - Accent6 3 4 4 2 2" xfId="23842" xr:uid="{00000000-0005-0000-0000-0000BD5D0000}"/>
    <cellStyle name="40% - Accent6 3 4 4 2 2 2" xfId="26785" xr:uid="{00000000-0005-0000-0000-0000BE5D0000}"/>
    <cellStyle name="40% - Accent6 3 4 4 2 3" xfId="27474" xr:uid="{00000000-0005-0000-0000-0000BF5D0000}"/>
    <cellStyle name="40% - Accent6 3 4 4 3" xfId="23281" xr:uid="{00000000-0005-0000-0000-0000C05D0000}"/>
    <cellStyle name="40% - Accent6 3 4 4 3 2" xfId="27714" xr:uid="{00000000-0005-0000-0000-0000C15D0000}"/>
    <cellStyle name="40% - Accent6 3 4 4 4" xfId="22219" xr:uid="{00000000-0005-0000-0000-0000C25D0000}"/>
    <cellStyle name="40% - Accent6 3 4 5" xfId="8841" xr:uid="{00000000-0005-0000-0000-0000C35D0000}"/>
    <cellStyle name="40% - Accent6 3 4 5 2" xfId="14633" xr:uid="{00000000-0005-0000-0000-0000C45D0000}"/>
    <cellStyle name="40% - Accent6 3 4 5 2 2" xfId="25130" xr:uid="{00000000-0005-0000-0000-0000C55D0000}"/>
    <cellStyle name="40% - Accent6 3 4 5 3" xfId="14636" xr:uid="{00000000-0005-0000-0000-0000C65D0000}"/>
    <cellStyle name="40% - Accent6 3 4 6" xfId="26791" xr:uid="{00000000-0005-0000-0000-0000C75D0000}"/>
    <cellStyle name="40% - Accent6 3 4 6 2" xfId="11366" xr:uid="{00000000-0005-0000-0000-0000C85D0000}"/>
    <cellStyle name="40% - Accent6 3 4 7" xfId="2895" xr:uid="{00000000-0005-0000-0000-0000C95D0000}"/>
    <cellStyle name="40% - Accent6 3 5" xfId="24596" xr:uid="{00000000-0005-0000-0000-0000CA5D0000}"/>
    <cellStyle name="40% - Accent6 3 5 2" xfId="26795" xr:uid="{00000000-0005-0000-0000-0000CB5D0000}"/>
    <cellStyle name="40% - Accent6 3 5 2 2" xfId="9858" xr:uid="{00000000-0005-0000-0000-0000CC5D0000}"/>
    <cellStyle name="40% - Accent6 3 5 2 2 2" xfId="25444" xr:uid="{00000000-0005-0000-0000-0000CD5D0000}"/>
    <cellStyle name="40% - Accent6 3 5 2 2 2 2" xfId="25087" xr:uid="{00000000-0005-0000-0000-0000CE5D0000}"/>
    <cellStyle name="40% - Accent6 3 5 2 2 2 2 2" xfId="26798" xr:uid="{00000000-0005-0000-0000-0000CF5D0000}"/>
    <cellStyle name="40% - Accent6 3 5 2 2 2 3" xfId="23659" xr:uid="{00000000-0005-0000-0000-0000D05D0000}"/>
    <cellStyle name="40% - Accent6 3 5 2 2 3" xfId="25615" xr:uid="{00000000-0005-0000-0000-0000D15D0000}"/>
    <cellStyle name="40% - Accent6 3 5 2 2 3 2" xfId="25462" xr:uid="{00000000-0005-0000-0000-0000D25D0000}"/>
    <cellStyle name="40% - Accent6 3 5 2 2 4" xfId="10732" xr:uid="{00000000-0005-0000-0000-0000D35D0000}"/>
    <cellStyle name="40% - Accent6 3 5 2 3" xfId="24294" xr:uid="{00000000-0005-0000-0000-0000D45D0000}"/>
    <cellStyle name="40% - Accent6 3 5 2 3 2" xfId="16223" xr:uid="{00000000-0005-0000-0000-0000D55D0000}"/>
    <cellStyle name="40% - Accent6 3 5 2 3 2 2" xfId="16225" xr:uid="{00000000-0005-0000-0000-0000D65D0000}"/>
    <cellStyle name="40% - Accent6 3 5 2 3 3" xfId="16230" xr:uid="{00000000-0005-0000-0000-0000D75D0000}"/>
    <cellStyle name="40% - Accent6 3 5 2 4" xfId="25473" xr:uid="{00000000-0005-0000-0000-0000D85D0000}"/>
    <cellStyle name="40% - Accent6 3 5 2 4 2" xfId="16245" xr:uid="{00000000-0005-0000-0000-0000D95D0000}"/>
    <cellStyle name="40% - Accent6 3 5 2 5" xfId="23497" xr:uid="{00000000-0005-0000-0000-0000DA5D0000}"/>
    <cellStyle name="40% - Accent6 3 5 3" xfId="20353" xr:uid="{00000000-0005-0000-0000-0000DB5D0000}"/>
    <cellStyle name="40% - Accent6 3 5 3 2" xfId="6932" xr:uid="{00000000-0005-0000-0000-0000DC5D0000}"/>
    <cellStyle name="40% - Accent6 3 5 3 2 2" xfId="15276" xr:uid="{00000000-0005-0000-0000-0000DD5D0000}"/>
    <cellStyle name="40% - Accent6 3 5 3 2 2 2" xfId="24372" xr:uid="{00000000-0005-0000-0000-0000DE5D0000}"/>
    <cellStyle name="40% - Accent6 3 5 3 2 3" xfId="14661" xr:uid="{00000000-0005-0000-0000-0000DF5D0000}"/>
    <cellStyle name="40% - Accent6 3 5 3 3" xfId="14667" xr:uid="{00000000-0005-0000-0000-0000E05D0000}"/>
    <cellStyle name="40% - Accent6 3 5 3 3 2" xfId="15295" xr:uid="{00000000-0005-0000-0000-0000E15D0000}"/>
    <cellStyle name="40% - Accent6 3 5 3 4" xfId="6731" xr:uid="{00000000-0005-0000-0000-0000E25D0000}"/>
    <cellStyle name="40% - Accent6 3 5 4" xfId="3782" xr:uid="{00000000-0005-0000-0000-0000E35D0000}"/>
    <cellStyle name="40% - Accent6 3 5 4 2" xfId="15133" xr:uid="{00000000-0005-0000-0000-0000E45D0000}"/>
    <cellStyle name="40% - Accent6 3 5 4 2 2" xfId="14696" xr:uid="{00000000-0005-0000-0000-0000E55D0000}"/>
    <cellStyle name="40% - Accent6 3 5 4 3" xfId="14705" xr:uid="{00000000-0005-0000-0000-0000E65D0000}"/>
    <cellStyle name="40% - Accent6 3 5 5" xfId="18253" xr:uid="{00000000-0005-0000-0000-0000E75D0000}"/>
    <cellStyle name="40% - Accent6 3 5 5 2" xfId="15141" xr:uid="{00000000-0005-0000-0000-0000E85D0000}"/>
    <cellStyle name="40% - Accent6 3 5 6" xfId="18255" xr:uid="{00000000-0005-0000-0000-0000E95D0000}"/>
    <cellStyle name="40% - Accent6 3 6" xfId="26807" xr:uid="{00000000-0005-0000-0000-0000EA5D0000}"/>
    <cellStyle name="40% - Accent6 3 6 2" xfId="26625" xr:uid="{00000000-0005-0000-0000-0000EB5D0000}"/>
    <cellStyle name="40% - Accent6 3 6 2 2" xfId="8954" xr:uid="{00000000-0005-0000-0000-0000EC5D0000}"/>
    <cellStyle name="40% - Accent6 3 6 2 2 2" xfId="24719" xr:uid="{00000000-0005-0000-0000-0000ED5D0000}"/>
    <cellStyle name="40% - Accent6 3 6 2 2 2 2" xfId="26822" xr:uid="{00000000-0005-0000-0000-0000EE5D0000}"/>
    <cellStyle name="40% - Accent6 3 6 2 2 3" xfId="18644" xr:uid="{00000000-0005-0000-0000-0000EF5D0000}"/>
    <cellStyle name="40% - Accent6 3 6 2 3" xfId="12814" xr:uid="{00000000-0005-0000-0000-0000F05D0000}"/>
    <cellStyle name="40% - Accent6 3 6 2 3 2" xfId="16393" xr:uid="{00000000-0005-0000-0000-0000F15D0000}"/>
    <cellStyle name="40% - Accent6 3 6 2 4" xfId="12822" xr:uid="{00000000-0005-0000-0000-0000F25D0000}"/>
    <cellStyle name="40% - Accent6 3 6 3" xfId="26825" xr:uid="{00000000-0005-0000-0000-0000F35D0000}"/>
    <cellStyle name="40% - Accent6 3 6 3 2" xfId="14727" xr:uid="{00000000-0005-0000-0000-0000F45D0000}"/>
    <cellStyle name="40% - Accent6 3 6 3 2 2" xfId="7281" xr:uid="{00000000-0005-0000-0000-0000F55D0000}"/>
    <cellStyle name="40% - Accent6 3 6 3 3" xfId="14734" xr:uid="{00000000-0005-0000-0000-0000F65D0000}"/>
    <cellStyle name="40% - Accent6 3 6 4" xfId="18261" xr:uid="{00000000-0005-0000-0000-0000F75D0000}"/>
    <cellStyle name="40% - Accent6 3 6 4 2" xfId="14741" xr:uid="{00000000-0005-0000-0000-0000F85D0000}"/>
    <cellStyle name="40% - Accent6 3 6 5" xfId="18264" xr:uid="{00000000-0005-0000-0000-0000F95D0000}"/>
    <cellStyle name="40% - Accent6 3 7" xfId="26826" xr:uid="{00000000-0005-0000-0000-0000FA5D0000}"/>
    <cellStyle name="40% - Accent6 3 7 2" xfId="26827" xr:uid="{00000000-0005-0000-0000-0000FB5D0000}"/>
    <cellStyle name="40% - Accent6 3 7 2 2" xfId="16667" xr:uid="{00000000-0005-0000-0000-0000FC5D0000}"/>
    <cellStyle name="40% - Accent6 3 7 2 2 2" xfId="26832" xr:uid="{00000000-0005-0000-0000-0000FD5D0000}"/>
    <cellStyle name="40% - Accent6 3 7 2 3" xfId="7205" xr:uid="{00000000-0005-0000-0000-0000FE5D0000}"/>
    <cellStyle name="40% - Accent6 3 7 3" xfId="27737" xr:uid="{00000000-0005-0000-0000-0000FF5D0000}"/>
    <cellStyle name="40% - Accent6 3 7 3 2" xfId="12834" xr:uid="{00000000-0005-0000-0000-0000005E0000}"/>
    <cellStyle name="40% - Accent6 3 7 4" xfId="18269" xr:uid="{00000000-0005-0000-0000-0000015E0000}"/>
    <cellStyle name="40% - Accent6 3 8" xfId="27508" xr:uid="{00000000-0005-0000-0000-0000025E0000}"/>
    <cellStyle name="40% - Accent6 3 8 2" xfId="26839" xr:uid="{00000000-0005-0000-0000-0000035E0000}"/>
    <cellStyle name="40% - Accent6 3 8 2 2" xfId="12841" xr:uid="{00000000-0005-0000-0000-0000045E0000}"/>
    <cellStyle name="40% - Accent6 3 8 3" xfId="31055" xr:uid="{00000000-0005-0000-0000-0000055E0000}"/>
    <cellStyle name="40% - Accent6 3 9" xfId="9482" xr:uid="{00000000-0005-0000-0000-0000065E0000}"/>
    <cellStyle name="40% - Accent6 3 9 2" xfId="31187" xr:uid="{00000000-0005-0000-0000-0000075E0000}"/>
    <cellStyle name="40% - Accent6 4" xfId="16980" xr:uid="{00000000-0005-0000-0000-0000085E0000}"/>
    <cellStyle name="40% - Accent6 4 2" xfId="28303" xr:uid="{00000000-0005-0000-0000-0000095E0000}"/>
    <cellStyle name="40% - Accent6 4 2 2" xfId="30778" xr:uid="{00000000-0005-0000-0000-00000A5E0000}"/>
    <cellStyle name="40% - Accent6 4 2 2 2" xfId="32472" xr:uid="{00000000-0005-0000-0000-00000B5E0000}"/>
    <cellStyle name="40% - Accent6 4 2 2 2 2" xfId="28484" xr:uid="{00000000-0005-0000-0000-00000C5E0000}"/>
    <cellStyle name="40% - Accent6 4 2 2 2 2 2" xfId="1131" xr:uid="{00000000-0005-0000-0000-00000D5E0000}"/>
    <cellStyle name="40% - Accent6 4 2 2 2 2 2 2" xfId="26842" xr:uid="{00000000-0005-0000-0000-00000E5E0000}"/>
    <cellStyle name="40% - Accent6 4 2 2 2 2 2 2 2" xfId="1596" xr:uid="{00000000-0005-0000-0000-00000F5E0000}"/>
    <cellStyle name="40% - Accent6 4 2 2 2 2 2 2 2 2" xfId="9316" xr:uid="{00000000-0005-0000-0000-0000105E0000}"/>
    <cellStyle name="40% - Accent6 4 2 2 2 2 2 2 3" xfId="5006" xr:uid="{00000000-0005-0000-0000-0000115E0000}"/>
    <cellStyle name="40% - Accent6 4 2 2 2 2 2 3" xfId="29165" xr:uid="{00000000-0005-0000-0000-0000125E0000}"/>
    <cellStyle name="40% - Accent6 4 2 2 2 2 2 3 2" xfId="11977" xr:uid="{00000000-0005-0000-0000-0000135E0000}"/>
    <cellStyle name="40% - Accent6 4 2 2 2 2 2 4" xfId="6754" xr:uid="{00000000-0005-0000-0000-0000145E0000}"/>
    <cellStyle name="40% - Accent6 4 2 2 2 2 3" xfId="10404" xr:uid="{00000000-0005-0000-0000-0000155E0000}"/>
    <cellStyle name="40% - Accent6 4 2 2 2 2 3 2" xfId="26843" xr:uid="{00000000-0005-0000-0000-0000165E0000}"/>
    <cellStyle name="40% - Accent6 4 2 2 2 2 3 2 2" xfId="3749" xr:uid="{00000000-0005-0000-0000-0000175E0000}"/>
    <cellStyle name="40% - Accent6 4 2 2 2 2 3 3" xfId="26849" xr:uid="{00000000-0005-0000-0000-0000185E0000}"/>
    <cellStyle name="40% - Accent6 4 2 2 2 2 4" xfId="3831" xr:uid="{00000000-0005-0000-0000-0000195E0000}"/>
    <cellStyle name="40% - Accent6 4 2 2 2 2 4 2" xfId="26859" xr:uid="{00000000-0005-0000-0000-00001A5E0000}"/>
    <cellStyle name="40% - Accent6 4 2 2 2 2 5" xfId="21628" xr:uid="{00000000-0005-0000-0000-00001B5E0000}"/>
    <cellStyle name="40% - Accent6 4 2 2 2 3" xfId="26865" xr:uid="{00000000-0005-0000-0000-00001C5E0000}"/>
    <cellStyle name="40% - Accent6 4 2 2 2 3 2" xfId="164" xr:uid="{00000000-0005-0000-0000-00001D5E0000}"/>
    <cellStyle name="40% - Accent6 4 2 2 2 3 2 2" xfId="29342" xr:uid="{00000000-0005-0000-0000-00001E5E0000}"/>
    <cellStyle name="40% - Accent6 4 2 2 2 3 2 2 2" xfId="4148" xr:uid="{00000000-0005-0000-0000-00001F5E0000}"/>
    <cellStyle name="40% - Accent6 4 2 2 2 3 2 3" xfId="29203" xr:uid="{00000000-0005-0000-0000-0000205E0000}"/>
    <cellStyle name="40% - Accent6 4 2 2 2 3 3" xfId="430" xr:uid="{00000000-0005-0000-0000-0000215E0000}"/>
    <cellStyle name="40% - Accent6 4 2 2 2 3 3 2" xfId="20488" xr:uid="{00000000-0005-0000-0000-0000225E0000}"/>
    <cellStyle name="40% - Accent6 4 2 2 2 3 4" xfId="28440" xr:uid="{00000000-0005-0000-0000-0000235E0000}"/>
    <cellStyle name="40% - Accent6 4 2 2 2 4" xfId="29513" xr:uid="{00000000-0005-0000-0000-0000245E0000}"/>
    <cellStyle name="40% - Accent6 4 2 2 2 4 2" xfId="5732" xr:uid="{00000000-0005-0000-0000-0000255E0000}"/>
    <cellStyle name="40% - Accent6 4 2 2 2 4 2 2" xfId="4228" xr:uid="{00000000-0005-0000-0000-0000265E0000}"/>
    <cellStyle name="40% - Accent6 4 2 2 2 4 3" xfId="5734" xr:uid="{00000000-0005-0000-0000-0000275E0000}"/>
    <cellStyle name="40% - Accent6 4 2 2 2 5" xfId="2120" xr:uid="{00000000-0005-0000-0000-0000285E0000}"/>
    <cellStyle name="40% - Accent6 4 2 2 2 5 2" xfId="5742" xr:uid="{00000000-0005-0000-0000-0000295E0000}"/>
    <cellStyle name="40% - Accent6 4 2 2 2 6" xfId="15813" xr:uid="{00000000-0005-0000-0000-00002A5E0000}"/>
    <cellStyle name="40% - Accent6 4 2 2 3" xfId="20521" xr:uid="{00000000-0005-0000-0000-00002B5E0000}"/>
    <cellStyle name="40% - Accent6 4 2 2 3 2" xfId="22700" xr:uid="{00000000-0005-0000-0000-00002C5E0000}"/>
    <cellStyle name="40% - Accent6 4 2 2 3 2 2" xfId="4699" xr:uid="{00000000-0005-0000-0000-00002D5E0000}"/>
    <cellStyle name="40% - Accent6 4 2 2 3 2 2 2" xfId="26420" xr:uid="{00000000-0005-0000-0000-00002E5E0000}"/>
    <cellStyle name="40% - Accent6 4 2 2 3 2 2 2 2" xfId="9723" xr:uid="{00000000-0005-0000-0000-00002F5E0000}"/>
    <cellStyle name="40% - Accent6 4 2 2 3 2 2 3" xfId="25162" xr:uid="{00000000-0005-0000-0000-0000305E0000}"/>
    <cellStyle name="40% - Accent6 4 2 2 3 2 3" xfId="4709" xr:uid="{00000000-0005-0000-0000-0000315E0000}"/>
    <cellStyle name="40% - Accent6 4 2 2 3 2 3 2" xfId="26871" xr:uid="{00000000-0005-0000-0000-0000325E0000}"/>
    <cellStyle name="40% - Accent6 4 2 2 3 2 4" xfId="810" xr:uid="{00000000-0005-0000-0000-0000335E0000}"/>
    <cellStyle name="40% - Accent6 4 2 2 3 3" xfId="14863" xr:uid="{00000000-0005-0000-0000-0000345E0000}"/>
    <cellStyle name="40% - Accent6 4 2 2 3 3 2" xfId="4717" xr:uid="{00000000-0005-0000-0000-0000355E0000}"/>
    <cellStyle name="40% - Accent6 4 2 2 3 3 2 2" xfId="19394" xr:uid="{00000000-0005-0000-0000-0000365E0000}"/>
    <cellStyle name="40% - Accent6 4 2 2 3 3 3" xfId="435" xr:uid="{00000000-0005-0000-0000-0000375E0000}"/>
    <cellStyle name="40% - Accent6 4 2 2 3 4" xfId="14866" xr:uid="{00000000-0005-0000-0000-0000385E0000}"/>
    <cellStyle name="40% - Accent6 4 2 2 3 4 2" xfId="5874" xr:uid="{00000000-0005-0000-0000-0000395E0000}"/>
    <cellStyle name="40% - Accent6 4 2 2 3 5" xfId="14877" xr:uid="{00000000-0005-0000-0000-00003A5E0000}"/>
    <cellStyle name="40% - Accent6 4 2 2 4" xfId="28447" xr:uid="{00000000-0005-0000-0000-00003B5E0000}"/>
    <cellStyle name="40% - Accent6 4 2 2 4 2" xfId="22705" xr:uid="{00000000-0005-0000-0000-00003C5E0000}"/>
    <cellStyle name="40% - Accent6 4 2 2 4 2 2" xfId="4739" xr:uid="{00000000-0005-0000-0000-00003D5E0000}"/>
    <cellStyle name="40% - Accent6 4 2 2 4 2 2 2" xfId="31867" xr:uid="{00000000-0005-0000-0000-00003E5E0000}"/>
    <cellStyle name="40% - Accent6 4 2 2 4 2 3" xfId="650" xr:uid="{00000000-0005-0000-0000-00003F5E0000}"/>
    <cellStyle name="40% - Accent6 4 2 2 4 3" xfId="29219" xr:uid="{00000000-0005-0000-0000-0000405E0000}"/>
    <cellStyle name="40% - Accent6 4 2 2 4 3 2" xfId="277" xr:uid="{00000000-0005-0000-0000-0000415E0000}"/>
    <cellStyle name="40% - Accent6 4 2 2 4 4" xfId="14878" xr:uid="{00000000-0005-0000-0000-0000425E0000}"/>
    <cellStyle name="40% - Accent6 4 2 2 5" xfId="20536" xr:uid="{00000000-0005-0000-0000-0000435E0000}"/>
    <cellStyle name="40% - Accent6 4 2 2 5 2" xfId="25920" xr:uid="{00000000-0005-0000-0000-0000445E0000}"/>
    <cellStyle name="40% - Accent6 4 2 2 5 2 2" xfId="10011" xr:uid="{00000000-0005-0000-0000-0000455E0000}"/>
    <cellStyle name="40% - Accent6 4 2 2 5 3" xfId="26970" xr:uid="{00000000-0005-0000-0000-0000465E0000}"/>
    <cellStyle name="40% - Accent6 4 2 2 6" xfId="20544" xr:uid="{00000000-0005-0000-0000-0000475E0000}"/>
    <cellStyle name="40% - Accent6 4 2 2 6 2" xfId="29982" xr:uid="{00000000-0005-0000-0000-0000485E0000}"/>
    <cellStyle name="40% - Accent6 4 2 2 7" xfId="20551" xr:uid="{00000000-0005-0000-0000-0000495E0000}"/>
    <cellStyle name="40% - Accent6 4 2 3" xfId="24599" xr:uid="{00000000-0005-0000-0000-00004A5E0000}"/>
    <cellStyle name="40% - Accent6 4 2 3 2" xfId="27097" xr:uid="{00000000-0005-0000-0000-00004B5E0000}"/>
    <cellStyle name="40% - Accent6 4 2 3 2 2" xfId="16931" xr:uid="{00000000-0005-0000-0000-00004C5E0000}"/>
    <cellStyle name="40% - Accent6 4 2 3 2 2 2" xfId="457" xr:uid="{00000000-0005-0000-0000-00004D5E0000}"/>
    <cellStyle name="40% - Accent6 4 2 3 2 2 2 2" xfId="18961" xr:uid="{00000000-0005-0000-0000-00004E5E0000}"/>
    <cellStyle name="40% - Accent6 4 2 3 2 2 2 2 2" xfId="6996" xr:uid="{00000000-0005-0000-0000-00004F5E0000}"/>
    <cellStyle name="40% - Accent6 4 2 3 2 2 2 3" xfId="28519" xr:uid="{00000000-0005-0000-0000-0000505E0000}"/>
    <cellStyle name="40% - Accent6 4 2 3 2 2 3" xfId="460" xr:uid="{00000000-0005-0000-0000-0000515E0000}"/>
    <cellStyle name="40% - Accent6 4 2 3 2 2 3 2" xfId="29750" xr:uid="{00000000-0005-0000-0000-0000525E0000}"/>
    <cellStyle name="40% - Accent6 4 2 3 2 2 4" xfId="103" xr:uid="{00000000-0005-0000-0000-0000535E0000}"/>
    <cellStyle name="40% - Accent6 4 2 3 2 3" xfId="27746" xr:uid="{00000000-0005-0000-0000-0000545E0000}"/>
    <cellStyle name="40% - Accent6 4 2 3 2 3 2" xfId="3690" xr:uid="{00000000-0005-0000-0000-0000555E0000}"/>
    <cellStyle name="40% - Accent6 4 2 3 2 3 2 2" xfId="31350" xr:uid="{00000000-0005-0000-0000-0000565E0000}"/>
    <cellStyle name="40% - Accent6 4 2 3 2 3 3" xfId="4356" xr:uid="{00000000-0005-0000-0000-0000575E0000}"/>
    <cellStyle name="40% - Accent6 4 2 3 2 4" xfId="28349" xr:uid="{00000000-0005-0000-0000-0000585E0000}"/>
    <cellStyle name="40% - Accent6 4 2 3 2 4 2" xfId="911" xr:uid="{00000000-0005-0000-0000-0000595E0000}"/>
    <cellStyle name="40% - Accent6 4 2 3 2 5" xfId="21893" xr:uid="{00000000-0005-0000-0000-00005A5E0000}"/>
    <cellStyle name="40% - Accent6 4 2 3 3" xfId="20565" xr:uid="{00000000-0005-0000-0000-00005B5E0000}"/>
    <cellStyle name="40% - Accent6 4 2 3 3 2" xfId="28150" xr:uid="{00000000-0005-0000-0000-00005C5E0000}"/>
    <cellStyle name="40% - Accent6 4 2 3 3 2 2" xfId="4775" xr:uid="{00000000-0005-0000-0000-00005D5E0000}"/>
    <cellStyle name="40% - Accent6 4 2 3 3 2 2 2" xfId="26879" xr:uid="{00000000-0005-0000-0000-00005E5E0000}"/>
    <cellStyle name="40% - Accent6 4 2 3 3 2 3" xfId="30842" xr:uid="{00000000-0005-0000-0000-00005F5E0000}"/>
    <cellStyle name="40% - Accent6 4 2 3 3 3" xfId="8566" xr:uid="{00000000-0005-0000-0000-0000605E0000}"/>
    <cellStyle name="40% - Accent6 4 2 3 3 3 2" xfId="635" xr:uid="{00000000-0005-0000-0000-0000615E0000}"/>
    <cellStyle name="40% - Accent6 4 2 3 3 4" xfId="11744" xr:uid="{00000000-0005-0000-0000-0000625E0000}"/>
    <cellStyle name="40% - Accent6 4 2 3 4" xfId="20574" xr:uid="{00000000-0005-0000-0000-0000635E0000}"/>
    <cellStyle name="40% - Accent6 4 2 3 4 2" xfId="30014" xr:uid="{00000000-0005-0000-0000-0000645E0000}"/>
    <cellStyle name="40% - Accent6 4 2 3 4 2 2" xfId="2056" xr:uid="{00000000-0005-0000-0000-0000655E0000}"/>
    <cellStyle name="40% - Accent6 4 2 3 4 3" xfId="19015" xr:uid="{00000000-0005-0000-0000-0000665E0000}"/>
    <cellStyle name="40% - Accent6 4 2 3 5" xfId="30383" xr:uid="{00000000-0005-0000-0000-0000675E0000}"/>
    <cellStyle name="40% - Accent6 4 2 3 5 2" xfId="20560" xr:uid="{00000000-0005-0000-0000-0000685E0000}"/>
    <cellStyle name="40% - Accent6 4 2 3 6" xfId="20584" xr:uid="{00000000-0005-0000-0000-0000695E0000}"/>
    <cellStyle name="40% - Accent6 4 2 4" xfId="3870" xr:uid="{00000000-0005-0000-0000-00006A5E0000}"/>
    <cellStyle name="40% - Accent6 4 2 4 2" xfId="1479" xr:uid="{00000000-0005-0000-0000-00006B5E0000}"/>
    <cellStyle name="40% - Accent6 4 2 4 2 2" xfId="27447" xr:uid="{00000000-0005-0000-0000-00006C5E0000}"/>
    <cellStyle name="40% - Accent6 4 2 4 2 2 2" xfId="838" xr:uid="{00000000-0005-0000-0000-00006D5E0000}"/>
    <cellStyle name="40% - Accent6 4 2 4 2 2 2 2" xfId="26692" xr:uid="{00000000-0005-0000-0000-00006E5E0000}"/>
    <cellStyle name="40% - Accent6 4 2 4 2 2 3" xfId="497" xr:uid="{00000000-0005-0000-0000-00006F5E0000}"/>
    <cellStyle name="40% - Accent6 4 2 4 2 3" xfId="3713" xr:uid="{00000000-0005-0000-0000-0000705E0000}"/>
    <cellStyle name="40% - Accent6 4 2 4 2 3 2" xfId="495" xr:uid="{00000000-0005-0000-0000-0000715E0000}"/>
    <cellStyle name="40% - Accent6 4 2 4 2 4" xfId="1817" xr:uid="{00000000-0005-0000-0000-0000725E0000}"/>
    <cellStyle name="40% - Accent6 4 2 4 3" xfId="1579" xr:uid="{00000000-0005-0000-0000-0000735E0000}"/>
    <cellStyle name="40% - Accent6 4 2 4 3 2" xfId="28795" xr:uid="{00000000-0005-0000-0000-0000745E0000}"/>
    <cellStyle name="40% - Accent6 4 2 4 3 2 2" xfId="2473" xr:uid="{00000000-0005-0000-0000-0000755E0000}"/>
    <cellStyle name="40% - Accent6 4 2 4 3 3" xfId="8999" xr:uid="{00000000-0005-0000-0000-0000765E0000}"/>
    <cellStyle name="40% - Accent6 4 2 4 4" xfId="5970" xr:uid="{00000000-0005-0000-0000-0000775E0000}"/>
    <cellStyle name="40% - Accent6 4 2 4 4 2" xfId="28820" xr:uid="{00000000-0005-0000-0000-0000785E0000}"/>
    <cellStyle name="40% - Accent6 4 2 4 5" xfId="31987" xr:uid="{00000000-0005-0000-0000-0000795E0000}"/>
    <cellStyle name="40% - Accent6 4 2 5" xfId="12639" xr:uid="{00000000-0005-0000-0000-00007A5E0000}"/>
    <cellStyle name="40% - Accent6 4 2 5 2" xfId="18088" xr:uid="{00000000-0005-0000-0000-00007B5E0000}"/>
    <cellStyle name="40% - Accent6 4 2 5 2 2" xfId="32156" xr:uid="{00000000-0005-0000-0000-00007C5E0000}"/>
    <cellStyle name="40% - Accent6 4 2 5 2 2 2" xfId="23511" xr:uid="{00000000-0005-0000-0000-00007D5E0000}"/>
    <cellStyle name="40% - Accent6 4 2 5 2 3" xfId="3727" xr:uid="{00000000-0005-0000-0000-00007E5E0000}"/>
    <cellStyle name="40% - Accent6 4 2 5 3" xfId="20592" xr:uid="{00000000-0005-0000-0000-00007F5E0000}"/>
    <cellStyle name="40% - Accent6 4 2 5 3 2" xfId="3393" xr:uid="{00000000-0005-0000-0000-0000805E0000}"/>
    <cellStyle name="40% - Accent6 4 2 5 4" xfId="21575" xr:uid="{00000000-0005-0000-0000-0000815E0000}"/>
    <cellStyle name="40% - Accent6 4 2 6" xfId="14714" xr:uid="{00000000-0005-0000-0000-0000825E0000}"/>
    <cellStyle name="40% - Accent6 4 2 6 2" xfId="26882" xr:uid="{00000000-0005-0000-0000-0000835E0000}"/>
    <cellStyle name="40% - Accent6 4 2 6 2 2" xfId="26883" xr:uid="{00000000-0005-0000-0000-0000845E0000}"/>
    <cellStyle name="40% - Accent6 4 2 6 3" xfId="24113" xr:uid="{00000000-0005-0000-0000-0000855E0000}"/>
    <cellStyle name="40% - Accent6 4 2 7" xfId="934" xr:uid="{00000000-0005-0000-0000-0000865E0000}"/>
    <cellStyle name="40% - Accent6 4 2 7 2" xfId="5137" xr:uid="{00000000-0005-0000-0000-0000875E0000}"/>
    <cellStyle name="40% - Accent6 4 2 8" xfId="4063" xr:uid="{00000000-0005-0000-0000-0000885E0000}"/>
    <cellStyle name="40% - Accent6 4 3" xfId="24396" xr:uid="{00000000-0005-0000-0000-0000895E0000}"/>
    <cellStyle name="40% - Accent6 4 3 2" xfId="24609" xr:uid="{00000000-0005-0000-0000-00008A5E0000}"/>
    <cellStyle name="40% - Accent6 4 3 2 2" xfId="29261" xr:uid="{00000000-0005-0000-0000-00008B5E0000}"/>
    <cellStyle name="40% - Accent6 4 3 2 2 2" xfId="27989" xr:uid="{00000000-0005-0000-0000-00008C5E0000}"/>
    <cellStyle name="40% - Accent6 4 3 2 2 2 2" xfId="10290" xr:uid="{00000000-0005-0000-0000-00008D5E0000}"/>
    <cellStyle name="40% - Accent6 4 3 2 2 2 2 2" xfId="28632" xr:uid="{00000000-0005-0000-0000-00008E5E0000}"/>
    <cellStyle name="40% - Accent6 4 3 2 2 2 2 2 2" xfId="28896" xr:uid="{00000000-0005-0000-0000-00008F5E0000}"/>
    <cellStyle name="40% - Accent6 4 3 2 2 2 2 3" xfId="26891" xr:uid="{00000000-0005-0000-0000-0000905E0000}"/>
    <cellStyle name="40% - Accent6 4 3 2 2 2 3" xfId="18996" xr:uid="{00000000-0005-0000-0000-0000915E0000}"/>
    <cellStyle name="40% - Accent6 4 3 2 2 2 3 2" xfId="29689" xr:uid="{00000000-0005-0000-0000-0000925E0000}"/>
    <cellStyle name="40% - Accent6 4 3 2 2 2 4" xfId="28510" xr:uid="{00000000-0005-0000-0000-0000935E0000}"/>
    <cellStyle name="40% - Accent6 4 3 2 2 3" xfId="27990" xr:uid="{00000000-0005-0000-0000-0000945E0000}"/>
    <cellStyle name="40% - Accent6 4 3 2 2 3 2" xfId="33154" xr:uid="{00000000-0005-0000-0000-0000955E0000}"/>
    <cellStyle name="40% - Accent6 4 3 2 2 3 2 2" xfId="9058" xr:uid="{00000000-0005-0000-0000-0000965E0000}"/>
    <cellStyle name="40% - Accent6 4 3 2 2 3 3" xfId="27839" xr:uid="{00000000-0005-0000-0000-0000975E0000}"/>
    <cellStyle name="40% - Accent6 4 3 2 2 4" xfId="28286" xr:uid="{00000000-0005-0000-0000-0000985E0000}"/>
    <cellStyle name="40% - Accent6 4 3 2 2 4 2" xfId="8419" xr:uid="{00000000-0005-0000-0000-0000995E0000}"/>
    <cellStyle name="40% - Accent6 4 3 2 2 5" xfId="16205" xr:uid="{00000000-0005-0000-0000-00009A5E0000}"/>
    <cellStyle name="40% - Accent6 4 3 2 3" xfId="20606" xr:uid="{00000000-0005-0000-0000-00009B5E0000}"/>
    <cellStyle name="40% - Accent6 4 3 2 3 2" xfId="28493" xr:uid="{00000000-0005-0000-0000-00009C5E0000}"/>
    <cellStyle name="40% - Accent6 4 3 2 3 2 2" xfId="2948" xr:uid="{00000000-0005-0000-0000-00009D5E0000}"/>
    <cellStyle name="40% - Accent6 4 3 2 3 2 2 2" xfId="26894" xr:uid="{00000000-0005-0000-0000-00009E5E0000}"/>
    <cellStyle name="40% - Accent6 4 3 2 3 2 3" xfId="4368" xr:uid="{00000000-0005-0000-0000-00009F5E0000}"/>
    <cellStyle name="40% - Accent6 4 3 2 3 3" xfId="17259" xr:uid="{00000000-0005-0000-0000-0000A05E0000}"/>
    <cellStyle name="40% - Accent6 4 3 2 3 3 2" xfId="4962" xr:uid="{00000000-0005-0000-0000-0000A15E0000}"/>
    <cellStyle name="40% - Accent6 4 3 2 3 4" xfId="14900" xr:uid="{00000000-0005-0000-0000-0000A25E0000}"/>
    <cellStyle name="40% - Accent6 4 3 2 4" xfId="24159" xr:uid="{00000000-0005-0000-0000-0000A35E0000}"/>
    <cellStyle name="40% - Accent6 4 3 2 4 2" xfId="17276" xr:uid="{00000000-0005-0000-0000-0000A45E0000}"/>
    <cellStyle name="40% - Accent6 4 3 2 4 2 2" xfId="1158" xr:uid="{00000000-0005-0000-0000-0000A55E0000}"/>
    <cellStyle name="40% - Accent6 4 3 2 4 3" xfId="17279" xr:uid="{00000000-0005-0000-0000-0000A65E0000}"/>
    <cellStyle name="40% - Accent6 4 3 2 5" xfId="20612" xr:uid="{00000000-0005-0000-0000-0000A75E0000}"/>
    <cellStyle name="40% - Accent6 4 3 2 5 2" xfId="23904" xr:uid="{00000000-0005-0000-0000-0000A85E0000}"/>
    <cellStyle name="40% - Accent6 4 3 2 6" xfId="22074" xr:uid="{00000000-0005-0000-0000-0000A95E0000}"/>
    <cellStyle name="40% - Accent6 4 3 3" xfId="27960" xr:uid="{00000000-0005-0000-0000-0000AA5E0000}"/>
    <cellStyle name="40% - Accent6 4 3 3 2" xfId="14799" xr:uid="{00000000-0005-0000-0000-0000AB5E0000}"/>
    <cellStyle name="40% - Accent6 4 3 3 2 2" xfId="14801" xr:uid="{00000000-0005-0000-0000-0000AC5E0000}"/>
    <cellStyle name="40% - Accent6 4 3 3 2 2 2" xfId="32734" xr:uid="{00000000-0005-0000-0000-0000AD5E0000}"/>
    <cellStyle name="40% - Accent6 4 3 3 2 2 2 2" xfId="27113" xr:uid="{00000000-0005-0000-0000-0000AE5E0000}"/>
    <cellStyle name="40% - Accent6 4 3 3 2 2 3" xfId="19819" xr:uid="{00000000-0005-0000-0000-0000AF5E0000}"/>
    <cellStyle name="40% - Accent6 4 3 3 2 3" xfId="14815" xr:uid="{00000000-0005-0000-0000-0000B05E0000}"/>
    <cellStyle name="40% - Accent6 4 3 3 2 3 2" xfId="26898" xr:uid="{00000000-0005-0000-0000-0000B15E0000}"/>
    <cellStyle name="40% - Accent6 4 3 3 2 4" xfId="13783" xr:uid="{00000000-0005-0000-0000-0000B25E0000}"/>
    <cellStyle name="40% - Accent6 4 3 3 3" xfId="14824" xr:uid="{00000000-0005-0000-0000-0000B35E0000}"/>
    <cellStyle name="40% - Accent6 4 3 3 3 2" xfId="15008" xr:uid="{00000000-0005-0000-0000-0000B45E0000}"/>
    <cellStyle name="40% - Accent6 4 3 3 3 2 2" xfId="2377" xr:uid="{00000000-0005-0000-0000-0000B55E0000}"/>
    <cellStyle name="40% - Accent6 4 3 3 3 3" xfId="14837" xr:uid="{00000000-0005-0000-0000-0000B65E0000}"/>
    <cellStyle name="40% - Accent6 4 3 3 4" xfId="14845" xr:uid="{00000000-0005-0000-0000-0000B75E0000}"/>
    <cellStyle name="40% - Accent6 4 3 3 4 2" xfId="15019" xr:uid="{00000000-0005-0000-0000-0000B85E0000}"/>
    <cellStyle name="40% - Accent6 4 3 3 5" xfId="14856" xr:uid="{00000000-0005-0000-0000-0000B95E0000}"/>
    <cellStyle name="40% - Accent6 4 3 4" xfId="14914" xr:uid="{00000000-0005-0000-0000-0000BA5E0000}"/>
    <cellStyle name="40% - Accent6 4 3 4 2" xfId="5391" xr:uid="{00000000-0005-0000-0000-0000BB5E0000}"/>
    <cellStyle name="40% - Accent6 4 3 4 2 2" xfId="9956" xr:uid="{00000000-0005-0000-0000-0000BC5E0000}"/>
    <cellStyle name="40% - Accent6 4 3 4 2 2 2" xfId="6033" xr:uid="{00000000-0005-0000-0000-0000BD5E0000}"/>
    <cellStyle name="40% - Accent6 4 3 4 2 3" xfId="3743" xr:uid="{00000000-0005-0000-0000-0000BE5E0000}"/>
    <cellStyle name="40% - Accent6 4 3 4 3" xfId="14885" xr:uid="{00000000-0005-0000-0000-0000BF5E0000}"/>
    <cellStyle name="40% - Accent6 4 3 4 3 2" xfId="15027" xr:uid="{00000000-0005-0000-0000-0000C05E0000}"/>
    <cellStyle name="40% - Accent6 4 3 4 4" xfId="1531" xr:uid="{00000000-0005-0000-0000-0000C15E0000}"/>
    <cellStyle name="40% - Accent6 4 3 5" xfId="14231" xr:uid="{00000000-0005-0000-0000-0000C25E0000}"/>
    <cellStyle name="40% - Accent6 4 3 5 2" xfId="14906" xr:uid="{00000000-0005-0000-0000-0000C35E0000}"/>
    <cellStyle name="40% - Accent6 4 3 5 2 2" xfId="292" xr:uid="{00000000-0005-0000-0000-0000C45E0000}"/>
    <cellStyle name="40% - Accent6 4 3 5 3" xfId="27349" xr:uid="{00000000-0005-0000-0000-0000C55E0000}"/>
    <cellStyle name="40% - Accent6 4 3 6" xfId="26901" xr:uid="{00000000-0005-0000-0000-0000C65E0000}"/>
    <cellStyle name="40% - Accent6 4 3 6 2" xfId="26815" xr:uid="{00000000-0005-0000-0000-0000C75E0000}"/>
    <cellStyle name="40% - Accent6 4 3 7" xfId="14672" xr:uid="{00000000-0005-0000-0000-0000C85E0000}"/>
    <cellStyle name="40% - Accent6 4 4" xfId="16590" xr:uid="{00000000-0005-0000-0000-0000C95E0000}"/>
    <cellStyle name="40% - Accent6 4 4 2" xfId="26905" xr:uid="{00000000-0005-0000-0000-0000CA5E0000}"/>
    <cellStyle name="40% - Accent6 4 4 2 2" xfId="27277" xr:uid="{00000000-0005-0000-0000-0000CB5E0000}"/>
    <cellStyle name="40% - Accent6 4 4 2 2 2" xfId="26908" xr:uid="{00000000-0005-0000-0000-0000CC5E0000}"/>
    <cellStyle name="40% - Accent6 4 4 2 2 2 2" xfId="25260" xr:uid="{00000000-0005-0000-0000-0000CD5E0000}"/>
    <cellStyle name="40% - Accent6 4 4 2 2 2 2 2" xfId="7388" xr:uid="{00000000-0005-0000-0000-0000CE5E0000}"/>
    <cellStyle name="40% - Accent6 4 4 2 2 2 3" xfId="24239" xr:uid="{00000000-0005-0000-0000-0000CF5E0000}"/>
    <cellStyle name="40% - Accent6 4 4 2 2 3" xfId="22863" xr:uid="{00000000-0005-0000-0000-0000D05E0000}"/>
    <cellStyle name="40% - Accent6 4 4 2 2 3 2" xfId="24252" xr:uid="{00000000-0005-0000-0000-0000D15E0000}"/>
    <cellStyle name="40% - Accent6 4 4 2 2 4" xfId="196" xr:uid="{00000000-0005-0000-0000-0000D25E0000}"/>
    <cellStyle name="40% - Accent6 4 4 2 3" xfId="20651" xr:uid="{00000000-0005-0000-0000-0000D35E0000}"/>
    <cellStyle name="40% - Accent6 4 4 2 3 2" xfId="29145" xr:uid="{00000000-0005-0000-0000-0000D45E0000}"/>
    <cellStyle name="40% - Accent6 4 4 2 3 2 2" xfId="5163" xr:uid="{00000000-0005-0000-0000-0000D55E0000}"/>
    <cellStyle name="40% - Accent6 4 4 2 3 3" xfId="17743" xr:uid="{00000000-0005-0000-0000-0000D65E0000}"/>
    <cellStyle name="40% - Accent6 4 4 2 4" xfId="19501" xr:uid="{00000000-0005-0000-0000-0000D75E0000}"/>
    <cellStyle name="40% - Accent6 4 4 2 4 2" xfId="17769" xr:uid="{00000000-0005-0000-0000-0000D85E0000}"/>
    <cellStyle name="40% - Accent6 4 4 2 5" xfId="20661" xr:uid="{00000000-0005-0000-0000-0000D95E0000}"/>
    <cellStyle name="40% - Accent6 4 4 3" xfId="32822" xr:uid="{00000000-0005-0000-0000-0000DA5E0000}"/>
    <cellStyle name="40% - Accent6 4 4 3 2" xfId="14931" xr:uid="{00000000-0005-0000-0000-0000DB5E0000}"/>
    <cellStyle name="40% - Accent6 4 4 3 2 2" xfId="14935" xr:uid="{00000000-0005-0000-0000-0000DC5E0000}"/>
    <cellStyle name="40% - Accent6 4 4 3 2 2 2" xfId="26198" xr:uid="{00000000-0005-0000-0000-0000DD5E0000}"/>
    <cellStyle name="40% - Accent6 4 4 3 2 3" xfId="14943" xr:uid="{00000000-0005-0000-0000-0000DE5E0000}"/>
    <cellStyle name="40% - Accent6 4 4 3 3" xfId="14950" xr:uid="{00000000-0005-0000-0000-0000DF5E0000}"/>
    <cellStyle name="40% - Accent6 4 4 3 3 2" xfId="14956" xr:uid="{00000000-0005-0000-0000-0000E05E0000}"/>
    <cellStyle name="40% - Accent6 4 4 3 4" xfId="15431" xr:uid="{00000000-0005-0000-0000-0000E15E0000}"/>
    <cellStyle name="40% - Accent6 4 4 4" xfId="9910" xr:uid="{00000000-0005-0000-0000-0000E25E0000}"/>
    <cellStyle name="40% - Accent6 4 4 4 2" xfId="10635" xr:uid="{00000000-0005-0000-0000-0000E35E0000}"/>
    <cellStyle name="40% - Accent6 4 4 4 2 2" xfId="14977" xr:uid="{00000000-0005-0000-0000-0000E45E0000}"/>
    <cellStyle name="40% - Accent6 4 4 4 3" xfId="14985" xr:uid="{00000000-0005-0000-0000-0000E55E0000}"/>
    <cellStyle name="40% - Accent6 4 4 5" xfId="29298" xr:uid="{00000000-0005-0000-0000-0000E65E0000}"/>
    <cellStyle name="40% - Accent6 4 4 5 2" xfId="1697" xr:uid="{00000000-0005-0000-0000-0000E75E0000}"/>
    <cellStyle name="40% - Accent6 4 4 6" xfId="26918" xr:uid="{00000000-0005-0000-0000-0000E85E0000}"/>
    <cellStyle name="40% - Accent6 4 5" xfId="30271" xr:uid="{00000000-0005-0000-0000-0000E95E0000}"/>
    <cellStyle name="40% - Accent6 4 5 2" xfId="27268" xr:uid="{00000000-0005-0000-0000-0000EA5E0000}"/>
    <cellStyle name="40% - Accent6 4 5 2 2" xfId="31308" xr:uid="{00000000-0005-0000-0000-0000EB5E0000}"/>
    <cellStyle name="40% - Accent6 4 5 2 2 2" xfId="26920" xr:uid="{00000000-0005-0000-0000-0000EC5E0000}"/>
    <cellStyle name="40% - Accent6 4 5 2 2 2 2" xfId="26922" xr:uid="{00000000-0005-0000-0000-0000ED5E0000}"/>
    <cellStyle name="40% - Accent6 4 5 2 2 3" xfId="26282" xr:uid="{00000000-0005-0000-0000-0000EE5E0000}"/>
    <cellStyle name="40% - Accent6 4 5 2 3" xfId="20695" xr:uid="{00000000-0005-0000-0000-0000EF5E0000}"/>
    <cellStyle name="40% - Accent6 4 5 2 3 2" xfId="22274" xr:uid="{00000000-0005-0000-0000-0000F05E0000}"/>
    <cellStyle name="40% - Accent6 4 5 2 4" xfId="20702" xr:uid="{00000000-0005-0000-0000-0000F15E0000}"/>
    <cellStyle name="40% - Accent6 4 5 3" xfId="25076" xr:uid="{00000000-0005-0000-0000-0000F25E0000}"/>
    <cellStyle name="40% - Accent6 4 5 3 2" xfId="5195" xr:uid="{00000000-0005-0000-0000-0000F35E0000}"/>
    <cellStyle name="40% - Accent6 4 5 3 2 2" xfId="17378" xr:uid="{00000000-0005-0000-0000-0000F45E0000}"/>
    <cellStyle name="40% - Accent6 4 5 3 3" xfId="873" xr:uid="{00000000-0005-0000-0000-0000F55E0000}"/>
    <cellStyle name="40% - Accent6 4 5 4" xfId="18273" xr:uid="{00000000-0005-0000-0000-0000F65E0000}"/>
    <cellStyle name="40% - Accent6 4 5 4 2" xfId="645" xr:uid="{00000000-0005-0000-0000-0000F75E0000}"/>
    <cellStyle name="40% - Accent6 4 5 5" xfId="18276" xr:uid="{00000000-0005-0000-0000-0000F85E0000}"/>
    <cellStyle name="40% - Accent6 4 6" xfId="26555" xr:uid="{00000000-0005-0000-0000-0000F95E0000}"/>
    <cellStyle name="40% - Accent6 4 6 2" xfId="26929" xr:uid="{00000000-0005-0000-0000-0000FA5E0000}"/>
    <cellStyle name="40% - Accent6 4 6 2 2" xfId="12847" xr:uid="{00000000-0005-0000-0000-0000FB5E0000}"/>
    <cellStyle name="40% - Accent6 4 6 2 2 2" xfId="6756" xr:uid="{00000000-0005-0000-0000-0000FC5E0000}"/>
    <cellStyle name="40% - Accent6 4 6 2 3" xfId="12853" xr:uid="{00000000-0005-0000-0000-0000FD5E0000}"/>
    <cellStyle name="40% - Accent6 4 6 3" xfId="26933" xr:uid="{00000000-0005-0000-0000-0000FE5E0000}"/>
    <cellStyle name="40% - Accent6 4 6 3 2" xfId="12863" xr:uid="{00000000-0005-0000-0000-0000FF5E0000}"/>
    <cellStyle name="40% - Accent6 4 6 4" xfId="18282" xr:uid="{00000000-0005-0000-0000-0000005F0000}"/>
    <cellStyle name="40% - Accent6 4 7" xfId="26935" xr:uid="{00000000-0005-0000-0000-0000015F0000}"/>
    <cellStyle name="40% - Accent6 4 7 2" xfId="26938" xr:uid="{00000000-0005-0000-0000-0000025F0000}"/>
    <cellStyle name="40% - Accent6 4 7 2 2" xfId="12871" xr:uid="{00000000-0005-0000-0000-0000035F0000}"/>
    <cellStyle name="40% - Accent6 4 7 3" xfId="26941" xr:uid="{00000000-0005-0000-0000-0000045F0000}"/>
    <cellStyle name="40% - Accent6 4 8" xfId="26944" xr:uid="{00000000-0005-0000-0000-0000055F0000}"/>
    <cellStyle name="40% - Accent6 4 8 2" xfId="26946" xr:uid="{00000000-0005-0000-0000-0000065F0000}"/>
    <cellStyle name="40% - Accent6 4 9" xfId="26949" xr:uid="{00000000-0005-0000-0000-0000075F0000}"/>
    <cellStyle name="40% - Accent6 5" xfId="24613" xr:uid="{00000000-0005-0000-0000-0000085F0000}"/>
    <cellStyle name="40% - Accent6 5 2" xfId="24619" xr:uid="{00000000-0005-0000-0000-0000095F0000}"/>
    <cellStyle name="40% - Accent6 5 2 2" xfId="24621" xr:uid="{00000000-0005-0000-0000-00000A5F0000}"/>
    <cellStyle name="40% - Accent6 5 2 2 2" xfId="27913" xr:uid="{00000000-0005-0000-0000-00000B5F0000}"/>
    <cellStyle name="40% - Accent6 5 2 2 2 2" xfId="23695" xr:uid="{00000000-0005-0000-0000-00000C5F0000}"/>
    <cellStyle name="40% - Accent6 5 2 2 2 2 2" xfId="15355" xr:uid="{00000000-0005-0000-0000-00000D5F0000}"/>
    <cellStyle name="40% - Accent6 5 2 2 2 2 2 2" xfId="1640" xr:uid="{00000000-0005-0000-0000-00000E5F0000}"/>
    <cellStyle name="40% - Accent6 5 2 2 2 2 2 2 2" xfId="32960" xr:uid="{00000000-0005-0000-0000-00000F5F0000}"/>
    <cellStyle name="40% - Accent6 5 2 2 2 2 2 3" xfId="629" xr:uid="{00000000-0005-0000-0000-0000105F0000}"/>
    <cellStyle name="40% - Accent6 5 2 2 2 2 3" xfId="29377" xr:uid="{00000000-0005-0000-0000-0000115F0000}"/>
    <cellStyle name="40% - Accent6 5 2 2 2 2 3 2" xfId="1242" xr:uid="{00000000-0005-0000-0000-0000125F0000}"/>
    <cellStyle name="40% - Accent6 5 2 2 2 2 4" xfId="24101" xr:uid="{00000000-0005-0000-0000-0000135F0000}"/>
    <cellStyle name="40% - Accent6 5 2 2 2 3" xfId="23701" xr:uid="{00000000-0005-0000-0000-0000145F0000}"/>
    <cellStyle name="40% - Accent6 5 2 2 2 3 2" xfId="15372" xr:uid="{00000000-0005-0000-0000-0000155F0000}"/>
    <cellStyle name="40% - Accent6 5 2 2 2 3 2 2" xfId="3390" xr:uid="{00000000-0005-0000-0000-0000165F0000}"/>
    <cellStyle name="40% - Accent6 5 2 2 2 3 3" xfId="30539" xr:uid="{00000000-0005-0000-0000-0000175F0000}"/>
    <cellStyle name="40% - Accent6 5 2 2 2 4" xfId="13362" xr:uid="{00000000-0005-0000-0000-0000185F0000}"/>
    <cellStyle name="40% - Accent6 5 2 2 2 4 2" xfId="9994" xr:uid="{00000000-0005-0000-0000-0000195F0000}"/>
    <cellStyle name="40% - Accent6 5 2 2 2 5" xfId="17691" xr:uid="{00000000-0005-0000-0000-00001A5F0000}"/>
    <cellStyle name="40% - Accent6 5 2 2 3" xfId="33956" xr:uid="{00000000-0005-0000-0000-00001B5F0000}"/>
    <cellStyle name="40% - Accent6 5 2 2 3 2" xfId="27918" xr:uid="{00000000-0005-0000-0000-00001C5F0000}"/>
    <cellStyle name="40% - Accent6 5 2 2 3 2 2" xfId="378" xr:uid="{00000000-0005-0000-0000-00001D5F0000}"/>
    <cellStyle name="40% - Accent6 5 2 2 3 2 2 2" xfId="4537" xr:uid="{00000000-0005-0000-0000-00001E5F0000}"/>
    <cellStyle name="40% - Accent6 5 2 2 3 2 3" xfId="5133" xr:uid="{00000000-0005-0000-0000-00001F5F0000}"/>
    <cellStyle name="40% - Accent6 5 2 2 3 3" xfId="15305" xr:uid="{00000000-0005-0000-0000-0000205F0000}"/>
    <cellStyle name="40% - Accent6 5 2 2 3 3 2" xfId="5042" xr:uid="{00000000-0005-0000-0000-0000215F0000}"/>
    <cellStyle name="40% - Accent6 5 2 2 3 4" xfId="14973" xr:uid="{00000000-0005-0000-0000-0000225F0000}"/>
    <cellStyle name="40% - Accent6 5 2 2 4" xfId="20757" xr:uid="{00000000-0005-0000-0000-0000235F0000}"/>
    <cellStyle name="40% - Accent6 5 2 2 4 2" xfId="27927" xr:uid="{00000000-0005-0000-0000-0000245F0000}"/>
    <cellStyle name="40% - Accent6 5 2 2 4 2 2" xfId="3968" xr:uid="{00000000-0005-0000-0000-0000255F0000}"/>
    <cellStyle name="40% - Accent6 5 2 2 4 3" xfId="15333" xr:uid="{00000000-0005-0000-0000-0000265F0000}"/>
    <cellStyle name="40% - Accent6 5 2 2 5" xfId="781" xr:uid="{00000000-0005-0000-0000-0000275F0000}"/>
    <cellStyle name="40% - Accent6 5 2 2 5 2" xfId="5179" xr:uid="{00000000-0005-0000-0000-0000285F0000}"/>
    <cellStyle name="40% - Accent6 5 2 2 6" xfId="20766" xr:uid="{00000000-0005-0000-0000-0000295F0000}"/>
    <cellStyle name="40% - Accent6 5 2 3" xfId="9372" xr:uid="{00000000-0005-0000-0000-00002A5F0000}"/>
    <cellStyle name="40% - Accent6 5 2 3 2" xfId="13056" xr:uid="{00000000-0005-0000-0000-00002B5F0000}"/>
    <cellStyle name="40% - Accent6 5 2 3 2 2" xfId="13869" xr:uid="{00000000-0005-0000-0000-00002C5F0000}"/>
    <cellStyle name="40% - Accent6 5 2 3 2 2 2" xfId="27929" xr:uid="{00000000-0005-0000-0000-00002D5F0000}"/>
    <cellStyle name="40% - Accent6 5 2 3 2 2 2 2" xfId="6065" xr:uid="{00000000-0005-0000-0000-00002E5F0000}"/>
    <cellStyle name="40% - Accent6 5 2 3 2 2 3" xfId="15908" xr:uid="{00000000-0005-0000-0000-00002F5F0000}"/>
    <cellStyle name="40% - Accent6 5 2 3 2 3" xfId="28844" xr:uid="{00000000-0005-0000-0000-0000305F0000}"/>
    <cellStyle name="40% - Accent6 5 2 3 2 3 2" xfId="5191" xr:uid="{00000000-0005-0000-0000-0000315F0000}"/>
    <cellStyle name="40% - Accent6 5 2 3 2 4" xfId="13393" xr:uid="{00000000-0005-0000-0000-0000325F0000}"/>
    <cellStyle name="40% - Accent6 5 2 3 3" xfId="20780" xr:uid="{00000000-0005-0000-0000-0000335F0000}"/>
    <cellStyle name="40% - Accent6 5 2 3 3 2" xfId="30311" xr:uid="{00000000-0005-0000-0000-0000345F0000}"/>
    <cellStyle name="40% - Accent6 5 2 3 3 2 2" xfId="2108" xr:uid="{00000000-0005-0000-0000-0000355F0000}"/>
    <cellStyle name="40% - Accent6 5 2 3 3 3" xfId="15958" xr:uid="{00000000-0005-0000-0000-0000365F0000}"/>
    <cellStyle name="40% - Accent6 5 2 3 4" xfId="20791" xr:uid="{00000000-0005-0000-0000-0000375F0000}"/>
    <cellStyle name="40% - Accent6 5 2 3 4 2" xfId="31799" xr:uid="{00000000-0005-0000-0000-0000385F0000}"/>
    <cellStyle name="40% - Accent6 5 2 3 5" xfId="20799" xr:uid="{00000000-0005-0000-0000-0000395F0000}"/>
    <cellStyle name="40% - Accent6 5 2 4" xfId="14922" xr:uid="{00000000-0005-0000-0000-00003A5F0000}"/>
    <cellStyle name="40% - Accent6 5 2 4 2" xfId="7022" xr:uid="{00000000-0005-0000-0000-00003B5F0000}"/>
    <cellStyle name="40% - Accent6 5 2 4 2 2" xfId="27935" xr:uid="{00000000-0005-0000-0000-00003C5F0000}"/>
    <cellStyle name="40% - Accent6 5 2 4 2 2 2" xfId="16264" xr:uid="{00000000-0005-0000-0000-00003D5F0000}"/>
    <cellStyle name="40% - Accent6 5 2 4 2 3" xfId="3857" xr:uid="{00000000-0005-0000-0000-00003E5F0000}"/>
    <cellStyle name="40% - Accent6 5 2 4 3" xfId="20807" xr:uid="{00000000-0005-0000-0000-00003F5F0000}"/>
    <cellStyle name="40% - Accent6 5 2 4 3 2" xfId="16290" xr:uid="{00000000-0005-0000-0000-0000405F0000}"/>
    <cellStyle name="40% - Accent6 5 2 4 4" xfId="826" xr:uid="{00000000-0005-0000-0000-0000415F0000}"/>
    <cellStyle name="40% - Accent6 5 2 5" xfId="3931" xr:uid="{00000000-0005-0000-0000-0000425F0000}"/>
    <cellStyle name="40% - Accent6 5 2 5 2" xfId="10205" xr:uid="{00000000-0005-0000-0000-0000435F0000}"/>
    <cellStyle name="40% - Accent6 5 2 5 2 2" xfId="16408" xr:uid="{00000000-0005-0000-0000-0000445F0000}"/>
    <cellStyle name="40% - Accent6 5 2 5 3" xfId="20813" xr:uid="{00000000-0005-0000-0000-0000455F0000}"/>
    <cellStyle name="40% - Accent6 5 2 6" xfId="32669" xr:uid="{00000000-0005-0000-0000-0000465F0000}"/>
    <cellStyle name="40% - Accent6 5 2 6 2" xfId="32070" xr:uid="{00000000-0005-0000-0000-0000475F0000}"/>
    <cellStyle name="40% - Accent6 5 2 7" xfId="15903" xr:uid="{00000000-0005-0000-0000-0000485F0000}"/>
    <cellStyle name="40% - Accent6 5 3" xfId="24624" xr:uid="{00000000-0005-0000-0000-0000495F0000}"/>
    <cellStyle name="40% - Accent6 5 3 2" xfId="26950" xr:uid="{00000000-0005-0000-0000-00004A5F0000}"/>
    <cellStyle name="40% - Accent6 5 3 2 2" xfId="13209" xr:uid="{00000000-0005-0000-0000-00004B5F0000}"/>
    <cellStyle name="40% - Accent6 5 3 2 2 2" xfId="9256" xr:uid="{00000000-0005-0000-0000-00004C5F0000}"/>
    <cellStyle name="40% - Accent6 5 3 2 2 2 2" xfId="17306" xr:uid="{00000000-0005-0000-0000-00004D5F0000}"/>
    <cellStyle name="40% - Accent6 5 3 2 2 2 2 2" xfId="11954" xr:uid="{00000000-0005-0000-0000-00004E5F0000}"/>
    <cellStyle name="40% - Accent6 5 3 2 2 2 3" xfId="17311" xr:uid="{00000000-0005-0000-0000-00004F5F0000}"/>
    <cellStyle name="40% - Accent6 5 3 2 2 3" xfId="27942" xr:uid="{00000000-0005-0000-0000-0000505F0000}"/>
    <cellStyle name="40% - Accent6 5 3 2 2 3 2" xfId="17319" xr:uid="{00000000-0005-0000-0000-0000515F0000}"/>
    <cellStyle name="40% - Accent6 5 3 2 2 4" xfId="26440" xr:uid="{00000000-0005-0000-0000-0000525F0000}"/>
    <cellStyle name="40% - Accent6 5 3 2 3" xfId="20830" xr:uid="{00000000-0005-0000-0000-0000535F0000}"/>
    <cellStyle name="40% - Accent6 5 3 2 3 2" xfId="29957" xr:uid="{00000000-0005-0000-0000-0000545F0000}"/>
    <cellStyle name="40% - Accent6 5 3 2 3 2 2" xfId="57" xr:uid="{00000000-0005-0000-0000-0000555F0000}"/>
    <cellStyle name="40% - Accent6 5 3 2 3 3" xfId="27207" xr:uid="{00000000-0005-0000-0000-0000565F0000}"/>
    <cellStyle name="40% - Accent6 5 3 2 4" xfId="20839" xr:uid="{00000000-0005-0000-0000-0000575F0000}"/>
    <cellStyle name="40% - Accent6 5 3 2 4 2" xfId="17454" xr:uid="{00000000-0005-0000-0000-0000585F0000}"/>
    <cellStyle name="40% - Accent6 5 3 2 5" xfId="15118" xr:uid="{00000000-0005-0000-0000-0000595F0000}"/>
    <cellStyle name="40% - Accent6 5 3 3" xfId="29855" xr:uid="{00000000-0005-0000-0000-00005A5F0000}"/>
    <cellStyle name="40% - Accent6 5 3 3 2" xfId="15053" xr:uid="{00000000-0005-0000-0000-00005B5F0000}"/>
    <cellStyle name="40% - Accent6 5 3 3 2 2" xfId="28937" xr:uid="{00000000-0005-0000-0000-00005C5F0000}"/>
    <cellStyle name="40% - Accent6 5 3 3 2 2 2" xfId="17793" xr:uid="{00000000-0005-0000-0000-00005D5F0000}"/>
    <cellStyle name="40% - Accent6 5 3 3 2 3" xfId="15065" xr:uid="{00000000-0005-0000-0000-00005E5F0000}"/>
    <cellStyle name="40% - Accent6 5 3 3 3" xfId="15070" xr:uid="{00000000-0005-0000-0000-00005F5F0000}"/>
    <cellStyle name="40% - Accent6 5 3 3 3 2" xfId="15189" xr:uid="{00000000-0005-0000-0000-0000605F0000}"/>
    <cellStyle name="40% - Accent6 5 3 3 4" xfId="15077" xr:uid="{00000000-0005-0000-0000-0000615F0000}"/>
    <cellStyle name="40% - Accent6 5 3 4" xfId="3936" xr:uid="{00000000-0005-0000-0000-0000625F0000}"/>
    <cellStyle name="40% - Accent6 5 3 4 2" xfId="26308" xr:uid="{00000000-0005-0000-0000-0000635F0000}"/>
    <cellStyle name="40% - Accent6 5 3 4 2 2" xfId="15096" xr:uid="{00000000-0005-0000-0000-0000645F0000}"/>
    <cellStyle name="40% - Accent6 5 3 4 3" xfId="15103" xr:uid="{00000000-0005-0000-0000-0000655F0000}"/>
    <cellStyle name="40% - Accent6 5 3 5" xfId="26953" xr:uid="{00000000-0005-0000-0000-0000665F0000}"/>
    <cellStyle name="40% - Accent6 5 3 5 2" xfId="15111" xr:uid="{00000000-0005-0000-0000-0000675F0000}"/>
    <cellStyle name="40% - Accent6 5 3 6" xfId="29708" xr:uid="{00000000-0005-0000-0000-0000685F0000}"/>
    <cellStyle name="40% - Accent6 5 4" xfId="26954" xr:uid="{00000000-0005-0000-0000-0000695F0000}"/>
    <cellStyle name="40% - Accent6 5 4 2" xfId="24705" xr:uid="{00000000-0005-0000-0000-00006A5F0000}"/>
    <cellStyle name="40% - Accent6 5 4 2 2" xfId="26321" xr:uid="{00000000-0005-0000-0000-00006B5F0000}"/>
    <cellStyle name="40% - Accent6 5 4 2 2 2" xfId="26403" xr:uid="{00000000-0005-0000-0000-00006C5F0000}"/>
    <cellStyle name="40% - Accent6 5 4 2 2 2 2" xfId="13578" xr:uid="{00000000-0005-0000-0000-00006D5F0000}"/>
    <cellStyle name="40% - Accent6 5 4 2 2 3" xfId="19217" xr:uid="{00000000-0005-0000-0000-00006E5F0000}"/>
    <cellStyle name="40% - Accent6 5 4 2 3" xfId="20867" xr:uid="{00000000-0005-0000-0000-00006F5F0000}"/>
    <cellStyle name="40% - Accent6 5 4 2 3 2" xfId="19272" xr:uid="{00000000-0005-0000-0000-0000705F0000}"/>
    <cellStyle name="40% - Accent6 5 4 2 4" xfId="20768" xr:uid="{00000000-0005-0000-0000-0000715F0000}"/>
    <cellStyle name="40% - Accent6 5 4 3" xfId="22551" xr:uid="{00000000-0005-0000-0000-0000725F0000}"/>
    <cellStyle name="40% - Accent6 5 4 3 2" xfId="26344" xr:uid="{00000000-0005-0000-0000-0000735F0000}"/>
    <cellStyle name="40% - Accent6 5 4 3 2 2" xfId="15147" xr:uid="{00000000-0005-0000-0000-0000745F0000}"/>
    <cellStyle name="40% - Accent6 5 4 3 3" xfId="15156" xr:uid="{00000000-0005-0000-0000-0000755F0000}"/>
    <cellStyle name="40% - Accent6 5 4 4" xfId="20288" xr:uid="{00000000-0005-0000-0000-0000765F0000}"/>
    <cellStyle name="40% - Accent6 5 4 4 2" xfId="15168" xr:uid="{00000000-0005-0000-0000-0000775F0000}"/>
    <cellStyle name="40% - Accent6 5 4 5" xfId="26957" xr:uid="{00000000-0005-0000-0000-0000785F0000}"/>
    <cellStyle name="40% - Accent6 5 5" xfId="26958" xr:uid="{00000000-0005-0000-0000-0000795F0000}"/>
    <cellStyle name="40% - Accent6 5 5 2" xfId="24721" xr:uid="{00000000-0005-0000-0000-00007A5F0000}"/>
    <cellStyle name="40% - Accent6 5 5 2 2" xfId="26959" xr:uid="{00000000-0005-0000-0000-00007B5F0000}"/>
    <cellStyle name="40% - Accent6 5 5 2 2 2" xfId="22754" xr:uid="{00000000-0005-0000-0000-00007C5F0000}"/>
    <cellStyle name="40% - Accent6 5 5 2 3" xfId="20887" xr:uid="{00000000-0005-0000-0000-00007D5F0000}"/>
    <cellStyle name="40% - Accent6 5 5 3" xfId="26961" xr:uid="{00000000-0005-0000-0000-00007E5F0000}"/>
    <cellStyle name="40% - Accent6 5 5 3 2" xfId="5246" xr:uid="{00000000-0005-0000-0000-00007F5F0000}"/>
    <cellStyle name="40% - Accent6 5 5 4" xfId="18291" xr:uid="{00000000-0005-0000-0000-0000805F0000}"/>
    <cellStyle name="40% - Accent6 5 6" xfId="3248" xr:uid="{00000000-0005-0000-0000-0000815F0000}"/>
    <cellStyle name="40% - Accent6 5 6 2" xfId="27517" xr:uid="{00000000-0005-0000-0000-0000825F0000}"/>
    <cellStyle name="40% - Accent6 5 6 2 2" xfId="12891" xr:uid="{00000000-0005-0000-0000-0000835F0000}"/>
    <cellStyle name="40% - Accent6 5 6 3" xfId="33836" xr:uid="{00000000-0005-0000-0000-0000845F0000}"/>
    <cellStyle name="40% - Accent6 5 7" xfId="26963" xr:uid="{00000000-0005-0000-0000-0000855F0000}"/>
    <cellStyle name="40% - Accent6 5 7 2" xfId="28008" xr:uid="{00000000-0005-0000-0000-0000865F0000}"/>
    <cellStyle name="40% - Accent6 5 8" xfId="28010" xr:uid="{00000000-0005-0000-0000-0000875F0000}"/>
    <cellStyle name="40% - Accent6 6" xfId="26964" xr:uid="{00000000-0005-0000-0000-0000885F0000}"/>
    <cellStyle name="40% - Accent6 6 2" xfId="19804" xr:uid="{00000000-0005-0000-0000-0000895F0000}"/>
    <cellStyle name="40% - Accent6 6 2 2" xfId="27687" xr:uid="{00000000-0005-0000-0000-00008A5F0000}"/>
    <cellStyle name="40% - Accent6 6 2 2 2" xfId="23941" xr:uid="{00000000-0005-0000-0000-00008B5F0000}"/>
    <cellStyle name="40% - Accent6 6 2 2 2 2" xfId="24132" xr:uid="{00000000-0005-0000-0000-00008C5F0000}"/>
    <cellStyle name="40% - Accent6 6 2 2 2 2 2" xfId="24264" xr:uid="{00000000-0005-0000-0000-00008D5F0000}"/>
    <cellStyle name="40% - Accent6 6 2 2 2 2 2 2" xfId="15704" xr:uid="{00000000-0005-0000-0000-00008E5F0000}"/>
    <cellStyle name="40% - Accent6 6 2 2 2 2 3" xfId="26974" xr:uid="{00000000-0005-0000-0000-00008F5F0000}"/>
    <cellStyle name="40% - Accent6 6 2 2 2 3" xfId="26979" xr:uid="{00000000-0005-0000-0000-0000905F0000}"/>
    <cellStyle name="40% - Accent6 6 2 2 2 3 2" xfId="28258" xr:uid="{00000000-0005-0000-0000-0000915F0000}"/>
    <cellStyle name="40% - Accent6 6 2 2 2 4" xfId="26986" xr:uid="{00000000-0005-0000-0000-0000925F0000}"/>
    <cellStyle name="40% - Accent6 6 2 2 3" xfId="19816" xr:uid="{00000000-0005-0000-0000-0000935F0000}"/>
    <cellStyle name="40% - Accent6 6 2 2 3 2" xfId="22816" xr:uid="{00000000-0005-0000-0000-0000945F0000}"/>
    <cellStyle name="40% - Accent6 6 2 2 3 2 2" xfId="1476" xr:uid="{00000000-0005-0000-0000-0000955F0000}"/>
    <cellStyle name="40% - Accent6 6 2 2 3 3" xfId="19385" xr:uid="{00000000-0005-0000-0000-0000965F0000}"/>
    <cellStyle name="40% - Accent6 6 2 2 4" xfId="20974" xr:uid="{00000000-0005-0000-0000-0000975F0000}"/>
    <cellStyle name="40% - Accent6 6 2 2 4 2" xfId="26580" xr:uid="{00000000-0005-0000-0000-0000985F0000}"/>
    <cellStyle name="40% - Accent6 6 2 2 5" xfId="19836" xr:uid="{00000000-0005-0000-0000-0000995F0000}"/>
    <cellStyle name="40% - Accent6 6 2 3" xfId="24677" xr:uid="{00000000-0005-0000-0000-00009A5F0000}"/>
    <cellStyle name="40% - Accent6 6 2 3 2" xfId="26990" xr:uid="{00000000-0005-0000-0000-00009B5F0000}"/>
    <cellStyle name="40% - Accent6 6 2 3 2 2" xfId="23310" xr:uid="{00000000-0005-0000-0000-00009C5F0000}"/>
    <cellStyle name="40% - Accent6 6 2 3 2 2 2" xfId="26996" xr:uid="{00000000-0005-0000-0000-00009D5F0000}"/>
    <cellStyle name="40% - Accent6 6 2 3 2 3" xfId="26560" xr:uid="{00000000-0005-0000-0000-00009E5F0000}"/>
    <cellStyle name="40% - Accent6 6 2 3 3" xfId="19855" xr:uid="{00000000-0005-0000-0000-00009F5F0000}"/>
    <cellStyle name="40% - Accent6 6 2 3 3 2" xfId="26598" xr:uid="{00000000-0005-0000-0000-0000A05F0000}"/>
    <cellStyle name="40% - Accent6 6 2 3 4" xfId="19639" xr:uid="{00000000-0005-0000-0000-0000A15F0000}"/>
    <cellStyle name="40% - Accent6 6 2 4" xfId="12553" xr:uid="{00000000-0005-0000-0000-0000A25F0000}"/>
    <cellStyle name="40% - Accent6 6 2 4 2" xfId="26412" xr:uid="{00000000-0005-0000-0000-0000A35F0000}"/>
    <cellStyle name="40% - Accent6 6 2 4 2 2" xfId="27006" xr:uid="{00000000-0005-0000-0000-0000A45F0000}"/>
    <cellStyle name="40% - Accent6 6 2 4 3" xfId="20993" xr:uid="{00000000-0005-0000-0000-0000A55F0000}"/>
    <cellStyle name="40% - Accent6 6 2 5" xfId="27011" xr:uid="{00000000-0005-0000-0000-0000A65F0000}"/>
    <cellStyle name="40% - Accent6 6 2 5 2" xfId="26733" xr:uid="{00000000-0005-0000-0000-0000A75F0000}"/>
    <cellStyle name="40% - Accent6 6 2 6" xfId="27017" xr:uid="{00000000-0005-0000-0000-0000A85F0000}"/>
    <cellStyle name="40% - Accent6 6 3" xfId="11543" xr:uid="{00000000-0005-0000-0000-0000A95F0000}"/>
    <cellStyle name="40% - Accent6 6 3 2" xfId="27025" xr:uid="{00000000-0005-0000-0000-0000AA5F0000}"/>
    <cellStyle name="40% - Accent6 6 3 2 2" xfId="19869" xr:uid="{00000000-0005-0000-0000-0000AB5F0000}"/>
    <cellStyle name="40% - Accent6 6 3 2 2 2" xfId="27033" xr:uid="{00000000-0005-0000-0000-0000AC5F0000}"/>
    <cellStyle name="40% - Accent6 6 3 2 2 2 2" xfId="29388" xr:uid="{00000000-0005-0000-0000-0000AD5F0000}"/>
    <cellStyle name="40% - Accent6 6 3 2 2 3" xfId="22302" xr:uid="{00000000-0005-0000-0000-0000AE5F0000}"/>
    <cellStyle name="40% - Accent6 6 3 2 3" xfId="21006" xr:uid="{00000000-0005-0000-0000-0000AF5F0000}"/>
    <cellStyle name="40% - Accent6 6 3 2 3 2" xfId="21625" xr:uid="{00000000-0005-0000-0000-0000B05F0000}"/>
    <cellStyle name="40% - Accent6 6 3 2 4" xfId="21021" xr:uid="{00000000-0005-0000-0000-0000B15F0000}"/>
    <cellStyle name="40% - Accent6 6 3 3" xfId="19888" xr:uid="{00000000-0005-0000-0000-0000B25F0000}"/>
    <cellStyle name="40% - Accent6 6 3 3 2" xfId="24589" xr:uid="{00000000-0005-0000-0000-0000B35F0000}"/>
    <cellStyle name="40% - Accent6 6 3 3 2 2" xfId="22934" xr:uid="{00000000-0005-0000-0000-0000B45F0000}"/>
    <cellStyle name="40% - Accent6 6 3 3 3" xfId="27454" xr:uid="{00000000-0005-0000-0000-0000B55F0000}"/>
    <cellStyle name="40% - Accent6 6 3 4" xfId="27038" xr:uid="{00000000-0005-0000-0000-0000B65F0000}"/>
    <cellStyle name="40% - Accent6 6 3 4 2" xfId="30143" xr:uid="{00000000-0005-0000-0000-0000B75F0000}"/>
    <cellStyle name="40% - Accent6 6 3 5" xfId="27045" xr:uid="{00000000-0005-0000-0000-0000B85F0000}"/>
    <cellStyle name="40% - Accent6 6 4" xfId="27048" xr:uid="{00000000-0005-0000-0000-0000B95F0000}"/>
    <cellStyle name="40% - Accent6 6 4 2" xfId="24729" xr:uid="{00000000-0005-0000-0000-0000BA5F0000}"/>
    <cellStyle name="40% - Accent6 6 4 2 2" xfId="26048" xr:uid="{00000000-0005-0000-0000-0000BB5F0000}"/>
    <cellStyle name="40% - Accent6 6 4 2 2 2" xfId="27064" xr:uid="{00000000-0005-0000-0000-0000BC5F0000}"/>
    <cellStyle name="40% - Accent6 6 4 2 3" xfId="24604" xr:uid="{00000000-0005-0000-0000-0000BD5F0000}"/>
    <cellStyle name="40% - Accent6 6 4 3" xfId="23886" xr:uid="{00000000-0005-0000-0000-0000BE5F0000}"/>
    <cellStyle name="40% - Accent6 6 4 3 2" xfId="22281" xr:uid="{00000000-0005-0000-0000-0000BF5F0000}"/>
    <cellStyle name="40% - Accent6 6 4 4" xfId="23677" xr:uid="{00000000-0005-0000-0000-0000C05F0000}"/>
    <cellStyle name="40% - Accent6 6 5" xfId="27069" xr:uid="{00000000-0005-0000-0000-0000C15F0000}"/>
    <cellStyle name="40% - Accent6 6 5 2" xfId="27072" xr:uid="{00000000-0005-0000-0000-0000C25F0000}"/>
    <cellStyle name="40% - Accent6 6 5 2 2" xfId="26065" xr:uid="{00000000-0005-0000-0000-0000C35F0000}"/>
    <cellStyle name="40% - Accent6 6 5 3" xfId="26793" xr:uid="{00000000-0005-0000-0000-0000C45F0000}"/>
    <cellStyle name="40% - Accent6 6 6" xfId="27079" xr:uid="{00000000-0005-0000-0000-0000C55F0000}"/>
    <cellStyle name="40% - Accent6 6 6 2" xfId="26611" xr:uid="{00000000-0005-0000-0000-0000C65F0000}"/>
    <cellStyle name="40% - Accent6 6 7" xfId="27088" xr:uid="{00000000-0005-0000-0000-0000C75F0000}"/>
    <cellStyle name="40% - Accent6 7" xfId="20903" xr:uid="{00000000-0005-0000-0000-0000C85F0000}"/>
    <cellStyle name="40% - Accent6 7 2" xfId="19909" xr:uid="{00000000-0005-0000-0000-0000C95F0000}"/>
    <cellStyle name="40% - Accent6 7 2 2" xfId="21954" xr:uid="{00000000-0005-0000-0000-0000CA5F0000}"/>
    <cellStyle name="40% - Accent6 7 2 2 2" xfId="27528" xr:uid="{00000000-0005-0000-0000-0000CB5F0000}"/>
    <cellStyle name="40% - Accent6 7 2 2 2 2" xfId="19917" xr:uid="{00000000-0005-0000-0000-0000CC5F0000}"/>
    <cellStyle name="40% - Accent6 7 2 2 2 2 2" xfId="27090" xr:uid="{00000000-0005-0000-0000-0000CD5F0000}"/>
    <cellStyle name="40% - Accent6 7 2 2 2 3" xfId="6252" xr:uid="{00000000-0005-0000-0000-0000CE5F0000}"/>
    <cellStyle name="40% - Accent6 7 2 2 3" xfId="19927" xr:uid="{00000000-0005-0000-0000-0000CF5F0000}"/>
    <cellStyle name="40% - Accent6 7 2 2 3 2" xfId="26644" xr:uid="{00000000-0005-0000-0000-0000D05F0000}"/>
    <cellStyle name="40% - Accent6 7 2 2 4" xfId="21078" xr:uid="{00000000-0005-0000-0000-0000D15F0000}"/>
    <cellStyle name="40% - Accent6 7 2 3" xfId="19937" xr:uid="{00000000-0005-0000-0000-0000D25F0000}"/>
    <cellStyle name="40% - Accent6 7 2 3 2" xfId="20171" xr:uid="{00000000-0005-0000-0000-0000D35F0000}"/>
    <cellStyle name="40% - Accent6 7 2 3 2 2" xfId="27273" xr:uid="{00000000-0005-0000-0000-0000D45F0000}"/>
    <cellStyle name="40% - Accent6 7 2 3 3" xfId="21084" xr:uid="{00000000-0005-0000-0000-0000D55F0000}"/>
    <cellStyle name="40% - Accent6 7 2 4" xfId="19945" xr:uid="{00000000-0005-0000-0000-0000D65F0000}"/>
    <cellStyle name="40% - Accent6 7 2 4 2" xfId="27098" xr:uid="{00000000-0005-0000-0000-0000D75F0000}"/>
    <cellStyle name="40% - Accent6 7 2 5" xfId="21318" xr:uid="{00000000-0005-0000-0000-0000D85F0000}"/>
    <cellStyle name="40% - Accent6 7 3" xfId="19948" xr:uid="{00000000-0005-0000-0000-0000D95F0000}"/>
    <cellStyle name="40% - Accent6 7 3 2" xfId="19949" xr:uid="{00000000-0005-0000-0000-0000DA5F0000}"/>
    <cellStyle name="40% - Accent6 7 3 2 2" xfId="27103" xr:uid="{00000000-0005-0000-0000-0000DB5F0000}"/>
    <cellStyle name="40% - Accent6 7 3 2 2 2" xfId="27109" xr:uid="{00000000-0005-0000-0000-0000DC5F0000}"/>
    <cellStyle name="40% - Accent6 7 3 2 3" xfId="21097" xr:uid="{00000000-0005-0000-0000-0000DD5F0000}"/>
    <cellStyle name="40% - Accent6 7 3 3" xfId="19954" xr:uid="{00000000-0005-0000-0000-0000DE5F0000}"/>
    <cellStyle name="40% - Accent6 7 3 3 2" xfId="15315" xr:uid="{00000000-0005-0000-0000-0000DF5F0000}"/>
    <cellStyle name="40% - Accent6 7 3 4" xfId="19958" xr:uid="{00000000-0005-0000-0000-0000E05F0000}"/>
    <cellStyle name="40% - Accent6 7 4" xfId="19959" xr:uid="{00000000-0005-0000-0000-0000E15F0000}"/>
    <cellStyle name="40% - Accent6 7 4 2" xfId="19961" xr:uid="{00000000-0005-0000-0000-0000E25F0000}"/>
    <cellStyle name="40% - Accent6 7 4 2 2" xfId="26085" xr:uid="{00000000-0005-0000-0000-0000E35F0000}"/>
    <cellStyle name="40% - Accent6 7 4 3" xfId="26903" xr:uid="{00000000-0005-0000-0000-0000E45F0000}"/>
    <cellStyle name="40% - Accent6 7 5" xfId="15163" xr:uid="{00000000-0005-0000-0000-0000E55F0000}"/>
    <cellStyle name="40% - Accent6 7 5 2" xfId="19970" xr:uid="{00000000-0005-0000-0000-0000E65F0000}"/>
    <cellStyle name="40% - Accent6 7 6" xfId="22151" xr:uid="{00000000-0005-0000-0000-0000E75F0000}"/>
    <cellStyle name="40% - Accent6 8" xfId="26168" xr:uid="{00000000-0005-0000-0000-0000E85F0000}"/>
    <cellStyle name="40% - Accent6 8 2" xfId="19972" xr:uid="{00000000-0005-0000-0000-0000E95F0000}"/>
    <cellStyle name="40% - Accent6 8 2 2" xfId="19977" xr:uid="{00000000-0005-0000-0000-0000EA5F0000}"/>
    <cellStyle name="40% - Accent6 8 2 2 2" xfId="27124" xr:uid="{00000000-0005-0000-0000-0000EB5F0000}"/>
    <cellStyle name="40% - Accent6 8 2 2 2 2" xfId="27128" xr:uid="{00000000-0005-0000-0000-0000EC5F0000}"/>
    <cellStyle name="40% - Accent6 8 2 2 3" xfId="19987" xr:uid="{00000000-0005-0000-0000-0000ED5F0000}"/>
    <cellStyle name="40% - Accent6 8 2 3" xfId="20011" xr:uid="{00000000-0005-0000-0000-0000EE5F0000}"/>
    <cellStyle name="40% - Accent6 8 2 3 2" xfId="5665" xr:uid="{00000000-0005-0000-0000-0000EF5F0000}"/>
    <cellStyle name="40% - Accent6 8 2 4" xfId="21325" xr:uid="{00000000-0005-0000-0000-0000F05F0000}"/>
    <cellStyle name="40% - Accent6 8 3" xfId="20019" xr:uid="{00000000-0005-0000-0000-0000F15F0000}"/>
    <cellStyle name="40% - Accent6 8 3 2" xfId="20020" xr:uid="{00000000-0005-0000-0000-0000F25F0000}"/>
    <cellStyle name="40% - Accent6 8 3 2 2" xfId="28385" xr:uid="{00000000-0005-0000-0000-0000F35F0000}"/>
    <cellStyle name="40% - Accent6 8 3 3" xfId="25720" xr:uid="{00000000-0005-0000-0000-0000F45F0000}"/>
    <cellStyle name="40% - Accent6 8 4" xfId="18481" xr:uid="{00000000-0005-0000-0000-0000F55F0000}"/>
    <cellStyle name="40% - Accent6 8 4 2" xfId="30138" xr:uid="{00000000-0005-0000-0000-0000F65F0000}"/>
    <cellStyle name="40% - Accent6 8 5" xfId="15174" xr:uid="{00000000-0005-0000-0000-0000F75F0000}"/>
    <cellStyle name="40% - Accent6 9" xfId="20047" xr:uid="{00000000-0005-0000-0000-0000F85F0000}"/>
    <cellStyle name="40% - Accent6 9 2" xfId="20048" xr:uid="{00000000-0005-0000-0000-0000F95F0000}"/>
    <cellStyle name="40% - Accent6 9 2 2" xfId="19989" xr:uid="{00000000-0005-0000-0000-0000FA5F0000}"/>
    <cellStyle name="40% - Accent6 9 2 2 2" xfId="20057" xr:uid="{00000000-0005-0000-0000-0000FB5F0000}"/>
    <cellStyle name="40% - Accent6 9 2 3" xfId="23723" xr:uid="{00000000-0005-0000-0000-0000FC5F0000}"/>
    <cellStyle name="40% - Accent6 9 3" xfId="19758" xr:uid="{00000000-0005-0000-0000-0000FD5F0000}"/>
    <cellStyle name="40% - Accent6 9 3 2" xfId="24051" xr:uid="{00000000-0005-0000-0000-0000FE5F0000}"/>
    <cellStyle name="40% - Accent6 9 4" xfId="18489" xr:uid="{00000000-0005-0000-0000-0000FF5F0000}"/>
    <cellStyle name="60% - Accent1 2" xfId="9815" xr:uid="{00000000-0005-0000-0000-000000600000}"/>
    <cellStyle name="60% - Accent1 3" xfId="14490" xr:uid="{00000000-0005-0000-0000-000001600000}"/>
    <cellStyle name="60% - Accent2 2" xfId="83" xr:uid="{00000000-0005-0000-0000-000002600000}"/>
    <cellStyle name="60% - Accent2 3" xfId="11679" xr:uid="{00000000-0005-0000-0000-000003600000}"/>
    <cellStyle name="60% - Accent3 2" xfId="28655" xr:uid="{00000000-0005-0000-0000-000004600000}"/>
    <cellStyle name="60% - Accent3 3" xfId="28678" xr:uid="{00000000-0005-0000-0000-000005600000}"/>
    <cellStyle name="60% - Accent4 2" xfId="28697" xr:uid="{00000000-0005-0000-0000-000006600000}"/>
    <cellStyle name="60% - Accent4 3" xfId="28706" xr:uid="{00000000-0005-0000-0000-000007600000}"/>
    <cellStyle name="60% - Accent5 2" xfId="553" xr:uid="{00000000-0005-0000-0000-000008600000}"/>
    <cellStyle name="60% - Accent5 3" xfId="8130" xr:uid="{00000000-0005-0000-0000-000009600000}"/>
    <cellStyle name="60% - Accent6 2" xfId="13307" xr:uid="{00000000-0005-0000-0000-00000A600000}"/>
    <cellStyle name="60% - Accent6 3" xfId="26228" xr:uid="{00000000-0005-0000-0000-00000B600000}"/>
    <cellStyle name="Accent1 2" xfId="31318" xr:uid="{00000000-0005-0000-0000-00000C600000}"/>
    <cellStyle name="Accent2 2" xfId="10801" xr:uid="{00000000-0005-0000-0000-00000D600000}"/>
    <cellStyle name="Accent3 2" xfId="11053" xr:uid="{00000000-0005-0000-0000-00000E600000}"/>
    <cellStyle name="Accent4 2" xfId="22745" xr:uid="{00000000-0005-0000-0000-00000F600000}"/>
    <cellStyle name="Accent5 2" xfId="18221" xr:uid="{00000000-0005-0000-0000-000010600000}"/>
    <cellStyle name="Accent6 2" xfId="22832" xr:uid="{00000000-0005-0000-0000-000011600000}"/>
    <cellStyle name="Bad 2" xfId="27885" xr:uid="{00000000-0005-0000-0000-000012600000}"/>
    <cellStyle name="Calculation 2" xfId="10199" xr:uid="{00000000-0005-0000-0000-000013600000}"/>
    <cellStyle name="Check Cell 2" xfId="28103" xr:uid="{00000000-0005-0000-0000-000014600000}"/>
    <cellStyle name="Comma" xfId="34037" builtinId="3"/>
    <cellStyle name="Comma 2" xfId="13193" xr:uid="{00000000-0005-0000-0000-000016600000}"/>
    <cellStyle name="Comma 3" xfId="20776" xr:uid="{00000000-0005-0000-0000-000017600000}"/>
    <cellStyle name="Comma 4" xfId="20794" xr:uid="{00000000-0005-0000-0000-000018600000}"/>
    <cellStyle name="Comma 5" xfId="20803" xr:uid="{00000000-0005-0000-0000-000019600000}"/>
    <cellStyle name="Comma 6" xfId="33911" xr:uid="{00000000-0005-0000-0000-00001A600000}"/>
    <cellStyle name="Comma 7" xfId="34036" xr:uid="{B220D406-E6A5-4BC9-980A-E2882323B767}"/>
    <cellStyle name="Excel Built-in Normal" xfId="26536" xr:uid="{00000000-0005-0000-0000-00001B600000}"/>
    <cellStyle name="Excel Built-in Normal 2" xfId="30008" xr:uid="{00000000-0005-0000-0000-00001C600000}"/>
    <cellStyle name="Explanatory Text 2" xfId="11423" xr:uid="{00000000-0005-0000-0000-00001D600000}"/>
    <cellStyle name="Good 2" xfId="7966" xr:uid="{00000000-0005-0000-0000-00001E600000}"/>
    <cellStyle name="Heading 1 2" xfId="27945" xr:uid="{00000000-0005-0000-0000-00001F600000}"/>
    <cellStyle name="Heading 2 2" xfId="27947" xr:uid="{00000000-0005-0000-0000-000020600000}"/>
    <cellStyle name="Heading 3 2" xfId="29981" xr:uid="{00000000-0005-0000-0000-000021600000}"/>
    <cellStyle name="Heading 4 2" xfId="3106" xr:uid="{00000000-0005-0000-0000-000022600000}"/>
    <cellStyle name="Input 2" xfId="22623" xr:uid="{00000000-0005-0000-0000-000023600000}"/>
    <cellStyle name="Linked Cell 2" xfId="7873" xr:uid="{00000000-0005-0000-0000-000024600000}"/>
    <cellStyle name="Neutral 2" xfId="18022" xr:uid="{00000000-0005-0000-0000-000025600000}"/>
    <cellStyle name="Neutral 3" xfId="26166" xr:uid="{00000000-0005-0000-0000-000026600000}"/>
    <cellStyle name="Normal" xfId="0" builtinId="0"/>
    <cellStyle name="Normal 10" xfId="17312" xr:uid="{00000000-0005-0000-0000-000028600000}"/>
    <cellStyle name="Normal 10 2" xfId="17038" xr:uid="{00000000-0005-0000-0000-000029600000}"/>
    <cellStyle name="Normal 11" xfId="11204" xr:uid="{00000000-0005-0000-0000-00002A600000}"/>
    <cellStyle name="Normal 11 2" xfId="30020" xr:uid="{00000000-0005-0000-0000-00002B600000}"/>
    <cellStyle name="Normal 11 2 2" xfId="14479" xr:uid="{00000000-0005-0000-0000-00002C600000}"/>
    <cellStyle name="Normal 11 2 2 2" xfId="33646" xr:uid="{00000000-0005-0000-0000-00002D600000}"/>
    <cellStyle name="Normal 11 2 2 2 2" xfId="2181" xr:uid="{00000000-0005-0000-0000-00002E600000}"/>
    <cellStyle name="Normal 11 2 2 2 2 2" xfId="24840" xr:uid="{00000000-0005-0000-0000-00002F600000}"/>
    <cellStyle name="Normal 11 2 2 2 2 2 2" xfId="27138" xr:uid="{00000000-0005-0000-0000-000030600000}"/>
    <cellStyle name="Normal 11 2 2 2 2 2 2 2" xfId="19132" xr:uid="{00000000-0005-0000-0000-000031600000}"/>
    <cellStyle name="Normal 11 2 2 2 2 2 3" xfId="27143" xr:uid="{00000000-0005-0000-0000-000032600000}"/>
    <cellStyle name="Normal 11 2 2 2 2 3" xfId="24849" xr:uid="{00000000-0005-0000-0000-000033600000}"/>
    <cellStyle name="Normal 11 2 2 2 2 3 2" xfId="27146" xr:uid="{00000000-0005-0000-0000-000034600000}"/>
    <cellStyle name="Normal 11 2 2 2 2 4" xfId="26885" xr:uid="{00000000-0005-0000-0000-000035600000}"/>
    <cellStyle name="Normal 11 2 2 2 3" xfId="18881" xr:uid="{00000000-0005-0000-0000-000036600000}"/>
    <cellStyle name="Normal 11 2 2 2 3 2" xfId="18886" xr:uid="{00000000-0005-0000-0000-000037600000}"/>
    <cellStyle name="Normal 11 2 2 2 3 2 2" xfId="14711" xr:uid="{00000000-0005-0000-0000-000038600000}"/>
    <cellStyle name="Normal 11 2 2 2 3 3" xfId="18901" xr:uid="{00000000-0005-0000-0000-000039600000}"/>
    <cellStyle name="Normal 11 2 2 2 4" xfId="12988" xr:uid="{00000000-0005-0000-0000-00003A600000}"/>
    <cellStyle name="Normal 11 2 2 2 4 2" xfId="24041" xr:uid="{00000000-0005-0000-0000-00003B600000}"/>
    <cellStyle name="Normal 11 2 2 2 5" xfId="19161" xr:uid="{00000000-0005-0000-0000-00003C600000}"/>
    <cellStyle name="Normal 11 2 2 3" xfId="9766" xr:uid="{00000000-0005-0000-0000-00003D600000}"/>
    <cellStyle name="Normal 11 2 2 3 2" xfId="27148" xr:uid="{00000000-0005-0000-0000-00003E600000}"/>
    <cellStyle name="Normal 11 2 2 3 2 2" xfId="24183" xr:uid="{00000000-0005-0000-0000-00003F600000}"/>
    <cellStyle name="Normal 11 2 2 3 2 2 2" xfId="17562" xr:uid="{00000000-0005-0000-0000-000040600000}"/>
    <cellStyle name="Normal 11 2 2 3 2 3" xfId="8752" xr:uid="{00000000-0005-0000-0000-000041600000}"/>
    <cellStyle name="Normal 11 2 2 3 3" xfId="18919" xr:uid="{00000000-0005-0000-0000-000042600000}"/>
    <cellStyle name="Normal 11 2 2 3 3 2" xfId="24070" xr:uid="{00000000-0005-0000-0000-000043600000}"/>
    <cellStyle name="Normal 11 2 2 3 4" xfId="22601" xr:uid="{00000000-0005-0000-0000-000044600000}"/>
    <cellStyle name="Normal 11 2 2 4" xfId="25091" xr:uid="{00000000-0005-0000-0000-000045600000}"/>
    <cellStyle name="Normal 11 2 2 4 2" xfId="26696" xr:uid="{00000000-0005-0000-0000-000046600000}"/>
    <cellStyle name="Normal 11 2 2 4 2 2" xfId="26455" xr:uid="{00000000-0005-0000-0000-000047600000}"/>
    <cellStyle name="Normal 11 2 2 4 3" xfId="18935" xr:uid="{00000000-0005-0000-0000-000048600000}"/>
    <cellStyle name="Normal 11 2 2 5" xfId="26804" xr:uid="{00000000-0005-0000-0000-000049600000}"/>
    <cellStyle name="Normal 11 2 2 5 2" xfId="14828" xr:uid="{00000000-0005-0000-0000-00004A600000}"/>
    <cellStyle name="Normal 11 2 2 6" xfId="11758" xr:uid="{00000000-0005-0000-0000-00004B600000}"/>
    <cellStyle name="Normal 11 2 3" xfId="946" xr:uid="{00000000-0005-0000-0000-00004C600000}"/>
    <cellStyle name="Normal 11 2 3 2" xfId="33305" xr:uid="{00000000-0005-0000-0000-00004D600000}"/>
    <cellStyle name="Normal 11 2 3 2 2" xfId="27150" xr:uid="{00000000-0005-0000-0000-00004E600000}"/>
    <cellStyle name="Normal 11 2 3 2 2 2" xfId="10085" xr:uid="{00000000-0005-0000-0000-00004F600000}"/>
    <cellStyle name="Normal 11 2 3 2 2 2 2" xfId="27156" xr:uid="{00000000-0005-0000-0000-000050600000}"/>
    <cellStyle name="Normal 11 2 3 2 2 3" xfId="27161" xr:uid="{00000000-0005-0000-0000-000051600000}"/>
    <cellStyle name="Normal 11 2 3 2 3" xfId="19117" xr:uid="{00000000-0005-0000-0000-000052600000}"/>
    <cellStyle name="Normal 11 2 3 2 3 2" xfId="1688" xr:uid="{00000000-0005-0000-0000-000053600000}"/>
    <cellStyle name="Normal 11 2 3 2 4" xfId="22802" xr:uid="{00000000-0005-0000-0000-000054600000}"/>
    <cellStyle name="Normal 11 2 3 3" xfId="30731" xr:uid="{00000000-0005-0000-0000-000055600000}"/>
    <cellStyle name="Normal 11 2 3 3 2" xfId="27873" xr:uid="{00000000-0005-0000-0000-000056600000}"/>
    <cellStyle name="Normal 11 2 3 3 2 2" xfId="24492" xr:uid="{00000000-0005-0000-0000-000057600000}"/>
    <cellStyle name="Normal 11 2 3 3 3" xfId="19867" xr:uid="{00000000-0005-0000-0000-000058600000}"/>
    <cellStyle name="Normal 11 2 3 4" xfId="30331" xr:uid="{00000000-0005-0000-0000-000059600000}"/>
    <cellStyle name="Normal 11 2 3 4 2" xfId="20310" xr:uid="{00000000-0005-0000-0000-00005A600000}"/>
    <cellStyle name="Normal 11 2 3 5" xfId="29532" xr:uid="{00000000-0005-0000-0000-00005B600000}"/>
    <cellStyle name="Normal 11 2 4" xfId="31973" xr:uid="{00000000-0005-0000-0000-00005C600000}"/>
    <cellStyle name="Normal 11 2 4 2" xfId="17457" xr:uid="{00000000-0005-0000-0000-00005D600000}"/>
    <cellStyle name="Normal 11 2 4 2 2" xfId="6417" xr:uid="{00000000-0005-0000-0000-00005E600000}"/>
    <cellStyle name="Normal 11 2 4 2 2 2" xfId="6424" xr:uid="{00000000-0005-0000-0000-00005F600000}"/>
    <cellStyle name="Normal 11 2 4 2 3" xfId="6428" xr:uid="{00000000-0005-0000-0000-000060600000}"/>
    <cellStyle name="Normal 11 2 4 3" xfId="17460" xr:uid="{00000000-0005-0000-0000-000061600000}"/>
    <cellStyle name="Normal 11 2 4 3 2" xfId="24945" xr:uid="{00000000-0005-0000-0000-000062600000}"/>
    <cellStyle name="Normal 11 2 4 4" xfId="5694" xr:uid="{00000000-0005-0000-0000-000063600000}"/>
    <cellStyle name="Normal 11 2 5" xfId="27166" xr:uid="{00000000-0005-0000-0000-000064600000}"/>
    <cellStyle name="Normal 11 2 5 2" xfId="17882" xr:uid="{00000000-0005-0000-0000-000065600000}"/>
    <cellStyle name="Normal 11 2 5 2 2" xfId="4859" xr:uid="{00000000-0005-0000-0000-000066600000}"/>
    <cellStyle name="Normal 11 2 5 3" xfId="6075" xr:uid="{00000000-0005-0000-0000-000067600000}"/>
    <cellStyle name="Normal 11 2 6" xfId="14037" xr:uid="{00000000-0005-0000-0000-000068600000}"/>
    <cellStyle name="Normal 11 2 6 2" xfId="18239" xr:uid="{00000000-0005-0000-0000-000069600000}"/>
    <cellStyle name="Normal 11 2 7" xfId="11325" xr:uid="{00000000-0005-0000-0000-00006A600000}"/>
    <cellStyle name="Normal 11 2 8" xfId="10397" xr:uid="{00000000-0005-0000-0000-00006B600000}"/>
    <cellStyle name="Normal 11 3" xfId="33681" xr:uid="{00000000-0005-0000-0000-00006C600000}"/>
    <cellStyle name="Normal 11 3 2" xfId="27168" xr:uid="{00000000-0005-0000-0000-00006D600000}"/>
    <cellStyle name="Normal 11 3 2 2" xfId="27169" xr:uid="{00000000-0005-0000-0000-00006E600000}"/>
    <cellStyle name="Normal 11 3 2 2 2" xfId="27430" xr:uid="{00000000-0005-0000-0000-00006F600000}"/>
    <cellStyle name="Normal 11 3 2 2 2 2" xfId="24861" xr:uid="{00000000-0005-0000-0000-000070600000}"/>
    <cellStyle name="Normal 11 3 2 2 2 2 2" xfId="27172" xr:uid="{00000000-0005-0000-0000-000071600000}"/>
    <cellStyle name="Normal 11 3 2 2 2 3" xfId="27725" xr:uid="{00000000-0005-0000-0000-000072600000}"/>
    <cellStyle name="Normal 11 3 2 2 3" xfId="19549" xr:uid="{00000000-0005-0000-0000-000073600000}"/>
    <cellStyle name="Normal 11 3 2 2 3 2" xfId="22624" xr:uid="{00000000-0005-0000-0000-000074600000}"/>
    <cellStyle name="Normal 11 3 2 2 4" xfId="19553" xr:uid="{00000000-0005-0000-0000-000075600000}"/>
    <cellStyle name="Normal 11 3 2 3" xfId="25098" xr:uid="{00000000-0005-0000-0000-000076600000}"/>
    <cellStyle name="Normal 11 3 2 3 2" xfId="27178" xr:uid="{00000000-0005-0000-0000-000077600000}"/>
    <cellStyle name="Normal 11 3 2 3 2 2" xfId="27182" xr:uid="{00000000-0005-0000-0000-000078600000}"/>
    <cellStyle name="Normal 11 3 2 3 3" xfId="19578" xr:uid="{00000000-0005-0000-0000-000079600000}"/>
    <cellStyle name="Normal 11 3 2 4" xfId="28242" xr:uid="{00000000-0005-0000-0000-00007A600000}"/>
    <cellStyle name="Normal 11 3 2 4 2" xfId="9753" xr:uid="{00000000-0005-0000-0000-00007B600000}"/>
    <cellStyle name="Normal 11 3 2 5" xfId="29075" xr:uid="{00000000-0005-0000-0000-00007C600000}"/>
    <cellStyle name="Normal 11 3 3" xfId="31029" xr:uid="{00000000-0005-0000-0000-00007D600000}"/>
    <cellStyle name="Normal 11 3 3 2" xfId="28639" xr:uid="{00000000-0005-0000-0000-00007E600000}"/>
    <cellStyle name="Normal 11 3 3 2 2" xfId="27189" xr:uid="{00000000-0005-0000-0000-00007F600000}"/>
    <cellStyle name="Normal 11 3 3 2 2 2" xfId="16419" xr:uid="{00000000-0005-0000-0000-000080600000}"/>
    <cellStyle name="Normal 11 3 3 2 3" xfId="19673" xr:uid="{00000000-0005-0000-0000-000081600000}"/>
    <cellStyle name="Normal 11 3 3 3" xfId="31999" xr:uid="{00000000-0005-0000-0000-000082600000}"/>
    <cellStyle name="Normal 11 3 3 3 2" xfId="29610" xr:uid="{00000000-0005-0000-0000-000083600000}"/>
    <cellStyle name="Normal 11 3 3 4" xfId="32003" xr:uid="{00000000-0005-0000-0000-000084600000}"/>
    <cellStyle name="Normal 11 3 4" xfId="27193" xr:uid="{00000000-0005-0000-0000-000085600000}"/>
    <cellStyle name="Normal 11 3 4 2" xfId="20689" xr:uid="{00000000-0005-0000-0000-000086600000}"/>
    <cellStyle name="Normal 11 3 4 2 2" xfId="6542" xr:uid="{00000000-0005-0000-0000-000087600000}"/>
    <cellStyle name="Normal 11 3 4 3" xfId="19315" xr:uid="{00000000-0005-0000-0000-000088600000}"/>
    <cellStyle name="Normal 11 3 5" xfId="25820" xr:uid="{00000000-0005-0000-0000-000089600000}"/>
    <cellStyle name="Normal 11 3 5 2" xfId="19786" xr:uid="{00000000-0005-0000-0000-00008A600000}"/>
    <cellStyle name="Normal 11 3 6" xfId="18856" xr:uid="{00000000-0005-0000-0000-00008B600000}"/>
    <cellStyle name="Normal 11 4" xfId="30285" xr:uid="{00000000-0005-0000-0000-00008C600000}"/>
    <cellStyle name="Normal 11 4 2" xfId="32544" xr:uid="{00000000-0005-0000-0000-00008D600000}"/>
    <cellStyle name="Normal 11 4 2 2" xfId="24187" xr:uid="{00000000-0005-0000-0000-00008E600000}"/>
    <cellStyle name="Normal 11 4 2 2 2" xfId="6030" xr:uid="{00000000-0005-0000-0000-00008F600000}"/>
    <cellStyle name="Normal 11 4 2 2 2 2" xfId="28459" xr:uid="{00000000-0005-0000-0000-000090600000}"/>
    <cellStyle name="Normal 11 4 2 2 3" xfId="19897" xr:uid="{00000000-0005-0000-0000-000091600000}"/>
    <cellStyle name="Normal 11 4 2 3" xfId="6666" xr:uid="{00000000-0005-0000-0000-000092600000}"/>
    <cellStyle name="Normal 11 4 2 3 2" xfId="27513" xr:uid="{00000000-0005-0000-0000-000093600000}"/>
    <cellStyle name="Normal 11 4 2 4" xfId="28467" xr:uid="{00000000-0005-0000-0000-000094600000}"/>
    <cellStyle name="Normal 11 4 3" xfId="712" xr:uid="{00000000-0005-0000-0000-000095600000}"/>
    <cellStyle name="Normal 11 4 3 2" xfId="6692" xr:uid="{00000000-0005-0000-0000-000096600000}"/>
    <cellStyle name="Normal 11 4 3 2 2" xfId="33411" xr:uid="{00000000-0005-0000-0000-000097600000}"/>
    <cellStyle name="Normal 11 4 3 3" xfId="31651" xr:uid="{00000000-0005-0000-0000-000098600000}"/>
    <cellStyle name="Normal 11 4 4" xfId="14178" xr:uid="{00000000-0005-0000-0000-000099600000}"/>
    <cellStyle name="Normal 11 4 4 2" xfId="19488" xr:uid="{00000000-0005-0000-0000-00009A600000}"/>
    <cellStyle name="Normal 11 4 5" xfId="18858" xr:uid="{00000000-0005-0000-0000-00009B600000}"/>
    <cellStyle name="Normal 11 5" xfId="32329" xr:uid="{00000000-0005-0000-0000-00009C600000}"/>
    <cellStyle name="Normal 11 5 2" xfId="20077" xr:uid="{00000000-0005-0000-0000-00009D600000}"/>
    <cellStyle name="Normal 11 5 2 2" xfId="24291" xr:uid="{00000000-0005-0000-0000-00009E600000}"/>
    <cellStyle name="Normal 11 5 2 2 2" xfId="18381" xr:uid="{00000000-0005-0000-0000-00009F600000}"/>
    <cellStyle name="Normal 11 5 2 3" xfId="16953" xr:uid="{00000000-0005-0000-0000-0000A0600000}"/>
    <cellStyle name="Normal 11 5 3" xfId="14191" xr:uid="{00000000-0005-0000-0000-0000A1600000}"/>
    <cellStyle name="Normal 11 5 3 2" xfId="24628" xr:uid="{00000000-0005-0000-0000-0000A2600000}"/>
    <cellStyle name="Normal 11 5 4" xfId="7954" xr:uid="{00000000-0005-0000-0000-0000A3600000}"/>
    <cellStyle name="Normal 11 6" xfId="13035" xr:uid="{00000000-0005-0000-0000-0000A4600000}"/>
    <cellStyle name="Normal 11 6 2" xfId="14195" xr:uid="{00000000-0005-0000-0000-0000A5600000}"/>
    <cellStyle name="Normal 11 6 2 2" xfId="24404" xr:uid="{00000000-0005-0000-0000-0000A6600000}"/>
    <cellStyle name="Normal 11 6 3" xfId="1730" xr:uid="{00000000-0005-0000-0000-0000A7600000}"/>
    <cellStyle name="Normal 11 7" xfId="11015" xr:uid="{00000000-0005-0000-0000-0000A8600000}"/>
    <cellStyle name="Normal 11 7 2" xfId="5115" xr:uid="{00000000-0005-0000-0000-0000A9600000}"/>
    <cellStyle name="Normal 11 8" xfId="10139" xr:uid="{00000000-0005-0000-0000-0000AA600000}"/>
    <cellStyle name="Normal 11 9" xfId="27198" xr:uid="{00000000-0005-0000-0000-0000AB600000}"/>
    <cellStyle name="Normal 12" xfId="11712" xr:uid="{00000000-0005-0000-0000-0000AC600000}"/>
    <cellStyle name="Normal 13" xfId="28009" xr:uid="{00000000-0005-0000-0000-0000AD600000}"/>
    <cellStyle name="Normal 13 2" xfId="1142" xr:uid="{00000000-0005-0000-0000-0000AE600000}"/>
    <cellStyle name="Normal 13 2 2" xfId="20880" xr:uid="{00000000-0005-0000-0000-0000AF600000}"/>
    <cellStyle name="Normal 13 2 2 2" xfId="29630" xr:uid="{00000000-0005-0000-0000-0000B0600000}"/>
    <cellStyle name="Normal 13 2 2 2 2" xfId="29743" xr:uid="{00000000-0005-0000-0000-0000B1600000}"/>
    <cellStyle name="Normal 13 2 2 2 2 2" xfId="24673" xr:uid="{00000000-0005-0000-0000-0000B2600000}"/>
    <cellStyle name="Normal 13 2 2 2 2 2 2" xfId="20927" xr:uid="{00000000-0005-0000-0000-0000B3600000}"/>
    <cellStyle name="Normal 13 2 2 2 2 3" xfId="27201" xr:uid="{00000000-0005-0000-0000-0000B4600000}"/>
    <cellStyle name="Normal 13 2 2 2 3" xfId="23781" xr:uid="{00000000-0005-0000-0000-0000B5600000}"/>
    <cellStyle name="Normal 13 2 2 2 3 2" xfId="19731" xr:uid="{00000000-0005-0000-0000-0000B6600000}"/>
    <cellStyle name="Normal 13 2 2 2 4" xfId="23820" xr:uid="{00000000-0005-0000-0000-0000B7600000}"/>
    <cellStyle name="Normal 13 2 2 3" xfId="3716" xr:uid="{00000000-0005-0000-0000-0000B8600000}"/>
    <cellStyle name="Normal 13 2 2 3 2" xfId="27205" xr:uid="{00000000-0005-0000-0000-0000B9600000}"/>
    <cellStyle name="Normal 13 2 2 3 2 2" xfId="19932" xr:uid="{00000000-0005-0000-0000-0000BA600000}"/>
    <cellStyle name="Normal 13 2 2 3 3" xfId="8767" xr:uid="{00000000-0005-0000-0000-0000BB600000}"/>
    <cellStyle name="Normal 13 2 2 4" xfId="19430" xr:uid="{00000000-0005-0000-0000-0000BC600000}"/>
    <cellStyle name="Normal 13 2 2 4 2" xfId="26258" xr:uid="{00000000-0005-0000-0000-0000BD600000}"/>
    <cellStyle name="Normal 13 2 2 5" xfId="29478" xr:uid="{00000000-0005-0000-0000-0000BE600000}"/>
    <cellStyle name="Normal 13 2 3" xfId="27060" xr:uid="{00000000-0005-0000-0000-0000BF600000}"/>
    <cellStyle name="Normal 13 2 3 2" xfId="29753" xr:uid="{00000000-0005-0000-0000-0000C0600000}"/>
    <cellStyle name="Normal 13 2 3 2 2" xfId="26265" xr:uid="{00000000-0005-0000-0000-0000C1600000}"/>
    <cellStyle name="Normal 13 2 3 2 2 2" xfId="13106" xr:uid="{00000000-0005-0000-0000-0000C2600000}"/>
    <cellStyle name="Normal 13 2 3 2 3" xfId="19827" xr:uid="{00000000-0005-0000-0000-0000C3600000}"/>
    <cellStyle name="Normal 13 2 3 3" xfId="27351" xr:uid="{00000000-0005-0000-0000-0000C4600000}"/>
    <cellStyle name="Normal 13 2 3 3 2" xfId="28991" xr:uid="{00000000-0005-0000-0000-0000C5600000}"/>
    <cellStyle name="Normal 13 2 3 4" xfId="21603" xr:uid="{00000000-0005-0000-0000-0000C6600000}"/>
    <cellStyle name="Normal 13 2 4" xfId="26105" xr:uid="{00000000-0005-0000-0000-0000C7600000}"/>
    <cellStyle name="Normal 13 2 4 2" xfId="27210" xr:uid="{00000000-0005-0000-0000-0000C8600000}"/>
    <cellStyle name="Normal 13 2 4 2 2" xfId="1545" xr:uid="{00000000-0005-0000-0000-0000C9600000}"/>
    <cellStyle name="Normal 13 2 4 3" xfId="27211" xr:uid="{00000000-0005-0000-0000-0000CA600000}"/>
    <cellStyle name="Normal 13 2 5" xfId="26113" xr:uid="{00000000-0005-0000-0000-0000CB600000}"/>
    <cellStyle name="Normal 13 2 5 2" xfId="27212" xr:uid="{00000000-0005-0000-0000-0000CC600000}"/>
    <cellStyle name="Normal 13 2 6" xfId="11352" xr:uid="{00000000-0005-0000-0000-0000CD600000}"/>
    <cellStyle name="Normal 13 3" xfId="1022" xr:uid="{00000000-0005-0000-0000-0000CE600000}"/>
    <cellStyle name="Normal 13 3 2" xfId="20835" xr:uid="{00000000-0005-0000-0000-0000CF600000}"/>
    <cellStyle name="Normal 13 3 2 2" xfId="30027" xr:uid="{00000000-0005-0000-0000-0000D0600000}"/>
    <cellStyle name="Normal 13 3 2 2 2" xfId="31805" xr:uid="{00000000-0005-0000-0000-0000D1600000}"/>
    <cellStyle name="Normal 13 3 2 2 2 2" xfId="11392" xr:uid="{00000000-0005-0000-0000-0000D2600000}"/>
    <cellStyle name="Normal 13 3 2 2 3" xfId="24814" xr:uid="{00000000-0005-0000-0000-0000D3600000}"/>
    <cellStyle name="Normal 13 3 2 3" xfId="30043" xr:uid="{00000000-0005-0000-0000-0000D4600000}"/>
    <cellStyle name="Normal 13 3 2 3 2" xfId="30048" xr:uid="{00000000-0005-0000-0000-0000D5600000}"/>
    <cellStyle name="Normal 13 3 2 4" xfId="30053" xr:uid="{00000000-0005-0000-0000-0000D6600000}"/>
    <cellStyle name="Normal 13 3 3" xfId="27218" xr:uid="{00000000-0005-0000-0000-0000D7600000}"/>
    <cellStyle name="Normal 13 3 3 2" xfId="30093" xr:uid="{00000000-0005-0000-0000-0000D8600000}"/>
    <cellStyle name="Normal 13 3 3 2 2" xfId="17967" xr:uid="{00000000-0005-0000-0000-0000D9600000}"/>
    <cellStyle name="Normal 13 3 3 3" xfId="31011" xr:uid="{00000000-0005-0000-0000-0000DA600000}"/>
    <cellStyle name="Normal 13 3 4" xfId="26332" xr:uid="{00000000-0005-0000-0000-0000DB600000}"/>
    <cellStyle name="Normal 13 3 4 2" xfId="27220" xr:uid="{00000000-0005-0000-0000-0000DC600000}"/>
    <cellStyle name="Normal 13 3 5" xfId="26121" xr:uid="{00000000-0005-0000-0000-0000DD600000}"/>
    <cellStyle name="Normal 13 4" xfId="26232" xr:uid="{00000000-0005-0000-0000-0000DE600000}"/>
    <cellStyle name="Normal 13 4 2" xfId="6885" xr:uid="{00000000-0005-0000-0000-0000DF600000}"/>
    <cellStyle name="Normal 13 4 2 2" xfId="30187" xr:uid="{00000000-0005-0000-0000-0000E0600000}"/>
    <cellStyle name="Normal 13 4 2 2 2" xfId="30189" xr:uid="{00000000-0005-0000-0000-0000E1600000}"/>
    <cellStyle name="Normal 13 4 2 3" xfId="9518" xr:uid="{00000000-0005-0000-0000-0000E2600000}"/>
    <cellStyle name="Normal 13 4 3" xfId="27222" xr:uid="{00000000-0005-0000-0000-0000E3600000}"/>
    <cellStyle name="Normal 13 4 3 2" xfId="29987" xr:uid="{00000000-0005-0000-0000-0000E4600000}"/>
    <cellStyle name="Normal 13 4 4" xfId="29813" xr:uid="{00000000-0005-0000-0000-0000E5600000}"/>
    <cellStyle name="Normal 13 5" xfId="16025" xr:uid="{00000000-0005-0000-0000-0000E6600000}"/>
    <cellStyle name="Normal 13 5 2" xfId="33100" xr:uid="{00000000-0005-0000-0000-0000E7600000}"/>
    <cellStyle name="Normal 13 5 2 2" xfId="22610" xr:uid="{00000000-0005-0000-0000-0000E8600000}"/>
    <cellStyle name="Normal 13 5 3" xfId="22791" xr:uid="{00000000-0005-0000-0000-0000E9600000}"/>
    <cellStyle name="Normal 13 6" xfId="24143" xr:uid="{00000000-0005-0000-0000-0000EA600000}"/>
    <cellStyle name="Normal 13 6 2" xfId="27223" xr:uid="{00000000-0005-0000-0000-0000EB600000}"/>
    <cellStyle name="Normal 13 7" xfId="22814" xr:uid="{00000000-0005-0000-0000-0000EC600000}"/>
    <cellStyle name="Normal 14" xfId="31882" xr:uid="{00000000-0005-0000-0000-0000ED600000}"/>
    <cellStyle name="Normal 15" xfId="31644" xr:uid="{00000000-0005-0000-0000-0000EE600000}"/>
    <cellStyle name="Normal 15 2" xfId="23037" xr:uid="{00000000-0005-0000-0000-0000EF600000}"/>
    <cellStyle name="Normal 15 2 2" xfId="27232" xr:uid="{00000000-0005-0000-0000-0000F0600000}"/>
    <cellStyle name="Normal 15 2 2 2" xfId="280" xr:uid="{00000000-0005-0000-0000-0000F1600000}"/>
    <cellStyle name="Normal 15 2 2 2 2" xfId="27556" xr:uid="{00000000-0005-0000-0000-0000F2600000}"/>
    <cellStyle name="Normal 15 2 2 2 2 2" xfId="27238" xr:uid="{00000000-0005-0000-0000-0000F3600000}"/>
    <cellStyle name="Normal 15 2 2 2 3" xfId="14052" xr:uid="{00000000-0005-0000-0000-0000F4600000}"/>
    <cellStyle name="Normal 15 2 2 3" xfId="8500" xr:uid="{00000000-0005-0000-0000-0000F5600000}"/>
    <cellStyle name="Normal 15 2 2 3 2" xfId="3619" xr:uid="{00000000-0005-0000-0000-0000F6600000}"/>
    <cellStyle name="Normal 15 2 2 4" xfId="31368" xr:uid="{00000000-0005-0000-0000-0000F7600000}"/>
    <cellStyle name="Normal 15 2 3" xfId="27241" xr:uid="{00000000-0005-0000-0000-0000F8600000}"/>
    <cellStyle name="Normal 15 2 3 2" xfId="26913" xr:uid="{00000000-0005-0000-0000-0000F9600000}"/>
    <cellStyle name="Normal 15 2 3 2 2" xfId="27544" xr:uid="{00000000-0005-0000-0000-0000FA600000}"/>
    <cellStyle name="Normal 15 2 3 3" xfId="26765" xr:uid="{00000000-0005-0000-0000-0000FB600000}"/>
    <cellStyle name="Normal 15 2 4" xfId="26134" xr:uid="{00000000-0005-0000-0000-0000FC600000}"/>
    <cellStyle name="Normal 15 2 4 2" xfId="26771" xr:uid="{00000000-0005-0000-0000-0000FD600000}"/>
    <cellStyle name="Normal 15 2 5" xfId="27251" xr:uid="{00000000-0005-0000-0000-0000FE600000}"/>
    <cellStyle name="Normal 15 3" xfId="27259" xr:uid="{00000000-0005-0000-0000-0000FF600000}"/>
    <cellStyle name="Normal 15 3 2" xfId="27280" xr:uid="{00000000-0005-0000-0000-000000610000}"/>
    <cellStyle name="Normal 15 3 2 2" xfId="33340" xr:uid="{00000000-0005-0000-0000-000001610000}"/>
    <cellStyle name="Normal 15 3 2 2 2" xfId="16652" xr:uid="{00000000-0005-0000-0000-000002610000}"/>
    <cellStyle name="Normal 15 3 2 3" xfId="31379" xr:uid="{00000000-0005-0000-0000-000003610000}"/>
    <cellStyle name="Normal 15 3 3" xfId="27764" xr:uid="{00000000-0005-0000-0000-000004610000}"/>
    <cellStyle name="Normal 15 3 3 2" xfId="19391" xr:uid="{00000000-0005-0000-0000-000005610000}"/>
    <cellStyle name="Normal 15 3 4" xfId="27283" xr:uid="{00000000-0005-0000-0000-000006610000}"/>
    <cellStyle name="Normal 15 4" xfId="27285" xr:uid="{00000000-0005-0000-0000-000007610000}"/>
    <cellStyle name="Normal 15 4 2" xfId="27287" xr:uid="{00000000-0005-0000-0000-000008610000}"/>
    <cellStyle name="Normal 15 4 2 2" xfId="15419" xr:uid="{00000000-0005-0000-0000-000009610000}"/>
    <cellStyle name="Normal 15 4 3" xfId="27289" xr:uid="{00000000-0005-0000-0000-00000A610000}"/>
    <cellStyle name="Normal 15 5" xfId="16053" xr:uid="{00000000-0005-0000-0000-00000B610000}"/>
    <cellStyle name="Normal 15 5 2" xfId="33615" xr:uid="{00000000-0005-0000-0000-00000C610000}"/>
    <cellStyle name="Normal 15 6" xfId="27294" xr:uid="{00000000-0005-0000-0000-00000D610000}"/>
    <cellStyle name="Normal 16" xfId="32583" xr:uid="{00000000-0005-0000-0000-00000E610000}"/>
    <cellStyle name="Normal 17" xfId="30104" xr:uid="{00000000-0005-0000-0000-00000F610000}"/>
    <cellStyle name="Normal 17 2" xfId="28364" xr:uid="{00000000-0005-0000-0000-000010610000}"/>
    <cellStyle name="Normal 17 2 2" xfId="25623" xr:uid="{00000000-0005-0000-0000-000011610000}"/>
    <cellStyle name="Normal 17 2 2 2" xfId="22764" xr:uid="{00000000-0005-0000-0000-000012610000}"/>
    <cellStyle name="Normal 17 2 2 2 2" xfId="1065" xr:uid="{00000000-0005-0000-0000-000013610000}"/>
    <cellStyle name="Normal 17 2 2 3" xfId="27450" xr:uid="{00000000-0005-0000-0000-000014610000}"/>
    <cellStyle name="Normal 17 2 3" xfId="22778" xr:uid="{00000000-0005-0000-0000-000015610000}"/>
    <cellStyle name="Normal 17 2 3 2" xfId="22509" xr:uid="{00000000-0005-0000-0000-000016610000}"/>
    <cellStyle name="Normal 17 2 4" xfId="27895" xr:uid="{00000000-0005-0000-0000-000017610000}"/>
    <cellStyle name="Normal 17 3" xfId="20244" xr:uid="{00000000-0005-0000-0000-000018610000}"/>
    <cellStyle name="Normal 17 3 2" xfId="1245" xr:uid="{00000000-0005-0000-0000-000019610000}"/>
    <cellStyle name="Normal 17 3 2 2" xfId="5180" xr:uid="{00000000-0005-0000-0000-00001A610000}"/>
    <cellStyle name="Normal 17 3 3" xfId="20762" xr:uid="{00000000-0005-0000-0000-00001B610000}"/>
    <cellStyle name="Normal 17 4" xfId="28784" xr:uid="{00000000-0005-0000-0000-00001C610000}"/>
    <cellStyle name="Normal 17 4 2" xfId="20801" xr:uid="{00000000-0005-0000-0000-00001D610000}"/>
    <cellStyle name="Normal 17 5" xfId="27307" xr:uid="{00000000-0005-0000-0000-00001E610000}"/>
    <cellStyle name="Normal 18" xfId="3010" xr:uid="{00000000-0005-0000-0000-00001F610000}"/>
    <cellStyle name="Normal 19" xfId="22923" xr:uid="{00000000-0005-0000-0000-000020610000}"/>
    <cellStyle name="Normal 19 2" xfId="27972" xr:uid="{00000000-0005-0000-0000-000021610000}"/>
    <cellStyle name="Normal 19 2 2" xfId="13473" xr:uid="{00000000-0005-0000-0000-000022610000}"/>
    <cellStyle name="Normal 19 2 2 2" xfId="21113" xr:uid="{00000000-0005-0000-0000-000023610000}"/>
    <cellStyle name="Normal 19 2 3" xfId="9807" xr:uid="{00000000-0005-0000-0000-000024610000}"/>
    <cellStyle name="Normal 19 3" xfId="25545" xr:uid="{00000000-0005-0000-0000-000025610000}"/>
    <cellStyle name="Normal 19 3 2" xfId="13489" xr:uid="{00000000-0005-0000-0000-000026610000}"/>
    <cellStyle name="Normal 19 4" xfId="27651" xr:uid="{00000000-0005-0000-0000-000027610000}"/>
    <cellStyle name="Normal 2" xfId="27311" xr:uid="{00000000-0005-0000-0000-000028610000}"/>
    <cellStyle name="Normal 2 2" xfId="27312" xr:uid="{00000000-0005-0000-0000-000029610000}"/>
    <cellStyle name="Normal 2 2 2" xfId="27313" xr:uid="{00000000-0005-0000-0000-00002A610000}"/>
    <cellStyle name="Normal 2 3" xfId="16859" xr:uid="{00000000-0005-0000-0000-00002B610000}"/>
    <cellStyle name="Normal 2 3 2" xfId="16862" xr:uid="{00000000-0005-0000-0000-00002C610000}"/>
    <cellStyle name="Normal 2 4" xfId="20826" xr:uid="{00000000-0005-0000-0000-00002D610000}"/>
    <cellStyle name="Normal 20" xfId="31645" xr:uid="{00000000-0005-0000-0000-00002E610000}"/>
    <cellStyle name="Normal 20 2" xfId="23038" xr:uid="{00000000-0005-0000-0000-00002F610000}"/>
    <cellStyle name="Normal 20 2 2" xfId="27233" xr:uid="{00000000-0005-0000-0000-000030610000}"/>
    <cellStyle name="Normal 20 3" xfId="27260" xr:uid="{00000000-0005-0000-0000-000031610000}"/>
    <cellStyle name="Normal 21" xfId="32584" xr:uid="{00000000-0005-0000-0000-000032610000}"/>
    <cellStyle name="Normal 21 2" xfId="21492" xr:uid="{00000000-0005-0000-0000-000033610000}"/>
    <cellStyle name="Normal 22" xfId="30105" xr:uid="{00000000-0005-0000-0000-000034610000}"/>
    <cellStyle name="Normal 23" xfId="3011" xr:uid="{00000000-0005-0000-0000-000035610000}"/>
    <cellStyle name="Normal 24" xfId="22922" xr:uid="{00000000-0005-0000-0000-000036610000}"/>
    <cellStyle name="Normal 25" xfId="22927" xr:uid="{00000000-0005-0000-0000-000037610000}"/>
    <cellStyle name="Normal 3" xfId="27317" xr:uid="{00000000-0005-0000-0000-000039610000}"/>
    <cellStyle name="Normal 3 10" xfId="8469" xr:uid="{00000000-0005-0000-0000-00003A610000}"/>
    <cellStyle name="Normal 3 10 2" xfId="21536" xr:uid="{00000000-0005-0000-0000-00003B610000}"/>
    <cellStyle name="Normal 3 10 2 2" xfId="10574" xr:uid="{00000000-0005-0000-0000-00003C610000}"/>
    <cellStyle name="Normal 3 10 2 2 2" xfId="27323" xr:uid="{00000000-0005-0000-0000-00003D610000}"/>
    <cellStyle name="Normal 3 10 2 3" xfId="28619" xr:uid="{00000000-0005-0000-0000-00003E610000}"/>
    <cellStyle name="Normal 3 10 2 3 2" xfId="5871" xr:uid="{00000000-0005-0000-0000-00003F610000}"/>
    <cellStyle name="Normal 3 10 2 4" xfId="11991" xr:uid="{00000000-0005-0000-0000-000040610000}"/>
    <cellStyle name="Normal 3 10 2 4 2" xfId="5886" xr:uid="{00000000-0005-0000-0000-000041610000}"/>
    <cellStyle name="Normal 3 10 2 5" xfId="11892" xr:uid="{00000000-0005-0000-0000-000042610000}"/>
    <cellStyle name="Normal 3 10 2 5 2" xfId="7294" xr:uid="{00000000-0005-0000-0000-000043610000}"/>
    <cellStyle name="Normal 3 10 2 6" xfId="11995" xr:uid="{00000000-0005-0000-0000-000044610000}"/>
    <cellStyle name="Normal 3 10 2 6 2" xfId="3625" xr:uid="{00000000-0005-0000-0000-000045610000}"/>
    <cellStyle name="Normal 3 10 2 7" xfId="19885" xr:uid="{00000000-0005-0000-0000-000046610000}"/>
    <cellStyle name="Normal 3 10 3" xfId="27984" xr:uid="{00000000-0005-0000-0000-000047610000}"/>
    <cellStyle name="Normal 3 10 3 2" xfId="16879" xr:uid="{00000000-0005-0000-0000-000048610000}"/>
    <cellStyle name="Normal 3 10 4" xfId="24283" xr:uid="{00000000-0005-0000-0000-000049610000}"/>
    <cellStyle name="Normal 3 10 4 2" xfId="14740" xr:uid="{00000000-0005-0000-0000-00004A610000}"/>
    <cellStyle name="Normal 3 10 5" xfId="27324" xr:uid="{00000000-0005-0000-0000-00004B610000}"/>
    <cellStyle name="Normal 3 10 5 2" xfId="27327" xr:uid="{00000000-0005-0000-0000-00004C610000}"/>
    <cellStyle name="Normal 3 10 6" xfId="28462" xr:uid="{00000000-0005-0000-0000-00004D610000}"/>
    <cellStyle name="Normal 3 10 6 2" xfId="11356" xr:uid="{00000000-0005-0000-0000-00004E610000}"/>
    <cellStyle name="Normal 3 10 7" xfId="22757" xr:uid="{00000000-0005-0000-0000-00004F610000}"/>
    <cellStyle name="Normal 3 10 7 2" xfId="11587" xr:uid="{00000000-0005-0000-0000-000050610000}"/>
    <cellStyle name="Normal 3 10 8" xfId="26318" xr:uid="{00000000-0005-0000-0000-000051610000}"/>
    <cellStyle name="Normal 3 11" xfId="1778" xr:uid="{00000000-0005-0000-0000-000052610000}"/>
    <cellStyle name="Normal 3 11 2" xfId="27330" xr:uid="{00000000-0005-0000-0000-000053610000}"/>
    <cellStyle name="Normal 3 11 2 2" xfId="22640" xr:uid="{00000000-0005-0000-0000-000054610000}"/>
    <cellStyle name="Normal 3 11 2 2 2" xfId="27334" xr:uid="{00000000-0005-0000-0000-000055610000}"/>
    <cellStyle name="Normal 3 11 2 3" xfId="31548" xr:uid="{00000000-0005-0000-0000-000056610000}"/>
    <cellStyle name="Normal 3 11 2 3 2" xfId="4695" xr:uid="{00000000-0005-0000-0000-000057610000}"/>
    <cellStyle name="Normal 3 11 2 4" xfId="11686" xr:uid="{00000000-0005-0000-0000-000058610000}"/>
    <cellStyle name="Normal 3 11 2 4 2" xfId="7384" xr:uid="{00000000-0005-0000-0000-000059610000}"/>
    <cellStyle name="Normal 3 11 2 5" xfId="29815" xr:uid="{00000000-0005-0000-0000-00005A610000}"/>
    <cellStyle name="Normal 3 11 2 5 2" xfId="3849" xr:uid="{00000000-0005-0000-0000-00005B610000}"/>
    <cellStyle name="Normal 3 11 2 6" xfId="17696" xr:uid="{00000000-0005-0000-0000-00005C610000}"/>
    <cellStyle name="Normal 3 11 2 6 2" xfId="27336" xr:uid="{00000000-0005-0000-0000-00005D610000}"/>
    <cellStyle name="Normal 3 11 2 7" xfId="27338" xr:uid="{00000000-0005-0000-0000-00005E610000}"/>
    <cellStyle name="Normal 3 11 3" xfId="27339" xr:uid="{00000000-0005-0000-0000-00005F610000}"/>
    <cellStyle name="Normal 3 11 3 2" xfId="1267" xr:uid="{00000000-0005-0000-0000-000060610000}"/>
    <cellStyle name="Normal 3 11 4" xfId="27340" xr:uid="{00000000-0005-0000-0000-000061610000}"/>
    <cellStyle name="Normal 3 11 4 2" xfId="27345" xr:uid="{00000000-0005-0000-0000-000062610000}"/>
    <cellStyle name="Normal 3 11 5" xfId="29578" xr:uid="{00000000-0005-0000-0000-000063610000}"/>
    <cellStyle name="Normal 3 11 5 2" xfId="27346" xr:uid="{00000000-0005-0000-0000-000064610000}"/>
    <cellStyle name="Normal 3 11 6" xfId="22761" xr:uid="{00000000-0005-0000-0000-000065610000}"/>
    <cellStyle name="Normal 3 11 6 2" xfId="11987" xr:uid="{00000000-0005-0000-0000-000066610000}"/>
    <cellStyle name="Normal 3 11 7" xfId="28596" xr:uid="{00000000-0005-0000-0000-000067610000}"/>
    <cellStyle name="Normal 3 11 7 2" xfId="12119" xr:uid="{00000000-0005-0000-0000-000068610000}"/>
    <cellStyle name="Normal 3 11 8" xfId="1490" xr:uid="{00000000-0005-0000-0000-000069610000}"/>
    <cellStyle name="Normal 3 12" xfId="27350" xr:uid="{00000000-0005-0000-0000-00006A610000}"/>
    <cellStyle name="Normal 3 12 2" xfId="33292" xr:uid="{00000000-0005-0000-0000-00006B610000}"/>
    <cellStyle name="Normal 3 12 2 2" xfId="26375" xr:uid="{00000000-0005-0000-0000-00006C610000}"/>
    <cellStyle name="Normal 3 12 2 2 2" xfId="28323" xr:uid="{00000000-0005-0000-0000-00006D610000}"/>
    <cellStyle name="Normal 3 12 2 3" xfId="11274" xr:uid="{00000000-0005-0000-0000-00006E610000}"/>
    <cellStyle name="Normal 3 12 2 3 2" xfId="7435" xr:uid="{00000000-0005-0000-0000-00006F610000}"/>
    <cellStyle name="Normal 3 12 2 4" xfId="29333" xr:uid="{00000000-0005-0000-0000-000070610000}"/>
    <cellStyle name="Normal 3 12 2 4 2" xfId="4974" xr:uid="{00000000-0005-0000-0000-000071610000}"/>
    <cellStyle name="Normal 3 12 2 5" xfId="27354" xr:uid="{00000000-0005-0000-0000-000072610000}"/>
    <cellStyle name="Normal 3 12 2 5 2" xfId="694" xr:uid="{00000000-0005-0000-0000-000073610000}"/>
    <cellStyle name="Normal 3 12 2 6" xfId="27355" xr:uid="{00000000-0005-0000-0000-000074610000}"/>
    <cellStyle name="Normal 3 12 2 6 2" xfId="1975" xr:uid="{00000000-0005-0000-0000-000075610000}"/>
    <cellStyle name="Normal 3 12 2 7" xfId="27356" xr:uid="{00000000-0005-0000-0000-000076610000}"/>
    <cellStyle name="Normal 3 12 3" xfId="27358" xr:uid="{00000000-0005-0000-0000-000077610000}"/>
    <cellStyle name="Normal 3 12 3 2" xfId="27378" xr:uid="{00000000-0005-0000-0000-000078610000}"/>
    <cellStyle name="Normal 3 12 4" xfId="9898" xr:uid="{00000000-0005-0000-0000-000079610000}"/>
    <cellStyle name="Normal 3 12 4 2" xfId="29571" xr:uid="{00000000-0005-0000-0000-00007A610000}"/>
    <cellStyle name="Normal 3 12 5" xfId="33509" xr:uid="{00000000-0005-0000-0000-00007B610000}"/>
    <cellStyle name="Normal 3 12 5 2" xfId="21638" xr:uid="{00000000-0005-0000-0000-00007C610000}"/>
    <cellStyle name="Normal 3 12 6" xfId="30601" xr:uid="{00000000-0005-0000-0000-00007D610000}"/>
    <cellStyle name="Normal 3 12 6 2" xfId="12276" xr:uid="{00000000-0005-0000-0000-00007E610000}"/>
    <cellStyle name="Normal 3 12 7" xfId="5441" xr:uid="{00000000-0005-0000-0000-00007F610000}"/>
    <cellStyle name="Normal 3 12 7 2" xfId="10582" xr:uid="{00000000-0005-0000-0000-000080610000}"/>
    <cellStyle name="Normal 3 12 8" xfId="27379" xr:uid="{00000000-0005-0000-0000-000081610000}"/>
    <cellStyle name="Normal 3 13" xfId="33904" xr:uid="{00000000-0005-0000-0000-000082610000}"/>
    <cellStyle name="Normal 3 13 2" xfId="27380" xr:uid="{00000000-0005-0000-0000-000083610000}"/>
    <cellStyle name="Normal 3 13 2 2" xfId="26451" xr:uid="{00000000-0005-0000-0000-000084610000}"/>
    <cellStyle name="Normal 3 13 2 2 2" xfId="29224" xr:uid="{00000000-0005-0000-0000-000085610000}"/>
    <cellStyle name="Normal 3 13 2 3" xfId="11289" xr:uid="{00000000-0005-0000-0000-000086610000}"/>
    <cellStyle name="Normal 3 13 2 3 2" xfId="5111" xr:uid="{00000000-0005-0000-0000-000087610000}"/>
    <cellStyle name="Normal 3 13 2 4" xfId="27381" xr:uid="{00000000-0005-0000-0000-000088610000}"/>
    <cellStyle name="Normal 3 13 2 4 2" xfId="32277" xr:uid="{00000000-0005-0000-0000-000089610000}"/>
    <cellStyle name="Normal 3 13 2 5" xfId="27180" xr:uid="{00000000-0005-0000-0000-00008A610000}"/>
    <cellStyle name="Normal 3 13 2 5 2" xfId="31612" xr:uid="{00000000-0005-0000-0000-00008B610000}"/>
    <cellStyle name="Normal 3 13 2 6" xfId="19576" xr:uid="{00000000-0005-0000-0000-00008C610000}"/>
    <cellStyle name="Normal 3 13 2 6 2" xfId="23097" xr:uid="{00000000-0005-0000-0000-00008D610000}"/>
    <cellStyle name="Normal 3 13 2 7" xfId="19582" xr:uid="{00000000-0005-0000-0000-00008E610000}"/>
    <cellStyle name="Normal 3 13 3" xfId="9738" xr:uid="{00000000-0005-0000-0000-00008F610000}"/>
    <cellStyle name="Normal 3 13 3 2" xfId="8017" xr:uid="{00000000-0005-0000-0000-000090610000}"/>
    <cellStyle name="Normal 3 13 4" xfId="9905" xr:uid="{00000000-0005-0000-0000-000091610000}"/>
    <cellStyle name="Normal 3 13 4 2" xfId="9757" xr:uid="{00000000-0005-0000-0000-000092610000}"/>
    <cellStyle name="Normal 3 13 5" xfId="25450" xr:uid="{00000000-0005-0000-0000-000093610000}"/>
    <cellStyle name="Normal 3 13 5 2" xfId="29254" xr:uid="{00000000-0005-0000-0000-000094610000}"/>
    <cellStyle name="Normal 3 13 6" xfId="22499" xr:uid="{00000000-0005-0000-0000-000095610000}"/>
    <cellStyle name="Normal 3 13 6 2" xfId="12404" xr:uid="{00000000-0005-0000-0000-000096610000}"/>
    <cellStyle name="Normal 3 13 7" xfId="8909" xr:uid="{00000000-0005-0000-0000-000097610000}"/>
    <cellStyle name="Normal 3 13 7 2" xfId="12436" xr:uid="{00000000-0005-0000-0000-000098610000}"/>
    <cellStyle name="Normal 3 13 8" xfId="27385" xr:uid="{00000000-0005-0000-0000-000099610000}"/>
    <cellStyle name="Normal 3 13 9" xfId="27387" xr:uid="{00000000-0005-0000-0000-00009A610000}"/>
    <cellStyle name="Normal 3 14" xfId="5145" xr:uid="{00000000-0005-0000-0000-00009B610000}"/>
    <cellStyle name="Normal 3 14 2" xfId="26674" xr:uid="{00000000-0005-0000-0000-00009C610000}"/>
    <cellStyle name="Normal 3 14 2 2" xfId="88" xr:uid="{00000000-0005-0000-0000-00009D610000}"/>
    <cellStyle name="Normal 3 14 3" xfId="1604" xr:uid="{00000000-0005-0000-0000-00009E610000}"/>
    <cellStyle name="Normal 3 14 3 2" xfId="28941" xr:uid="{00000000-0005-0000-0000-00009F610000}"/>
    <cellStyle name="Normal 3 14 4" xfId="1819" xr:uid="{00000000-0005-0000-0000-0000A0610000}"/>
    <cellStyle name="Normal 3 14 4 2" xfId="9772" xr:uid="{00000000-0005-0000-0000-0000A1610000}"/>
    <cellStyle name="Normal 3 14 5" xfId="1836" xr:uid="{00000000-0005-0000-0000-0000A2610000}"/>
    <cellStyle name="Normal 3 14 5 2" xfId="11763" xr:uid="{00000000-0005-0000-0000-0000A3610000}"/>
    <cellStyle name="Normal 3 14 6" xfId="16070" xr:uid="{00000000-0005-0000-0000-0000A4610000}"/>
    <cellStyle name="Normal 3 14 6 2" xfId="12470" xr:uid="{00000000-0005-0000-0000-0000A5610000}"/>
    <cellStyle name="Normal 3 14 7" xfId="27396" xr:uid="{00000000-0005-0000-0000-0000A6610000}"/>
    <cellStyle name="Normal 3 15" xfId="26678" xr:uid="{00000000-0005-0000-0000-0000A7610000}"/>
    <cellStyle name="Normal 3 15 2" xfId="2487" xr:uid="{00000000-0005-0000-0000-0000A8610000}"/>
    <cellStyle name="Normal 3 15 2 2" xfId="2493" xr:uid="{00000000-0005-0000-0000-0000A9610000}"/>
    <cellStyle name="Normal 3 15 3" xfId="1409" xr:uid="{00000000-0005-0000-0000-0000AA610000}"/>
    <cellStyle name="Normal 3 15 3 2" xfId="32008" xr:uid="{00000000-0005-0000-0000-0000AB610000}"/>
    <cellStyle name="Normal 3 15 4" xfId="1422" xr:uid="{00000000-0005-0000-0000-0000AC610000}"/>
    <cellStyle name="Normal 3 15 4 2" xfId="6275" xr:uid="{00000000-0005-0000-0000-0000AD610000}"/>
    <cellStyle name="Normal 3 15 5" xfId="12350" xr:uid="{00000000-0005-0000-0000-0000AE610000}"/>
    <cellStyle name="Normal 3 15 5 2" xfId="21739" xr:uid="{00000000-0005-0000-0000-0000AF610000}"/>
    <cellStyle name="Normal 3 15 6" xfId="995" xr:uid="{00000000-0005-0000-0000-0000B0610000}"/>
    <cellStyle name="Normal 3 15 6 2" xfId="12512" xr:uid="{00000000-0005-0000-0000-0000B1610000}"/>
    <cellStyle name="Normal 3 15 7" xfId="2601" xr:uid="{00000000-0005-0000-0000-0000B2610000}"/>
    <cellStyle name="Normal 3 16" xfId="26681" xr:uid="{00000000-0005-0000-0000-0000B3610000}"/>
    <cellStyle name="Normal 3 16 2" xfId="2688" xr:uid="{00000000-0005-0000-0000-0000B4610000}"/>
    <cellStyle name="Normal 3 16 2 2" xfId="2148" xr:uid="{00000000-0005-0000-0000-0000B5610000}"/>
    <cellStyle name="Normal 3 16 3" xfId="1437" xr:uid="{00000000-0005-0000-0000-0000B6610000}"/>
    <cellStyle name="Normal 3 16 3 2" xfId="30374" xr:uid="{00000000-0005-0000-0000-0000B7610000}"/>
    <cellStyle name="Normal 3 16 4" xfId="30380" xr:uid="{00000000-0005-0000-0000-0000B8610000}"/>
    <cellStyle name="Normal 3 16 4 2" xfId="220" xr:uid="{00000000-0005-0000-0000-0000B9610000}"/>
    <cellStyle name="Normal 3 16 5" xfId="1040" xr:uid="{00000000-0005-0000-0000-0000BA610000}"/>
    <cellStyle name="Normal 3 16 5 2" xfId="6653" xr:uid="{00000000-0005-0000-0000-0000BB610000}"/>
    <cellStyle name="Normal 3 16 6" xfId="1043" xr:uid="{00000000-0005-0000-0000-0000BC610000}"/>
    <cellStyle name="Normal 3 16 6 2" xfId="6847" xr:uid="{00000000-0005-0000-0000-0000BD610000}"/>
    <cellStyle name="Normal 3 16 7" xfId="15988" xr:uid="{00000000-0005-0000-0000-0000BE610000}"/>
    <cellStyle name="Normal 3 17" xfId="21213" xr:uid="{00000000-0005-0000-0000-0000BF610000}"/>
    <cellStyle name="Normal 3 17 2" xfId="2788" xr:uid="{00000000-0005-0000-0000-0000C0610000}"/>
    <cellStyle name="Normal 3 18" xfId="27957" xr:uid="{00000000-0005-0000-0000-0000C1610000}"/>
    <cellStyle name="Normal 3 18 2" xfId="2843" xr:uid="{00000000-0005-0000-0000-0000C2610000}"/>
    <cellStyle name="Normal 3 19" xfId="26477" xr:uid="{00000000-0005-0000-0000-0000C3610000}"/>
    <cellStyle name="Normal 3 19 2" xfId="2862" xr:uid="{00000000-0005-0000-0000-0000C4610000}"/>
    <cellStyle name="Normal 3 2" xfId="27401" xr:uid="{00000000-0005-0000-0000-0000C5610000}"/>
    <cellStyle name="Normal 3 2 10" xfId="26819" xr:uid="{00000000-0005-0000-0000-0000C6610000}"/>
    <cellStyle name="Normal 3 2 10 2" xfId="27405" xr:uid="{00000000-0005-0000-0000-0000C7610000}"/>
    <cellStyle name="Normal 3 2 10 2 2" xfId="29642" xr:uid="{00000000-0005-0000-0000-0000C8610000}"/>
    <cellStyle name="Normal 3 2 10 2 2 2" xfId="27414" xr:uid="{00000000-0005-0000-0000-0000C9610000}"/>
    <cellStyle name="Normal 3 2 10 2 3" xfId="14143" xr:uid="{00000000-0005-0000-0000-0000CA610000}"/>
    <cellStyle name="Normal 3 2 10 2 3 2" xfId="15547" xr:uid="{00000000-0005-0000-0000-0000CB610000}"/>
    <cellStyle name="Normal 3 2 10 2 4" xfId="21754" xr:uid="{00000000-0005-0000-0000-0000CC610000}"/>
    <cellStyle name="Normal 3 2 10 2 4 2" xfId="17422" xr:uid="{00000000-0005-0000-0000-0000CD610000}"/>
    <cellStyle name="Normal 3 2 10 2 5" xfId="15565" xr:uid="{00000000-0005-0000-0000-0000CE610000}"/>
    <cellStyle name="Normal 3 2 10 2 5 2" xfId="17851" xr:uid="{00000000-0005-0000-0000-0000CF610000}"/>
    <cellStyle name="Normal 3 2 10 2 6" xfId="15984" xr:uid="{00000000-0005-0000-0000-0000D0610000}"/>
    <cellStyle name="Normal 3 2 10 2 6 2" xfId="28261" xr:uid="{00000000-0005-0000-0000-0000D1610000}"/>
    <cellStyle name="Normal 3 2 10 2 7" xfId="14764" xr:uid="{00000000-0005-0000-0000-0000D2610000}"/>
    <cellStyle name="Normal 3 2 10 3" xfId="26601" xr:uid="{00000000-0005-0000-0000-0000D3610000}"/>
    <cellStyle name="Normal 3 2 10 3 2" xfId="18724" xr:uid="{00000000-0005-0000-0000-0000D4610000}"/>
    <cellStyle name="Normal 3 2 10 4" xfId="22900" xr:uid="{00000000-0005-0000-0000-0000D5610000}"/>
    <cellStyle name="Normal 3 2 10 4 2" xfId="21858" xr:uid="{00000000-0005-0000-0000-0000D6610000}"/>
    <cellStyle name="Normal 3 2 10 5" xfId="26418" xr:uid="{00000000-0005-0000-0000-0000D7610000}"/>
    <cellStyle name="Normal 3 2 10 5 2" xfId="5369" xr:uid="{00000000-0005-0000-0000-0000D8610000}"/>
    <cellStyle name="Normal 3 2 10 6" xfId="21052" xr:uid="{00000000-0005-0000-0000-0000D9610000}"/>
    <cellStyle name="Normal 3 2 10 6 2" xfId="31022" xr:uid="{00000000-0005-0000-0000-0000DA610000}"/>
    <cellStyle name="Normal 3 2 10 7" xfId="27422" xr:uid="{00000000-0005-0000-0000-0000DB610000}"/>
    <cellStyle name="Normal 3 2 10 7 2" xfId="28993" xr:uid="{00000000-0005-0000-0000-0000DC610000}"/>
    <cellStyle name="Normal 3 2 10 8" xfId="27431" xr:uid="{00000000-0005-0000-0000-0000DD610000}"/>
    <cellStyle name="Normal 3 2 11" xfId="8240" xr:uid="{00000000-0005-0000-0000-0000DE610000}"/>
    <cellStyle name="Normal 3 2 11 2" xfId="27441" xr:uid="{00000000-0005-0000-0000-0000DF610000}"/>
    <cellStyle name="Normal 3 2 11 2 2" xfId="27453" xr:uid="{00000000-0005-0000-0000-0000E0610000}"/>
    <cellStyle name="Normal 3 2 11 3" xfId="27497" xr:uid="{00000000-0005-0000-0000-0000E1610000}"/>
    <cellStyle name="Normal 3 2 11 3 2" xfId="22651" xr:uid="{00000000-0005-0000-0000-0000E2610000}"/>
    <cellStyle name="Normal 3 2 11 4" xfId="31355" xr:uid="{00000000-0005-0000-0000-0000E3610000}"/>
    <cellStyle name="Normal 3 2 11 4 2" xfId="3324" xr:uid="{00000000-0005-0000-0000-0000E4610000}"/>
    <cellStyle name="Normal 3 2 11 5" xfId="27457" xr:uid="{00000000-0005-0000-0000-0000E5610000}"/>
    <cellStyle name="Normal 3 2 11 5 2" xfId="27467" xr:uid="{00000000-0005-0000-0000-0000E6610000}"/>
    <cellStyle name="Normal 3 2 11 6" xfId="27475" xr:uid="{00000000-0005-0000-0000-0000E7610000}"/>
    <cellStyle name="Normal 3 2 11 6 2" xfId="8979" xr:uid="{00000000-0005-0000-0000-0000E8610000}"/>
    <cellStyle name="Normal 3 2 11 7" xfId="27479" xr:uid="{00000000-0005-0000-0000-0000E9610000}"/>
    <cellStyle name="Normal 3 2 12" xfId="14028" xr:uid="{00000000-0005-0000-0000-0000EA610000}"/>
    <cellStyle name="Normal 3 2 12 2" xfId="32733" xr:uid="{00000000-0005-0000-0000-0000EB610000}"/>
    <cellStyle name="Normal 3 2 12 2 2" xfId="26724" xr:uid="{00000000-0005-0000-0000-0000EC610000}"/>
    <cellStyle name="Normal 3 2 12 3" xfId="27484" xr:uid="{00000000-0005-0000-0000-0000ED610000}"/>
    <cellStyle name="Normal 3 2 12 3 2" xfId="16404" xr:uid="{00000000-0005-0000-0000-0000EE610000}"/>
    <cellStyle name="Normal 3 2 12 4" xfId="24464" xr:uid="{00000000-0005-0000-0000-0000EF610000}"/>
    <cellStyle name="Normal 3 2 12 4 2" xfId="24999" xr:uid="{00000000-0005-0000-0000-0000F0610000}"/>
    <cellStyle name="Normal 3 2 12 5" xfId="27938" xr:uid="{00000000-0005-0000-0000-0000F1610000}"/>
    <cellStyle name="Normal 3 2 12 5 2" xfId="25005" xr:uid="{00000000-0005-0000-0000-0000F2610000}"/>
    <cellStyle name="Normal 3 2 12 6" xfId="5325" xr:uid="{00000000-0005-0000-0000-0000F3610000}"/>
    <cellStyle name="Normal 3 2 12 6 2" xfId="26762" xr:uid="{00000000-0005-0000-0000-0000F4610000}"/>
    <cellStyle name="Normal 3 2 12 7" xfId="21724" xr:uid="{00000000-0005-0000-0000-0000F5610000}"/>
    <cellStyle name="Normal 3 2 13" xfId="14029" xr:uid="{00000000-0005-0000-0000-0000F6610000}"/>
    <cellStyle name="Normal 3 2 13 2" xfId="3402" xr:uid="{00000000-0005-0000-0000-0000F7610000}"/>
    <cellStyle name="Normal 3 2 14" xfId="28914" xr:uid="{00000000-0005-0000-0000-0000F8610000}"/>
    <cellStyle name="Normal 3 2 14 2" xfId="8047" xr:uid="{00000000-0005-0000-0000-0000F9610000}"/>
    <cellStyle name="Normal 3 2 15" xfId="26856" xr:uid="{00000000-0005-0000-0000-0000FA610000}"/>
    <cellStyle name="Normal 3 2 15 2" xfId="8050" xr:uid="{00000000-0005-0000-0000-0000FB610000}"/>
    <cellStyle name="Normal 3 2 16" xfId="29130" xr:uid="{00000000-0005-0000-0000-0000FC610000}"/>
    <cellStyle name="Normal 3 2 16 2" xfId="4324" xr:uid="{00000000-0005-0000-0000-0000FD610000}"/>
    <cellStyle name="Normal 3 2 17" xfId="20126" xr:uid="{00000000-0005-0000-0000-0000FE610000}"/>
    <cellStyle name="Normal 3 2 17 2" xfId="27446" xr:uid="{00000000-0005-0000-0000-0000FF610000}"/>
    <cellStyle name="Normal 3 2 18" xfId="9460" xr:uid="{00000000-0005-0000-0000-000000620000}"/>
    <cellStyle name="Normal 3 2 2" xfId="26151" xr:uid="{00000000-0005-0000-0000-000001620000}"/>
    <cellStyle name="Normal 3 2 2 10" xfId="27288" xr:uid="{00000000-0005-0000-0000-000002620000}"/>
    <cellStyle name="Normal 3 2 2 2" xfId="16961" xr:uid="{00000000-0005-0000-0000-000003620000}"/>
    <cellStyle name="Normal 3 2 2 2 2" xfId="22869" xr:uid="{00000000-0005-0000-0000-000004620000}"/>
    <cellStyle name="Normal 3 2 2 2 2 2" xfId="22876" xr:uid="{00000000-0005-0000-0000-000005620000}"/>
    <cellStyle name="Normal 3 2 2 2 2 2 2" xfId="139" xr:uid="{00000000-0005-0000-0000-000006620000}"/>
    <cellStyle name="Normal 3 2 2 2 2 2 2 2" xfId="28689" xr:uid="{00000000-0005-0000-0000-000007620000}"/>
    <cellStyle name="Normal 3 2 2 2 2 2 2 2 2" xfId="22878" xr:uid="{00000000-0005-0000-0000-000008620000}"/>
    <cellStyle name="Normal 3 2 2 2 2 2 2 2 2 2" xfId="31469" xr:uid="{00000000-0005-0000-0000-000009620000}"/>
    <cellStyle name="Normal 3 2 2 2 2 2 2 2 2 2 2" xfId="32985" xr:uid="{00000000-0005-0000-0000-00000A620000}"/>
    <cellStyle name="Normal 3 2 2 2 2 2 2 2 2 2 2 2" xfId="5117" xr:uid="{00000000-0005-0000-0000-00000B620000}"/>
    <cellStyle name="Normal 3 2 2 2 2 2 2 2 2 2 3" xfId="21913" xr:uid="{00000000-0005-0000-0000-00000C620000}"/>
    <cellStyle name="Normal 3 2 2 2 2 2 2 2 2 3" xfId="26740" xr:uid="{00000000-0005-0000-0000-00000D620000}"/>
    <cellStyle name="Normal 3 2 2 2 2 2 2 2 2 3 2" xfId="26437" xr:uid="{00000000-0005-0000-0000-00000E620000}"/>
    <cellStyle name="Normal 3 2 2 2 2 2 2 2 2 4" xfId="30757" xr:uid="{00000000-0005-0000-0000-00000F620000}"/>
    <cellStyle name="Normal 3 2 2 2 2 2 2 2 3" xfId="3529" xr:uid="{00000000-0005-0000-0000-000010620000}"/>
    <cellStyle name="Normal 3 2 2 2 2 2 2 2 3 2" xfId="26745" xr:uid="{00000000-0005-0000-0000-000011620000}"/>
    <cellStyle name="Normal 3 2 2 2 2 2 2 2 3 2 2" xfId="26473" xr:uid="{00000000-0005-0000-0000-000012620000}"/>
    <cellStyle name="Normal 3 2 2 2 2 2 2 2 3 3" xfId="26547" xr:uid="{00000000-0005-0000-0000-000013620000}"/>
    <cellStyle name="Normal 3 2 2 2 2 2 2 2 4" xfId="19892" xr:uid="{00000000-0005-0000-0000-000014620000}"/>
    <cellStyle name="Normal 3 2 2 2 2 2 2 2 4 2" xfId="27490" xr:uid="{00000000-0005-0000-0000-000015620000}"/>
    <cellStyle name="Normal 3 2 2 2 2 2 2 2 5" xfId="21294" xr:uid="{00000000-0005-0000-0000-000016620000}"/>
    <cellStyle name="Normal 3 2 2 2 2 2 2 3" xfId="23276" xr:uid="{00000000-0005-0000-0000-000017620000}"/>
    <cellStyle name="Normal 3 2 2 2 2 2 2 3 2" xfId="22879" xr:uid="{00000000-0005-0000-0000-000018620000}"/>
    <cellStyle name="Normal 3 2 2 2 2 2 2 3 2 2" xfId="3606" xr:uid="{00000000-0005-0000-0000-000019620000}"/>
    <cellStyle name="Normal 3 2 2 2 2 2 2 3 2 2 2" xfId="26192" xr:uid="{00000000-0005-0000-0000-00001A620000}"/>
    <cellStyle name="Normal 3 2 2 2 2 2 2 3 2 3" xfId="3697" xr:uid="{00000000-0005-0000-0000-00001B620000}"/>
    <cellStyle name="Normal 3 2 2 2 2 2 2 3 3" xfId="22882" xr:uid="{00000000-0005-0000-0000-00001C620000}"/>
    <cellStyle name="Normal 3 2 2 2 2 2 2 3 3 2" xfId="16780" xr:uid="{00000000-0005-0000-0000-00001D620000}"/>
    <cellStyle name="Normal 3 2 2 2 2 2 2 3 4" xfId="25157" xr:uid="{00000000-0005-0000-0000-00001E620000}"/>
    <cellStyle name="Normal 3 2 2 2 2 2 2 4" xfId="22888" xr:uid="{00000000-0005-0000-0000-00001F620000}"/>
    <cellStyle name="Normal 3 2 2 2 2 2 2 4 2" xfId="22892" xr:uid="{00000000-0005-0000-0000-000020620000}"/>
    <cellStyle name="Normal 3 2 2 2 2 2 2 4 2 2" xfId="494" xr:uid="{00000000-0005-0000-0000-000021620000}"/>
    <cellStyle name="Normal 3 2 2 2 2 2 2 4 3" xfId="27495" xr:uid="{00000000-0005-0000-0000-000022620000}"/>
    <cellStyle name="Normal 3 2 2 2 2 2 2 5" xfId="22898" xr:uid="{00000000-0005-0000-0000-000023620000}"/>
    <cellStyle name="Normal 3 2 2 2 2 2 2 5 2" xfId="27500" xr:uid="{00000000-0005-0000-0000-000024620000}"/>
    <cellStyle name="Normal 3 2 2 2 2 2 2 6" xfId="27503" xr:uid="{00000000-0005-0000-0000-000025620000}"/>
    <cellStyle name="Normal 3 2 2 2 2 2 3" xfId="33289" xr:uid="{00000000-0005-0000-0000-000026620000}"/>
    <cellStyle name="Normal 3 2 2 2 2 2 3 2" xfId="21195" xr:uid="{00000000-0005-0000-0000-000027620000}"/>
    <cellStyle name="Normal 3 2 2 2 2 2 3 2 2" xfId="22902" xr:uid="{00000000-0005-0000-0000-000028620000}"/>
    <cellStyle name="Normal 3 2 2 2 2 2 3 2 2 2" xfId="593" xr:uid="{00000000-0005-0000-0000-000029620000}"/>
    <cellStyle name="Normal 3 2 2 2 2 2 3 2 2 2 2" xfId="27471" xr:uid="{00000000-0005-0000-0000-00002A620000}"/>
    <cellStyle name="Normal 3 2 2 2 2 2 3 2 2 3" xfId="41" xr:uid="{00000000-0005-0000-0000-00002B620000}"/>
    <cellStyle name="Normal 3 2 2 2 2 2 3 2 3" xfId="22910" xr:uid="{00000000-0005-0000-0000-00002C620000}"/>
    <cellStyle name="Normal 3 2 2 2 2 2 3 2 3 2" xfId="11520" xr:uid="{00000000-0005-0000-0000-00002D620000}"/>
    <cellStyle name="Normal 3 2 2 2 2 2 3 2 4" xfId="25166" xr:uid="{00000000-0005-0000-0000-00002E620000}"/>
    <cellStyle name="Normal 3 2 2 2 2 2 3 3" xfId="21203" xr:uid="{00000000-0005-0000-0000-00002F620000}"/>
    <cellStyle name="Normal 3 2 2 2 2 2 3 3 2" xfId="31249" xr:uid="{00000000-0005-0000-0000-000030620000}"/>
    <cellStyle name="Normal 3 2 2 2 2 2 3 3 2 2" xfId="1919" xr:uid="{00000000-0005-0000-0000-000031620000}"/>
    <cellStyle name="Normal 3 2 2 2 2 2 3 3 3" xfId="26869" xr:uid="{00000000-0005-0000-0000-000032620000}"/>
    <cellStyle name="Normal 3 2 2 2 2 2 3 4" xfId="21680" xr:uid="{00000000-0005-0000-0000-000033620000}"/>
    <cellStyle name="Normal 3 2 2 2 2 2 3 4 2" xfId="30998" xr:uid="{00000000-0005-0000-0000-000034620000}"/>
    <cellStyle name="Normal 3 2 2 2 2 2 3 5" xfId="21215" xr:uid="{00000000-0005-0000-0000-000035620000}"/>
    <cellStyle name="Normal 3 2 2 2 2 2 4" xfId="31117" xr:uid="{00000000-0005-0000-0000-000036620000}"/>
    <cellStyle name="Normal 3 2 2 2 2 2 4 2" xfId="21217" xr:uid="{00000000-0005-0000-0000-000037620000}"/>
    <cellStyle name="Normal 3 2 2 2 2 2 4 2 2" xfId="33308" xr:uid="{00000000-0005-0000-0000-000038620000}"/>
    <cellStyle name="Normal 3 2 2 2 2 2 4 2 2 2" xfId="1460" xr:uid="{00000000-0005-0000-0000-000039620000}"/>
    <cellStyle name="Normal 3 2 2 2 2 2 4 2 3" xfId="19397" xr:uid="{00000000-0005-0000-0000-00003A620000}"/>
    <cellStyle name="Normal 3 2 2 2 2 2 4 3" xfId="21231" xr:uid="{00000000-0005-0000-0000-00003B620000}"/>
    <cellStyle name="Normal 3 2 2 2 2 2 4 3 2" xfId="21180" xr:uid="{00000000-0005-0000-0000-00003C620000}"/>
    <cellStyle name="Normal 3 2 2 2 2 2 4 4" xfId="22857" xr:uid="{00000000-0005-0000-0000-00003D620000}"/>
    <cellStyle name="Normal 3 2 2 2 2 2 5" xfId="26002" xr:uid="{00000000-0005-0000-0000-00003E620000}"/>
    <cellStyle name="Normal 3 2 2 2 2 2 5 2" xfId="21238" xr:uid="{00000000-0005-0000-0000-00003F620000}"/>
    <cellStyle name="Normal 3 2 2 2 2 2 5 2 2" xfId="27505" xr:uid="{00000000-0005-0000-0000-000040620000}"/>
    <cellStyle name="Normal 3 2 2 2 2 2 5 3" xfId="21246" xr:uid="{00000000-0005-0000-0000-000041620000}"/>
    <cellStyle name="Normal 3 2 2 2 2 2 6" xfId="21249" xr:uid="{00000000-0005-0000-0000-000042620000}"/>
    <cellStyle name="Normal 3 2 2 2 2 2 6 2" xfId="21251" xr:uid="{00000000-0005-0000-0000-000043620000}"/>
    <cellStyle name="Normal 3 2 2 2 2 2 7" xfId="21253" xr:uid="{00000000-0005-0000-0000-000044620000}"/>
    <cellStyle name="Normal 3 2 2 2 2 3" xfId="2704" xr:uid="{00000000-0005-0000-0000-000045620000}"/>
    <cellStyle name="Normal 3 2 2 2 2 3 2" xfId="28715" xr:uid="{00000000-0005-0000-0000-000046620000}"/>
    <cellStyle name="Normal 3 2 2 2 2 3 2 2" xfId="22913" xr:uid="{00000000-0005-0000-0000-000047620000}"/>
    <cellStyle name="Normal 3 2 2 2 2 3 2 2 2" xfId="22924" xr:uid="{00000000-0005-0000-0000-000048620000}"/>
    <cellStyle name="Normal 3 2 2 2 2 3 2 2 2 2" xfId="25496" xr:uid="{00000000-0005-0000-0000-000049620000}"/>
    <cellStyle name="Normal 3 2 2 2 2 3 2 2 2 2 2" xfId="11923" xr:uid="{00000000-0005-0000-0000-00004A620000}"/>
    <cellStyle name="Normal 3 2 2 2 2 3 2 2 2 3" xfId="11447" xr:uid="{00000000-0005-0000-0000-00004B620000}"/>
    <cellStyle name="Normal 3 2 2 2 2 3 2 2 3" xfId="22929" xr:uid="{00000000-0005-0000-0000-00004C620000}"/>
    <cellStyle name="Normal 3 2 2 2 2 3 2 2 3 2" xfId="25510" xr:uid="{00000000-0005-0000-0000-00004D620000}"/>
    <cellStyle name="Normal 3 2 2 2 2 3 2 2 4" xfId="21439" xr:uid="{00000000-0005-0000-0000-00004E620000}"/>
    <cellStyle name="Normal 3 2 2 2 2 3 2 3" xfId="22933" xr:uid="{00000000-0005-0000-0000-00004F620000}"/>
    <cellStyle name="Normal 3 2 2 2 2 3 2 3 2" xfId="22941" xr:uid="{00000000-0005-0000-0000-000050620000}"/>
    <cellStyle name="Normal 3 2 2 2 2 3 2 3 2 2" xfId="7763" xr:uid="{00000000-0005-0000-0000-000051620000}"/>
    <cellStyle name="Normal 3 2 2 2 2 3 2 3 3" xfId="26100" xr:uid="{00000000-0005-0000-0000-000052620000}"/>
    <cellStyle name="Normal 3 2 2 2 2 3 2 4" xfId="23050" xr:uid="{00000000-0005-0000-0000-000053620000}"/>
    <cellStyle name="Normal 3 2 2 2 2 3 2 4 2" xfId="26139" xr:uid="{00000000-0005-0000-0000-000054620000}"/>
    <cellStyle name="Normal 3 2 2 2 2 3 2 5" xfId="27094" xr:uid="{00000000-0005-0000-0000-000055620000}"/>
    <cellStyle name="Normal 3 2 2 2 2 3 3" xfId="2723" xr:uid="{00000000-0005-0000-0000-000056620000}"/>
    <cellStyle name="Normal 3 2 2 2 2 3 3 2" xfId="21264" xr:uid="{00000000-0005-0000-0000-000057620000}"/>
    <cellStyle name="Normal 3 2 2 2 2 3 3 2 2" xfId="22756" xr:uid="{00000000-0005-0000-0000-000058620000}"/>
    <cellStyle name="Normal 3 2 2 2 2 3 3 2 2 2" xfId="207" xr:uid="{00000000-0005-0000-0000-000059620000}"/>
    <cellStyle name="Normal 3 2 2 2 2 3 3 2 3" xfId="26317" xr:uid="{00000000-0005-0000-0000-00005A620000}"/>
    <cellStyle name="Normal 3 2 2 2 2 3 3 3" xfId="21269" xr:uid="{00000000-0005-0000-0000-00005B620000}"/>
    <cellStyle name="Normal 3 2 2 2 2 3 3 3 2" xfId="28597" xr:uid="{00000000-0005-0000-0000-00005C620000}"/>
    <cellStyle name="Normal 3 2 2 2 2 3 3 4" xfId="21844" xr:uid="{00000000-0005-0000-0000-00005D620000}"/>
    <cellStyle name="Normal 3 2 2 2 2 3 4" xfId="1519" xr:uid="{00000000-0005-0000-0000-00005E620000}"/>
    <cellStyle name="Normal 3 2 2 2 2 3 4 2" xfId="15656" xr:uid="{00000000-0005-0000-0000-00005F620000}"/>
    <cellStyle name="Normal 3 2 2 2 2 3 4 2 2" xfId="15660" xr:uid="{00000000-0005-0000-0000-000060620000}"/>
    <cellStyle name="Normal 3 2 2 2 2 3 4 3" xfId="15667" xr:uid="{00000000-0005-0000-0000-000061620000}"/>
    <cellStyle name="Normal 3 2 2 2 2 3 5" xfId="21272" xr:uid="{00000000-0005-0000-0000-000062620000}"/>
    <cellStyle name="Normal 3 2 2 2 2 3 5 2" xfId="15696" xr:uid="{00000000-0005-0000-0000-000063620000}"/>
    <cellStyle name="Normal 3 2 2 2 2 3 6" xfId="21274" xr:uid="{00000000-0005-0000-0000-000064620000}"/>
    <cellStyle name="Normal 3 2 2 2 2 4" xfId="2729" xr:uid="{00000000-0005-0000-0000-000065620000}"/>
    <cellStyle name="Normal 3 2 2 2 2 4 2" xfId="2741" xr:uid="{00000000-0005-0000-0000-000066620000}"/>
    <cellStyle name="Normal 3 2 2 2 2 4 2 2" xfId="18501" xr:uid="{00000000-0005-0000-0000-000067620000}"/>
    <cellStyle name="Normal 3 2 2 2 2 4 2 2 2" xfId="22950" xr:uid="{00000000-0005-0000-0000-000068620000}"/>
    <cellStyle name="Normal 3 2 2 2 2 4 2 2 2 2" xfId="19423" xr:uid="{00000000-0005-0000-0000-000069620000}"/>
    <cellStyle name="Normal 3 2 2 2 2 4 2 2 3" xfId="26656" xr:uid="{00000000-0005-0000-0000-00006A620000}"/>
    <cellStyle name="Normal 3 2 2 2 2 4 2 3" xfId="18504" xr:uid="{00000000-0005-0000-0000-00006B620000}"/>
    <cellStyle name="Normal 3 2 2 2 2 4 2 3 2" xfId="18250" xr:uid="{00000000-0005-0000-0000-00006C620000}"/>
    <cellStyle name="Normal 3 2 2 2 2 4 2 4" xfId="25908" xr:uid="{00000000-0005-0000-0000-00006D620000}"/>
    <cellStyle name="Normal 3 2 2 2 2 4 3" xfId="21278" xr:uid="{00000000-0005-0000-0000-00006E620000}"/>
    <cellStyle name="Normal 3 2 2 2 2 4 3 2" xfId="28308" xr:uid="{00000000-0005-0000-0000-00006F620000}"/>
    <cellStyle name="Normal 3 2 2 2 2 4 3 2 2" xfId="14425" xr:uid="{00000000-0005-0000-0000-000070620000}"/>
    <cellStyle name="Normal 3 2 2 2 2 4 3 3" xfId="21291" xr:uid="{00000000-0005-0000-0000-000071620000}"/>
    <cellStyle name="Normal 3 2 2 2 2 4 4" xfId="21300" xr:uid="{00000000-0005-0000-0000-000072620000}"/>
    <cellStyle name="Normal 3 2 2 2 2 4 4 2" xfId="15751" xr:uid="{00000000-0005-0000-0000-000073620000}"/>
    <cellStyle name="Normal 3 2 2 2 2 4 5" xfId="21306" xr:uid="{00000000-0005-0000-0000-000074620000}"/>
    <cellStyle name="Normal 3 2 2 2 2 5" xfId="2745" xr:uid="{00000000-0005-0000-0000-000075620000}"/>
    <cellStyle name="Normal 3 2 2 2 2 5 2" xfId="22955" xr:uid="{00000000-0005-0000-0000-000076620000}"/>
    <cellStyle name="Normal 3 2 2 2 2 5 2 2" xfId="18535" xr:uid="{00000000-0005-0000-0000-000077620000}"/>
    <cellStyle name="Normal 3 2 2 2 2 5 2 2 2" xfId="20585" xr:uid="{00000000-0005-0000-0000-000078620000}"/>
    <cellStyle name="Normal 3 2 2 2 2 5 2 3" xfId="26911" xr:uid="{00000000-0005-0000-0000-000079620000}"/>
    <cellStyle name="Normal 3 2 2 2 2 5 3" xfId="10413" xr:uid="{00000000-0005-0000-0000-00007A620000}"/>
    <cellStyle name="Normal 3 2 2 2 2 5 3 2" xfId="21311" xr:uid="{00000000-0005-0000-0000-00007B620000}"/>
    <cellStyle name="Normal 3 2 2 2 2 5 4" xfId="13374" xr:uid="{00000000-0005-0000-0000-00007C620000}"/>
    <cellStyle name="Normal 3 2 2 2 2 6" xfId="10472" xr:uid="{00000000-0005-0000-0000-00007D620000}"/>
    <cellStyle name="Normal 3 2 2 2 2 6 2" xfId="22961" xr:uid="{00000000-0005-0000-0000-00007E620000}"/>
    <cellStyle name="Normal 3 2 2 2 2 6 2 2" xfId="31665" xr:uid="{00000000-0005-0000-0000-00007F620000}"/>
    <cellStyle name="Normal 3 2 2 2 2 6 3" xfId="25650" xr:uid="{00000000-0005-0000-0000-000080620000}"/>
    <cellStyle name="Normal 3 2 2 2 2 7" xfId="4472" xr:uid="{00000000-0005-0000-0000-000081620000}"/>
    <cellStyle name="Normal 3 2 2 2 2 7 2" xfId="25660" xr:uid="{00000000-0005-0000-0000-000082620000}"/>
    <cellStyle name="Normal 3 2 2 2 2 8" xfId="4478" xr:uid="{00000000-0005-0000-0000-000083620000}"/>
    <cellStyle name="Normal 3 2 2 2 3" xfId="20175" xr:uid="{00000000-0005-0000-0000-000084620000}"/>
    <cellStyle name="Normal 3 2 2 2 3 2" xfId="22967" xr:uid="{00000000-0005-0000-0000-000085620000}"/>
    <cellStyle name="Normal 3 2 2 2 3 2 2" xfId="9697" xr:uid="{00000000-0005-0000-0000-000086620000}"/>
    <cellStyle name="Normal 3 2 2 2 3 2 2 2" xfId="22973" xr:uid="{00000000-0005-0000-0000-000087620000}"/>
    <cellStyle name="Normal 3 2 2 2 3 2 2 2 2" xfId="147" xr:uid="{00000000-0005-0000-0000-000088620000}"/>
    <cellStyle name="Normal 3 2 2 2 3 2 2 2 2 2" xfId="6035" xr:uid="{00000000-0005-0000-0000-000089620000}"/>
    <cellStyle name="Normal 3 2 2 2 3 2 2 2 2 2 2" xfId="27522" xr:uid="{00000000-0005-0000-0000-00008A620000}"/>
    <cellStyle name="Normal 3 2 2 2 3 2 2 2 2 3" xfId="29212" xr:uid="{00000000-0005-0000-0000-00008B620000}"/>
    <cellStyle name="Normal 3 2 2 2 3 2 2 2 3" xfId="22978" xr:uid="{00000000-0005-0000-0000-00008C620000}"/>
    <cellStyle name="Normal 3 2 2 2 3 2 2 2 3 2" xfId="27535" xr:uid="{00000000-0005-0000-0000-00008D620000}"/>
    <cellStyle name="Normal 3 2 2 2 3 2 2 2 4" xfId="23209" xr:uid="{00000000-0005-0000-0000-00008E620000}"/>
    <cellStyle name="Normal 3 2 2 2 3 2 2 3" xfId="22982" xr:uid="{00000000-0005-0000-0000-00008F620000}"/>
    <cellStyle name="Normal 3 2 2 2 3 2 2 3 2" xfId="22991" xr:uid="{00000000-0005-0000-0000-000090620000}"/>
    <cellStyle name="Normal 3 2 2 2 3 2 2 3 2 2" xfId="17434" xr:uid="{00000000-0005-0000-0000-000091620000}"/>
    <cellStyle name="Normal 3 2 2 2 3 2 2 3 3" xfId="27024" xr:uid="{00000000-0005-0000-0000-000092620000}"/>
    <cellStyle name="Normal 3 2 2 2 3 2 2 4" xfId="22314" xr:uid="{00000000-0005-0000-0000-000093620000}"/>
    <cellStyle name="Normal 3 2 2 2 3 2 2 4 2" xfId="19925" xr:uid="{00000000-0005-0000-0000-000094620000}"/>
    <cellStyle name="Normal 3 2 2 2 3 2 2 5" xfId="27549" xr:uid="{00000000-0005-0000-0000-000095620000}"/>
    <cellStyle name="Normal 3 2 2 2 3 2 3" xfId="21351" xr:uid="{00000000-0005-0000-0000-000096620000}"/>
    <cellStyle name="Normal 3 2 2 2 3 2 3 2" xfId="21357" xr:uid="{00000000-0005-0000-0000-000097620000}"/>
    <cellStyle name="Normal 3 2 2 2 3 2 3 2 2" xfId="27968" xr:uid="{00000000-0005-0000-0000-000098620000}"/>
    <cellStyle name="Normal 3 2 2 2 3 2 3 2 2 2" xfId="1791" xr:uid="{00000000-0005-0000-0000-000099620000}"/>
    <cellStyle name="Normal 3 2 2 2 3 2 3 2 3" xfId="26881" xr:uid="{00000000-0005-0000-0000-00009A620000}"/>
    <cellStyle name="Normal 3 2 2 2 3 2 3 3" xfId="21369" xr:uid="{00000000-0005-0000-0000-00009B620000}"/>
    <cellStyle name="Normal 3 2 2 2 3 2 3 3 2" xfId="27555" xr:uid="{00000000-0005-0000-0000-00009C620000}"/>
    <cellStyle name="Normal 3 2 2 2 3 2 3 4" xfId="5103" xr:uid="{00000000-0005-0000-0000-00009D620000}"/>
    <cellStyle name="Normal 3 2 2 2 3 2 4" xfId="21373" xr:uid="{00000000-0005-0000-0000-00009E620000}"/>
    <cellStyle name="Normal 3 2 2 2 3 2 4 2" xfId="21377" xr:uid="{00000000-0005-0000-0000-00009F620000}"/>
    <cellStyle name="Normal 3 2 2 2 3 2 4 2 2" xfId="27845" xr:uid="{00000000-0005-0000-0000-0000A0620000}"/>
    <cellStyle name="Normal 3 2 2 2 3 2 4 3" xfId="21387" xr:uid="{00000000-0005-0000-0000-0000A1620000}"/>
    <cellStyle name="Normal 3 2 2 2 3 2 5" xfId="21390" xr:uid="{00000000-0005-0000-0000-0000A2620000}"/>
    <cellStyle name="Normal 3 2 2 2 3 2 5 2" xfId="21398" xr:uid="{00000000-0005-0000-0000-0000A3620000}"/>
    <cellStyle name="Normal 3 2 2 2 3 2 6" xfId="21399" xr:uid="{00000000-0005-0000-0000-0000A4620000}"/>
    <cellStyle name="Normal 3 2 2 2 3 3" xfId="2761" xr:uid="{00000000-0005-0000-0000-0000A5620000}"/>
    <cellStyle name="Normal 3 2 2 2 3 3 2" xfId="2764" xr:uid="{00000000-0005-0000-0000-0000A6620000}"/>
    <cellStyle name="Normal 3 2 2 2 3 3 2 2" xfId="22998" xr:uid="{00000000-0005-0000-0000-0000A7620000}"/>
    <cellStyle name="Normal 3 2 2 2 3 3 2 2 2" xfId="23004" xr:uid="{00000000-0005-0000-0000-0000A8620000}"/>
    <cellStyle name="Normal 3 2 2 2 3 3 2 2 2 2" xfId="27558" xr:uid="{00000000-0005-0000-0000-0000A9620000}"/>
    <cellStyle name="Normal 3 2 2 2 3 3 2 2 3" xfId="18994" xr:uid="{00000000-0005-0000-0000-0000AA620000}"/>
    <cellStyle name="Normal 3 2 2 2 3 3 2 3" xfId="23007" xr:uid="{00000000-0005-0000-0000-0000AB620000}"/>
    <cellStyle name="Normal 3 2 2 2 3 3 2 3 2" xfId="27568" xr:uid="{00000000-0005-0000-0000-0000AC620000}"/>
    <cellStyle name="Normal 3 2 2 2 3 3 2 4" xfId="17448" xr:uid="{00000000-0005-0000-0000-0000AD620000}"/>
    <cellStyle name="Normal 3 2 2 2 3 3 3" xfId="18243" xr:uid="{00000000-0005-0000-0000-0000AE620000}"/>
    <cellStyle name="Normal 3 2 2 2 3 3 3 2" xfId="21407" xr:uid="{00000000-0005-0000-0000-0000AF620000}"/>
    <cellStyle name="Normal 3 2 2 2 3 3 3 2 2" xfId="27878" xr:uid="{00000000-0005-0000-0000-0000B0620000}"/>
    <cellStyle name="Normal 3 2 2 2 3 3 3 3" xfId="21415" xr:uid="{00000000-0005-0000-0000-0000B1620000}"/>
    <cellStyle name="Normal 3 2 2 2 3 3 4" xfId="21419" xr:uid="{00000000-0005-0000-0000-0000B2620000}"/>
    <cellStyle name="Normal 3 2 2 2 3 3 4 2" xfId="15828" xr:uid="{00000000-0005-0000-0000-0000B3620000}"/>
    <cellStyle name="Normal 3 2 2 2 3 3 5" xfId="21424" xr:uid="{00000000-0005-0000-0000-0000B4620000}"/>
    <cellStyle name="Normal 3 2 2 2 3 4" xfId="2774" xr:uid="{00000000-0005-0000-0000-0000B5620000}"/>
    <cellStyle name="Normal 3 2 2 2 3 4 2" xfId="17552" xr:uid="{00000000-0005-0000-0000-0000B6620000}"/>
    <cellStyle name="Normal 3 2 2 2 3 4 2 2" xfId="18575" xr:uid="{00000000-0005-0000-0000-0000B7620000}"/>
    <cellStyle name="Normal 3 2 2 2 3 4 2 2 2" xfId="27572" xr:uid="{00000000-0005-0000-0000-0000B8620000}"/>
    <cellStyle name="Normal 3 2 2 2 3 4 2 3" xfId="27579" xr:uid="{00000000-0005-0000-0000-0000B9620000}"/>
    <cellStyle name="Normal 3 2 2 2 3 4 3" xfId="21432" xr:uid="{00000000-0005-0000-0000-0000BA620000}"/>
    <cellStyle name="Normal 3 2 2 2 3 4 3 2" xfId="21435" xr:uid="{00000000-0005-0000-0000-0000BB620000}"/>
    <cellStyle name="Normal 3 2 2 2 3 4 4" xfId="20197" xr:uid="{00000000-0005-0000-0000-0000BC620000}"/>
    <cellStyle name="Normal 3 2 2 2 3 5" xfId="23009" xr:uid="{00000000-0005-0000-0000-0000BD620000}"/>
    <cellStyle name="Normal 3 2 2 2 3 5 2" xfId="23015" xr:uid="{00000000-0005-0000-0000-0000BE620000}"/>
    <cellStyle name="Normal 3 2 2 2 3 5 2 2" xfId="27590" xr:uid="{00000000-0005-0000-0000-0000BF620000}"/>
    <cellStyle name="Normal 3 2 2 2 3 5 3" xfId="25670" xr:uid="{00000000-0005-0000-0000-0000C0620000}"/>
    <cellStyle name="Normal 3 2 2 2 3 6" xfId="23019" xr:uid="{00000000-0005-0000-0000-0000C1620000}"/>
    <cellStyle name="Normal 3 2 2 2 3 6 2" xfId="25635" xr:uid="{00000000-0005-0000-0000-0000C2620000}"/>
    <cellStyle name="Normal 3 2 2 2 3 7" xfId="3527" xr:uid="{00000000-0005-0000-0000-0000C3620000}"/>
    <cellStyle name="Normal 3 2 2 2 4" xfId="23026" xr:uid="{00000000-0005-0000-0000-0000C4620000}"/>
    <cellStyle name="Normal 3 2 2 2 4 2" xfId="21322" xr:uid="{00000000-0005-0000-0000-0000C5620000}"/>
    <cellStyle name="Normal 3 2 2 2 4 2 2" xfId="30402" xr:uid="{00000000-0005-0000-0000-0000C6620000}"/>
    <cellStyle name="Normal 3 2 2 2 4 2 2 2" xfId="16138" xr:uid="{00000000-0005-0000-0000-0000C7620000}"/>
    <cellStyle name="Normal 3 2 2 2 4 2 2 2 2" xfId="23297" xr:uid="{00000000-0005-0000-0000-0000C8620000}"/>
    <cellStyle name="Normal 3 2 2 2 4 2 2 2 2 2" xfId="18194" xr:uid="{00000000-0005-0000-0000-0000C9620000}"/>
    <cellStyle name="Normal 3 2 2 2 4 2 2 2 3" xfId="27594" xr:uid="{00000000-0005-0000-0000-0000CA620000}"/>
    <cellStyle name="Normal 3 2 2 2 4 2 2 3" xfId="23033" xr:uid="{00000000-0005-0000-0000-0000CB620000}"/>
    <cellStyle name="Normal 3 2 2 2 4 2 2 3 2" xfId="27231" xr:uid="{00000000-0005-0000-0000-0000CC620000}"/>
    <cellStyle name="Normal 3 2 2 2 4 2 2 4" xfId="27256" xr:uid="{00000000-0005-0000-0000-0000CD620000}"/>
    <cellStyle name="Normal 3 2 2 2 4 2 3" xfId="21471" xr:uid="{00000000-0005-0000-0000-0000CE620000}"/>
    <cellStyle name="Normal 3 2 2 2 4 2 3 2" xfId="21479" xr:uid="{00000000-0005-0000-0000-0000CF620000}"/>
    <cellStyle name="Normal 3 2 2 2 4 2 3 2 2" xfId="26705" xr:uid="{00000000-0005-0000-0000-0000D0620000}"/>
    <cellStyle name="Normal 3 2 2 2 4 2 3 3" xfId="21490" xr:uid="{00000000-0005-0000-0000-0000D1620000}"/>
    <cellStyle name="Normal 3 2 2 2 4 2 4" xfId="21501" xr:uid="{00000000-0005-0000-0000-0000D2620000}"/>
    <cellStyle name="Normal 3 2 2 2 4 2 4 2" xfId="21507" xr:uid="{00000000-0005-0000-0000-0000D3620000}"/>
    <cellStyle name="Normal 3 2 2 2 4 2 5" xfId="18983" xr:uid="{00000000-0005-0000-0000-0000D4620000}"/>
    <cellStyle name="Normal 3 2 2 2 4 3" xfId="2781" xr:uid="{00000000-0005-0000-0000-0000D5620000}"/>
    <cellStyle name="Normal 3 2 2 2 4 3 2" xfId="17558" xr:uid="{00000000-0005-0000-0000-0000D6620000}"/>
    <cellStyle name="Normal 3 2 2 2 4 3 2 2" xfId="23043" xr:uid="{00000000-0005-0000-0000-0000D7620000}"/>
    <cellStyle name="Normal 3 2 2 2 4 3 2 2 2" xfId="27600" xr:uid="{00000000-0005-0000-0000-0000D8620000}"/>
    <cellStyle name="Normal 3 2 2 2 4 3 2 3" xfId="27604" xr:uid="{00000000-0005-0000-0000-0000D9620000}"/>
    <cellStyle name="Normal 3 2 2 2 4 3 3" xfId="21516" xr:uid="{00000000-0005-0000-0000-0000DA620000}"/>
    <cellStyle name="Normal 3 2 2 2 4 3 3 2" xfId="21523" xr:uid="{00000000-0005-0000-0000-0000DB620000}"/>
    <cellStyle name="Normal 3 2 2 2 4 3 4" xfId="21526" xr:uid="{00000000-0005-0000-0000-0000DC620000}"/>
    <cellStyle name="Normal 3 2 2 2 4 4" xfId="14093" xr:uid="{00000000-0005-0000-0000-0000DD620000}"/>
    <cellStyle name="Normal 3 2 2 2 4 4 2" xfId="23047" xr:uid="{00000000-0005-0000-0000-0000DE620000}"/>
    <cellStyle name="Normal 3 2 2 2 4 4 2 2" xfId="26107" xr:uid="{00000000-0005-0000-0000-0000DF620000}"/>
    <cellStyle name="Normal 3 2 2 2 4 4 3" xfId="21535" xr:uid="{00000000-0005-0000-0000-0000E0620000}"/>
    <cellStyle name="Normal 3 2 2 2 4 5" xfId="6682" xr:uid="{00000000-0005-0000-0000-0000E1620000}"/>
    <cellStyle name="Normal 3 2 2 2 4 5 2" xfId="27612" xr:uid="{00000000-0005-0000-0000-0000E2620000}"/>
    <cellStyle name="Normal 3 2 2 2 4 6" xfId="29392" xr:uid="{00000000-0005-0000-0000-0000E3620000}"/>
    <cellStyle name="Normal 3 2 2 2 5" xfId="26753" xr:uid="{00000000-0005-0000-0000-0000E4620000}"/>
    <cellStyle name="Normal 3 2 2 2 5 2" xfId="23052" xr:uid="{00000000-0005-0000-0000-0000E5620000}"/>
    <cellStyle name="Normal 3 2 2 2 5 2 2" xfId="23055" xr:uid="{00000000-0005-0000-0000-0000E6620000}"/>
    <cellStyle name="Normal 3 2 2 2 5 2 2 2" xfId="13816" xr:uid="{00000000-0005-0000-0000-0000E7620000}"/>
    <cellStyle name="Normal 3 2 2 2 5 2 2 2 2" xfId="27616" xr:uid="{00000000-0005-0000-0000-0000E8620000}"/>
    <cellStyle name="Normal 3 2 2 2 5 2 2 3" xfId="27619" xr:uid="{00000000-0005-0000-0000-0000E9620000}"/>
    <cellStyle name="Normal 3 2 2 2 5 2 3" xfId="23413" xr:uid="{00000000-0005-0000-0000-0000EA620000}"/>
    <cellStyle name="Normal 3 2 2 2 5 2 3 2" xfId="21543" xr:uid="{00000000-0005-0000-0000-0000EB620000}"/>
    <cellStyle name="Normal 3 2 2 2 5 2 4" xfId="21547" xr:uid="{00000000-0005-0000-0000-0000EC620000}"/>
    <cellStyle name="Normal 3 2 2 2 5 3" xfId="20089" xr:uid="{00000000-0005-0000-0000-0000ED620000}"/>
    <cellStyle name="Normal 3 2 2 2 5 3 2" xfId="19223" xr:uid="{00000000-0005-0000-0000-0000EE620000}"/>
    <cellStyle name="Normal 3 2 2 2 5 3 2 2" xfId="27520" xr:uid="{00000000-0005-0000-0000-0000EF620000}"/>
    <cellStyle name="Normal 3 2 2 2 5 3 3" xfId="21553" xr:uid="{00000000-0005-0000-0000-0000F0620000}"/>
    <cellStyle name="Normal 3 2 2 2 5 4" xfId="14098" xr:uid="{00000000-0005-0000-0000-0000F1620000}"/>
    <cellStyle name="Normal 3 2 2 2 5 4 2" xfId="23862" xr:uid="{00000000-0005-0000-0000-0000F2620000}"/>
    <cellStyle name="Normal 3 2 2 2 5 5" xfId="25354" xr:uid="{00000000-0005-0000-0000-0000F3620000}"/>
    <cellStyle name="Normal 3 2 2 2 6" xfId="23058" xr:uid="{00000000-0005-0000-0000-0000F4620000}"/>
    <cellStyle name="Normal 3 2 2 2 6 2" xfId="23061" xr:uid="{00000000-0005-0000-0000-0000F5620000}"/>
    <cellStyle name="Normal 3 2 2 2 6 2 2" xfId="23068" xr:uid="{00000000-0005-0000-0000-0000F6620000}"/>
    <cellStyle name="Normal 3 2 2 2 6 2 2 2" xfId="10259" xr:uid="{00000000-0005-0000-0000-0000F7620000}"/>
    <cellStyle name="Normal 3 2 2 2 6 2 3" xfId="21571" xr:uid="{00000000-0005-0000-0000-0000F8620000}"/>
    <cellStyle name="Normal 3 2 2 2 6 3" xfId="23076" xr:uid="{00000000-0005-0000-0000-0000F9620000}"/>
    <cellStyle name="Normal 3 2 2 2 6 3 2" xfId="27215" xr:uid="{00000000-0005-0000-0000-0000FA620000}"/>
    <cellStyle name="Normal 3 2 2 2 6 4" xfId="17031" xr:uid="{00000000-0005-0000-0000-0000FB620000}"/>
    <cellStyle name="Normal 3 2 2 2 7" xfId="23079" xr:uid="{00000000-0005-0000-0000-0000FC620000}"/>
    <cellStyle name="Normal 3 2 2 2 7 2" xfId="23082" xr:uid="{00000000-0005-0000-0000-0000FD620000}"/>
    <cellStyle name="Normal 3 2 2 2 7 2 2" xfId="27638" xr:uid="{00000000-0005-0000-0000-0000FE620000}"/>
    <cellStyle name="Normal 3 2 2 2 7 3" xfId="29825" xr:uid="{00000000-0005-0000-0000-0000FF620000}"/>
    <cellStyle name="Normal 3 2 2 2 8" xfId="23086" xr:uid="{00000000-0005-0000-0000-000000630000}"/>
    <cellStyle name="Normal 3 2 2 2 8 2" xfId="25331" xr:uid="{00000000-0005-0000-0000-000001630000}"/>
    <cellStyle name="Normal 3 2 2 2 9" xfId="15742" xr:uid="{00000000-0005-0000-0000-000002630000}"/>
    <cellStyle name="Normal 3 2 2 3" xfId="24822" xr:uid="{00000000-0005-0000-0000-000003630000}"/>
    <cellStyle name="Normal 3 2 2 3 2" xfId="23089" xr:uid="{00000000-0005-0000-0000-000004630000}"/>
    <cellStyle name="Normal 3 2 2 3 2 2" xfId="23094" xr:uid="{00000000-0005-0000-0000-000005630000}"/>
    <cellStyle name="Normal 3 2 2 3 2 2 2" xfId="10130" xr:uid="{00000000-0005-0000-0000-000006630000}"/>
    <cellStyle name="Normal 3 2 2 3 2 2 2 2" xfId="23108" xr:uid="{00000000-0005-0000-0000-000007630000}"/>
    <cellStyle name="Normal 3 2 2 3 2 2 2 2 2" xfId="23110" xr:uid="{00000000-0005-0000-0000-000008630000}"/>
    <cellStyle name="Normal 3 2 2 3 2 2 2 2 2 2" xfId="28724" xr:uid="{00000000-0005-0000-0000-000009630000}"/>
    <cellStyle name="Normal 3 2 2 3 2 2 2 2 2 2 2" xfId="27641" xr:uid="{00000000-0005-0000-0000-00000A630000}"/>
    <cellStyle name="Normal 3 2 2 3 2 2 2 2 2 3" xfId="27527" xr:uid="{00000000-0005-0000-0000-00000B630000}"/>
    <cellStyle name="Normal 3 2 2 3 2 2 2 2 3" xfId="23112" xr:uid="{00000000-0005-0000-0000-00000C630000}"/>
    <cellStyle name="Normal 3 2 2 3 2 2 2 2 3 2" xfId="1295" xr:uid="{00000000-0005-0000-0000-00000D630000}"/>
    <cellStyle name="Normal 3 2 2 3 2 2 2 2 4" xfId="22366" xr:uid="{00000000-0005-0000-0000-00000E630000}"/>
    <cellStyle name="Normal 3 2 2 3 2 2 2 3" xfId="23751" xr:uid="{00000000-0005-0000-0000-00000F630000}"/>
    <cellStyle name="Normal 3 2 2 3 2 2 2 3 2" xfId="23118" xr:uid="{00000000-0005-0000-0000-000010630000}"/>
    <cellStyle name="Normal 3 2 2 3 2 2 2 3 2 2" xfId="29613" xr:uid="{00000000-0005-0000-0000-000011630000}"/>
    <cellStyle name="Normal 3 2 2 3 2 2 2 3 3" xfId="23323" xr:uid="{00000000-0005-0000-0000-000012630000}"/>
    <cellStyle name="Normal 3 2 2 3 2 2 2 4" xfId="22401" xr:uid="{00000000-0005-0000-0000-000013630000}"/>
    <cellStyle name="Normal 3 2 2 3 2 2 2 4 2" xfId="29256" xr:uid="{00000000-0005-0000-0000-000014630000}"/>
    <cellStyle name="Normal 3 2 2 3 2 2 2 5" xfId="29257" xr:uid="{00000000-0005-0000-0000-000015630000}"/>
    <cellStyle name="Normal 3 2 2 3 2 2 3" xfId="24199" xr:uid="{00000000-0005-0000-0000-000016630000}"/>
    <cellStyle name="Normal 3 2 2 3 2 2 3 2" xfId="19414" xr:uid="{00000000-0005-0000-0000-000017630000}"/>
    <cellStyle name="Normal 3 2 2 3 2 2 3 2 2" xfId="23124" xr:uid="{00000000-0005-0000-0000-000018630000}"/>
    <cellStyle name="Normal 3 2 2 3 2 2 3 2 2 2" xfId="3520" xr:uid="{00000000-0005-0000-0000-000019630000}"/>
    <cellStyle name="Normal 3 2 2 3 2 2 3 2 3" xfId="26893" xr:uid="{00000000-0005-0000-0000-00001A630000}"/>
    <cellStyle name="Normal 3 2 2 3 2 2 3 3" xfId="21563" xr:uid="{00000000-0005-0000-0000-00001B630000}"/>
    <cellStyle name="Normal 3 2 2 3 2 2 3 3 2" xfId="32332" xr:uid="{00000000-0005-0000-0000-00001C630000}"/>
    <cellStyle name="Normal 3 2 2 3 2 2 3 4" xfId="21597" xr:uid="{00000000-0005-0000-0000-00001D630000}"/>
    <cellStyle name="Normal 3 2 2 3 2 2 4" xfId="22441" xr:uid="{00000000-0005-0000-0000-00001E630000}"/>
    <cellStyle name="Normal 3 2 2 3 2 2 4 2" xfId="19440" xr:uid="{00000000-0005-0000-0000-00001F630000}"/>
    <cellStyle name="Normal 3 2 2 3 2 2 4 2 2" xfId="28216" xr:uid="{00000000-0005-0000-0000-000020630000}"/>
    <cellStyle name="Normal 3 2 2 3 2 2 4 3" xfId="21606" xr:uid="{00000000-0005-0000-0000-000021630000}"/>
    <cellStyle name="Normal 3 2 2 3 2 2 5" xfId="21612" xr:uid="{00000000-0005-0000-0000-000022630000}"/>
    <cellStyle name="Normal 3 2 2 3 2 2 5 2" xfId="18091" xr:uid="{00000000-0005-0000-0000-000023630000}"/>
    <cellStyle name="Normal 3 2 2 3 2 2 6" xfId="21621" xr:uid="{00000000-0005-0000-0000-000024630000}"/>
    <cellStyle name="Normal 3 2 2 3 2 3" xfId="22506" xr:uid="{00000000-0005-0000-0000-000025630000}"/>
    <cellStyle name="Normal 3 2 2 3 2 3 2" xfId="18624" xr:uid="{00000000-0005-0000-0000-000026630000}"/>
    <cellStyle name="Normal 3 2 2 3 2 3 2 2" xfId="23127" xr:uid="{00000000-0005-0000-0000-000027630000}"/>
    <cellStyle name="Normal 3 2 2 3 2 3 2 2 2" xfId="23133" xr:uid="{00000000-0005-0000-0000-000028630000}"/>
    <cellStyle name="Normal 3 2 2 3 2 3 2 2 2 2" xfId="21529" xr:uid="{00000000-0005-0000-0000-000029630000}"/>
    <cellStyle name="Normal 3 2 2 3 2 3 2 2 3" xfId="11269" xr:uid="{00000000-0005-0000-0000-00002A630000}"/>
    <cellStyle name="Normal 3 2 2 3 2 3 2 3" xfId="25451" xr:uid="{00000000-0005-0000-0000-00002B630000}"/>
    <cellStyle name="Normal 3 2 2 3 2 3 2 3 2" xfId="25698" xr:uid="{00000000-0005-0000-0000-00002C630000}"/>
    <cellStyle name="Normal 3 2 2 3 2 3 2 4" xfId="26866" xr:uid="{00000000-0005-0000-0000-00002D630000}"/>
    <cellStyle name="Normal 3 2 2 3 2 3 3" xfId="24117" xr:uid="{00000000-0005-0000-0000-00002E630000}"/>
    <cellStyle name="Normal 3 2 2 3 2 3 3 2" xfId="24124" xr:uid="{00000000-0005-0000-0000-00002F630000}"/>
    <cellStyle name="Normal 3 2 2 3 2 3 3 2 2" xfId="28237" xr:uid="{00000000-0005-0000-0000-000030630000}"/>
    <cellStyle name="Normal 3 2 2 3 2 3 3 3" xfId="27419" xr:uid="{00000000-0005-0000-0000-000031630000}"/>
    <cellStyle name="Normal 3 2 2 3 2 3 4" xfId="21634" xr:uid="{00000000-0005-0000-0000-000032630000}"/>
    <cellStyle name="Normal 3 2 2 3 2 3 4 2" xfId="16152" xr:uid="{00000000-0005-0000-0000-000033630000}"/>
    <cellStyle name="Normal 3 2 2 3 2 3 5" xfId="21643" xr:uid="{00000000-0005-0000-0000-000034630000}"/>
    <cellStyle name="Normal 3 2 2 3 2 4" xfId="8728" xr:uid="{00000000-0005-0000-0000-000035630000}"/>
    <cellStyle name="Normal 3 2 2 3 2 4 2" xfId="23149" xr:uid="{00000000-0005-0000-0000-000036630000}"/>
    <cellStyle name="Normal 3 2 2 3 2 4 2 2" xfId="18691" xr:uid="{00000000-0005-0000-0000-000037630000}"/>
    <cellStyle name="Normal 3 2 2 3 2 4 2 2 2" xfId="27653" xr:uid="{00000000-0005-0000-0000-000038630000}"/>
    <cellStyle name="Normal 3 2 2 3 2 4 2 3" xfId="28813" xr:uid="{00000000-0005-0000-0000-000039630000}"/>
    <cellStyle name="Normal 3 2 2 3 2 4 3" xfId="21651" xr:uid="{00000000-0005-0000-0000-00003A630000}"/>
    <cellStyle name="Normal 3 2 2 3 2 4 3 2" xfId="21658" xr:uid="{00000000-0005-0000-0000-00003B630000}"/>
    <cellStyle name="Normal 3 2 2 3 2 4 4" xfId="21665" xr:uid="{00000000-0005-0000-0000-00003C630000}"/>
    <cellStyle name="Normal 3 2 2 3 2 5" xfId="654" xr:uid="{00000000-0005-0000-0000-00003D630000}"/>
    <cellStyle name="Normal 3 2 2 3 2 5 2" xfId="23153" xr:uid="{00000000-0005-0000-0000-00003E630000}"/>
    <cellStyle name="Normal 3 2 2 3 2 5 2 2" xfId="11832" xr:uid="{00000000-0005-0000-0000-00003F630000}"/>
    <cellStyle name="Normal 3 2 2 3 2 5 3" xfId="25700" xr:uid="{00000000-0005-0000-0000-000040630000}"/>
    <cellStyle name="Normal 3 2 2 3 2 6" xfId="16154" xr:uid="{00000000-0005-0000-0000-000041630000}"/>
    <cellStyle name="Normal 3 2 2 3 2 6 2" xfId="27657" xr:uid="{00000000-0005-0000-0000-000042630000}"/>
    <cellStyle name="Normal 3 2 2 3 2 7" xfId="2468" xr:uid="{00000000-0005-0000-0000-000043630000}"/>
    <cellStyle name="Normal 3 2 2 3 3" xfId="14198" xr:uid="{00000000-0005-0000-0000-000044630000}"/>
    <cellStyle name="Normal 3 2 2 3 3 2" xfId="23156" xr:uid="{00000000-0005-0000-0000-000045630000}"/>
    <cellStyle name="Normal 3 2 2 3 3 2 2" xfId="23162" xr:uid="{00000000-0005-0000-0000-000046630000}"/>
    <cellStyle name="Normal 3 2 2 3 3 2 2 2" xfId="24750" xr:uid="{00000000-0005-0000-0000-000047630000}"/>
    <cellStyle name="Normal 3 2 2 3 3 2 2 2 2" xfId="23170" xr:uid="{00000000-0005-0000-0000-000048630000}"/>
    <cellStyle name="Normal 3 2 2 3 3 2 2 2 2 2" xfId="27659" xr:uid="{00000000-0005-0000-0000-000049630000}"/>
    <cellStyle name="Normal 3 2 2 3 3 2 2 2 3" xfId="27662" xr:uid="{00000000-0005-0000-0000-00004A630000}"/>
    <cellStyle name="Normal 3 2 2 3 3 2 2 3" xfId="23173" xr:uid="{00000000-0005-0000-0000-00004B630000}"/>
    <cellStyle name="Normal 3 2 2 3 3 2 2 3 2" xfId="27667" xr:uid="{00000000-0005-0000-0000-00004C630000}"/>
    <cellStyle name="Normal 3 2 2 3 3 2 2 4" xfId="27670" xr:uid="{00000000-0005-0000-0000-00004D630000}"/>
    <cellStyle name="Normal 3 2 2 3 3 2 3" xfId="21694" xr:uid="{00000000-0005-0000-0000-00004E630000}"/>
    <cellStyle name="Normal 3 2 2 3 3 2 3 2" xfId="19514" xr:uid="{00000000-0005-0000-0000-00004F630000}"/>
    <cellStyle name="Normal 3 2 2 3 3 2 3 2 2" xfId="28368" xr:uid="{00000000-0005-0000-0000-000050630000}"/>
    <cellStyle name="Normal 3 2 2 3 3 2 3 3" xfId="21697" xr:uid="{00000000-0005-0000-0000-000051630000}"/>
    <cellStyle name="Normal 3 2 2 3 3 2 4" xfId="23989" xr:uid="{00000000-0005-0000-0000-000052630000}"/>
    <cellStyle name="Normal 3 2 2 3 3 2 4 2" xfId="26142" xr:uid="{00000000-0005-0000-0000-000053630000}"/>
    <cellStyle name="Normal 3 2 2 3 3 2 5" xfId="21702" xr:uid="{00000000-0005-0000-0000-000054630000}"/>
    <cellStyle name="Normal 3 2 2 3 3 3" xfId="31455" xr:uid="{00000000-0005-0000-0000-000055630000}"/>
    <cellStyle name="Normal 3 2 2 3 3 3 2" xfId="32040" xr:uid="{00000000-0005-0000-0000-000056630000}"/>
    <cellStyle name="Normal 3 2 2 3 3 3 2 2" xfId="556" xr:uid="{00000000-0005-0000-0000-000057630000}"/>
    <cellStyle name="Normal 3 2 2 3 3 3 2 2 2" xfId="27675" xr:uid="{00000000-0005-0000-0000-000058630000}"/>
    <cellStyle name="Normal 3 2 2 3 3 3 2 3" xfId="2223" xr:uid="{00000000-0005-0000-0000-000059630000}"/>
    <cellStyle name="Normal 3 2 2 3 3 3 3" xfId="28775" xr:uid="{00000000-0005-0000-0000-00005A630000}"/>
    <cellStyle name="Normal 3 2 2 3 3 3 3 2" xfId="757" xr:uid="{00000000-0005-0000-0000-00005B630000}"/>
    <cellStyle name="Normal 3 2 2 3 3 3 4" xfId="21709" xr:uid="{00000000-0005-0000-0000-00005C630000}"/>
    <cellStyle name="Normal 3 2 2 3 3 4" xfId="32809" xr:uid="{00000000-0005-0000-0000-00005D630000}"/>
    <cellStyle name="Normal 3 2 2 3 3 4 2" xfId="23176" xr:uid="{00000000-0005-0000-0000-00005E630000}"/>
    <cellStyle name="Normal 3 2 2 3 3 4 2 2" xfId="504" xr:uid="{00000000-0005-0000-0000-00005F630000}"/>
    <cellStyle name="Normal 3 2 2 3 3 4 3" xfId="21716" xr:uid="{00000000-0005-0000-0000-000060630000}"/>
    <cellStyle name="Normal 3 2 2 3 3 5" xfId="32762" xr:uid="{00000000-0005-0000-0000-000061630000}"/>
    <cellStyle name="Normal 3 2 2 3 3 5 2" xfId="24900" xr:uid="{00000000-0005-0000-0000-000062630000}"/>
    <cellStyle name="Normal 3 2 2 3 3 6" xfId="25169" xr:uid="{00000000-0005-0000-0000-000063630000}"/>
    <cellStyle name="Normal 3 2 2 3 4" xfId="18877" xr:uid="{00000000-0005-0000-0000-000064630000}"/>
    <cellStyle name="Normal 3 2 2 3 4 2" xfId="29368" xr:uid="{00000000-0005-0000-0000-000065630000}"/>
    <cellStyle name="Normal 3 2 2 3 4 2 2" xfId="23186" xr:uid="{00000000-0005-0000-0000-000066630000}"/>
    <cellStyle name="Normal 3 2 2 3 4 2 2 2" xfId="23195" xr:uid="{00000000-0005-0000-0000-000067630000}"/>
    <cellStyle name="Normal 3 2 2 3 4 2 2 2 2" xfId="28663" xr:uid="{00000000-0005-0000-0000-000068630000}"/>
    <cellStyle name="Normal 3 2 2 3 4 2 2 3" xfId="27701" xr:uid="{00000000-0005-0000-0000-000069630000}"/>
    <cellStyle name="Normal 3 2 2 3 4 2 3" xfId="5344" xr:uid="{00000000-0005-0000-0000-00006A630000}"/>
    <cellStyle name="Normal 3 2 2 3 4 2 3 2" xfId="21736" xr:uid="{00000000-0005-0000-0000-00006B630000}"/>
    <cellStyle name="Normal 3 2 2 3 4 2 4" xfId="21742" xr:uid="{00000000-0005-0000-0000-00006C630000}"/>
    <cellStyle name="Normal 3 2 2 3 4 3" xfId="23316" xr:uid="{00000000-0005-0000-0000-00006D630000}"/>
    <cellStyle name="Normal 3 2 2 3 4 3 2" xfId="28489" xr:uid="{00000000-0005-0000-0000-00006E630000}"/>
    <cellStyle name="Normal 3 2 2 3 4 3 2 2" xfId="2539" xr:uid="{00000000-0005-0000-0000-00006F630000}"/>
    <cellStyle name="Normal 3 2 2 3 4 3 3" xfId="17816" xr:uid="{00000000-0005-0000-0000-000070630000}"/>
    <cellStyle name="Normal 3 2 2 3 4 4" xfId="29972" xr:uid="{00000000-0005-0000-0000-000071630000}"/>
    <cellStyle name="Normal 3 2 2 3 4 4 2" xfId="25685" xr:uid="{00000000-0005-0000-0000-000072630000}"/>
    <cellStyle name="Normal 3 2 2 3 4 5" xfId="15344" xr:uid="{00000000-0005-0000-0000-000073630000}"/>
    <cellStyle name="Normal 3 2 2 3 5" xfId="11385" xr:uid="{00000000-0005-0000-0000-000074630000}"/>
    <cellStyle name="Normal 3 2 2 3 5 2" xfId="27510" xr:uid="{00000000-0005-0000-0000-000075630000}"/>
    <cellStyle name="Normal 3 2 2 3 5 2 2" xfId="23204" xr:uid="{00000000-0005-0000-0000-000076630000}"/>
    <cellStyle name="Normal 3 2 2 3 5 2 2 2" xfId="16868" xr:uid="{00000000-0005-0000-0000-000077630000}"/>
    <cellStyle name="Normal 3 2 2 3 5 2 3" xfId="26775" xr:uid="{00000000-0005-0000-0000-000078630000}"/>
    <cellStyle name="Normal 3 2 2 3 5 3" xfId="14566" xr:uid="{00000000-0005-0000-0000-000079630000}"/>
    <cellStyle name="Normal 3 2 2 3 5 3 2" xfId="25730" xr:uid="{00000000-0005-0000-0000-00007A630000}"/>
    <cellStyle name="Normal 3 2 2 3 5 4" xfId="27677" xr:uid="{00000000-0005-0000-0000-00007B630000}"/>
    <cellStyle name="Normal 3 2 2 3 6" xfId="23212" xr:uid="{00000000-0005-0000-0000-00007C630000}"/>
    <cellStyle name="Normal 3 2 2 3 6 2" xfId="14582" xr:uid="{00000000-0005-0000-0000-00007D630000}"/>
    <cellStyle name="Normal 3 2 2 3 6 2 2" xfId="25751" xr:uid="{00000000-0005-0000-0000-00007E630000}"/>
    <cellStyle name="Normal 3 2 2 3 6 3" xfId="27684" xr:uid="{00000000-0005-0000-0000-00007F630000}"/>
    <cellStyle name="Normal 3 2 2 3 7" xfId="23220" xr:uid="{00000000-0005-0000-0000-000080630000}"/>
    <cellStyle name="Normal 3 2 2 3 7 2" xfId="27698" xr:uid="{00000000-0005-0000-0000-000081630000}"/>
    <cellStyle name="Normal 3 2 2 3 8" xfId="27365" xr:uid="{00000000-0005-0000-0000-000082630000}"/>
    <cellStyle name="Normal 3 2 2 4" xfId="1228" xr:uid="{00000000-0005-0000-0000-000083630000}"/>
    <cellStyle name="Normal 3 2 2 4 2" xfId="23232" xr:uid="{00000000-0005-0000-0000-000084630000}"/>
    <cellStyle name="Normal 3 2 2 4 2 2" xfId="23237" xr:uid="{00000000-0005-0000-0000-000085630000}"/>
    <cellStyle name="Normal 3 2 2 4 2 2 2" xfId="14639" xr:uid="{00000000-0005-0000-0000-000086630000}"/>
    <cellStyle name="Normal 3 2 2 4 2 2 2 2" xfId="6341" xr:uid="{00000000-0005-0000-0000-000087630000}"/>
    <cellStyle name="Normal 3 2 2 4 2 2 2 2 2" xfId="1355" xr:uid="{00000000-0005-0000-0000-000088630000}"/>
    <cellStyle name="Normal 3 2 2 4 2 2 2 2 2 2" xfId="27702" xr:uid="{00000000-0005-0000-0000-000089630000}"/>
    <cellStyle name="Normal 3 2 2 4 2 2 2 2 3" xfId="8854" xr:uid="{00000000-0005-0000-0000-00008A630000}"/>
    <cellStyle name="Normal 3 2 2 4 2 2 2 3" xfId="12593" xr:uid="{00000000-0005-0000-0000-00008B630000}"/>
    <cellStyle name="Normal 3 2 2 4 2 2 2 3 2" xfId="4610" xr:uid="{00000000-0005-0000-0000-00008C630000}"/>
    <cellStyle name="Normal 3 2 2 4 2 2 2 4" xfId="12601" xr:uid="{00000000-0005-0000-0000-00008D630000}"/>
    <cellStyle name="Normal 3 2 2 4 2 2 3" xfId="20343" xr:uid="{00000000-0005-0000-0000-00008E630000}"/>
    <cellStyle name="Normal 3 2 2 4 2 2 3 2" xfId="2571" xr:uid="{00000000-0005-0000-0000-00008F630000}"/>
    <cellStyle name="Normal 3 2 2 4 2 2 3 2 2" xfId="2574" xr:uid="{00000000-0005-0000-0000-000090630000}"/>
    <cellStyle name="Normal 3 2 2 4 2 2 3 3" xfId="6314" xr:uid="{00000000-0005-0000-0000-000091630000}"/>
    <cellStyle name="Normal 3 2 2 4 2 2 4" xfId="21772" xr:uid="{00000000-0005-0000-0000-000092630000}"/>
    <cellStyle name="Normal 3 2 2 4 2 2 4 2" xfId="988" xr:uid="{00000000-0005-0000-0000-000093630000}"/>
    <cellStyle name="Normal 3 2 2 4 2 2 5" xfId="21774" xr:uid="{00000000-0005-0000-0000-000094630000}"/>
    <cellStyle name="Normal 3 2 2 4 2 3" xfId="8735" xr:uid="{00000000-0005-0000-0000-000095630000}"/>
    <cellStyle name="Normal 3 2 2 4 2 3 2" xfId="19282" xr:uid="{00000000-0005-0000-0000-000096630000}"/>
    <cellStyle name="Normal 3 2 2 4 2 3 2 2" xfId="114" xr:uid="{00000000-0005-0000-0000-000097630000}"/>
    <cellStyle name="Normal 3 2 2 4 2 3 2 2 2" xfId="23252" xr:uid="{00000000-0005-0000-0000-000098630000}"/>
    <cellStyle name="Normal 3 2 2 4 2 3 2 3" xfId="8388" xr:uid="{00000000-0005-0000-0000-000099630000}"/>
    <cellStyle name="Normal 3 2 2 4 2 3 3" xfId="21781" xr:uid="{00000000-0005-0000-0000-00009A630000}"/>
    <cellStyle name="Normal 3 2 2 4 2 3 3 2" xfId="1031" xr:uid="{00000000-0005-0000-0000-00009B630000}"/>
    <cellStyle name="Normal 3 2 2 4 2 3 4" xfId="21785" xr:uid="{00000000-0005-0000-0000-00009C630000}"/>
    <cellStyle name="Normal 3 2 2 4 2 4" xfId="8741" xr:uid="{00000000-0005-0000-0000-00009D630000}"/>
    <cellStyle name="Normal 3 2 2 4 2 4 2" xfId="23239" xr:uid="{00000000-0005-0000-0000-00009E630000}"/>
    <cellStyle name="Normal 3 2 2 4 2 4 2 2" xfId="231" xr:uid="{00000000-0005-0000-0000-00009F630000}"/>
    <cellStyle name="Normal 3 2 2 4 2 4 3" xfId="21787" xr:uid="{00000000-0005-0000-0000-0000A0630000}"/>
    <cellStyle name="Normal 3 2 2 4 2 5" xfId="18561" xr:uid="{00000000-0005-0000-0000-0000A1630000}"/>
    <cellStyle name="Normal 3 2 2 4 2 5 2" xfId="22248" xr:uid="{00000000-0005-0000-0000-0000A2630000}"/>
    <cellStyle name="Normal 3 2 2 4 2 6" xfId="14061" xr:uid="{00000000-0005-0000-0000-0000A3630000}"/>
    <cellStyle name="Normal 3 2 2 4 3" xfId="3797" xr:uid="{00000000-0005-0000-0000-0000A4630000}"/>
    <cellStyle name="Normal 3 2 2 4 3 2" xfId="23247" xr:uid="{00000000-0005-0000-0000-0000A5630000}"/>
    <cellStyle name="Normal 3 2 2 4 3 2 2" xfId="32059" xr:uid="{00000000-0005-0000-0000-0000A6630000}"/>
    <cellStyle name="Normal 3 2 2 4 3 2 2 2" xfId="10068" xr:uid="{00000000-0005-0000-0000-0000A7630000}"/>
    <cellStyle name="Normal 3 2 2 4 3 2 2 2 2" xfId="10073" xr:uid="{00000000-0005-0000-0000-0000A8630000}"/>
    <cellStyle name="Normal 3 2 2 4 3 2 2 3" xfId="12640" xr:uid="{00000000-0005-0000-0000-0000A9630000}"/>
    <cellStyle name="Normal 3 2 2 4 3 2 3" xfId="20004" xr:uid="{00000000-0005-0000-0000-0000AA630000}"/>
    <cellStyle name="Normal 3 2 2 4 3 2 3 2" xfId="16584" xr:uid="{00000000-0005-0000-0000-0000AB630000}"/>
    <cellStyle name="Normal 3 2 2 4 3 2 4" xfId="23998" xr:uid="{00000000-0005-0000-0000-0000AC630000}"/>
    <cellStyle name="Normal 3 2 2 4 3 3" xfId="8745" xr:uid="{00000000-0005-0000-0000-0000AD630000}"/>
    <cellStyle name="Normal 3 2 2 4 3 3 2" xfId="23248" xr:uid="{00000000-0005-0000-0000-0000AE630000}"/>
    <cellStyle name="Normal 3 2 2 4 3 3 2 2" xfId="10443" xr:uid="{00000000-0005-0000-0000-0000AF630000}"/>
    <cellStyle name="Normal 3 2 2 4 3 3 3" xfId="21801" xr:uid="{00000000-0005-0000-0000-0000B0630000}"/>
    <cellStyle name="Normal 3 2 2 4 3 4" xfId="29234" xr:uid="{00000000-0005-0000-0000-0000B1630000}"/>
    <cellStyle name="Normal 3 2 2 4 3 4 2" xfId="27703" xr:uid="{00000000-0005-0000-0000-0000B2630000}"/>
    <cellStyle name="Normal 3 2 2 4 3 5" xfId="27704" xr:uid="{00000000-0005-0000-0000-0000B3630000}"/>
    <cellStyle name="Normal 3 2 2 4 4" xfId="11390" xr:uid="{00000000-0005-0000-0000-0000B4630000}"/>
    <cellStyle name="Normal 3 2 2 4 4 2" xfId="23259" xr:uid="{00000000-0005-0000-0000-0000B5630000}"/>
    <cellStyle name="Normal 3 2 2 4 4 2 2" xfId="23262" xr:uid="{00000000-0005-0000-0000-0000B6630000}"/>
    <cellStyle name="Normal 3 2 2 4 4 2 2 2" xfId="11925" xr:uid="{00000000-0005-0000-0000-0000B7630000}"/>
    <cellStyle name="Normal 3 2 2 4 4 2 3" xfId="21817" xr:uid="{00000000-0005-0000-0000-0000B8630000}"/>
    <cellStyle name="Normal 3 2 2 4 4 3" xfId="3284" xr:uid="{00000000-0005-0000-0000-0000B9630000}"/>
    <cellStyle name="Normal 3 2 2 4 4 3 2" xfId="1916" xr:uid="{00000000-0005-0000-0000-0000BA630000}"/>
    <cellStyle name="Normal 3 2 2 4 4 4" xfId="27708" xr:uid="{00000000-0005-0000-0000-0000BB630000}"/>
    <cellStyle name="Normal 3 2 2 4 5" xfId="23271" xr:uid="{00000000-0005-0000-0000-0000BC630000}"/>
    <cellStyle name="Normal 3 2 2 4 5 2" xfId="23844" xr:uid="{00000000-0005-0000-0000-0000BD630000}"/>
    <cellStyle name="Normal 3 2 2 4 5 2 2" xfId="26784" xr:uid="{00000000-0005-0000-0000-0000BE630000}"/>
    <cellStyle name="Normal 3 2 2 4 5 3" xfId="27472" xr:uid="{00000000-0005-0000-0000-0000BF630000}"/>
    <cellStyle name="Normal 3 2 2 4 6" xfId="23282" xr:uid="{00000000-0005-0000-0000-0000C0630000}"/>
    <cellStyle name="Normal 3 2 2 4 6 2" xfId="27716" xr:uid="{00000000-0005-0000-0000-0000C1630000}"/>
    <cellStyle name="Normal 3 2 2 4 7" xfId="22217" xr:uid="{00000000-0005-0000-0000-0000C2630000}"/>
    <cellStyle name="Normal 3 2 2 5" xfId="19150" xr:uid="{00000000-0005-0000-0000-0000C3630000}"/>
    <cellStyle name="Normal 3 2 2 5 2" xfId="23286" xr:uid="{00000000-0005-0000-0000-0000C4630000}"/>
    <cellStyle name="Normal 3 2 2 5 2 2" xfId="22765" xr:uid="{00000000-0005-0000-0000-0000C5630000}"/>
    <cellStyle name="Normal 3 2 2 5 2 2 2" xfId="17358" xr:uid="{00000000-0005-0000-0000-0000C6630000}"/>
    <cellStyle name="Normal 3 2 2 5 2 2 2 2" xfId="23289" xr:uid="{00000000-0005-0000-0000-0000C7630000}"/>
    <cellStyle name="Normal 3 2 2 5 2 2 2 2 2" xfId="33600" xr:uid="{00000000-0005-0000-0000-0000C8630000}"/>
    <cellStyle name="Normal 3 2 2 5 2 2 2 3" xfId="27719" xr:uid="{00000000-0005-0000-0000-0000C9630000}"/>
    <cellStyle name="Normal 3 2 2 5 2 2 3" xfId="21833" xr:uid="{00000000-0005-0000-0000-0000CA630000}"/>
    <cellStyle name="Normal 3 2 2 5 2 2 3 2" xfId="21836" xr:uid="{00000000-0005-0000-0000-0000CB630000}"/>
    <cellStyle name="Normal 3 2 2 5 2 2 4" xfId="21840" xr:uid="{00000000-0005-0000-0000-0000CC630000}"/>
    <cellStyle name="Normal 3 2 2 5 2 3" xfId="8694" xr:uid="{00000000-0005-0000-0000-0000CD630000}"/>
    <cellStyle name="Normal 3 2 2 5 2 3 2" xfId="28571" xr:uid="{00000000-0005-0000-0000-0000CE630000}"/>
    <cellStyle name="Normal 3 2 2 5 2 3 2 2" xfId="27731" xr:uid="{00000000-0005-0000-0000-0000CF630000}"/>
    <cellStyle name="Normal 3 2 2 5 2 3 3" xfId="21848" xr:uid="{00000000-0005-0000-0000-0000D0630000}"/>
    <cellStyle name="Normal 3 2 2 5 2 4" xfId="28574" xr:uid="{00000000-0005-0000-0000-0000D1630000}"/>
    <cellStyle name="Normal 3 2 2 5 2 4 2" xfId="33401" xr:uid="{00000000-0005-0000-0000-0000D2630000}"/>
    <cellStyle name="Normal 3 2 2 5 2 5" xfId="27733" xr:uid="{00000000-0005-0000-0000-0000D3630000}"/>
    <cellStyle name="Normal 3 2 2 5 3" xfId="19188" xr:uid="{00000000-0005-0000-0000-0000D4630000}"/>
    <cellStyle name="Normal 3 2 2 5 3 2" xfId="23290" xr:uid="{00000000-0005-0000-0000-0000D5630000}"/>
    <cellStyle name="Normal 3 2 2 5 3 2 2" xfId="27162" xr:uid="{00000000-0005-0000-0000-0000D6630000}"/>
    <cellStyle name="Normal 3 2 2 5 3 2 2 2" xfId="14032" xr:uid="{00000000-0005-0000-0000-0000D7630000}"/>
    <cellStyle name="Normal 3 2 2 5 3 2 3" xfId="22175" xr:uid="{00000000-0005-0000-0000-0000D8630000}"/>
    <cellStyle name="Normal 3 2 2 5 3 3" xfId="19688" xr:uid="{00000000-0005-0000-0000-0000D9630000}"/>
    <cellStyle name="Normal 3 2 2 5 3 3 2" xfId="33192" xr:uid="{00000000-0005-0000-0000-0000DA630000}"/>
    <cellStyle name="Normal 3 2 2 5 3 4" xfId="28971" xr:uid="{00000000-0005-0000-0000-0000DB630000}"/>
    <cellStyle name="Normal 3 2 2 5 4" xfId="19206" xr:uid="{00000000-0005-0000-0000-0000DC630000}"/>
    <cellStyle name="Normal 3 2 2 5 4 2" xfId="23291" xr:uid="{00000000-0005-0000-0000-0000DD630000}"/>
    <cellStyle name="Normal 3 2 2 5 4 2 2" xfId="25855" xr:uid="{00000000-0005-0000-0000-0000DE630000}"/>
    <cellStyle name="Normal 3 2 2 5 4 3" xfId="27735" xr:uid="{00000000-0005-0000-0000-0000DF630000}"/>
    <cellStyle name="Normal 3 2 2 5 5" xfId="14632" xr:uid="{00000000-0005-0000-0000-0000E0630000}"/>
    <cellStyle name="Normal 3 2 2 5 5 2" xfId="25129" xr:uid="{00000000-0005-0000-0000-0000E1630000}"/>
    <cellStyle name="Normal 3 2 2 5 6" xfId="14637" xr:uid="{00000000-0005-0000-0000-0000E2630000}"/>
    <cellStyle name="Normal 3 2 2 6" xfId="23293" xr:uid="{00000000-0005-0000-0000-0000E3630000}"/>
    <cellStyle name="Normal 3 2 2 6 2" xfId="32697" xr:uid="{00000000-0005-0000-0000-0000E4630000}"/>
    <cellStyle name="Normal 3 2 2 6 2 2" xfId="31605" xr:uid="{00000000-0005-0000-0000-0000E5630000}"/>
    <cellStyle name="Normal 3 2 2 6 2 2 2" xfId="7005" xr:uid="{00000000-0005-0000-0000-0000E6630000}"/>
    <cellStyle name="Normal 3 2 2 6 2 2 2 2" xfId="5791" xr:uid="{00000000-0005-0000-0000-0000E7630000}"/>
    <cellStyle name="Normal 3 2 2 6 2 2 3" xfId="7752" xr:uid="{00000000-0005-0000-0000-0000E8630000}"/>
    <cellStyle name="Normal 3 2 2 6 2 3" xfId="17849" xr:uid="{00000000-0005-0000-0000-0000E9630000}"/>
    <cellStyle name="Normal 3 2 2 6 2 3 2" xfId="33363" xr:uid="{00000000-0005-0000-0000-0000EA630000}"/>
    <cellStyle name="Normal 3 2 2 6 2 4" xfId="28984" xr:uid="{00000000-0005-0000-0000-0000EB630000}"/>
    <cellStyle name="Normal 3 2 2 6 3" xfId="31563" xr:uid="{00000000-0005-0000-0000-0000EC630000}"/>
    <cellStyle name="Normal 3 2 2 6 3 2" xfId="22116" xr:uid="{00000000-0005-0000-0000-0000ED630000}"/>
    <cellStyle name="Normal 3 2 2 6 3 2 2" xfId="15090" xr:uid="{00000000-0005-0000-0000-0000EE630000}"/>
    <cellStyle name="Normal 3 2 2 6 3 3" xfId="30575" xr:uid="{00000000-0005-0000-0000-0000EF630000}"/>
    <cellStyle name="Normal 3 2 2 6 4" xfId="3224" xr:uid="{00000000-0005-0000-0000-0000F0630000}"/>
    <cellStyle name="Normal 3 2 2 6 4 2" xfId="27262" xr:uid="{00000000-0005-0000-0000-0000F1630000}"/>
    <cellStyle name="Normal 3 2 2 6 5" xfId="11367" xr:uid="{00000000-0005-0000-0000-0000F2630000}"/>
    <cellStyle name="Normal 3 2 2 7" xfId="17914" xr:uid="{00000000-0005-0000-0000-0000F3630000}"/>
    <cellStyle name="Normal 3 2 2 7 2" xfId="27745" xr:uid="{00000000-0005-0000-0000-0000F4630000}"/>
    <cellStyle name="Normal 3 2 2 7 2 2" xfId="27753" xr:uid="{00000000-0005-0000-0000-0000F5630000}"/>
    <cellStyle name="Normal 3 2 2 7 2 2 2" xfId="33248" xr:uid="{00000000-0005-0000-0000-0000F6630000}"/>
    <cellStyle name="Normal 3 2 2 7 2 3" xfId="15341" xr:uid="{00000000-0005-0000-0000-0000F7630000}"/>
    <cellStyle name="Normal 3 2 2 7 3" xfId="24358" xr:uid="{00000000-0005-0000-0000-0000F8630000}"/>
    <cellStyle name="Normal 3 2 2 7 3 2" xfId="27763" xr:uid="{00000000-0005-0000-0000-0000F9630000}"/>
    <cellStyle name="Normal 3 2 2 7 4" xfId="3235" xr:uid="{00000000-0005-0000-0000-0000FA630000}"/>
    <cellStyle name="Normal 3 2 2 8" xfId="17918" xr:uid="{00000000-0005-0000-0000-0000FB630000}"/>
    <cellStyle name="Normal 3 2 2 8 2" xfId="22559" xr:uid="{00000000-0005-0000-0000-0000FC630000}"/>
    <cellStyle name="Normal 3 2 2 8 2 2" xfId="5210" xr:uid="{00000000-0005-0000-0000-0000FD630000}"/>
    <cellStyle name="Normal 3 2 2 8 3" xfId="22566" xr:uid="{00000000-0005-0000-0000-0000FE630000}"/>
    <cellStyle name="Normal 3 2 2 9" xfId="22567" xr:uid="{00000000-0005-0000-0000-0000FF630000}"/>
    <cellStyle name="Normal 3 2 2 9 2" xfId="22579" xr:uid="{00000000-0005-0000-0000-000000640000}"/>
    <cellStyle name="Normal 3 2 3" xfId="1204" xr:uid="{00000000-0005-0000-0000-000001640000}"/>
    <cellStyle name="Normal 3 2 3 2" xfId="16977" xr:uid="{00000000-0005-0000-0000-000002640000}"/>
    <cellStyle name="Normal 3 2 3 2 2" xfId="25250" xr:uid="{00000000-0005-0000-0000-000003640000}"/>
    <cellStyle name="Normal 3 2 3 2 2 2" xfId="25253" xr:uid="{00000000-0005-0000-0000-000004640000}"/>
    <cellStyle name="Normal 3 2 3 2 2 2 2" xfId="6008" xr:uid="{00000000-0005-0000-0000-000005640000}"/>
    <cellStyle name="Normal 3 2 3 2 2 2 2 2" xfId="15500" xr:uid="{00000000-0005-0000-0000-000006640000}"/>
    <cellStyle name="Normal 3 2 3 2 2 2 2 2 2" xfId="25254" xr:uid="{00000000-0005-0000-0000-000007640000}"/>
    <cellStyle name="Normal 3 2 3 2 2 2 2 2 2 2" xfId="27766" xr:uid="{00000000-0005-0000-0000-000008640000}"/>
    <cellStyle name="Normal 3 2 3 2 2 2 2 2 2 2 2" xfId="27767" xr:uid="{00000000-0005-0000-0000-000009640000}"/>
    <cellStyle name="Normal 3 2 3 2 2 2 2 2 2 3" xfId="10519" xr:uid="{00000000-0005-0000-0000-00000A640000}"/>
    <cellStyle name="Normal 3 2 3 2 2 2 2 2 3" xfId="25257" xr:uid="{00000000-0005-0000-0000-00000B640000}"/>
    <cellStyle name="Normal 3 2 3 2 2 2 2 2 3 2" xfId="27770" xr:uid="{00000000-0005-0000-0000-00000C640000}"/>
    <cellStyle name="Normal 3 2 3 2 2 2 2 2 4" xfId="25258" xr:uid="{00000000-0005-0000-0000-00000D640000}"/>
    <cellStyle name="Normal 3 2 3 2 2 2 2 3" xfId="25265" xr:uid="{00000000-0005-0000-0000-00000E640000}"/>
    <cellStyle name="Normal 3 2 3 2 2 2 2 3 2" xfId="25271" xr:uid="{00000000-0005-0000-0000-00000F640000}"/>
    <cellStyle name="Normal 3 2 3 2 2 2 2 3 2 2" xfId="29463" xr:uid="{00000000-0005-0000-0000-000010640000}"/>
    <cellStyle name="Normal 3 2 3 2 2 2 2 3 3" xfId="25275" xr:uid="{00000000-0005-0000-0000-000011640000}"/>
    <cellStyle name="Normal 3 2 3 2 2 2 2 4" xfId="26541" xr:uid="{00000000-0005-0000-0000-000012640000}"/>
    <cellStyle name="Normal 3 2 3 2 2 2 2 4 2" xfId="25280" xr:uid="{00000000-0005-0000-0000-000013640000}"/>
    <cellStyle name="Normal 3 2 3 2 2 2 2 5" xfId="454" xr:uid="{00000000-0005-0000-0000-000014640000}"/>
    <cellStyle name="Normal 3 2 3 2 2 2 3" xfId="1018" xr:uid="{00000000-0005-0000-0000-000015640000}"/>
    <cellStyle name="Normal 3 2 3 2 2 2 3 2" xfId="22270" xr:uid="{00000000-0005-0000-0000-000016640000}"/>
    <cellStyle name="Normal 3 2 3 2 2 2 3 2 2" xfId="25281" xr:uid="{00000000-0005-0000-0000-000017640000}"/>
    <cellStyle name="Normal 3 2 3 2 2 2 3 2 2 2" xfId="28624" xr:uid="{00000000-0005-0000-0000-000018640000}"/>
    <cellStyle name="Normal 3 2 3 2 2 2 3 2 3" xfId="4538" xr:uid="{00000000-0005-0000-0000-000019640000}"/>
    <cellStyle name="Normal 3 2 3 2 2 2 3 3" xfId="22290" xr:uid="{00000000-0005-0000-0000-00001A640000}"/>
    <cellStyle name="Normal 3 2 3 2 2 2 3 3 2" xfId="25289" xr:uid="{00000000-0005-0000-0000-00001B640000}"/>
    <cellStyle name="Normal 3 2 3 2 2 2 3 4" xfId="3002" xr:uid="{00000000-0005-0000-0000-00001C640000}"/>
    <cellStyle name="Normal 3 2 3 2 2 2 4" xfId="22297" xr:uid="{00000000-0005-0000-0000-00001D640000}"/>
    <cellStyle name="Normal 3 2 3 2 2 2 4 2" xfId="22310" xr:uid="{00000000-0005-0000-0000-00001E640000}"/>
    <cellStyle name="Normal 3 2 3 2 2 2 4 2 2" xfId="4029" xr:uid="{00000000-0005-0000-0000-00001F640000}"/>
    <cellStyle name="Normal 3 2 3 2 2 2 4 3" xfId="22322" xr:uid="{00000000-0005-0000-0000-000020640000}"/>
    <cellStyle name="Normal 3 2 3 2 2 2 5" xfId="23609" xr:uid="{00000000-0005-0000-0000-000021640000}"/>
    <cellStyle name="Normal 3 2 3 2 2 2 5 2" xfId="10338" xr:uid="{00000000-0005-0000-0000-000022640000}"/>
    <cellStyle name="Normal 3 2 3 2 2 2 6" xfId="22326" xr:uid="{00000000-0005-0000-0000-000023640000}"/>
    <cellStyle name="Normal 3 2 3 2 2 3" xfId="2821" xr:uid="{00000000-0005-0000-0000-000024640000}"/>
    <cellStyle name="Normal 3 2 3 2 2 3 2" xfId="11409" xr:uid="{00000000-0005-0000-0000-000025640000}"/>
    <cellStyle name="Normal 3 2 3 2 2 3 2 2" xfId="25292" xr:uid="{00000000-0005-0000-0000-000026640000}"/>
    <cellStyle name="Normal 3 2 3 2 2 3 2 2 2" xfId="25297" xr:uid="{00000000-0005-0000-0000-000027640000}"/>
    <cellStyle name="Normal 3 2 3 2 2 3 2 2 2 2" xfId="8816" xr:uid="{00000000-0005-0000-0000-000028640000}"/>
    <cellStyle name="Normal 3 2 3 2 2 3 2 2 3" xfId="25300" xr:uid="{00000000-0005-0000-0000-000029640000}"/>
    <cellStyle name="Normal 3 2 3 2 2 3 2 3" xfId="25305" xr:uid="{00000000-0005-0000-0000-00002A640000}"/>
    <cellStyle name="Normal 3 2 3 2 2 3 2 3 2" xfId="9591" xr:uid="{00000000-0005-0000-0000-00002B640000}"/>
    <cellStyle name="Normal 3 2 3 2 2 3 2 4" xfId="26925" xr:uid="{00000000-0005-0000-0000-00002C640000}"/>
    <cellStyle name="Normal 3 2 3 2 2 3 3" xfId="23613" xr:uid="{00000000-0005-0000-0000-00002D640000}"/>
    <cellStyle name="Normal 3 2 3 2 2 3 3 2" xfId="22340" xr:uid="{00000000-0005-0000-0000-00002E640000}"/>
    <cellStyle name="Normal 3 2 3 2 2 3 3 2 2" xfId="31909" xr:uid="{00000000-0005-0000-0000-00002F640000}"/>
    <cellStyle name="Normal 3 2 3 2 2 3 3 3" xfId="26300" xr:uid="{00000000-0005-0000-0000-000030640000}"/>
    <cellStyle name="Normal 3 2 3 2 2 3 4" xfId="22346" xr:uid="{00000000-0005-0000-0000-000031640000}"/>
    <cellStyle name="Normal 3 2 3 2 2 3 4 2" xfId="17589" xr:uid="{00000000-0005-0000-0000-000032640000}"/>
    <cellStyle name="Normal 3 2 3 2 2 3 5" xfId="22349" xr:uid="{00000000-0005-0000-0000-000033640000}"/>
    <cellStyle name="Normal 3 2 3 2 2 4" xfId="3019" xr:uid="{00000000-0005-0000-0000-000034640000}"/>
    <cellStyle name="Normal 3 2 3 2 2 4 2" xfId="25313" xr:uid="{00000000-0005-0000-0000-000035640000}"/>
    <cellStyle name="Normal 3 2 3 2 2 4 2 2" xfId="18770" xr:uid="{00000000-0005-0000-0000-000036640000}"/>
    <cellStyle name="Normal 3 2 3 2 2 4 2 2 2" xfId="25319" xr:uid="{00000000-0005-0000-0000-000037640000}"/>
    <cellStyle name="Normal 3 2 3 2 2 4 2 3" xfId="25324" xr:uid="{00000000-0005-0000-0000-000038640000}"/>
    <cellStyle name="Normal 3 2 3 2 2 4 3" xfId="22359" xr:uid="{00000000-0005-0000-0000-000039640000}"/>
    <cellStyle name="Normal 3 2 3 2 2 4 3 2" xfId="22368" xr:uid="{00000000-0005-0000-0000-00003A640000}"/>
    <cellStyle name="Normal 3 2 3 2 2 4 4" xfId="22376" xr:uid="{00000000-0005-0000-0000-00003B640000}"/>
    <cellStyle name="Normal 3 2 3 2 2 5" xfId="25327" xr:uid="{00000000-0005-0000-0000-00003C640000}"/>
    <cellStyle name="Normal 3 2 3 2 2 5 2" xfId="25790" xr:uid="{00000000-0005-0000-0000-00003D640000}"/>
    <cellStyle name="Normal 3 2 3 2 2 5 2 2" xfId="25341" xr:uid="{00000000-0005-0000-0000-00003E640000}"/>
    <cellStyle name="Normal 3 2 3 2 2 5 3" xfId="25795" xr:uid="{00000000-0005-0000-0000-00003F640000}"/>
    <cellStyle name="Normal 3 2 3 2 2 6" xfId="25342" xr:uid="{00000000-0005-0000-0000-000040640000}"/>
    <cellStyle name="Normal 3 2 3 2 2 6 2" xfId="25345" xr:uid="{00000000-0005-0000-0000-000041640000}"/>
    <cellStyle name="Normal 3 2 3 2 2 7" xfId="20513" xr:uid="{00000000-0005-0000-0000-000042640000}"/>
    <cellStyle name="Normal 3 2 3 2 3" xfId="9950" xr:uid="{00000000-0005-0000-0000-000043640000}"/>
    <cellStyle name="Normal 3 2 3 2 3 2" xfId="25350" xr:uid="{00000000-0005-0000-0000-000044640000}"/>
    <cellStyle name="Normal 3 2 3 2 3 2 2" xfId="11586" xr:uid="{00000000-0005-0000-0000-000045640000}"/>
    <cellStyle name="Normal 3 2 3 2 3 2 2 2" xfId="25359" xr:uid="{00000000-0005-0000-0000-000046640000}"/>
    <cellStyle name="Normal 3 2 3 2 3 2 2 2 2" xfId="8118" xr:uid="{00000000-0005-0000-0000-000047640000}"/>
    <cellStyle name="Normal 3 2 3 2 3 2 2 2 2 2" xfId="27774" xr:uid="{00000000-0005-0000-0000-000048640000}"/>
    <cellStyle name="Normal 3 2 3 2 3 2 2 2 3" xfId="25361" xr:uid="{00000000-0005-0000-0000-000049640000}"/>
    <cellStyle name="Normal 3 2 3 2 3 2 2 3" xfId="25365" xr:uid="{00000000-0005-0000-0000-00004A640000}"/>
    <cellStyle name="Normal 3 2 3 2 3 2 2 3 2" xfId="9395" xr:uid="{00000000-0005-0000-0000-00004B640000}"/>
    <cellStyle name="Normal 3 2 3 2 3 2 2 4" xfId="25346" xr:uid="{00000000-0005-0000-0000-00004C640000}"/>
    <cellStyle name="Normal 3 2 3 2 3 2 3" xfId="22408" xr:uid="{00000000-0005-0000-0000-00004D640000}"/>
    <cellStyle name="Normal 3 2 3 2 3 2 3 2" xfId="22416" xr:uid="{00000000-0005-0000-0000-00004E640000}"/>
    <cellStyle name="Normal 3 2 3 2 3 2 3 2 2" xfId="1597" xr:uid="{00000000-0005-0000-0000-00004F640000}"/>
    <cellStyle name="Normal 3 2 3 2 3 2 3 3" xfId="27781" xr:uid="{00000000-0005-0000-0000-000050640000}"/>
    <cellStyle name="Normal 3 2 3 2 3 2 4" xfId="27812" xr:uid="{00000000-0005-0000-0000-000051640000}"/>
    <cellStyle name="Normal 3 2 3 2 3 2 4 2" xfId="22425" xr:uid="{00000000-0005-0000-0000-000052640000}"/>
    <cellStyle name="Normal 3 2 3 2 3 2 5" xfId="29339" xr:uid="{00000000-0005-0000-0000-000053640000}"/>
    <cellStyle name="Normal 3 2 3 2 3 3" xfId="29087" xr:uid="{00000000-0005-0000-0000-000054640000}"/>
    <cellStyle name="Normal 3 2 3 2 3 3 2" xfId="25035" xr:uid="{00000000-0005-0000-0000-000055640000}"/>
    <cellStyle name="Normal 3 2 3 2 3 3 2 2" xfId="25374" xr:uid="{00000000-0005-0000-0000-000056640000}"/>
    <cellStyle name="Normal 3 2 3 2 3 3 2 2 2" xfId="25381" xr:uid="{00000000-0005-0000-0000-000057640000}"/>
    <cellStyle name="Normal 3 2 3 2 3 3 2 3" xfId="25385" xr:uid="{00000000-0005-0000-0000-000058640000}"/>
    <cellStyle name="Normal 3 2 3 2 3 3 3" xfId="23627" xr:uid="{00000000-0005-0000-0000-000059640000}"/>
    <cellStyle name="Normal 3 2 3 2 3 3 3 2" xfId="22442" xr:uid="{00000000-0005-0000-0000-00005A640000}"/>
    <cellStyle name="Normal 3 2 3 2 3 3 4" xfId="15308" xr:uid="{00000000-0005-0000-0000-00005B640000}"/>
    <cellStyle name="Normal 3 2 3 2 3 4" xfId="25394" xr:uid="{00000000-0005-0000-0000-00005C640000}"/>
    <cellStyle name="Normal 3 2 3 2 3 4 2" xfId="25398" xr:uid="{00000000-0005-0000-0000-00005D640000}"/>
    <cellStyle name="Normal 3 2 3 2 3 4 2 2" xfId="25402" xr:uid="{00000000-0005-0000-0000-00005E640000}"/>
    <cellStyle name="Normal 3 2 3 2 3 4 3" xfId="28546" xr:uid="{00000000-0005-0000-0000-00005F640000}"/>
    <cellStyle name="Normal 3 2 3 2 3 5" xfId="25404" xr:uid="{00000000-0005-0000-0000-000060640000}"/>
    <cellStyle name="Normal 3 2 3 2 3 5 2" xfId="24313" xr:uid="{00000000-0005-0000-0000-000061640000}"/>
    <cellStyle name="Normal 3 2 3 2 3 6" xfId="28673" xr:uid="{00000000-0005-0000-0000-000062640000}"/>
    <cellStyle name="Normal 3 2 3 2 4" xfId="6438" xr:uid="{00000000-0005-0000-0000-000063640000}"/>
    <cellStyle name="Normal 3 2 3 2 4 2" xfId="25409" xr:uid="{00000000-0005-0000-0000-000064640000}"/>
    <cellStyle name="Normal 3 2 3 2 4 2 2" xfId="25411" xr:uid="{00000000-0005-0000-0000-000065640000}"/>
    <cellStyle name="Normal 3 2 3 2 4 2 2 2" xfId="25413" xr:uid="{00000000-0005-0000-0000-000066640000}"/>
    <cellStyle name="Normal 3 2 3 2 4 2 2 2 2" xfId="15791" xr:uid="{00000000-0005-0000-0000-000067640000}"/>
    <cellStyle name="Normal 3 2 3 2 4 2 2 3" xfId="25421" xr:uid="{00000000-0005-0000-0000-000068640000}"/>
    <cellStyle name="Normal 3 2 3 2 4 2 3" xfId="22478" xr:uid="{00000000-0005-0000-0000-000069640000}"/>
    <cellStyle name="Normal 3 2 3 2 4 2 3 2" xfId="22483" xr:uid="{00000000-0005-0000-0000-00006A640000}"/>
    <cellStyle name="Normal 3 2 3 2 4 2 4" xfId="23649" xr:uid="{00000000-0005-0000-0000-00006B640000}"/>
    <cellStyle name="Normal 3 2 3 2 4 3" xfId="29398" xr:uid="{00000000-0005-0000-0000-00006C640000}"/>
    <cellStyle name="Normal 3 2 3 2 4 3 2" xfId="25430" xr:uid="{00000000-0005-0000-0000-00006D640000}"/>
    <cellStyle name="Normal 3 2 3 2 4 3 2 2" xfId="5917" xr:uid="{00000000-0005-0000-0000-00006E640000}"/>
    <cellStyle name="Normal 3 2 3 2 4 3 3" xfId="27849" xr:uid="{00000000-0005-0000-0000-00006F640000}"/>
    <cellStyle name="Normal 3 2 3 2 4 4" xfId="27787" xr:uid="{00000000-0005-0000-0000-000070640000}"/>
    <cellStyle name="Normal 3 2 3 2 4 4 2" xfId="27794" xr:uid="{00000000-0005-0000-0000-000071640000}"/>
    <cellStyle name="Normal 3 2 3 2 4 5" xfId="25436" xr:uid="{00000000-0005-0000-0000-000072640000}"/>
    <cellStyle name="Normal 3 2 3 2 5" xfId="9857" xr:uid="{00000000-0005-0000-0000-000073640000}"/>
    <cellStyle name="Normal 3 2 3 2 5 2" xfId="25445" xr:uid="{00000000-0005-0000-0000-000074640000}"/>
    <cellStyle name="Normal 3 2 3 2 5 2 2" xfId="25088" xr:uid="{00000000-0005-0000-0000-000075640000}"/>
    <cellStyle name="Normal 3 2 3 2 5 2 2 2" xfId="25454" xr:uid="{00000000-0005-0000-0000-000076640000}"/>
    <cellStyle name="Normal 3 2 3 2 5 2 3" xfId="23660" xr:uid="{00000000-0005-0000-0000-000077640000}"/>
    <cellStyle name="Normal 3 2 3 2 5 3" xfId="25616" xr:uid="{00000000-0005-0000-0000-000078640000}"/>
    <cellStyle name="Normal 3 2 3 2 5 3 2" xfId="25463" xr:uid="{00000000-0005-0000-0000-000079640000}"/>
    <cellStyle name="Normal 3 2 3 2 5 4" xfId="10731" xr:uid="{00000000-0005-0000-0000-00007A640000}"/>
    <cellStyle name="Normal 3 2 3 2 6" xfId="24293" xr:uid="{00000000-0005-0000-0000-00007B640000}"/>
    <cellStyle name="Normal 3 2 3 2 6 2" xfId="16222" xr:uid="{00000000-0005-0000-0000-00007C640000}"/>
    <cellStyle name="Normal 3 2 3 2 6 2 2" xfId="16227" xr:uid="{00000000-0005-0000-0000-00007D640000}"/>
    <cellStyle name="Normal 3 2 3 2 6 3" xfId="16229" xr:uid="{00000000-0005-0000-0000-00007E640000}"/>
    <cellStyle name="Normal 3 2 3 2 7" xfId="25474" xr:uid="{00000000-0005-0000-0000-00007F640000}"/>
    <cellStyle name="Normal 3 2 3 2 7 2" xfId="16244" xr:uid="{00000000-0005-0000-0000-000080640000}"/>
    <cellStyle name="Normal 3 2 3 2 8" xfId="23499" xr:uid="{00000000-0005-0000-0000-000081640000}"/>
    <cellStyle name="Normal 3 2 3 3" xfId="19209" xr:uid="{00000000-0005-0000-0000-000082640000}"/>
    <cellStyle name="Normal 3 2 3 3 2" xfId="19323" xr:uid="{00000000-0005-0000-0000-000083640000}"/>
    <cellStyle name="Normal 3 2 3 3 2 2" xfId="22527" xr:uid="{00000000-0005-0000-0000-000084640000}"/>
    <cellStyle name="Normal 3 2 3 3 2 2 2" xfId="11823" xr:uid="{00000000-0005-0000-0000-000085640000}"/>
    <cellStyle name="Normal 3 2 3 3 2 2 2 2" xfId="25477" xr:uid="{00000000-0005-0000-0000-000086640000}"/>
    <cellStyle name="Normal 3 2 3 3 2 2 2 2 2" xfId="24932" xr:uid="{00000000-0005-0000-0000-000087640000}"/>
    <cellStyle name="Normal 3 2 3 3 2 2 2 2 2 2" xfId="27806" xr:uid="{00000000-0005-0000-0000-000088640000}"/>
    <cellStyle name="Normal 3 2 3 3 2 2 2 2 3" xfId="24946" xr:uid="{00000000-0005-0000-0000-000089640000}"/>
    <cellStyle name="Normal 3 2 3 3 2 2 2 3" xfId="25484" xr:uid="{00000000-0005-0000-0000-00008A640000}"/>
    <cellStyle name="Normal 3 2 3 3 2 2 2 3 2" xfId="24964" xr:uid="{00000000-0005-0000-0000-00008B640000}"/>
    <cellStyle name="Normal 3 2 3 3 2 2 2 4" xfId="25485" xr:uid="{00000000-0005-0000-0000-00008C640000}"/>
    <cellStyle name="Normal 3 2 3 3 2 2 3" xfId="22524" xr:uid="{00000000-0005-0000-0000-00008D640000}"/>
    <cellStyle name="Normal 3 2 3 3 2 2 3 2" xfId="27810" xr:uid="{00000000-0005-0000-0000-00008E640000}"/>
    <cellStyle name="Normal 3 2 3 3 2 2 3 2 2" xfId="25196" xr:uid="{00000000-0005-0000-0000-00008F640000}"/>
    <cellStyle name="Normal 3 2 3 3 2 2 3 3" xfId="22537" xr:uid="{00000000-0005-0000-0000-000090640000}"/>
    <cellStyle name="Normal 3 2 3 3 2 2 4" xfId="9583" xr:uid="{00000000-0005-0000-0000-000091640000}"/>
    <cellStyle name="Normal 3 2 3 3 2 2 4 2" xfId="27931" xr:uid="{00000000-0005-0000-0000-000092640000}"/>
    <cellStyle name="Normal 3 2 3 3 2 2 5" xfId="11877" xr:uid="{00000000-0005-0000-0000-000093640000}"/>
    <cellStyle name="Normal 3 2 3 3 2 3" xfId="22399" xr:uid="{00000000-0005-0000-0000-000094640000}"/>
    <cellStyle name="Normal 3 2 3 3 2 3 2" xfId="25490" xr:uid="{00000000-0005-0000-0000-000095640000}"/>
    <cellStyle name="Normal 3 2 3 3 2 3 2 2" xfId="25498" xr:uid="{00000000-0005-0000-0000-000096640000}"/>
    <cellStyle name="Normal 3 2 3 3 2 3 2 2 2" xfId="19338" xr:uid="{00000000-0005-0000-0000-000097640000}"/>
    <cellStyle name="Normal 3 2 3 3 2 3 2 3" xfId="25501" xr:uid="{00000000-0005-0000-0000-000098640000}"/>
    <cellStyle name="Normal 3 2 3 3 2 3 3" xfId="29109" xr:uid="{00000000-0005-0000-0000-000099640000}"/>
    <cellStyle name="Normal 3 2 3 3 2 3 3 2" xfId="22299" xr:uid="{00000000-0005-0000-0000-00009A640000}"/>
    <cellStyle name="Normal 3 2 3 3 2 3 4" xfId="9585" xr:uid="{00000000-0005-0000-0000-00009B640000}"/>
    <cellStyle name="Normal 3 2 3 3 2 4" xfId="27814" xr:uid="{00000000-0005-0000-0000-00009C640000}"/>
    <cellStyle name="Normal 3 2 3 3 2 4 2" xfId="25506" xr:uid="{00000000-0005-0000-0000-00009D640000}"/>
    <cellStyle name="Normal 3 2 3 3 2 4 2 2" xfId="19456" xr:uid="{00000000-0005-0000-0000-00009E640000}"/>
    <cellStyle name="Normal 3 2 3 3 2 4 3" xfId="656" xr:uid="{00000000-0005-0000-0000-00009F640000}"/>
    <cellStyle name="Normal 3 2 3 3 2 5" xfId="27818" xr:uid="{00000000-0005-0000-0000-0000A0640000}"/>
    <cellStyle name="Normal 3 2 3 3 2 5 2" xfId="25940" xr:uid="{00000000-0005-0000-0000-0000A1640000}"/>
    <cellStyle name="Normal 3 2 3 3 2 6" xfId="16219" xr:uid="{00000000-0005-0000-0000-0000A2640000}"/>
    <cellStyle name="Normal 3 2 3 3 3" xfId="19472" xr:uid="{00000000-0005-0000-0000-0000A3640000}"/>
    <cellStyle name="Normal 3 2 3 3 3 2" xfId="25516" xr:uid="{00000000-0005-0000-0000-0000A4640000}"/>
    <cellStyle name="Normal 3 2 3 3 3 2 2" xfId="25522" xr:uid="{00000000-0005-0000-0000-0000A5640000}"/>
    <cellStyle name="Normal 3 2 3 3 3 2 2 2" xfId="25526" xr:uid="{00000000-0005-0000-0000-0000A6640000}"/>
    <cellStyle name="Normal 3 2 3 3 3 2 2 2 2" xfId="27823" xr:uid="{00000000-0005-0000-0000-0000A7640000}"/>
    <cellStyle name="Normal 3 2 3 3 3 2 2 3" xfId="25531" xr:uid="{00000000-0005-0000-0000-0000A8640000}"/>
    <cellStyle name="Normal 3 2 3 3 3 2 3" xfId="22578" xr:uid="{00000000-0005-0000-0000-0000A9640000}"/>
    <cellStyle name="Normal 3 2 3 3 3 2 3 2" xfId="24268" xr:uid="{00000000-0005-0000-0000-0000AA640000}"/>
    <cellStyle name="Normal 3 2 3 3 3 2 4" xfId="9588" xr:uid="{00000000-0005-0000-0000-0000AB640000}"/>
    <cellStyle name="Normal 3 2 3 3 3 3" xfId="29104" xr:uid="{00000000-0005-0000-0000-0000AC640000}"/>
    <cellStyle name="Normal 3 2 3 3 3 3 2" xfId="30568" xr:uid="{00000000-0005-0000-0000-0000AD640000}"/>
    <cellStyle name="Normal 3 2 3 3 3 3 2 2" xfId="20345" xr:uid="{00000000-0005-0000-0000-0000AE640000}"/>
    <cellStyle name="Normal 3 2 3 3 3 3 3" xfId="28269" xr:uid="{00000000-0005-0000-0000-0000AF640000}"/>
    <cellStyle name="Normal 3 2 3 3 3 4" xfId="19295" xr:uid="{00000000-0005-0000-0000-0000B0640000}"/>
    <cellStyle name="Normal 3 2 3 3 3 4 2" xfId="25541" xr:uid="{00000000-0005-0000-0000-0000B1640000}"/>
    <cellStyle name="Normal 3 2 3 3 3 5" xfId="27827" xr:uid="{00000000-0005-0000-0000-0000B2640000}"/>
    <cellStyle name="Normal 3 2 3 3 4" xfId="19541" xr:uid="{00000000-0005-0000-0000-0000B3640000}"/>
    <cellStyle name="Normal 3 2 3 3 4 2" xfId="25556" xr:uid="{00000000-0005-0000-0000-0000B4640000}"/>
    <cellStyle name="Normal 3 2 3 3 4 2 2" xfId="25561" xr:uid="{00000000-0005-0000-0000-0000B5640000}"/>
    <cellStyle name="Normal 3 2 3 3 4 2 2 2" xfId="25565" xr:uid="{00000000-0005-0000-0000-0000B6640000}"/>
    <cellStyle name="Normal 3 2 3 3 4 2 3" xfId="22590" xr:uid="{00000000-0005-0000-0000-0000B7640000}"/>
    <cellStyle name="Normal 3 2 3 3 4 3" xfId="19557" xr:uid="{00000000-0005-0000-0000-0000B8640000}"/>
    <cellStyle name="Normal 3 2 3 3 4 3 2" xfId="25569" xr:uid="{00000000-0005-0000-0000-0000B9640000}"/>
    <cellStyle name="Normal 3 2 3 3 4 4" xfId="23582" xr:uid="{00000000-0005-0000-0000-0000BA640000}"/>
    <cellStyle name="Normal 3 2 3 3 5" xfId="6933" xr:uid="{00000000-0005-0000-0000-0000BB640000}"/>
    <cellStyle name="Normal 3 2 3 3 5 2" xfId="15275" xr:uid="{00000000-0005-0000-0000-0000BC640000}"/>
    <cellStyle name="Normal 3 2 3 3 5 2 2" xfId="24373" xr:uid="{00000000-0005-0000-0000-0000BD640000}"/>
    <cellStyle name="Normal 3 2 3 3 5 3" xfId="14660" xr:uid="{00000000-0005-0000-0000-0000BE640000}"/>
    <cellStyle name="Normal 3 2 3 3 6" xfId="14666" xr:uid="{00000000-0005-0000-0000-0000BF640000}"/>
    <cellStyle name="Normal 3 2 3 3 6 2" xfId="15294" xr:uid="{00000000-0005-0000-0000-0000C0640000}"/>
    <cellStyle name="Normal 3 2 3 3 7" xfId="6732" xr:uid="{00000000-0005-0000-0000-0000C1640000}"/>
    <cellStyle name="Normal 3 2 3 4" xfId="19591" xr:uid="{00000000-0005-0000-0000-0000C2640000}"/>
    <cellStyle name="Normal 3 2 3 4 2" xfId="26140" xr:uid="{00000000-0005-0000-0000-0000C3640000}"/>
    <cellStyle name="Normal 3 2 3 4 2 2" xfId="23699" xr:uid="{00000000-0005-0000-0000-0000C4640000}"/>
    <cellStyle name="Normal 3 2 3 4 2 2 2" xfId="27835" xr:uid="{00000000-0005-0000-0000-0000C5640000}"/>
    <cellStyle name="Normal 3 2 3 4 2 2 2 2" xfId="27837" xr:uid="{00000000-0005-0000-0000-0000C6640000}"/>
    <cellStyle name="Normal 3 2 3 4 2 2 2 2 2" xfId="25589" xr:uid="{00000000-0005-0000-0000-0000C7640000}"/>
    <cellStyle name="Normal 3 2 3 4 2 2 2 3" xfId="12908" xr:uid="{00000000-0005-0000-0000-0000C8640000}"/>
    <cellStyle name="Normal 3 2 3 4 2 2 3" xfId="7870" xr:uid="{00000000-0005-0000-0000-0000C9640000}"/>
    <cellStyle name="Normal 3 2 3 4 2 2 3 2" xfId="22618" xr:uid="{00000000-0005-0000-0000-0000CA640000}"/>
    <cellStyle name="Normal 3 2 3 4 2 2 4" xfId="9598" xr:uid="{00000000-0005-0000-0000-0000CB640000}"/>
    <cellStyle name="Normal 3 2 3 4 2 3" xfId="6712" xr:uid="{00000000-0005-0000-0000-0000CC640000}"/>
    <cellStyle name="Normal 3 2 3 4 2 3 2" xfId="20540" xr:uid="{00000000-0005-0000-0000-0000CD640000}"/>
    <cellStyle name="Normal 3 2 3 4 2 3 2 2" xfId="25593" xr:uid="{00000000-0005-0000-0000-0000CE640000}"/>
    <cellStyle name="Normal 3 2 3 4 2 3 3" xfId="20549" xr:uid="{00000000-0005-0000-0000-0000CF640000}"/>
    <cellStyle name="Normal 3 2 3 4 2 4" xfId="22945" xr:uid="{00000000-0005-0000-0000-0000D0640000}"/>
    <cellStyle name="Normal 3 2 3 4 2 4 2" xfId="20582" xr:uid="{00000000-0005-0000-0000-0000D1640000}"/>
    <cellStyle name="Normal 3 2 3 4 2 5" xfId="28927" xr:uid="{00000000-0005-0000-0000-0000D2640000}"/>
    <cellStyle name="Normal 3 2 3 4 3" xfId="2497" xr:uid="{00000000-0005-0000-0000-0000D3640000}"/>
    <cellStyle name="Normal 3 2 3 4 3 2" xfId="19729" xr:uid="{00000000-0005-0000-0000-0000D4640000}"/>
    <cellStyle name="Normal 3 2 3 4 3 2 2" xfId="25600" xr:uid="{00000000-0005-0000-0000-0000D5640000}"/>
    <cellStyle name="Normal 3 2 3 4 3 2 2 2" xfId="26361" xr:uid="{00000000-0005-0000-0000-0000D6640000}"/>
    <cellStyle name="Normal 3 2 3 4 3 2 3" xfId="23761" xr:uid="{00000000-0005-0000-0000-0000D7640000}"/>
    <cellStyle name="Normal 3 2 3 4 3 3" xfId="27855" xr:uid="{00000000-0005-0000-0000-0000D8640000}"/>
    <cellStyle name="Normal 3 2 3 4 3 3 2" xfId="20615" xr:uid="{00000000-0005-0000-0000-0000D9640000}"/>
    <cellStyle name="Normal 3 2 3 4 3 4" xfId="27861" xr:uid="{00000000-0005-0000-0000-0000DA640000}"/>
    <cellStyle name="Normal 3 2 3 4 4" xfId="27477" xr:uid="{00000000-0005-0000-0000-0000DB640000}"/>
    <cellStyle name="Normal 3 2 3 4 4 2" xfId="19678" xr:uid="{00000000-0005-0000-0000-0000DC640000}"/>
    <cellStyle name="Normal 3 2 3 4 4 2 2" xfId="25609" xr:uid="{00000000-0005-0000-0000-0000DD640000}"/>
    <cellStyle name="Normal 3 2 3 4 4 3" xfId="19682" xr:uid="{00000000-0005-0000-0000-0000DE640000}"/>
    <cellStyle name="Normal 3 2 3 4 5" xfId="15134" xr:uid="{00000000-0005-0000-0000-0000DF640000}"/>
    <cellStyle name="Normal 3 2 3 4 5 2" xfId="14695" xr:uid="{00000000-0005-0000-0000-0000E0640000}"/>
    <cellStyle name="Normal 3 2 3 4 6" xfId="14704" xr:uid="{00000000-0005-0000-0000-0000E1640000}"/>
    <cellStyle name="Normal 3 2 3 5" xfId="26153" xr:uid="{00000000-0005-0000-0000-0000E2640000}"/>
    <cellStyle name="Normal 3 2 3 5 2" xfId="19702" xr:uid="{00000000-0005-0000-0000-0000E3640000}"/>
    <cellStyle name="Normal 3 2 3 5 2 2" xfId="31410" xr:uid="{00000000-0005-0000-0000-0000E4640000}"/>
    <cellStyle name="Normal 3 2 3 5 2 2 2" xfId="25613" xr:uid="{00000000-0005-0000-0000-0000E5640000}"/>
    <cellStyle name="Normal 3 2 3 5 2 2 2 2" xfId="25614" xr:uid="{00000000-0005-0000-0000-0000E6640000}"/>
    <cellStyle name="Normal 3 2 3 5 2 2 3" xfId="22664" xr:uid="{00000000-0005-0000-0000-0000E7640000}"/>
    <cellStyle name="Normal 3 2 3 5 2 3" xfId="28060" xr:uid="{00000000-0005-0000-0000-0000E8640000}"/>
    <cellStyle name="Normal 3 2 3 5 2 3 2" xfId="20764" xr:uid="{00000000-0005-0000-0000-0000E9640000}"/>
    <cellStyle name="Normal 3 2 3 5 2 4" xfId="28593" xr:uid="{00000000-0005-0000-0000-0000EA640000}"/>
    <cellStyle name="Normal 3 2 3 5 3" xfId="19714" xr:uid="{00000000-0005-0000-0000-0000EB640000}"/>
    <cellStyle name="Normal 3 2 3 5 3 2" xfId="27883" xr:uid="{00000000-0005-0000-0000-0000EC640000}"/>
    <cellStyle name="Normal 3 2 3 5 3 2 2" xfId="25618" xr:uid="{00000000-0005-0000-0000-0000ED640000}"/>
    <cellStyle name="Normal 3 2 3 5 3 3" xfId="19300" xr:uid="{00000000-0005-0000-0000-0000EE640000}"/>
    <cellStyle name="Normal 3 2 3 5 4" xfId="19994" xr:uid="{00000000-0005-0000-0000-0000EF640000}"/>
    <cellStyle name="Normal 3 2 3 5 4 2" xfId="27897" xr:uid="{00000000-0005-0000-0000-0000F0640000}"/>
    <cellStyle name="Normal 3 2 3 5 5" xfId="15142" xr:uid="{00000000-0005-0000-0000-0000F1640000}"/>
    <cellStyle name="Normal 3 2 3 6" xfId="26156" xr:uid="{00000000-0005-0000-0000-0000F2640000}"/>
    <cellStyle name="Normal 3 2 3 6 2" xfId="8450" xr:uid="{00000000-0005-0000-0000-0000F3640000}"/>
    <cellStyle name="Normal 3 2 3 6 2 2" xfId="30337" xr:uid="{00000000-0005-0000-0000-0000F4640000}"/>
    <cellStyle name="Normal 3 2 3 6 2 2 2" xfId="25668" xr:uid="{00000000-0005-0000-0000-0000F5640000}"/>
    <cellStyle name="Normal 3 2 3 6 2 3" xfId="24631" xr:uid="{00000000-0005-0000-0000-0000F6640000}"/>
    <cellStyle name="Normal 3 2 3 6 3" xfId="2756" xr:uid="{00000000-0005-0000-0000-0000F7640000}"/>
    <cellStyle name="Normal 3 2 3 6 3 2" xfId="27622" xr:uid="{00000000-0005-0000-0000-0000F8640000}"/>
    <cellStyle name="Normal 3 2 3 6 4" xfId="26773" xr:uid="{00000000-0005-0000-0000-0000F9640000}"/>
    <cellStyle name="Normal 3 2 3 7" xfId="29533" xr:uid="{00000000-0005-0000-0000-0000FA640000}"/>
    <cellStyle name="Normal 3 2 3 7 2" xfId="24382" xr:uid="{00000000-0005-0000-0000-0000FB640000}"/>
    <cellStyle name="Normal 3 2 3 7 2 2" xfId="27909" xr:uid="{00000000-0005-0000-0000-0000FC640000}"/>
    <cellStyle name="Normal 3 2 3 7 3" xfId="27910" xr:uid="{00000000-0005-0000-0000-0000FD640000}"/>
    <cellStyle name="Normal 3 2 3 8" xfId="30346" xr:uid="{00000000-0005-0000-0000-0000FE640000}"/>
    <cellStyle name="Normal 3 2 3 8 2" xfId="28591" xr:uid="{00000000-0005-0000-0000-0000FF640000}"/>
    <cellStyle name="Normal 3 2 3 9" xfId="27911" xr:uid="{00000000-0005-0000-0000-000000650000}"/>
    <cellStyle name="Normal 3 2 4" xfId="1560" xr:uid="{00000000-0005-0000-0000-000001650000}"/>
    <cellStyle name="Normal 3 2 4 2" xfId="1230" xr:uid="{00000000-0005-0000-0000-000002650000}"/>
    <cellStyle name="Normal 3 2 4 2 2" xfId="3986" xr:uid="{00000000-0005-0000-0000-000003650000}"/>
    <cellStyle name="Normal 3 2 4 2 2 2" xfId="4001" xr:uid="{00000000-0005-0000-0000-000004650000}"/>
    <cellStyle name="Normal 3 2 4 2 2 2 2" xfId="27914" xr:uid="{00000000-0005-0000-0000-000005650000}"/>
    <cellStyle name="Normal 3 2 4 2 2 2 2 2" xfId="23692" xr:uid="{00000000-0005-0000-0000-000006650000}"/>
    <cellStyle name="Normal 3 2 4 2 2 2 2 2 2" xfId="26467" xr:uid="{00000000-0005-0000-0000-000007650000}"/>
    <cellStyle name="Normal 3 2 4 2 2 2 2 2 2 2" xfId="5965" xr:uid="{00000000-0005-0000-0000-000008650000}"/>
    <cellStyle name="Normal 3 2 4 2 2 2 2 2 3" xfId="29378" xr:uid="{00000000-0005-0000-0000-000009650000}"/>
    <cellStyle name="Normal 3 2 4 2 2 2 2 3" xfId="18823" xr:uid="{00000000-0005-0000-0000-00000A650000}"/>
    <cellStyle name="Normal 3 2 4 2 2 2 2 3 2" xfId="15369" xr:uid="{00000000-0005-0000-0000-00000B650000}"/>
    <cellStyle name="Normal 3 2 4 2 2 2 2 4" xfId="28340" xr:uid="{00000000-0005-0000-0000-00000C650000}"/>
    <cellStyle name="Normal 3 2 4 2 2 2 3" xfId="33957" xr:uid="{00000000-0005-0000-0000-00000D650000}"/>
    <cellStyle name="Normal 3 2 4 2 2 2 3 2" xfId="27919" xr:uid="{00000000-0005-0000-0000-00000E650000}"/>
    <cellStyle name="Normal 3 2 4 2 2 2 3 2 2" xfId="27921" xr:uid="{00000000-0005-0000-0000-00000F650000}"/>
    <cellStyle name="Normal 3 2 4 2 2 2 3 3" xfId="27925" xr:uid="{00000000-0005-0000-0000-000010650000}"/>
    <cellStyle name="Normal 3 2 4 2 2 2 4" xfId="20756" xr:uid="{00000000-0005-0000-0000-000011650000}"/>
    <cellStyle name="Normal 3 2 4 2 2 2 4 2" xfId="27928" xr:uid="{00000000-0005-0000-0000-000012650000}"/>
    <cellStyle name="Normal 3 2 4 2 2 2 5" xfId="32013" xr:uid="{00000000-0005-0000-0000-000013650000}"/>
    <cellStyle name="Normal 3 2 4 2 2 3" xfId="4020" xr:uid="{00000000-0005-0000-0000-000014650000}"/>
    <cellStyle name="Normal 3 2 4 2 2 3 2" xfId="27903" xr:uid="{00000000-0005-0000-0000-000015650000}"/>
    <cellStyle name="Normal 3 2 4 2 2 3 2 2" xfId="31258" xr:uid="{00000000-0005-0000-0000-000016650000}"/>
    <cellStyle name="Normal 3 2 4 2 2 3 2 2 2" xfId="27930" xr:uid="{00000000-0005-0000-0000-000017650000}"/>
    <cellStyle name="Normal 3 2 4 2 2 3 2 3" xfId="28845" xr:uid="{00000000-0005-0000-0000-000018650000}"/>
    <cellStyle name="Normal 3 2 4 2 2 3 3" xfId="1950" xr:uid="{00000000-0005-0000-0000-000019650000}"/>
    <cellStyle name="Normal 3 2 4 2 2 3 3 2" xfId="30312" xr:uid="{00000000-0005-0000-0000-00001A650000}"/>
    <cellStyle name="Normal 3 2 4 2 2 3 4" xfId="19699" xr:uid="{00000000-0005-0000-0000-00001B650000}"/>
    <cellStyle name="Normal 3 2 4 2 2 4" xfId="4022" xr:uid="{00000000-0005-0000-0000-00001C650000}"/>
    <cellStyle name="Normal 3 2 4 2 2 4 2" xfId="27933" xr:uid="{00000000-0005-0000-0000-00001D650000}"/>
    <cellStyle name="Normal 3 2 4 2 2 4 2 2" xfId="27936" xr:uid="{00000000-0005-0000-0000-00001E650000}"/>
    <cellStyle name="Normal 3 2 4 2 2 4 3" xfId="1704" xr:uid="{00000000-0005-0000-0000-00001F650000}"/>
    <cellStyle name="Normal 3 2 4 2 2 5" xfId="3897" xr:uid="{00000000-0005-0000-0000-000020650000}"/>
    <cellStyle name="Normal 3 2 4 2 2 5 2" xfId="524" xr:uid="{00000000-0005-0000-0000-000021650000}"/>
    <cellStyle name="Normal 3 2 4 2 2 6" xfId="3489" xr:uid="{00000000-0005-0000-0000-000022650000}"/>
    <cellStyle name="Normal 3 2 4 2 3" xfId="4024" xr:uid="{00000000-0005-0000-0000-000023650000}"/>
    <cellStyle name="Normal 3 2 4 2 3 2" xfId="4037" xr:uid="{00000000-0005-0000-0000-000024650000}"/>
    <cellStyle name="Normal 3 2 4 2 3 2 2" xfId="12949" xr:uid="{00000000-0005-0000-0000-000025650000}"/>
    <cellStyle name="Normal 3 2 4 2 3 2 2 2" xfId="29949" xr:uid="{00000000-0005-0000-0000-000026650000}"/>
    <cellStyle name="Normal 3 2 4 2 3 2 2 2 2" xfId="29950" xr:uid="{00000000-0005-0000-0000-000027650000}"/>
    <cellStyle name="Normal 3 2 4 2 3 2 2 3" xfId="27943" xr:uid="{00000000-0005-0000-0000-000028650000}"/>
    <cellStyle name="Normal 3 2 4 2 3 2 3" xfId="20829" xr:uid="{00000000-0005-0000-0000-000029650000}"/>
    <cellStyle name="Normal 3 2 4 2 3 2 3 2" xfId="29958" xr:uid="{00000000-0005-0000-0000-00002A650000}"/>
    <cellStyle name="Normal 3 2 4 2 3 2 4" xfId="23802" xr:uid="{00000000-0005-0000-0000-00002B650000}"/>
    <cellStyle name="Normal 3 2 4 2 3 3" xfId="4065" xr:uid="{00000000-0005-0000-0000-00002C650000}"/>
    <cellStyle name="Normal 3 2 4 2 3 3 2" xfId="26289" xr:uid="{00000000-0005-0000-0000-00002D650000}"/>
    <cellStyle name="Normal 3 2 4 2 3 3 2 2" xfId="28938" xr:uid="{00000000-0005-0000-0000-00002E650000}"/>
    <cellStyle name="Normal 3 2 4 2 3 3 3" xfId="1421" xr:uid="{00000000-0005-0000-0000-00002F650000}"/>
    <cellStyle name="Normal 3 2 4 2 3 4" xfId="4067" xr:uid="{00000000-0005-0000-0000-000030650000}"/>
    <cellStyle name="Normal 3 2 4 2 3 4 2" xfId="26311" xr:uid="{00000000-0005-0000-0000-000031650000}"/>
    <cellStyle name="Normal 3 2 4 2 3 5" xfId="1826" xr:uid="{00000000-0005-0000-0000-000032650000}"/>
    <cellStyle name="Normal 3 2 4 2 4" xfId="3092" xr:uid="{00000000-0005-0000-0000-000033650000}"/>
    <cellStyle name="Normal 3 2 4 2 4 2" xfId="6090" xr:uid="{00000000-0005-0000-0000-000034650000}"/>
    <cellStyle name="Normal 3 2 4 2 4 2 2" xfId="26323" xr:uid="{00000000-0005-0000-0000-000035650000}"/>
    <cellStyle name="Normal 3 2 4 2 4 2 2 2" xfId="29923" xr:uid="{00000000-0005-0000-0000-000036650000}"/>
    <cellStyle name="Normal 3 2 4 2 4 2 3" xfId="20865" xr:uid="{00000000-0005-0000-0000-000037650000}"/>
    <cellStyle name="Normal 3 2 4 2 4 3" xfId="20275" xr:uid="{00000000-0005-0000-0000-000038650000}"/>
    <cellStyle name="Normal 3 2 4 2 4 3 2" xfId="20278" xr:uid="{00000000-0005-0000-0000-000039650000}"/>
    <cellStyle name="Normal 3 2 4 2 4 4" xfId="20285" xr:uid="{00000000-0005-0000-0000-00003A650000}"/>
    <cellStyle name="Normal 3 2 4 2 5" xfId="8955" xr:uid="{00000000-0005-0000-0000-00003B650000}"/>
    <cellStyle name="Normal 3 2 4 2 5 2" xfId="24720" xr:uid="{00000000-0005-0000-0000-00003C650000}"/>
    <cellStyle name="Normal 3 2 4 2 5 2 2" xfId="26821" xr:uid="{00000000-0005-0000-0000-00003D650000}"/>
    <cellStyle name="Normal 3 2 4 2 5 3" xfId="18645" xr:uid="{00000000-0005-0000-0000-00003E650000}"/>
    <cellStyle name="Normal 3 2 4 2 6" xfId="12815" xr:uid="{00000000-0005-0000-0000-00003F650000}"/>
    <cellStyle name="Normal 3 2 4 2 6 2" xfId="16391" xr:uid="{00000000-0005-0000-0000-000040650000}"/>
    <cellStyle name="Normal 3 2 4 2 7" xfId="12823" xr:uid="{00000000-0005-0000-0000-000041650000}"/>
    <cellStyle name="Normal 3 2 4 3" xfId="6940" xr:uid="{00000000-0005-0000-0000-000042650000}"/>
    <cellStyle name="Normal 3 2 4 3 2" xfId="1681" xr:uid="{00000000-0005-0000-0000-000043650000}"/>
    <cellStyle name="Normal 3 2 4 3 2 2" xfId="4818" xr:uid="{00000000-0005-0000-0000-000044650000}"/>
    <cellStyle name="Normal 3 2 4 3 2 2 2" xfId="23939" xr:uid="{00000000-0005-0000-0000-000045650000}"/>
    <cellStyle name="Normal 3 2 4 3 2 2 2 2" xfId="24136" xr:uid="{00000000-0005-0000-0000-000046650000}"/>
    <cellStyle name="Normal 3 2 4 3 2 2 2 2 2" xfId="5264" xr:uid="{00000000-0005-0000-0000-000047650000}"/>
    <cellStyle name="Normal 3 2 4 3 2 2 2 3" xfId="26976" xr:uid="{00000000-0005-0000-0000-000048650000}"/>
    <cellStyle name="Normal 3 2 4 3 2 2 3" xfId="20946" xr:uid="{00000000-0005-0000-0000-000049650000}"/>
    <cellStyle name="Normal 3 2 4 3 2 2 3 2" xfId="22817" xr:uid="{00000000-0005-0000-0000-00004A650000}"/>
    <cellStyle name="Normal 3 2 4 3 2 2 4" xfId="20972" xr:uid="{00000000-0005-0000-0000-00004B650000}"/>
    <cellStyle name="Normal 3 2 4 3 2 3" xfId="5518" xr:uid="{00000000-0005-0000-0000-00004C650000}"/>
    <cellStyle name="Normal 3 2 4 3 2 3 2" xfId="26988" xr:uid="{00000000-0005-0000-0000-00004D650000}"/>
    <cellStyle name="Normal 3 2 4 3 2 3 2 2" xfId="26992" xr:uid="{00000000-0005-0000-0000-00004E650000}"/>
    <cellStyle name="Normal 3 2 4 3 2 3 3" xfId="479" xr:uid="{00000000-0005-0000-0000-00004F650000}"/>
    <cellStyle name="Normal 3 2 4 3 2 4" xfId="5520" xr:uid="{00000000-0005-0000-0000-000050650000}"/>
    <cellStyle name="Normal 3 2 4 3 2 4 2" xfId="26413" xr:uid="{00000000-0005-0000-0000-000051650000}"/>
    <cellStyle name="Normal 3 2 4 3 2 5" xfId="4102" xr:uid="{00000000-0005-0000-0000-000052650000}"/>
    <cellStyle name="Normal 3 2 4 3 3" xfId="34" xr:uid="{00000000-0005-0000-0000-000053650000}"/>
    <cellStyle name="Normal 3 2 4 3 3 2" xfId="2336" xr:uid="{00000000-0005-0000-0000-000054650000}"/>
    <cellStyle name="Normal 3 2 4 3 3 2 2" xfId="19871" xr:uid="{00000000-0005-0000-0000-000055650000}"/>
    <cellStyle name="Normal 3 2 4 3 3 2 2 2" xfId="27031" xr:uid="{00000000-0005-0000-0000-000056650000}"/>
    <cellStyle name="Normal 3 2 4 3 3 2 3" xfId="21004" xr:uid="{00000000-0005-0000-0000-000057650000}"/>
    <cellStyle name="Normal 3 2 4 3 3 3" xfId="7876" xr:uid="{00000000-0005-0000-0000-000058650000}"/>
    <cellStyle name="Normal 3 2 4 3 3 3 2" xfId="28741" xr:uid="{00000000-0005-0000-0000-000059650000}"/>
    <cellStyle name="Normal 3 2 4 3 3 4" xfId="4105" xr:uid="{00000000-0005-0000-0000-00005A650000}"/>
    <cellStyle name="Normal 3 2 4 3 4" xfId="5580" xr:uid="{00000000-0005-0000-0000-00005B650000}"/>
    <cellStyle name="Normal 3 2 4 3 4 2" xfId="4086" xr:uid="{00000000-0005-0000-0000-00005C650000}"/>
    <cellStyle name="Normal 3 2 4 3 4 2 2" xfId="26045" xr:uid="{00000000-0005-0000-0000-00005D650000}"/>
    <cellStyle name="Normal 3 2 4 3 4 3" xfId="20298" xr:uid="{00000000-0005-0000-0000-00005E650000}"/>
    <cellStyle name="Normal 3 2 4 3 5" xfId="14725" xr:uid="{00000000-0005-0000-0000-00005F650000}"/>
    <cellStyle name="Normal 3 2 4 3 5 2" xfId="7283" xr:uid="{00000000-0005-0000-0000-000060650000}"/>
    <cellStyle name="Normal 3 2 4 3 6" xfId="14733" xr:uid="{00000000-0005-0000-0000-000061650000}"/>
    <cellStyle name="Normal 3 2 4 4" xfId="8007" xr:uid="{00000000-0005-0000-0000-000062650000}"/>
    <cellStyle name="Normal 3 2 4 4 2" xfId="4107" xr:uid="{00000000-0005-0000-0000-000063650000}"/>
    <cellStyle name="Normal 3 2 4 4 2 2" xfId="3945" xr:uid="{00000000-0005-0000-0000-000064650000}"/>
    <cellStyle name="Normal 3 2 4 4 2 2 2" xfId="27955" xr:uid="{00000000-0005-0000-0000-000065650000}"/>
    <cellStyle name="Normal 3 2 4 4 2 2 2 2" xfId="19919" xr:uid="{00000000-0005-0000-0000-000066650000}"/>
    <cellStyle name="Normal 3 2 4 4 2 2 3" xfId="16861" xr:uid="{00000000-0005-0000-0000-000067650000}"/>
    <cellStyle name="Normal 3 2 4 4 2 3" xfId="5534" xr:uid="{00000000-0005-0000-0000-000068650000}"/>
    <cellStyle name="Normal 3 2 4 4 2 3 2" xfId="21208" xr:uid="{00000000-0005-0000-0000-000069650000}"/>
    <cellStyle name="Normal 3 2 4 4 2 4" xfId="4117" xr:uid="{00000000-0005-0000-0000-00006A650000}"/>
    <cellStyle name="Normal 3 2 4 4 3" xfId="2338" xr:uid="{00000000-0005-0000-0000-00006B650000}"/>
    <cellStyle name="Normal 3 2 4 4 3 2" xfId="4120" xr:uid="{00000000-0005-0000-0000-00006C650000}"/>
    <cellStyle name="Normal 3 2 4 4 3 2 2" xfId="27101" xr:uid="{00000000-0005-0000-0000-00006D650000}"/>
    <cellStyle name="Normal 3 2 4 4 3 3" xfId="4123" xr:uid="{00000000-0005-0000-0000-00006E650000}"/>
    <cellStyle name="Normal 3 2 4 4 4" xfId="4126" xr:uid="{00000000-0005-0000-0000-00006F650000}"/>
    <cellStyle name="Normal 3 2 4 4 4 2" xfId="4130" xr:uid="{00000000-0005-0000-0000-000070650000}"/>
    <cellStyle name="Normal 3 2 4 4 5" xfId="14742" xr:uid="{00000000-0005-0000-0000-000071650000}"/>
    <cellStyle name="Normal 3 2 4 5" xfId="47" xr:uid="{00000000-0005-0000-0000-000072650000}"/>
    <cellStyle name="Normal 3 2 4 5 2" xfId="4135" xr:uid="{00000000-0005-0000-0000-000073650000}"/>
    <cellStyle name="Normal 3 2 4 5 2 2" xfId="4137" xr:uid="{00000000-0005-0000-0000-000074650000}"/>
    <cellStyle name="Normal 3 2 4 5 2 2 2" xfId="16621" xr:uid="{00000000-0005-0000-0000-000075650000}"/>
    <cellStyle name="Normal 3 2 4 5 2 3" xfId="4141" xr:uid="{00000000-0005-0000-0000-000076650000}"/>
    <cellStyle name="Normal 3 2 4 5 3" xfId="4147" xr:uid="{00000000-0005-0000-0000-000077650000}"/>
    <cellStyle name="Normal 3 2 4 5 3 2" xfId="4152" xr:uid="{00000000-0005-0000-0000-000078650000}"/>
    <cellStyle name="Normal 3 2 4 5 4" xfId="1247" xr:uid="{00000000-0005-0000-0000-000079650000}"/>
    <cellStyle name="Normal 3 2 4 6" xfId="1922" xr:uid="{00000000-0005-0000-0000-00007A650000}"/>
    <cellStyle name="Normal 3 2 4 6 2" xfId="4156" xr:uid="{00000000-0005-0000-0000-00007B650000}"/>
    <cellStyle name="Normal 3 2 4 6 2 2" xfId="14622" xr:uid="{00000000-0005-0000-0000-00007C650000}"/>
    <cellStyle name="Normal 3 2 4 6 3" xfId="5251" xr:uid="{00000000-0005-0000-0000-00007D650000}"/>
    <cellStyle name="Normal 3 2 4 7" xfId="4164" xr:uid="{00000000-0005-0000-0000-00007E650000}"/>
    <cellStyle name="Normal 3 2 4 7 2" xfId="4171" xr:uid="{00000000-0005-0000-0000-00007F650000}"/>
    <cellStyle name="Normal 3 2 4 8" xfId="4174" xr:uid="{00000000-0005-0000-0000-000080650000}"/>
    <cellStyle name="Normal 3 2 5" xfId="2590" xr:uid="{00000000-0005-0000-0000-000081650000}"/>
    <cellStyle name="Normal 3 2 5 2" xfId="492" xr:uid="{00000000-0005-0000-0000-000082650000}"/>
    <cellStyle name="Normal 3 2 5 2 2" xfId="4180" xr:uid="{00000000-0005-0000-0000-000083650000}"/>
    <cellStyle name="Normal 3 2 5 2 2 2" xfId="2077" xr:uid="{00000000-0005-0000-0000-000084650000}"/>
    <cellStyle name="Normal 3 2 5 2 2 2 2" xfId="27959" xr:uid="{00000000-0005-0000-0000-000085650000}"/>
    <cellStyle name="Normal 3 2 5 2 2 2 2 2" xfId="27964" xr:uid="{00000000-0005-0000-0000-000086650000}"/>
    <cellStyle name="Normal 3 2 5 2 2 2 2 2 2" xfId="27966" xr:uid="{00000000-0005-0000-0000-000087650000}"/>
    <cellStyle name="Normal 3 2 5 2 2 2 2 3" xfId="27967" xr:uid="{00000000-0005-0000-0000-000088650000}"/>
    <cellStyle name="Normal 3 2 5 2 2 2 3" xfId="21355" xr:uid="{00000000-0005-0000-0000-000089650000}"/>
    <cellStyle name="Normal 3 2 5 2 2 2 3 2" xfId="27969" xr:uid="{00000000-0005-0000-0000-00008A650000}"/>
    <cellStyle name="Normal 3 2 5 2 2 2 4" xfId="21367" xr:uid="{00000000-0005-0000-0000-00008B650000}"/>
    <cellStyle name="Normal 3 2 5 2 2 3" xfId="6355" xr:uid="{00000000-0005-0000-0000-00008C650000}"/>
    <cellStyle name="Normal 3 2 5 2 2 3 2" xfId="1543" xr:uid="{00000000-0005-0000-0000-00008D650000}"/>
    <cellStyle name="Normal 3 2 5 2 2 3 2 2" xfId="27971" xr:uid="{00000000-0005-0000-0000-00008E650000}"/>
    <cellStyle name="Normal 3 2 5 2 2 3 3" xfId="21376" xr:uid="{00000000-0005-0000-0000-00008F650000}"/>
    <cellStyle name="Normal 3 2 5 2 2 4" xfId="20446" xr:uid="{00000000-0005-0000-0000-000090650000}"/>
    <cellStyle name="Normal 3 2 5 2 2 4 2" xfId="30794" xr:uid="{00000000-0005-0000-0000-000091650000}"/>
    <cellStyle name="Normal 3 2 5 2 2 5" xfId="4233" xr:uid="{00000000-0005-0000-0000-000092650000}"/>
    <cellStyle name="Normal 3 2 5 2 3" xfId="5869" xr:uid="{00000000-0005-0000-0000-000093650000}"/>
    <cellStyle name="Normal 3 2 5 2 3 2" xfId="25559" xr:uid="{00000000-0005-0000-0000-000094650000}"/>
    <cellStyle name="Normal 3 2 5 2 3 2 2" xfId="30129" xr:uid="{00000000-0005-0000-0000-000095650000}"/>
    <cellStyle name="Normal 3 2 5 2 3 2 2 2" xfId="30134" xr:uid="{00000000-0005-0000-0000-000096650000}"/>
    <cellStyle name="Normal 3 2 5 2 3 2 3" xfId="21405" xr:uid="{00000000-0005-0000-0000-000097650000}"/>
    <cellStyle name="Normal 3 2 5 2 3 3" xfId="20454" xr:uid="{00000000-0005-0000-0000-000098650000}"/>
    <cellStyle name="Normal 3 2 5 2 3 3 2" xfId="30153" xr:uid="{00000000-0005-0000-0000-000099650000}"/>
    <cellStyle name="Normal 3 2 5 2 3 4" xfId="4249" xr:uid="{00000000-0005-0000-0000-00009A650000}"/>
    <cellStyle name="Normal 3 2 5 2 4" xfId="5878" xr:uid="{00000000-0005-0000-0000-00009B650000}"/>
    <cellStyle name="Normal 3 2 5 2 4 2" xfId="20459" xr:uid="{00000000-0005-0000-0000-00009C650000}"/>
    <cellStyle name="Normal 3 2 5 2 4 2 2" xfId="27462" xr:uid="{00000000-0005-0000-0000-00009D650000}"/>
    <cellStyle name="Normal 3 2 5 2 4 3" xfId="22061" xr:uid="{00000000-0005-0000-0000-00009E650000}"/>
    <cellStyle name="Normal 3 2 5 2 5" xfId="16666" xr:uid="{00000000-0005-0000-0000-00009F650000}"/>
    <cellStyle name="Normal 3 2 5 2 5 2" xfId="26831" xr:uid="{00000000-0005-0000-0000-0000A0650000}"/>
    <cellStyle name="Normal 3 2 5 2 6" xfId="7207" xr:uid="{00000000-0005-0000-0000-0000A1650000}"/>
    <cellStyle name="Normal 3 2 5 2 6 2" xfId="1984" xr:uid="{00000000-0005-0000-0000-0000A2650000}"/>
    <cellStyle name="Normal 3 2 5 2 7" xfId="27116" xr:uid="{00000000-0005-0000-0000-0000A3650000}"/>
    <cellStyle name="Normal 3 2 5 3" xfId="72" xr:uid="{00000000-0005-0000-0000-0000A4650000}"/>
    <cellStyle name="Normal 3 2 5 3 2" xfId="4254" xr:uid="{00000000-0005-0000-0000-0000A5650000}"/>
    <cellStyle name="Normal 3 2 5 3 2 2" xfId="20472" xr:uid="{00000000-0005-0000-0000-0000A6650000}"/>
    <cellStyle name="Normal 3 2 5 3 2 2 2" xfId="26759" xr:uid="{00000000-0005-0000-0000-0000A7650000}"/>
    <cellStyle name="Normal 3 2 5 3 2 2 2 2" xfId="30336" xr:uid="{00000000-0005-0000-0000-0000A8650000}"/>
    <cellStyle name="Normal 3 2 5 3 2 2 3" xfId="21477" xr:uid="{00000000-0005-0000-0000-0000A9650000}"/>
    <cellStyle name="Normal 3 2 5 3 2 3" xfId="20475" xr:uid="{00000000-0005-0000-0000-0000AA650000}"/>
    <cellStyle name="Normal 3 2 5 3 2 3 2" xfId="33864" xr:uid="{00000000-0005-0000-0000-0000AB650000}"/>
    <cellStyle name="Normal 3 2 5 3 2 4" xfId="4271" xr:uid="{00000000-0005-0000-0000-0000AC650000}"/>
    <cellStyle name="Normal 3 2 5 3 3" xfId="5885" xr:uid="{00000000-0005-0000-0000-0000AD650000}"/>
    <cellStyle name="Normal 3 2 5 3 3 2" xfId="20480" xr:uid="{00000000-0005-0000-0000-0000AE650000}"/>
    <cellStyle name="Normal 3 2 5 3 3 2 2" xfId="30239" xr:uid="{00000000-0005-0000-0000-0000AF650000}"/>
    <cellStyle name="Normal 3 2 5 3 3 3" xfId="4286" xr:uid="{00000000-0005-0000-0000-0000B0650000}"/>
    <cellStyle name="Normal 3 2 5 3 4" xfId="7291" xr:uid="{00000000-0005-0000-0000-0000B1650000}"/>
    <cellStyle name="Normal 3 2 5 3 4 2" xfId="744" xr:uid="{00000000-0005-0000-0000-0000B2650000}"/>
    <cellStyle name="Normal 3 2 5 3 5" xfId="12835" xr:uid="{00000000-0005-0000-0000-0000B3650000}"/>
    <cellStyle name="Normal 3 2 5 4" xfId="8879" xr:uid="{00000000-0005-0000-0000-0000B4650000}"/>
    <cellStyle name="Normal 3 2 5 4 2" xfId="3789" xr:uid="{00000000-0005-0000-0000-0000B5650000}"/>
    <cellStyle name="Normal 3 2 5 4 2 2" xfId="20499" xr:uid="{00000000-0005-0000-0000-0000B6650000}"/>
    <cellStyle name="Normal 3 2 5 4 2 2 2" xfId="26712" xr:uid="{00000000-0005-0000-0000-0000B7650000}"/>
    <cellStyle name="Normal 3 2 5 4 2 3" xfId="4294" xr:uid="{00000000-0005-0000-0000-0000B8650000}"/>
    <cellStyle name="Normal 3 2 5 4 3" xfId="7293" xr:uid="{00000000-0005-0000-0000-0000B9650000}"/>
    <cellStyle name="Normal 3 2 5 4 3 2" xfId="3262" xr:uid="{00000000-0005-0000-0000-0000BA650000}"/>
    <cellStyle name="Normal 3 2 5 4 4" xfId="8690" xr:uid="{00000000-0005-0000-0000-0000BB650000}"/>
    <cellStyle name="Normal 3 2 5 5" xfId="4296" xr:uid="{00000000-0005-0000-0000-0000BC650000}"/>
    <cellStyle name="Normal 3 2 5 5 2" xfId="3802" xr:uid="{00000000-0005-0000-0000-0000BD650000}"/>
    <cellStyle name="Normal 3 2 5 5 2 2" xfId="22572" xr:uid="{00000000-0005-0000-0000-0000BE650000}"/>
    <cellStyle name="Normal 3 2 5 5 3" xfId="3624" xr:uid="{00000000-0005-0000-0000-0000BF650000}"/>
    <cellStyle name="Normal 3 2 5 6" xfId="4306" xr:uid="{00000000-0005-0000-0000-0000C0650000}"/>
    <cellStyle name="Normal 3 2 5 6 2" xfId="3809" xr:uid="{00000000-0005-0000-0000-0000C1650000}"/>
    <cellStyle name="Normal 3 2 5 7" xfId="4312" xr:uid="{00000000-0005-0000-0000-0000C2650000}"/>
    <cellStyle name="Normal 3 2 5 7 2" xfId="26836" xr:uid="{00000000-0005-0000-0000-0000C3650000}"/>
    <cellStyle name="Normal 3 2 5 8" xfId="3294" xr:uid="{00000000-0005-0000-0000-0000C4650000}"/>
    <cellStyle name="Normal 3 2 6" xfId="11358" xr:uid="{00000000-0005-0000-0000-0000C5650000}"/>
    <cellStyle name="Normal 3 2 6 2" xfId="7265" xr:uid="{00000000-0005-0000-0000-0000C6650000}"/>
    <cellStyle name="Normal 3 2 6 2 2" xfId="4318" xr:uid="{00000000-0005-0000-0000-0000C7650000}"/>
    <cellStyle name="Normal 3 2 6 2 2 2" xfId="20567" xr:uid="{00000000-0005-0000-0000-0000C8650000}"/>
    <cellStyle name="Normal 3 2 6 2 2 2 2" xfId="25986" xr:uid="{00000000-0005-0000-0000-0000C9650000}"/>
    <cellStyle name="Normal 3 2 6 2 2 2 2 2" xfId="28266" xr:uid="{00000000-0005-0000-0000-0000CA650000}"/>
    <cellStyle name="Normal 3 2 6 2 2 2 3" xfId="19511" xr:uid="{00000000-0005-0000-0000-0000CB650000}"/>
    <cellStyle name="Normal 3 2 6 2 2 3" xfId="20570" xr:uid="{00000000-0005-0000-0000-0000CC650000}"/>
    <cellStyle name="Normal 3 2 6 2 2 3 2" xfId="19517" xr:uid="{00000000-0005-0000-0000-0000CD650000}"/>
    <cellStyle name="Normal 3 2 6 2 2 4" xfId="10795" xr:uid="{00000000-0005-0000-0000-0000CE650000}"/>
    <cellStyle name="Normal 3 2 6 2 3" xfId="4343" xr:uid="{00000000-0005-0000-0000-0000CF650000}"/>
    <cellStyle name="Normal 3 2 6 2 3 2" xfId="20578" xr:uid="{00000000-0005-0000-0000-0000D0650000}"/>
    <cellStyle name="Normal 3 2 6 2 3 2 2" xfId="19529" xr:uid="{00000000-0005-0000-0000-0000D1650000}"/>
    <cellStyle name="Normal 3 2 6 2 3 3" xfId="4348" xr:uid="{00000000-0005-0000-0000-0000D2650000}"/>
    <cellStyle name="Normal 3 2 6 2 4" xfId="7313" xr:uid="{00000000-0005-0000-0000-0000D3650000}"/>
    <cellStyle name="Normal 3 2 6 2 4 2" xfId="1617" xr:uid="{00000000-0005-0000-0000-0000D4650000}"/>
    <cellStyle name="Normal 3 2 6 2 5" xfId="12843" xr:uid="{00000000-0005-0000-0000-0000D5650000}"/>
    <cellStyle name="Normal 3 2 6 2 5 2" xfId="27994" xr:uid="{00000000-0005-0000-0000-0000D6650000}"/>
    <cellStyle name="Normal 3 2 6 2 6" xfId="26900" xr:uid="{00000000-0005-0000-0000-0000D7650000}"/>
    <cellStyle name="Normal 3 2 6 2 6 2" xfId="8052" xr:uid="{00000000-0005-0000-0000-0000D8650000}"/>
    <cellStyle name="Normal 3 2 6 2 7" xfId="20222" xr:uid="{00000000-0005-0000-0000-0000D9650000}"/>
    <cellStyle name="Normal 3 2 6 3" xfId="25" xr:uid="{00000000-0005-0000-0000-0000DA650000}"/>
    <cellStyle name="Normal 3 2 6 3 2" xfId="7379" xr:uid="{00000000-0005-0000-0000-0000DB650000}"/>
    <cellStyle name="Normal 3 2 6 3 2 2" xfId="20586" xr:uid="{00000000-0005-0000-0000-0000DC650000}"/>
    <cellStyle name="Normal 3 2 6 3 2 2 2" xfId="19562" xr:uid="{00000000-0005-0000-0000-0000DD650000}"/>
    <cellStyle name="Normal 3 2 6 3 2 3" xfId="4371" xr:uid="{00000000-0005-0000-0000-0000DE650000}"/>
    <cellStyle name="Normal 3 2 6 3 3" xfId="7315" xr:uid="{00000000-0005-0000-0000-0000DF650000}"/>
    <cellStyle name="Normal 3 2 6 3 3 2" xfId="916" xr:uid="{00000000-0005-0000-0000-0000E0650000}"/>
    <cellStyle name="Normal 3 2 6 3 4" xfId="417" xr:uid="{00000000-0005-0000-0000-0000E1650000}"/>
    <cellStyle name="Normal 3 2 6 4" xfId="4387" xr:uid="{00000000-0005-0000-0000-0000E2650000}"/>
    <cellStyle name="Normal 3 2 6 4 2" xfId="3812" xr:uid="{00000000-0005-0000-0000-0000E3650000}"/>
    <cellStyle name="Normal 3 2 6 4 2 2" xfId="4390" xr:uid="{00000000-0005-0000-0000-0000E4650000}"/>
    <cellStyle name="Normal 3 2 6 4 3" xfId="131" xr:uid="{00000000-0005-0000-0000-0000E5650000}"/>
    <cellStyle name="Normal 3 2 6 5" xfId="4398" xr:uid="{00000000-0005-0000-0000-0000E6650000}"/>
    <cellStyle name="Normal 3 2 6 5 2" xfId="13113" xr:uid="{00000000-0005-0000-0000-0000E7650000}"/>
    <cellStyle name="Normal 3 2 6 6" xfId="4411" xr:uid="{00000000-0005-0000-0000-0000E8650000}"/>
    <cellStyle name="Normal 3 2 6 6 2" xfId="29323" xr:uid="{00000000-0005-0000-0000-0000E9650000}"/>
    <cellStyle name="Normal 3 2 6 7" xfId="26943" xr:uid="{00000000-0005-0000-0000-0000EA650000}"/>
    <cellStyle name="Normal 3 2 6 7 2" xfId="28001" xr:uid="{00000000-0005-0000-0000-0000EB650000}"/>
    <cellStyle name="Normal 3 2 6 8" xfId="19296" xr:uid="{00000000-0005-0000-0000-0000EC650000}"/>
    <cellStyle name="Normal 3 2 7" xfId="12557" xr:uid="{00000000-0005-0000-0000-0000ED650000}"/>
    <cellStyle name="Normal 3 2 7 2" xfId="78" xr:uid="{00000000-0005-0000-0000-0000EE650000}"/>
    <cellStyle name="Normal 3 2 7 2 2" xfId="4420" xr:uid="{00000000-0005-0000-0000-0000EF650000}"/>
    <cellStyle name="Normal 3 2 7 2 2 2" xfId="20627" xr:uid="{00000000-0005-0000-0000-0000F0650000}"/>
    <cellStyle name="Normal 3 2 7 2 2 2 2" xfId="28100" xr:uid="{00000000-0005-0000-0000-0000F1650000}"/>
    <cellStyle name="Normal 3 2 7 2 2 3" xfId="754" xr:uid="{00000000-0005-0000-0000-0000F2650000}"/>
    <cellStyle name="Normal 3 2 7 2 3" xfId="7325" xr:uid="{00000000-0005-0000-0000-0000F3650000}"/>
    <cellStyle name="Normal 3 2 7 2 3 2" xfId="4423" xr:uid="{00000000-0005-0000-0000-0000F4650000}"/>
    <cellStyle name="Normal 3 2 7 2 4" xfId="3684" xr:uid="{00000000-0005-0000-0000-0000F5650000}"/>
    <cellStyle name="Normal 3 2 7 2 4 2" xfId="28006" xr:uid="{00000000-0005-0000-0000-0000F6650000}"/>
    <cellStyle name="Normal 3 2 7 2 5" xfId="26952" xr:uid="{00000000-0005-0000-0000-0000F7650000}"/>
    <cellStyle name="Normal 3 2 7 2 5 2" xfId="21733" xr:uid="{00000000-0005-0000-0000-0000F8650000}"/>
    <cellStyle name="Normal 3 2 7 2 6" xfId="29711" xr:uid="{00000000-0005-0000-0000-0000F9650000}"/>
    <cellStyle name="Normal 3 2 7 2 6 2" xfId="8076" xr:uid="{00000000-0005-0000-0000-0000FA650000}"/>
    <cellStyle name="Normal 3 2 7 2 7" xfId="20508" xr:uid="{00000000-0005-0000-0000-0000FB650000}"/>
    <cellStyle name="Normal 3 2 7 3" xfId="1872" xr:uid="{00000000-0005-0000-0000-0000FC650000}"/>
    <cellStyle name="Normal 3 2 7 3 2" xfId="4435" xr:uid="{00000000-0005-0000-0000-0000FD650000}"/>
    <cellStyle name="Normal 3 2 7 3 2 2" xfId="4439" xr:uid="{00000000-0005-0000-0000-0000FE650000}"/>
    <cellStyle name="Normal 3 2 7 3 3" xfId="4441" xr:uid="{00000000-0005-0000-0000-0000FF650000}"/>
    <cellStyle name="Normal 3 2 7 4" xfId="9961" xr:uid="{00000000-0005-0000-0000-000000660000}"/>
    <cellStyle name="Normal 3 2 7 4 2" xfId="3834" xr:uid="{00000000-0005-0000-0000-000001660000}"/>
    <cellStyle name="Normal 3 2 7 5" xfId="9964" xr:uid="{00000000-0005-0000-0000-000002660000}"/>
    <cellStyle name="Normal 3 2 7 5 2" xfId="27516" xr:uid="{00000000-0005-0000-0000-000003660000}"/>
    <cellStyle name="Normal 3 2 7 6" xfId="26962" xr:uid="{00000000-0005-0000-0000-000004660000}"/>
    <cellStyle name="Normal 3 2 7 6 2" xfId="30353" xr:uid="{00000000-0005-0000-0000-000005660000}"/>
    <cellStyle name="Normal 3 2 7 7" xfId="28012" xr:uid="{00000000-0005-0000-0000-000006660000}"/>
    <cellStyle name="Normal 3 2 7 7 2" xfId="28013" xr:uid="{00000000-0005-0000-0000-000007660000}"/>
    <cellStyle name="Normal 3 2 7 8" xfId="28014" xr:uid="{00000000-0005-0000-0000-000008660000}"/>
    <cellStyle name="Normal 3 2 8" xfId="5508" xr:uid="{00000000-0005-0000-0000-000009660000}"/>
    <cellStyle name="Normal 3 2 8 2" xfId="4453" xr:uid="{00000000-0005-0000-0000-00000A660000}"/>
    <cellStyle name="Normal 3 2 8 2 2" xfId="4455" xr:uid="{00000000-0005-0000-0000-00000B660000}"/>
    <cellStyle name="Normal 3 2 8 2 2 2" xfId="4929" xr:uid="{00000000-0005-0000-0000-00000C660000}"/>
    <cellStyle name="Normal 3 2 8 2 3" xfId="4467" xr:uid="{00000000-0005-0000-0000-00000D660000}"/>
    <cellStyle name="Normal 3 2 8 2 3 2" xfId="390" xr:uid="{00000000-0005-0000-0000-00000E660000}"/>
    <cellStyle name="Normal 3 2 8 2 4" xfId="27036" xr:uid="{00000000-0005-0000-0000-00000F660000}"/>
    <cellStyle name="Normal 3 2 8 2 4 2" xfId="11186" xr:uid="{00000000-0005-0000-0000-000010660000}"/>
    <cellStyle name="Normal 3 2 8 2 5" xfId="27041" xr:uid="{00000000-0005-0000-0000-000011660000}"/>
    <cellStyle name="Normal 3 2 8 2 5 2" xfId="15470" xr:uid="{00000000-0005-0000-0000-000012660000}"/>
    <cellStyle name="Normal 3 2 8 2 6" xfId="28020" xr:uid="{00000000-0005-0000-0000-000013660000}"/>
    <cellStyle name="Normal 3 2 8 2 6 2" xfId="23674" xr:uid="{00000000-0005-0000-0000-000014660000}"/>
    <cellStyle name="Normal 3 2 8 2 7" xfId="16343" xr:uid="{00000000-0005-0000-0000-000015660000}"/>
    <cellStyle name="Normal 3 2 8 3" xfId="4470" xr:uid="{00000000-0005-0000-0000-000016660000}"/>
    <cellStyle name="Normal 3 2 8 3 2" xfId="10325" xr:uid="{00000000-0005-0000-0000-000017660000}"/>
    <cellStyle name="Normal 3 2 8 4" xfId="10155" xr:uid="{00000000-0005-0000-0000-000018660000}"/>
    <cellStyle name="Normal 3 2 8 4 2" xfId="27071" xr:uid="{00000000-0005-0000-0000-000019660000}"/>
    <cellStyle name="Normal 3 2 8 5" xfId="27077" xr:uid="{00000000-0005-0000-0000-00001A660000}"/>
    <cellStyle name="Normal 3 2 8 5 2" xfId="27080" xr:uid="{00000000-0005-0000-0000-00001B660000}"/>
    <cellStyle name="Normal 3 2 8 6" xfId="27086" xr:uid="{00000000-0005-0000-0000-00001C660000}"/>
    <cellStyle name="Normal 3 2 8 6 2" xfId="34025" xr:uid="{00000000-0005-0000-0000-00001D660000}"/>
    <cellStyle name="Normal 3 2 8 7" xfId="22456" xr:uid="{00000000-0005-0000-0000-00001E660000}"/>
    <cellStyle name="Normal 3 2 8 7 2" xfId="32635" xr:uid="{00000000-0005-0000-0000-00001F660000}"/>
    <cellStyle name="Normal 3 2 8 8" xfId="28024" xr:uid="{00000000-0005-0000-0000-000020660000}"/>
    <cellStyle name="Normal 3 2 9" xfId="8610" xr:uid="{00000000-0005-0000-0000-000021660000}"/>
    <cellStyle name="Normal 3 2 9 2" xfId="8616" xr:uid="{00000000-0005-0000-0000-000022660000}"/>
    <cellStyle name="Normal 3 2 9 2 2" xfId="12679" xr:uid="{00000000-0005-0000-0000-000023660000}"/>
    <cellStyle name="Normal 3 2 9 2 2 2" xfId="12262" xr:uid="{00000000-0005-0000-0000-000024660000}"/>
    <cellStyle name="Normal 3 2 9 2 3" xfId="10977" xr:uid="{00000000-0005-0000-0000-000025660000}"/>
    <cellStyle name="Normal 3 2 9 2 3 2" xfId="11532" xr:uid="{00000000-0005-0000-0000-000026660000}"/>
    <cellStyle name="Normal 3 2 9 2 4" xfId="11019" xr:uid="{00000000-0005-0000-0000-000027660000}"/>
    <cellStyle name="Normal 3 2 9 2 4 2" xfId="15539" xr:uid="{00000000-0005-0000-0000-000028660000}"/>
    <cellStyle name="Normal 3 2 9 2 5" xfId="30011" xr:uid="{00000000-0005-0000-0000-000029660000}"/>
    <cellStyle name="Normal 3 2 9 2 5 2" xfId="28028" xr:uid="{00000000-0005-0000-0000-00002A660000}"/>
    <cellStyle name="Normal 3 2 9 2 6" xfId="28032" xr:uid="{00000000-0005-0000-0000-00002B660000}"/>
    <cellStyle name="Normal 3 2 9 2 6 2" xfId="28037" xr:uid="{00000000-0005-0000-0000-00002C660000}"/>
    <cellStyle name="Normal 3 2 9 2 7" xfId="16362" xr:uid="{00000000-0005-0000-0000-00002D660000}"/>
    <cellStyle name="Normal 3 2 9 3" xfId="15900" xr:uid="{00000000-0005-0000-0000-00002E660000}"/>
    <cellStyle name="Normal 3 2 9 3 2" xfId="10842" xr:uid="{00000000-0005-0000-0000-00002F660000}"/>
    <cellStyle name="Normal 3 2 9 4" xfId="28038" xr:uid="{00000000-0005-0000-0000-000030660000}"/>
    <cellStyle name="Normal 3 2 9 4 2" xfId="18695" xr:uid="{00000000-0005-0000-0000-000031660000}"/>
    <cellStyle name="Normal 3 2 9 5" xfId="23963" xr:uid="{00000000-0005-0000-0000-000032660000}"/>
    <cellStyle name="Normal 3 2 9 5 2" xfId="20493" xr:uid="{00000000-0005-0000-0000-000033660000}"/>
    <cellStyle name="Normal 3 2 9 6" xfId="28039" xr:uid="{00000000-0005-0000-0000-000034660000}"/>
    <cellStyle name="Normal 3 2 9 6 2" xfId="28046" xr:uid="{00000000-0005-0000-0000-000035660000}"/>
    <cellStyle name="Normal 3 2 9 7" xfId="28053" xr:uid="{00000000-0005-0000-0000-000036660000}"/>
    <cellStyle name="Normal 3 2 9 7 2" xfId="28057" xr:uid="{00000000-0005-0000-0000-000037660000}"/>
    <cellStyle name="Normal 3 2 9 8" xfId="23452" xr:uid="{00000000-0005-0000-0000-000038660000}"/>
    <cellStyle name="Normal 3 20" xfId="26677" xr:uid="{00000000-0005-0000-0000-000039660000}"/>
    <cellStyle name="Normal 3 20 2" xfId="2488" xr:uid="{00000000-0005-0000-0000-00003A660000}"/>
    <cellStyle name="Normal 3 21" xfId="26680" xr:uid="{00000000-0005-0000-0000-00003B660000}"/>
    <cellStyle name="Normal 3 21 2" xfId="2689" xr:uid="{00000000-0005-0000-0000-00003C660000}"/>
    <cellStyle name="Normal 3 22" xfId="21214" xr:uid="{00000000-0005-0000-0000-00003D660000}"/>
    <cellStyle name="Normal 3 23" xfId="27956" xr:uid="{00000000-0005-0000-0000-00003E660000}"/>
    <cellStyle name="Normal 3 3" xfId="24801" xr:uid="{00000000-0005-0000-0000-00003F660000}"/>
    <cellStyle name="Normal 3 3 10" xfId="30973" xr:uid="{00000000-0005-0000-0000-000040660000}"/>
    <cellStyle name="Normal 3 3 2" xfId="28068" xr:uid="{00000000-0005-0000-0000-000041660000}"/>
    <cellStyle name="Normal 3 3 2 2" xfId="30409" xr:uid="{00000000-0005-0000-0000-000042660000}"/>
    <cellStyle name="Normal 3 3 2 2 2" xfId="22079" xr:uid="{00000000-0005-0000-0000-000043660000}"/>
    <cellStyle name="Normal 3 3 2 2 2 2" xfId="4442" xr:uid="{00000000-0005-0000-0000-000044660000}"/>
    <cellStyle name="Normal 3 3 2 2 2 2 2" xfId="29670" xr:uid="{00000000-0005-0000-0000-000045660000}"/>
    <cellStyle name="Normal 3 3 2 2 2 2 2 2" xfId="33427" xr:uid="{00000000-0005-0000-0000-000046660000}"/>
    <cellStyle name="Normal 3 3 2 2 2 2 2 2 2" xfId="13944" xr:uid="{00000000-0005-0000-0000-000047660000}"/>
    <cellStyle name="Normal 3 3 2 2 2 2 2 2 2 2" xfId="26620" xr:uid="{00000000-0005-0000-0000-000048660000}"/>
    <cellStyle name="Normal 3 3 2 2 2 2 2 2 2 2 2" xfId="18956" xr:uid="{00000000-0005-0000-0000-000049660000}"/>
    <cellStyle name="Normal 3 3 2 2 2 2 2 2 2 3" xfId="33856" xr:uid="{00000000-0005-0000-0000-00004A660000}"/>
    <cellStyle name="Normal 3 3 2 2 2 2 2 2 3" xfId="13954" xr:uid="{00000000-0005-0000-0000-00004B660000}"/>
    <cellStyle name="Normal 3 3 2 2 2 2 2 2 3 2" xfId="12050" xr:uid="{00000000-0005-0000-0000-00004C660000}"/>
    <cellStyle name="Normal 3 3 2 2 2 2 2 2 4" xfId="29639" xr:uid="{00000000-0005-0000-0000-00004D660000}"/>
    <cellStyle name="Normal 3 3 2 2 2 2 2 3" xfId="7353" xr:uid="{00000000-0005-0000-0000-00004E660000}"/>
    <cellStyle name="Normal 3 3 2 2 2 2 2 3 2" xfId="5771" xr:uid="{00000000-0005-0000-0000-00004F660000}"/>
    <cellStyle name="Normal 3 3 2 2 2 2 2 3 2 2" xfId="25495" xr:uid="{00000000-0005-0000-0000-000050660000}"/>
    <cellStyle name="Normal 3 3 2 2 2 2 2 3 3" xfId="28085" xr:uid="{00000000-0005-0000-0000-000051660000}"/>
    <cellStyle name="Normal 3 3 2 2 2 2 2 4" xfId="17117" xr:uid="{00000000-0005-0000-0000-000052660000}"/>
    <cellStyle name="Normal 3 3 2 2 2 2 2 4 2" xfId="31747" xr:uid="{00000000-0005-0000-0000-000053660000}"/>
    <cellStyle name="Normal 3 3 2 2 2 2 2 5" xfId="17122" xr:uid="{00000000-0005-0000-0000-000054660000}"/>
    <cellStyle name="Normal 3 3 2 2 2 2 3" xfId="33352" xr:uid="{00000000-0005-0000-0000-000055660000}"/>
    <cellStyle name="Normal 3 3 2 2 2 2 3 2" xfId="28094" xr:uid="{00000000-0005-0000-0000-000056660000}"/>
    <cellStyle name="Normal 3 3 2 2 2 2 3 2 2" xfId="13995" xr:uid="{00000000-0005-0000-0000-000057660000}"/>
    <cellStyle name="Normal 3 3 2 2 2 2 3 2 2 2" xfId="28095" xr:uid="{00000000-0005-0000-0000-000058660000}"/>
    <cellStyle name="Normal 3 3 2 2 2 2 3 2 3" xfId="28099" xr:uid="{00000000-0005-0000-0000-000059660000}"/>
    <cellStyle name="Normal 3 3 2 2 2 2 3 3" xfId="7357" xr:uid="{00000000-0005-0000-0000-00005A660000}"/>
    <cellStyle name="Normal 3 3 2 2 2 2 3 3 2" xfId="25337" xr:uid="{00000000-0005-0000-0000-00005B660000}"/>
    <cellStyle name="Normal 3 3 2 2 2 2 3 4" xfId="9490" xr:uid="{00000000-0005-0000-0000-00005C660000}"/>
    <cellStyle name="Normal 3 3 2 2 2 2 4" xfId="24034" xr:uid="{00000000-0005-0000-0000-00005D660000}"/>
    <cellStyle name="Normal 3 3 2 2 2 2 4 2" xfId="28110" xr:uid="{00000000-0005-0000-0000-00005E660000}"/>
    <cellStyle name="Normal 3 3 2 2 2 2 4 2 2" xfId="30772" xr:uid="{00000000-0005-0000-0000-00005F660000}"/>
    <cellStyle name="Normal 3 3 2 2 2 2 4 3" xfId="28113" xr:uid="{00000000-0005-0000-0000-000060660000}"/>
    <cellStyle name="Normal 3 3 2 2 2 2 5" xfId="23671" xr:uid="{00000000-0005-0000-0000-000061660000}"/>
    <cellStyle name="Normal 3 3 2 2 2 2 5 2" xfId="5266" xr:uid="{00000000-0005-0000-0000-000062660000}"/>
    <cellStyle name="Normal 3 3 2 2 2 2 6" xfId="23686" xr:uid="{00000000-0005-0000-0000-000063660000}"/>
    <cellStyle name="Normal 3 3 2 2 2 3" xfId="33324" xr:uid="{00000000-0005-0000-0000-000064660000}"/>
    <cellStyle name="Normal 3 3 2 2 2 3 2" xfId="33536" xr:uid="{00000000-0005-0000-0000-000065660000}"/>
    <cellStyle name="Normal 3 3 2 2 2 3 2 2" xfId="33866" xr:uid="{00000000-0005-0000-0000-000066660000}"/>
    <cellStyle name="Normal 3 3 2 2 2 3 2 2 2" xfId="14105" xr:uid="{00000000-0005-0000-0000-000067660000}"/>
    <cellStyle name="Normal 3 3 2 2 2 3 2 2 2 2" xfId="2730" xr:uid="{00000000-0005-0000-0000-000068660000}"/>
    <cellStyle name="Normal 3 3 2 2 2 3 2 2 3" xfId="16610" xr:uid="{00000000-0005-0000-0000-000069660000}"/>
    <cellStyle name="Normal 3 3 2 2 2 3 2 3" xfId="7368" xr:uid="{00000000-0005-0000-0000-00006A660000}"/>
    <cellStyle name="Normal 3 3 2 2 2 3 2 3 2" xfId="27297" xr:uid="{00000000-0005-0000-0000-00006B660000}"/>
    <cellStyle name="Normal 3 3 2 2 2 3 2 4" xfId="17138" xr:uid="{00000000-0005-0000-0000-00006C660000}"/>
    <cellStyle name="Normal 3 3 2 2 2 3 3" xfId="28118" xr:uid="{00000000-0005-0000-0000-00006D660000}"/>
    <cellStyle name="Normal 3 3 2 2 2 3 3 2" xfId="24506" xr:uid="{00000000-0005-0000-0000-00006E660000}"/>
    <cellStyle name="Normal 3 3 2 2 2 3 3 2 2" xfId="16959" xr:uid="{00000000-0005-0000-0000-00006F660000}"/>
    <cellStyle name="Normal 3 3 2 2 2 3 3 3" xfId="31638" xr:uid="{00000000-0005-0000-0000-000070660000}"/>
    <cellStyle name="Normal 3 3 2 2 2 3 4" xfId="28122" xr:uid="{00000000-0005-0000-0000-000071660000}"/>
    <cellStyle name="Normal 3 3 2 2 2 3 4 2" xfId="28123" xr:uid="{00000000-0005-0000-0000-000072660000}"/>
    <cellStyle name="Normal 3 3 2 2 2 3 5" xfId="9135" xr:uid="{00000000-0005-0000-0000-000073660000}"/>
    <cellStyle name="Normal 3 3 2 2 2 4" xfId="31313" xr:uid="{00000000-0005-0000-0000-000074660000}"/>
    <cellStyle name="Normal 3 3 2 2 2 4 2" xfId="28124" xr:uid="{00000000-0005-0000-0000-000075660000}"/>
    <cellStyle name="Normal 3 3 2 2 2 4 2 2" xfId="32719" xr:uid="{00000000-0005-0000-0000-000076660000}"/>
    <cellStyle name="Normal 3 3 2 2 2 4 2 2 2" xfId="26479" xr:uid="{00000000-0005-0000-0000-000077660000}"/>
    <cellStyle name="Normal 3 3 2 2 2 4 2 3" xfId="31750" xr:uid="{00000000-0005-0000-0000-000078660000}"/>
    <cellStyle name="Normal 3 3 2 2 2 4 3" xfId="24084" xr:uid="{00000000-0005-0000-0000-000079660000}"/>
    <cellStyle name="Normal 3 3 2 2 2 4 3 2" xfId="28125" xr:uid="{00000000-0005-0000-0000-00007A660000}"/>
    <cellStyle name="Normal 3 3 2 2 2 4 4" xfId="28128" xr:uid="{00000000-0005-0000-0000-00007B660000}"/>
    <cellStyle name="Normal 3 3 2 2 2 5" xfId="31509" xr:uid="{00000000-0005-0000-0000-00007C660000}"/>
    <cellStyle name="Normal 3 3 2 2 2 5 2" xfId="25923" xr:uid="{00000000-0005-0000-0000-00007D660000}"/>
    <cellStyle name="Normal 3 3 2 2 2 5 2 2" xfId="26189" xr:uid="{00000000-0005-0000-0000-00007E660000}"/>
    <cellStyle name="Normal 3 3 2 2 2 5 3" xfId="20312" xr:uid="{00000000-0005-0000-0000-00007F660000}"/>
    <cellStyle name="Normal 3 3 2 2 2 6" xfId="30515" xr:uid="{00000000-0005-0000-0000-000080660000}"/>
    <cellStyle name="Normal 3 3 2 2 2 6 2" xfId="22080" xr:uid="{00000000-0005-0000-0000-000081660000}"/>
    <cellStyle name="Normal 3 3 2 2 2 7" xfId="26136" xr:uid="{00000000-0005-0000-0000-000082660000}"/>
    <cellStyle name="Normal 3 3 2 2 3" xfId="19186" xr:uid="{00000000-0005-0000-0000-000083660000}"/>
    <cellStyle name="Normal 3 3 2 2 3 2" xfId="33475" xr:uid="{00000000-0005-0000-0000-000084660000}"/>
    <cellStyle name="Normal 3 3 2 2 3 2 2" xfId="33557" xr:uid="{00000000-0005-0000-0000-000085660000}"/>
    <cellStyle name="Normal 3 3 2 2 3 2 2 2" xfId="17487" xr:uid="{00000000-0005-0000-0000-000086660000}"/>
    <cellStyle name="Normal 3 3 2 2 3 2 2 2 2" xfId="5894" xr:uid="{00000000-0005-0000-0000-000087660000}"/>
    <cellStyle name="Normal 3 3 2 2 3 2 2 2 2 2" xfId="28132" xr:uid="{00000000-0005-0000-0000-000088660000}"/>
    <cellStyle name="Normal 3 3 2 2 3 2 2 2 3" xfId="5899" xr:uid="{00000000-0005-0000-0000-000089660000}"/>
    <cellStyle name="Normal 3 3 2 2 3 2 2 3" xfId="7403" xr:uid="{00000000-0005-0000-0000-00008A660000}"/>
    <cellStyle name="Normal 3 3 2 2 3 2 2 3 2" xfId="5908" xr:uid="{00000000-0005-0000-0000-00008B660000}"/>
    <cellStyle name="Normal 3 3 2 2 3 2 2 4" xfId="17158" xr:uid="{00000000-0005-0000-0000-00008C660000}"/>
    <cellStyle name="Normal 3 3 2 2 3 2 3" xfId="24127" xr:uid="{00000000-0005-0000-0000-00008D660000}"/>
    <cellStyle name="Normal 3 3 2 2 3 2 3 2" xfId="28140" xr:uid="{00000000-0005-0000-0000-00008E660000}"/>
    <cellStyle name="Normal 3 3 2 2 3 2 3 2 2" xfId="5919" xr:uid="{00000000-0005-0000-0000-00008F660000}"/>
    <cellStyle name="Normal 3 3 2 2 3 2 3 3" xfId="28141" xr:uid="{00000000-0005-0000-0000-000090660000}"/>
    <cellStyle name="Normal 3 3 2 2 3 2 4" xfId="28144" xr:uid="{00000000-0005-0000-0000-000091660000}"/>
    <cellStyle name="Normal 3 3 2 2 3 2 4 2" xfId="33532" xr:uid="{00000000-0005-0000-0000-000092660000}"/>
    <cellStyle name="Normal 3 3 2 2 3 2 5" xfId="21819" xr:uid="{00000000-0005-0000-0000-000093660000}"/>
    <cellStyle name="Normal 3 3 2 2 3 3" xfId="7686" xr:uid="{00000000-0005-0000-0000-000094660000}"/>
    <cellStyle name="Normal 3 3 2 2 3 3 2" xfId="28153" xr:uid="{00000000-0005-0000-0000-000095660000}"/>
    <cellStyle name="Normal 3 3 2 2 3 3 2 2" xfId="28157" xr:uid="{00000000-0005-0000-0000-000096660000}"/>
    <cellStyle name="Normal 3 3 2 2 3 3 2 2 2" xfId="5927" xr:uid="{00000000-0005-0000-0000-000097660000}"/>
    <cellStyle name="Normal 3 3 2 2 3 3 2 3" xfId="28160" xr:uid="{00000000-0005-0000-0000-000098660000}"/>
    <cellStyle name="Normal 3 3 2 2 3 3 3" xfId="29135" xr:uid="{00000000-0005-0000-0000-000099660000}"/>
    <cellStyle name="Normal 3 3 2 2 3 3 3 2" xfId="31433" xr:uid="{00000000-0005-0000-0000-00009A660000}"/>
    <cellStyle name="Normal 3 3 2 2 3 3 4" xfId="28166" xr:uid="{00000000-0005-0000-0000-00009B660000}"/>
    <cellStyle name="Normal 3 3 2 2 3 4" xfId="12672" xr:uid="{00000000-0005-0000-0000-00009C660000}"/>
    <cellStyle name="Normal 3 3 2 2 3 4 2" xfId="31726" xr:uid="{00000000-0005-0000-0000-00009D660000}"/>
    <cellStyle name="Normal 3 3 2 2 3 4 2 2" xfId="24659" xr:uid="{00000000-0005-0000-0000-00009E660000}"/>
    <cellStyle name="Normal 3 3 2 2 3 4 3" xfId="22382" xr:uid="{00000000-0005-0000-0000-00009F660000}"/>
    <cellStyle name="Normal 3 3 2 2 3 5" xfId="5757" xr:uid="{00000000-0005-0000-0000-0000A0660000}"/>
    <cellStyle name="Normal 3 3 2 2 3 5 2" xfId="29863" xr:uid="{00000000-0005-0000-0000-0000A1660000}"/>
    <cellStyle name="Normal 3 3 2 2 3 6" xfId="30786" xr:uid="{00000000-0005-0000-0000-0000A2660000}"/>
    <cellStyle name="Normal 3 3 2 2 4" xfId="12460" xr:uid="{00000000-0005-0000-0000-0000A3660000}"/>
    <cellStyle name="Normal 3 3 2 2 4 2" xfId="33302" xr:uid="{00000000-0005-0000-0000-0000A4660000}"/>
    <cellStyle name="Normal 3 3 2 2 4 2 2" xfId="33984" xr:uid="{00000000-0005-0000-0000-0000A5660000}"/>
    <cellStyle name="Normal 3 3 2 2 4 2 2 2" xfId="28172" xr:uid="{00000000-0005-0000-0000-0000A6660000}"/>
    <cellStyle name="Normal 3 3 2 2 4 2 2 2 2" xfId="1518" xr:uid="{00000000-0005-0000-0000-0000A7660000}"/>
    <cellStyle name="Normal 3 3 2 2 4 2 2 3" xfId="28178" xr:uid="{00000000-0005-0000-0000-0000A8660000}"/>
    <cellStyle name="Normal 3 3 2 2 4 2 3" xfId="28179" xr:uid="{00000000-0005-0000-0000-0000A9660000}"/>
    <cellStyle name="Normal 3 3 2 2 4 2 3 2" xfId="28182" xr:uid="{00000000-0005-0000-0000-0000AA660000}"/>
    <cellStyle name="Normal 3 3 2 2 4 2 4" xfId="24212" xr:uid="{00000000-0005-0000-0000-0000AB660000}"/>
    <cellStyle name="Normal 3 3 2 2 4 3" xfId="12686" xr:uid="{00000000-0005-0000-0000-0000AC660000}"/>
    <cellStyle name="Normal 3 3 2 2 4 3 2" xfId="31598" xr:uid="{00000000-0005-0000-0000-0000AD660000}"/>
    <cellStyle name="Normal 3 3 2 2 4 3 2 2" xfId="31600" xr:uid="{00000000-0005-0000-0000-0000AE660000}"/>
    <cellStyle name="Normal 3 3 2 2 4 3 3" xfId="31926" xr:uid="{00000000-0005-0000-0000-0000AF660000}"/>
    <cellStyle name="Normal 3 3 2 2 4 4" xfId="14121" xr:uid="{00000000-0005-0000-0000-0000B0660000}"/>
    <cellStyle name="Normal 3 3 2 2 4 4 2" xfId="22329" xr:uid="{00000000-0005-0000-0000-0000B1660000}"/>
    <cellStyle name="Normal 3 3 2 2 4 5" xfId="21140" xr:uid="{00000000-0005-0000-0000-0000B2660000}"/>
    <cellStyle name="Normal 3 3 2 2 5" xfId="27278" xr:uid="{00000000-0005-0000-0000-0000B3660000}"/>
    <cellStyle name="Normal 3 3 2 2 5 2" xfId="26909" xr:uid="{00000000-0005-0000-0000-0000B4660000}"/>
    <cellStyle name="Normal 3 3 2 2 5 2 2" xfId="25259" xr:uid="{00000000-0005-0000-0000-0000B5660000}"/>
    <cellStyle name="Normal 3 3 2 2 5 2 2 2" xfId="28187" xr:uid="{00000000-0005-0000-0000-0000B6660000}"/>
    <cellStyle name="Normal 3 3 2 2 5 2 3" xfId="24240" xr:uid="{00000000-0005-0000-0000-0000B7660000}"/>
    <cellStyle name="Normal 3 3 2 2 5 3" xfId="22864" xr:uid="{00000000-0005-0000-0000-0000B8660000}"/>
    <cellStyle name="Normal 3 3 2 2 5 3 2" xfId="24253" xr:uid="{00000000-0005-0000-0000-0000B9660000}"/>
    <cellStyle name="Normal 3 3 2 2 5 4" xfId="197" xr:uid="{00000000-0005-0000-0000-0000BA660000}"/>
    <cellStyle name="Normal 3 3 2 2 6" xfId="20650" xr:uid="{00000000-0005-0000-0000-0000BB660000}"/>
    <cellStyle name="Normal 3 3 2 2 6 2" xfId="29146" xr:uid="{00000000-0005-0000-0000-0000BC660000}"/>
    <cellStyle name="Normal 3 3 2 2 6 2 2" xfId="5164" xr:uid="{00000000-0005-0000-0000-0000BD660000}"/>
    <cellStyle name="Normal 3 3 2 2 6 3" xfId="17745" xr:uid="{00000000-0005-0000-0000-0000BE660000}"/>
    <cellStyle name="Normal 3 3 2 2 7" xfId="19502" xr:uid="{00000000-0005-0000-0000-0000BF660000}"/>
    <cellStyle name="Normal 3 3 2 2 7 2" xfId="17768" xr:uid="{00000000-0005-0000-0000-0000C0660000}"/>
    <cellStyle name="Normal 3 3 2 2 8" xfId="20659" xr:uid="{00000000-0005-0000-0000-0000C1660000}"/>
    <cellStyle name="Normal 3 3 2 3" xfId="33177" xr:uid="{00000000-0005-0000-0000-0000C2660000}"/>
    <cellStyle name="Normal 3 3 2 3 2" xfId="22083" xr:uid="{00000000-0005-0000-0000-0000C3660000}"/>
    <cellStyle name="Normal 3 3 2 3 2 2" xfId="22563" xr:uid="{00000000-0005-0000-0000-0000C4660000}"/>
    <cellStyle name="Normal 3 3 2 3 2 2 2" xfId="11337" xr:uid="{00000000-0005-0000-0000-0000C5660000}"/>
    <cellStyle name="Normal 3 3 2 3 2 2 2 2" xfId="11338" xr:uid="{00000000-0005-0000-0000-0000C6660000}"/>
    <cellStyle name="Normal 3 3 2 3 2 2 2 2 2" xfId="28189" xr:uid="{00000000-0005-0000-0000-0000C7660000}"/>
    <cellStyle name="Normal 3 3 2 3 2 2 2 2 2 2" xfId="21408" xr:uid="{00000000-0005-0000-0000-0000C8660000}"/>
    <cellStyle name="Normal 3 3 2 3 2 2 2 2 3" xfId="28192" xr:uid="{00000000-0005-0000-0000-0000C9660000}"/>
    <cellStyle name="Normal 3 3 2 3 2 2 2 3" xfId="5949" xr:uid="{00000000-0005-0000-0000-0000CA660000}"/>
    <cellStyle name="Normal 3 3 2 3 2 2 2 3 2" xfId="28194" xr:uid="{00000000-0005-0000-0000-0000CB660000}"/>
    <cellStyle name="Normal 3 3 2 3 2 2 2 4" xfId="3752" xr:uid="{00000000-0005-0000-0000-0000CC660000}"/>
    <cellStyle name="Normal 3 3 2 3 2 2 3" xfId="11343" xr:uid="{00000000-0005-0000-0000-0000CD660000}"/>
    <cellStyle name="Normal 3 3 2 3 2 2 3 2" xfId="4025" xr:uid="{00000000-0005-0000-0000-0000CE660000}"/>
    <cellStyle name="Normal 3 3 2 3 2 2 3 2 2" xfId="4038" xr:uid="{00000000-0005-0000-0000-0000CF660000}"/>
    <cellStyle name="Normal 3 3 2 3 2 2 3 3" xfId="3093" xr:uid="{00000000-0005-0000-0000-0000D0660000}"/>
    <cellStyle name="Normal 3 3 2 3 2 2 4" xfId="15895" xr:uid="{00000000-0005-0000-0000-0000D1660000}"/>
    <cellStyle name="Normal 3 3 2 3 2 2 4 2" xfId="35" xr:uid="{00000000-0005-0000-0000-0000D2660000}"/>
    <cellStyle name="Normal 3 3 2 3 2 2 5" xfId="9297" xr:uid="{00000000-0005-0000-0000-0000D3660000}"/>
    <cellStyle name="Normal 3 3 2 3 2 3" xfId="31655" xr:uid="{00000000-0005-0000-0000-0000D4660000}"/>
    <cellStyle name="Normal 3 3 2 3 2 3 2" xfId="11354" xr:uid="{00000000-0005-0000-0000-0000D5660000}"/>
    <cellStyle name="Normal 3 3 2 3 2 3 2 2" xfId="26718" xr:uid="{00000000-0005-0000-0000-0000D6660000}"/>
    <cellStyle name="Normal 3 3 2 3 2 3 2 2 2" xfId="26801" xr:uid="{00000000-0005-0000-0000-0000D7660000}"/>
    <cellStyle name="Normal 3 3 2 3 2 3 2 3" xfId="31275" xr:uid="{00000000-0005-0000-0000-0000D8660000}"/>
    <cellStyle name="Normal 3 3 2 3 2 3 3" xfId="30055" xr:uid="{00000000-0005-0000-0000-0000D9660000}"/>
    <cellStyle name="Normal 3 3 2 3 2 3 3 2" xfId="5870" xr:uid="{00000000-0005-0000-0000-0000DA660000}"/>
    <cellStyle name="Normal 3 3 2 3 2 3 4" xfId="9306" xr:uid="{00000000-0005-0000-0000-0000DB660000}"/>
    <cellStyle name="Normal 3 3 2 3 2 4" xfId="28197" xr:uid="{00000000-0005-0000-0000-0000DC660000}"/>
    <cellStyle name="Normal 3 3 2 3 2 4 2" xfId="31674" xr:uid="{00000000-0005-0000-0000-0000DD660000}"/>
    <cellStyle name="Normal 3 3 2 3 2 4 2 2" xfId="32116" xr:uid="{00000000-0005-0000-0000-0000DE660000}"/>
    <cellStyle name="Normal 3 3 2 3 2 4 3" xfId="20954" xr:uid="{00000000-0005-0000-0000-0000DF660000}"/>
    <cellStyle name="Normal 3 3 2 3 2 5" xfId="21864" xr:uid="{00000000-0005-0000-0000-0000E0660000}"/>
    <cellStyle name="Normal 3 3 2 3 2 5 2" xfId="27761" xr:uid="{00000000-0005-0000-0000-0000E1660000}"/>
    <cellStyle name="Normal 3 3 2 3 2 6" xfId="32598" xr:uid="{00000000-0005-0000-0000-0000E2660000}"/>
    <cellStyle name="Normal 3 3 2 3 3" xfId="32768" xr:uid="{00000000-0005-0000-0000-0000E3660000}"/>
    <cellStyle name="Normal 3 3 2 3 3 2" xfId="28199" xr:uid="{00000000-0005-0000-0000-0000E4660000}"/>
    <cellStyle name="Normal 3 3 2 3 3 2 2" xfId="11398" xr:uid="{00000000-0005-0000-0000-0000E5660000}"/>
    <cellStyle name="Normal 3 3 2 3 3 2 2 2" xfId="20413" xr:uid="{00000000-0005-0000-0000-0000E6660000}"/>
    <cellStyle name="Normal 3 3 2 3 3 2 2 2 2" xfId="30730" xr:uid="{00000000-0005-0000-0000-0000E7660000}"/>
    <cellStyle name="Normal 3 3 2 3 3 2 2 3" xfId="30738" xr:uid="{00000000-0005-0000-0000-0000E8660000}"/>
    <cellStyle name="Normal 3 3 2 3 3 2 3" xfId="24334" xr:uid="{00000000-0005-0000-0000-0000E9660000}"/>
    <cellStyle name="Normal 3 3 2 3 3 2 3 2" xfId="4554" xr:uid="{00000000-0005-0000-0000-0000EA660000}"/>
    <cellStyle name="Normal 3 3 2 3 3 2 4" xfId="9324" xr:uid="{00000000-0005-0000-0000-0000EB660000}"/>
    <cellStyle name="Normal 3 3 2 3 3 3" xfId="26886" xr:uid="{00000000-0005-0000-0000-0000EC660000}"/>
    <cellStyle name="Normal 3 3 2 3 3 3 2" xfId="32131" xr:uid="{00000000-0005-0000-0000-0000ED660000}"/>
    <cellStyle name="Normal 3 3 2 3 3 3 2 2" xfId="33800" xr:uid="{00000000-0005-0000-0000-0000EE660000}"/>
    <cellStyle name="Normal 3 3 2 3 3 3 3" xfId="30218" xr:uid="{00000000-0005-0000-0000-0000EF660000}"/>
    <cellStyle name="Normal 3 3 2 3 3 4" xfId="29784" xr:uid="{00000000-0005-0000-0000-0000F0660000}"/>
    <cellStyle name="Normal 3 3 2 3 3 4 2" xfId="33049" xr:uid="{00000000-0005-0000-0000-0000F1660000}"/>
    <cellStyle name="Normal 3 3 2 3 3 5" xfId="7751" xr:uid="{00000000-0005-0000-0000-0000F2660000}"/>
    <cellStyle name="Normal 3 3 2 3 4" xfId="29558" xr:uid="{00000000-0005-0000-0000-0000F3660000}"/>
    <cellStyle name="Normal 3 3 2 3 4 2" xfId="29050" xr:uid="{00000000-0005-0000-0000-0000F4660000}"/>
    <cellStyle name="Normal 3 3 2 3 4 2 2" xfId="26195" xr:uid="{00000000-0005-0000-0000-0000F5660000}"/>
    <cellStyle name="Normal 3 3 2 3 4 2 2 2" xfId="28201" xr:uid="{00000000-0005-0000-0000-0000F6660000}"/>
    <cellStyle name="Normal 3 3 2 3 4 2 3" xfId="26438" xr:uid="{00000000-0005-0000-0000-0000F7660000}"/>
    <cellStyle name="Normal 3 3 2 3 4 3" xfId="12688" xr:uid="{00000000-0005-0000-0000-0000F8660000}"/>
    <cellStyle name="Normal 3 3 2 3 4 3 2" xfId="31741" xr:uid="{00000000-0005-0000-0000-0000F9660000}"/>
    <cellStyle name="Normal 3 3 2 3 4 4" xfId="30612" xr:uid="{00000000-0005-0000-0000-0000FA660000}"/>
    <cellStyle name="Normal 3 3 2 3 5" xfId="14930" xr:uid="{00000000-0005-0000-0000-0000FB660000}"/>
    <cellStyle name="Normal 3 3 2 3 5 2" xfId="14934" xr:uid="{00000000-0005-0000-0000-0000FC660000}"/>
    <cellStyle name="Normal 3 3 2 3 5 2 2" xfId="26199" xr:uid="{00000000-0005-0000-0000-0000FD660000}"/>
    <cellStyle name="Normal 3 3 2 3 5 3" xfId="14944" xr:uid="{00000000-0005-0000-0000-0000FE660000}"/>
    <cellStyle name="Normal 3 3 2 3 6" xfId="14949" xr:uid="{00000000-0005-0000-0000-0000FF660000}"/>
    <cellStyle name="Normal 3 3 2 3 6 2" xfId="14957" xr:uid="{00000000-0005-0000-0000-000000670000}"/>
    <cellStyle name="Normal 3 3 2 3 7" xfId="15430" xr:uid="{00000000-0005-0000-0000-000001670000}"/>
    <cellStyle name="Normal 3 3 2 4" xfId="19228" xr:uid="{00000000-0005-0000-0000-000002670000}"/>
    <cellStyle name="Normal 3 3 2 4 2" xfId="32427" xr:uid="{00000000-0005-0000-0000-000003670000}"/>
    <cellStyle name="Normal 3 3 2 4 2 2" xfId="1302" xr:uid="{00000000-0005-0000-0000-000004670000}"/>
    <cellStyle name="Normal 3 3 2 4 2 2 2" xfId="15592" xr:uid="{00000000-0005-0000-0000-000005670000}"/>
    <cellStyle name="Normal 3 3 2 4 2 2 2 2" xfId="10905" xr:uid="{00000000-0005-0000-0000-000006670000}"/>
    <cellStyle name="Normal 3 3 2 4 2 2 2 2 2" xfId="25278" xr:uid="{00000000-0005-0000-0000-000007670000}"/>
    <cellStyle name="Normal 3 3 2 4 2 2 2 3" xfId="10658" xr:uid="{00000000-0005-0000-0000-000008670000}"/>
    <cellStyle name="Normal 3 3 2 4 2 2 3" xfId="7152" xr:uid="{00000000-0005-0000-0000-000009670000}"/>
    <cellStyle name="Normal 3 3 2 4 2 2 3 2" xfId="9653" xr:uid="{00000000-0005-0000-0000-00000A670000}"/>
    <cellStyle name="Normal 3 3 2 4 2 2 4" xfId="9355" xr:uid="{00000000-0005-0000-0000-00000B670000}"/>
    <cellStyle name="Normal 3 3 2 4 2 3" xfId="12996" xr:uid="{00000000-0005-0000-0000-00000C670000}"/>
    <cellStyle name="Normal 3 3 2 4 2 3 2" xfId="32324" xr:uid="{00000000-0005-0000-0000-00000D670000}"/>
    <cellStyle name="Normal 3 3 2 4 2 3 2 2" xfId="26924" xr:uid="{00000000-0005-0000-0000-00000E670000}"/>
    <cellStyle name="Normal 3 3 2 4 2 3 3" xfId="24418" xr:uid="{00000000-0005-0000-0000-00000F670000}"/>
    <cellStyle name="Normal 3 3 2 4 2 4" xfId="28206" xr:uid="{00000000-0005-0000-0000-000010670000}"/>
    <cellStyle name="Normal 3 3 2 4 2 4 2" xfId="32337" xr:uid="{00000000-0005-0000-0000-000011670000}"/>
    <cellStyle name="Normal 3 3 2 4 2 5" xfId="21510" xr:uid="{00000000-0005-0000-0000-000012670000}"/>
    <cellStyle name="Normal 3 3 2 4 3" xfId="28213" xr:uid="{00000000-0005-0000-0000-000013670000}"/>
    <cellStyle name="Normal 3 3 2 4 3 2" xfId="28215" xr:uid="{00000000-0005-0000-0000-000014670000}"/>
    <cellStyle name="Normal 3 3 2 4 3 2 2" xfId="25419" xr:uid="{00000000-0005-0000-0000-000015670000}"/>
    <cellStyle name="Normal 3 3 2 4 3 2 2 2" xfId="12513" xr:uid="{00000000-0005-0000-0000-000016670000}"/>
    <cellStyle name="Normal 3 3 2 4 3 2 3" xfId="24446" xr:uid="{00000000-0005-0000-0000-000017670000}"/>
    <cellStyle name="Normal 3 3 2 4 3 3" xfId="28887" xr:uid="{00000000-0005-0000-0000-000018670000}"/>
    <cellStyle name="Normal 3 3 2 4 3 3 2" xfId="32360" xr:uid="{00000000-0005-0000-0000-000019670000}"/>
    <cellStyle name="Normal 3 3 2 4 3 4" xfId="28217" xr:uid="{00000000-0005-0000-0000-00001A670000}"/>
    <cellStyle name="Normal 3 3 2 4 4" xfId="30032" xr:uid="{00000000-0005-0000-0000-00001B670000}"/>
    <cellStyle name="Normal 3 3 2 4 4 2" xfId="28219" xr:uid="{00000000-0005-0000-0000-00001C670000}"/>
    <cellStyle name="Normal 3 3 2 4 4 2 2" xfId="28043" xr:uid="{00000000-0005-0000-0000-00001D670000}"/>
    <cellStyle name="Normal 3 3 2 4 4 3" xfId="28227" xr:uid="{00000000-0005-0000-0000-00001E670000}"/>
    <cellStyle name="Normal 3 3 2 4 5" xfId="10634" xr:uid="{00000000-0005-0000-0000-00001F670000}"/>
    <cellStyle name="Normal 3 3 2 4 5 2" xfId="14978" xr:uid="{00000000-0005-0000-0000-000020670000}"/>
    <cellStyle name="Normal 3 3 2 4 6" xfId="14982" xr:uid="{00000000-0005-0000-0000-000021670000}"/>
    <cellStyle name="Normal 3 3 2 5" xfId="32779" xr:uid="{00000000-0005-0000-0000-000022670000}"/>
    <cellStyle name="Normal 3 3 2 5 2" xfId="28874" xr:uid="{00000000-0005-0000-0000-000023670000}"/>
    <cellStyle name="Normal 3 3 2 5 2 2" xfId="31613" xr:uid="{00000000-0005-0000-0000-000024670000}"/>
    <cellStyle name="Normal 3 3 2 5 2 2 2" xfId="28231" xr:uid="{00000000-0005-0000-0000-000025670000}"/>
    <cellStyle name="Normal 3 3 2 5 2 2 2 2" xfId="25486" xr:uid="{00000000-0005-0000-0000-000026670000}"/>
    <cellStyle name="Normal 3 3 2 5 2 2 3" xfId="24525" xr:uid="{00000000-0005-0000-0000-000027670000}"/>
    <cellStyle name="Normal 3 3 2 5 2 3" xfId="31813" xr:uid="{00000000-0005-0000-0000-000028670000}"/>
    <cellStyle name="Normal 3 3 2 5 2 3 2" xfId="24484" xr:uid="{00000000-0005-0000-0000-000029670000}"/>
    <cellStyle name="Normal 3 3 2 5 2 4" xfId="2341" xr:uid="{00000000-0005-0000-0000-00002A670000}"/>
    <cellStyle name="Normal 3 3 2 5 3" xfId="29286" xr:uid="{00000000-0005-0000-0000-00002B670000}"/>
    <cellStyle name="Normal 3 3 2 5 3 2" xfId="33486" xr:uid="{00000000-0005-0000-0000-00002C670000}"/>
    <cellStyle name="Normal 3 3 2 5 3 2 2" xfId="9313" xr:uid="{00000000-0005-0000-0000-00002D670000}"/>
    <cellStyle name="Normal 3 3 2 5 3 3" xfId="31829" xr:uid="{00000000-0005-0000-0000-00002E670000}"/>
    <cellStyle name="Normal 3 3 2 5 4" xfId="20844" xr:uid="{00000000-0005-0000-0000-00002F670000}"/>
    <cellStyle name="Normal 3 3 2 5 4 2" xfId="29140" xr:uid="{00000000-0005-0000-0000-000030670000}"/>
    <cellStyle name="Normal 3 3 2 5 5" xfId="1698" xr:uid="{00000000-0005-0000-0000-000031670000}"/>
    <cellStyle name="Normal 3 3 2 6" xfId="28249" xr:uid="{00000000-0005-0000-0000-000032670000}"/>
    <cellStyle name="Normal 3 3 2 6 2" xfId="31874" xr:uid="{00000000-0005-0000-0000-000033670000}"/>
    <cellStyle name="Normal 3 3 2 6 2 2" xfId="31989" xr:uid="{00000000-0005-0000-0000-000034670000}"/>
    <cellStyle name="Normal 3 3 2 6 2 2 2" xfId="28252" xr:uid="{00000000-0005-0000-0000-000035670000}"/>
    <cellStyle name="Normal 3 3 2 6 2 3" xfId="33505" xr:uid="{00000000-0005-0000-0000-000036670000}"/>
    <cellStyle name="Normal 3 3 2 6 3" xfId="31467" xr:uid="{00000000-0005-0000-0000-000037670000}"/>
    <cellStyle name="Normal 3 3 2 6 3 2" xfId="31470" xr:uid="{00000000-0005-0000-0000-000038670000}"/>
    <cellStyle name="Normal 3 3 2 6 4" xfId="22125" xr:uid="{00000000-0005-0000-0000-000039670000}"/>
    <cellStyle name="Normal 3 3 2 7" xfId="23532" xr:uid="{00000000-0005-0000-0000-00003A670000}"/>
    <cellStyle name="Normal 3 3 2 7 2" xfId="24454" xr:uid="{00000000-0005-0000-0000-00003B670000}"/>
    <cellStyle name="Normal 3 3 2 7 2 2" xfId="28262" xr:uid="{00000000-0005-0000-0000-00003C670000}"/>
    <cellStyle name="Normal 3 3 2 7 3" xfId="28265" xr:uid="{00000000-0005-0000-0000-00003D670000}"/>
    <cellStyle name="Normal 3 3 2 8" xfId="20056" xr:uid="{00000000-0005-0000-0000-00003E670000}"/>
    <cellStyle name="Normal 3 3 2 8 2" xfId="26028" xr:uid="{00000000-0005-0000-0000-00003F670000}"/>
    <cellStyle name="Normal 3 3 2 9" xfId="16919" xr:uid="{00000000-0005-0000-0000-000040670000}"/>
    <cellStyle name="Normal 3 3 3" xfId="30232" xr:uid="{00000000-0005-0000-0000-000041670000}"/>
    <cellStyle name="Normal 3 3 3 2" xfId="33655" xr:uid="{00000000-0005-0000-0000-000042670000}"/>
    <cellStyle name="Normal 3 3 3 2 2" xfId="19707" xr:uid="{00000000-0005-0000-0000-000043670000}"/>
    <cellStyle name="Normal 3 3 3 2 2 2" xfId="26890" xr:uid="{00000000-0005-0000-0000-000044670000}"/>
    <cellStyle name="Normal 3 3 3 2 2 2 2" xfId="28267" xr:uid="{00000000-0005-0000-0000-000045670000}"/>
    <cellStyle name="Normal 3 3 3 2 2 2 2 2" xfId="27439" xr:uid="{00000000-0005-0000-0000-000046670000}"/>
    <cellStyle name="Normal 3 3 3 2 2 2 2 2 2" xfId="27780" xr:uid="{00000000-0005-0000-0000-000047670000}"/>
    <cellStyle name="Normal 3 3 3 2 2 2 2 2 2 2" xfId="11672" xr:uid="{00000000-0005-0000-0000-000048670000}"/>
    <cellStyle name="Normal 3 3 3 2 2 2 2 2 3" xfId="10878" xr:uid="{00000000-0005-0000-0000-000049670000}"/>
    <cellStyle name="Normal 3 3 3 2 2 2 2 3" xfId="4190" xr:uid="{00000000-0005-0000-0000-00004A670000}"/>
    <cellStyle name="Normal 3 3 3 2 2 2 2 3 2" xfId="13546" xr:uid="{00000000-0005-0000-0000-00004B670000}"/>
    <cellStyle name="Normal 3 3 3 2 2 2 2 4" xfId="12413" xr:uid="{00000000-0005-0000-0000-00004C670000}"/>
    <cellStyle name="Normal 3 3 3 2 2 2 3" xfId="28272" xr:uid="{00000000-0005-0000-0000-00004D670000}"/>
    <cellStyle name="Normal 3 3 3 2 2 2 3 2" xfId="28280" xr:uid="{00000000-0005-0000-0000-00004E670000}"/>
    <cellStyle name="Normal 3 3 3 2 2 2 3 2 2" xfId="28285" xr:uid="{00000000-0005-0000-0000-00004F670000}"/>
    <cellStyle name="Normal 3 3 3 2 2 2 3 3" xfId="25718" xr:uid="{00000000-0005-0000-0000-000050670000}"/>
    <cellStyle name="Normal 3 3 3 2 2 2 4" xfId="26593" xr:uid="{00000000-0005-0000-0000-000051670000}"/>
    <cellStyle name="Normal 3 3 3 2 2 2 4 2" xfId="28293" xr:uid="{00000000-0005-0000-0000-000052670000}"/>
    <cellStyle name="Normal 3 3 3 2 2 2 5" xfId="28139" xr:uid="{00000000-0005-0000-0000-000053670000}"/>
    <cellStyle name="Normal 3 3 3 2 2 3" xfId="32644" xr:uid="{00000000-0005-0000-0000-000054670000}"/>
    <cellStyle name="Normal 3 3 3 2 2 3 2" xfId="23334" xr:uid="{00000000-0005-0000-0000-000055670000}"/>
    <cellStyle name="Normal 3 3 3 2 2 3 2 2" xfId="32391" xr:uid="{00000000-0005-0000-0000-000056670000}"/>
    <cellStyle name="Normal 3 3 3 2 2 3 2 2 2" xfId="29984" xr:uid="{00000000-0005-0000-0000-000057670000}"/>
    <cellStyle name="Normal 3 3 3 2 2 3 2 3" xfId="30029" xr:uid="{00000000-0005-0000-0000-000058670000}"/>
    <cellStyle name="Normal 3 3 3 2 2 3 3" xfId="30323" xr:uid="{00000000-0005-0000-0000-000059670000}"/>
    <cellStyle name="Normal 3 3 3 2 2 3 3 2" xfId="30085" xr:uid="{00000000-0005-0000-0000-00005A670000}"/>
    <cellStyle name="Normal 3 3 3 2 2 3 4" xfId="28300" xr:uid="{00000000-0005-0000-0000-00005B670000}"/>
    <cellStyle name="Normal 3 3 3 2 2 4" xfId="13249" xr:uid="{00000000-0005-0000-0000-00005C670000}"/>
    <cellStyle name="Normal 3 3 3 2 2 4 2" xfId="9671" xr:uid="{00000000-0005-0000-0000-00005D670000}"/>
    <cellStyle name="Normal 3 3 3 2 2 4 2 2" xfId="10622" xr:uid="{00000000-0005-0000-0000-00005E670000}"/>
    <cellStyle name="Normal 3 3 3 2 2 4 3" xfId="9674" xr:uid="{00000000-0005-0000-0000-00005F670000}"/>
    <cellStyle name="Normal 3 3 3 2 2 5" xfId="10650" xr:uid="{00000000-0005-0000-0000-000060670000}"/>
    <cellStyle name="Normal 3 3 3 2 2 5 2" xfId="25970" xr:uid="{00000000-0005-0000-0000-000061670000}"/>
    <cellStyle name="Normal 3 3 3 2 2 6" xfId="10669" xr:uid="{00000000-0005-0000-0000-000062670000}"/>
    <cellStyle name="Normal 3 3 3 2 3" xfId="22495" xr:uid="{00000000-0005-0000-0000-000063670000}"/>
    <cellStyle name="Normal 3 3 3 2 3 2" xfId="29959" xr:uid="{00000000-0005-0000-0000-000064670000}"/>
    <cellStyle name="Normal 3 3 3 2 3 2 2" xfId="21906" xr:uid="{00000000-0005-0000-0000-000065670000}"/>
    <cellStyle name="Normal 3 3 3 2 3 2 2 2" xfId="28301" xr:uid="{00000000-0005-0000-0000-000066670000}"/>
    <cellStyle name="Normal 3 3 3 2 3 2 2 2 2" xfId="24684" xr:uid="{00000000-0005-0000-0000-000067670000}"/>
    <cellStyle name="Normal 3 3 3 2 3 2 2 3" xfId="28315" xr:uid="{00000000-0005-0000-0000-000068670000}"/>
    <cellStyle name="Normal 3 3 3 2 3 2 3" xfId="28319" xr:uid="{00000000-0005-0000-0000-000069670000}"/>
    <cellStyle name="Normal 3 3 3 2 3 2 3 2" xfId="26111" xr:uid="{00000000-0005-0000-0000-00006A670000}"/>
    <cellStyle name="Normal 3 3 3 2 3 2 4" xfId="28320" xr:uid="{00000000-0005-0000-0000-00006B670000}"/>
    <cellStyle name="Normal 3 3 3 2 3 3" xfId="12786" xr:uid="{00000000-0005-0000-0000-00006C670000}"/>
    <cellStyle name="Normal 3 3 3 2 3 3 2" xfId="28835" xr:uid="{00000000-0005-0000-0000-00006D670000}"/>
    <cellStyle name="Normal 3 3 3 2 3 3 2 2" xfId="32817" xr:uid="{00000000-0005-0000-0000-00006E670000}"/>
    <cellStyle name="Normal 3 3 3 2 3 3 3" xfId="28327" xr:uid="{00000000-0005-0000-0000-00006F670000}"/>
    <cellStyle name="Normal 3 3 3 2 3 4" xfId="12788" xr:uid="{00000000-0005-0000-0000-000070670000}"/>
    <cellStyle name="Normal 3 3 3 2 3 4 2" xfId="9687" xr:uid="{00000000-0005-0000-0000-000071670000}"/>
    <cellStyle name="Normal 3 3 3 2 3 5" xfId="10780" xr:uid="{00000000-0005-0000-0000-000072670000}"/>
    <cellStyle name="Normal 3 3 3 2 4" xfId="31299" xr:uid="{00000000-0005-0000-0000-000073670000}"/>
    <cellStyle name="Normal 3 3 3 2 4 2" xfId="32906" xr:uid="{00000000-0005-0000-0000-000074670000}"/>
    <cellStyle name="Normal 3 3 3 2 4 2 2" xfId="29489" xr:uid="{00000000-0005-0000-0000-000075670000}"/>
    <cellStyle name="Normal 3 3 3 2 4 2 2 2" xfId="28330" xr:uid="{00000000-0005-0000-0000-000076670000}"/>
    <cellStyle name="Normal 3 3 3 2 4 2 3" xfId="28337" xr:uid="{00000000-0005-0000-0000-000077670000}"/>
    <cellStyle name="Normal 3 3 3 2 4 3" xfId="12796" xr:uid="{00000000-0005-0000-0000-000078670000}"/>
    <cellStyle name="Normal 3 3 3 2 4 3 2" xfId="33720" xr:uid="{00000000-0005-0000-0000-000079670000}"/>
    <cellStyle name="Normal 3 3 3 2 4 4" xfId="6236" xr:uid="{00000000-0005-0000-0000-00007A670000}"/>
    <cellStyle name="Normal 3 3 3 2 5" xfId="31307" xr:uid="{00000000-0005-0000-0000-00007B670000}"/>
    <cellStyle name="Normal 3 3 3 2 5 2" xfId="26919" xr:uid="{00000000-0005-0000-0000-00007C670000}"/>
    <cellStyle name="Normal 3 3 3 2 5 2 2" xfId="26921" xr:uid="{00000000-0005-0000-0000-00007D670000}"/>
    <cellStyle name="Normal 3 3 3 2 5 3" xfId="26281" xr:uid="{00000000-0005-0000-0000-00007E670000}"/>
    <cellStyle name="Normal 3 3 3 2 6" xfId="20694" xr:uid="{00000000-0005-0000-0000-00007F670000}"/>
    <cellStyle name="Normal 3 3 3 2 6 2" xfId="22273" xr:uid="{00000000-0005-0000-0000-000080670000}"/>
    <cellStyle name="Normal 3 3 3 2 7" xfId="20701" xr:uid="{00000000-0005-0000-0000-000081670000}"/>
    <cellStyle name="Normal 3 3 3 3" xfId="30386" xr:uid="{00000000-0005-0000-0000-000082670000}"/>
    <cellStyle name="Normal 3 3 3 3 2" xfId="22505" xr:uid="{00000000-0005-0000-0000-000083670000}"/>
    <cellStyle name="Normal 3 3 3 3 2 2" xfId="29573" xr:uid="{00000000-0005-0000-0000-000084670000}"/>
    <cellStyle name="Normal 3 3 3 3 2 2 2" xfId="5201" xr:uid="{00000000-0005-0000-0000-000085670000}"/>
    <cellStyle name="Normal 3 3 3 3 2 2 2 2" xfId="29514" xr:uid="{00000000-0005-0000-0000-000086670000}"/>
    <cellStyle name="Normal 3 3 3 3 2 2 2 2 2" xfId="28348" xr:uid="{00000000-0005-0000-0000-000087670000}"/>
    <cellStyle name="Normal 3 3 3 3 2 2 2 3" xfId="31916" xr:uid="{00000000-0005-0000-0000-000088670000}"/>
    <cellStyle name="Normal 3 3 3 3 2 2 3" xfId="33001" xr:uid="{00000000-0005-0000-0000-000089670000}"/>
    <cellStyle name="Normal 3 3 3 3 2 2 3 2" xfId="69" xr:uid="{00000000-0005-0000-0000-00008A670000}"/>
    <cellStyle name="Normal 3 3 3 3 2 2 4" xfId="9428" xr:uid="{00000000-0005-0000-0000-00008B670000}"/>
    <cellStyle name="Normal 3 3 3 3 2 3" xfId="30950" xr:uid="{00000000-0005-0000-0000-00008C670000}"/>
    <cellStyle name="Normal 3 3 3 3 2 3 2" xfId="33942" xr:uid="{00000000-0005-0000-0000-00008D670000}"/>
    <cellStyle name="Normal 3 3 3 3 2 3 2 2" xfId="28350" xr:uid="{00000000-0005-0000-0000-00008E670000}"/>
    <cellStyle name="Normal 3 3 3 3 2 3 3" xfId="32126" xr:uid="{00000000-0005-0000-0000-00008F670000}"/>
    <cellStyle name="Normal 3 3 3 3 2 4" xfId="12356" xr:uid="{00000000-0005-0000-0000-000090670000}"/>
    <cellStyle name="Normal 3 3 3 3 2 4 2" xfId="24191" xr:uid="{00000000-0005-0000-0000-000091670000}"/>
    <cellStyle name="Normal 3 3 3 3 2 5" xfId="21888" xr:uid="{00000000-0005-0000-0000-000092670000}"/>
    <cellStyle name="Normal 3 3 3 3 3" xfId="28354" xr:uid="{00000000-0005-0000-0000-000093670000}"/>
    <cellStyle name="Normal 3 3 3 3 3 2" xfId="29524" xr:uid="{00000000-0005-0000-0000-000094670000}"/>
    <cellStyle name="Normal 3 3 3 3 3 2 2" xfId="29526" xr:uid="{00000000-0005-0000-0000-000095670000}"/>
    <cellStyle name="Normal 3 3 3 3 3 2 2 2" xfId="28287" xr:uid="{00000000-0005-0000-0000-000096670000}"/>
    <cellStyle name="Normal 3 3 3 3 3 2 3" xfId="28356" xr:uid="{00000000-0005-0000-0000-000097670000}"/>
    <cellStyle name="Normal 3 3 3 3 3 3" xfId="12800" xr:uid="{00000000-0005-0000-0000-000098670000}"/>
    <cellStyle name="Normal 3 3 3 3 3 3 2" xfId="28360" xr:uid="{00000000-0005-0000-0000-000099670000}"/>
    <cellStyle name="Normal 3 3 3 3 3 4" xfId="12456" xr:uid="{00000000-0005-0000-0000-00009A670000}"/>
    <cellStyle name="Normal 3 3 3 3 4" xfId="9178" xr:uid="{00000000-0005-0000-0000-00009B670000}"/>
    <cellStyle name="Normal 3 3 3 3 4 2" xfId="18303" xr:uid="{00000000-0005-0000-0000-00009C670000}"/>
    <cellStyle name="Normal 3 3 3 3 4 2 2" xfId="4488" xr:uid="{00000000-0005-0000-0000-00009D670000}"/>
    <cellStyle name="Normal 3 3 3 3 4 3" xfId="33063" xr:uid="{00000000-0005-0000-0000-00009E670000}"/>
    <cellStyle name="Normal 3 3 3 3 5" xfId="5197" xr:uid="{00000000-0005-0000-0000-00009F670000}"/>
    <cellStyle name="Normal 3 3 3 3 5 2" xfId="17377" xr:uid="{00000000-0005-0000-0000-0000A0670000}"/>
    <cellStyle name="Normal 3 3 3 3 6" xfId="874" xr:uid="{00000000-0005-0000-0000-0000A1670000}"/>
    <cellStyle name="Normal 3 3 3 4" xfId="31033" xr:uid="{00000000-0005-0000-0000-0000A2670000}"/>
    <cellStyle name="Normal 3 3 3 4 2" xfId="24352" xr:uid="{00000000-0005-0000-0000-0000A3670000}"/>
    <cellStyle name="Normal 3 3 3 4 2 2" xfId="33742" xr:uid="{00000000-0005-0000-0000-0000A4670000}"/>
    <cellStyle name="Normal 3 3 3 4 2 2 2" xfId="5696" xr:uid="{00000000-0005-0000-0000-0000A5670000}"/>
    <cellStyle name="Normal 3 3 3 4 2 2 2 2" xfId="28339" xr:uid="{00000000-0005-0000-0000-0000A6670000}"/>
    <cellStyle name="Normal 3 3 3 4 2 2 3" xfId="28371" xr:uid="{00000000-0005-0000-0000-0000A7670000}"/>
    <cellStyle name="Normal 3 3 3 4 2 3" xfId="33964" xr:uid="{00000000-0005-0000-0000-0000A8670000}"/>
    <cellStyle name="Normal 3 3 3 4 2 3 2" xfId="9024" xr:uid="{00000000-0005-0000-0000-0000A9670000}"/>
    <cellStyle name="Normal 3 3 3 4 2 4" xfId="14432" xr:uid="{00000000-0005-0000-0000-0000AA670000}"/>
    <cellStyle name="Normal 3 3 3 4 3" xfId="26999" xr:uid="{00000000-0005-0000-0000-0000AB670000}"/>
    <cellStyle name="Normal 3 3 3 4 3 2" xfId="22717" xr:uid="{00000000-0005-0000-0000-0000AC670000}"/>
    <cellStyle name="Normal 3 3 3 4 3 2 2" xfId="28376" xr:uid="{00000000-0005-0000-0000-0000AD670000}"/>
    <cellStyle name="Normal 3 3 3 4 3 3" xfId="28379" xr:uid="{00000000-0005-0000-0000-0000AE670000}"/>
    <cellStyle name="Normal 3 3 3 4 4" xfId="1734" xr:uid="{00000000-0005-0000-0000-0000AF670000}"/>
    <cellStyle name="Normal 3 3 3 4 4 2" xfId="28384" xr:uid="{00000000-0005-0000-0000-0000B0670000}"/>
    <cellStyle name="Normal 3 3 3 4 5" xfId="646" xr:uid="{00000000-0005-0000-0000-0000B1670000}"/>
    <cellStyle name="Normal 3 3 3 5" xfId="32002" xr:uid="{00000000-0005-0000-0000-0000B2670000}"/>
    <cellStyle name="Normal 3 3 3 5 2" xfId="29149" xr:uid="{00000000-0005-0000-0000-0000B3670000}"/>
    <cellStyle name="Normal 3 3 3 5 2 2" xfId="29584" xr:uid="{00000000-0005-0000-0000-0000B4670000}"/>
    <cellStyle name="Normal 3 3 3 5 2 2 2" xfId="28392" xr:uid="{00000000-0005-0000-0000-0000B5670000}"/>
    <cellStyle name="Normal 3 3 3 5 2 3" xfId="32183" xr:uid="{00000000-0005-0000-0000-0000B6670000}"/>
    <cellStyle name="Normal 3 3 3 5 3" xfId="31251" xr:uid="{00000000-0005-0000-0000-0000B7670000}"/>
    <cellStyle name="Normal 3 3 3 5 3 2" xfId="25918" xr:uid="{00000000-0005-0000-0000-0000B8670000}"/>
    <cellStyle name="Normal 3 3 3 5 4" xfId="28146" xr:uid="{00000000-0005-0000-0000-0000B9670000}"/>
    <cellStyle name="Normal 3 3 3 6" xfId="32004" xr:uid="{00000000-0005-0000-0000-0000BA670000}"/>
    <cellStyle name="Normal 3 3 3 6 2" xfId="3026" xr:uid="{00000000-0005-0000-0000-0000BB670000}"/>
    <cellStyle name="Normal 3 3 3 6 2 2" xfId="27807" xr:uid="{00000000-0005-0000-0000-0000BC670000}"/>
    <cellStyle name="Normal 3 3 3 6 3" xfId="31472" xr:uid="{00000000-0005-0000-0000-0000BD670000}"/>
    <cellStyle name="Normal 3 3 3 7" xfId="30354" xr:uid="{00000000-0005-0000-0000-0000BE670000}"/>
    <cellStyle name="Normal 3 3 3 7 2" xfId="28397" xr:uid="{00000000-0005-0000-0000-0000BF670000}"/>
    <cellStyle name="Normal 3 3 3 8" xfId="28400" xr:uid="{00000000-0005-0000-0000-0000C0670000}"/>
    <cellStyle name="Normal 3 3 4" xfId="4497" xr:uid="{00000000-0005-0000-0000-0000C1670000}"/>
    <cellStyle name="Normal 3 3 4 2" xfId="1981" xr:uid="{00000000-0005-0000-0000-0000C2670000}"/>
    <cellStyle name="Normal 3 3 4 2 2" xfId="4501" xr:uid="{00000000-0005-0000-0000-0000C3670000}"/>
    <cellStyle name="Normal 3 3 4 2 2 2" xfId="7622" xr:uid="{00000000-0005-0000-0000-0000C4670000}"/>
    <cellStyle name="Normal 3 3 4 2 2 2 2" xfId="23322" xr:uid="{00000000-0005-0000-0000-0000C5670000}"/>
    <cellStyle name="Normal 3 3 4 2 2 2 2 2" xfId="29808" xr:uid="{00000000-0005-0000-0000-0000C6670000}"/>
    <cellStyle name="Normal 3 3 4 2 2 2 2 2 2" xfId="29816" xr:uid="{00000000-0005-0000-0000-0000C7670000}"/>
    <cellStyle name="Normal 3 3 4 2 2 2 2 3" xfId="33453" xr:uid="{00000000-0005-0000-0000-0000C8670000}"/>
    <cellStyle name="Normal 3 3 4 2 2 2 3" xfId="22104" xr:uid="{00000000-0005-0000-0000-0000C9670000}"/>
    <cellStyle name="Normal 3 3 4 2 2 2 3 2" xfId="33550" xr:uid="{00000000-0005-0000-0000-0000CA670000}"/>
    <cellStyle name="Normal 3 3 4 2 2 2 4" xfId="22107" xr:uid="{00000000-0005-0000-0000-0000CB670000}"/>
    <cellStyle name="Normal 3 3 4 2 2 3" xfId="4520" xr:uid="{00000000-0005-0000-0000-0000CC670000}"/>
    <cellStyle name="Normal 3 3 4 2 2 3 2" xfId="33350" xr:uid="{00000000-0005-0000-0000-0000CD670000}"/>
    <cellStyle name="Normal 3 3 4 2 2 3 2 2" xfId="33357" xr:uid="{00000000-0005-0000-0000-0000CE670000}"/>
    <cellStyle name="Normal 3 3 4 2 2 3 3" xfId="16986" xr:uid="{00000000-0005-0000-0000-0000CF670000}"/>
    <cellStyle name="Normal 3 3 4 2 2 4" xfId="5151" xr:uid="{00000000-0005-0000-0000-0000D0670000}"/>
    <cellStyle name="Normal 3 3 4 2 2 4 2" xfId="32673" xr:uid="{00000000-0005-0000-0000-0000D1670000}"/>
    <cellStyle name="Normal 3 3 4 2 2 5" xfId="4549" xr:uid="{00000000-0005-0000-0000-0000D2670000}"/>
    <cellStyle name="Normal 3 3 4 2 3" xfId="4555" xr:uid="{00000000-0005-0000-0000-0000D3670000}"/>
    <cellStyle name="Normal 3 3 4 2 3 2" xfId="4557" xr:uid="{00000000-0005-0000-0000-0000D4670000}"/>
    <cellStyle name="Normal 3 3 4 2 3 2 2" xfId="29604" xr:uid="{00000000-0005-0000-0000-0000D5670000}"/>
    <cellStyle name="Normal 3 3 4 2 3 2 2 2" xfId="24097" xr:uid="{00000000-0005-0000-0000-0000D6670000}"/>
    <cellStyle name="Normal 3 3 4 2 3 2 3" xfId="22134" xr:uid="{00000000-0005-0000-0000-0000D7670000}"/>
    <cellStyle name="Normal 3 3 4 2 3 3" xfId="12839" xr:uid="{00000000-0005-0000-0000-0000D8670000}"/>
    <cellStyle name="Normal 3 3 4 2 3 3 2" xfId="30801" xr:uid="{00000000-0005-0000-0000-0000D9670000}"/>
    <cellStyle name="Normal 3 3 4 2 3 4" xfId="4569" xr:uid="{00000000-0005-0000-0000-0000DA670000}"/>
    <cellStyle name="Normal 3 3 4 2 4" xfId="3120" xr:uid="{00000000-0005-0000-0000-0000DB670000}"/>
    <cellStyle name="Normal 3 3 4 2 4 2" xfId="7637" xr:uid="{00000000-0005-0000-0000-0000DC670000}"/>
    <cellStyle name="Normal 3 3 4 2 4 2 2" xfId="28404" xr:uid="{00000000-0005-0000-0000-0000DD670000}"/>
    <cellStyle name="Normal 3 3 4 2 4 3" xfId="12445" xr:uid="{00000000-0005-0000-0000-0000DE670000}"/>
    <cellStyle name="Normal 3 3 4 2 5" xfId="12850" xr:uid="{00000000-0005-0000-0000-0000DF670000}"/>
    <cellStyle name="Normal 3 3 4 2 5 2" xfId="6759" xr:uid="{00000000-0005-0000-0000-0000E0670000}"/>
    <cellStyle name="Normal 3 3 4 2 6" xfId="12852" xr:uid="{00000000-0005-0000-0000-0000E1670000}"/>
    <cellStyle name="Normal 3 3 4 3" xfId="2276" xr:uid="{00000000-0005-0000-0000-0000E2670000}"/>
    <cellStyle name="Normal 3 3 4 3 2" xfId="4599" xr:uid="{00000000-0005-0000-0000-0000E3670000}"/>
    <cellStyle name="Normal 3 3 4 3 2 2" xfId="7713" xr:uid="{00000000-0005-0000-0000-0000E4670000}"/>
    <cellStyle name="Normal 3 3 4 3 2 2 2" xfId="30397" xr:uid="{00000000-0005-0000-0000-0000E5670000}"/>
    <cellStyle name="Normal 3 3 4 3 2 2 2 2" xfId="30410" xr:uid="{00000000-0005-0000-0000-0000E6670000}"/>
    <cellStyle name="Normal 3 3 4 3 2 2 3" xfId="22178" xr:uid="{00000000-0005-0000-0000-0000E7670000}"/>
    <cellStyle name="Normal 3 3 4 3 2 3" xfId="10718" xr:uid="{00000000-0005-0000-0000-0000E8670000}"/>
    <cellStyle name="Normal 3 3 4 3 2 3 2" xfId="30437" xr:uid="{00000000-0005-0000-0000-0000E9670000}"/>
    <cellStyle name="Normal 3 3 4 3 2 4" xfId="4607" xr:uid="{00000000-0005-0000-0000-0000EA670000}"/>
    <cellStyle name="Normal 3 3 4 3 3" xfId="14996" xr:uid="{00000000-0005-0000-0000-0000EB670000}"/>
    <cellStyle name="Normal 3 3 4 3 3 2" xfId="7722" xr:uid="{00000000-0005-0000-0000-0000EC670000}"/>
    <cellStyle name="Normal 3 3 4 3 3 2 2" xfId="28406" xr:uid="{00000000-0005-0000-0000-0000ED670000}"/>
    <cellStyle name="Normal 3 3 4 3 3 3" xfId="4613" xr:uid="{00000000-0005-0000-0000-0000EE670000}"/>
    <cellStyle name="Normal 3 3 4 3 4" xfId="4616" xr:uid="{00000000-0005-0000-0000-0000EF670000}"/>
    <cellStyle name="Normal 3 3 4 3 4 2" xfId="2425" xr:uid="{00000000-0005-0000-0000-0000F0670000}"/>
    <cellStyle name="Normal 3 3 4 3 5" xfId="12866" xr:uid="{00000000-0005-0000-0000-0000F1670000}"/>
    <cellStyle name="Normal 3 3 4 4" xfId="12174" xr:uid="{00000000-0005-0000-0000-0000F2670000}"/>
    <cellStyle name="Normal 3 3 4 4 2" xfId="4620" xr:uid="{00000000-0005-0000-0000-0000F3670000}"/>
    <cellStyle name="Normal 3 3 4 4 2 2" xfId="8490" xr:uid="{00000000-0005-0000-0000-0000F4670000}"/>
    <cellStyle name="Normal 3 3 4 4 2 2 2" xfId="28679" xr:uid="{00000000-0005-0000-0000-0000F5670000}"/>
    <cellStyle name="Normal 3 3 4 4 2 3" xfId="4622" xr:uid="{00000000-0005-0000-0000-0000F6670000}"/>
    <cellStyle name="Normal 3 3 4 4 3" xfId="4624" xr:uid="{00000000-0005-0000-0000-0000F7670000}"/>
    <cellStyle name="Normal 3 3 4 4 3 2" xfId="4630" xr:uid="{00000000-0005-0000-0000-0000F8670000}"/>
    <cellStyle name="Normal 3 3 4 4 4" xfId="4633" xr:uid="{00000000-0005-0000-0000-0000F9670000}"/>
    <cellStyle name="Normal 3 3 4 5" xfId="4326" xr:uid="{00000000-0005-0000-0000-0000FA670000}"/>
    <cellStyle name="Normal 3 3 4 5 2" xfId="4638" xr:uid="{00000000-0005-0000-0000-0000FB670000}"/>
    <cellStyle name="Normal 3 3 4 5 2 2" xfId="4644" xr:uid="{00000000-0005-0000-0000-0000FC670000}"/>
    <cellStyle name="Normal 3 3 4 5 3" xfId="4647" xr:uid="{00000000-0005-0000-0000-0000FD670000}"/>
    <cellStyle name="Normal 3 3 4 6" xfId="4335" xr:uid="{00000000-0005-0000-0000-0000FE670000}"/>
    <cellStyle name="Normal 3 3 4 6 2" xfId="4653" xr:uid="{00000000-0005-0000-0000-0000FF670000}"/>
    <cellStyle name="Normal 3 3 4 7" xfId="4656" xr:uid="{00000000-0005-0000-0000-000000680000}"/>
    <cellStyle name="Normal 3 3 5" xfId="5471" xr:uid="{00000000-0005-0000-0000-000001680000}"/>
    <cellStyle name="Normal 3 3 5 2" xfId="579" xr:uid="{00000000-0005-0000-0000-000002680000}"/>
    <cellStyle name="Normal 3 3 5 2 2" xfId="4661" xr:uid="{00000000-0005-0000-0000-000003680000}"/>
    <cellStyle name="Normal 3 3 5 2 2 2" xfId="4676" xr:uid="{00000000-0005-0000-0000-000004680000}"/>
    <cellStyle name="Normal 3 3 5 2 2 2 2" xfId="8545" xr:uid="{00000000-0005-0000-0000-000005680000}"/>
    <cellStyle name="Normal 3 3 5 2 2 2 2 2" xfId="28407" xr:uid="{00000000-0005-0000-0000-000006680000}"/>
    <cellStyle name="Normal 3 3 5 2 2 2 3" xfId="22415" xr:uid="{00000000-0005-0000-0000-000007680000}"/>
    <cellStyle name="Normal 3 3 5 2 2 3" xfId="20719" xr:uid="{00000000-0005-0000-0000-000008680000}"/>
    <cellStyle name="Normal 3 3 5 2 2 3 2" xfId="33808" xr:uid="{00000000-0005-0000-0000-000009680000}"/>
    <cellStyle name="Normal 3 3 5 2 2 4" xfId="26374" xr:uid="{00000000-0005-0000-0000-00000A680000}"/>
    <cellStyle name="Normal 3 3 5 2 3" xfId="4694" xr:uid="{00000000-0005-0000-0000-00000B680000}"/>
    <cellStyle name="Normal 3 3 5 2 3 2" xfId="20725" xr:uid="{00000000-0005-0000-0000-00000C680000}"/>
    <cellStyle name="Normal 3 3 5 2 3 2 2" xfId="28408" xr:uid="{00000000-0005-0000-0000-00000D680000}"/>
    <cellStyle name="Normal 3 3 5 2 3 3" xfId="12386" xr:uid="{00000000-0005-0000-0000-00000E680000}"/>
    <cellStyle name="Normal 3 3 5 2 4" xfId="7373" xr:uid="{00000000-0005-0000-0000-00000F680000}"/>
    <cellStyle name="Normal 3 3 5 2 4 2" xfId="12392" xr:uid="{00000000-0005-0000-0000-000010680000}"/>
    <cellStyle name="Normal 3 3 5 2 5" xfId="12874" xr:uid="{00000000-0005-0000-0000-000011680000}"/>
    <cellStyle name="Normal 3 3 5 3" xfId="12179" xr:uid="{00000000-0005-0000-0000-000012680000}"/>
    <cellStyle name="Normal 3 3 5 3 2" xfId="4720" xr:uid="{00000000-0005-0000-0000-000013680000}"/>
    <cellStyle name="Normal 3 3 5 3 2 2" xfId="20738" xr:uid="{00000000-0005-0000-0000-000014680000}"/>
    <cellStyle name="Normal 3 3 5 3 2 2 2" xfId="28411" xr:uid="{00000000-0005-0000-0000-000015680000}"/>
    <cellStyle name="Normal 3 3 5 3 2 3" xfId="4726" xr:uid="{00000000-0005-0000-0000-000016680000}"/>
    <cellStyle name="Normal 3 3 5 3 3" xfId="7383" xr:uid="{00000000-0005-0000-0000-000017680000}"/>
    <cellStyle name="Normal 3 3 5 3 3 2" xfId="5593" xr:uid="{00000000-0005-0000-0000-000018680000}"/>
    <cellStyle name="Normal 3 3 5 3 4" xfId="4894" xr:uid="{00000000-0005-0000-0000-000019680000}"/>
    <cellStyle name="Normal 3 3 5 4" xfId="4346" xr:uid="{00000000-0005-0000-0000-00001A680000}"/>
    <cellStyle name="Normal 3 3 5 4 2" xfId="5961" xr:uid="{00000000-0005-0000-0000-00001B680000}"/>
    <cellStyle name="Normal 3 3 5 4 2 2" xfId="4743" xr:uid="{00000000-0005-0000-0000-00001C680000}"/>
    <cellStyle name="Normal 3 3 5 4 3" xfId="3848" xr:uid="{00000000-0005-0000-0000-00001D680000}"/>
    <cellStyle name="Normal 3 3 5 5" xfId="4351" xr:uid="{00000000-0005-0000-0000-00001E680000}"/>
    <cellStyle name="Normal 3 3 5 5 2" xfId="3861" xr:uid="{00000000-0005-0000-0000-00001F680000}"/>
    <cellStyle name="Normal 3 3 5 6" xfId="4747" xr:uid="{00000000-0005-0000-0000-000020680000}"/>
    <cellStyle name="Normal 3 3 6" xfId="11588" xr:uid="{00000000-0005-0000-0000-000021680000}"/>
    <cellStyle name="Normal 3 3 6 2" xfId="1885" xr:uid="{00000000-0005-0000-0000-000022680000}"/>
    <cellStyle name="Normal 3 3 6 2 2" xfId="4755" xr:uid="{00000000-0005-0000-0000-000023680000}"/>
    <cellStyle name="Normal 3 3 6 2 2 2" xfId="20785" xr:uid="{00000000-0005-0000-0000-000024680000}"/>
    <cellStyle name="Normal 3 3 6 2 2 2 2" xfId="33700" xr:uid="{00000000-0005-0000-0000-000025680000}"/>
    <cellStyle name="Normal 3 3 6 2 2 3" xfId="4760" xr:uid="{00000000-0005-0000-0000-000026680000}"/>
    <cellStyle name="Normal 3 3 6 2 3" xfId="4765" xr:uid="{00000000-0005-0000-0000-000027680000}"/>
    <cellStyle name="Normal 3 3 6 2 3 2" xfId="4769" xr:uid="{00000000-0005-0000-0000-000028680000}"/>
    <cellStyle name="Normal 3 3 6 2 4" xfId="4517" xr:uid="{00000000-0005-0000-0000-000029680000}"/>
    <cellStyle name="Normal 3 3 6 3" xfId="1068" xr:uid="{00000000-0005-0000-0000-00002A680000}"/>
    <cellStyle name="Normal 3 3 6 3 2" xfId="4777" xr:uid="{00000000-0005-0000-0000-00002B680000}"/>
    <cellStyle name="Normal 3 3 6 3 2 2" xfId="9145" xr:uid="{00000000-0005-0000-0000-00002C680000}"/>
    <cellStyle name="Normal 3 3 6 3 3" xfId="4782" xr:uid="{00000000-0005-0000-0000-00002D680000}"/>
    <cellStyle name="Normal 3 3 6 4" xfId="1620" xr:uid="{00000000-0005-0000-0000-00002E680000}"/>
    <cellStyle name="Normal 3 3 6 4 2" xfId="3866" xr:uid="{00000000-0005-0000-0000-00002F680000}"/>
    <cellStyle name="Normal 3 3 6 5" xfId="2240" xr:uid="{00000000-0005-0000-0000-000030680000}"/>
    <cellStyle name="Normal 3 3 7" xfId="18701" xr:uid="{00000000-0005-0000-0000-000031680000}"/>
    <cellStyle name="Normal 3 3 7 2" xfId="4791" xr:uid="{00000000-0005-0000-0000-000032680000}"/>
    <cellStyle name="Normal 3 3 7 2 2" xfId="8559" xr:uid="{00000000-0005-0000-0000-000033680000}"/>
    <cellStyle name="Normal 3 3 7 2 2 2" xfId="9542" xr:uid="{00000000-0005-0000-0000-000034680000}"/>
    <cellStyle name="Normal 3 3 7 2 3" xfId="4798" xr:uid="{00000000-0005-0000-0000-000035680000}"/>
    <cellStyle name="Normal 3 3 7 3" xfId="19033" xr:uid="{00000000-0005-0000-0000-000036680000}"/>
    <cellStyle name="Normal 3 3 7 3 2" xfId="4800" xr:uid="{00000000-0005-0000-0000-000037680000}"/>
    <cellStyle name="Normal 3 3 7 4" xfId="1644" xr:uid="{00000000-0005-0000-0000-000038680000}"/>
    <cellStyle name="Normal 3 3 8" xfId="5540" xr:uid="{00000000-0005-0000-0000-000039680000}"/>
    <cellStyle name="Normal 3 3 8 2" xfId="4808" xr:uid="{00000000-0005-0000-0000-00003A680000}"/>
    <cellStyle name="Normal 3 3 8 2 2" xfId="4810" xr:uid="{00000000-0005-0000-0000-00003B680000}"/>
    <cellStyle name="Normal 3 3 8 3" xfId="31394" xr:uid="{00000000-0005-0000-0000-00003C680000}"/>
    <cellStyle name="Normal 3 3 9" xfId="8630" xr:uid="{00000000-0005-0000-0000-00003D680000}"/>
    <cellStyle name="Normal 3 3 9 2" xfId="4815" xr:uid="{00000000-0005-0000-0000-00003E680000}"/>
    <cellStyle name="Normal 3 4" xfId="28415" xr:uid="{00000000-0005-0000-0000-00003F680000}"/>
    <cellStyle name="Normal 3 4 2" xfId="1456" xr:uid="{00000000-0005-0000-0000-000040680000}"/>
    <cellStyle name="Normal 3 4 2 2" xfId="23932" xr:uid="{00000000-0005-0000-0000-000041680000}"/>
    <cellStyle name="Normal 3 4 2 2 2" xfId="28417" xr:uid="{00000000-0005-0000-0000-000042680000}"/>
    <cellStyle name="Normal 3 4 2 2 2 2" xfId="28419" xr:uid="{00000000-0005-0000-0000-000043680000}"/>
    <cellStyle name="Normal 3 4 2 2 2 2 2" xfId="28421" xr:uid="{00000000-0005-0000-0000-000044680000}"/>
    <cellStyle name="Normal 3 4 2 2 2 2 2 2" xfId="30111" xr:uid="{00000000-0005-0000-0000-000045680000}"/>
    <cellStyle name="Normal 3 4 2 2 2 2 2 2 2" xfId="32884" xr:uid="{00000000-0005-0000-0000-000046680000}"/>
    <cellStyle name="Normal 3 4 2 2 2 2 2 2 2 2" xfId="29655" xr:uid="{00000000-0005-0000-0000-000047680000}"/>
    <cellStyle name="Normal 3 4 2 2 2 2 2 2 3" xfId="28424" xr:uid="{00000000-0005-0000-0000-000048680000}"/>
    <cellStyle name="Normal 3 4 2 2 2 2 2 3" xfId="8380" xr:uid="{00000000-0005-0000-0000-000049680000}"/>
    <cellStyle name="Normal 3 4 2 2 2 2 2 3 2" xfId="33707" xr:uid="{00000000-0005-0000-0000-00004A680000}"/>
    <cellStyle name="Normal 3 4 2 2 2 2 2 4" xfId="14014" xr:uid="{00000000-0005-0000-0000-00004B680000}"/>
    <cellStyle name="Normal 3 4 2 2 2 2 3" xfId="27904" xr:uid="{00000000-0005-0000-0000-00004C680000}"/>
    <cellStyle name="Normal 3 4 2 2 2 2 3 2" xfId="1852" xr:uid="{00000000-0005-0000-0000-00004D680000}"/>
    <cellStyle name="Normal 3 4 2 2 2 2 3 2 2" xfId="3109" xr:uid="{00000000-0005-0000-0000-00004E680000}"/>
    <cellStyle name="Normal 3 4 2 2 2 2 3 3" xfId="2825" xr:uid="{00000000-0005-0000-0000-00004F680000}"/>
    <cellStyle name="Normal 3 4 2 2 2 2 4" xfId="28427" xr:uid="{00000000-0005-0000-0000-000050680000}"/>
    <cellStyle name="Normal 3 4 2 2 2 2 4 2" xfId="3129" xr:uid="{00000000-0005-0000-0000-000051680000}"/>
    <cellStyle name="Normal 3 4 2 2 2 2 5" xfId="28430" xr:uid="{00000000-0005-0000-0000-000052680000}"/>
    <cellStyle name="Normal 3 4 2 2 2 3" xfId="32064" xr:uid="{00000000-0005-0000-0000-000053680000}"/>
    <cellStyle name="Normal 3 4 2 2 2 3 2" xfId="22901" xr:uid="{00000000-0005-0000-0000-000054680000}"/>
    <cellStyle name="Normal 3 4 2 2 2 3 2 2" xfId="21860" xr:uid="{00000000-0005-0000-0000-000055680000}"/>
    <cellStyle name="Normal 3 4 2 2 2 3 2 2 2" xfId="32801" xr:uid="{00000000-0005-0000-0000-000056680000}"/>
    <cellStyle name="Normal 3 4 2 2 2 3 2 3" xfId="28431" xr:uid="{00000000-0005-0000-0000-000057680000}"/>
    <cellStyle name="Normal 3 4 2 2 2 3 3" xfId="26417" xr:uid="{00000000-0005-0000-0000-000058680000}"/>
    <cellStyle name="Normal 3 4 2 2 2 3 3 2" xfId="5370" xr:uid="{00000000-0005-0000-0000-000059680000}"/>
    <cellStyle name="Normal 3 4 2 2 2 3 4" xfId="21053" xr:uid="{00000000-0005-0000-0000-00005A680000}"/>
    <cellStyle name="Normal 3 4 2 2 2 4" xfId="32841" xr:uid="{00000000-0005-0000-0000-00005B680000}"/>
    <cellStyle name="Normal 3 4 2 2 2 4 2" xfId="31354" xr:uid="{00000000-0005-0000-0000-00005C680000}"/>
    <cellStyle name="Normal 3 4 2 2 2 4 2 2" xfId="3325" xr:uid="{00000000-0005-0000-0000-00005D680000}"/>
    <cellStyle name="Normal 3 4 2 2 2 4 3" xfId="27459" xr:uid="{00000000-0005-0000-0000-00005E680000}"/>
    <cellStyle name="Normal 3 4 2 2 2 5" xfId="32853" xr:uid="{00000000-0005-0000-0000-00005F680000}"/>
    <cellStyle name="Normal 3 4 2 2 2 5 2" xfId="24463" xr:uid="{00000000-0005-0000-0000-000060680000}"/>
    <cellStyle name="Normal 3 4 2 2 2 6" xfId="27333" xr:uid="{00000000-0005-0000-0000-000061680000}"/>
    <cellStyle name="Normal 3 4 2 2 3" xfId="33334" xr:uid="{00000000-0005-0000-0000-000062680000}"/>
    <cellStyle name="Normal 3 4 2 2 3 2" xfId="31948" xr:uid="{00000000-0005-0000-0000-000063680000}"/>
    <cellStyle name="Normal 3 4 2 2 3 2 2" xfId="28434" xr:uid="{00000000-0005-0000-0000-000064680000}"/>
    <cellStyle name="Normal 3 4 2 2 3 2 2 2" xfId="28435" xr:uid="{00000000-0005-0000-0000-000065680000}"/>
    <cellStyle name="Normal 3 4 2 2 3 2 2 2 2" xfId="21505" xr:uid="{00000000-0005-0000-0000-000066680000}"/>
    <cellStyle name="Normal 3 4 2 2 3 2 2 3" xfId="28436" xr:uid="{00000000-0005-0000-0000-000067680000}"/>
    <cellStyle name="Normal 3 4 2 2 3 2 3" xfId="26290" xr:uid="{00000000-0005-0000-0000-000068680000}"/>
    <cellStyle name="Normal 3 4 2 2 3 2 3 2" xfId="1390" xr:uid="{00000000-0005-0000-0000-000069680000}"/>
    <cellStyle name="Normal 3 4 2 2 3 2 4" xfId="26296" xr:uid="{00000000-0005-0000-0000-00006A680000}"/>
    <cellStyle name="Normal 3 4 2 2 3 3" xfId="10602" xr:uid="{00000000-0005-0000-0000-00006B680000}"/>
    <cellStyle name="Normal 3 4 2 2 3 3 2" xfId="34015" xr:uid="{00000000-0005-0000-0000-00006C680000}"/>
    <cellStyle name="Normal 3 4 2 2 3 3 2 2" xfId="24565" xr:uid="{00000000-0005-0000-0000-00006D680000}"/>
    <cellStyle name="Normal 3 4 2 2 3 3 3" xfId="1847" xr:uid="{00000000-0005-0000-0000-00006E680000}"/>
    <cellStyle name="Normal 3 4 2 2 3 4" xfId="12947" xr:uid="{00000000-0005-0000-0000-00006F680000}"/>
    <cellStyle name="Normal 3 4 2 2 3 4 2" xfId="27894" xr:uid="{00000000-0005-0000-0000-000070680000}"/>
    <cellStyle name="Normal 3 4 2 2 3 5" xfId="33613" xr:uid="{00000000-0005-0000-0000-000071680000}"/>
    <cellStyle name="Normal 3 4 2 2 4" xfId="32784" xr:uid="{00000000-0005-0000-0000-000072680000}"/>
    <cellStyle name="Normal 3 4 2 2 4 2" xfId="28443" xr:uid="{00000000-0005-0000-0000-000073680000}"/>
    <cellStyle name="Normal 3 4 2 2 4 2 2" xfId="28444" xr:uid="{00000000-0005-0000-0000-000074680000}"/>
    <cellStyle name="Normal 3 4 2 2 4 2 2 2" xfId="28011" xr:uid="{00000000-0005-0000-0000-000075680000}"/>
    <cellStyle name="Normal 3 4 2 2 4 2 3" xfId="26345" xr:uid="{00000000-0005-0000-0000-000076680000}"/>
    <cellStyle name="Normal 3 4 2 2 4 3" xfId="12952" xr:uid="{00000000-0005-0000-0000-000077680000}"/>
    <cellStyle name="Normal 3 4 2 2 4 3 2" xfId="33376" xr:uid="{00000000-0005-0000-0000-000078680000}"/>
    <cellStyle name="Normal 3 4 2 2 4 4" xfId="22211" xr:uid="{00000000-0005-0000-0000-000079680000}"/>
    <cellStyle name="Normal 3 4 2 2 5" xfId="26320" xr:uid="{00000000-0005-0000-0000-00007A680000}"/>
    <cellStyle name="Normal 3 4 2 2 5 2" xfId="26404" xr:uid="{00000000-0005-0000-0000-00007B680000}"/>
    <cellStyle name="Normal 3 4 2 2 5 2 2" xfId="13579" xr:uid="{00000000-0005-0000-0000-00007C680000}"/>
    <cellStyle name="Normal 3 4 2 2 5 3" xfId="19218" xr:uid="{00000000-0005-0000-0000-00007D680000}"/>
    <cellStyle name="Normal 3 4 2 2 6" xfId="20866" xr:uid="{00000000-0005-0000-0000-00007E680000}"/>
    <cellStyle name="Normal 3 4 2 2 6 2" xfId="19271" xr:uid="{00000000-0005-0000-0000-00007F680000}"/>
    <cellStyle name="Normal 3 4 2 2 7" xfId="20769" xr:uid="{00000000-0005-0000-0000-000080680000}"/>
    <cellStyle name="Normal 3 4 2 3" xfId="23933" xr:uid="{00000000-0005-0000-0000-000081680000}"/>
    <cellStyle name="Normal 3 4 2 3 2" xfId="32804" xr:uid="{00000000-0005-0000-0000-000082680000}"/>
    <cellStyle name="Normal 3 4 2 3 2 2" xfId="33242" xr:uid="{00000000-0005-0000-0000-000083680000}"/>
    <cellStyle name="Normal 3 4 2 3 2 2 2" xfId="12999" xr:uid="{00000000-0005-0000-0000-000084680000}"/>
    <cellStyle name="Normal 3 4 2 3 2 2 2 2" xfId="13005" xr:uid="{00000000-0005-0000-0000-000085680000}"/>
    <cellStyle name="Normal 3 4 2 3 2 2 2 2 2" xfId="16271" xr:uid="{00000000-0005-0000-0000-000086680000}"/>
    <cellStyle name="Normal 3 4 2 3 2 2 2 3" xfId="29120" xr:uid="{00000000-0005-0000-0000-000087680000}"/>
    <cellStyle name="Normal 3 4 2 3 2 2 3" xfId="13300" xr:uid="{00000000-0005-0000-0000-000088680000}"/>
    <cellStyle name="Normal 3 4 2 3 2 2 3 2" xfId="19548" xr:uid="{00000000-0005-0000-0000-000089680000}"/>
    <cellStyle name="Normal 3 4 2 3 2 2 4" xfId="17789" xr:uid="{00000000-0005-0000-0000-00008A680000}"/>
    <cellStyle name="Normal 3 4 2 3 2 3" xfId="33852" xr:uid="{00000000-0005-0000-0000-00008B680000}"/>
    <cellStyle name="Normal 3 4 2 3 2 3 2" xfId="13016" xr:uid="{00000000-0005-0000-0000-00008C680000}"/>
    <cellStyle name="Normal 3 4 2 3 2 3 2 2" xfId="28445" xr:uid="{00000000-0005-0000-0000-00008D680000}"/>
    <cellStyle name="Normal 3 4 2 3 2 3 3" xfId="895" xr:uid="{00000000-0005-0000-0000-00008E680000}"/>
    <cellStyle name="Normal 3 4 2 3 2 4" xfId="32932" xr:uid="{00000000-0005-0000-0000-00008F680000}"/>
    <cellStyle name="Normal 3 4 2 3 2 4 2" xfId="30253" xr:uid="{00000000-0005-0000-0000-000090680000}"/>
    <cellStyle name="Normal 3 4 2 3 2 5" xfId="22672" xr:uid="{00000000-0005-0000-0000-000091680000}"/>
    <cellStyle name="Normal 3 4 2 3 3" xfId="27541" xr:uid="{00000000-0005-0000-0000-000092680000}"/>
    <cellStyle name="Normal 3 4 2 3 3 2" xfId="28451" xr:uid="{00000000-0005-0000-0000-000093680000}"/>
    <cellStyle name="Normal 3 4 2 3 3 2 2" xfId="9284" xr:uid="{00000000-0005-0000-0000-000094680000}"/>
    <cellStyle name="Normal 3 4 2 3 3 2 2 2" xfId="29820" xr:uid="{00000000-0005-0000-0000-000095680000}"/>
    <cellStyle name="Normal 3 4 2 3 3 2 3" xfId="144" xr:uid="{00000000-0005-0000-0000-000096680000}"/>
    <cellStyle name="Normal 3 4 2 3 3 3" xfId="29458" xr:uid="{00000000-0005-0000-0000-000097680000}"/>
    <cellStyle name="Normal 3 4 2 3 3 3 2" xfId="33087" xr:uid="{00000000-0005-0000-0000-000098680000}"/>
    <cellStyle name="Normal 3 4 2 3 3 4" xfId="32944" xr:uid="{00000000-0005-0000-0000-000099680000}"/>
    <cellStyle name="Normal 3 4 2 3 4" xfId="21339" xr:uid="{00000000-0005-0000-0000-00009A680000}"/>
    <cellStyle name="Normal 3 4 2 3 4 2" xfId="28452" xr:uid="{00000000-0005-0000-0000-00009B680000}"/>
    <cellStyle name="Normal 3 4 2 3 4 2 2" xfId="24692" xr:uid="{00000000-0005-0000-0000-00009C680000}"/>
    <cellStyle name="Normal 3 4 2 3 4 3" xfId="31038" xr:uid="{00000000-0005-0000-0000-00009D680000}"/>
    <cellStyle name="Normal 3 4 2 3 5" xfId="26343" xr:uid="{00000000-0005-0000-0000-00009E680000}"/>
    <cellStyle name="Normal 3 4 2 3 5 2" xfId="15148" xr:uid="{00000000-0005-0000-0000-00009F680000}"/>
    <cellStyle name="Normal 3 4 2 3 6" xfId="15155" xr:uid="{00000000-0005-0000-0000-0000A0680000}"/>
    <cellStyle name="Normal 3 4 2 4" xfId="23945" xr:uid="{00000000-0005-0000-0000-0000A1680000}"/>
    <cellStyle name="Normal 3 4 2 4 2" xfId="28454" xr:uid="{00000000-0005-0000-0000-0000A2680000}"/>
    <cellStyle name="Normal 3 4 2 4 2 2" xfId="20485" xr:uid="{00000000-0005-0000-0000-0000A3680000}"/>
    <cellStyle name="Normal 3 4 2 4 2 2 2" xfId="13201" xr:uid="{00000000-0005-0000-0000-0000A4680000}"/>
    <cellStyle name="Normal 3 4 2 4 2 2 2 2" xfId="29385" xr:uid="{00000000-0005-0000-0000-0000A5680000}"/>
    <cellStyle name="Normal 3 4 2 4 2 2 3" xfId="33061" xr:uid="{00000000-0005-0000-0000-0000A6680000}"/>
    <cellStyle name="Normal 3 4 2 4 2 3" xfId="33241" xr:uid="{00000000-0005-0000-0000-0000A7680000}"/>
    <cellStyle name="Normal 3 4 2 4 2 3 2" xfId="31934" xr:uid="{00000000-0005-0000-0000-0000A8680000}"/>
    <cellStyle name="Normal 3 4 2 4 2 4" xfId="28460" xr:uid="{00000000-0005-0000-0000-0000A9680000}"/>
    <cellStyle name="Normal 3 4 2 4 3" xfId="31586" xr:uid="{00000000-0005-0000-0000-0000AA680000}"/>
    <cellStyle name="Normal 3 4 2 4 3 2" xfId="28461" xr:uid="{00000000-0005-0000-0000-0000AB680000}"/>
    <cellStyle name="Normal 3 4 2 4 3 2 2" xfId="29890" xr:uid="{00000000-0005-0000-0000-0000AC680000}"/>
    <cellStyle name="Normal 3 4 2 4 3 3" xfId="31133" xr:uid="{00000000-0005-0000-0000-0000AD680000}"/>
    <cellStyle name="Normal 3 4 2 4 4" xfId="21395" xr:uid="{00000000-0005-0000-0000-0000AE680000}"/>
    <cellStyle name="Normal 3 4 2 4 4 2" xfId="20366" xr:uid="{00000000-0005-0000-0000-0000AF680000}"/>
    <cellStyle name="Normal 3 4 2 4 5" xfId="15167" xr:uid="{00000000-0005-0000-0000-0000B0680000}"/>
    <cellStyle name="Normal 3 4 2 5" xfId="7886" xr:uid="{00000000-0005-0000-0000-0000B1680000}"/>
    <cellStyle name="Normal 3 4 2 5 2" xfId="15178" xr:uid="{00000000-0005-0000-0000-0000B2680000}"/>
    <cellStyle name="Normal 3 4 2 5 2 2" xfId="33077" xr:uid="{00000000-0005-0000-0000-0000B3680000}"/>
    <cellStyle name="Normal 3 4 2 5 2 2 2" xfId="24032" xr:uid="{00000000-0005-0000-0000-0000B4680000}"/>
    <cellStyle name="Normal 3 4 2 5 2 3" xfId="30304" xr:uid="{00000000-0005-0000-0000-0000B5680000}"/>
    <cellStyle name="Normal 3 4 2 5 3" xfId="31065" xr:uid="{00000000-0005-0000-0000-0000B6680000}"/>
    <cellStyle name="Normal 3 4 2 5 3 2" xfId="30690" xr:uid="{00000000-0005-0000-0000-0000B7680000}"/>
    <cellStyle name="Normal 3 4 2 5 4" xfId="22181" xr:uid="{00000000-0005-0000-0000-0000B8680000}"/>
    <cellStyle name="Normal 3 4 2 6" xfId="28470" xr:uid="{00000000-0005-0000-0000-0000B9680000}"/>
    <cellStyle name="Normal 3 4 2 6 2" xfId="31582" xr:uid="{00000000-0005-0000-0000-0000BA680000}"/>
    <cellStyle name="Normal 3 4 2 6 2 2" xfId="28472" xr:uid="{00000000-0005-0000-0000-0000BB680000}"/>
    <cellStyle name="Normal 3 4 2 6 3" xfId="5464" xr:uid="{00000000-0005-0000-0000-0000BC680000}"/>
    <cellStyle name="Normal 3 4 2 7" xfId="28474" xr:uid="{00000000-0005-0000-0000-0000BD680000}"/>
    <cellStyle name="Normal 3 4 2 7 2" xfId="28476" xr:uid="{00000000-0005-0000-0000-0000BE680000}"/>
    <cellStyle name="Normal 3 4 2 8" xfId="19764" xr:uid="{00000000-0005-0000-0000-0000BF680000}"/>
    <cellStyle name="Normal 3 4 3" xfId="18222" xr:uid="{00000000-0005-0000-0000-0000C0680000}"/>
    <cellStyle name="Normal 3 4 3 2" xfId="18229" xr:uid="{00000000-0005-0000-0000-0000C1680000}"/>
    <cellStyle name="Normal 3 4 3 2 2" xfId="22798" xr:uid="{00000000-0005-0000-0000-0000C2680000}"/>
    <cellStyle name="Normal 3 4 3 2 2 2" xfId="30846" xr:uid="{00000000-0005-0000-0000-0000C3680000}"/>
    <cellStyle name="Normal 3 4 3 2 2 2 2" xfId="1253" xr:uid="{00000000-0005-0000-0000-0000C4680000}"/>
    <cellStyle name="Normal 3 4 3 2 2 2 2 2" xfId="26378" xr:uid="{00000000-0005-0000-0000-0000C5680000}"/>
    <cellStyle name="Normal 3 4 3 2 2 2 2 2 2" xfId="7927" xr:uid="{00000000-0005-0000-0000-0000C6680000}"/>
    <cellStyle name="Normal 3 4 3 2 2 2 2 3" xfId="26310" xr:uid="{00000000-0005-0000-0000-0000C7680000}"/>
    <cellStyle name="Normal 3 4 3 2 2 2 3" xfId="17048" xr:uid="{00000000-0005-0000-0000-0000C8680000}"/>
    <cellStyle name="Normal 3 4 3 2 2 2 3 2" xfId="29445" xr:uid="{00000000-0005-0000-0000-0000C9680000}"/>
    <cellStyle name="Normal 3 4 3 2 2 2 4" xfId="807" xr:uid="{00000000-0005-0000-0000-0000CA680000}"/>
    <cellStyle name="Normal 3 4 3 2 2 3" xfId="30864" xr:uid="{00000000-0005-0000-0000-0000CB680000}"/>
    <cellStyle name="Normal 3 4 3 2 2 3 2" xfId="30870" xr:uid="{00000000-0005-0000-0000-0000CC680000}"/>
    <cellStyle name="Normal 3 4 3 2 2 3 2 2" xfId="26453" xr:uid="{00000000-0005-0000-0000-0000CD680000}"/>
    <cellStyle name="Normal 3 4 3 2 2 3 3" xfId="17056" xr:uid="{00000000-0005-0000-0000-0000CE680000}"/>
    <cellStyle name="Normal 3 4 3 2 2 4" xfId="28479" xr:uid="{00000000-0005-0000-0000-0000CF680000}"/>
    <cellStyle name="Normal 3 4 3 2 2 4 2" xfId="26501" xr:uid="{00000000-0005-0000-0000-0000D0680000}"/>
    <cellStyle name="Normal 3 4 3 2 2 5" xfId="30882" xr:uid="{00000000-0005-0000-0000-0000D1680000}"/>
    <cellStyle name="Normal 3 4 3 2 3" xfId="27620" xr:uid="{00000000-0005-0000-0000-0000D2680000}"/>
    <cellStyle name="Normal 3 4 3 2 3 2" xfId="8493" xr:uid="{00000000-0005-0000-0000-0000D3680000}"/>
    <cellStyle name="Normal 3 4 3 2 3 2 2" xfId="1582" xr:uid="{00000000-0005-0000-0000-0000D4680000}"/>
    <cellStyle name="Normal 3 4 3 2 3 2 2 2" xfId="14421" xr:uid="{00000000-0005-0000-0000-0000D5680000}"/>
    <cellStyle name="Normal 3 4 3 2 3 2 3" xfId="14401" xr:uid="{00000000-0005-0000-0000-0000D6680000}"/>
    <cellStyle name="Normal 3 4 3 2 3 3" xfId="12971" xr:uid="{00000000-0005-0000-0000-0000D7680000}"/>
    <cellStyle name="Normal 3 4 3 2 3 3 2" xfId="2896" xr:uid="{00000000-0005-0000-0000-0000D8680000}"/>
    <cellStyle name="Normal 3 4 3 2 3 4" xfId="33603" xr:uid="{00000000-0005-0000-0000-0000D9680000}"/>
    <cellStyle name="Normal 3 4 3 2 4" xfId="28485" xr:uid="{00000000-0005-0000-0000-0000DA680000}"/>
    <cellStyle name="Normal 3 4 3 2 4 2" xfId="30899" xr:uid="{00000000-0005-0000-0000-0000DB680000}"/>
    <cellStyle name="Normal 3 4 3 2 4 2 2" xfId="14673" xr:uid="{00000000-0005-0000-0000-0000DC680000}"/>
    <cellStyle name="Normal 3 4 3 2 4 3" xfId="30905" xr:uid="{00000000-0005-0000-0000-0000DD680000}"/>
    <cellStyle name="Normal 3 4 3 2 5" xfId="26960" xr:uid="{00000000-0005-0000-0000-0000DE680000}"/>
    <cellStyle name="Normal 3 4 3 2 5 2" xfId="22755" xr:uid="{00000000-0005-0000-0000-0000DF680000}"/>
    <cellStyle name="Normal 3 4 3 2 6" xfId="20886" xr:uid="{00000000-0005-0000-0000-0000E0680000}"/>
    <cellStyle name="Normal 3 4 3 3" xfId="23962" xr:uid="{00000000-0005-0000-0000-0000E1680000}"/>
    <cellStyle name="Normal 3 4 3 3 2" xfId="28486" xr:uid="{00000000-0005-0000-0000-0000E2680000}"/>
    <cellStyle name="Normal 3 4 3 3 2 2" xfId="32201" xr:uid="{00000000-0005-0000-0000-0000E3680000}"/>
    <cellStyle name="Normal 3 4 3 3 2 2 2" xfId="1722" xr:uid="{00000000-0005-0000-0000-0000E4680000}"/>
    <cellStyle name="Normal 3 4 3 3 2 2 2 2" xfId="5153" xr:uid="{00000000-0005-0000-0000-0000E5680000}"/>
    <cellStyle name="Normal 3 4 3 3 2 2 3" xfId="33704" xr:uid="{00000000-0005-0000-0000-0000E6680000}"/>
    <cellStyle name="Normal 3 4 3 3 2 3" xfId="32021" xr:uid="{00000000-0005-0000-0000-0000E7680000}"/>
    <cellStyle name="Normal 3 4 3 3 2 3 2" xfId="32210" xr:uid="{00000000-0005-0000-0000-0000E8680000}"/>
    <cellStyle name="Normal 3 4 3 3 2 4" xfId="32031" xr:uid="{00000000-0005-0000-0000-0000E9680000}"/>
    <cellStyle name="Normal 3 4 3 3 3" xfId="32234" xr:uid="{00000000-0005-0000-0000-0000EA680000}"/>
    <cellStyle name="Normal 3 4 3 3 3 2" xfId="31000" xr:uid="{00000000-0005-0000-0000-0000EB680000}"/>
    <cellStyle name="Normal 3 4 3 3 3 2 2" xfId="31008" xr:uid="{00000000-0005-0000-0000-0000EC680000}"/>
    <cellStyle name="Normal 3 4 3 3 3 3" xfId="32248" xr:uid="{00000000-0005-0000-0000-0000ED680000}"/>
    <cellStyle name="Normal 3 4 3 3 4" xfId="1527" xr:uid="{00000000-0005-0000-0000-0000EE680000}"/>
    <cellStyle name="Normal 3 4 3 3 4 2" xfId="31030" xr:uid="{00000000-0005-0000-0000-0000EF680000}"/>
    <cellStyle name="Normal 3 4 3 3 5" xfId="5247" xr:uid="{00000000-0005-0000-0000-0000F0680000}"/>
    <cellStyle name="Normal 3 4 3 4" xfId="23966" xr:uid="{00000000-0005-0000-0000-0000F1680000}"/>
    <cellStyle name="Normal 3 4 3 4 2" xfId="29960" xr:uid="{00000000-0005-0000-0000-0000F2680000}"/>
    <cellStyle name="Normal 3 4 3 4 2 2" xfId="29539" xr:uid="{00000000-0005-0000-0000-0000F3680000}"/>
    <cellStyle name="Normal 3 4 3 4 2 2 2" xfId="33136" xr:uid="{00000000-0005-0000-0000-0000F4680000}"/>
    <cellStyle name="Normal 3 4 3 4 2 3" xfId="30953" xr:uid="{00000000-0005-0000-0000-0000F5680000}"/>
    <cellStyle name="Normal 3 4 3 4 3" xfId="28488" xr:uid="{00000000-0005-0000-0000-0000F6680000}"/>
    <cellStyle name="Normal 3 4 3 4 3 2" xfId="31687" xr:uid="{00000000-0005-0000-0000-0000F7680000}"/>
    <cellStyle name="Normal 3 4 3 4 4" xfId="27264" xr:uid="{00000000-0005-0000-0000-0000F8680000}"/>
    <cellStyle name="Normal 3 4 3 5" xfId="32274" xr:uid="{00000000-0005-0000-0000-0000F9680000}"/>
    <cellStyle name="Normal 3 4 3 5 2" xfId="10418" xr:uid="{00000000-0005-0000-0000-0000FA680000}"/>
    <cellStyle name="Normal 3 4 3 5 2 2" xfId="3176" xr:uid="{00000000-0005-0000-0000-0000FB680000}"/>
    <cellStyle name="Normal 3 4 3 5 3" xfId="7772" xr:uid="{00000000-0005-0000-0000-0000FC680000}"/>
    <cellStyle name="Normal 3 4 3 6" xfId="30370" xr:uid="{00000000-0005-0000-0000-0000FD680000}"/>
    <cellStyle name="Normal 3 4 3 6 2" xfId="10428" xr:uid="{00000000-0005-0000-0000-0000FE680000}"/>
    <cellStyle name="Normal 3 4 3 7" xfId="34026" xr:uid="{00000000-0005-0000-0000-0000FF680000}"/>
    <cellStyle name="Normal 3 4 4" xfId="18230" xr:uid="{00000000-0005-0000-0000-000000690000}"/>
    <cellStyle name="Normal 3 4 4 2" xfId="8913" xr:uid="{00000000-0005-0000-0000-000001690000}"/>
    <cellStyle name="Normal 3 4 4 2 2" xfId="4841" xr:uid="{00000000-0005-0000-0000-000002690000}"/>
    <cellStyle name="Normal 3 4 4 2 2 2" xfId="4851" xr:uid="{00000000-0005-0000-0000-000003690000}"/>
    <cellStyle name="Normal 3 4 4 2 2 2 2" xfId="29727" xr:uid="{00000000-0005-0000-0000-000004690000}"/>
    <cellStyle name="Normal 3 4 4 2 2 2 2 2" xfId="33402" xr:uid="{00000000-0005-0000-0000-000005690000}"/>
    <cellStyle name="Normal 3 4 4 2 2 2 3" xfId="28494" xr:uid="{00000000-0005-0000-0000-000006690000}"/>
    <cellStyle name="Normal 3 4 4 2 2 3" xfId="4863" xr:uid="{00000000-0005-0000-0000-000007690000}"/>
    <cellStyle name="Normal 3 4 4 2 2 3 2" xfId="33247" xr:uid="{00000000-0005-0000-0000-000008690000}"/>
    <cellStyle name="Normal 3 4 4 2 2 4" xfId="4828" xr:uid="{00000000-0005-0000-0000-000009690000}"/>
    <cellStyle name="Normal 3 4 4 2 3" xfId="2924" xr:uid="{00000000-0005-0000-0000-00000A690000}"/>
    <cellStyle name="Normal 3 4 4 2 3 2" xfId="13849" xr:uid="{00000000-0005-0000-0000-00000B690000}"/>
    <cellStyle name="Normal 3 4 4 2 3 2 2" xfId="33540" xr:uid="{00000000-0005-0000-0000-00000C690000}"/>
    <cellStyle name="Normal 3 4 4 2 3 3" xfId="9403" xr:uid="{00000000-0005-0000-0000-00000D690000}"/>
    <cellStyle name="Normal 3 4 4 2 4" xfId="2931" xr:uid="{00000000-0005-0000-0000-00000E690000}"/>
    <cellStyle name="Normal 3 4 4 2 4 2" xfId="13854" xr:uid="{00000000-0005-0000-0000-00000F690000}"/>
    <cellStyle name="Normal 3 4 4 2 5" xfId="12893" xr:uid="{00000000-0005-0000-0000-000010690000}"/>
    <cellStyle name="Normal 3 4 4 3" xfId="23975" xr:uid="{00000000-0005-0000-0000-000011690000}"/>
    <cellStyle name="Normal 3 4 4 3 2" xfId="3412" xr:uid="{00000000-0005-0000-0000-000012690000}"/>
    <cellStyle name="Normal 3 4 4 3 2 2" xfId="6381" xr:uid="{00000000-0005-0000-0000-000013690000}"/>
    <cellStyle name="Normal 3 4 4 3 2 2 2" xfId="27196" xr:uid="{00000000-0005-0000-0000-000014690000}"/>
    <cellStyle name="Normal 3 4 4 3 2 3" xfId="6390" xr:uid="{00000000-0005-0000-0000-000015690000}"/>
    <cellStyle name="Normal 3 4 4 3 3" xfId="2943" xr:uid="{00000000-0005-0000-0000-000016690000}"/>
    <cellStyle name="Normal 3 4 4 3 3 2" xfId="13865" xr:uid="{00000000-0005-0000-0000-000017690000}"/>
    <cellStyle name="Normal 3 4 4 3 4" xfId="5980" xr:uid="{00000000-0005-0000-0000-000018690000}"/>
    <cellStyle name="Normal 3 4 4 4" xfId="4358" xr:uid="{00000000-0005-0000-0000-000019690000}"/>
    <cellStyle name="Normal 3 4 4 4 2" xfId="3445" xr:uid="{00000000-0005-0000-0000-00001A690000}"/>
    <cellStyle name="Normal 3 4 4 4 2 2" xfId="6421" xr:uid="{00000000-0005-0000-0000-00001B690000}"/>
    <cellStyle name="Normal 3 4 4 4 3" xfId="4896" xr:uid="{00000000-0005-0000-0000-00001C690000}"/>
    <cellStyle name="Normal 3 4 4 5" xfId="4374" xr:uid="{00000000-0005-0000-0000-00001D690000}"/>
    <cellStyle name="Normal 3 4 4 5 2" xfId="10461" xr:uid="{00000000-0005-0000-0000-00001E690000}"/>
    <cellStyle name="Normal 3 4 4 6" xfId="4924" xr:uid="{00000000-0005-0000-0000-00001F690000}"/>
    <cellStyle name="Normal 3 4 5" xfId="6522" xr:uid="{00000000-0005-0000-0000-000020690000}"/>
    <cellStyle name="Normal 3 4 5 2" xfId="23979" xr:uid="{00000000-0005-0000-0000-000021690000}"/>
    <cellStyle name="Normal 3 4 5 2 2" xfId="5235" xr:uid="{00000000-0005-0000-0000-000022690000}"/>
    <cellStyle name="Normal 3 4 5 2 2 2" xfId="20732" xr:uid="{00000000-0005-0000-0000-000023690000}"/>
    <cellStyle name="Normal 3 4 5 2 2 2 2" xfId="2334" xr:uid="{00000000-0005-0000-0000-000024690000}"/>
    <cellStyle name="Normal 3 4 5 2 2 3" xfId="20744" xr:uid="{00000000-0005-0000-0000-000025690000}"/>
    <cellStyle name="Normal 3 4 5 2 3" xfId="7434" xr:uid="{00000000-0005-0000-0000-000026690000}"/>
    <cellStyle name="Normal 3 4 5 2 3 2" xfId="18867" xr:uid="{00000000-0005-0000-0000-000027690000}"/>
    <cellStyle name="Normal 3 4 5 2 4" xfId="8352" xr:uid="{00000000-0005-0000-0000-000028690000}"/>
    <cellStyle name="Normal 3 4 5 3" xfId="4951" xr:uid="{00000000-0005-0000-0000-000029690000}"/>
    <cellStyle name="Normal 3 4 5 3 2" xfId="4820" xr:uid="{00000000-0005-0000-0000-00002A690000}"/>
    <cellStyle name="Normal 3 4 5 3 2 2" xfId="6519" xr:uid="{00000000-0005-0000-0000-00002B690000}"/>
    <cellStyle name="Normal 3 4 5 3 3" xfId="4971" xr:uid="{00000000-0005-0000-0000-00002C690000}"/>
    <cellStyle name="Normal 3 4 5 4" xfId="6370" xr:uid="{00000000-0005-0000-0000-00002D690000}"/>
    <cellStyle name="Normal 3 4 5 4 2" xfId="4226" xr:uid="{00000000-0005-0000-0000-00002E690000}"/>
    <cellStyle name="Normal 3 4 5 5" xfId="4980" xr:uid="{00000000-0005-0000-0000-00002F690000}"/>
    <cellStyle name="Normal 3 4 6" xfId="7848" xr:uid="{00000000-0005-0000-0000-000030690000}"/>
    <cellStyle name="Normal 3 4 6 2" xfId="4992" xr:uid="{00000000-0005-0000-0000-000031690000}"/>
    <cellStyle name="Normal 3 4 6 2 2" xfId="3523" xr:uid="{00000000-0005-0000-0000-000032690000}"/>
    <cellStyle name="Normal 3 4 6 2 2 2" xfId="21334" xr:uid="{00000000-0005-0000-0000-000033690000}"/>
    <cellStyle name="Normal 3 4 6 2 3" xfId="7233" xr:uid="{00000000-0005-0000-0000-000034690000}"/>
    <cellStyle name="Normal 3 4 6 3" xfId="10169" xr:uid="{00000000-0005-0000-0000-000035690000}"/>
    <cellStyle name="Normal 3 4 6 3 2" xfId="4209" xr:uid="{00000000-0005-0000-0000-000036690000}"/>
    <cellStyle name="Normal 3 4 6 4" xfId="10174" xr:uid="{00000000-0005-0000-0000-000037690000}"/>
    <cellStyle name="Normal 3 4 7" xfId="18706" xr:uid="{00000000-0005-0000-0000-000038690000}"/>
    <cellStyle name="Normal 3 4 7 2" xfId="9874" xr:uid="{00000000-0005-0000-0000-000039690000}"/>
    <cellStyle name="Normal 3 4 7 2 2" xfId="5010" xr:uid="{00000000-0005-0000-0000-00003A690000}"/>
    <cellStyle name="Normal 3 4 7 3" xfId="10177" xr:uid="{00000000-0005-0000-0000-00003B690000}"/>
    <cellStyle name="Normal 3 4 8" xfId="1216" xr:uid="{00000000-0005-0000-0000-00003C690000}"/>
    <cellStyle name="Normal 3 4 8 2" xfId="4054" xr:uid="{00000000-0005-0000-0000-00003D690000}"/>
    <cellStyle name="Normal 3 4 9" xfId="5017" xr:uid="{00000000-0005-0000-0000-00003E690000}"/>
    <cellStyle name="Normal 3 5" xfId="8141" xr:uid="{00000000-0005-0000-0000-00003F690000}"/>
    <cellStyle name="Normal 3 5 2" xfId="8963" xr:uid="{00000000-0005-0000-0000-000040690000}"/>
    <cellStyle name="Normal 3 5 2 2" xfId="8662" xr:uid="{00000000-0005-0000-0000-000041690000}"/>
    <cellStyle name="Normal 3 5 2 2 2" xfId="33296" xr:uid="{00000000-0005-0000-0000-000042690000}"/>
    <cellStyle name="Normal 3 5 2 2 2 2" xfId="28496" xr:uid="{00000000-0005-0000-0000-000043690000}"/>
    <cellStyle name="Normal 3 5 2 2 2 2 2" xfId="22196" xr:uid="{00000000-0005-0000-0000-000044690000}"/>
    <cellStyle name="Normal 3 5 2 2 2 2 2 2" xfId="21427" xr:uid="{00000000-0005-0000-0000-000045690000}"/>
    <cellStyle name="Normal 3 5 2 2 2 2 2 2 2" xfId="21436" xr:uid="{00000000-0005-0000-0000-000046690000}"/>
    <cellStyle name="Normal 3 5 2 2 2 2 2 3" xfId="21441" xr:uid="{00000000-0005-0000-0000-000047690000}"/>
    <cellStyle name="Normal 3 5 2 2 2 2 3" xfId="28502" xr:uid="{00000000-0005-0000-0000-000048690000}"/>
    <cellStyle name="Normal 3 5 2 2 2 2 3 2" xfId="28506" xr:uid="{00000000-0005-0000-0000-000049690000}"/>
    <cellStyle name="Normal 3 5 2 2 2 2 4" xfId="22531" xr:uid="{00000000-0005-0000-0000-00004A690000}"/>
    <cellStyle name="Normal 3 5 2 2 2 3" xfId="29324" xr:uid="{00000000-0005-0000-0000-00004B690000}"/>
    <cellStyle name="Normal 3 5 2 2 2 3 2" xfId="31487" xr:uid="{00000000-0005-0000-0000-00004C690000}"/>
    <cellStyle name="Normal 3 5 2 2 2 3 2 2" xfId="21531" xr:uid="{00000000-0005-0000-0000-00004D690000}"/>
    <cellStyle name="Normal 3 5 2 2 2 3 3" xfId="22724" xr:uid="{00000000-0005-0000-0000-00004E690000}"/>
    <cellStyle name="Normal 3 5 2 2 2 4" xfId="30974" xr:uid="{00000000-0005-0000-0000-00004F690000}"/>
    <cellStyle name="Normal 3 5 2 2 2 4 2" xfId="27569" xr:uid="{00000000-0005-0000-0000-000050690000}"/>
    <cellStyle name="Normal 3 5 2 2 2 5" xfId="31310" xr:uid="{00000000-0005-0000-0000-000051690000}"/>
    <cellStyle name="Normal 3 5 2 2 3" xfId="7688" xr:uid="{00000000-0005-0000-0000-000052690000}"/>
    <cellStyle name="Normal 3 5 2 2 3 2" xfId="28514" xr:uid="{00000000-0005-0000-0000-000053690000}"/>
    <cellStyle name="Normal 3 5 2 2 3 2 2" xfId="27907" xr:uid="{00000000-0005-0000-0000-000054690000}"/>
    <cellStyle name="Normal 3 5 2 2 3 2 2 2" xfId="21713" xr:uid="{00000000-0005-0000-0000-000055690000}"/>
    <cellStyle name="Normal 3 5 2 2 3 2 3" xfId="21720" xr:uid="{00000000-0005-0000-0000-000056690000}"/>
    <cellStyle name="Normal 3 5 2 2 3 3" xfId="408" xr:uid="{00000000-0005-0000-0000-000057690000}"/>
    <cellStyle name="Normal 3 5 2 2 3 3 2" xfId="28527" xr:uid="{00000000-0005-0000-0000-000058690000}"/>
    <cellStyle name="Normal 3 5 2 2 3 4" xfId="28532" xr:uid="{00000000-0005-0000-0000-000059690000}"/>
    <cellStyle name="Normal 3 5 2 2 4" xfId="28964" xr:uid="{00000000-0005-0000-0000-00005A690000}"/>
    <cellStyle name="Normal 3 5 2 2 4 2" xfId="28536" xr:uid="{00000000-0005-0000-0000-00005B690000}"/>
    <cellStyle name="Normal 3 5 2 2 4 2 2" xfId="21803" xr:uid="{00000000-0005-0000-0000-00005C690000}"/>
    <cellStyle name="Normal 3 5 2 2 4 3" xfId="28540" xr:uid="{00000000-0005-0000-0000-00005D690000}"/>
    <cellStyle name="Normal 3 5 2 2 5" xfId="26046" xr:uid="{00000000-0005-0000-0000-00005E690000}"/>
    <cellStyle name="Normal 3 5 2 2 5 2" xfId="27062" xr:uid="{00000000-0005-0000-0000-00005F690000}"/>
    <cellStyle name="Normal 3 5 2 2 6" xfId="24603" xr:uid="{00000000-0005-0000-0000-000060690000}"/>
    <cellStyle name="Normal 3 5 2 3" xfId="8952" xr:uid="{00000000-0005-0000-0000-000061690000}"/>
    <cellStyle name="Normal 3 5 2 3 2" xfId="28543" xr:uid="{00000000-0005-0000-0000-000062690000}"/>
    <cellStyle name="Normal 3 5 2 3 2 2" xfId="15989" xr:uid="{00000000-0005-0000-0000-000063690000}"/>
    <cellStyle name="Normal 3 5 2 3 2 2 2" xfId="27188" xr:uid="{00000000-0005-0000-0000-000064690000}"/>
    <cellStyle name="Normal 3 5 2 3 2 2 2 2" xfId="28548" xr:uid="{00000000-0005-0000-0000-000065690000}"/>
    <cellStyle name="Normal 3 5 2 3 2 2 3" xfId="33169" xr:uid="{00000000-0005-0000-0000-000066690000}"/>
    <cellStyle name="Normal 3 5 2 3 2 3" xfId="30557" xr:uid="{00000000-0005-0000-0000-000067690000}"/>
    <cellStyle name="Normal 3 5 2 3 2 3 2" xfId="31890" xr:uid="{00000000-0005-0000-0000-000068690000}"/>
    <cellStyle name="Normal 3 5 2 3 2 4" xfId="33533" xr:uid="{00000000-0005-0000-0000-000069690000}"/>
    <cellStyle name="Normal 3 5 2 3 3" xfId="31646" xr:uid="{00000000-0005-0000-0000-00006A690000}"/>
    <cellStyle name="Normal 3 5 2 3 3 2" xfId="26533" xr:uid="{00000000-0005-0000-0000-00006B690000}"/>
    <cellStyle name="Normal 3 5 2 3 3 2 2" xfId="22586" xr:uid="{00000000-0005-0000-0000-00006C690000}"/>
    <cellStyle name="Normal 3 5 2 3 3 3" xfId="30685" xr:uid="{00000000-0005-0000-0000-00006D690000}"/>
    <cellStyle name="Normal 3 5 2 3 4" xfId="21683" xr:uid="{00000000-0005-0000-0000-00006E690000}"/>
    <cellStyle name="Normal 3 5 2 3 4 2" xfId="28557" xr:uid="{00000000-0005-0000-0000-00006F690000}"/>
    <cellStyle name="Normal 3 5 2 3 5" xfId="22280" xr:uid="{00000000-0005-0000-0000-000070690000}"/>
    <cellStyle name="Normal 3 5 2 4" xfId="1320" xr:uid="{00000000-0005-0000-0000-000071690000}"/>
    <cellStyle name="Normal 3 5 2 4 2" xfId="28559" xr:uid="{00000000-0005-0000-0000-000072690000}"/>
    <cellStyle name="Normal 3 5 2 4 2 2" xfId="28562" xr:uid="{00000000-0005-0000-0000-000073690000}"/>
    <cellStyle name="Normal 3 5 2 4 2 2 2" xfId="20850" xr:uid="{00000000-0005-0000-0000-000074690000}"/>
    <cellStyle name="Normal 3 5 2 4 2 3" xfId="19052" xr:uid="{00000000-0005-0000-0000-000075690000}"/>
    <cellStyle name="Normal 3 5 2 4 3" xfId="28564" xr:uid="{00000000-0005-0000-0000-000076690000}"/>
    <cellStyle name="Normal 3 5 2 4 3 2" xfId="26837" xr:uid="{00000000-0005-0000-0000-000077690000}"/>
    <cellStyle name="Normal 3 5 2 4 4" xfId="28576" xr:uid="{00000000-0005-0000-0000-000078690000}"/>
    <cellStyle name="Normal 3 5 2 5" xfId="28578" xr:uid="{00000000-0005-0000-0000-000079690000}"/>
    <cellStyle name="Normal 3 5 2 5 2" xfId="10985" xr:uid="{00000000-0005-0000-0000-00007A690000}"/>
    <cellStyle name="Normal 3 5 2 5 2 2" xfId="28579" xr:uid="{00000000-0005-0000-0000-00007B690000}"/>
    <cellStyle name="Normal 3 5 2 5 3" xfId="22903" xr:uid="{00000000-0005-0000-0000-00007C690000}"/>
    <cellStyle name="Normal 3 5 2 6" xfId="28582" xr:uid="{00000000-0005-0000-0000-00007D690000}"/>
    <cellStyle name="Normal 3 5 2 6 2" xfId="28584" xr:uid="{00000000-0005-0000-0000-00007E690000}"/>
    <cellStyle name="Normal 3 5 2 7" xfId="28587" xr:uid="{00000000-0005-0000-0000-00007F690000}"/>
    <cellStyle name="Normal 3 5 3" xfId="17971" xr:uid="{00000000-0005-0000-0000-000080690000}"/>
    <cellStyle name="Normal 3 5 3 2" xfId="24341" xr:uid="{00000000-0005-0000-0000-000081690000}"/>
    <cellStyle name="Normal 3 5 3 2 2" xfId="29599" xr:uid="{00000000-0005-0000-0000-000082690000}"/>
    <cellStyle name="Normal 3 5 3 2 2 2" xfId="29810" xr:uid="{00000000-0005-0000-0000-000083690000}"/>
    <cellStyle name="Normal 3 5 3 2 2 2 2" xfId="14983" xr:uid="{00000000-0005-0000-0000-000084690000}"/>
    <cellStyle name="Normal 3 5 3 2 2 2 2 2" xfId="24173" xr:uid="{00000000-0005-0000-0000-000085690000}"/>
    <cellStyle name="Normal 3 5 3 2 2 2 3" xfId="15436" xr:uid="{00000000-0005-0000-0000-000086690000}"/>
    <cellStyle name="Normal 3 5 3 2 2 3" xfId="33454" xr:uid="{00000000-0005-0000-0000-000087690000}"/>
    <cellStyle name="Normal 3 5 3 2 2 3 2" xfId="18754" xr:uid="{00000000-0005-0000-0000-000088690000}"/>
    <cellStyle name="Normal 3 5 3 2 2 4" xfId="29707" xr:uid="{00000000-0005-0000-0000-000089690000}"/>
    <cellStyle name="Normal 3 5 3 2 3" xfId="28497" xr:uid="{00000000-0005-0000-0000-00008A690000}"/>
    <cellStyle name="Normal 3 5 3 2 3 2" xfId="28395" xr:uid="{00000000-0005-0000-0000-00008B690000}"/>
    <cellStyle name="Normal 3 5 3 2 3 2 2" xfId="11081" xr:uid="{00000000-0005-0000-0000-00008C690000}"/>
    <cellStyle name="Normal 3 5 3 2 3 3" xfId="28602" xr:uid="{00000000-0005-0000-0000-00008D690000}"/>
    <cellStyle name="Normal 3 5 3 2 4" xfId="28508" xr:uid="{00000000-0005-0000-0000-00008E690000}"/>
    <cellStyle name="Normal 3 5 3 2 4 2" xfId="28608" xr:uid="{00000000-0005-0000-0000-00008F690000}"/>
    <cellStyle name="Normal 3 5 3 2 5" xfId="26066" xr:uid="{00000000-0005-0000-0000-000090690000}"/>
    <cellStyle name="Normal 3 5 3 3" xfId="1338" xr:uid="{00000000-0005-0000-0000-000091690000}"/>
    <cellStyle name="Normal 3 5 3 3 2" xfId="33824" xr:uid="{00000000-0005-0000-0000-000092690000}"/>
    <cellStyle name="Normal 3 5 3 3 2 2" xfId="33993" xr:uid="{00000000-0005-0000-0000-000093690000}"/>
    <cellStyle name="Normal 3 5 3 3 2 2 2" xfId="11089" xr:uid="{00000000-0005-0000-0000-000094690000}"/>
    <cellStyle name="Normal 3 5 3 3 2 3" xfId="32622" xr:uid="{00000000-0005-0000-0000-000095690000}"/>
    <cellStyle name="Normal 3 5 3 3 3" xfId="33827" xr:uid="{00000000-0005-0000-0000-000096690000}"/>
    <cellStyle name="Normal 3 5 3 3 3 2" xfId="28611" xr:uid="{00000000-0005-0000-0000-000097690000}"/>
    <cellStyle name="Normal 3 5 3 3 4" xfId="28621" xr:uid="{00000000-0005-0000-0000-000098690000}"/>
    <cellStyle name="Normal 3 5 3 4" xfId="33683" xr:uid="{00000000-0005-0000-0000-000099690000}"/>
    <cellStyle name="Normal 3 5 3 4 2" xfId="32674" xr:uid="{00000000-0005-0000-0000-00009A690000}"/>
    <cellStyle name="Normal 3 5 3 4 2 2" xfId="33652" xr:uid="{00000000-0005-0000-0000-00009B690000}"/>
    <cellStyle name="Normal 3 5 3 4 3" xfId="32687" xr:uid="{00000000-0005-0000-0000-00009C690000}"/>
    <cellStyle name="Normal 3 5 3 5" xfId="32325" xr:uid="{00000000-0005-0000-0000-00009D690000}"/>
    <cellStyle name="Normal 3 5 3 5 2" xfId="4788" xr:uid="{00000000-0005-0000-0000-00009E690000}"/>
    <cellStyle name="Normal 3 5 3 6" xfId="32335" xr:uid="{00000000-0005-0000-0000-00009F690000}"/>
    <cellStyle name="Normal 3 5 4" xfId="13511" xr:uid="{00000000-0005-0000-0000-0000A0690000}"/>
    <cellStyle name="Normal 3 5 4 2" xfId="3694" xr:uid="{00000000-0005-0000-0000-0000A1690000}"/>
    <cellStyle name="Normal 3 5 4 2 2" xfId="9399" xr:uid="{00000000-0005-0000-0000-0000A2690000}"/>
    <cellStyle name="Normal 3 5 4 2 2 2" xfId="5027" xr:uid="{00000000-0005-0000-0000-0000A3690000}"/>
    <cellStyle name="Normal 3 5 4 2 2 2 2" xfId="11134" xr:uid="{00000000-0005-0000-0000-0000A4690000}"/>
    <cellStyle name="Normal 3 5 4 2 2 3" xfId="5036" xr:uid="{00000000-0005-0000-0000-0000A5690000}"/>
    <cellStyle name="Normal 3 5 4 2 3" xfId="3138" xr:uid="{00000000-0005-0000-0000-0000A6690000}"/>
    <cellStyle name="Normal 3 5 4 2 3 2" xfId="13088" xr:uid="{00000000-0005-0000-0000-0000A7690000}"/>
    <cellStyle name="Normal 3 5 4 2 4" xfId="5046" xr:uid="{00000000-0005-0000-0000-0000A8690000}"/>
    <cellStyle name="Normal 3 5 4 3" xfId="2800" xr:uid="{00000000-0005-0000-0000-0000A9690000}"/>
    <cellStyle name="Normal 3 5 4 3 2" xfId="9414" xr:uid="{00000000-0005-0000-0000-0000AA690000}"/>
    <cellStyle name="Normal 3 5 4 3 2 2" xfId="3506" xr:uid="{00000000-0005-0000-0000-0000AB690000}"/>
    <cellStyle name="Normal 3 5 4 3 3" xfId="5057" xr:uid="{00000000-0005-0000-0000-0000AC690000}"/>
    <cellStyle name="Normal 3 5 4 4" xfId="4392" xr:uid="{00000000-0005-0000-0000-0000AD690000}"/>
    <cellStyle name="Normal 3 5 4 4 2" xfId="5071" xr:uid="{00000000-0005-0000-0000-0000AE690000}"/>
    <cellStyle name="Normal 3 5 4 5" xfId="5085" xr:uid="{00000000-0005-0000-0000-0000AF690000}"/>
    <cellStyle name="Normal 3 5 5" xfId="13520" xr:uid="{00000000-0005-0000-0000-0000B0690000}"/>
    <cellStyle name="Normal 3 5 5 2" xfId="4183" xr:uid="{00000000-0005-0000-0000-0000B1690000}"/>
    <cellStyle name="Normal 3 5 5 2 2" xfId="9421" xr:uid="{00000000-0005-0000-0000-0000B2690000}"/>
    <cellStyle name="Normal 3 5 5 2 2 2" xfId="22097" xr:uid="{00000000-0005-0000-0000-0000B3690000}"/>
    <cellStyle name="Normal 3 5 5 2 3" xfId="5109" xr:uid="{00000000-0005-0000-0000-0000B4690000}"/>
    <cellStyle name="Normal 3 5 5 3" xfId="4194" xr:uid="{00000000-0005-0000-0000-0000B5690000}"/>
    <cellStyle name="Normal 3 5 5 3 2" xfId="5119" xr:uid="{00000000-0005-0000-0000-0000B6690000}"/>
    <cellStyle name="Normal 3 5 5 4" xfId="3990" xr:uid="{00000000-0005-0000-0000-0000B7690000}"/>
    <cellStyle name="Normal 3 5 6" xfId="14299" xr:uid="{00000000-0005-0000-0000-0000B8690000}"/>
    <cellStyle name="Normal 3 5 6 2" xfId="12204" xr:uid="{00000000-0005-0000-0000-0000B9690000}"/>
    <cellStyle name="Normal 3 5 6 2 2" xfId="5139" xr:uid="{00000000-0005-0000-0000-0000BA690000}"/>
    <cellStyle name="Normal 3 5 6 3" xfId="10192" xr:uid="{00000000-0005-0000-0000-0000BB690000}"/>
    <cellStyle name="Normal 3 5 7" xfId="5435" xr:uid="{00000000-0005-0000-0000-0000BC690000}"/>
    <cellStyle name="Normal 3 5 7 2" xfId="3762" xr:uid="{00000000-0005-0000-0000-0000BD690000}"/>
    <cellStyle name="Normal 3 5 8" xfId="6791" xr:uid="{00000000-0005-0000-0000-0000BE690000}"/>
    <cellStyle name="Normal 3 6" xfId="19222" xr:uid="{00000000-0005-0000-0000-0000BF690000}"/>
    <cellStyle name="Normal 3 6 2" xfId="27518" xr:uid="{00000000-0005-0000-0000-0000C0690000}"/>
    <cellStyle name="Normal 3 6 2 2" xfId="23996" xr:uid="{00000000-0005-0000-0000-0000C1690000}"/>
    <cellStyle name="Normal 3 6 2 2 2" xfId="29176" xr:uid="{00000000-0005-0000-0000-0000C2690000}"/>
    <cellStyle name="Normal 3 6 2 2 2 2" xfId="27876" xr:uid="{00000000-0005-0000-0000-0000C3690000}"/>
    <cellStyle name="Normal 3 6 2 2 2 2 2" xfId="28630" xr:uid="{00000000-0005-0000-0000-0000C4690000}"/>
    <cellStyle name="Normal 3 6 2 2 2 2 2 2" xfId="10863" xr:uid="{00000000-0005-0000-0000-0000C5690000}"/>
    <cellStyle name="Normal 3 6 2 2 2 2 3" xfId="28999" xr:uid="{00000000-0005-0000-0000-0000C6690000}"/>
    <cellStyle name="Normal 3 6 2 2 2 3" xfId="16761" xr:uid="{00000000-0005-0000-0000-0000C7690000}"/>
    <cellStyle name="Normal 3 6 2 2 2 3 2" xfId="16763" xr:uid="{00000000-0005-0000-0000-0000C8690000}"/>
    <cellStyle name="Normal 3 6 2 2 2 4" xfId="16766" xr:uid="{00000000-0005-0000-0000-0000C9690000}"/>
    <cellStyle name="Normal 3 6 2 2 3" xfId="33032" xr:uid="{00000000-0005-0000-0000-0000CA690000}"/>
    <cellStyle name="Normal 3 6 2 2 3 2" xfId="28634" xr:uid="{00000000-0005-0000-0000-0000CB690000}"/>
    <cellStyle name="Normal 3 6 2 2 3 2 2" xfId="31137" xr:uid="{00000000-0005-0000-0000-0000CC690000}"/>
    <cellStyle name="Normal 3 6 2 2 3 3" xfId="27466" xr:uid="{00000000-0005-0000-0000-0000CD690000}"/>
    <cellStyle name="Normal 3 6 2 2 4" xfId="30644" xr:uid="{00000000-0005-0000-0000-0000CE690000}"/>
    <cellStyle name="Normal 3 6 2 2 4 2" xfId="20686" xr:uid="{00000000-0005-0000-0000-0000CF690000}"/>
    <cellStyle name="Normal 3 6 2 2 5" xfId="26084" xr:uid="{00000000-0005-0000-0000-0000D0690000}"/>
    <cellStyle name="Normal 3 6 2 3" xfId="1402" xr:uid="{00000000-0005-0000-0000-0000D1690000}"/>
    <cellStyle name="Normal 3 6 2 3 2" xfId="14284" xr:uid="{00000000-0005-0000-0000-0000D2690000}"/>
    <cellStyle name="Normal 3 6 2 3 2 2" xfId="28644" xr:uid="{00000000-0005-0000-0000-0000D3690000}"/>
    <cellStyle name="Normal 3 6 2 3 2 2 2" xfId="33921" xr:uid="{00000000-0005-0000-0000-0000D4690000}"/>
    <cellStyle name="Normal 3 6 2 3 2 3" xfId="16850" xr:uid="{00000000-0005-0000-0000-0000D5690000}"/>
    <cellStyle name="Normal 3 6 2 3 3" xfId="7195" xr:uid="{00000000-0005-0000-0000-0000D6690000}"/>
    <cellStyle name="Normal 3 6 2 3 3 2" xfId="15676" xr:uid="{00000000-0005-0000-0000-0000D7690000}"/>
    <cellStyle name="Normal 3 6 2 3 4" xfId="3431" xr:uid="{00000000-0005-0000-0000-0000D8690000}"/>
    <cellStyle name="Normal 3 6 2 4" xfId="27059" xr:uid="{00000000-0005-0000-0000-0000D9690000}"/>
    <cellStyle name="Normal 3 6 2 4 2" xfId="796" xr:uid="{00000000-0005-0000-0000-0000DA690000}"/>
    <cellStyle name="Normal 3 6 2 4 2 2" xfId="23533" xr:uid="{00000000-0005-0000-0000-0000DB690000}"/>
    <cellStyle name="Normal 3 6 2 4 3" xfId="4100" xr:uid="{00000000-0005-0000-0000-0000DC690000}"/>
    <cellStyle name="Normal 3 6 2 5" xfId="28650" xr:uid="{00000000-0005-0000-0000-0000DD690000}"/>
    <cellStyle name="Normal 3 6 2 5 2" xfId="9198" xr:uid="{00000000-0005-0000-0000-0000DE690000}"/>
    <cellStyle name="Normal 3 6 2 6" xfId="29589" xr:uid="{00000000-0005-0000-0000-0000DF690000}"/>
    <cellStyle name="Normal 3 6 2 6 2" xfId="8959" xr:uid="{00000000-0005-0000-0000-0000E0690000}"/>
    <cellStyle name="Normal 3 6 2 7" xfId="18511" xr:uid="{00000000-0005-0000-0000-0000E1690000}"/>
    <cellStyle name="Normal 3 6 3" xfId="23167" xr:uid="{00000000-0005-0000-0000-0000E2690000}"/>
    <cellStyle name="Normal 3 6 3 2" xfId="24005" xr:uid="{00000000-0005-0000-0000-0000E3690000}"/>
    <cellStyle name="Normal 3 6 3 2 2" xfId="29126" xr:uid="{00000000-0005-0000-0000-0000E4690000}"/>
    <cellStyle name="Normal 3 6 3 2 2 2" xfId="28891" xr:uid="{00000000-0005-0000-0000-0000E5690000}"/>
    <cellStyle name="Normal 3 6 3 2 2 2 2" xfId="8478" xr:uid="{00000000-0005-0000-0000-0000E6690000}"/>
    <cellStyle name="Normal 3 6 3 2 2 3" xfId="976" xr:uid="{00000000-0005-0000-0000-0000E7690000}"/>
    <cellStyle name="Normal 3 6 3 2 3" xfId="28367" xr:uid="{00000000-0005-0000-0000-0000E8690000}"/>
    <cellStyle name="Normal 3 6 3 2 3 2" xfId="28974" xr:uid="{00000000-0005-0000-0000-0000E9690000}"/>
    <cellStyle name="Normal 3 6 3 2 4" xfId="33773" xr:uid="{00000000-0005-0000-0000-0000EA690000}"/>
    <cellStyle name="Normal 3 6 3 3" xfId="27950" xr:uid="{00000000-0005-0000-0000-0000EB690000}"/>
    <cellStyle name="Normal 3 6 3 3 2" xfId="14333" xr:uid="{00000000-0005-0000-0000-0000EC690000}"/>
    <cellStyle name="Normal 3 6 3 3 2 2" xfId="29703" xr:uid="{00000000-0005-0000-0000-0000ED690000}"/>
    <cellStyle name="Normal 3 6 3 3 3" xfId="619" xr:uid="{00000000-0005-0000-0000-0000EE690000}"/>
    <cellStyle name="Normal 3 6 3 4" xfId="32352" xr:uid="{00000000-0005-0000-0000-0000EF690000}"/>
    <cellStyle name="Normal 3 6 3 4 2" xfId="8966" xr:uid="{00000000-0005-0000-0000-0000F0690000}"/>
    <cellStyle name="Normal 3 6 3 5" xfId="1431" xr:uid="{00000000-0005-0000-0000-0000F1690000}"/>
    <cellStyle name="Normal 3 6 4" xfId="18589" xr:uid="{00000000-0005-0000-0000-0000F2690000}"/>
    <cellStyle name="Normal 3 6 4 2" xfId="8121" xr:uid="{00000000-0005-0000-0000-0000F3690000}"/>
    <cellStyle name="Normal 3 6 4 2 2" xfId="9440" xr:uid="{00000000-0005-0000-0000-0000F4690000}"/>
    <cellStyle name="Normal 3 6 4 2 2 2" xfId="13486" xr:uid="{00000000-0005-0000-0000-0000F5690000}"/>
    <cellStyle name="Normal 3 6 4 2 3" xfId="1782" xr:uid="{00000000-0005-0000-0000-0000F6690000}"/>
    <cellStyle name="Normal 3 6 4 3" xfId="1760" xr:uid="{00000000-0005-0000-0000-0000F7690000}"/>
    <cellStyle name="Normal 3 6 4 3 2" xfId="9175" xr:uid="{00000000-0005-0000-0000-0000F8690000}"/>
    <cellStyle name="Normal 3 6 4 4" xfId="2255" xr:uid="{00000000-0005-0000-0000-0000F9690000}"/>
    <cellStyle name="Normal 3 6 5" xfId="14304" xr:uid="{00000000-0005-0000-0000-0000FA690000}"/>
    <cellStyle name="Normal 3 6 5 2" xfId="3651" xr:uid="{00000000-0005-0000-0000-0000FB690000}"/>
    <cellStyle name="Normal 3 6 5 2 2" xfId="16807" xr:uid="{00000000-0005-0000-0000-0000FC690000}"/>
    <cellStyle name="Normal 3 6 5 3" xfId="1796" xr:uid="{00000000-0005-0000-0000-0000FD690000}"/>
    <cellStyle name="Normal 3 6 6" xfId="5455" xr:uid="{00000000-0005-0000-0000-0000FE690000}"/>
    <cellStyle name="Normal 3 6 6 2" xfId="14444" xr:uid="{00000000-0005-0000-0000-0000FF690000}"/>
    <cellStyle name="Normal 3 6 7" xfId="20949" xr:uid="{00000000-0005-0000-0000-0000006A0000}"/>
    <cellStyle name="Normal 3 6 7 2" xfId="28651" xr:uid="{00000000-0005-0000-0000-0000016A0000}"/>
    <cellStyle name="Normal 3 6 8" xfId="20965" xr:uid="{00000000-0005-0000-0000-0000026A0000}"/>
    <cellStyle name="Normal 3 7" xfId="21550" xr:uid="{00000000-0005-0000-0000-0000036A0000}"/>
    <cellStyle name="Normal 3 7 2" xfId="28656" xr:uid="{00000000-0005-0000-0000-0000046A0000}"/>
    <cellStyle name="Normal 3 7 2 2" xfId="24010" xr:uid="{00000000-0005-0000-0000-0000056A0000}"/>
    <cellStyle name="Normal 3 7 2 2 2" xfId="28660" xr:uid="{00000000-0005-0000-0000-0000066A0000}"/>
    <cellStyle name="Normal 3 7 2 2 2 2" xfId="16494" xr:uid="{00000000-0005-0000-0000-0000076A0000}"/>
    <cellStyle name="Normal 3 7 2 2 2 2 2" xfId="33492" xr:uid="{00000000-0005-0000-0000-0000086A0000}"/>
    <cellStyle name="Normal 3 7 2 2 2 3" xfId="25934" xr:uid="{00000000-0005-0000-0000-0000096A0000}"/>
    <cellStyle name="Normal 3 7 2 2 3" xfId="27195" xr:uid="{00000000-0005-0000-0000-00000A6A0000}"/>
    <cellStyle name="Normal 3 7 2 2 3 2" xfId="21991" xr:uid="{00000000-0005-0000-0000-00000B6A0000}"/>
    <cellStyle name="Normal 3 7 2 2 4" xfId="28664" xr:uid="{00000000-0005-0000-0000-00000C6A0000}"/>
    <cellStyle name="Normal 3 7 2 3" xfId="28670" xr:uid="{00000000-0005-0000-0000-00000D6A0000}"/>
    <cellStyle name="Normal 3 7 2 3 2" xfId="14378" xr:uid="{00000000-0005-0000-0000-00000E6A0000}"/>
    <cellStyle name="Normal 3 7 2 3 2 2" xfId="25984" xr:uid="{00000000-0005-0000-0000-00000F6A0000}"/>
    <cellStyle name="Normal 3 7 2 3 3" xfId="4114" xr:uid="{00000000-0005-0000-0000-0000106A0000}"/>
    <cellStyle name="Normal 3 7 2 4" xfId="26506" xr:uid="{00000000-0005-0000-0000-0000116A0000}"/>
    <cellStyle name="Normal 3 7 2 4 2" xfId="2002" xr:uid="{00000000-0005-0000-0000-0000126A0000}"/>
    <cellStyle name="Normal 3 7 2 5" xfId="354" xr:uid="{00000000-0005-0000-0000-0000136A0000}"/>
    <cellStyle name="Normal 3 7 2 5 2" xfId="394" xr:uid="{00000000-0005-0000-0000-0000146A0000}"/>
    <cellStyle name="Normal 3 7 2 6" xfId="31912" xr:uid="{00000000-0005-0000-0000-0000156A0000}"/>
    <cellStyle name="Normal 3 7 2 6 2" xfId="28675" xr:uid="{00000000-0005-0000-0000-0000166A0000}"/>
    <cellStyle name="Normal 3 7 2 7" xfId="891" xr:uid="{00000000-0005-0000-0000-0000176A0000}"/>
    <cellStyle name="Normal 3 7 3" xfId="28130" xr:uid="{00000000-0005-0000-0000-0000186A0000}"/>
    <cellStyle name="Normal 3 7 3 2" xfId="27797" xr:uid="{00000000-0005-0000-0000-0000196A0000}"/>
    <cellStyle name="Normal 3 7 3 2 2" xfId="28681" xr:uid="{00000000-0005-0000-0000-00001A6A0000}"/>
    <cellStyle name="Normal 3 7 3 2 2 2" xfId="11185" xr:uid="{00000000-0005-0000-0000-00001B6A0000}"/>
    <cellStyle name="Normal 3 7 3 2 3" xfId="33490" xr:uid="{00000000-0005-0000-0000-00001C6A0000}"/>
    <cellStyle name="Normal 3 7 3 3" xfId="28686" xr:uid="{00000000-0005-0000-0000-00001D6A0000}"/>
    <cellStyle name="Normal 3 7 3 3 2" xfId="14388" xr:uid="{00000000-0005-0000-0000-00001E6A0000}"/>
    <cellStyle name="Normal 3 7 3 4" xfId="27576" xr:uid="{00000000-0005-0000-0000-00001F6A0000}"/>
    <cellStyle name="Normal 3 7 4" xfId="14308" xr:uid="{00000000-0005-0000-0000-0000206A0000}"/>
    <cellStyle name="Normal 3 7 4 2" xfId="3663" xr:uid="{00000000-0005-0000-0000-0000216A0000}"/>
    <cellStyle name="Normal 3 7 4 2 2" xfId="1889" xr:uid="{00000000-0005-0000-0000-0000226A0000}"/>
    <cellStyle name="Normal 3 7 4 3" xfId="3271" xr:uid="{00000000-0005-0000-0000-0000236A0000}"/>
    <cellStyle name="Normal 3 7 5" xfId="4531" xr:uid="{00000000-0005-0000-0000-0000246A0000}"/>
    <cellStyle name="Normal 3 7 5 2" xfId="3676" xr:uid="{00000000-0005-0000-0000-0000256A0000}"/>
    <cellStyle name="Normal 3 7 6" xfId="5155" xr:uid="{00000000-0005-0000-0000-0000266A0000}"/>
    <cellStyle name="Normal 3 7 6 2" xfId="28690" xr:uid="{00000000-0005-0000-0000-0000276A0000}"/>
    <cellStyle name="Normal 3 7 7" xfId="20977" xr:uid="{00000000-0005-0000-0000-0000286A0000}"/>
    <cellStyle name="Normal 3 7 7 2" xfId="21193" xr:uid="{00000000-0005-0000-0000-0000296A0000}"/>
    <cellStyle name="Normal 3 7 8" xfId="20984" xr:uid="{00000000-0005-0000-0000-00002A6A0000}"/>
    <cellStyle name="Normal 3 8" xfId="28693" xr:uid="{00000000-0005-0000-0000-00002B6A0000}"/>
    <cellStyle name="Normal 3 8 2" xfId="19025" xr:uid="{00000000-0005-0000-0000-00002C6A0000}"/>
    <cellStyle name="Normal 3 8 2 2" xfId="25944" xr:uid="{00000000-0005-0000-0000-00002D6A0000}"/>
    <cellStyle name="Normal 3 8 2 2 2" xfId="28698" xr:uid="{00000000-0005-0000-0000-00002E6A0000}"/>
    <cellStyle name="Normal 3 8 2 2 2 2" xfId="5923" xr:uid="{00000000-0005-0000-0000-00002F6A0000}"/>
    <cellStyle name="Normal 3 8 2 2 3" xfId="28701" xr:uid="{00000000-0005-0000-0000-0000306A0000}"/>
    <cellStyle name="Normal 3 8 2 3" xfId="26619" xr:uid="{00000000-0005-0000-0000-0000316A0000}"/>
    <cellStyle name="Normal 3 8 2 3 2" xfId="3037" xr:uid="{00000000-0005-0000-0000-0000326A0000}"/>
    <cellStyle name="Normal 3 8 2 4" xfId="26629" xr:uid="{00000000-0005-0000-0000-0000336A0000}"/>
    <cellStyle name="Normal 3 8 2 4 2" xfId="3064" xr:uid="{00000000-0005-0000-0000-0000346A0000}"/>
    <cellStyle name="Normal 3 8 2 5" xfId="25513" xr:uid="{00000000-0005-0000-0000-0000356A0000}"/>
    <cellStyle name="Normal 3 8 2 5 2" xfId="21210" xr:uid="{00000000-0005-0000-0000-0000366A0000}"/>
    <cellStyle name="Normal 3 8 2 6" xfId="16167" xr:uid="{00000000-0005-0000-0000-0000376A0000}"/>
    <cellStyle name="Normal 3 8 2 6 2" xfId="16171" xr:uid="{00000000-0005-0000-0000-0000386A0000}"/>
    <cellStyle name="Normal 3 8 2 7" xfId="33183" xr:uid="{00000000-0005-0000-0000-0000396A0000}"/>
    <cellStyle name="Normal 3 8 3" xfId="21777" xr:uid="{00000000-0005-0000-0000-00003A6A0000}"/>
    <cellStyle name="Normal 3 8 3 2" xfId="26638" xr:uid="{00000000-0005-0000-0000-00003B6A0000}"/>
    <cellStyle name="Normal 3 8 3 2 2" xfId="28709" xr:uid="{00000000-0005-0000-0000-00003C6A0000}"/>
    <cellStyle name="Normal 3 8 3 3" xfId="23257" xr:uid="{00000000-0005-0000-0000-00003D6A0000}"/>
    <cellStyle name="Normal 3 8 4" xfId="10422" xr:uid="{00000000-0005-0000-0000-00003E6A0000}"/>
    <cellStyle name="Normal 3 8 4 2" xfId="8927" xr:uid="{00000000-0005-0000-0000-00003F6A0000}"/>
    <cellStyle name="Normal 3 8 5" xfId="11360" xr:uid="{00000000-0005-0000-0000-0000406A0000}"/>
    <cellStyle name="Normal 3 8 5 2" xfId="31997" xr:uid="{00000000-0005-0000-0000-0000416A0000}"/>
    <cellStyle name="Normal 3 8 6" xfId="28716" xr:uid="{00000000-0005-0000-0000-0000426A0000}"/>
    <cellStyle name="Normal 3 8 6 2" xfId="22912" xr:uid="{00000000-0005-0000-0000-0000436A0000}"/>
    <cellStyle name="Normal 3 8 7" xfId="20990" xr:uid="{00000000-0005-0000-0000-0000446A0000}"/>
    <cellStyle name="Normal 3 8 7 2" xfId="4408" xr:uid="{00000000-0005-0000-0000-0000456A0000}"/>
    <cellStyle name="Normal 3 8 8" xfId="28729" xr:uid="{00000000-0005-0000-0000-0000466A0000}"/>
    <cellStyle name="Normal 3 9" xfId="26476" xr:uid="{00000000-0005-0000-0000-0000476A0000}"/>
    <cellStyle name="Normal 3 9 2" xfId="8929" xr:uid="{00000000-0005-0000-0000-0000486A0000}"/>
    <cellStyle name="Normal 3 9 2 2" xfId="25182" xr:uid="{00000000-0005-0000-0000-0000496A0000}"/>
    <cellStyle name="Normal 3 9 2 2 2" xfId="3460" xr:uid="{00000000-0005-0000-0000-00004A6A0000}"/>
    <cellStyle name="Normal 3 9 2 3" xfId="29605" xr:uid="{00000000-0005-0000-0000-00004B6A0000}"/>
    <cellStyle name="Normal 3 9 2 3 2" xfId="3730" xr:uid="{00000000-0005-0000-0000-00004C6A0000}"/>
    <cellStyle name="Normal 3 9 2 4" xfId="28733" xr:uid="{00000000-0005-0000-0000-00004D6A0000}"/>
    <cellStyle name="Normal 3 9 2 4 2" xfId="33470" xr:uid="{00000000-0005-0000-0000-00004E6A0000}"/>
    <cellStyle name="Normal 3 9 2 5" xfId="24891" xr:uid="{00000000-0005-0000-0000-00004F6A0000}"/>
    <cellStyle name="Normal 3 9 2 5 2" xfId="19534" xr:uid="{00000000-0005-0000-0000-0000506A0000}"/>
    <cellStyle name="Normal 3 9 2 6" xfId="16234" xr:uid="{00000000-0005-0000-0000-0000516A0000}"/>
    <cellStyle name="Normal 3 9 2 6 2" xfId="28736" xr:uid="{00000000-0005-0000-0000-0000526A0000}"/>
    <cellStyle name="Normal 3 9 2 7" xfId="28073" xr:uid="{00000000-0005-0000-0000-0000536A0000}"/>
    <cellStyle name="Normal 3 9 3" xfId="11039" xr:uid="{00000000-0005-0000-0000-0000546A0000}"/>
    <cellStyle name="Normal 3 9 3 2" xfId="26650" xr:uid="{00000000-0005-0000-0000-0000556A0000}"/>
    <cellStyle name="Normal 3 9 4" xfId="7422" xr:uid="{00000000-0005-0000-0000-0000566A0000}"/>
    <cellStyle name="Normal 3 9 4 2" xfId="28739" xr:uid="{00000000-0005-0000-0000-0000576A0000}"/>
    <cellStyle name="Normal 3 9 5" xfId="28743" xr:uid="{00000000-0005-0000-0000-0000586A0000}"/>
    <cellStyle name="Normal 3 9 5 2" xfId="28695" xr:uid="{00000000-0005-0000-0000-0000596A0000}"/>
    <cellStyle name="Normal 3 9 6" xfId="15979" xr:uid="{00000000-0005-0000-0000-00005A6A0000}"/>
    <cellStyle name="Normal 3 9 6 2" xfId="15980" xr:uid="{00000000-0005-0000-0000-00005B6A0000}"/>
    <cellStyle name="Normal 3 9 7" xfId="16065" xr:uid="{00000000-0005-0000-0000-00005C6A0000}"/>
    <cellStyle name="Normal 3 9 7 2" xfId="16068" xr:uid="{00000000-0005-0000-0000-00005D6A0000}"/>
    <cellStyle name="Normal 3 9 8" xfId="16112" xr:uid="{00000000-0005-0000-0000-00005E6A0000}"/>
    <cellStyle name="Normal 4" xfId="28744" xr:uid="{00000000-0005-0000-0000-00005F6A0000}"/>
    <cellStyle name="Normal 4 10" xfId="5159" xr:uid="{00000000-0005-0000-0000-0000606A0000}"/>
    <cellStyle name="Normal 4 10 2" xfId="26743" xr:uid="{00000000-0005-0000-0000-0000616A0000}"/>
    <cellStyle name="Normal 4 10 2 2" xfId="28748" xr:uid="{00000000-0005-0000-0000-0000626A0000}"/>
    <cellStyle name="Normal 4 10 2 2 2" xfId="28750" xr:uid="{00000000-0005-0000-0000-0000636A0000}"/>
    <cellStyle name="Normal 4 10 2 3" xfId="28762" xr:uid="{00000000-0005-0000-0000-0000646A0000}"/>
    <cellStyle name="Normal 4 10 2 3 2" xfId="17006" xr:uid="{00000000-0005-0000-0000-0000656A0000}"/>
    <cellStyle name="Normal 4 10 2 4" xfId="28768" xr:uid="{00000000-0005-0000-0000-0000666A0000}"/>
    <cellStyle name="Normal 4 10 2 4 2" xfId="17061" xr:uid="{00000000-0005-0000-0000-0000676A0000}"/>
    <cellStyle name="Normal 4 10 2 5" xfId="28774" xr:uid="{00000000-0005-0000-0000-0000686A0000}"/>
    <cellStyle name="Normal 4 10 2 5 2" xfId="2301" xr:uid="{00000000-0005-0000-0000-0000696A0000}"/>
    <cellStyle name="Normal 4 10 2 6" xfId="29159" xr:uid="{00000000-0005-0000-0000-00006A6A0000}"/>
    <cellStyle name="Normal 4 10 2 6 2" xfId="17084" xr:uid="{00000000-0005-0000-0000-00006B6A0000}"/>
    <cellStyle name="Normal 4 10 2 7" xfId="28780" xr:uid="{00000000-0005-0000-0000-00006C6A0000}"/>
    <cellStyle name="Normal 4 10 3" xfId="28782" xr:uid="{00000000-0005-0000-0000-00006D6A0000}"/>
    <cellStyle name="Normal 4 10 3 2" xfId="28787" xr:uid="{00000000-0005-0000-0000-00006E6A0000}"/>
    <cellStyle name="Normal 4 10 4" xfId="33050" xr:uid="{00000000-0005-0000-0000-00006F6A0000}"/>
    <cellStyle name="Normal 4 10 4 2" xfId="31712" xr:uid="{00000000-0005-0000-0000-0000706A0000}"/>
    <cellStyle name="Normal 4 10 5" xfId="31720" xr:uid="{00000000-0005-0000-0000-0000716A0000}"/>
    <cellStyle name="Normal 4 10 5 2" xfId="32711" xr:uid="{00000000-0005-0000-0000-0000726A0000}"/>
    <cellStyle name="Normal 4 10 6" xfId="19965" xr:uid="{00000000-0005-0000-0000-0000736A0000}"/>
    <cellStyle name="Normal 4 10 6 2" xfId="11693" xr:uid="{00000000-0005-0000-0000-0000746A0000}"/>
    <cellStyle name="Normal 4 10 7" xfId="28793" xr:uid="{00000000-0005-0000-0000-0000756A0000}"/>
    <cellStyle name="Normal 4 10 7 2" xfId="562" xr:uid="{00000000-0005-0000-0000-0000766A0000}"/>
    <cellStyle name="Normal 4 10 8" xfId="28797" xr:uid="{00000000-0005-0000-0000-0000776A0000}"/>
    <cellStyle name="Normal 4 11" xfId="28807" xr:uid="{00000000-0005-0000-0000-0000786A0000}"/>
    <cellStyle name="Normal 4 11 2" xfId="31892" xr:uid="{00000000-0005-0000-0000-0000796A0000}"/>
    <cellStyle name="Normal 4 11 2 2" xfId="28808" xr:uid="{00000000-0005-0000-0000-00007A6A0000}"/>
    <cellStyle name="Normal 4 11 2 2 2" xfId="28809" xr:uid="{00000000-0005-0000-0000-00007B6A0000}"/>
    <cellStyle name="Normal 4 11 2 3" xfId="28810" xr:uid="{00000000-0005-0000-0000-00007C6A0000}"/>
    <cellStyle name="Normal 4 11 2 3 2" xfId="17228" xr:uid="{00000000-0005-0000-0000-00007D6A0000}"/>
    <cellStyle name="Normal 4 11 2 4" xfId="26662" xr:uid="{00000000-0005-0000-0000-00007E6A0000}"/>
    <cellStyle name="Normal 4 11 2 4 2" xfId="17247" xr:uid="{00000000-0005-0000-0000-00007F6A0000}"/>
    <cellStyle name="Normal 4 11 2 5" xfId="26051" xr:uid="{00000000-0005-0000-0000-0000806A0000}"/>
    <cellStyle name="Normal 4 11 2 5 2" xfId="17249" xr:uid="{00000000-0005-0000-0000-0000816A0000}"/>
    <cellStyle name="Normal 4 11 2 6" xfId="29193" xr:uid="{00000000-0005-0000-0000-0000826A0000}"/>
    <cellStyle name="Normal 4 11 2 6 2" xfId="29195" xr:uid="{00000000-0005-0000-0000-0000836A0000}"/>
    <cellStyle name="Normal 4 11 2 7" xfId="7385" xr:uid="{00000000-0005-0000-0000-0000846A0000}"/>
    <cellStyle name="Normal 4 11 3" xfId="33231" xr:uid="{00000000-0005-0000-0000-0000856A0000}"/>
    <cellStyle name="Normal 4 11 3 2" xfId="28815" xr:uid="{00000000-0005-0000-0000-0000866A0000}"/>
    <cellStyle name="Normal 4 11 4" xfId="32958" xr:uid="{00000000-0005-0000-0000-0000876A0000}"/>
    <cellStyle name="Normal 4 11 4 2" xfId="33471" xr:uid="{00000000-0005-0000-0000-0000886A0000}"/>
    <cellStyle name="Normal 4 11 5" xfId="31735" xr:uid="{00000000-0005-0000-0000-0000896A0000}"/>
    <cellStyle name="Normal 4 11 5 2" xfId="33386" xr:uid="{00000000-0005-0000-0000-00008A6A0000}"/>
    <cellStyle name="Normal 4 11 6" xfId="30475" xr:uid="{00000000-0005-0000-0000-00008B6A0000}"/>
    <cellStyle name="Normal 4 11 6 2" xfId="9529" xr:uid="{00000000-0005-0000-0000-00008C6A0000}"/>
    <cellStyle name="Normal 4 11 7" xfId="28817" xr:uid="{00000000-0005-0000-0000-00008D6A0000}"/>
    <cellStyle name="Normal 4 11 7 2" xfId="28819" xr:uid="{00000000-0005-0000-0000-00008E6A0000}"/>
    <cellStyle name="Normal 4 11 8" xfId="28824" xr:uid="{00000000-0005-0000-0000-00008F6A0000}"/>
    <cellStyle name="Normal 4 12" xfId="26392" xr:uid="{00000000-0005-0000-0000-0000906A0000}"/>
    <cellStyle name="Normal 4 12 2" xfId="28831" xr:uid="{00000000-0005-0000-0000-0000916A0000}"/>
    <cellStyle name="Normal 4 12 2 2" xfId="28832" xr:uid="{00000000-0005-0000-0000-0000926A0000}"/>
    <cellStyle name="Normal 4 12 2 2 2" xfId="28836" xr:uid="{00000000-0005-0000-0000-0000936A0000}"/>
    <cellStyle name="Normal 4 12 2 3" xfId="32451" xr:uid="{00000000-0005-0000-0000-0000946A0000}"/>
    <cellStyle name="Normal 4 12 2 3 2" xfId="17333" xr:uid="{00000000-0005-0000-0000-0000956A0000}"/>
    <cellStyle name="Normal 4 12 2 4" xfId="13902" xr:uid="{00000000-0005-0000-0000-0000966A0000}"/>
    <cellStyle name="Normal 4 12 2 4 2" xfId="17351" xr:uid="{00000000-0005-0000-0000-0000976A0000}"/>
    <cellStyle name="Normal 4 12 2 5" xfId="30423" xr:uid="{00000000-0005-0000-0000-0000986A0000}"/>
    <cellStyle name="Normal 4 12 2 5 2" xfId="28062" xr:uid="{00000000-0005-0000-0000-0000996A0000}"/>
    <cellStyle name="Normal 4 12 2 6" xfId="28838" xr:uid="{00000000-0005-0000-0000-00009A6A0000}"/>
    <cellStyle name="Normal 4 12 2 6 2" xfId="31189" xr:uid="{00000000-0005-0000-0000-00009B6A0000}"/>
    <cellStyle name="Normal 4 12 2 7" xfId="27309" xr:uid="{00000000-0005-0000-0000-00009C6A0000}"/>
    <cellStyle name="Normal 4 12 3" xfId="28840" xr:uid="{00000000-0005-0000-0000-00009D6A0000}"/>
    <cellStyle name="Normal 4 12 3 2" xfId="28842" xr:uid="{00000000-0005-0000-0000-00009E6A0000}"/>
    <cellStyle name="Normal 4 12 4" xfId="26295" xr:uid="{00000000-0005-0000-0000-00009F6A0000}"/>
    <cellStyle name="Normal 4 12 4 2" xfId="29911" xr:uid="{00000000-0005-0000-0000-0000A06A0000}"/>
    <cellStyle name="Normal 4 12 5" xfId="30481" xr:uid="{00000000-0005-0000-0000-0000A16A0000}"/>
    <cellStyle name="Normal 4 12 5 2" xfId="27588" xr:uid="{00000000-0005-0000-0000-0000A26A0000}"/>
    <cellStyle name="Normal 4 12 6" xfId="29852" xr:uid="{00000000-0005-0000-0000-0000A36A0000}"/>
    <cellStyle name="Normal 4 12 6 2" xfId="24260" xr:uid="{00000000-0005-0000-0000-0000A46A0000}"/>
    <cellStyle name="Normal 4 12 7" xfId="309" xr:uid="{00000000-0005-0000-0000-0000A56A0000}"/>
    <cellStyle name="Normal 4 12 7 2" xfId="24275" xr:uid="{00000000-0005-0000-0000-0000A66A0000}"/>
    <cellStyle name="Normal 4 12 8" xfId="25917" xr:uid="{00000000-0005-0000-0000-0000A76A0000}"/>
    <cellStyle name="Normal 4 13" xfId="23925" xr:uid="{00000000-0005-0000-0000-0000A86A0000}"/>
    <cellStyle name="Normal 4 13 2" xfId="3280" xr:uid="{00000000-0005-0000-0000-0000A96A0000}"/>
    <cellStyle name="Normal 4 13 2 2" xfId="28855" xr:uid="{00000000-0005-0000-0000-0000AA6A0000}"/>
    <cellStyle name="Normal 4 13 2 2 2" xfId="28357" xr:uid="{00000000-0005-0000-0000-0000AB6A0000}"/>
    <cellStyle name="Normal 4 13 2 3" xfId="2863" xr:uid="{00000000-0005-0000-0000-0000AC6A0000}"/>
    <cellStyle name="Normal 4 13 2 3 2" xfId="17429" xr:uid="{00000000-0005-0000-0000-0000AD6A0000}"/>
    <cellStyle name="Normal 4 13 2 4" xfId="14518" xr:uid="{00000000-0005-0000-0000-0000AE6A0000}"/>
    <cellStyle name="Normal 4 13 2 4 2" xfId="26685" xr:uid="{00000000-0005-0000-0000-0000AF6A0000}"/>
    <cellStyle name="Normal 4 13 2 5" xfId="28856" xr:uid="{00000000-0005-0000-0000-0000B06A0000}"/>
    <cellStyle name="Normal 4 13 2 5 2" xfId="28931" xr:uid="{00000000-0005-0000-0000-0000B16A0000}"/>
    <cellStyle name="Normal 4 13 2 6" xfId="28859" xr:uid="{00000000-0005-0000-0000-0000B26A0000}"/>
    <cellStyle name="Normal 4 13 2 6 2" xfId="28862" xr:uid="{00000000-0005-0000-0000-0000B36A0000}"/>
    <cellStyle name="Normal 4 13 2 7" xfId="28864" xr:uid="{00000000-0005-0000-0000-0000B46A0000}"/>
    <cellStyle name="Normal 4 13 3" xfId="6961" xr:uid="{00000000-0005-0000-0000-0000B56A0000}"/>
    <cellStyle name="Normal 4 13 3 2" xfId="27359" xr:uid="{00000000-0005-0000-0000-0000B66A0000}"/>
    <cellStyle name="Normal 4 13 4" xfId="32291" xr:uid="{00000000-0005-0000-0000-0000B76A0000}"/>
    <cellStyle name="Normal 4 13 4 2" xfId="29045" xr:uid="{00000000-0005-0000-0000-0000B86A0000}"/>
    <cellStyle name="Normal 4 13 5" xfId="19663" xr:uid="{00000000-0005-0000-0000-0000B96A0000}"/>
    <cellStyle name="Normal 4 13 5 2" xfId="28866" xr:uid="{00000000-0005-0000-0000-0000BA6A0000}"/>
    <cellStyle name="Normal 4 13 6" xfId="19667" xr:uid="{00000000-0005-0000-0000-0000BB6A0000}"/>
    <cellStyle name="Normal 4 13 6 2" xfId="28868" xr:uid="{00000000-0005-0000-0000-0000BC6A0000}"/>
    <cellStyle name="Normal 4 13 7" xfId="4405" xr:uid="{00000000-0005-0000-0000-0000BD6A0000}"/>
    <cellStyle name="Normal 4 13 7 2" xfId="28872" xr:uid="{00000000-0005-0000-0000-0000BE6A0000}"/>
    <cellStyle name="Normal 4 13 8" xfId="28034" xr:uid="{00000000-0005-0000-0000-0000BF6A0000}"/>
    <cellStyle name="Normal 4 14" xfId="28875" xr:uid="{00000000-0005-0000-0000-0000C06A0000}"/>
    <cellStyle name="Normal 4 14 2" xfId="6963" xr:uid="{00000000-0005-0000-0000-0000C16A0000}"/>
    <cellStyle name="Normal 4 14 2 2" xfId="28377" xr:uid="{00000000-0005-0000-0000-0000C26A0000}"/>
    <cellStyle name="Normal 4 14 3" xfId="32202" xr:uid="{00000000-0005-0000-0000-0000C36A0000}"/>
    <cellStyle name="Normal 4 14 3 2" xfId="32533" xr:uid="{00000000-0005-0000-0000-0000C46A0000}"/>
    <cellStyle name="Normal 4 14 4" xfId="14048" xr:uid="{00000000-0005-0000-0000-0000C56A0000}"/>
    <cellStyle name="Normal 4 14 4 2" xfId="28877" xr:uid="{00000000-0005-0000-0000-0000C66A0000}"/>
    <cellStyle name="Normal 4 14 5" xfId="19669" xr:uid="{00000000-0005-0000-0000-0000C76A0000}"/>
    <cellStyle name="Normal 4 14 5 2" xfId="30711" xr:uid="{00000000-0005-0000-0000-0000C86A0000}"/>
    <cellStyle name="Normal 4 14 6" xfId="19907" xr:uid="{00000000-0005-0000-0000-0000C96A0000}"/>
    <cellStyle name="Normal 4 14 6 2" xfId="33240" xr:uid="{00000000-0005-0000-0000-0000CA6A0000}"/>
    <cellStyle name="Normal 4 14 7" xfId="28880" xr:uid="{00000000-0005-0000-0000-0000CB6A0000}"/>
    <cellStyle name="Normal 4 15" xfId="9121" xr:uid="{00000000-0005-0000-0000-0000CC6A0000}"/>
    <cellStyle name="Normal 4 15 2" xfId="18598" xr:uid="{00000000-0005-0000-0000-0000CD6A0000}"/>
    <cellStyle name="Normal 4 15 2 2" xfId="11383" xr:uid="{00000000-0005-0000-0000-0000CE6A0000}"/>
    <cellStyle name="Normal 4 15 3" xfId="28882" xr:uid="{00000000-0005-0000-0000-0000CF6A0000}"/>
    <cellStyle name="Normal 4 15 3 2" xfId="28884" xr:uid="{00000000-0005-0000-0000-0000D06A0000}"/>
    <cellStyle name="Normal 4 15 4" xfId="29127" xr:uid="{00000000-0005-0000-0000-0000D16A0000}"/>
    <cellStyle name="Normal 4 15 4 2" xfId="28892" xr:uid="{00000000-0005-0000-0000-0000D26A0000}"/>
    <cellStyle name="Normal 4 15 5" xfId="28366" xr:uid="{00000000-0005-0000-0000-0000D36A0000}"/>
    <cellStyle name="Normal 4 15 5 2" xfId="30421" xr:uid="{00000000-0005-0000-0000-0000D46A0000}"/>
    <cellStyle name="Normal 4 15 6" xfId="3103" xr:uid="{00000000-0005-0000-0000-0000D56A0000}"/>
    <cellStyle name="Normal 4 15 6 2" xfId="9464" xr:uid="{00000000-0005-0000-0000-0000D66A0000}"/>
    <cellStyle name="Normal 4 15 7" xfId="4395" xr:uid="{00000000-0005-0000-0000-0000D76A0000}"/>
    <cellStyle name="Normal 4 16" xfId="28898" xr:uid="{00000000-0005-0000-0000-0000D86A0000}"/>
    <cellStyle name="Normal 4 16 2" xfId="33675" xr:uid="{00000000-0005-0000-0000-0000D96A0000}"/>
    <cellStyle name="Normal 4 16 2 2" xfId="28901" xr:uid="{00000000-0005-0000-0000-0000DA6A0000}"/>
    <cellStyle name="Normal 4 16 3" xfId="28904" xr:uid="{00000000-0005-0000-0000-0000DB6A0000}"/>
    <cellStyle name="Normal 4 16 3 2" xfId="28905" xr:uid="{00000000-0005-0000-0000-0000DC6A0000}"/>
    <cellStyle name="Normal 4 16 4" xfId="28907" xr:uid="{00000000-0005-0000-0000-0000DD6A0000}"/>
    <cellStyle name="Normal 4 16 4 2" xfId="29704" xr:uid="{00000000-0005-0000-0000-0000DE6A0000}"/>
    <cellStyle name="Normal 4 16 5" xfId="27135" xr:uid="{00000000-0005-0000-0000-0000DF6A0000}"/>
    <cellStyle name="Normal 4 16 5 2" xfId="28410" xr:uid="{00000000-0005-0000-0000-0000E06A0000}"/>
    <cellStyle name="Normal 4 16 6" xfId="4198" xr:uid="{00000000-0005-0000-0000-0000E16A0000}"/>
    <cellStyle name="Normal 4 16 6 2" xfId="8683" xr:uid="{00000000-0005-0000-0000-0000E26A0000}"/>
    <cellStyle name="Normal 4 16 7" xfId="3993" xr:uid="{00000000-0005-0000-0000-0000E36A0000}"/>
    <cellStyle name="Normal 4 17" xfId="3115" xr:uid="{00000000-0005-0000-0000-0000E46A0000}"/>
    <cellStyle name="Normal 4 17 2" xfId="28909" xr:uid="{00000000-0005-0000-0000-0000E56A0000}"/>
    <cellStyle name="Normal 4 18" xfId="10591" xr:uid="{00000000-0005-0000-0000-0000E66A0000}"/>
    <cellStyle name="Normal 4 18 2" xfId="28911" xr:uid="{00000000-0005-0000-0000-0000E76A0000}"/>
    <cellStyle name="Normal 4 19" xfId="12933" xr:uid="{00000000-0005-0000-0000-0000E86A0000}"/>
    <cellStyle name="Normal 4 19 2" xfId="28913" xr:uid="{00000000-0005-0000-0000-0000E96A0000}"/>
    <cellStyle name="Normal 4 2" xfId="28918" xr:uid="{00000000-0005-0000-0000-0000EA6A0000}"/>
    <cellStyle name="Normal 4 2 10" xfId="32987" xr:uid="{00000000-0005-0000-0000-0000EB6A0000}"/>
    <cellStyle name="Normal 4 2 10 2" xfId="32536" xr:uid="{00000000-0005-0000-0000-0000EC6A0000}"/>
    <cellStyle name="Normal 4 2 10 2 2" xfId="13467" xr:uid="{00000000-0005-0000-0000-0000ED6A0000}"/>
    <cellStyle name="Normal 4 2 10 2 2 2" xfId="28919" xr:uid="{00000000-0005-0000-0000-0000EE6A0000}"/>
    <cellStyle name="Normal 4 2 10 2 3" xfId="12269" xr:uid="{00000000-0005-0000-0000-0000EF6A0000}"/>
    <cellStyle name="Normal 4 2 10 2 3 2" xfId="28921" xr:uid="{00000000-0005-0000-0000-0000F06A0000}"/>
    <cellStyle name="Normal 4 2 10 2 4" xfId="19248" xr:uid="{00000000-0005-0000-0000-0000F16A0000}"/>
    <cellStyle name="Normal 4 2 10 2 4 2" xfId="33953" xr:uid="{00000000-0005-0000-0000-0000F26A0000}"/>
    <cellStyle name="Normal 4 2 10 2 5" xfId="28929" xr:uid="{00000000-0005-0000-0000-0000F36A0000}"/>
    <cellStyle name="Normal 4 2 10 2 5 2" xfId="8877" xr:uid="{00000000-0005-0000-0000-0000F46A0000}"/>
    <cellStyle name="Normal 4 2 10 2 6" xfId="28935" xr:uid="{00000000-0005-0000-0000-0000F56A0000}"/>
    <cellStyle name="Normal 4 2 10 2 6 2" xfId="21960" xr:uid="{00000000-0005-0000-0000-0000F66A0000}"/>
    <cellStyle name="Normal 4 2 10 2 7" xfId="27369" xr:uid="{00000000-0005-0000-0000-0000F76A0000}"/>
    <cellStyle name="Normal 4 2 10 3" xfId="28946" xr:uid="{00000000-0005-0000-0000-0000F86A0000}"/>
    <cellStyle name="Normal 4 2 10 3 2" xfId="16663" xr:uid="{00000000-0005-0000-0000-0000F96A0000}"/>
    <cellStyle name="Normal 4 2 10 4" xfId="23439" xr:uid="{00000000-0005-0000-0000-0000FA6A0000}"/>
    <cellStyle name="Normal 4 2 10 4 2" xfId="18411" xr:uid="{00000000-0005-0000-0000-0000FB6A0000}"/>
    <cellStyle name="Normal 4 2 10 5" xfId="28948" xr:uid="{00000000-0005-0000-0000-0000FC6A0000}"/>
    <cellStyle name="Normal 4 2 10 5 2" xfId="6148" xr:uid="{00000000-0005-0000-0000-0000FD6A0000}"/>
    <cellStyle name="Normal 4 2 10 6" xfId="28950" xr:uid="{00000000-0005-0000-0000-0000FE6A0000}"/>
    <cellStyle name="Normal 4 2 10 6 2" xfId="27705" xr:uid="{00000000-0005-0000-0000-0000FF6A0000}"/>
    <cellStyle name="Normal 4 2 10 7" xfId="28953" xr:uid="{00000000-0005-0000-0000-0000006B0000}"/>
    <cellStyle name="Normal 4 2 10 7 2" xfId="28954" xr:uid="{00000000-0005-0000-0000-0000016B0000}"/>
    <cellStyle name="Normal 4 2 10 8" xfId="4665" xr:uid="{00000000-0005-0000-0000-0000026B0000}"/>
    <cellStyle name="Normal 4 2 11" xfId="28958" xr:uid="{00000000-0005-0000-0000-0000036B0000}"/>
    <cellStyle name="Normal 4 2 11 2" xfId="28959" xr:uid="{00000000-0005-0000-0000-0000046B0000}"/>
    <cellStyle name="Normal 4 2 11 2 2" xfId="28965" xr:uid="{00000000-0005-0000-0000-0000056B0000}"/>
    <cellStyle name="Normal 4 2 11 3" xfId="28967" xr:uid="{00000000-0005-0000-0000-0000066B0000}"/>
    <cellStyle name="Normal 4 2 11 3 2" xfId="16679" xr:uid="{00000000-0005-0000-0000-0000076B0000}"/>
    <cellStyle name="Normal 4 2 11 4" xfId="28970" xr:uid="{00000000-0005-0000-0000-0000086B0000}"/>
    <cellStyle name="Normal 4 2 11 4 2" xfId="18426" xr:uid="{00000000-0005-0000-0000-0000096B0000}"/>
    <cellStyle name="Normal 4 2 11 5" xfId="23546" xr:uid="{00000000-0005-0000-0000-00000A6B0000}"/>
    <cellStyle name="Normal 4 2 11 5 2" xfId="28972" xr:uid="{00000000-0005-0000-0000-00000B6B0000}"/>
    <cellStyle name="Normal 4 2 11 6" xfId="28973" xr:uid="{00000000-0005-0000-0000-00000C6B0000}"/>
    <cellStyle name="Normal 4 2 11 6 2" xfId="28976" xr:uid="{00000000-0005-0000-0000-00000D6B0000}"/>
    <cellStyle name="Normal 4 2 11 7" xfId="32321" xr:uid="{00000000-0005-0000-0000-00000E6B0000}"/>
    <cellStyle name="Normal 4 2 12" xfId="30607" xr:uid="{00000000-0005-0000-0000-00000F6B0000}"/>
    <cellStyle name="Normal 4 2 12 2" xfId="31020" xr:uid="{00000000-0005-0000-0000-0000106B0000}"/>
    <cellStyle name="Normal 4 2 12 2 2" xfId="28605" xr:uid="{00000000-0005-0000-0000-0000116B0000}"/>
    <cellStyle name="Normal 4 2 12 3" xfId="28149" xr:uid="{00000000-0005-0000-0000-0000126B0000}"/>
    <cellStyle name="Normal 4 2 12 3 2" xfId="28618" xr:uid="{00000000-0005-0000-0000-0000136B0000}"/>
    <cellStyle name="Normal 4 2 12 4" xfId="28983" xr:uid="{00000000-0005-0000-0000-0000146B0000}"/>
    <cellStyle name="Normal 4 2 12 4 2" xfId="28985" xr:uid="{00000000-0005-0000-0000-0000156B0000}"/>
    <cellStyle name="Normal 4 2 12 5" xfId="33084" xr:uid="{00000000-0005-0000-0000-0000166B0000}"/>
    <cellStyle name="Normal 4 2 12 5 2" xfId="31939" xr:uid="{00000000-0005-0000-0000-0000176B0000}"/>
    <cellStyle name="Normal 4 2 12 6" xfId="28986" xr:uid="{00000000-0005-0000-0000-0000186B0000}"/>
    <cellStyle name="Normal 4 2 12 6 2" xfId="28990" xr:uid="{00000000-0005-0000-0000-0000196B0000}"/>
    <cellStyle name="Normal 4 2 12 7" xfId="33789" xr:uid="{00000000-0005-0000-0000-00001A6B0000}"/>
    <cellStyle name="Normal 4 2 13" xfId="20557" xr:uid="{00000000-0005-0000-0000-00001B6B0000}"/>
    <cellStyle name="Normal 4 2 13 2" xfId="28994" xr:uid="{00000000-0005-0000-0000-00001C6B0000}"/>
    <cellStyle name="Normal 4 2 14" xfId="28568" xr:uid="{00000000-0005-0000-0000-00001D6B0000}"/>
    <cellStyle name="Normal 4 2 14 2" xfId="822" xr:uid="{00000000-0005-0000-0000-00001E6B0000}"/>
    <cellStyle name="Normal 4 2 15" xfId="28051" xr:uid="{00000000-0005-0000-0000-00001F6B0000}"/>
    <cellStyle name="Normal 4 2 15 2" xfId="12055" xr:uid="{00000000-0005-0000-0000-0000206B0000}"/>
    <cellStyle name="Normal 4 2 16" xfId="33621" xr:uid="{00000000-0005-0000-0000-0000216B0000}"/>
    <cellStyle name="Normal 4 2 16 2" xfId="12290" xr:uid="{00000000-0005-0000-0000-0000226B0000}"/>
    <cellStyle name="Normal 4 2 17" xfId="27523" xr:uid="{00000000-0005-0000-0000-0000236B0000}"/>
    <cellStyle name="Normal 4 2 17 2" xfId="21886" xr:uid="{00000000-0005-0000-0000-0000246B0000}"/>
    <cellStyle name="Normal 4 2 18" xfId="25737" xr:uid="{00000000-0005-0000-0000-0000256B0000}"/>
    <cellStyle name="Normal 4 2 2" xfId="24301" xr:uid="{00000000-0005-0000-0000-0000266B0000}"/>
    <cellStyle name="Normal 4 2 2 2" xfId="31578" xr:uid="{00000000-0005-0000-0000-0000276B0000}"/>
    <cellStyle name="Normal 4 2 2 2 2" xfId="10571" xr:uid="{00000000-0005-0000-0000-0000286B0000}"/>
    <cellStyle name="Normal 4 2 2 2 2 2" xfId="10640" xr:uid="{00000000-0005-0000-0000-0000296B0000}"/>
    <cellStyle name="Normal 4 2 2 2 3" xfId="15570" xr:uid="{00000000-0005-0000-0000-00002A6B0000}"/>
    <cellStyle name="Normal 4 2 2 2 3 2" xfId="15457" xr:uid="{00000000-0005-0000-0000-00002B6B0000}"/>
    <cellStyle name="Normal 4 2 2 2 4" xfId="10665" xr:uid="{00000000-0005-0000-0000-00002C6B0000}"/>
    <cellStyle name="Normal 4 2 2 2 4 2" xfId="28998" xr:uid="{00000000-0005-0000-0000-00002D6B0000}"/>
    <cellStyle name="Normal 4 2 2 2 5" xfId="24679" xr:uid="{00000000-0005-0000-0000-00002E6B0000}"/>
    <cellStyle name="Normal 4 2 2 2 5 2" xfId="29000" xr:uid="{00000000-0005-0000-0000-00002F6B0000}"/>
    <cellStyle name="Normal 4 2 2 2 6" xfId="8554" xr:uid="{00000000-0005-0000-0000-0000306B0000}"/>
    <cellStyle name="Normal 4 2 2 2 6 2" xfId="26008" xr:uid="{00000000-0005-0000-0000-0000316B0000}"/>
    <cellStyle name="Normal 4 2 2 2 7" xfId="28116" xr:uid="{00000000-0005-0000-0000-0000326B0000}"/>
    <cellStyle name="Normal 4 2 2 3" xfId="28818" xr:uid="{00000000-0005-0000-0000-0000336B0000}"/>
    <cellStyle name="Normal 4 2 2 3 2" xfId="10727" xr:uid="{00000000-0005-0000-0000-0000346B0000}"/>
    <cellStyle name="Normal 4 2 2 4" xfId="23196" xr:uid="{00000000-0005-0000-0000-0000356B0000}"/>
    <cellStyle name="Normal 4 2 2 4 2" xfId="10744" xr:uid="{00000000-0005-0000-0000-0000366B0000}"/>
    <cellStyle name="Normal 4 2 2 5" xfId="31532" xr:uid="{00000000-0005-0000-0000-0000376B0000}"/>
    <cellStyle name="Normal 4 2 2 5 2" xfId="33442" xr:uid="{00000000-0005-0000-0000-0000386B0000}"/>
    <cellStyle name="Normal 4 2 2 6" xfId="29006" xr:uid="{00000000-0005-0000-0000-0000396B0000}"/>
    <cellStyle name="Normal 4 2 2 6 2" xfId="30430" xr:uid="{00000000-0005-0000-0000-00003A6B0000}"/>
    <cellStyle name="Normal 4 2 2 7" xfId="29009" xr:uid="{00000000-0005-0000-0000-00003B6B0000}"/>
    <cellStyle name="Normal 4 2 2 7 2" xfId="13407" xr:uid="{00000000-0005-0000-0000-00003C6B0000}"/>
    <cellStyle name="Normal 4 2 2 8" xfId="29013" xr:uid="{00000000-0005-0000-0000-00003D6B0000}"/>
    <cellStyle name="Normal 4 2 3" xfId="29017" xr:uid="{00000000-0005-0000-0000-00003E6B0000}"/>
    <cellStyle name="Normal 4 2 3 2" xfId="33869" xr:uid="{00000000-0005-0000-0000-00003F6B0000}"/>
    <cellStyle name="Normal 4 2 3 2 2" xfId="25626" xr:uid="{00000000-0005-0000-0000-0000406B0000}"/>
    <cellStyle name="Normal 4 2 3 2 2 2" xfId="10817" xr:uid="{00000000-0005-0000-0000-0000416B0000}"/>
    <cellStyle name="Normal 4 2 3 2 3" xfId="10823" xr:uid="{00000000-0005-0000-0000-0000426B0000}"/>
    <cellStyle name="Normal 4 2 3 2 3 2" xfId="29018" xr:uid="{00000000-0005-0000-0000-0000436B0000}"/>
    <cellStyle name="Normal 4 2 3 2 4" xfId="29019" xr:uid="{00000000-0005-0000-0000-0000446B0000}"/>
    <cellStyle name="Normal 4 2 3 2 4 2" xfId="29021" xr:uid="{00000000-0005-0000-0000-0000456B0000}"/>
    <cellStyle name="Normal 4 2 3 2 5" xfId="10377" xr:uid="{00000000-0005-0000-0000-0000466B0000}"/>
    <cellStyle name="Normal 4 2 3 2 5 2" xfId="25030" xr:uid="{00000000-0005-0000-0000-0000476B0000}"/>
    <cellStyle name="Normal 4 2 3 2 6" xfId="26181" xr:uid="{00000000-0005-0000-0000-0000486B0000}"/>
    <cellStyle name="Normal 4 2 3 2 6 2" xfId="26021" xr:uid="{00000000-0005-0000-0000-0000496B0000}"/>
    <cellStyle name="Normal 4 2 3 2 7" xfId="29805" xr:uid="{00000000-0005-0000-0000-00004A6B0000}"/>
    <cellStyle name="Normal 4 2 3 3" xfId="29030" xr:uid="{00000000-0005-0000-0000-00004B6B0000}"/>
    <cellStyle name="Normal 4 2 3 3 2" xfId="10852" xr:uid="{00000000-0005-0000-0000-00004C6B0000}"/>
    <cellStyle name="Normal 4 2 3 4" xfId="29033" xr:uid="{00000000-0005-0000-0000-00004D6B0000}"/>
    <cellStyle name="Normal 4 2 3 4 2" xfId="24435" xr:uid="{00000000-0005-0000-0000-00004E6B0000}"/>
    <cellStyle name="Normal 4 2 3 5" xfId="29034" xr:uid="{00000000-0005-0000-0000-00004F6B0000}"/>
    <cellStyle name="Normal 4 2 3 5 2" xfId="24845" xr:uid="{00000000-0005-0000-0000-0000506B0000}"/>
    <cellStyle name="Normal 4 2 3 6" xfId="33941" xr:uid="{00000000-0005-0000-0000-0000516B0000}"/>
    <cellStyle name="Normal 4 2 3 6 2" xfId="2138" xr:uid="{00000000-0005-0000-0000-0000526B0000}"/>
    <cellStyle name="Normal 4 2 3 7" xfId="31087" xr:uid="{00000000-0005-0000-0000-0000536B0000}"/>
    <cellStyle name="Normal 4 2 3 7 2" xfId="28637" xr:uid="{00000000-0005-0000-0000-0000546B0000}"/>
    <cellStyle name="Normal 4 2 3 8" xfId="29035" xr:uid="{00000000-0005-0000-0000-0000556B0000}"/>
    <cellStyle name="Normal 4 2 4" xfId="2838" xr:uid="{00000000-0005-0000-0000-0000566B0000}"/>
    <cellStyle name="Normal 4 2 4 2" xfId="2229" xr:uid="{00000000-0005-0000-0000-0000576B0000}"/>
    <cellStyle name="Normal 4 2 4 2 2" xfId="11051" xr:uid="{00000000-0005-0000-0000-0000586B0000}"/>
    <cellStyle name="Normal 4 2 4 2 2 2" xfId="949" xr:uid="{00000000-0005-0000-0000-0000596B0000}"/>
    <cellStyle name="Normal 4 2 4 2 3" xfId="9652" xr:uid="{00000000-0005-0000-0000-00005A6B0000}"/>
    <cellStyle name="Normal 4 2 4 2 3 2" xfId="938" xr:uid="{00000000-0005-0000-0000-00005B6B0000}"/>
    <cellStyle name="Normal 4 2 4 2 4" xfId="10644" xr:uid="{00000000-0005-0000-0000-00005C6B0000}"/>
    <cellStyle name="Normal 4 2 4 2 4 2" xfId="5600" xr:uid="{00000000-0005-0000-0000-00005D6B0000}"/>
    <cellStyle name="Normal 4 2 4 2 5" xfId="5780" xr:uid="{00000000-0005-0000-0000-00005E6B0000}"/>
    <cellStyle name="Normal 4 2 4 2 5 2" xfId="6103" xr:uid="{00000000-0005-0000-0000-00005F6B0000}"/>
    <cellStyle name="Normal 4 2 4 2 6" xfId="5793" xr:uid="{00000000-0005-0000-0000-0000606B0000}"/>
    <cellStyle name="Normal 4 2 4 2 6 2" xfId="2993" xr:uid="{00000000-0005-0000-0000-0000616B0000}"/>
    <cellStyle name="Normal 4 2 4 2 7" xfId="33252" xr:uid="{00000000-0005-0000-0000-0000626B0000}"/>
    <cellStyle name="Normal 4 2 4 3" xfId="1555" xr:uid="{00000000-0005-0000-0000-0000636B0000}"/>
    <cellStyle name="Normal 4 2 4 3 2" xfId="3911" xr:uid="{00000000-0005-0000-0000-0000646B0000}"/>
    <cellStyle name="Normal 4 2 4 4" xfId="1396" xr:uid="{00000000-0005-0000-0000-0000656B0000}"/>
    <cellStyle name="Normal 4 2 4 4 2" xfId="29790" xr:uid="{00000000-0005-0000-0000-0000666B0000}"/>
    <cellStyle name="Normal 4 2 4 5" xfId="5646" xr:uid="{00000000-0005-0000-0000-0000676B0000}"/>
    <cellStyle name="Normal 4 2 4 5 2" xfId="5649" xr:uid="{00000000-0005-0000-0000-0000686B0000}"/>
    <cellStyle name="Normal 4 2 4 6" xfId="5663" xr:uid="{00000000-0005-0000-0000-0000696B0000}"/>
    <cellStyle name="Normal 4 2 4 6 2" xfId="5672" xr:uid="{00000000-0005-0000-0000-00006A6B0000}"/>
    <cellStyle name="Normal 4 2 4 7" xfId="18463" xr:uid="{00000000-0005-0000-0000-00006B6B0000}"/>
    <cellStyle name="Normal 4 2 4 7 2" xfId="29036" xr:uid="{00000000-0005-0000-0000-00006C6B0000}"/>
    <cellStyle name="Normal 4 2 4 8" xfId="22835" xr:uid="{00000000-0005-0000-0000-00006D6B0000}"/>
    <cellStyle name="Normal 4 2 5" xfId="8098" xr:uid="{00000000-0005-0000-0000-00006E6B0000}"/>
    <cellStyle name="Normal 4 2 5 2" xfId="1557" xr:uid="{00000000-0005-0000-0000-00006F6B0000}"/>
    <cellStyle name="Normal 4 2 5 2 2" xfId="11068" xr:uid="{00000000-0005-0000-0000-0000706B0000}"/>
    <cellStyle name="Normal 4 2 5 2 2 2" xfId="22642" xr:uid="{00000000-0005-0000-0000-0000716B0000}"/>
    <cellStyle name="Normal 4 2 5 2 3" xfId="7546" xr:uid="{00000000-0005-0000-0000-0000726B0000}"/>
    <cellStyle name="Normal 4 2 5 2 3 2" xfId="21175" xr:uid="{00000000-0005-0000-0000-0000736B0000}"/>
    <cellStyle name="Normal 4 2 5 2 4" xfId="7558" xr:uid="{00000000-0005-0000-0000-0000746B0000}"/>
    <cellStyle name="Normal 4 2 5 2 4 2" xfId="7911" xr:uid="{00000000-0005-0000-0000-0000756B0000}"/>
    <cellStyle name="Normal 4 2 5 2 5" xfId="7921" xr:uid="{00000000-0005-0000-0000-0000766B0000}"/>
    <cellStyle name="Normal 4 2 5 2 5 2" xfId="32326" xr:uid="{00000000-0005-0000-0000-0000776B0000}"/>
    <cellStyle name="Normal 4 2 5 2 6" xfId="32657" xr:uid="{00000000-0005-0000-0000-0000786B0000}"/>
    <cellStyle name="Normal 4 2 5 2 6 2" xfId="8335" xr:uid="{00000000-0005-0000-0000-0000796B0000}"/>
    <cellStyle name="Normal 4 2 5 2 7" xfId="29037" xr:uid="{00000000-0005-0000-0000-00007A6B0000}"/>
    <cellStyle name="Normal 4 2 5 3" xfId="1564" xr:uid="{00000000-0005-0000-0000-00007B6B0000}"/>
    <cellStyle name="Normal 4 2 5 3 2" xfId="5700" xr:uid="{00000000-0005-0000-0000-00007C6B0000}"/>
    <cellStyle name="Normal 4 2 5 4" xfId="5703" xr:uid="{00000000-0005-0000-0000-00007D6B0000}"/>
    <cellStyle name="Normal 4 2 5 4 2" xfId="5706" xr:uid="{00000000-0005-0000-0000-00007E6B0000}"/>
    <cellStyle name="Normal 4 2 5 5" xfId="5710" xr:uid="{00000000-0005-0000-0000-00007F6B0000}"/>
    <cellStyle name="Normal 4 2 5 5 2" xfId="5712" xr:uid="{00000000-0005-0000-0000-0000806B0000}"/>
    <cellStyle name="Normal 4 2 5 6" xfId="5714" xr:uid="{00000000-0005-0000-0000-0000816B0000}"/>
    <cellStyle name="Normal 4 2 5 6 2" xfId="32071" xr:uid="{00000000-0005-0000-0000-0000826B0000}"/>
    <cellStyle name="Normal 4 2 5 7" xfId="29038" xr:uid="{00000000-0005-0000-0000-0000836B0000}"/>
    <cellStyle name="Normal 4 2 5 7 2" xfId="29040" xr:uid="{00000000-0005-0000-0000-0000846B0000}"/>
    <cellStyle name="Normal 4 2 5 8" xfId="29042" xr:uid="{00000000-0005-0000-0000-0000856B0000}"/>
    <cellStyle name="Normal 4 2 6" xfId="11986" xr:uid="{00000000-0005-0000-0000-0000866B0000}"/>
    <cellStyle name="Normal 4 2 6 2" xfId="1576" xr:uid="{00000000-0005-0000-0000-0000876B0000}"/>
    <cellStyle name="Normal 4 2 6 2 2" xfId="9080" xr:uid="{00000000-0005-0000-0000-0000886B0000}"/>
    <cellStyle name="Normal 4 2 6 2 2 2" xfId="21224" xr:uid="{00000000-0005-0000-0000-0000896B0000}"/>
    <cellStyle name="Normal 4 2 6 2 3" xfId="9051" xr:uid="{00000000-0005-0000-0000-00008A6B0000}"/>
    <cellStyle name="Normal 4 2 6 2 3 2" xfId="7935" xr:uid="{00000000-0005-0000-0000-00008B6B0000}"/>
    <cellStyle name="Normal 4 2 6 2 4" xfId="9068" xr:uid="{00000000-0005-0000-0000-00008C6B0000}"/>
    <cellStyle name="Normal 4 2 6 2 4 2" xfId="24610" xr:uid="{00000000-0005-0000-0000-00008D6B0000}"/>
    <cellStyle name="Normal 4 2 6 2 5" xfId="13367" xr:uid="{00000000-0005-0000-0000-00008E6B0000}"/>
    <cellStyle name="Normal 4 2 6 2 5 2" xfId="26666" xr:uid="{00000000-0005-0000-0000-00008F6B0000}"/>
    <cellStyle name="Normal 4 2 6 2 6" xfId="26213" xr:uid="{00000000-0005-0000-0000-0000906B0000}"/>
    <cellStyle name="Normal 4 2 6 2 6 2" xfId="8360" xr:uid="{00000000-0005-0000-0000-0000916B0000}"/>
    <cellStyle name="Normal 4 2 6 2 7" xfId="32753" xr:uid="{00000000-0005-0000-0000-0000926B0000}"/>
    <cellStyle name="Normal 4 2 6 3" xfId="5717" xr:uid="{00000000-0005-0000-0000-0000936B0000}"/>
    <cellStyle name="Normal 4 2 6 3 2" xfId="9088" xr:uid="{00000000-0005-0000-0000-0000946B0000}"/>
    <cellStyle name="Normal 4 2 6 4" xfId="5720" xr:uid="{00000000-0005-0000-0000-0000956B0000}"/>
    <cellStyle name="Normal 4 2 6 4 2" xfId="9119" xr:uid="{00000000-0005-0000-0000-0000966B0000}"/>
    <cellStyle name="Normal 4 2 6 5" xfId="2289" xr:uid="{00000000-0005-0000-0000-0000976B0000}"/>
    <cellStyle name="Normal 4 2 6 5 2" xfId="29054" xr:uid="{00000000-0005-0000-0000-0000986B0000}"/>
    <cellStyle name="Normal 4 2 6 6" xfId="32542" xr:uid="{00000000-0005-0000-0000-0000996B0000}"/>
    <cellStyle name="Normal 4 2 6 6 2" xfId="23871" xr:uid="{00000000-0005-0000-0000-00009A6B0000}"/>
    <cellStyle name="Normal 4 2 6 7" xfId="33527" xr:uid="{00000000-0005-0000-0000-00009B6B0000}"/>
    <cellStyle name="Normal 4 2 6 7 2" xfId="21731" xr:uid="{00000000-0005-0000-0000-00009C6B0000}"/>
    <cellStyle name="Normal 4 2 6 8" xfId="20497" xr:uid="{00000000-0005-0000-0000-00009D6B0000}"/>
    <cellStyle name="Normal 4 2 7" xfId="18710" xr:uid="{00000000-0005-0000-0000-00009E6B0000}"/>
    <cellStyle name="Normal 4 2 7 2" xfId="5722" xr:uid="{00000000-0005-0000-0000-00009F6B0000}"/>
    <cellStyle name="Normal 4 2 7 2 2" xfId="11038" xr:uid="{00000000-0005-0000-0000-0000A06B0000}"/>
    <cellStyle name="Normal 4 2 7 2 2 2" xfId="12810" xr:uid="{00000000-0005-0000-0000-0000A16B0000}"/>
    <cellStyle name="Normal 4 2 7 2 3" xfId="9576" xr:uid="{00000000-0005-0000-0000-0000A26B0000}"/>
    <cellStyle name="Normal 4 2 7 2 3 2" xfId="29056" xr:uid="{00000000-0005-0000-0000-0000A36B0000}"/>
    <cellStyle name="Normal 4 2 7 2 4" xfId="29057" xr:uid="{00000000-0005-0000-0000-0000A46B0000}"/>
    <cellStyle name="Normal 4 2 7 2 4 2" xfId="29059" xr:uid="{00000000-0005-0000-0000-0000A56B0000}"/>
    <cellStyle name="Normal 4 2 7 2 5" xfId="31956" xr:uid="{00000000-0005-0000-0000-0000A66B0000}"/>
    <cellStyle name="Normal 4 2 7 2 5 2" xfId="27728" xr:uid="{00000000-0005-0000-0000-0000A76B0000}"/>
    <cellStyle name="Normal 4 2 7 2 6" xfId="29818" xr:uid="{00000000-0005-0000-0000-0000A86B0000}"/>
    <cellStyle name="Normal 4 2 7 2 6 2" xfId="29060" xr:uid="{00000000-0005-0000-0000-0000A96B0000}"/>
    <cellStyle name="Normal 4 2 7 2 7" xfId="25482" xr:uid="{00000000-0005-0000-0000-0000AA6B0000}"/>
    <cellStyle name="Normal 4 2 7 3" xfId="5727" xr:uid="{00000000-0005-0000-0000-0000AB6B0000}"/>
    <cellStyle name="Normal 4 2 7 3 2" xfId="11057" xr:uid="{00000000-0005-0000-0000-0000AC6B0000}"/>
    <cellStyle name="Normal 4 2 7 4" xfId="10021" xr:uid="{00000000-0005-0000-0000-0000AD6B0000}"/>
    <cellStyle name="Normal 4 2 7 4 2" xfId="6367" xr:uid="{00000000-0005-0000-0000-0000AE6B0000}"/>
    <cellStyle name="Normal 4 2 7 5" xfId="8754" xr:uid="{00000000-0005-0000-0000-0000AF6B0000}"/>
    <cellStyle name="Normal 4 2 7 5 2" xfId="30067" xr:uid="{00000000-0005-0000-0000-0000B06B0000}"/>
    <cellStyle name="Normal 4 2 7 6" xfId="32728" xr:uid="{00000000-0005-0000-0000-0000B16B0000}"/>
    <cellStyle name="Normal 4 2 7 6 2" xfId="27868" xr:uid="{00000000-0005-0000-0000-0000B26B0000}"/>
    <cellStyle name="Normal 4 2 7 7" xfId="29062" xr:uid="{00000000-0005-0000-0000-0000B36B0000}"/>
    <cellStyle name="Normal 4 2 7 7 2" xfId="29064" xr:uid="{00000000-0005-0000-0000-0000B46B0000}"/>
    <cellStyle name="Normal 4 2 7 8" xfId="29067" xr:uid="{00000000-0005-0000-0000-0000B56B0000}"/>
    <cellStyle name="Normal 4 2 8" xfId="5738" xr:uid="{00000000-0005-0000-0000-0000B66B0000}"/>
    <cellStyle name="Normal 4 2 8 2" xfId="5740" xr:uid="{00000000-0005-0000-0000-0000B76B0000}"/>
    <cellStyle name="Normal 4 2 8 2 2" xfId="11062" xr:uid="{00000000-0005-0000-0000-0000B86B0000}"/>
    <cellStyle name="Normal 4 2 8 2 2 2" xfId="2636" xr:uid="{00000000-0005-0000-0000-0000B96B0000}"/>
    <cellStyle name="Normal 4 2 8 2 3" xfId="29068" xr:uid="{00000000-0005-0000-0000-0000BA6B0000}"/>
    <cellStyle name="Normal 4 2 8 2 3 2" xfId="12868" xr:uid="{00000000-0005-0000-0000-0000BB6B0000}"/>
    <cellStyle name="Normal 4 2 8 2 4" xfId="29070" xr:uid="{00000000-0005-0000-0000-0000BC6B0000}"/>
    <cellStyle name="Normal 4 2 8 2 4 2" xfId="12894" xr:uid="{00000000-0005-0000-0000-0000BD6B0000}"/>
    <cellStyle name="Normal 4 2 8 2 5" xfId="32305" xr:uid="{00000000-0005-0000-0000-0000BE6B0000}"/>
    <cellStyle name="Normal 4 2 8 2 5 2" xfId="12897" xr:uid="{00000000-0005-0000-0000-0000BF6B0000}"/>
    <cellStyle name="Normal 4 2 8 2 6" xfId="29074" xr:uid="{00000000-0005-0000-0000-0000C06B0000}"/>
    <cellStyle name="Normal 4 2 8 2 6 2" xfId="29076" xr:uid="{00000000-0005-0000-0000-0000C16B0000}"/>
    <cellStyle name="Normal 4 2 8 2 7" xfId="11433" xr:uid="{00000000-0005-0000-0000-0000C26B0000}"/>
    <cellStyle name="Normal 4 2 8 3" xfId="13423" xr:uid="{00000000-0005-0000-0000-0000C36B0000}"/>
    <cellStyle name="Normal 4 2 8 3 2" xfId="29077" xr:uid="{00000000-0005-0000-0000-0000C46B0000}"/>
    <cellStyle name="Normal 4 2 8 4" xfId="26457" xr:uid="{00000000-0005-0000-0000-0000C56B0000}"/>
    <cellStyle name="Normal 4 2 8 4 2" xfId="29079" xr:uid="{00000000-0005-0000-0000-0000C66B0000}"/>
    <cellStyle name="Normal 4 2 8 5" xfId="29085" xr:uid="{00000000-0005-0000-0000-0000C76B0000}"/>
    <cellStyle name="Normal 4 2 8 5 2" xfId="29088" xr:uid="{00000000-0005-0000-0000-0000C86B0000}"/>
    <cellStyle name="Normal 4 2 8 6" xfId="29089" xr:uid="{00000000-0005-0000-0000-0000C96B0000}"/>
    <cellStyle name="Normal 4 2 8 6 2" xfId="31329" xr:uid="{00000000-0005-0000-0000-0000CA6B0000}"/>
    <cellStyle name="Normal 4 2 8 7" xfId="23668" xr:uid="{00000000-0005-0000-0000-0000CB6B0000}"/>
    <cellStyle name="Normal 4 2 8 7 2" xfId="29092" xr:uid="{00000000-0005-0000-0000-0000CC6B0000}"/>
    <cellStyle name="Normal 4 2 8 8" xfId="29095" xr:uid="{00000000-0005-0000-0000-0000CD6B0000}"/>
    <cellStyle name="Normal 4 2 9" xfId="5747" xr:uid="{00000000-0005-0000-0000-0000CE6B0000}"/>
    <cellStyle name="Normal 4 2 9 2" xfId="5749" xr:uid="{00000000-0005-0000-0000-0000CF6B0000}"/>
    <cellStyle name="Normal 4 2 9 2 2" xfId="16046" xr:uid="{00000000-0005-0000-0000-0000D06B0000}"/>
    <cellStyle name="Normal 4 2 9 2 2 2" xfId="13179" xr:uid="{00000000-0005-0000-0000-0000D16B0000}"/>
    <cellStyle name="Normal 4 2 9 2 3" xfId="12279" xr:uid="{00000000-0005-0000-0000-0000D26B0000}"/>
    <cellStyle name="Normal 4 2 9 2 3 2" xfId="13332" xr:uid="{00000000-0005-0000-0000-0000D36B0000}"/>
    <cellStyle name="Normal 4 2 9 2 4" xfId="29097" xr:uid="{00000000-0005-0000-0000-0000D46B0000}"/>
    <cellStyle name="Normal 4 2 9 2 4 2" xfId="13168" xr:uid="{00000000-0005-0000-0000-0000D56B0000}"/>
    <cellStyle name="Normal 4 2 9 2 5" xfId="33579" xr:uid="{00000000-0005-0000-0000-0000D66B0000}"/>
    <cellStyle name="Normal 4 2 9 2 5 2" xfId="29098" xr:uid="{00000000-0005-0000-0000-0000D76B0000}"/>
    <cellStyle name="Normal 4 2 9 2 6" xfId="33321" xr:uid="{00000000-0005-0000-0000-0000D86B0000}"/>
    <cellStyle name="Normal 4 2 9 2 6 2" xfId="32513" xr:uid="{00000000-0005-0000-0000-0000D96B0000}"/>
    <cellStyle name="Normal 4 2 9 2 7" xfId="16487" xr:uid="{00000000-0005-0000-0000-0000DA6B0000}"/>
    <cellStyle name="Normal 4 2 9 3" xfId="6955" xr:uid="{00000000-0005-0000-0000-0000DB6B0000}"/>
    <cellStyle name="Normal 4 2 9 3 2" xfId="12487" xr:uid="{00000000-0005-0000-0000-0000DC6B0000}"/>
    <cellStyle name="Normal 4 2 9 4" xfId="29100" xr:uid="{00000000-0005-0000-0000-0000DD6B0000}"/>
    <cellStyle name="Normal 4 2 9 4 2" xfId="29101" xr:uid="{00000000-0005-0000-0000-0000DE6B0000}"/>
    <cellStyle name="Normal 4 2 9 5" xfId="29102" xr:uid="{00000000-0005-0000-0000-0000DF6B0000}"/>
    <cellStyle name="Normal 4 2 9 5 2" xfId="26056" xr:uid="{00000000-0005-0000-0000-0000E06B0000}"/>
    <cellStyle name="Normal 4 2 9 6" xfId="29106" xr:uid="{00000000-0005-0000-0000-0000E16B0000}"/>
    <cellStyle name="Normal 4 2 9 6 2" xfId="29111" xr:uid="{00000000-0005-0000-0000-0000E26B0000}"/>
    <cellStyle name="Normal 4 2 9 7" xfId="29115" xr:uid="{00000000-0005-0000-0000-0000E36B0000}"/>
    <cellStyle name="Normal 4 2 9 7 2" xfId="28250" xr:uid="{00000000-0005-0000-0000-0000E46B0000}"/>
    <cellStyle name="Normal 4 2 9 8" xfId="29116" xr:uid="{00000000-0005-0000-0000-0000E56B0000}"/>
    <cellStyle name="Normal 4 20" xfId="9120" xr:uid="{00000000-0005-0000-0000-0000E66B0000}"/>
    <cellStyle name="Normal 4 20 2" xfId="18597" xr:uid="{00000000-0005-0000-0000-0000E76B0000}"/>
    <cellStyle name="Normal 4 21" xfId="28899" xr:uid="{00000000-0005-0000-0000-0000E86B0000}"/>
    <cellStyle name="Normal 4 21 2" xfId="33676" xr:uid="{00000000-0005-0000-0000-0000E96B0000}"/>
    <cellStyle name="Normal 4 22" xfId="3116" xr:uid="{00000000-0005-0000-0000-0000EA6B0000}"/>
    <cellStyle name="Normal 4 23" xfId="10592" xr:uid="{00000000-0005-0000-0000-0000EB6B0000}"/>
    <cellStyle name="Normal 4 24" xfId="12932" xr:uid="{00000000-0005-0000-0000-0000EC6B0000}"/>
    <cellStyle name="Normal 4 3" xfId="29122" xr:uid="{00000000-0005-0000-0000-0000ED6B0000}"/>
    <cellStyle name="Normal 4 3 2" xfId="30464" xr:uid="{00000000-0005-0000-0000-0000EE6B0000}"/>
    <cellStyle name="Normal 4 3 2 2" xfId="29918" xr:uid="{00000000-0005-0000-0000-0000EF6B0000}"/>
    <cellStyle name="Normal 4 3 2 2 2" xfId="12431" xr:uid="{00000000-0005-0000-0000-0000F06B0000}"/>
    <cellStyle name="Normal 4 3 2 3" xfId="28852" xr:uid="{00000000-0005-0000-0000-0000F16B0000}"/>
    <cellStyle name="Normal 4 3 2 3 2" xfId="12441" xr:uid="{00000000-0005-0000-0000-0000F26B0000}"/>
    <cellStyle name="Normal 4 3 2 4" xfId="29123" xr:uid="{00000000-0005-0000-0000-0000F36B0000}"/>
    <cellStyle name="Normal 4 3 2 4 2" xfId="3641" xr:uid="{00000000-0005-0000-0000-0000F46B0000}"/>
    <cellStyle name="Normal 4 3 2 5" xfId="28805" xr:uid="{00000000-0005-0000-0000-0000F56B0000}"/>
    <cellStyle name="Normal 4 3 2 5 2" xfId="33563" xr:uid="{00000000-0005-0000-0000-0000F66B0000}"/>
    <cellStyle name="Normal 4 3 2 6" xfId="29124" xr:uid="{00000000-0005-0000-0000-0000F76B0000}"/>
    <cellStyle name="Normal 4 3 2 6 2" xfId="29128" xr:uid="{00000000-0005-0000-0000-0000F86B0000}"/>
    <cellStyle name="Normal 4 3 2 7" xfId="32514" xr:uid="{00000000-0005-0000-0000-0000F96B0000}"/>
    <cellStyle name="Normal 4 3 3" xfId="33365" xr:uid="{00000000-0005-0000-0000-0000FA6B0000}"/>
    <cellStyle name="Normal 4 3 3 2" xfId="33480" xr:uid="{00000000-0005-0000-0000-0000FB6B0000}"/>
    <cellStyle name="Normal 4 3 4" xfId="7040" xr:uid="{00000000-0005-0000-0000-0000FC6B0000}"/>
    <cellStyle name="Normal 4 3 4 2" xfId="1966" xr:uid="{00000000-0005-0000-0000-0000FD6B0000}"/>
    <cellStyle name="Normal 4 3 5" xfId="1227" xr:uid="{00000000-0005-0000-0000-0000FE6B0000}"/>
    <cellStyle name="Normal 4 3 5 2" xfId="93" xr:uid="{00000000-0005-0000-0000-0000FF6B0000}"/>
    <cellStyle name="Normal 4 3 6" xfId="12121" xr:uid="{00000000-0005-0000-0000-0000006C0000}"/>
    <cellStyle name="Normal 4 3 6 2" xfId="11793" xr:uid="{00000000-0005-0000-0000-0000016C0000}"/>
    <cellStyle name="Normal 4 3 7" xfId="18716" xr:uid="{00000000-0005-0000-0000-0000026C0000}"/>
    <cellStyle name="Normal 4 3 7 2" xfId="11836" xr:uid="{00000000-0005-0000-0000-0000036C0000}"/>
    <cellStyle name="Normal 4 3 8" xfId="8403" xr:uid="{00000000-0005-0000-0000-0000046C0000}"/>
    <cellStyle name="Normal 4 4" xfId="29134" xr:uid="{00000000-0005-0000-0000-0000056C0000}"/>
    <cellStyle name="Normal 4 4 2" xfId="32603" xr:uid="{00000000-0005-0000-0000-0000066C0000}"/>
    <cellStyle name="Normal 4 4 2 2" xfId="25709" xr:uid="{00000000-0005-0000-0000-0000076C0000}"/>
    <cellStyle name="Normal 4 4 2 2 2" xfId="14110" xr:uid="{00000000-0005-0000-0000-0000086C0000}"/>
    <cellStyle name="Normal 4 4 2 3" xfId="28871" xr:uid="{00000000-0005-0000-0000-0000096C0000}"/>
    <cellStyle name="Normal 4 4 2 3 2" xfId="14133" xr:uid="{00000000-0005-0000-0000-00000A6C0000}"/>
    <cellStyle name="Normal 4 4 2 4" xfId="24031" xr:uid="{00000000-0005-0000-0000-00000B6C0000}"/>
    <cellStyle name="Normal 4 4 2 4 2" xfId="3143" xr:uid="{00000000-0005-0000-0000-00000C6C0000}"/>
    <cellStyle name="Normal 4 4 2 5" xfId="25747" xr:uid="{00000000-0005-0000-0000-00000D6C0000}"/>
    <cellStyle name="Normal 4 4 2 5 2" xfId="26474" xr:uid="{00000000-0005-0000-0000-00000E6C0000}"/>
    <cellStyle name="Normal 4 4 2 6" xfId="29138" xr:uid="{00000000-0005-0000-0000-00000F6C0000}"/>
    <cellStyle name="Normal 4 4 2 6 2" xfId="30671" xr:uid="{00000000-0005-0000-0000-0000106C0000}"/>
    <cellStyle name="Normal 4 4 2 7" xfId="31887" xr:uid="{00000000-0005-0000-0000-0000116C0000}"/>
    <cellStyle name="Normal 4 4 3" xfId="12496" xr:uid="{00000000-0005-0000-0000-0000126C0000}"/>
    <cellStyle name="Normal 4 4 3 2" xfId="19900" xr:uid="{00000000-0005-0000-0000-0000136C0000}"/>
    <cellStyle name="Normal 4 4 4" xfId="9789" xr:uid="{00000000-0005-0000-0000-0000146C0000}"/>
    <cellStyle name="Normal 4 4 4 2" xfId="19903" xr:uid="{00000000-0005-0000-0000-0000156C0000}"/>
    <cellStyle name="Normal 4 4 5" xfId="2415" xr:uid="{00000000-0005-0000-0000-0000166C0000}"/>
    <cellStyle name="Normal 4 4 5 2" xfId="4958" xr:uid="{00000000-0005-0000-0000-0000176C0000}"/>
    <cellStyle name="Normal 4 4 6" xfId="5929" xr:uid="{00000000-0005-0000-0000-0000186C0000}"/>
    <cellStyle name="Normal 4 4 6 2" xfId="11148" xr:uid="{00000000-0005-0000-0000-0000196C0000}"/>
    <cellStyle name="Normal 4 4 7" xfId="5932" xr:uid="{00000000-0005-0000-0000-00001A6C0000}"/>
    <cellStyle name="Normal 4 4 7 2" xfId="11168" xr:uid="{00000000-0005-0000-0000-00001B6C0000}"/>
    <cellStyle name="Normal 4 4 8" xfId="5938" xr:uid="{00000000-0005-0000-0000-00001C6C0000}"/>
    <cellStyle name="Normal 4 5" xfId="8165" xr:uid="{00000000-0005-0000-0000-00001D6C0000}"/>
    <cellStyle name="Normal 4 5 2" xfId="8025" xr:uid="{00000000-0005-0000-0000-00001E6C0000}"/>
    <cellStyle name="Normal 4 5 2 2" xfId="19666" xr:uid="{00000000-0005-0000-0000-00001F6C0000}"/>
    <cellStyle name="Normal 4 5 2 2 2" xfId="28869" xr:uid="{00000000-0005-0000-0000-0000206C0000}"/>
    <cellStyle name="Normal 4 5 2 3" xfId="4406" xr:uid="{00000000-0005-0000-0000-0000216C0000}"/>
    <cellStyle name="Normal 4 5 2 3 2" xfId="28873" xr:uid="{00000000-0005-0000-0000-0000226C0000}"/>
    <cellStyle name="Normal 4 5 2 4" xfId="28033" xr:uid="{00000000-0005-0000-0000-0000236C0000}"/>
    <cellStyle name="Normal 4 5 2 4 2" xfId="3707" xr:uid="{00000000-0005-0000-0000-0000246C0000}"/>
    <cellStyle name="Normal 4 5 2 5" xfId="30945" xr:uid="{00000000-0005-0000-0000-0000256C0000}"/>
    <cellStyle name="Normal 4 5 2 5 2" xfId="3715" xr:uid="{00000000-0005-0000-0000-0000266C0000}"/>
    <cellStyle name="Normal 4 5 2 6" xfId="31929" xr:uid="{00000000-0005-0000-0000-0000276C0000}"/>
    <cellStyle name="Normal 4 5 2 6 2" xfId="29141" xr:uid="{00000000-0005-0000-0000-0000286C0000}"/>
    <cellStyle name="Normal 4 5 2 7" xfId="29147" xr:uid="{00000000-0005-0000-0000-0000296C0000}"/>
    <cellStyle name="Normal 4 5 3" xfId="5565" xr:uid="{00000000-0005-0000-0000-00002A6C0000}"/>
    <cellStyle name="Normal 4 5 3 2" xfId="19905" xr:uid="{00000000-0005-0000-0000-00002B6C0000}"/>
    <cellStyle name="Normal 4 5 4" xfId="13530" xr:uid="{00000000-0005-0000-0000-00002C6C0000}"/>
    <cellStyle name="Normal 4 5 4 2" xfId="3104" xr:uid="{00000000-0005-0000-0000-00002D6C0000}"/>
    <cellStyle name="Normal 4 5 5" xfId="14317" xr:uid="{00000000-0005-0000-0000-00002E6C0000}"/>
    <cellStyle name="Normal 4 5 5 2" xfId="4199" xr:uid="{00000000-0005-0000-0000-00002F6C0000}"/>
    <cellStyle name="Normal 4 5 6" xfId="4967" xr:uid="{00000000-0005-0000-0000-0000306C0000}"/>
    <cellStyle name="Normal 4 5 6 2" xfId="11314" xr:uid="{00000000-0005-0000-0000-0000316C0000}"/>
    <cellStyle name="Normal 4 5 7" xfId="5942" xr:uid="{00000000-0005-0000-0000-0000326C0000}"/>
    <cellStyle name="Normal 4 5 7 2" xfId="11898" xr:uid="{00000000-0005-0000-0000-0000336C0000}"/>
    <cellStyle name="Normal 4 5 8" xfId="4830" xr:uid="{00000000-0005-0000-0000-0000346C0000}"/>
    <cellStyle name="Normal 4 6" xfId="23860" xr:uid="{00000000-0005-0000-0000-0000356C0000}"/>
    <cellStyle name="Normal 4 6 2" xfId="33966" xr:uid="{00000000-0005-0000-0000-0000366C0000}"/>
    <cellStyle name="Normal 4 6 2 2" xfId="24050" xr:uid="{00000000-0005-0000-0000-0000376C0000}"/>
    <cellStyle name="Normal 4 6 2 2 2" xfId="29148" xr:uid="{00000000-0005-0000-0000-0000386C0000}"/>
    <cellStyle name="Normal 4 6 2 3" xfId="5604" xr:uid="{00000000-0005-0000-0000-0000396C0000}"/>
    <cellStyle name="Normal 4 6 2 3 2" xfId="14428" xr:uid="{00000000-0005-0000-0000-00003A6C0000}"/>
    <cellStyle name="Normal 4 6 2 4" xfId="29150" xr:uid="{00000000-0005-0000-0000-00003B6C0000}"/>
    <cellStyle name="Normal 4 6 2 4 2" xfId="10796" xr:uid="{00000000-0005-0000-0000-00003C6C0000}"/>
    <cellStyle name="Normal 4 6 2 5" xfId="31828" xr:uid="{00000000-0005-0000-0000-00003D6C0000}"/>
    <cellStyle name="Normal 4 6 2 5 2" xfId="10808" xr:uid="{00000000-0005-0000-0000-00003E6C0000}"/>
    <cellStyle name="Normal 4 6 2 6" xfId="33258" xr:uid="{00000000-0005-0000-0000-00003F6C0000}"/>
    <cellStyle name="Normal 4 6 2 6 2" xfId="19606" xr:uid="{00000000-0005-0000-0000-0000406C0000}"/>
    <cellStyle name="Normal 4 6 2 7" xfId="698" xr:uid="{00000000-0005-0000-0000-0000416C0000}"/>
    <cellStyle name="Normal 4 6 3" xfId="2820" xr:uid="{00000000-0005-0000-0000-0000426C0000}"/>
    <cellStyle name="Normal 4 6 3 2" xfId="11400" xr:uid="{00000000-0005-0000-0000-0000436C0000}"/>
    <cellStyle name="Normal 4 6 4" xfId="14322" xr:uid="{00000000-0005-0000-0000-0000446C0000}"/>
    <cellStyle name="Normal 4 6 4 2" xfId="3395" xr:uid="{00000000-0005-0000-0000-0000456C0000}"/>
    <cellStyle name="Normal 4 6 5" xfId="2530" xr:uid="{00000000-0005-0000-0000-0000466C0000}"/>
    <cellStyle name="Normal 4 6 5 2" xfId="1800" xr:uid="{00000000-0005-0000-0000-0000476C0000}"/>
    <cellStyle name="Normal 4 6 6" xfId="1048" xr:uid="{00000000-0005-0000-0000-0000486C0000}"/>
    <cellStyle name="Normal 4 6 6 2" xfId="11909" xr:uid="{00000000-0005-0000-0000-0000496C0000}"/>
    <cellStyle name="Normal 4 6 7" xfId="21009" xr:uid="{00000000-0005-0000-0000-00004A6C0000}"/>
    <cellStyle name="Normal 4 6 7 2" xfId="21313" xr:uid="{00000000-0005-0000-0000-00004B6C0000}"/>
    <cellStyle name="Normal 4 6 8" xfId="21017" xr:uid="{00000000-0005-0000-0000-00004C6C0000}"/>
    <cellStyle name="Normal 4 7" xfId="33862" xr:uid="{00000000-0005-0000-0000-00004D6C0000}"/>
    <cellStyle name="Normal 4 7 2" xfId="29152" xr:uid="{00000000-0005-0000-0000-00004E6C0000}"/>
    <cellStyle name="Normal 4 7 2 2" xfId="9293" xr:uid="{00000000-0005-0000-0000-00004F6C0000}"/>
    <cellStyle name="Normal 4 7 2 2 2" xfId="29158" xr:uid="{00000000-0005-0000-0000-0000506C0000}"/>
    <cellStyle name="Normal 4 7 2 3" xfId="28773" xr:uid="{00000000-0005-0000-0000-0000516C0000}"/>
    <cellStyle name="Normal 4 7 2 3 2" xfId="14457" xr:uid="{00000000-0005-0000-0000-0000526C0000}"/>
    <cellStyle name="Normal 4 7 2 4" xfId="29160" xr:uid="{00000000-0005-0000-0000-0000536C0000}"/>
    <cellStyle name="Normal 4 7 2 4 2" xfId="10912" xr:uid="{00000000-0005-0000-0000-0000546C0000}"/>
    <cellStyle name="Normal 4 7 2 5" xfId="28779" xr:uid="{00000000-0005-0000-0000-0000556C0000}"/>
    <cellStyle name="Normal 4 7 2 5 2" xfId="29164" xr:uid="{00000000-0005-0000-0000-0000566C0000}"/>
    <cellStyle name="Normal 4 7 2 6" xfId="26840" xr:uid="{00000000-0005-0000-0000-0000576C0000}"/>
    <cellStyle name="Normal 4 7 2 6 2" xfId="23190" xr:uid="{00000000-0005-0000-0000-0000586C0000}"/>
    <cellStyle name="Normal 4 7 2 7" xfId="29166" xr:uid="{00000000-0005-0000-0000-0000596C0000}"/>
    <cellStyle name="Normal 4 7 3" xfId="3564" xr:uid="{00000000-0005-0000-0000-00005A6C0000}"/>
    <cellStyle name="Normal 4 7 3 2" xfId="29171" xr:uid="{00000000-0005-0000-0000-00005B6C0000}"/>
    <cellStyle name="Normal 4 7 4" xfId="5951" xr:uid="{00000000-0005-0000-0000-00005C6C0000}"/>
    <cellStyle name="Normal 4 7 4 2" xfId="3687" xr:uid="{00000000-0005-0000-0000-00005D6C0000}"/>
    <cellStyle name="Normal 4 7 5" xfId="3466" xr:uid="{00000000-0005-0000-0000-00005E6C0000}"/>
    <cellStyle name="Normal 4 7 5 2" xfId="29173" xr:uid="{00000000-0005-0000-0000-00005F6C0000}"/>
    <cellStyle name="Normal 4 7 6" xfId="29180" xr:uid="{00000000-0005-0000-0000-0000606C0000}"/>
    <cellStyle name="Normal 4 7 6 2" xfId="22969" xr:uid="{00000000-0005-0000-0000-0000616C0000}"/>
    <cellStyle name="Normal 4 7 7" xfId="16175" xr:uid="{00000000-0005-0000-0000-0000626C0000}"/>
    <cellStyle name="Normal 4 7 7 2" xfId="21354" xr:uid="{00000000-0005-0000-0000-0000636C0000}"/>
    <cellStyle name="Normal 4 7 8" xfId="16179" xr:uid="{00000000-0005-0000-0000-0000646C0000}"/>
    <cellStyle name="Normal 4 8" xfId="19080" xr:uid="{00000000-0005-0000-0000-0000656C0000}"/>
    <cellStyle name="Normal 4 8 2" xfId="23255" xr:uid="{00000000-0005-0000-0000-0000666C0000}"/>
    <cellStyle name="Normal 4 8 2 2" xfId="26664" xr:uid="{00000000-0005-0000-0000-0000676C0000}"/>
    <cellStyle name="Normal 4 8 2 2 2" xfId="29192" xr:uid="{00000000-0005-0000-0000-0000686C0000}"/>
    <cellStyle name="Normal 4 8 2 3" xfId="11919" xr:uid="{00000000-0005-0000-0000-0000696C0000}"/>
    <cellStyle name="Normal 4 8 2 3 2" xfId="3815" xr:uid="{00000000-0005-0000-0000-00006A6C0000}"/>
    <cellStyle name="Normal 4 8 2 4" xfId="29194" xr:uid="{00000000-0005-0000-0000-00006B6C0000}"/>
    <cellStyle name="Normal 4 8 2 4 2" xfId="29198" xr:uid="{00000000-0005-0000-0000-00006C6C0000}"/>
    <cellStyle name="Normal 4 8 2 5" xfId="2579" xr:uid="{00000000-0005-0000-0000-00006D6C0000}"/>
    <cellStyle name="Normal 4 8 2 5 2" xfId="19655" xr:uid="{00000000-0005-0000-0000-00006E6C0000}"/>
    <cellStyle name="Normal 4 8 2 6" xfId="16359" xr:uid="{00000000-0005-0000-0000-00006F6C0000}"/>
    <cellStyle name="Normal 4 8 2 6 2" xfId="29200" xr:uid="{00000000-0005-0000-0000-0000706C0000}"/>
    <cellStyle name="Normal 4 8 2 7" xfId="29205" xr:uid="{00000000-0005-0000-0000-0000716C0000}"/>
    <cellStyle name="Normal 4 8 3" xfId="29206" xr:uid="{00000000-0005-0000-0000-0000726C0000}"/>
    <cellStyle name="Normal 4 8 3 2" xfId="26671" xr:uid="{00000000-0005-0000-0000-0000736C0000}"/>
    <cellStyle name="Normal 4 8 4" xfId="10435" xr:uid="{00000000-0005-0000-0000-0000746C0000}"/>
    <cellStyle name="Normal 4 8 4 2" xfId="29211" xr:uid="{00000000-0005-0000-0000-0000756C0000}"/>
    <cellStyle name="Normal 4 8 5" xfId="29214" xr:uid="{00000000-0005-0000-0000-0000766C0000}"/>
    <cellStyle name="Normal 4 8 5 2" xfId="34030" xr:uid="{00000000-0005-0000-0000-0000776C0000}"/>
    <cellStyle name="Normal 4 8 6" xfId="24548" xr:uid="{00000000-0005-0000-0000-0000786C0000}"/>
    <cellStyle name="Normal 4 8 6 2" xfId="22995" xr:uid="{00000000-0005-0000-0000-0000796C0000}"/>
    <cellStyle name="Normal 4 8 7" xfId="12152" xr:uid="{00000000-0005-0000-0000-00007A6C0000}"/>
    <cellStyle name="Normal 4 8 7 2" xfId="2287" xr:uid="{00000000-0005-0000-0000-00007B6C0000}"/>
    <cellStyle name="Normal 4 8 8" xfId="21418" xr:uid="{00000000-0005-0000-0000-00007C6C0000}"/>
    <cellStyle name="Normal 4 9" xfId="981" xr:uid="{00000000-0005-0000-0000-00007D6C0000}"/>
    <cellStyle name="Normal 4 9 2" xfId="29229" xr:uid="{00000000-0005-0000-0000-00007E6C0000}"/>
    <cellStyle name="Normal 4 9 2 2" xfId="7770" xr:uid="{00000000-0005-0000-0000-00007F6C0000}"/>
    <cellStyle name="Normal 4 9 2 2 2" xfId="12715" xr:uid="{00000000-0005-0000-0000-0000806C0000}"/>
    <cellStyle name="Normal 4 9 2 3" xfId="33995" xr:uid="{00000000-0005-0000-0000-0000816C0000}"/>
    <cellStyle name="Normal 4 9 2 3 2" xfId="14754" xr:uid="{00000000-0005-0000-0000-0000826C0000}"/>
    <cellStyle name="Normal 4 9 2 4" xfId="28837" xr:uid="{00000000-0005-0000-0000-0000836C0000}"/>
    <cellStyle name="Normal 4 9 2 4 2" xfId="9976" xr:uid="{00000000-0005-0000-0000-0000846C0000}"/>
    <cellStyle name="Normal 4 9 2 5" xfId="25118" xr:uid="{00000000-0005-0000-0000-0000856C0000}"/>
    <cellStyle name="Normal 4 9 2 5 2" xfId="29231" xr:uid="{00000000-0005-0000-0000-0000866C0000}"/>
    <cellStyle name="Normal 4 9 2 6" xfId="29233" xr:uid="{00000000-0005-0000-0000-0000876C0000}"/>
    <cellStyle name="Normal 4 9 2 6 2" xfId="29238" xr:uid="{00000000-0005-0000-0000-0000886C0000}"/>
    <cellStyle name="Normal 4 9 2 7" xfId="29242" xr:uid="{00000000-0005-0000-0000-0000896C0000}"/>
    <cellStyle name="Normal 4 9 3" xfId="15688" xr:uid="{00000000-0005-0000-0000-00008A6C0000}"/>
    <cellStyle name="Normal 4 9 3 2" xfId="29244" xr:uid="{00000000-0005-0000-0000-00008B6C0000}"/>
    <cellStyle name="Normal 4 9 4" xfId="27534" xr:uid="{00000000-0005-0000-0000-00008C6C0000}"/>
    <cellStyle name="Normal 4 9 4 2" xfId="30542" xr:uid="{00000000-0005-0000-0000-00008D6C0000}"/>
    <cellStyle name="Normal 4 9 5" xfId="26691" xr:uid="{00000000-0005-0000-0000-00008E6C0000}"/>
    <cellStyle name="Normal 4 9 5 2" xfId="33344" xr:uid="{00000000-0005-0000-0000-00008F6C0000}"/>
    <cellStyle name="Normal 4 9 6" xfId="16299" xr:uid="{00000000-0005-0000-0000-0000906C0000}"/>
    <cellStyle name="Normal 4 9 6 2" xfId="4825" xr:uid="{00000000-0005-0000-0000-0000916C0000}"/>
    <cellStyle name="Normal 4 9 7" xfId="16312" xr:uid="{00000000-0005-0000-0000-0000926C0000}"/>
    <cellStyle name="Normal 4 9 7 2" xfId="3298" xr:uid="{00000000-0005-0000-0000-0000936C0000}"/>
    <cellStyle name="Normal 4 9 8" xfId="16321" xr:uid="{00000000-0005-0000-0000-0000946C0000}"/>
    <cellStyle name="Normal 5" xfId="29245" xr:uid="{00000000-0005-0000-0000-0000956C0000}"/>
    <cellStyle name="Normal 5 10" xfId="26805" xr:uid="{00000000-0005-0000-0000-0000966C0000}"/>
    <cellStyle name="Normal 5 10 2" xfId="25881" xr:uid="{00000000-0005-0000-0000-0000976C0000}"/>
    <cellStyle name="Normal 5 10 2 2" xfId="29249" xr:uid="{00000000-0005-0000-0000-0000986C0000}"/>
    <cellStyle name="Normal 5 10 2 2 2" xfId="29250" xr:uid="{00000000-0005-0000-0000-0000996C0000}"/>
    <cellStyle name="Normal 5 10 2 3" xfId="32405" xr:uid="{00000000-0005-0000-0000-00009A6C0000}"/>
    <cellStyle name="Normal 5 10 2 3 2" xfId="31836" xr:uid="{00000000-0005-0000-0000-00009B6C0000}"/>
    <cellStyle name="Normal 5 10 2 4" xfId="29255" xr:uid="{00000000-0005-0000-0000-00009C6C0000}"/>
    <cellStyle name="Normal 5 10 2 4 2" xfId="29779" xr:uid="{00000000-0005-0000-0000-00009D6C0000}"/>
    <cellStyle name="Normal 5 10 2 5" xfId="32532" xr:uid="{00000000-0005-0000-0000-00009E6C0000}"/>
    <cellStyle name="Normal 5 10 2 5 2" xfId="26175" xr:uid="{00000000-0005-0000-0000-00009F6C0000}"/>
    <cellStyle name="Normal 5 10 2 6" xfId="29564" xr:uid="{00000000-0005-0000-0000-0000A06C0000}"/>
    <cellStyle name="Normal 5 10 2 6 2" xfId="26178" xr:uid="{00000000-0005-0000-0000-0000A16C0000}"/>
    <cellStyle name="Normal 5 10 2 7" xfId="29260" xr:uid="{00000000-0005-0000-0000-0000A26C0000}"/>
    <cellStyle name="Normal 5 10 3" xfId="30649" xr:uid="{00000000-0005-0000-0000-0000A36C0000}"/>
    <cellStyle name="Normal 5 10 3 2" xfId="24193" xr:uid="{00000000-0005-0000-0000-0000A46C0000}"/>
    <cellStyle name="Normal 5 10 4" xfId="21884" xr:uid="{00000000-0005-0000-0000-0000A56C0000}"/>
    <cellStyle name="Normal 5 10 4 2" xfId="11246" xr:uid="{00000000-0005-0000-0000-0000A66C0000}"/>
    <cellStyle name="Normal 5 10 5" xfId="31459" xr:uid="{00000000-0005-0000-0000-0000A76C0000}"/>
    <cellStyle name="Normal 5 10 5 2" xfId="29263" xr:uid="{00000000-0005-0000-0000-0000A86C0000}"/>
    <cellStyle name="Normal 5 10 6" xfId="30985" xr:uid="{00000000-0005-0000-0000-0000A96C0000}"/>
    <cellStyle name="Normal 5 10 6 2" xfId="26700" xr:uid="{00000000-0005-0000-0000-0000AA6C0000}"/>
    <cellStyle name="Normal 5 10 7" xfId="32764" xr:uid="{00000000-0005-0000-0000-0000AB6C0000}"/>
    <cellStyle name="Normal 5 10 7 2" xfId="6882" xr:uid="{00000000-0005-0000-0000-0000AC6C0000}"/>
    <cellStyle name="Normal 5 10 8" xfId="19492" xr:uid="{00000000-0005-0000-0000-0000AD6C0000}"/>
    <cellStyle name="Normal 5 11" xfId="25167" xr:uid="{00000000-0005-0000-0000-0000AE6C0000}"/>
    <cellStyle name="Normal 5 11 2" xfId="25885" xr:uid="{00000000-0005-0000-0000-0000AF6C0000}"/>
    <cellStyle name="Normal 5 11 2 2" xfId="27019" xr:uid="{00000000-0005-0000-0000-0000B06C0000}"/>
    <cellStyle name="Normal 5 11 2 2 2" xfId="29265" xr:uid="{00000000-0005-0000-0000-0000B16C0000}"/>
    <cellStyle name="Normal 5 11 2 3" xfId="29266" xr:uid="{00000000-0005-0000-0000-0000B26C0000}"/>
    <cellStyle name="Normal 5 11 2 3 2" xfId="27671" xr:uid="{00000000-0005-0000-0000-0000B36C0000}"/>
    <cellStyle name="Normal 5 11 2 4" xfId="29271" xr:uid="{00000000-0005-0000-0000-0000B46C0000}"/>
    <cellStyle name="Normal 5 11 2 4 2" xfId="21896" xr:uid="{00000000-0005-0000-0000-0000B56C0000}"/>
    <cellStyle name="Normal 5 11 2 5" xfId="27106" xr:uid="{00000000-0005-0000-0000-0000B66C0000}"/>
    <cellStyle name="Normal 5 11 2 5 2" xfId="2327" xr:uid="{00000000-0005-0000-0000-0000B76C0000}"/>
    <cellStyle name="Normal 5 11 2 6" xfId="27790" xr:uid="{00000000-0005-0000-0000-0000B86C0000}"/>
    <cellStyle name="Normal 5 11 2 6 2" xfId="28592" xr:uid="{00000000-0005-0000-0000-0000B96C0000}"/>
    <cellStyle name="Normal 5 11 2 7" xfId="28449" xr:uid="{00000000-0005-0000-0000-0000BA6C0000}"/>
    <cellStyle name="Normal 5 11 3" xfId="33422" xr:uid="{00000000-0005-0000-0000-0000BB6C0000}"/>
    <cellStyle name="Normal 5 11 3 2" xfId="24230" xr:uid="{00000000-0005-0000-0000-0000BC6C0000}"/>
    <cellStyle name="Normal 5 11 4" xfId="33462" xr:uid="{00000000-0005-0000-0000-0000BD6C0000}"/>
    <cellStyle name="Normal 5 11 4 2" xfId="29276" xr:uid="{00000000-0005-0000-0000-0000BE6C0000}"/>
    <cellStyle name="Normal 5 11 5" xfId="201" xr:uid="{00000000-0005-0000-0000-0000BF6C0000}"/>
    <cellStyle name="Normal 5 11 5 2" xfId="29278" xr:uid="{00000000-0005-0000-0000-0000C06C0000}"/>
    <cellStyle name="Normal 5 11 6" xfId="27295" xr:uid="{00000000-0005-0000-0000-0000C16C0000}"/>
    <cellStyle name="Normal 5 11 6 2" xfId="23077" xr:uid="{00000000-0005-0000-0000-0000C26C0000}"/>
    <cellStyle name="Normal 5 11 7" xfId="29279" xr:uid="{00000000-0005-0000-0000-0000C36C0000}"/>
    <cellStyle name="Normal 5 11 7 2" xfId="23217" xr:uid="{00000000-0005-0000-0000-0000C46C0000}"/>
    <cellStyle name="Normal 5 11 8" xfId="20519" xr:uid="{00000000-0005-0000-0000-0000C56C0000}"/>
    <cellStyle name="Normal 5 12" xfId="29485" xr:uid="{00000000-0005-0000-0000-0000C66C0000}"/>
    <cellStyle name="Normal 5 12 2" xfId="25892" xr:uid="{00000000-0005-0000-0000-0000C76C0000}"/>
    <cellStyle name="Normal 5 12 2 2" xfId="29280" xr:uid="{00000000-0005-0000-0000-0000C86C0000}"/>
    <cellStyle name="Normal 5 12 2 2 2" xfId="29283" xr:uid="{00000000-0005-0000-0000-0000C96C0000}"/>
    <cellStyle name="Normal 5 12 2 3" xfId="28232" xr:uid="{00000000-0005-0000-0000-0000CA6C0000}"/>
    <cellStyle name="Normal 5 12 2 3 2" xfId="15082" xr:uid="{00000000-0005-0000-0000-0000CB6C0000}"/>
    <cellStyle name="Normal 5 12 2 4" xfId="29860" xr:uid="{00000000-0005-0000-0000-0000CC6C0000}"/>
    <cellStyle name="Normal 5 12 2 4 2" xfId="15161" xr:uid="{00000000-0005-0000-0000-0000CD6C0000}"/>
    <cellStyle name="Normal 5 12 2 5" xfId="29285" xr:uid="{00000000-0005-0000-0000-0000CE6C0000}"/>
    <cellStyle name="Normal 5 12 2 5 2" xfId="28394" xr:uid="{00000000-0005-0000-0000-0000CF6C0000}"/>
    <cellStyle name="Normal 5 12 2 6" xfId="29290" xr:uid="{00000000-0005-0000-0000-0000D06C0000}"/>
    <cellStyle name="Normal 5 12 2 6 2" xfId="28610" xr:uid="{00000000-0005-0000-0000-0000D16C0000}"/>
    <cellStyle name="Normal 5 12 2 7" xfId="30303" xr:uid="{00000000-0005-0000-0000-0000D26C0000}"/>
    <cellStyle name="Normal 5 12 3" xfId="32596" xr:uid="{00000000-0005-0000-0000-0000D36C0000}"/>
    <cellStyle name="Normal 5 12 3 2" xfId="29293" xr:uid="{00000000-0005-0000-0000-0000D46C0000}"/>
    <cellStyle name="Normal 5 12 4" xfId="23496" xr:uid="{00000000-0005-0000-0000-0000D56C0000}"/>
    <cellStyle name="Normal 5 12 4 2" xfId="29299" xr:uid="{00000000-0005-0000-0000-0000D66C0000}"/>
    <cellStyle name="Normal 5 12 5" xfId="32087" xr:uid="{00000000-0005-0000-0000-0000D76C0000}"/>
    <cellStyle name="Normal 5 12 5 2" xfId="31309" xr:uid="{00000000-0005-0000-0000-0000D86C0000}"/>
    <cellStyle name="Normal 5 12 6" xfId="29301" xr:uid="{00000000-0005-0000-0000-0000D96C0000}"/>
    <cellStyle name="Normal 5 12 6 2" xfId="25472" xr:uid="{00000000-0005-0000-0000-0000DA6C0000}"/>
    <cellStyle name="Normal 5 12 7" xfId="29305" xr:uid="{00000000-0005-0000-0000-0000DB6C0000}"/>
    <cellStyle name="Normal 5 12 7 2" xfId="6733" xr:uid="{00000000-0005-0000-0000-0000DC6C0000}"/>
    <cellStyle name="Normal 5 12 8" xfId="28829" xr:uid="{00000000-0005-0000-0000-0000DD6C0000}"/>
    <cellStyle name="Normal 5 13" xfId="28333" xr:uid="{00000000-0005-0000-0000-0000DE6C0000}"/>
    <cellStyle name="Normal 5 13 2" xfId="29307" xr:uid="{00000000-0005-0000-0000-0000DF6C0000}"/>
    <cellStyle name="Normal 5 13 2 2" xfId="29309" xr:uid="{00000000-0005-0000-0000-0000E06C0000}"/>
    <cellStyle name="Normal 5 13 2 2 2" xfId="22380" xr:uid="{00000000-0005-0000-0000-0000E16C0000}"/>
    <cellStyle name="Normal 5 13 2 3" xfId="23520" xr:uid="{00000000-0005-0000-0000-0000E26C0000}"/>
    <cellStyle name="Normal 5 13 2 3 2" xfId="15831" xr:uid="{00000000-0005-0000-0000-0000E36C0000}"/>
    <cellStyle name="Normal 5 13 2 4" xfId="33727" xr:uid="{00000000-0005-0000-0000-0000E46C0000}"/>
    <cellStyle name="Normal 5 13 2 4 2" xfId="31237" xr:uid="{00000000-0005-0000-0000-0000E56C0000}"/>
    <cellStyle name="Normal 5 13 2 5" xfId="8128" xr:uid="{00000000-0005-0000-0000-0000E66C0000}"/>
    <cellStyle name="Normal 5 13 2 5 2" xfId="15889" xr:uid="{00000000-0005-0000-0000-0000E76C0000}"/>
    <cellStyle name="Normal 5 13 2 6" xfId="3655" xr:uid="{00000000-0005-0000-0000-0000E86C0000}"/>
    <cellStyle name="Normal 5 13 2 6 2" xfId="15906" xr:uid="{00000000-0005-0000-0000-0000E96C0000}"/>
    <cellStyle name="Normal 5 13 2 7" xfId="32529" xr:uid="{00000000-0005-0000-0000-0000EA6C0000}"/>
    <cellStyle name="Normal 5 13 3" xfId="30775" xr:uid="{00000000-0005-0000-0000-0000EB6C0000}"/>
    <cellStyle name="Normal 5 13 3 2" xfId="17264" xr:uid="{00000000-0005-0000-0000-0000EC6C0000}"/>
    <cellStyle name="Normal 5 13 4" xfId="29312" xr:uid="{00000000-0005-0000-0000-0000ED6C0000}"/>
    <cellStyle name="Normal 5 13 4 2" xfId="26956" xr:uid="{00000000-0005-0000-0000-0000EE6C0000}"/>
    <cellStyle name="Normal 5 13 5" xfId="438" xr:uid="{00000000-0005-0000-0000-0000EF6C0000}"/>
    <cellStyle name="Normal 5 13 5 2" xfId="30969" xr:uid="{00000000-0005-0000-0000-0000F06C0000}"/>
    <cellStyle name="Normal 5 13 6" xfId="26218" xr:uid="{00000000-0005-0000-0000-0000F16C0000}"/>
    <cellStyle name="Normal 5 13 6 2" xfId="12821" xr:uid="{00000000-0005-0000-0000-0000F26C0000}"/>
    <cellStyle name="Normal 5 13 7" xfId="32442" xr:uid="{00000000-0005-0000-0000-0000F36C0000}"/>
    <cellStyle name="Normal 5 13 7 2" xfId="11631" xr:uid="{00000000-0005-0000-0000-0000F46C0000}"/>
    <cellStyle name="Normal 5 13 8" xfId="29317" xr:uid="{00000000-0005-0000-0000-0000F56C0000}"/>
    <cellStyle name="Normal 5 14" xfId="21254" xr:uid="{00000000-0005-0000-0000-0000F66C0000}"/>
    <cellStyle name="Normal 5 14 2" xfId="24360" xr:uid="{00000000-0005-0000-0000-0000F76C0000}"/>
    <cellStyle name="Normal 5 14 2 2" xfId="27008" xr:uid="{00000000-0005-0000-0000-0000F86C0000}"/>
    <cellStyle name="Normal 5 14 3" xfId="31699" xr:uid="{00000000-0005-0000-0000-0000F96C0000}"/>
    <cellStyle name="Normal 5 14 3 2" xfId="27043" xr:uid="{00000000-0005-0000-0000-0000FA6C0000}"/>
    <cellStyle name="Normal 5 14 4" xfId="5001" xr:uid="{00000000-0005-0000-0000-0000FB6C0000}"/>
    <cellStyle name="Normal 5 14 4 2" xfId="29322" xr:uid="{00000000-0005-0000-0000-0000FC6C0000}"/>
    <cellStyle name="Normal 5 14 5" xfId="29328" xr:uid="{00000000-0005-0000-0000-0000FD6C0000}"/>
    <cellStyle name="Normal 5 14 5 2" xfId="31484" xr:uid="{00000000-0005-0000-0000-0000FE6C0000}"/>
    <cellStyle name="Normal 5 14 6" xfId="30978" xr:uid="{00000000-0005-0000-0000-0000FF6C0000}"/>
    <cellStyle name="Normal 5 14 6 2" xfId="27117" xr:uid="{00000000-0005-0000-0000-0000006D0000}"/>
    <cellStyle name="Normal 5 14 7" xfId="29330" xr:uid="{00000000-0005-0000-0000-0000016D0000}"/>
    <cellStyle name="Normal 5 15" xfId="25020" xr:uid="{00000000-0005-0000-0000-0000026D0000}"/>
    <cellStyle name="Normal 5 15 2" xfId="27742" xr:uid="{00000000-0005-0000-0000-0000036D0000}"/>
    <cellStyle name="Normal 5 15 2 2" xfId="29456" xr:uid="{00000000-0005-0000-0000-0000046D0000}"/>
    <cellStyle name="Normal 5 15 3" xfId="26538" xr:uid="{00000000-0005-0000-0000-0000056D0000}"/>
    <cellStyle name="Normal 5 15 3 2" xfId="30004" xr:uid="{00000000-0005-0000-0000-0000066D0000}"/>
    <cellStyle name="Normal 5 15 4" xfId="29493" xr:uid="{00000000-0005-0000-0000-0000076D0000}"/>
    <cellStyle name="Normal 5 15 4 2" xfId="33633" xr:uid="{00000000-0005-0000-0000-0000086D0000}"/>
    <cellStyle name="Normal 5 15 5" xfId="29343" xr:uid="{00000000-0005-0000-0000-0000096D0000}"/>
    <cellStyle name="Normal 5 15 5 2" xfId="29507" xr:uid="{00000000-0005-0000-0000-00000A6D0000}"/>
    <cellStyle name="Normal 5 15 6" xfId="29201" xr:uid="{00000000-0005-0000-0000-00000B6D0000}"/>
    <cellStyle name="Normal 5 15 6 2" xfId="20223" xr:uid="{00000000-0005-0000-0000-00000C6D0000}"/>
    <cellStyle name="Normal 5 15 7" xfId="26347" xr:uid="{00000000-0005-0000-0000-00000D6D0000}"/>
    <cellStyle name="Normal 5 16" xfId="2666" xr:uid="{00000000-0005-0000-0000-00000E6D0000}"/>
    <cellStyle name="Normal 5 16 2" xfId="29346" xr:uid="{00000000-0005-0000-0000-00000F6D0000}"/>
    <cellStyle name="Normal 5 16 2 2" xfId="25423" xr:uid="{00000000-0005-0000-0000-0000106D0000}"/>
    <cellStyle name="Normal 5 16 3" xfId="20911" xr:uid="{00000000-0005-0000-0000-0000116D0000}"/>
    <cellStyle name="Normal 5 16 3 2" xfId="25457" xr:uid="{00000000-0005-0000-0000-0000126D0000}"/>
    <cellStyle name="Normal 5 16 4" xfId="20466" xr:uid="{00000000-0005-0000-0000-0000136D0000}"/>
    <cellStyle name="Normal 5 16 4 2" xfId="29542" xr:uid="{00000000-0005-0000-0000-0000146D0000}"/>
    <cellStyle name="Normal 5 16 5" xfId="20490" xr:uid="{00000000-0005-0000-0000-0000156D0000}"/>
    <cellStyle name="Normal 5 16 5 2" xfId="29348" xr:uid="{00000000-0005-0000-0000-0000166D0000}"/>
    <cellStyle name="Normal 5 16 6" xfId="20506" xr:uid="{00000000-0005-0000-0000-0000176D0000}"/>
    <cellStyle name="Normal 5 16 6 2" xfId="20509" xr:uid="{00000000-0005-0000-0000-0000186D0000}"/>
    <cellStyle name="Normal 5 16 7" xfId="25888" xr:uid="{00000000-0005-0000-0000-0000196D0000}"/>
    <cellStyle name="Normal 5 17" xfId="20512" xr:uid="{00000000-0005-0000-0000-00001A6D0000}"/>
    <cellStyle name="Normal 5 17 2" xfId="20216" xr:uid="{00000000-0005-0000-0000-00001B6D0000}"/>
    <cellStyle name="Normal 5 18" xfId="29352" xr:uid="{00000000-0005-0000-0000-00001C6D0000}"/>
    <cellStyle name="Normal 5 18 2" xfId="20597" xr:uid="{00000000-0005-0000-0000-00001D6D0000}"/>
    <cellStyle name="Normal 5 19" xfId="23923" xr:uid="{00000000-0005-0000-0000-00001E6D0000}"/>
    <cellStyle name="Normal 5 19 2" xfId="20642" xr:uid="{00000000-0005-0000-0000-00001F6D0000}"/>
    <cellStyle name="Normal 5 2" xfId="24909" xr:uid="{00000000-0005-0000-0000-0000206D0000}"/>
    <cellStyle name="Normal 5 2 10" xfId="31760" xr:uid="{00000000-0005-0000-0000-0000216D0000}"/>
    <cellStyle name="Normal 5 2 10 2" xfId="33893" xr:uid="{00000000-0005-0000-0000-0000226D0000}"/>
    <cellStyle name="Normal 5 2 10 2 2" xfId="1849" xr:uid="{00000000-0005-0000-0000-0000236D0000}"/>
    <cellStyle name="Normal 5 2 10 2 2 2" xfId="9061" xr:uid="{00000000-0005-0000-0000-0000246D0000}"/>
    <cellStyle name="Normal 5 2 10 2 3" xfId="1977" xr:uid="{00000000-0005-0000-0000-0000256D0000}"/>
    <cellStyle name="Normal 5 2 10 2 3 2" xfId="29359" xr:uid="{00000000-0005-0000-0000-0000266D0000}"/>
    <cellStyle name="Normal 5 2 10 2 4" xfId="3452" xr:uid="{00000000-0005-0000-0000-0000276D0000}"/>
    <cellStyle name="Normal 5 2 10 2 4 2" xfId="29360" xr:uid="{00000000-0005-0000-0000-0000286D0000}"/>
    <cellStyle name="Normal 5 2 10 2 5" xfId="29362" xr:uid="{00000000-0005-0000-0000-0000296D0000}"/>
    <cellStyle name="Normal 5 2 10 2 5 2" xfId="29365" xr:uid="{00000000-0005-0000-0000-00002A6D0000}"/>
    <cellStyle name="Normal 5 2 10 2 6" xfId="29196" xr:uid="{00000000-0005-0000-0000-00002B6D0000}"/>
    <cellStyle name="Normal 5 2 10 2 6 2" xfId="29371" xr:uid="{00000000-0005-0000-0000-00002C6D0000}"/>
    <cellStyle name="Normal 5 2 10 2 7" xfId="29839" xr:uid="{00000000-0005-0000-0000-00002D6D0000}"/>
    <cellStyle name="Normal 5 2 10 3" xfId="29380" xr:uid="{00000000-0005-0000-0000-00002E6D0000}"/>
    <cellStyle name="Normal 5 2 10 3 2" xfId="1993" xr:uid="{00000000-0005-0000-0000-00002F6D0000}"/>
    <cellStyle name="Normal 5 2 10 4" xfId="32449" xr:uid="{00000000-0005-0000-0000-0000306D0000}"/>
    <cellStyle name="Normal 5 2 10 4 2" xfId="20187" xr:uid="{00000000-0005-0000-0000-0000316D0000}"/>
    <cellStyle name="Normal 5 2 10 5" xfId="31103" xr:uid="{00000000-0005-0000-0000-0000326D0000}"/>
    <cellStyle name="Normal 5 2 10 5 2" xfId="346" xr:uid="{00000000-0005-0000-0000-0000336D0000}"/>
    <cellStyle name="Normal 5 2 10 6" xfId="10525" xr:uid="{00000000-0005-0000-0000-0000346D0000}"/>
    <cellStyle name="Normal 5 2 10 6 2" xfId="32461" xr:uid="{00000000-0005-0000-0000-0000356D0000}"/>
    <cellStyle name="Normal 5 2 10 7" xfId="26485" xr:uid="{00000000-0005-0000-0000-0000366D0000}"/>
    <cellStyle name="Normal 5 2 10 7 2" xfId="29381" xr:uid="{00000000-0005-0000-0000-0000376D0000}"/>
    <cellStyle name="Normal 5 2 10 8" xfId="29382" xr:uid="{00000000-0005-0000-0000-0000386D0000}"/>
    <cellStyle name="Normal 5 2 11" xfId="29488" xr:uid="{00000000-0005-0000-0000-0000396D0000}"/>
    <cellStyle name="Normal 5 2 11 2" xfId="28329" xr:uid="{00000000-0005-0000-0000-00003A6D0000}"/>
    <cellStyle name="Normal 5 2 11 2 2" xfId="1861" xr:uid="{00000000-0005-0000-0000-00003B6D0000}"/>
    <cellStyle name="Normal 5 2 11 3" xfId="21935" xr:uid="{00000000-0005-0000-0000-00003C6D0000}"/>
    <cellStyle name="Normal 5 2 11 3 2" xfId="3192" xr:uid="{00000000-0005-0000-0000-00003D6D0000}"/>
    <cellStyle name="Normal 5 2 11 4" xfId="29383" xr:uid="{00000000-0005-0000-0000-00003E6D0000}"/>
    <cellStyle name="Normal 5 2 11 4 2" xfId="20209" xr:uid="{00000000-0005-0000-0000-00003F6D0000}"/>
    <cellStyle name="Normal 5 2 11 5" xfId="30207" xr:uid="{00000000-0005-0000-0000-0000406D0000}"/>
    <cellStyle name="Normal 5 2 11 5 2" xfId="32357" xr:uid="{00000000-0005-0000-0000-0000416D0000}"/>
    <cellStyle name="Normal 5 2 11 6" xfId="32363" xr:uid="{00000000-0005-0000-0000-0000426D0000}"/>
    <cellStyle name="Normal 5 2 11 6 2" xfId="27209" xr:uid="{00000000-0005-0000-0000-0000436D0000}"/>
    <cellStyle name="Normal 5 2 11 7" xfId="8411" xr:uid="{00000000-0005-0000-0000-0000446D0000}"/>
    <cellStyle name="Normal 5 2 12" xfId="28336" xr:uid="{00000000-0005-0000-0000-0000456D0000}"/>
    <cellStyle name="Normal 5 2 12 2" xfId="31496" xr:uid="{00000000-0005-0000-0000-0000466D0000}"/>
    <cellStyle name="Normal 5 2 12 2 2" xfId="13396" xr:uid="{00000000-0005-0000-0000-0000476D0000}"/>
    <cellStyle name="Normal 5 2 12 3" xfId="29386" xr:uid="{00000000-0005-0000-0000-0000486D0000}"/>
    <cellStyle name="Normal 5 2 12 3 2" xfId="136" xr:uid="{00000000-0005-0000-0000-0000496D0000}"/>
    <cellStyle name="Normal 5 2 12 4" xfId="29387" xr:uid="{00000000-0005-0000-0000-00004A6D0000}"/>
    <cellStyle name="Normal 5 2 12 4 2" xfId="29395" xr:uid="{00000000-0005-0000-0000-00004B6D0000}"/>
    <cellStyle name="Normal 5 2 12 5" xfId="29404" xr:uid="{00000000-0005-0000-0000-00004C6D0000}"/>
    <cellStyle name="Normal 5 2 12 5 2" xfId="29407" xr:uid="{00000000-0005-0000-0000-00004D6D0000}"/>
    <cellStyle name="Normal 5 2 12 6" xfId="29409" xr:uid="{00000000-0005-0000-0000-00004E6D0000}"/>
    <cellStyle name="Normal 5 2 12 6 2" xfId="29410" xr:uid="{00000000-0005-0000-0000-00004F6D0000}"/>
    <cellStyle name="Normal 5 2 12 7" xfId="8425" xr:uid="{00000000-0005-0000-0000-0000506D0000}"/>
    <cellStyle name="Normal 5 2 13" xfId="29414" xr:uid="{00000000-0005-0000-0000-0000516D0000}"/>
    <cellStyle name="Normal 5 2 13 2" xfId="30074" xr:uid="{00000000-0005-0000-0000-0000526D0000}"/>
    <cellStyle name="Normal 5 2 14" xfId="29420" xr:uid="{00000000-0005-0000-0000-0000536D0000}"/>
    <cellStyle name="Normal 5 2 14 2" xfId="29424" xr:uid="{00000000-0005-0000-0000-0000546D0000}"/>
    <cellStyle name="Normal 5 2 15" xfId="29430" xr:uid="{00000000-0005-0000-0000-0000556D0000}"/>
    <cellStyle name="Normal 5 2 15 2" xfId="21199" xr:uid="{00000000-0005-0000-0000-0000566D0000}"/>
    <cellStyle name="Normal 5 2 16" xfId="15734" xr:uid="{00000000-0005-0000-0000-0000576D0000}"/>
    <cellStyle name="Normal 5 2 16 2" xfId="29431" xr:uid="{00000000-0005-0000-0000-0000586D0000}"/>
    <cellStyle name="Normal 5 2 17" xfId="17361" xr:uid="{00000000-0005-0000-0000-0000596D0000}"/>
    <cellStyle name="Normal 5 2 17 2" xfId="29432" xr:uid="{00000000-0005-0000-0000-00005A6D0000}"/>
    <cellStyle name="Normal 5 2 18" xfId="31019" xr:uid="{00000000-0005-0000-0000-00005B6D0000}"/>
    <cellStyle name="Normal 5 2 2" xfId="29438" xr:uid="{00000000-0005-0000-0000-00005C6D0000}"/>
    <cellStyle name="Normal 5 2 2 2" xfId="26562" xr:uid="{00000000-0005-0000-0000-00005D6D0000}"/>
    <cellStyle name="Normal 5 2 2 2 2" xfId="25363" xr:uid="{00000000-0005-0000-0000-00005E6D0000}"/>
    <cellStyle name="Normal 5 2 2 2 2 2" xfId="9396" xr:uid="{00000000-0005-0000-0000-00005F6D0000}"/>
    <cellStyle name="Normal 5 2 2 2 2 2 2" xfId="23635" xr:uid="{00000000-0005-0000-0000-0000606D0000}"/>
    <cellStyle name="Normal 5 2 2 2 2 2 2 2" xfId="29444" xr:uid="{00000000-0005-0000-0000-0000616D0000}"/>
    <cellStyle name="Normal 5 2 2 2 2 2 2 2 2" xfId="29449" xr:uid="{00000000-0005-0000-0000-0000626D0000}"/>
    <cellStyle name="Normal 5 2 2 2 2 2 2 2 2 2" xfId="13308" xr:uid="{00000000-0005-0000-0000-0000636D0000}"/>
    <cellStyle name="Normal 5 2 2 2 2 2 2 2 2 2 2" xfId="22858" xr:uid="{00000000-0005-0000-0000-0000646D0000}"/>
    <cellStyle name="Normal 5 2 2 2 2 2 2 2 2 3" xfId="26227" xr:uid="{00000000-0005-0000-0000-0000656D0000}"/>
    <cellStyle name="Normal 5 2 2 2 2 2 2 2 3" xfId="29451" xr:uid="{00000000-0005-0000-0000-0000666D0000}"/>
    <cellStyle name="Normal 5 2 2 2 2 2 2 2 3 2" xfId="1609" xr:uid="{00000000-0005-0000-0000-0000676D0000}"/>
    <cellStyle name="Normal 5 2 2 2 2 2 2 2 4" xfId="27056" xr:uid="{00000000-0005-0000-0000-0000686D0000}"/>
    <cellStyle name="Normal 5 2 2 2 2 2 2 3" xfId="6091" xr:uid="{00000000-0005-0000-0000-0000696D0000}"/>
    <cellStyle name="Normal 5 2 2 2 2 2 2 3 2" xfId="26322" xr:uid="{00000000-0005-0000-0000-00006A6D0000}"/>
    <cellStyle name="Normal 5 2 2 2 2 2 2 3 2 2" xfId="3379" xr:uid="{00000000-0005-0000-0000-00006B6D0000}"/>
    <cellStyle name="Normal 5 2 2 2 2 2 2 3 3" xfId="20864" xr:uid="{00000000-0005-0000-0000-00006C6D0000}"/>
    <cellStyle name="Normal 5 2 2 2 2 2 2 4" xfId="20277" xr:uid="{00000000-0005-0000-0000-00006D6D0000}"/>
    <cellStyle name="Normal 5 2 2 2 2 2 2 4 2" xfId="20279" xr:uid="{00000000-0005-0000-0000-00006E6D0000}"/>
    <cellStyle name="Normal 5 2 2 2 2 2 2 5" xfId="20284" xr:uid="{00000000-0005-0000-0000-00006F6D0000}"/>
    <cellStyle name="Normal 5 2 2 2 2 2 3" xfId="25667" xr:uid="{00000000-0005-0000-0000-0000706D0000}"/>
    <cellStyle name="Normal 5 2 2 2 2 2 3 2" xfId="6723" xr:uid="{00000000-0005-0000-0000-0000716D0000}"/>
    <cellStyle name="Normal 5 2 2 2 2 2 3 2 2" xfId="28264" xr:uid="{00000000-0005-0000-0000-0000726D0000}"/>
    <cellStyle name="Normal 5 2 2 2 2 2 3 2 2 2" xfId="26768" xr:uid="{00000000-0005-0000-0000-0000736D0000}"/>
    <cellStyle name="Normal 5 2 2 2 2 2 3 2 3" xfId="29452" xr:uid="{00000000-0005-0000-0000-0000746D0000}"/>
    <cellStyle name="Normal 5 2 2 2 2 2 3 3" xfId="24718" xr:uid="{00000000-0005-0000-0000-0000756D0000}"/>
    <cellStyle name="Normal 5 2 2 2 2 2 3 3 2" xfId="26820" xr:uid="{00000000-0005-0000-0000-0000766D0000}"/>
    <cellStyle name="Normal 5 2 2 2 2 2 3 4" xfId="18643" xr:uid="{00000000-0005-0000-0000-0000776D0000}"/>
    <cellStyle name="Normal 5 2 2 2 2 2 4" xfId="7853" xr:uid="{00000000-0005-0000-0000-0000786D0000}"/>
    <cellStyle name="Normal 5 2 2 2 2 2 4 2" xfId="29454" xr:uid="{00000000-0005-0000-0000-0000796D0000}"/>
    <cellStyle name="Normal 5 2 2 2 2 2 4 2 2" xfId="33525" xr:uid="{00000000-0005-0000-0000-00007A6D0000}"/>
    <cellStyle name="Normal 5 2 2 2 2 2 4 3" xfId="16392" xr:uid="{00000000-0005-0000-0000-00007B6D0000}"/>
    <cellStyle name="Normal 5 2 2 2 2 2 5" xfId="7859" xr:uid="{00000000-0005-0000-0000-00007C6D0000}"/>
    <cellStyle name="Normal 5 2 2 2 2 2 5 2" xfId="33608" xr:uid="{00000000-0005-0000-0000-00007D6D0000}"/>
    <cellStyle name="Normal 5 2 2 2 2 2 6" xfId="11957" xr:uid="{00000000-0005-0000-0000-00007E6D0000}"/>
    <cellStyle name="Normal 5 2 2 2 2 3" xfId="9406" xr:uid="{00000000-0005-0000-0000-00007F6D0000}"/>
    <cellStyle name="Normal 5 2 2 2 2 3 2" xfId="28255" xr:uid="{00000000-0005-0000-0000-0000806D0000}"/>
    <cellStyle name="Normal 5 2 2 2 2 3 2 2" xfId="29461" xr:uid="{00000000-0005-0000-0000-0000816D0000}"/>
    <cellStyle name="Normal 5 2 2 2 2 3 2 2 2" xfId="29465" xr:uid="{00000000-0005-0000-0000-0000826D0000}"/>
    <cellStyle name="Normal 5 2 2 2 2 3 2 2 2 2" xfId="10350" xr:uid="{00000000-0005-0000-0000-0000836D0000}"/>
    <cellStyle name="Normal 5 2 2 2 2 3 2 2 3" xfId="29468" xr:uid="{00000000-0005-0000-0000-0000846D0000}"/>
    <cellStyle name="Normal 5 2 2 2 2 3 2 3" xfId="4087" xr:uid="{00000000-0005-0000-0000-0000856D0000}"/>
    <cellStyle name="Normal 5 2 2 2 2 3 2 3 2" xfId="26044" xr:uid="{00000000-0005-0000-0000-0000866D0000}"/>
    <cellStyle name="Normal 5 2 2 2 2 3 2 4" xfId="20297" xr:uid="{00000000-0005-0000-0000-0000876D0000}"/>
    <cellStyle name="Normal 5 2 2 2 2 3 3" xfId="27249" xr:uid="{00000000-0005-0000-0000-0000886D0000}"/>
    <cellStyle name="Normal 5 2 2 2 2 3 3 2" xfId="29470" xr:uid="{00000000-0005-0000-0000-0000896D0000}"/>
    <cellStyle name="Normal 5 2 2 2 2 3 3 2 2" xfId="6822" xr:uid="{00000000-0005-0000-0000-00008A6D0000}"/>
    <cellStyle name="Normal 5 2 2 2 2 3 3 3" xfId="7284" xr:uid="{00000000-0005-0000-0000-00008B6D0000}"/>
    <cellStyle name="Normal 5 2 2 2 2 3 4" xfId="7861" xr:uid="{00000000-0005-0000-0000-00008C6D0000}"/>
    <cellStyle name="Normal 5 2 2 2 2 3 4 2" xfId="29471" xr:uid="{00000000-0005-0000-0000-00008D6D0000}"/>
    <cellStyle name="Normal 5 2 2 2 2 3 5" xfId="4512" xr:uid="{00000000-0005-0000-0000-00008E6D0000}"/>
    <cellStyle name="Normal 5 2 2 2 2 4" xfId="7263" xr:uid="{00000000-0005-0000-0000-00008F6D0000}"/>
    <cellStyle name="Normal 5 2 2 2 2 4 2" xfId="30873" xr:uid="{00000000-0005-0000-0000-0000906D0000}"/>
    <cellStyle name="Normal 5 2 2 2 2 4 2 2" xfId="21102" xr:uid="{00000000-0005-0000-0000-0000916D0000}"/>
    <cellStyle name="Normal 5 2 2 2 2 4 2 2 2" xfId="29475" xr:uid="{00000000-0005-0000-0000-0000926D0000}"/>
    <cellStyle name="Normal 5 2 2 2 2 4 2 3" xfId="4131" xr:uid="{00000000-0005-0000-0000-0000936D0000}"/>
    <cellStyle name="Normal 5 2 2 2 2 4 3" xfId="28309" xr:uid="{00000000-0005-0000-0000-0000946D0000}"/>
    <cellStyle name="Normal 5 2 2 2 2 4 3 2" xfId="18955" xr:uid="{00000000-0005-0000-0000-0000956D0000}"/>
    <cellStyle name="Normal 5 2 2 2 2 4 4" xfId="29491" xr:uid="{00000000-0005-0000-0000-0000966D0000}"/>
    <cellStyle name="Normal 5 2 2 2 2 5" xfId="29498" xr:uid="{00000000-0005-0000-0000-0000976D0000}"/>
    <cellStyle name="Normal 5 2 2 2 2 5 2" xfId="23138" xr:uid="{00000000-0005-0000-0000-0000986D0000}"/>
    <cellStyle name="Normal 5 2 2 2 2 5 2 2" xfId="29501" xr:uid="{00000000-0005-0000-0000-0000996D0000}"/>
    <cellStyle name="Normal 5 2 2 2 2 5 3" xfId="27585" xr:uid="{00000000-0005-0000-0000-00009A6D0000}"/>
    <cellStyle name="Normal 5 2 2 2 2 6" xfId="8598" xr:uid="{00000000-0005-0000-0000-00009B6D0000}"/>
    <cellStyle name="Normal 5 2 2 2 2 6 2" xfId="20178" xr:uid="{00000000-0005-0000-0000-00009C6D0000}"/>
    <cellStyle name="Normal 5 2 2 2 2 7" xfId="24488" xr:uid="{00000000-0005-0000-0000-00009D6D0000}"/>
    <cellStyle name="Normal 5 2 2 2 3" xfId="25347" xr:uid="{00000000-0005-0000-0000-00009E6D0000}"/>
    <cellStyle name="Normal 5 2 2 2 3 2" xfId="27643" xr:uid="{00000000-0005-0000-0000-00009F6D0000}"/>
    <cellStyle name="Normal 5 2 2 2 3 2 2" xfId="25675" xr:uid="{00000000-0005-0000-0000-0000A06D0000}"/>
    <cellStyle name="Normal 5 2 2 2 3 2 2 2" xfId="20457" xr:uid="{00000000-0005-0000-0000-0000A16D0000}"/>
    <cellStyle name="Normal 5 2 2 2 3 2 2 2 2" xfId="27511" xr:uid="{00000000-0005-0000-0000-0000A26D0000}"/>
    <cellStyle name="Normal 5 2 2 2 3 2 2 2 2 2" xfId="25683" xr:uid="{00000000-0005-0000-0000-0000A36D0000}"/>
    <cellStyle name="Normal 5 2 2 2 3 2 2 2 3" xfId="2986" xr:uid="{00000000-0005-0000-0000-0000A46D0000}"/>
    <cellStyle name="Normal 5 2 2 2 3 2 2 3" xfId="20461" xr:uid="{00000000-0005-0000-0000-0000A56D0000}"/>
    <cellStyle name="Normal 5 2 2 2 3 2 2 3 2" xfId="27463" xr:uid="{00000000-0005-0000-0000-0000A66D0000}"/>
    <cellStyle name="Normal 5 2 2 2 3 2 2 4" xfId="22063" xr:uid="{00000000-0005-0000-0000-0000A76D0000}"/>
    <cellStyle name="Normal 5 2 2 2 3 2 3" xfId="27613" xr:uid="{00000000-0005-0000-0000-0000A86D0000}"/>
    <cellStyle name="Normal 5 2 2 2 3 2 3 2" xfId="20464" xr:uid="{00000000-0005-0000-0000-0000A96D0000}"/>
    <cellStyle name="Normal 5 2 2 2 3 2 3 2 2" xfId="29515" xr:uid="{00000000-0005-0000-0000-0000AA6D0000}"/>
    <cellStyle name="Normal 5 2 2 2 3 2 3 3" xfId="26830" xr:uid="{00000000-0005-0000-0000-0000AB6D0000}"/>
    <cellStyle name="Normal 5 2 2 2 3 2 4" xfId="7867" xr:uid="{00000000-0005-0000-0000-0000AC6D0000}"/>
    <cellStyle name="Normal 5 2 2 2 3 2 4 2" xfId="33944" xr:uid="{00000000-0005-0000-0000-0000AD6D0000}"/>
    <cellStyle name="Normal 5 2 2 2 3 2 5" xfId="33945" xr:uid="{00000000-0005-0000-0000-0000AE6D0000}"/>
    <cellStyle name="Normal 5 2 2 2 3 3" xfId="9425" xr:uid="{00000000-0005-0000-0000-0000AF6D0000}"/>
    <cellStyle name="Normal 5 2 2 2 3 3 2" xfId="29521" xr:uid="{00000000-0005-0000-0000-0000B06D0000}"/>
    <cellStyle name="Normal 5 2 2 2 3 3 2 2" xfId="20483" xr:uid="{00000000-0005-0000-0000-0000B16D0000}"/>
    <cellStyle name="Normal 5 2 2 2 3 3 2 2 2" xfId="31884" xr:uid="{00000000-0005-0000-0000-0000B26D0000}"/>
    <cellStyle name="Normal 5 2 2 2 3 3 2 3" xfId="745" xr:uid="{00000000-0005-0000-0000-0000B36D0000}"/>
    <cellStyle name="Normal 5 2 2 2 3 3 3" xfId="27614" xr:uid="{00000000-0005-0000-0000-0000B46D0000}"/>
    <cellStyle name="Normal 5 2 2 2 3 3 3 2" xfId="23896" xr:uid="{00000000-0005-0000-0000-0000B56D0000}"/>
    <cellStyle name="Normal 5 2 2 2 3 3 4" xfId="29931" xr:uid="{00000000-0005-0000-0000-0000B66D0000}"/>
    <cellStyle name="Normal 5 2 2 2 3 4" xfId="29531" xr:uid="{00000000-0005-0000-0000-0000B76D0000}"/>
    <cellStyle name="Normal 5 2 2 2 3 4 2" xfId="32035" xr:uid="{00000000-0005-0000-0000-0000B86D0000}"/>
    <cellStyle name="Normal 5 2 2 2 3 4 2 2" xfId="24236" xr:uid="{00000000-0005-0000-0000-0000B96D0000}"/>
    <cellStyle name="Normal 5 2 2 2 3 4 3" xfId="29538" xr:uid="{00000000-0005-0000-0000-0000BA6D0000}"/>
    <cellStyle name="Normal 5 2 2 2 3 5" xfId="20270" xr:uid="{00000000-0005-0000-0000-0000BB6D0000}"/>
    <cellStyle name="Normal 5 2 2 2 3 5 2" xfId="20619" xr:uid="{00000000-0005-0000-0000-0000BC6D0000}"/>
    <cellStyle name="Normal 5 2 2 2 3 6" xfId="29546" xr:uid="{00000000-0005-0000-0000-0000BD6D0000}"/>
    <cellStyle name="Normal 5 2 2 2 4" xfId="29550" xr:uid="{00000000-0005-0000-0000-0000BE6D0000}"/>
    <cellStyle name="Normal 5 2 2 2 4 2" xfId="9427" xr:uid="{00000000-0005-0000-0000-0000BF6D0000}"/>
    <cellStyle name="Normal 5 2 2 2 4 2 2" xfId="6805" xr:uid="{00000000-0005-0000-0000-0000C06D0000}"/>
    <cellStyle name="Normal 5 2 2 2 4 2 2 2" xfId="20580" xr:uid="{00000000-0005-0000-0000-0000C16D0000}"/>
    <cellStyle name="Normal 5 2 2 2 4 2 2 2 2" xfId="15388" xr:uid="{00000000-0005-0000-0000-0000C26D0000}"/>
    <cellStyle name="Normal 5 2 2 2 4 2 2 3" xfId="1618" xr:uid="{00000000-0005-0000-0000-0000C36D0000}"/>
    <cellStyle name="Normal 5 2 2 2 4 2 3" xfId="50" xr:uid="{00000000-0005-0000-0000-0000C46D0000}"/>
    <cellStyle name="Normal 5 2 2 2 4 2 3 2" xfId="29553" xr:uid="{00000000-0005-0000-0000-0000C56D0000}"/>
    <cellStyle name="Normal 5 2 2 2 4 2 4" xfId="1315" xr:uid="{00000000-0005-0000-0000-0000C66D0000}"/>
    <cellStyle name="Normal 5 2 2 2 4 3" xfId="29565" xr:uid="{00000000-0005-0000-0000-0000C76D0000}"/>
    <cellStyle name="Normal 5 2 2 2 4 3 2" xfId="6812" xr:uid="{00000000-0005-0000-0000-0000C86D0000}"/>
    <cellStyle name="Normal 5 2 2 2 4 3 2 2" xfId="28428" xr:uid="{00000000-0005-0000-0000-0000C96D0000}"/>
    <cellStyle name="Normal 5 2 2 2 4 3 3" xfId="27900" xr:uid="{00000000-0005-0000-0000-0000CA6D0000}"/>
    <cellStyle name="Normal 5 2 2 2 4 4" xfId="29259" xr:uid="{00000000-0005-0000-0000-0000CB6D0000}"/>
    <cellStyle name="Normal 5 2 2 2 4 4 2" xfId="14611" xr:uid="{00000000-0005-0000-0000-0000CC6D0000}"/>
    <cellStyle name="Normal 5 2 2 2 4 5" xfId="29575" xr:uid="{00000000-0005-0000-0000-0000CD6D0000}"/>
    <cellStyle name="Normal 5 2 2 2 5" xfId="8660" xr:uid="{00000000-0005-0000-0000-0000CE6D0000}"/>
    <cellStyle name="Normal 5 2 2 2 5 2" xfId="29582" xr:uid="{00000000-0005-0000-0000-0000CF6D0000}"/>
    <cellStyle name="Normal 5 2 2 2 5 2 2" xfId="801" xr:uid="{00000000-0005-0000-0000-0000D06D0000}"/>
    <cellStyle name="Normal 5 2 2 2 5 2 2 2" xfId="29583" xr:uid="{00000000-0005-0000-0000-0000D16D0000}"/>
    <cellStyle name="Normal 5 2 2 2 5 2 3" xfId="27244" xr:uid="{00000000-0005-0000-0000-0000D26D0000}"/>
    <cellStyle name="Normal 5 2 2 2 5 3" xfId="29585" xr:uid="{00000000-0005-0000-0000-0000D36D0000}"/>
    <cellStyle name="Normal 5 2 2 2 5 3 2" xfId="29586" xr:uid="{00000000-0005-0000-0000-0000D46D0000}"/>
    <cellStyle name="Normal 5 2 2 2 5 4" xfId="30792" xr:uid="{00000000-0005-0000-0000-0000D56D0000}"/>
    <cellStyle name="Normal 5 2 2 2 6" xfId="21903" xr:uid="{00000000-0005-0000-0000-0000D66D0000}"/>
    <cellStyle name="Normal 5 2 2 2 6 2" xfId="26313" xr:uid="{00000000-0005-0000-0000-0000D76D0000}"/>
    <cellStyle name="Normal 5 2 2 2 6 2 2" xfId="2006" xr:uid="{00000000-0005-0000-0000-0000D86D0000}"/>
    <cellStyle name="Normal 5 2 2 2 6 3" xfId="8531" xr:uid="{00000000-0005-0000-0000-0000D96D0000}"/>
    <cellStyle name="Normal 5 2 2 2 7" xfId="21919" xr:uid="{00000000-0005-0000-0000-0000DA6D0000}"/>
    <cellStyle name="Normal 5 2 2 2 7 2" xfId="29591" xr:uid="{00000000-0005-0000-0000-0000DB6D0000}"/>
    <cellStyle name="Normal 5 2 2 2 8" xfId="12112" xr:uid="{00000000-0005-0000-0000-0000DC6D0000}"/>
    <cellStyle name="Normal 5 2 2 3" xfId="27438" xr:uid="{00000000-0005-0000-0000-0000DD6D0000}"/>
    <cellStyle name="Normal 5 2 2 3 2" xfId="27782" xr:uid="{00000000-0005-0000-0000-0000DE6D0000}"/>
    <cellStyle name="Normal 5 2 2 3 2 2" xfId="11976" xr:uid="{00000000-0005-0000-0000-0000DF6D0000}"/>
    <cellStyle name="Normal 5 2 2 3 2 2 2" xfId="26202" xr:uid="{00000000-0005-0000-0000-0000E06D0000}"/>
    <cellStyle name="Normal 5 2 2 3 2 2 2 2" xfId="29593" xr:uid="{00000000-0005-0000-0000-0000E16D0000}"/>
    <cellStyle name="Normal 5 2 2 3 2 2 2 2 2" xfId="27425" xr:uid="{00000000-0005-0000-0000-0000E26D0000}"/>
    <cellStyle name="Normal 5 2 2 3 2 2 2 2 2 2" xfId="29598" xr:uid="{00000000-0005-0000-0000-0000E36D0000}"/>
    <cellStyle name="Normal 5 2 2 3 2 2 2 2 3" xfId="32775" xr:uid="{00000000-0005-0000-0000-0000E46D0000}"/>
    <cellStyle name="Normal 5 2 2 3 2 2 2 3" xfId="7638" xr:uid="{00000000-0005-0000-0000-0000E56D0000}"/>
    <cellStyle name="Normal 5 2 2 3 2 2 2 3 2" xfId="28405" xr:uid="{00000000-0005-0000-0000-0000E66D0000}"/>
    <cellStyle name="Normal 5 2 2 3 2 2 2 4" xfId="12446" xr:uid="{00000000-0005-0000-0000-0000E76D0000}"/>
    <cellStyle name="Normal 5 2 2 3 2 2 3" xfId="29083" xr:uid="{00000000-0005-0000-0000-0000E86D0000}"/>
    <cellStyle name="Normal 5 2 2 3 2 2 3 2" xfId="29600" xr:uid="{00000000-0005-0000-0000-0000E96D0000}"/>
    <cellStyle name="Normal 5 2 2 3 2 2 3 2 2" xfId="29811" xr:uid="{00000000-0005-0000-0000-0000EA6D0000}"/>
    <cellStyle name="Normal 5 2 2 3 2 2 3 3" xfId="6760" xr:uid="{00000000-0005-0000-0000-0000EB6D0000}"/>
    <cellStyle name="Normal 5 2 2 3 2 2 4" xfId="12705" xr:uid="{00000000-0005-0000-0000-0000EC6D0000}"/>
    <cellStyle name="Normal 5 2 2 3 2 2 4 2" xfId="33825" xr:uid="{00000000-0005-0000-0000-0000ED6D0000}"/>
    <cellStyle name="Normal 5 2 2 3 2 2 5" xfId="33684" xr:uid="{00000000-0005-0000-0000-0000EE6D0000}"/>
    <cellStyle name="Normal 5 2 2 3 2 3" xfId="14291" xr:uid="{00000000-0005-0000-0000-0000EF6D0000}"/>
    <cellStyle name="Normal 5 2 2 3 2 3 2" xfId="26383" xr:uid="{00000000-0005-0000-0000-0000F06D0000}"/>
    <cellStyle name="Normal 5 2 2 3 2 3 2 2" xfId="29601" xr:uid="{00000000-0005-0000-0000-0000F16D0000}"/>
    <cellStyle name="Normal 5 2 2 3 2 3 2 2 2" xfId="4003" xr:uid="{00000000-0005-0000-0000-0000F26D0000}"/>
    <cellStyle name="Normal 5 2 2 3 2 3 2 3" xfId="2426" xr:uid="{00000000-0005-0000-0000-0000F36D0000}"/>
    <cellStyle name="Normal 5 2 2 3 2 3 3" xfId="29603" xr:uid="{00000000-0005-0000-0000-0000F46D0000}"/>
    <cellStyle name="Normal 5 2 2 3 2 3 3 2" xfId="27526" xr:uid="{00000000-0005-0000-0000-0000F56D0000}"/>
    <cellStyle name="Normal 5 2 2 3 2 3 4" xfId="29607" xr:uid="{00000000-0005-0000-0000-0000F66D0000}"/>
    <cellStyle name="Normal 5 2 2 3 2 4" xfId="28754" xr:uid="{00000000-0005-0000-0000-0000F76D0000}"/>
    <cellStyle name="Normal 5 2 2 3 2 4 2" xfId="29608" xr:uid="{00000000-0005-0000-0000-0000F86D0000}"/>
    <cellStyle name="Normal 5 2 2 3 2 4 2 2" xfId="26448" xr:uid="{00000000-0005-0000-0000-0000F96D0000}"/>
    <cellStyle name="Normal 5 2 2 3 2 4 3" xfId="26647" xr:uid="{00000000-0005-0000-0000-0000FA6D0000}"/>
    <cellStyle name="Normal 5 2 2 3 2 5" xfId="22870" xr:uid="{00000000-0005-0000-0000-0000FB6D0000}"/>
    <cellStyle name="Normal 5 2 2 3 2 5 2" xfId="22873" xr:uid="{00000000-0005-0000-0000-0000FC6D0000}"/>
    <cellStyle name="Normal 5 2 2 3 2 6" xfId="20172" xr:uid="{00000000-0005-0000-0000-0000FD6D0000}"/>
    <cellStyle name="Normal 5 2 2 3 3" xfId="29617" xr:uid="{00000000-0005-0000-0000-0000FE6D0000}"/>
    <cellStyle name="Normal 5 2 2 3 3 2" xfId="9447" xr:uid="{00000000-0005-0000-0000-0000FF6D0000}"/>
    <cellStyle name="Normal 5 2 2 3 3 2 2" xfId="26235" xr:uid="{00000000-0005-0000-0000-0000006E0000}"/>
    <cellStyle name="Normal 5 2 2 3 3 2 2 2" xfId="20729" xr:uid="{00000000-0005-0000-0000-0000016E0000}"/>
    <cellStyle name="Normal 5 2 2 3 3 2 2 2 2" xfId="30992" xr:uid="{00000000-0005-0000-0000-0000026E0000}"/>
    <cellStyle name="Normal 5 2 2 3 3 2 2 3" xfId="12393" xr:uid="{00000000-0005-0000-0000-0000036E0000}"/>
    <cellStyle name="Normal 5 2 2 3 3 2 3" xfId="29620" xr:uid="{00000000-0005-0000-0000-0000046E0000}"/>
    <cellStyle name="Normal 5 2 2 3 3 2 3 2" xfId="23419" xr:uid="{00000000-0005-0000-0000-0000056E0000}"/>
    <cellStyle name="Normal 5 2 2 3 3 2 4" xfId="29621" xr:uid="{00000000-0005-0000-0000-0000066E0000}"/>
    <cellStyle name="Normal 5 2 2 3 3 3" xfId="11565" xr:uid="{00000000-0005-0000-0000-0000076E0000}"/>
    <cellStyle name="Normal 5 2 2 3 3 3 2" xfId="29622" xr:uid="{00000000-0005-0000-0000-0000086E0000}"/>
    <cellStyle name="Normal 5 2 2 3 3 3 2 2" xfId="29623" xr:uid="{00000000-0005-0000-0000-0000096E0000}"/>
    <cellStyle name="Normal 5 2 2 3 3 3 3" xfId="29625" xr:uid="{00000000-0005-0000-0000-00000A6E0000}"/>
    <cellStyle name="Normal 5 2 2 3 3 4" xfId="27303" xr:uid="{00000000-0005-0000-0000-00000B6E0000}"/>
    <cellStyle name="Normal 5 2 2 3 3 4 2" xfId="30036" xr:uid="{00000000-0005-0000-0000-00000C6E0000}"/>
    <cellStyle name="Normal 5 2 2 3 3 5" xfId="23088" xr:uid="{00000000-0005-0000-0000-00000D6E0000}"/>
    <cellStyle name="Normal 5 2 2 3 4" xfId="5447" xr:uid="{00000000-0005-0000-0000-00000E6E0000}"/>
    <cellStyle name="Normal 5 2 2 3 4 2" xfId="27108" xr:uid="{00000000-0005-0000-0000-00000F6E0000}"/>
    <cellStyle name="Normal 5 2 2 3 4 2 2" xfId="6878" xr:uid="{00000000-0005-0000-0000-0000106E0000}"/>
    <cellStyle name="Normal 5 2 2 3 4 2 2 2" xfId="29626" xr:uid="{00000000-0005-0000-0000-0000116E0000}"/>
    <cellStyle name="Normal 5 2 2 3 4 2 3" xfId="26846" xr:uid="{00000000-0005-0000-0000-0000126E0000}"/>
    <cellStyle name="Normal 5 2 2 3 4 3" xfId="26741" xr:uid="{00000000-0005-0000-0000-0000136E0000}"/>
    <cellStyle name="Normal 5 2 2 3 4 3 2" xfId="26857" xr:uid="{00000000-0005-0000-0000-0000146E0000}"/>
    <cellStyle name="Normal 5 2 2 3 4 4" xfId="29274" xr:uid="{00000000-0005-0000-0000-0000156E0000}"/>
    <cellStyle name="Normal 5 2 2 3 5" xfId="3482" xr:uid="{00000000-0005-0000-0000-0000166E0000}"/>
    <cellStyle name="Normal 5 2 2 3 5 2" xfId="26746" xr:uid="{00000000-0005-0000-0000-0000176E0000}"/>
    <cellStyle name="Normal 5 2 2 3 5 2 2" xfId="20489" xr:uid="{00000000-0005-0000-0000-0000186E0000}"/>
    <cellStyle name="Normal 5 2 2 3 5 3" xfId="27654" xr:uid="{00000000-0005-0000-0000-0000196E0000}"/>
    <cellStyle name="Normal 5 2 2 3 6" xfId="28802" xr:uid="{00000000-0005-0000-0000-00001A6E0000}"/>
    <cellStyle name="Normal 5 2 2 3 6 2" xfId="29628" xr:uid="{00000000-0005-0000-0000-00001B6E0000}"/>
    <cellStyle name="Normal 5 2 2 3 7" xfId="21940" xr:uid="{00000000-0005-0000-0000-00001C6E0000}"/>
    <cellStyle name="Normal 5 2 2 4" xfId="29633" xr:uid="{00000000-0005-0000-0000-00001D6E0000}"/>
    <cellStyle name="Normal 5 2 2 4 2" xfId="13543" xr:uid="{00000000-0005-0000-0000-00001E6E0000}"/>
    <cellStyle name="Normal 5 2 2 4 2 2" xfId="2997" xr:uid="{00000000-0005-0000-0000-00001F6E0000}"/>
    <cellStyle name="Normal 5 2 2 4 2 2 2" xfId="25754" xr:uid="{00000000-0005-0000-0000-0000206E0000}"/>
    <cellStyle name="Normal 5 2 2 4 2 2 2 2" xfId="29637" xr:uid="{00000000-0005-0000-0000-0000216E0000}"/>
    <cellStyle name="Normal 5 2 2 4 2 2 2 2 2" xfId="32395" xr:uid="{00000000-0005-0000-0000-0000226E0000}"/>
    <cellStyle name="Normal 5 2 2 4 2 2 2 3" xfId="13855" xr:uid="{00000000-0005-0000-0000-0000236E0000}"/>
    <cellStyle name="Normal 5 2 2 4 2 2 3" xfId="27608" xr:uid="{00000000-0005-0000-0000-0000246E0000}"/>
    <cellStyle name="Normal 5 2 2 4 2 2 3 2" xfId="29638" xr:uid="{00000000-0005-0000-0000-0000256E0000}"/>
    <cellStyle name="Normal 5 2 2 4 2 2 4" xfId="33895" xr:uid="{00000000-0005-0000-0000-0000266E0000}"/>
    <cellStyle name="Normal 5 2 2 4 2 3" xfId="29640" xr:uid="{00000000-0005-0000-0000-0000276E0000}"/>
    <cellStyle name="Normal 5 2 2 4 2 3 2" xfId="31959" xr:uid="{00000000-0005-0000-0000-0000286E0000}"/>
    <cellStyle name="Normal 5 2 2 4 2 3 2 2" xfId="21512" xr:uid="{00000000-0005-0000-0000-0000296E0000}"/>
    <cellStyle name="Normal 5 2 2 4 2 3 3" xfId="29641" xr:uid="{00000000-0005-0000-0000-00002A6E0000}"/>
    <cellStyle name="Normal 5 2 2 4 2 4" xfId="26394" xr:uid="{00000000-0005-0000-0000-00002B6E0000}"/>
    <cellStyle name="Normal 5 2 2 4 2 4 2" xfId="15630" xr:uid="{00000000-0005-0000-0000-00002C6E0000}"/>
    <cellStyle name="Normal 5 2 2 4 2 5" xfId="25248" xr:uid="{00000000-0005-0000-0000-00002D6E0000}"/>
    <cellStyle name="Normal 5 2 2 4 3" xfId="7168" xr:uid="{00000000-0005-0000-0000-00002E6E0000}"/>
    <cellStyle name="Normal 5 2 2 4 3 2" xfId="28084" xr:uid="{00000000-0005-0000-0000-00002F6E0000}"/>
    <cellStyle name="Normal 5 2 2 4 3 2 2" xfId="25628" xr:uid="{00000000-0005-0000-0000-0000306E0000}"/>
    <cellStyle name="Normal 5 2 2 4 3 2 2 2" xfId="20842" xr:uid="{00000000-0005-0000-0000-0000316E0000}"/>
    <cellStyle name="Normal 5 2 2 4 3 2 3" xfId="25155" xr:uid="{00000000-0005-0000-0000-0000326E0000}"/>
    <cellStyle name="Normal 5 2 2 4 3 3" xfId="26400" xr:uid="{00000000-0005-0000-0000-0000336E0000}"/>
    <cellStyle name="Normal 5 2 2 4 3 3 2" xfId="27493" xr:uid="{00000000-0005-0000-0000-0000346E0000}"/>
    <cellStyle name="Normal 5 2 2 4 3 4" xfId="29649" xr:uid="{00000000-0005-0000-0000-0000356E0000}"/>
    <cellStyle name="Normal 5 2 2 4 4" xfId="4839" xr:uid="{00000000-0005-0000-0000-0000366E0000}"/>
    <cellStyle name="Normal 5 2 2 4 4 2" xfId="3605" xr:uid="{00000000-0005-0000-0000-0000376E0000}"/>
    <cellStyle name="Normal 5 2 2 4 4 2 2" xfId="26867" xr:uid="{00000000-0005-0000-0000-0000386E0000}"/>
    <cellStyle name="Normal 5 2 2 4 4 3" xfId="29289" xr:uid="{00000000-0005-0000-0000-0000396E0000}"/>
    <cellStyle name="Normal 5 2 2 4 5" xfId="3501" xr:uid="{00000000-0005-0000-0000-00003A6E0000}"/>
    <cellStyle name="Normal 5 2 2 4 5 2" xfId="29651" xr:uid="{00000000-0005-0000-0000-00003B6E0000}"/>
    <cellStyle name="Normal 5 2 2 4 6" xfId="11157" xr:uid="{00000000-0005-0000-0000-00003C6E0000}"/>
    <cellStyle name="Normal 5 2 2 5" xfId="29384" xr:uid="{00000000-0005-0000-0000-00003D6E0000}"/>
    <cellStyle name="Normal 5 2 2 5 2" xfId="4734" xr:uid="{00000000-0005-0000-0000-00003E6E0000}"/>
    <cellStyle name="Normal 5 2 2 5 2 2" xfId="28098" xr:uid="{00000000-0005-0000-0000-00003F6E0000}"/>
    <cellStyle name="Normal 5 2 2 5 2 2 2" xfId="29657" xr:uid="{00000000-0005-0000-0000-0000406E0000}"/>
    <cellStyle name="Normal 5 2 2 5 2 2 2 2" xfId="30656" xr:uid="{00000000-0005-0000-0000-0000416E0000}"/>
    <cellStyle name="Normal 5 2 2 5 2 2 3" xfId="16834" xr:uid="{00000000-0005-0000-0000-0000426E0000}"/>
    <cellStyle name="Normal 5 2 2 5 2 3" xfId="14285" xr:uid="{00000000-0005-0000-0000-0000436E0000}"/>
    <cellStyle name="Normal 5 2 2 5 2 3 2" xfId="28646" xr:uid="{00000000-0005-0000-0000-0000446E0000}"/>
    <cellStyle name="Normal 5 2 2 5 2 4" xfId="7196" xr:uid="{00000000-0005-0000-0000-0000456E0000}"/>
    <cellStyle name="Normal 5 2 2 5 3" xfId="29661" xr:uid="{00000000-0005-0000-0000-0000466E0000}"/>
    <cellStyle name="Normal 5 2 2 5 3 2" xfId="29662" xr:uid="{00000000-0005-0000-0000-0000476E0000}"/>
    <cellStyle name="Normal 5 2 2 5 3 2 2" xfId="19264" xr:uid="{00000000-0005-0000-0000-0000486E0000}"/>
    <cellStyle name="Normal 5 2 2 5 3 3" xfId="797" xr:uid="{00000000-0005-0000-0000-0000496E0000}"/>
    <cellStyle name="Normal 5 2 2 5 4" xfId="2592" xr:uid="{00000000-0005-0000-0000-00004A6E0000}"/>
    <cellStyle name="Normal 5 2 2 5 4 2" xfId="29664" xr:uid="{00000000-0005-0000-0000-00004B6E0000}"/>
    <cellStyle name="Normal 5 2 2 5 5" xfId="29043" xr:uid="{00000000-0005-0000-0000-00004C6E0000}"/>
    <cellStyle name="Normal 5 2 2 6" xfId="30429" xr:uid="{00000000-0005-0000-0000-00004D6E0000}"/>
    <cellStyle name="Normal 5 2 2 6 2" xfId="30434" xr:uid="{00000000-0005-0000-0000-00004E6E0000}"/>
    <cellStyle name="Normal 5 2 2 6 2 2" xfId="29665" xr:uid="{00000000-0005-0000-0000-00004F6E0000}"/>
    <cellStyle name="Normal 5 2 2 6 2 2 2" xfId="29668" xr:uid="{00000000-0005-0000-0000-0000506E0000}"/>
    <cellStyle name="Normal 5 2 2 6 2 3" xfId="14334" xr:uid="{00000000-0005-0000-0000-0000516E0000}"/>
    <cellStyle name="Normal 5 2 2 6 3" xfId="29669" xr:uid="{00000000-0005-0000-0000-0000526E0000}"/>
    <cellStyle name="Normal 5 2 2 6 3 2" xfId="32100" xr:uid="{00000000-0005-0000-0000-0000536E0000}"/>
    <cellStyle name="Normal 5 2 2 6 4" xfId="18554" xr:uid="{00000000-0005-0000-0000-0000546E0000}"/>
    <cellStyle name="Normal 5 2 2 7" xfId="29675" xr:uid="{00000000-0005-0000-0000-0000556E0000}"/>
    <cellStyle name="Normal 5 2 2 7 2" xfId="29679" xr:uid="{00000000-0005-0000-0000-0000566E0000}"/>
    <cellStyle name="Normal 5 2 2 7 2 2" xfId="29681" xr:uid="{00000000-0005-0000-0000-0000576E0000}"/>
    <cellStyle name="Normal 5 2 2 7 3" xfId="29682" xr:uid="{00000000-0005-0000-0000-0000586E0000}"/>
    <cellStyle name="Normal 5 2 2 8" xfId="29684" xr:uid="{00000000-0005-0000-0000-0000596E0000}"/>
    <cellStyle name="Normal 5 2 2 8 2" xfId="23040" xr:uid="{00000000-0005-0000-0000-00005A6E0000}"/>
    <cellStyle name="Normal 5 2 2 9" xfId="21514" xr:uid="{00000000-0005-0000-0000-00005B6E0000}"/>
    <cellStyle name="Normal 5 2 3" xfId="29692" xr:uid="{00000000-0005-0000-0000-00005C6E0000}"/>
    <cellStyle name="Normal 5 2 3 2" xfId="26582" xr:uid="{00000000-0005-0000-0000-00005D6E0000}"/>
    <cellStyle name="Normal 5 2 3 2 2" xfId="25384" xr:uid="{00000000-0005-0000-0000-00005E6E0000}"/>
    <cellStyle name="Normal 5 2 3 2 2 2" xfId="9771" xr:uid="{00000000-0005-0000-0000-00005F6E0000}"/>
    <cellStyle name="Normal 5 2 3 2 2 2 2" xfId="25801" xr:uid="{00000000-0005-0000-0000-0000606E0000}"/>
    <cellStyle name="Normal 5 2 3 2 2 2 2 2" xfId="30820" xr:uid="{00000000-0005-0000-0000-0000616E0000}"/>
    <cellStyle name="Normal 5 2 3 2 2 2 2 2 2" xfId="16929" xr:uid="{00000000-0005-0000-0000-0000626E0000}"/>
    <cellStyle name="Normal 5 2 3 2 2 2 2 2 2 2" xfId="30210" xr:uid="{00000000-0005-0000-0000-0000636E0000}"/>
    <cellStyle name="Normal 5 2 3 2 2 2 2 2 3" xfId="30828" xr:uid="{00000000-0005-0000-0000-0000646E0000}"/>
    <cellStyle name="Normal 5 2 3 2 2 2 2 3" xfId="5601" xr:uid="{00000000-0005-0000-0000-0000656E0000}"/>
    <cellStyle name="Normal 5 2 3 2 2 2 2 3 2" xfId="26710" xr:uid="{00000000-0005-0000-0000-0000666E0000}"/>
    <cellStyle name="Normal 5 2 3 2 2 2 2 4" xfId="23105" xr:uid="{00000000-0005-0000-0000-0000676E0000}"/>
    <cellStyle name="Normal 5 2 3 2 2 2 3" xfId="24316" xr:uid="{00000000-0005-0000-0000-0000686E0000}"/>
    <cellStyle name="Normal 5 2 3 2 2 2 3 2" xfId="30849" xr:uid="{00000000-0005-0000-0000-0000696E0000}"/>
    <cellStyle name="Normal 5 2 3 2 2 2 3 2 2" xfId="30853" xr:uid="{00000000-0005-0000-0000-00006A6E0000}"/>
    <cellStyle name="Normal 5 2 3 2 2 2 3 3" xfId="6104" xr:uid="{00000000-0005-0000-0000-00006B6E0000}"/>
    <cellStyle name="Normal 5 2 3 2 2 2 4" xfId="7936" xr:uid="{00000000-0005-0000-0000-00006C6E0000}"/>
    <cellStyle name="Normal 5 2 3 2 2 2 4 2" xfId="9913" xr:uid="{00000000-0005-0000-0000-00006D6E0000}"/>
    <cellStyle name="Normal 5 2 3 2 2 2 5" xfId="30875" xr:uid="{00000000-0005-0000-0000-00006E6E0000}"/>
    <cellStyle name="Normal 5 2 3 2 2 3" xfId="9468" xr:uid="{00000000-0005-0000-0000-00006F6E0000}"/>
    <cellStyle name="Normal 5 2 3 2 2 3 2" xfId="27970" xr:uid="{00000000-0005-0000-0000-0000706E0000}"/>
    <cellStyle name="Normal 5 2 3 2 2 3 2 2" xfId="1380" xr:uid="{00000000-0005-0000-0000-0000716E0000}"/>
    <cellStyle name="Normal 5 2 3 2 2 3 2 2 2" xfId="29698" xr:uid="{00000000-0005-0000-0000-0000726E0000}"/>
    <cellStyle name="Normal 5 2 3 2 2 3 2 3" xfId="26366" xr:uid="{00000000-0005-0000-0000-0000736E0000}"/>
    <cellStyle name="Normal 5 2 3 2 2 3 3" xfId="20445" xr:uid="{00000000-0005-0000-0000-0000746E0000}"/>
    <cellStyle name="Normal 5 2 3 2 2 3 3 2" xfId="29702" xr:uid="{00000000-0005-0000-0000-0000756E0000}"/>
    <cellStyle name="Normal 5 2 3 2 2 3 4" xfId="24611" xr:uid="{00000000-0005-0000-0000-0000766E0000}"/>
    <cellStyle name="Normal 5 2 3 2 2 4" xfId="29706" xr:uid="{00000000-0005-0000-0000-0000776E0000}"/>
    <cellStyle name="Normal 5 2 3 2 2 4 2" xfId="20452" xr:uid="{00000000-0005-0000-0000-0000786E0000}"/>
    <cellStyle name="Normal 5 2 3 2 2 4 2 2" xfId="20682" xr:uid="{00000000-0005-0000-0000-0000796E0000}"/>
    <cellStyle name="Normal 5 2 3 2 2 4 3" xfId="29713" xr:uid="{00000000-0005-0000-0000-00007A6E0000}"/>
    <cellStyle name="Normal 5 2 3 2 2 5" xfId="6560" xr:uid="{00000000-0005-0000-0000-00007B6E0000}"/>
    <cellStyle name="Normal 5 2 3 2 2 5 2" xfId="19537" xr:uid="{00000000-0005-0000-0000-00007C6E0000}"/>
    <cellStyle name="Normal 5 2 3 2 2 6" xfId="30913" xr:uid="{00000000-0005-0000-0000-00007D6E0000}"/>
    <cellStyle name="Normal 5 2 3 2 3" xfId="25693" xr:uid="{00000000-0005-0000-0000-00007E6E0000}"/>
    <cellStyle name="Normal 5 2 3 2 3 2" xfId="9470" xr:uid="{00000000-0005-0000-0000-00007F6E0000}"/>
    <cellStyle name="Normal 5 2 3 2 3 2 2" xfId="25805" xr:uid="{00000000-0005-0000-0000-0000806E0000}"/>
    <cellStyle name="Normal 5 2 3 2 3 2 2 2" xfId="9154" xr:uid="{00000000-0005-0000-0000-0000816E0000}"/>
    <cellStyle name="Normal 5 2 3 2 3 2 2 2 2" xfId="31032" xr:uid="{00000000-0005-0000-0000-0000826E0000}"/>
    <cellStyle name="Normal 5 2 3 2 3 2 2 3" xfId="7912" xr:uid="{00000000-0005-0000-0000-0000836E0000}"/>
    <cellStyle name="Normal 5 2 3 2 3 2 3" xfId="32204" xr:uid="{00000000-0005-0000-0000-0000846E0000}"/>
    <cellStyle name="Normal 5 2 3 2 3 2 3 2" xfId="31051" xr:uid="{00000000-0005-0000-0000-0000856E0000}"/>
    <cellStyle name="Normal 5 2 3 2 3 2 4" xfId="32022" xr:uid="{00000000-0005-0000-0000-0000866E0000}"/>
    <cellStyle name="Normal 5 2 3 2 3 3" xfId="30797" xr:uid="{00000000-0005-0000-0000-0000876E0000}"/>
    <cellStyle name="Normal 5 2 3 2 3 3 2" xfId="20474" xr:uid="{00000000-0005-0000-0000-0000886E0000}"/>
    <cellStyle name="Normal 5 2 3 2 3 3 2 2" xfId="30939" xr:uid="{00000000-0005-0000-0000-0000896E0000}"/>
    <cellStyle name="Normal 5 2 3 2 3 3 3" xfId="31001" xr:uid="{00000000-0005-0000-0000-00008A6E0000}"/>
    <cellStyle name="Normal 5 2 3 2 3 4" xfId="29716" xr:uid="{00000000-0005-0000-0000-00008B6E0000}"/>
    <cellStyle name="Normal 5 2 3 2 3 4 2" xfId="28016" xr:uid="{00000000-0005-0000-0000-00008C6E0000}"/>
    <cellStyle name="Normal 5 2 3 2 3 5" xfId="33632" xr:uid="{00000000-0005-0000-0000-00008D6E0000}"/>
    <cellStyle name="Normal 5 2 3 2 4" xfId="29357" xr:uid="{00000000-0005-0000-0000-00008E6E0000}"/>
    <cellStyle name="Normal 5 2 3 2 4 2" xfId="29434" xr:uid="{00000000-0005-0000-0000-00008F6E0000}"/>
    <cellStyle name="Normal 5 2 3 2 4 2 2" xfId="6971" xr:uid="{00000000-0005-0000-0000-0000906E0000}"/>
    <cellStyle name="Normal 5 2 3 2 4 2 2 2" xfId="20444" xr:uid="{00000000-0005-0000-0000-0000916E0000}"/>
    <cellStyle name="Normal 5 2 3 2 4 2 3" xfId="24204" xr:uid="{00000000-0005-0000-0000-0000926E0000}"/>
    <cellStyle name="Normal 5 2 3 2 4 3" xfId="29691" xr:uid="{00000000-0005-0000-0000-0000936E0000}"/>
    <cellStyle name="Normal 5 2 3 2 4 3 2" xfId="29693" xr:uid="{00000000-0005-0000-0000-0000946E0000}"/>
    <cellStyle name="Normal 5 2 3 2 4 4" xfId="234" xr:uid="{00000000-0005-0000-0000-0000956E0000}"/>
    <cellStyle name="Normal 5 2 3 2 5" xfId="31016" xr:uid="{00000000-0005-0000-0000-0000966E0000}"/>
    <cellStyle name="Normal 5 2 3 2 5 2" xfId="29934" xr:uid="{00000000-0005-0000-0000-0000976E0000}"/>
    <cellStyle name="Normal 5 2 3 2 5 2 2" xfId="29939" xr:uid="{00000000-0005-0000-0000-0000986E0000}"/>
    <cellStyle name="Normal 5 2 3 2 5 3" xfId="31863" xr:uid="{00000000-0005-0000-0000-0000996E0000}"/>
    <cellStyle name="Normal 5 2 3 2 6" xfId="21977" xr:uid="{00000000-0005-0000-0000-00009A6E0000}"/>
    <cellStyle name="Normal 5 2 3 2 6 2" xfId="30280" xr:uid="{00000000-0005-0000-0000-00009B6E0000}"/>
    <cellStyle name="Normal 5 2 3 2 7" xfId="21979" xr:uid="{00000000-0005-0000-0000-00009C6E0000}"/>
    <cellStyle name="Normal 5 2 3 3" xfId="28279" xr:uid="{00000000-0005-0000-0000-00009D6E0000}"/>
    <cellStyle name="Normal 5 2 3 3 2" xfId="28284" xr:uid="{00000000-0005-0000-0000-00009E6E0000}"/>
    <cellStyle name="Normal 5 2 3 3 2 2" xfId="9474" xr:uid="{00000000-0005-0000-0000-00009F6E0000}"/>
    <cellStyle name="Normal 5 2 3 3 2 2 2" xfId="31140" xr:uid="{00000000-0005-0000-0000-0000A06E0000}"/>
    <cellStyle name="Normal 5 2 3 3 2 2 2 2" xfId="29721" xr:uid="{00000000-0005-0000-0000-0000A16E0000}"/>
    <cellStyle name="Normal 5 2 3 3 2 2 2 2 2" xfId="33958" xr:uid="{00000000-0005-0000-0000-0000A26E0000}"/>
    <cellStyle name="Normal 5 2 3 3 2 2 2 3" xfId="5785" xr:uid="{00000000-0005-0000-0000-0000A36E0000}"/>
    <cellStyle name="Normal 5 2 3 3 2 2 3" xfId="29726" xr:uid="{00000000-0005-0000-0000-0000A46E0000}"/>
    <cellStyle name="Normal 5 2 3 3 2 2 3 2" xfId="29729" xr:uid="{00000000-0005-0000-0000-0000A56E0000}"/>
    <cellStyle name="Normal 5 2 3 3 2 2 4" xfId="29055" xr:uid="{00000000-0005-0000-0000-0000A66E0000}"/>
    <cellStyle name="Normal 5 2 3 3 2 3" xfId="30151" xr:uid="{00000000-0005-0000-0000-0000A76E0000}"/>
    <cellStyle name="Normal 5 2 3 3 2 3 2" xfId="27552" xr:uid="{00000000-0005-0000-0000-0000A86E0000}"/>
    <cellStyle name="Normal 5 2 3 3 2 3 2 2" xfId="28222" xr:uid="{00000000-0005-0000-0000-0000A96E0000}"/>
    <cellStyle name="Normal 5 2 3 3 2 3 3" xfId="29736" xr:uid="{00000000-0005-0000-0000-0000AA6E0000}"/>
    <cellStyle name="Normal 5 2 3 3 2 4" xfId="22069" xr:uid="{00000000-0005-0000-0000-0000AB6E0000}"/>
    <cellStyle name="Normal 5 2 3 3 2 4 2" xfId="26755" xr:uid="{00000000-0005-0000-0000-0000AC6E0000}"/>
    <cellStyle name="Normal 5 2 3 3 2 5" xfId="22078" xr:uid="{00000000-0005-0000-0000-0000AD6E0000}"/>
    <cellStyle name="Normal 5 2 3 3 3" xfId="32614" xr:uid="{00000000-0005-0000-0000-0000AE6E0000}"/>
    <cellStyle name="Normal 5 2 3 3 3 2" xfId="31172" xr:uid="{00000000-0005-0000-0000-0000AF6E0000}"/>
    <cellStyle name="Normal 5 2 3 3 3 2 2" xfId="29745" xr:uid="{00000000-0005-0000-0000-0000B06E0000}"/>
    <cellStyle name="Normal 5 2 3 3 3 2 2 2" xfId="29747" xr:uid="{00000000-0005-0000-0000-0000B16E0000}"/>
    <cellStyle name="Normal 5 2 3 3 3 2 3" xfId="29748" xr:uid="{00000000-0005-0000-0000-0000B26E0000}"/>
    <cellStyle name="Normal 5 2 3 3 3 3" xfId="26818" xr:uid="{00000000-0005-0000-0000-0000B36E0000}"/>
    <cellStyle name="Normal 5 2 3 3 3 3 2" xfId="27404" xr:uid="{00000000-0005-0000-0000-0000B46E0000}"/>
    <cellStyle name="Normal 5 2 3 3 3 4" xfId="8241" xr:uid="{00000000-0005-0000-0000-0000B56E0000}"/>
    <cellStyle name="Normal 5 2 3 3 4" xfId="10847" xr:uid="{00000000-0005-0000-0000-0000B66E0000}"/>
    <cellStyle name="Normal 5 2 3 3 4 2" xfId="592" xr:uid="{00000000-0005-0000-0000-0000B76E0000}"/>
    <cellStyle name="Normal 5 2 3 3 4 2 2" xfId="29751" xr:uid="{00000000-0005-0000-0000-0000B86E0000}"/>
    <cellStyle name="Normal 5 2 3 3 4 3" xfId="29752" xr:uid="{00000000-0005-0000-0000-0000B96E0000}"/>
    <cellStyle name="Normal 5 2 3 3 5" xfId="6556" xr:uid="{00000000-0005-0000-0000-0000BA6E0000}"/>
    <cellStyle name="Normal 5 2 3 3 5 2" xfId="32159" xr:uid="{00000000-0005-0000-0000-0000BB6E0000}"/>
    <cellStyle name="Normal 5 2 3 3 6" xfId="21988" xr:uid="{00000000-0005-0000-0000-0000BC6E0000}"/>
    <cellStyle name="Normal 5 2 3 4" xfId="25717" xr:uid="{00000000-0005-0000-0000-0000BD6E0000}"/>
    <cellStyle name="Normal 5 2 3 4 2" xfId="15312" xr:uid="{00000000-0005-0000-0000-0000BE6E0000}"/>
    <cellStyle name="Normal 5 2 3 4 2 2" xfId="15317" xr:uid="{00000000-0005-0000-0000-0000BF6E0000}"/>
    <cellStyle name="Normal 5 2 3 4 2 2 2" xfId="29754" xr:uid="{00000000-0005-0000-0000-0000C06E0000}"/>
    <cellStyle name="Normal 5 2 3 4 2 2 2 2" xfId="29755" xr:uid="{00000000-0005-0000-0000-0000C16E0000}"/>
    <cellStyle name="Normal 5 2 3 4 2 2 3" xfId="2644" xr:uid="{00000000-0005-0000-0000-0000C26E0000}"/>
    <cellStyle name="Normal 5 2 3 4 2 3" xfId="29759" xr:uid="{00000000-0005-0000-0000-0000C36E0000}"/>
    <cellStyle name="Normal 5 2 3 4 2 3 2" xfId="3388" xr:uid="{00000000-0005-0000-0000-0000C46E0000}"/>
    <cellStyle name="Normal 5 2 3 4 2 4" xfId="20501" xr:uid="{00000000-0005-0000-0000-0000C56E0000}"/>
    <cellStyle name="Normal 5 2 3 4 3" xfId="15319" xr:uid="{00000000-0005-0000-0000-0000C66E0000}"/>
    <cellStyle name="Normal 5 2 3 4 3 2" xfId="29767" xr:uid="{00000000-0005-0000-0000-0000C76E0000}"/>
    <cellStyle name="Normal 5 2 3 4 3 2 2" xfId="27021" xr:uid="{00000000-0005-0000-0000-0000C86E0000}"/>
    <cellStyle name="Normal 5 2 3 4 3 3" xfId="29769" xr:uid="{00000000-0005-0000-0000-0000C96E0000}"/>
    <cellStyle name="Normal 5 2 3 4 4" xfId="6621" xr:uid="{00000000-0005-0000-0000-0000CA6E0000}"/>
    <cellStyle name="Normal 5 2 3 4 4 2" xfId="29773" xr:uid="{00000000-0005-0000-0000-0000CB6E0000}"/>
    <cellStyle name="Normal 5 2 3 4 5" xfId="33705" xr:uid="{00000000-0005-0000-0000-0000CC6E0000}"/>
    <cellStyle name="Normal 5 2 3 5" xfId="29778" xr:uid="{00000000-0005-0000-0000-0000CD6E0000}"/>
    <cellStyle name="Normal 5 2 3 5 2" xfId="463" xr:uid="{00000000-0005-0000-0000-0000CE6E0000}"/>
    <cellStyle name="Normal 5 2 3 5 2 2" xfId="29780" xr:uid="{00000000-0005-0000-0000-0000CF6E0000}"/>
    <cellStyle name="Normal 5 2 3 5 2 2 2" xfId="18976" xr:uid="{00000000-0005-0000-0000-0000D06E0000}"/>
    <cellStyle name="Normal 5 2 3 5 2 3" xfId="14377" xr:uid="{00000000-0005-0000-0000-0000D16E0000}"/>
    <cellStyle name="Normal 5 2 3 5 3" xfId="27724" xr:uid="{00000000-0005-0000-0000-0000D26E0000}"/>
    <cellStyle name="Normal 5 2 3 5 3 2" xfId="29782" xr:uid="{00000000-0005-0000-0000-0000D36E0000}"/>
    <cellStyle name="Normal 5 2 3 5 4" xfId="19426" xr:uid="{00000000-0005-0000-0000-0000D46E0000}"/>
    <cellStyle name="Normal 5 2 3 6" xfId="31530" xr:uid="{00000000-0005-0000-0000-0000D56E0000}"/>
    <cellStyle name="Normal 5 2 3 6 2" xfId="22622" xr:uid="{00000000-0005-0000-0000-0000D66E0000}"/>
    <cellStyle name="Normal 5 2 3 6 2 2" xfId="29788" xr:uid="{00000000-0005-0000-0000-0000D76E0000}"/>
    <cellStyle name="Normal 5 2 3 6 3" xfId="29793" xr:uid="{00000000-0005-0000-0000-0000D86E0000}"/>
    <cellStyle name="Normal 5 2 3 7" xfId="24737" xr:uid="{00000000-0005-0000-0000-0000D96E0000}"/>
    <cellStyle name="Normal 5 2 3 7 2" xfId="29799" xr:uid="{00000000-0005-0000-0000-0000DA6E0000}"/>
    <cellStyle name="Normal 5 2 3 8" xfId="23045" xr:uid="{00000000-0005-0000-0000-0000DB6E0000}"/>
    <cellStyle name="Normal 5 2 4" xfId="8110" xr:uid="{00000000-0005-0000-0000-0000DC6E0000}"/>
    <cellStyle name="Normal 5 2 4 2" xfId="2125" xr:uid="{00000000-0005-0000-0000-0000DD6E0000}"/>
    <cellStyle name="Normal 5 2 4 2 2" xfId="11123" xr:uid="{00000000-0005-0000-0000-0000DE6E0000}"/>
    <cellStyle name="Normal 5 2 4 2 2 2" xfId="9479" xr:uid="{00000000-0005-0000-0000-0000DF6E0000}"/>
    <cellStyle name="Normal 5 2 4 2 2 2 2" xfId="19523" xr:uid="{00000000-0005-0000-0000-0000E06E0000}"/>
    <cellStyle name="Normal 5 2 4 2 2 2 2 2" xfId="19133" xr:uid="{00000000-0005-0000-0000-0000E16E0000}"/>
    <cellStyle name="Normal 5 2 4 2 2 2 2 2 2" xfId="26810" xr:uid="{00000000-0005-0000-0000-0000E26E0000}"/>
    <cellStyle name="Normal 5 2 4 2 2 2 2 3" xfId="1568" xr:uid="{00000000-0005-0000-0000-0000E36E0000}"/>
    <cellStyle name="Normal 5 2 4 2 2 2 3" xfId="28726" xr:uid="{00000000-0005-0000-0000-0000E46E0000}"/>
    <cellStyle name="Normal 5 2 4 2 2 2 3 2" xfId="19138" xr:uid="{00000000-0005-0000-0000-0000E56E0000}"/>
    <cellStyle name="Normal 5 2 4 2 2 2 4" xfId="18362" xr:uid="{00000000-0005-0000-0000-0000E66E0000}"/>
    <cellStyle name="Normal 5 2 4 2 2 3" xfId="8023" xr:uid="{00000000-0005-0000-0000-0000E76E0000}"/>
    <cellStyle name="Normal 5 2 4 2 2 3 2" xfId="20716" xr:uid="{00000000-0005-0000-0000-0000E86E0000}"/>
    <cellStyle name="Normal 5 2 4 2 2 3 2 2" xfId="19142" xr:uid="{00000000-0005-0000-0000-0000E96E0000}"/>
    <cellStyle name="Normal 5 2 4 2 2 3 3" xfId="17911" xr:uid="{00000000-0005-0000-0000-0000EA6E0000}"/>
    <cellStyle name="Normal 5 2 4 2 2 4" xfId="18813" xr:uid="{00000000-0005-0000-0000-0000EB6E0000}"/>
    <cellStyle name="Normal 5 2 4 2 2 4 2" xfId="27634" xr:uid="{00000000-0005-0000-0000-0000EC6E0000}"/>
    <cellStyle name="Normal 5 2 4 2 2 5" xfId="29822" xr:uid="{00000000-0005-0000-0000-0000ED6E0000}"/>
    <cellStyle name="Normal 5 2 4 2 3" xfId="2883" xr:uid="{00000000-0005-0000-0000-0000EE6E0000}"/>
    <cellStyle name="Normal 5 2 4 2 3 2" xfId="6160" xr:uid="{00000000-0005-0000-0000-0000EF6E0000}"/>
    <cellStyle name="Normal 5 2 4 2 3 2 2" xfId="24221" xr:uid="{00000000-0005-0000-0000-0000F06E0000}"/>
    <cellStyle name="Normal 5 2 4 2 3 2 2 2" xfId="9510" xr:uid="{00000000-0005-0000-0000-0000F16E0000}"/>
    <cellStyle name="Normal 5 2 4 2 3 2 3" xfId="24243" xr:uid="{00000000-0005-0000-0000-0000F26E0000}"/>
    <cellStyle name="Normal 5 2 4 2 3 3" xfId="273" xr:uid="{00000000-0005-0000-0000-0000F36E0000}"/>
    <cellStyle name="Normal 5 2 4 2 3 3 2" xfId="24374" xr:uid="{00000000-0005-0000-0000-0000F46E0000}"/>
    <cellStyle name="Normal 5 2 4 2 3 4" xfId="28738" xr:uid="{00000000-0005-0000-0000-0000F56E0000}"/>
    <cellStyle name="Normal 5 2 4 2 4" xfId="6162" xr:uid="{00000000-0005-0000-0000-0000F66E0000}"/>
    <cellStyle name="Normal 5 2 4 2 4 2" xfId="1569" xr:uid="{00000000-0005-0000-0000-0000F76E0000}"/>
    <cellStyle name="Normal 5 2 4 2 4 2 2" xfId="15204" xr:uid="{00000000-0005-0000-0000-0000F86E0000}"/>
    <cellStyle name="Normal 5 2 4 2 4 3" xfId="25478" xr:uid="{00000000-0005-0000-0000-0000F96E0000}"/>
    <cellStyle name="Normal 5 2 4 2 5" xfId="7799" xr:uid="{00000000-0005-0000-0000-0000FA6E0000}"/>
    <cellStyle name="Normal 5 2 4 2 5 2" xfId="33025" xr:uid="{00000000-0005-0000-0000-0000FB6E0000}"/>
    <cellStyle name="Normal 5 2 4 2 6" xfId="22019" xr:uid="{00000000-0005-0000-0000-0000FC6E0000}"/>
    <cellStyle name="Normal 5 2 4 2 6 2" xfId="29827" xr:uid="{00000000-0005-0000-0000-0000FD6E0000}"/>
    <cellStyle name="Normal 5 2 4 2 7" xfId="22022" xr:uid="{00000000-0005-0000-0000-0000FE6E0000}"/>
    <cellStyle name="Normal 5 2 4 3" xfId="1874" xr:uid="{00000000-0005-0000-0000-0000FF6E0000}"/>
    <cellStyle name="Normal 5 2 4 3 2" xfId="6167" xr:uid="{00000000-0005-0000-0000-0000006F0000}"/>
    <cellStyle name="Normal 5 2 4 3 2 2" xfId="1168" xr:uid="{00000000-0005-0000-0000-0000016F0000}"/>
    <cellStyle name="Normal 5 2 4 3 2 2 2" xfId="29828" xr:uid="{00000000-0005-0000-0000-0000026F0000}"/>
    <cellStyle name="Normal 5 2 4 3 2 2 2 2" xfId="19689" xr:uid="{00000000-0005-0000-0000-0000036F0000}"/>
    <cellStyle name="Normal 5 2 4 3 2 2 3" xfId="26077" xr:uid="{00000000-0005-0000-0000-0000046F0000}"/>
    <cellStyle name="Normal 5 2 4 3 2 3" xfId="279" xr:uid="{00000000-0005-0000-0000-0000056F0000}"/>
    <cellStyle name="Normal 5 2 4 3 2 3 2" xfId="29832" xr:uid="{00000000-0005-0000-0000-0000066F0000}"/>
    <cellStyle name="Normal 5 2 4 3 2 4" xfId="27692" xr:uid="{00000000-0005-0000-0000-0000076F0000}"/>
    <cellStyle name="Normal 5 2 4 3 3" xfId="6169" xr:uid="{00000000-0005-0000-0000-0000086F0000}"/>
    <cellStyle name="Normal 5 2 4 3 3 2" xfId="6172" xr:uid="{00000000-0005-0000-0000-0000096F0000}"/>
    <cellStyle name="Normal 5 2 4 3 3 2 2" xfId="1595" xr:uid="{00000000-0005-0000-0000-00000A6F0000}"/>
    <cellStyle name="Normal 5 2 4 3 3 3" xfId="29834" xr:uid="{00000000-0005-0000-0000-00000B6F0000}"/>
    <cellStyle name="Normal 5 2 4 3 4" xfId="6175" xr:uid="{00000000-0005-0000-0000-00000C6F0000}"/>
    <cellStyle name="Normal 5 2 4 3 4 2" xfId="29836" xr:uid="{00000000-0005-0000-0000-00000D6F0000}"/>
    <cellStyle name="Normal 5 2 4 3 5" xfId="7331" xr:uid="{00000000-0005-0000-0000-00000E6F0000}"/>
    <cellStyle name="Normal 5 2 4 4" xfId="6180" xr:uid="{00000000-0005-0000-0000-00000F6F0000}"/>
    <cellStyle name="Normal 5 2 4 4 2" xfId="15325" xr:uid="{00000000-0005-0000-0000-0000106F0000}"/>
    <cellStyle name="Normal 5 2 4 4 2 2" xfId="12698" xr:uid="{00000000-0005-0000-0000-0000116F0000}"/>
    <cellStyle name="Normal 5 2 4 4 2 2 2" xfId="29840" xr:uid="{00000000-0005-0000-0000-0000126F0000}"/>
    <cellStyle name="Normal 5 2 4 4 2 3" xfId="12702" xr:uid="{00000000-0005-0000-0000-0000136F0000}"/>
    <cellStyle name="Normal 5 2 4 4 3" xfId="7075" xr:uid="{00000000-0005-0000-0000-0000146F0000}"/>
    <cellStyle name="Normal 5 2 4 4 3 2" xfId="12708" xr:uid="{00000000-0005-0000-0000-0000156F0000}"/>
    <cellStyle name="Normal 5 2 4 4 4" xfId="29841" xr:uid="{00000000-0005-0000-0000-0000166F0000}"/>
    <cellStyle name="Normal 5 2 4 5" xfId="6183" xr:uid="{00000000-0005-0000-0000-0000176F0000}"/>
    <cellStyle name="Normal 5 2 4 5 2" xfId="7079" xr:uid="{00000000-0005-0000-0000-0000186F0000}"/>
    <cellStyle name="Normal 5 2 4 5 2 2" xfId="4016" xr:uid="{00000000-0005-0000-0000-0000196F0000}"/>
    <cellStyle name="Normal 5 2 4 5 3" xfId="29175" xr:uid="{00000000-0005-0000-0000-00001A6F0000}"/>
    <cellStyle name="Normal 5 2 4 6" xfId="6188" xr:uid="{00000000-0005-0000-0000-00001B6F0000}"/>
    <cellStyle name="Normal 5 2 4 6 2" xfId="29843" xr:uid="{00000000-0005-0000-0000-00001C6F0000}"/>
    <cellStyle name="Normal 5 2 4 7" xfId="29845" xr:uid="{00000000-0005-0000-0000-00001D6F0000}"/>
    <cellStyle name="Normal 5 2 4 7 2" xfId="29847" xr:uid="{00000000-0005-0000-0000-00001E6F0000}"/>
    <cellStyle name="Normal 5 2 4 8" xfId="27609" xr:uid="{00000000-0005-0000-0000-00001F6F0000}"/>
    <cellStyle name="Normal 5 2 5" xfId="8113" xr:uid="{00000000-0005-0000-0000-0000206F0000}"/>
    <cellStyle name="Normal 5 2 5 2" xfId="2128" xr:uid="{00000000-0005-0000-0000-0000216F0000}"/>
    <cellStyle name="Normal 5 2 5 2 2" xfId="6969" xr:uid="{00000000-0005-0000-0000-0000226F0000}"/>
    <cellStyle name="Normal 5 2 5 2 2 2" xfId="24119" xr:uid="{00000000-0005-0000-0000-0000236F0000}"/>
    <cellStyle name="Normal 5 2 5 2 2 2 2" xfId="24128" xr:uid="{00000000-0005-0000-0000-0000246F0000}"/>
    <cellStyle name="Normal 5 2 5 2 2 2 2 2" xfId="26851" xr:uid="{00000000-0005-0000-0000-0000256F0000}"/>
    <cellStyle name="Normal 5 2 5 2 2 2 3" xfId="24139" xr:uid="{00000000-0005-0000-0000-0000266F0000}"/>
    <cellStyle name="Normal 5 2 5 2 2 3" xfId="24152" xr:uid="{00000000-0005-0000-0000-0000276F0000}"/>
    <cellStyle name="Normal 5 2 5 2 2 3 2" xfId="29136" xr:uid="{00000000-0005-0000-0000-0000286F0000}"/>
    <cellStyle name="Normal 5 2 5 2 2 4" xfId="20253" xr:uid="{00000000-0005-0000-0000-0000296F0000}"/>
    <cellStyle name="Normal 5 2 5 2 3" xfId="7832" xr:uid="{00000000-0005-0000-0000-00002A6F0000}"/>
    <cellStyle name="Normal 5 2 5 2 3 2" xfId="24207" xr:uid="{00000000-0005-0000-0000-00002B6F0000}"/>
    <cellStyle name="Normal 5 2 5 2 3 2 2" xfId="24211" xr:uid="{00000000-0005-0000-0000-00002C6F0000}"/>
    <cellStyle name="Normal 5 2 5 2 3 3" xfId="24217" xr:uid="{00000000-0005-0000-0000-00002D6F0000}"/>
    <cellStyle name="Normal 5 2 5 2 4" xfId="8514" xr:uid="{00000000-0005-0000-0000-00002E6F0000}"/>
    <cellStyle name="Normal 5 2 5 2 4 2" xfId="24237" xr:uid="{00000000-0005-0000-0000-00002F6F0000}"/>
    <cellStyle name="Normal 5 2 5 2 5" xfId="29853" xr:uid="{00000000-0005-0000-0000-0000306F0000}"/>
    <cellStyle name="Normal 5 2 5 2 5 2" xfId="24256" xr:uid="{00000000-0005-0000-0000-0000316F0000}"/>
    <cellStyle name="Normal 5 2 5 2 6" xfId="22039" xr:uid="{00000000-0005-0000-0000-0000326F0000}"/>
    <cellStyle name="Normal 5 2 5 2 6 2" xfId="21443" xr:uid="{00000000-0005-0000-0000-0000336F0000}"/>
    <cellStyle name="Normal 5 2 5 2 7" xfId="22044" xr:uid="{00000000-0005-0000-0000-0000346F0000}"/>
    <cellStyle name="Normal 5 2 5 3" xfId="6202" xr:uid="{00000000-0005-0000-0000-0000356F0000}"/>
    <cellStyle name="Normal 5 2 5 3 2" xfId="6204" xr:uid="{00000000-0005-0000-0000-0000366F0000}"/>
    <cellStyle name="Normal 5 2 5 3 2 2" xfId="27362" xr:uid="{00000000-0005-0000-0000-0000376F0000}"/>
    <cellStyle name="Normal 5 2 5 3 2 2 2" xfId="24335" xr:uid="{00000000-0005-0000-0000-0000386F0000}"/>
    <cellStyle name="Normal 5 2 5 3 2 3" xfId="24344" xr:uid="{00000000-0005-0000-0000-0000396F0000}"/>
    <cellStyle name="Normal 5 2 5 3 3" xfId="14172" xr:uid="{00000000-0005-0000-0000-00003A6F0000}"/>
    <cellStyle name="Normal 5 2 5 3 3 2" xfId="2491" xr:uid="{00000000-0005-0000-0000-00003B6F0000}"/>
    <cellStyle name="Normal 5 2 5 3 4" xfId="19662" xr:uid="{00000000-0005-0000-0000-00003C6F0000}"/>
    <cellStyle name="Normal 5 2 5 4" xfId="7091" xr:uid="{00000000-0005-0000-0000-00003D6F0000}"/>
    <cellStyle name="Normal 5 2 5 4 2" xfId="7094" xr:uid="{00000000-0005-0000-0000-00003E6F0000}"/>
    <cellStyle name="Normal 5 2 5 4 2 2" xfId="20227" xr:uid="{00000000-0005-0000-0000-00003F6F0000}"/>
    <cellStyle name="Normal 5 2 5 4 3" xfId="29857" xr:uid="{00000000-0005-0000-0000-0000406F0000}"/>
    <cellStyle name="Normal 5 2 5 5" xfId="7097" xr:uid="{00000000-0005-0000-0000-0000416F0000}"/>
    <cellStyle name="Normal 5 2 5 5 2" xfId="28881" xr:uid="{00000000-0005-0000-0000-0000426F0000}"/>
    <cellStyle name="Normal 5 2 5 6" xfId="32353" xr:uid="{00000000-0005-0000-0000-0000436F0000}"/>
    <cellStyle name="Normal 5 2 5 6 2" xfId="28903" xr:uid="{00000000-0005-0000-0000-0000446F0000}"/>
    <cellStyle name="Normal 5 2 5 7" xfId="25639" xr:uid="{00000000-0005-0000-0000-0000456F0000}"/>
    <cellStyle name="Normal 5 2 5 7 2" xfId="29861" xr:uid="{00000000-0005-0000-0000-0000466F0000}"/>
    <cellStyle name="Normal 5 2 5 8" xfId="25641" xr:uid="{00000000-0005-0000-0000-0000476F0000}"/>
    <cellStyle name="Normal 5 2 6" xfId="12278" xr:uid="{00000000-0005-0000-0000-0000486F0000}"/>
    <cellStyle name="Normal 5 2 6 2" xfId="1666" xr:uid="{00000000-0005-0000-0000-0000496F0000}"/>
    <cellStyle name="Normal 5 2 6 2 2" xfId="1715" xr:uid="{00000000-0005-0000-0000-00004A6F0000}"/>
    <cellStyle name="Normal 5 2 6 2 2 2" xfId="24880" xr:uid="{00000000-0005-0000-0000-00004B6F0000}"/>
    <cellStyle name="Normal 5 2 6 2 2 2 2" xfId="12733" xr:uid="{00000000-0005-0000-0000-00004C6F0000}"/>
    <cellStyle name="Normal 5 2 6 2 2 3" xfId="24888" xr:uid="{00000000-0005-0000-0000-00004D6F0000}"/>
    <cellStyle name="Normal 5 2 6 2 3" xfId="4670" xr:uid="{00000000-0005-0000-0000-00004E6F0000}"/>
    <cellStyle name="Normal 5 2 6 2 3 2" xfId="24897" xr:uid="{00000000-0005-0000-0000-00004F6F0000}"/>
    <cellStyle name="Normal 5 2 6 2 4" xfId="14280" xr:uid="{00000000-0005-0000-0000-0000506F0000}"/>
    <cellStyle name="Normal 5 2 6 2 4 2" xfId="24906" xr:uid="{00000000-0005-0000-0000-0000516F0000}"/>
    <cellStyle name="Normal 5 2 6 2 5" xfId="14281" xr:uid="{00000000-0005-0000-0000-0000526F0000}"/>
    <cellStyle name="Normal 5 2 6 2 5 2" xfId="24913" xr:uid="{00000000-0005-0000-0000-0000536F0000}"/>
    <cellStyle name="Normal 5 2 6 2 6" xfId="907" xr:uid="{00000000-0005-0000-0000-0000546F0000}"/>
    <cellStyle name="Normal 5 2 6 2 6 2" xfId="19236" xr:uid="{00000000-0005-0000-0000-0000556F0000}"/>
    <cellStyle name="Normal 5 2 6 2 7" xfId="29869" xr:uid="{00000000-0005-0000-0000-0000566F0000}"/>
    <cellStyle name="Normal 5 2 6 3" xfId="2298" xr:uid="{00000000-0005-0000-0000-0000576F0000}"/>
    <cellStyle name="Normal 5 2 6 3 2" xfId="1625" xr:uid="{00000000-0005-0000-0000-0000586F0000}"/>
    <cellStyle name="Normal 5 2 6 3 2 2" xfId="11206" xr:uid="{00000000-0005-0000-0000-0000596F0000}"/>
    <cellStyle name="Normal 5 2 6 3 3" xfId="33559" xr:uid="{00000000-0005-0000-0000-00005A6F0000}"/>
    <cellStyle name="Normal 5 2 6 4" xfId="7108" xr:uid="{00000000-0005-0000-0000-00005B6F0000}"/>
    <cellStyle name="Normal 5 2 6 4 2" xfId="32724" xr:uid="{00000000-0005-0000-0000-00005C6F0000}"/>
    <cellStyle name="Normal 5 2 6 5" xfId="30248" xr:uid="{00000000-0005-0000-0000-00005D6F0000}"/>
    <cellStyle name="Normal 5 2 6 5 2" xfId="11073" xr:uid="{00000000-0005-0000-0000-00005E6F0000}"/>
    <cellStyle name="Normal 5 2 6 6" xfId="33234" xr:uid="{00000000-0005-0000-0000-00005F6F0000}"/>
    <cellStyle name="Normal 5 2 6 6 2" xfId="24226" xr:uid="{00000000-0005-0000-0000-0000606F0000}"/>
    <cellStyle name="Normal 5 2 6 7" xfId="29871" xr:uid="{00000000-0005-0000-0000-0000616F0000}"/>
    <cellStyle name="Normal 5 2 6 7 2" xfId="29874" xr:uid="{00000000-0005-0000-0000-0000626F0000}"/>
    <cellStyle name="Normal 5 2 6 8" xfId="29879" xr:uid="{00000000-0005-0000-0000-0000636F0000}"/>
    <cellStyle name="Normal 5 2 7" xfId="18722" xr:uid="{00000000-0005-0000-0000-0000646F0000}"/>
    <cellStyle name="Normal 5 2 7 2" xfId="1675" xr:uid="{00000000-0005-0000-0000-0000656F0000}"/>
    <cellStyle name="Normal 5 2 7 2 2" xfId="12721" xr:uid="{00000000-0005-0000-0000-0000666F0000}"/>
    <cellStyle name="Normal 5 2 7 2 2 2" xfId="22131" xr:uid="{00000000-0005-0000-0000-0000676F0000}"/>
    <cellStyle name="Normal 5 2 7 2 3" xfId="33299" xr:uid="{00000000-0005-0000-0000-0000686F0000}"/>
    <cellStyle name="Normal 5 2 7 2 3 2" xfId="22154" xr:uid="{00000000-0005-0000-0000-0000696F0000}"/>
    <cellStyle name="Normal 5 2 7 2 4" xfId="33636" xr:uid="{00000000-0005-0000-0000-00006A6F0000}"/>
    <cellStyle name="Normal 5 2 7 2 4 2" xfId="22159" xr:uid="{00000000-0005-0000-0000-00006B6F0000}"/>
    <cellStyle name="Normal 5 2 7 2 5" xfId="33172" xr:uid="{00000000-0005-0000-0000-00006C6F0000}"/>
    <cellStyle name="Normal 5 2 7 2 5 2" xfId="33977" xr:uid="{00000000-0005-0000-0000-00006D6F0000}"/>
    <cellStyle name="Normal 5 2 7 2 6" xfId="29884" xr:uid="{00000000-0005-0000-0000-00006E6F0000}"/>
    <cellStyle name="Normal 5 2 7 2 6 2" xfId="30033" xr:uid="{00000000-0005-0000-0000-00006F6F0000}"/>
    <cellStyle name="Normal 5 2 7 2 7" xfId="29886" xr:uid="{00000000-0005-0000-0000-0000706F0000}"/>
    <cellStyle name="Normal 5 2 7 3" xfId="772" xr:uid="{00000000-0005-0000-0000-0000716F0000}"/>
    <cellStyle name="Normal 5 2 7 3 2" xfId="33748" xr:uid="{00000000-0005-0000-0000-0000726F0000}"/>
    <cellStyle name="Normal 5 2 7 4" xfId="422" xr:uid="{00000000-0005-0000-0000-0000736F0000}"/>
    <cellStyle name="Normal 5 2 7 4 2" xfId="30256" xr:uid="{00000000-0005-0000-0000-0000746F0000}"/>
    <cellStyle name="Normal 5 2 7 5" xfId="29887" xr:uid="{00000000-0005-0000-0000-0000756F0000}"/>
    <cellStyle name="Normal 5 2 7 5 2" xfId="11078" xr:uid="{00000000-0005-0000-0000-0000766F0000}"/>
    <cellStyle name="Normal 5 2 7 6" xfId="29891" xr:uid="{00000000-0005-0000-0000-0000776F0000}"/>
    <cellStyle name="Normal 5 2 7 6 2" xfId="23810" xr:uid="{00000000-0005-0000-0000-0000786F0000}"/>
    <cellStyle name="Normal 5 2 7 7" xfId="32052" xr:uid="{00000000-0005-0000-0000-0000796F0000}"/>
    <cellStyle name="Normal 5 2 7 7 2" xfId="27353" xr:uid="{00000000-0005-0000-0000-00007A6F0000}"/>
    <cellStyle name="Normal 5 2 7 8" xfId="29898" xr:uid="{00000000-0005-0000-0000-00007B6F0000}"/>
    <cellStyle name="Normal 5 2 8" xfId="1089" xr:uid="{00000000-0005-0000-0000-00007C6F0000}"/>
    <cellStyle name="Normal 5 2 8 2" xfId="1274" xr:uid="{00000000-0005-0000-0000-00007D6F0000}"/>
    <cellStyle name="Normal 5 2 8 2 2" xfId="33573" xr:uid="{00000000-0005-0000-0000-00007E6F0000}"/>
    <cellStyle name="Normal 5 2 8 2 2 2" xfId="22429" xr:uid="{00000000-0005-0000-0000-00007F6F0000}"/>
    <cellStyle name="Normal 5 2 8 2 3" xfId="33661" xr:uid="{00000000-0005-0000-0000-0000806F0000}"/>
    <cellStyle name="Normal 5 2 8 2 3 2" xfId="22445" xr:uid="{00000000-0005-0000-0000-0000816F0000}"/>
    <cellStyle name="Normal 5 2 8 2 4" xfId="33820" xr:uid="{00000000-0005-0000-0000-0000826F0000}"/>
    <cellStyle name="Normal 5 2 8 2 4 2" xfId="29901" xr:uid="{00000000-0005-0000-0000-0000836F0000}"/>
    <cellStyle name="Normal 5 2 8 2 5" xfId="31572" xr:uid="{00000000-0005-0000-0000-0000846F0000}"/>
    <cellStyle name="Normal 5 2 8 2 5 2" xfId="31421" xr:uid="{00000000-0005-0000-0000-0000856F0000}"/>
    <cellStyle name="Normal 5 2 8 2 6" xfId="26461" xr:uid="{00000000-0005-0000-0000-0000866F0000}"/>
    <cellStyle name="Normal 5 2 8 2 6 2" xfId="8790" xr:uid="{00000000-0005-0000-0000-0000876F0000}"/>
    <cellStyle name="Normal 5 2 8 2 7" xfId="16534" xr:uid="{00000000-0005-0000-0000-0000886F0000}"/>
    <cellStyle name="Normal 5 2 8 3" xfId="32788" xr:uid="{00000000-0005-0000-0000-0000896F0000}"/>
    <cellStyle name="Normal 5 2 8 3 2" xfId="32619" xr:uid="{00000000-0005-0000-0000-00008A6F0000}"/>
    <cellStyle name="Normal 5 2 8 4" xfId="29902" xr:uid="{00000000-0005-0000-0000-00008B6F0000}"/>
    <cellStyle name="Normal 5 2 8 4 2" xfId="32646" xr:uid="{00000000-0005-0000-0000-00008C6F0000}"/>
    <cellStyle name="Normal 5 2 8 5" xfId="23001" xr:uid="{00000000-0005-0000-0000-00008D6F0000}"/>
    <cellStyle name="Normal 5 2 8 5 2" xfId="23835" xr:uid="{00000000-0005-0000-0000-00008E6F0000}"/>
    <cellStyle name="Normal 5 2 8 6" xfId="18990" xr:uid="{00000000-0005-0000-0000-00008F6F0000}"/>
    <cellStyle name="Normal 5 2 8 6 2" xfId="29910" xr:uid="{00000000-0005-0000-0000-0000906F0000}"/>
    <cellStyle name="Normal 5 2 8 7" xfId="19002" xr:uid="{00000000-0005-0000-0000-0000916F0000}"/>
    <cellStyle name="Normal 5 2 8 7 2" xfId="27176" xr:uid="{00000000-0005-0000-0000-0000926F0000}"/>
    <cellStyle name="Normal 5 2 8 8" xfId="29913" xr:uid="{00000000-0005-0000-0000-0000936F0000}"/>
    <cellStyle name="Normal 5 2 9" xfId="1276" xr:uid="{00000000-0005-0000-0000-0000946F0000}"/>
    <cellStyle name="Normal 5 2 9 2" xfId="29915" xr:uid="{00000000-0005-0000-0000-0000956F0000}"/>
    <cellStyle name="Normal 5 2 9 2 2" xfId="10670" xr:uid="{00000000-0005-0000-0000-0000966F0000}"/>
    <cellStyle name="Normal 5 2 9 2 2 2" xfId="22584" xr:uid="{00000000-0005-0000-0000-0000976F0000}"/>
    <cellStyle name="Normal 5 2 9 2 3" xfId="19103" xr:uid="{00000000-0005-0000-0000-0000986F0000}"/>
    <cellStyle name="Normal 5 2 9 2 3 2" xfId="16213" xr:uid="{00000000-0005-0000-0000-0000996F0000}"/>
    <cellStyle name="Normal 5 2 9 2 4" xfId="29916" xr:uid="{00000000-0005-0000-0000-00009A6F0000}"/>
    <cellStyle name="Normal 5 2 9 2 4 2" xfId="16233" xr:uid="{00000000-0005-0000-0000-00009B6F0000}"/>
    <cellStyle name="Normal 5 2 9 2 5" xfId="29919" xr:uid="{00000000-0005-0000-0000-00009C6F0000}"/>
    <cellStyle name="Normal 5 2 9 2 5 2" xfId="443" xr:uid="{00000000-0005-0000-0000-00009D6F0000}"/>
    <cellStyle name="Normal 5 2 9 2 6" xfId="28850" xr:uid="{00000000-0005-0000-0000-00009E6F0000}"/>
    <cellStyle name="Normal 5 2 9 2 6 2" xfId="29920" xr:uid="{00000000-0005-0000-0000-00009F6F0000}"/>
    <cellStyle name="Normal 5 2 9 2 7" xfId="25458" xr:uid="{00000000-0005-0000-0000-0000A06F0000}"/>
    <cellStyle name="Normal 5 2 9 3" xfId="29926" xr:uid="{00000000-0005-0000-0000-0000A16F0000}"/>
    <cellStyle name="Normal 5 2 9 3 2" xfId="32682" xr:uid="{00000000-0005-0000-0000-0000A26F0000}"/>
    <cellStyle name="Normal 5 2 9 4" xfId="29927" xr:uid="{00000000-0005-0000-0000-0000A36F0000}"/>
    <cellStyle name="Normal 5 2 9 4 2" xfId="32123" xr:uid="{00000000-0005-0000-0000-0000A46F0000}"/>
    <cellStyle name="Normal 5 2 9 5" xfId="27564" xr:uid="{00000000-0005-0000-0000-0000A56F0000}"/>
    <cellStyle name="Normal 5 2 9 5 2" xfId="26387" xr:uid="{00000000-0005-0000-0000-0000A66F0000}"/>
    <cellStyle name="Normal 5 2 9 6" xfId="4337" xr:uid="{00000000-0005-0000-0000-0000A76F0000}"/>
    <cellStyle name="Normal 5 2 9 6 2" xfId="26408" xr:uid="{00000000-0005-0000-0000-0000A86F0000}"/>
    <cellStyle name="Normal 5 2 9 7" xfId="31213" xr:uid="{00000000-0005-0000-0000-0000A96F0000}"/>
    <cellStyle name="Normal 5 2 9 7 2" xfId="27343" xr:uid="{00000000-0005-0000-0000-0000AA6F0000}"/>
    <cellStyle name="Normal 5 2 9 8" xfId="29933" xr:uid="{00000000-0005-0000-0000-0000AB6F0000}"/>
    <cellStyle name="Normal 5 20" xfId="25019" xr:uid="{00000000-0005-0000-0000-0000AC6F0000}"/>
    <cellStyle name="Normal 5 20 2" xfId="27741" xr:uid="{00000000-0005-0000-0000-0000AD6F0000}"/>
    <cellStyle name="Normal 5 21" xfId="2667" xr:uid="{00000000-0005-0000-0000-0000AE6F0000}"/>
    <cellStyle name="Normal 5 21 2" xfId="29347" xr:uid="{00000000-0005-0000-0000-0000AF6F0000}"/>
    <cellStyle name="Normal 5 22" xfId="20511" xr:uid="{00000000-0005-0000-0000-0000B06F0000}"/>
    <cellStyle name="Normal 5 3" xfId="3841" xr:uid="{00000000-0005-0000-0000-0000B16F0000}"/>
    <cellStyle name="Normal 5 3 2" xfId="29938" xr:uid="{00000000-0005-0000-0000-0000B26F0000}"/>
    <cellStyle name="Normal 5 3 2 2" xfId="29942" xr:uid="{00000000-0005-0000-0000-0000B36F0000}"/>
    <cellStyle name="Normal 5 3 2 2 2" xfId="25420" xr:uid="{00000000-0005-0000-0000-0000B46F0000}"/>
    <cellStyle name="Normal 5 3 2 2 2 2" xfId="9718" xr:uid="{00000000-0005-0000-0000-0000B56F0000}"/>
    <cellStyle name="Normal 5 3 2 2 2 2 2" xfId="29946" xr:uid="{00000000-0005-0000-0000-0000B66F0000}"/>
    <cellStyle name="Normal 5 3 2 2 2 2 2 2" xfId="4462" xr:uid="{00000000-0005-0000-0000-0000B76F0000}"/>
    <cellStyle name="Normal 5 3 2 2 2 2 2 2 2" xfId="8083" xr:uid="{00000000-0005-0000-0000-0000B86F0000}"/>
    <cellStyle name="Normal 5 3 2 2 2 2 2 2 2 2" xfId="32420" xr:uid="{00000000-0005-0000-0000-0000B96F0000}"/>
    <cellStyle name="Normal 5 3 2 2 2 2 2 2 3" xfId="23492" xr:uid="{00000000-0005-0000-0000-0000BA6F0000}"/>
    <cellStyle name="Normal 5 3 2 2 2 2 2 3" xfId="12527" xr:uid="{00000000-0005-0000-0000-0000BB6F0000}"/>
    <cellStyle name="Normal 5 3 2 2 2 2 2 3 2" xfId="12534" xr:uid="{00000000-0005-0000-0000-0000BC6F0000}"/>
    <cellStyle name="Normal 5 3 2 2 2 2 2 4" xfId="12549" xr:uid="{00000000-0005-0000-0000-0000BD6F0000}"/>
    <cellStyle name="Normal 5 3 2 2 2 2 3" xfId="17904" xr:uid="{00000000-0005-0000-0000-0000BE6F0000}"/>
    <cellStyle name="Normal 5 3 2 2 2 2 3 2" xfId="22448" xr:uid="{00000000-0005-0000-0000-0000BF6F0000}"/>
    <cellStyle name="Normal 5 3 2 2 2 2 3 2 2" xfId="22454" xr:uid="{00000000-0005-0000-0000-0000C06F0000}"/>
    <cellStyle name="Normal 5 3 2 2 2 2 3 3" xfId="22468" xr:uid="{00000000-0005-0000-0000-0000C16F0000}"/>
    <cellStyle name="Normal 5 3 2 2 2 2 4" xfId="22475" xr:uid="{00000000-0005-0000-0000-0000C26F0000}"/>
    <cellStyle name="Normal 5 3 2 2 2 2 4 2" xfId="22480" xr:uid="{00000000-0005-0000-0000-0000C36F0000}"/>
    <cellStyle name="Normal 5 3 2 2 2 2 5" xfId="23396" xr:uid="{00000000-0005-0000-0000-0000C46F0000}"/>
    <cellStyle name="Normal 5 3 2 2 2 3" xfId="2903" xr:uid="{00000000-0005-0000-0000-0000C56F0000}"/>
    <cellStyle name="Normal 5 3 2 2 2 3 2" xfId="29764" xr:uid="{00000000-0005-0000-0000-0000C66F0000}"/>
    <cellStyle name="Normal 5 3 2 2 2 3 2 2" xfId="29951" xr:uid="{00000000-0005-0000-0000-0000C76F0000}"/>
    <cellStyle name="Normal 5 3 2 2 2 3 2 2 2" xfId="29954" xr:uid="{00000000-0005-0000-0000-0000C86F0000}"/>
    <cellStyle name="Normal 5 3 2 2 2 3 2 3" xfId="11138" xr:uid="{00000000-0005-0000-0000-0000C96F0000}"/>
    <cellStyle name="Normal 5 3 2 2 2 3 3" xfId="19712" xr:uid="{00000000-0005-0000-0000-0000CA6F0000}"/>
    <cellStyle name="Normal 5 3 2 2 2 3 3 2" xfId="26889" xr:uid="{00000000-0005-0000-0000-0000CB6F0000}"/>
    <cellStyle name="Normal 5 3 2 2 2 3 4" xfId="22497" xr:uid="{00000000-0005-0000-0000-0000CC6F0000}"/>
    <cellStyle name="Normal 5 3 2 2 2 4" xfId="29955" xr:uid="{00000000-0005-0000-0000-0000CD6F0000}"/>
    <cellStyle name="Normal 5 3 2 2 2 4 2" xfId="21759" xr:uid="{00000000-0005-0000-0000-0000CE6F0000}"/>
    <cellStyle name="Normal 5 3 2 2 2 4 2 2" xfId="9904" xr:uid="{00000000-0005-0000-0000-0000CF6F0000}"/>
    <cellStyle name="Normal 5 3 2 2 2 4 3" xfId="22502" xr:uid="{00000000-0005-0000-0000-0000D06F0000}"/>
    <cellStyle name="Normal 5 3 2 2 2 5" xfId="29961" xr:uid="{00000000-0005-0000-0000-0000D16F0000}"/>
    <cellStyle name="Normal 5 3 2 2 2 5 2" xfId="26525" xr:uid="{00000000-0005-0000-0000-0000D26F0000}"/>
    <cellStyle name="Normal 5 3 2 2 2 6" xfId="28487" xr:uid="{00000000-0005-0000-0000-0000D36F0000}"/>
    <cellStyle name="Normal 5 3 2 2 3" xfId="30102" xr:uid="{00000000-0005-0000-0000-0000D46F0000}"/>
    <cellStyle name="Normal 5 3 2 2 3 2" xfId="9497" xr:uid="{00000000-0005-0000-0000-0000D56F0000}"/>
    <cellStyle name="Normal 5 3 2 2 3 2 2" xfId="29963" xr:uid="{00000000-0005-0000-0000-0000D66F0000}"/>
    <cellStyle name="Normal 5 3 2 2 3 2 2 2" xfId="21947" xr:uid="{00000000-0005-0000-0000-0000D76F0000}"/>
    <cellStyle name="Normal 5 3 2 2 3 2 2 2 2" xfId="29964" xr:uid="{00000000-0005-0000-0000-0000D86F0000}"/>
    <cellStyle name="Normal 5 3 2 2 3 2 2 3" xfId="8844" xr:uid="{00000000-0005-0000-0000-0000D96F0000}"/>
    <cellStyle name="Normal 5 3 2 2 3 2 3" xfId="6616" xr:uid="{00000000-0005-0000-0000-0000DA6F0000}"/>
    <cellStyle name="Normal 5 3 2 2 3 2 3 2" xfId="6630" xr:uid="{00000000-0005-0000-0000-0000DB6F0000}"/>
    <cellStyle name="Normal 5 3 2 2 3 2 4" xfId="6047" xr:uid="{00000000-0005-0000-0000-0000DC6F0000}"/>
    <cellStyle name="Normal 5 3 2 2 3 3" xfId="3963" xr:uid="{00000000-0005-0000-0000-0000DD6F0000}"/>
    <cellStyle name="Normal 5 3 2 2 3 3 2" xfId="27370" xr:uid="{00000000-0005-0000-0000-0000DE6F0000}"/>
    <cellStyle name="Normal 5 3 2 2 3 3 2 2" xfId="18986" xr:uid="{00000000-0005-0000-0000-0000DF6F0000}"/>
    <cellStyle name="Normal 5 3 2 2 3 3 3" xfId="6664" xr:uid="{00000000-0005-0000-0000-0000E06F0000}"/>
    <cellStyle name="Normal 5 3 2 2 3 4" xfId="29968" xr:uid="{00000000-0005-0000-0000-0000E16F0000}"/>
    <cellStyle name="Normal 5 3 2 2 3 4 2" xfId="29969" xr:uid="{00000000-0005-0000-0000-0000E26F0000}"/>
    <cellStyle name="Normal 5 3 2 2 3 5" xfId="29971" xr:uid="{00000000-0005-0000-0000-0000E36F0000}"/>
    <cellStyle name="Normal 5 3 2 2 4" xfId="23260" xr:uid="{00000000-0005-0000-0000-0000E46F0000}"/>
    <cellStyle name="Normal 5 3 2 2 4 2" xfId="23261" xr:uid="{00000000-0005-0000-0000-0000E56F0000}"/>
    <cellStyle name="Normal 5 3 2 2 4 2 2" xfId="11928" xr:uid="{00000000-0005-0000-0000-0000E66F0000}"/>
    <cellStyle name="Normal 5 3 2 2 4 2 2 2" xfId="29974" xr:uid="{00000000-0005-0000-0000-0000E76F0000}"/>
    <cellStyle name="Normal 5 3 2 2 4 2 3" xfId="12674" xr:uid="{00000000-0005-0000-0000-0000E86F0000}"/>
    <cellStyle name="Normal 5 3 2 2 4 3" xfId="21816" xr:uid="{00000000-0005-0000-0000-0000E96F0000}"/>
    <cellStyle name="Normal 5 3 2 2 4 3 2" xfId="1622" xr:uid="{00000000-0005-0000-0000-0000EA6F0000}"/>
    <cellStyle name="Normal 5 3 2 2 4 4" xfId="29980" xr:uid="{00000000-0005-0000-0000-0000EB6F0000}"/>
    <cellStyle name="Normal 5 3 2 2 5" xfId="3285" xr:uid="{00000000-0005-0000-0000-0000EC6F0000}"/>
    <cellStyle name="Normal 5 3 2 2 5 2" xfId="1917" xr:uid="{00000000-0005-0000-0000-0000ED6F0000}"/>
    <cellStyle name="Normal 5 3 2 2 5 2 2" xfId="3636" xr:uid="{00000000-0005-0000-0000-0000EE6F0000}"/>
    <cellStyle name="Normal 5 3 2 2 5 3" xfId="29983" xr:uid="{00000000-0005-0000-0000-0000EF6F0000}"/>
    <cellStyle name="Normal 5 3 2 2 6" xfId="27707" xr:uid="{00000000-0005-0000-0000-0000F06F0000}"/>
    <cellStyle name="Normal 5 3 2 2 6 2" xfId="28722" xr:uid="{00000000-0005-0000-0000-0000F16F0000}"/>
    <cellStyle name="Normal 5 3 2 2 7" xfId="32920" xr:uid="{00000000-0005-0000-0000-0000F26F0000}"/>
    <cellStyle name="Normal 5 3 2 3" xfId="32392" xr:uid="{00000000-0005-0000-0000-0000F36F0000}"/>
    <cellStyle name="Normal 5 3 2 3 2" xfId="29985" xr:uid="{00000000-0005-0000-0000-0000F46F0000}"/>
    <cellStyle name="Normal 5 3 2 3 2 2" xfId="9502" xr:uid="{00000000-0005-0000-0000-0000F56F0000}"/>
    <cellStyle name="Normal 5 3 2 3 2 2 2" xfId="33710" xr:uid="{00000000-0005-0000-0000-0000F66F0000}"/>
    <cellStyle name="Normal 5 3 2 3 2 2 2 2" xfId="27221" xr:uid="{00000000-0005-0000-0000-0000F76F0000}"/>
    <cellStyle name="Normal 5 3 2 3 2 2 2 2 2" xfId="29988" xr:uid="{00000000-0005-0000-0000-0000F86F0000}"/>
    <cellStyle name="Normal 5 3 2 3 2 2 2 3" xfId="10705" xr:uid="{00000000-0005-0000-0000-0000F96F0000}"/>
    <cellStyle name="Normal 5 3 2 3 2 2 3" xfId="22788" xr:uid="{00000000-0005-0000-0000-0000FA6F0000}"/>
    <cellStyle name="Normal 5 3 2 3 2 2 3 2" xfId="22789" xr:uid="{00000000-0005-0000-0000-0000FB6F0000}"/>
    <cellStyle name="Normal 5 3 2 3 2 2 4" xfId="20855" xr:uid="{00000000-0005-0000-0000-0000FC6F0000}"/>
    <cellStyle name="Normal 5 3 2 3 2 3" xfId="29993" xr:uid="{00000000-0005-0000-0000-0000FD6F0000}"/>
    <cellStyle name="Normal 5 3 2 3 2 3 2" xfId="26459" xr:uid="{00000000-0005-0000-0000-0000FE6F0000}"/>
    <cellStyle name="Normal 5 3 2 3 2 3 2 2" xfId="29995" xr:uid="{00000000-0005-0000-0000-0000FF6F0000}"/>
    <cellStyle name="Normal 5 3 2 3 2 3 3" xfId="22796" xr:uid="{00000000-0005-0000-0000-000000700000}"/>
    <cellStyle name="Normal 5 3 2 3 2 4" xfId="29996" xr:uid="{00000000-0005-0000-0000-000001700000}"/>
    <cellStyle name="Normal 5 3 2 3 2 4 2" xfId="29997" xr:uid="{00000000-0005-0000-0000-000002700000}"/>
    <cellStyle name="Normal 5 3 2 3 2 5" xfId="26524" xr:uid="{00000000-0005-0000-0000-000003700000}"/>
    <cellStyle name="Normal 5 3 2 3 3" xfId="30000" xr:uid="{00000000-0005-0000-0000-000004700000}"/>
    <cellStyle name="Normal 5 3 2 3 3 2" xfId="30003" xr:uid="{00000000-0005-0000-0000-000005700000}"/>
    <cellStyle name="Normal 5 3 2 3 3 2 2" xfId="30012" xr:uid="{00000000-0005-0000-0000-000006700000}"/>
    <cellStyle name="Normal 5 3 2 3 3 2 2 2" xfId="2360" xr:uid="{00000000-0005-0000-0000-000007700000}"/>
    <cellStyle name="Normal 5 3 2 3 3 2 3" xfId="6331" xr:uid="{00000000-0005-0000-0000-000008700000}"/>
    <cellStyle name="Normal 5 3 2 3 3 3" xfId="23469" xr:uid="{00000000-0005-0000-0000-000009700000}"/>
    <cellStyle name="Normal 5 3 2 3 3 3 2" xfId="27803" xr:uid="{00000000-0005-0000-0000-00000A700000}"/>
    <cellStyle name="Normal 5 3 2 3 3 4" xfId="30022" xr:uid="{00000000-0005-0000-0000-00000B700000}"/>
    <cellStyle name="Normal 5 3 2 3 4" xfId="23843" xr:uid="{00000000-0005-0000-0000-00000C700000}"/>
    <cellStyle name="Normal 5 3 2 3 4 2" xfId="26783" xr:uid="{00000000-0005-0000-0000-00000D700000}"/>
    <cellStyle name="Normal 5 3 2 3 4 2 2" xfId="5845" xr:uid="{00000000-0005-0000-0000-00000E700000}"/>
    <cellStyle name="Normal 5 3 2 3 4 3" xfId="30025" xr:uid="{00000000-0005-0000-0000-00000F700000}"/>
    <cellStyle name="Normal 5 3 2 3 5" xfId="27473" xr:uid="{00000000-0005-0000-0000-000010700000}"/>
    <cellStyle name="Normal 5 3 2 3 5 2" xfId="30026" xr:uid="{00000000-0005-0000-0000-000011700000}"/>
    <cellStyle name="Normal 5 3 2 3 6" xfId="8540" xr:uid="{00000000-0005-0000-0000-000012700000}"/>
    <cellStyle name="Normal 5 3 2 4" xfId="30030" xr:uid="{00000000-0005-0000-0000-000013700000}"/>
    <cellStyle name="Normal 5 3 2 4 2" xfId="13636" xr:uid="{00000000-0005-0000-0000-000014700000}"/>
    <cellStyle name="Normal 5 3 2 4 2 2" xfId="28792" xr:uid="{00000000-0005-0000-0000-000015700000}"/>
    <cellStyle name="Normal 5 3 2 4 2 2 2" xfId="29882" xr:uid="{00000000-0005-0000-0000-000016700000}"/>
    <cellStyle name="Normal 5 3 2 4 2 2 2 2" xfId="22653" xr:uid="{00000000-0005-0000-0000-000017700000}"/>
    <cellStyle name="Normal 5 3 2 4 2 2 3" xfId="17550" xr:uid="{00000000-0005-0000-0000-000018700000}"/>
    <cellStyle name="Normal 5 3 2 4 2 3" xfId="27299" xr:uid="{00000000-0005-0000-0000-000019700000}"/>
    <cellStyle name="Normal 5 3 2 4 2 3 2" xfId="30037" xr:uid="{00000000-0005-0000-0000-00001A700000}"/>
    <cellStyle name="Normal 5 3 2 4 2 4" xfId="30040" xr:uid="{00000000-0005-0000-0000-00001B700000}"/>
    <cellStyle name="Normal 5 3 2 4 3" xfId="30041" xr:uid="{00000000-0005-0000-0000-00001C700000}"/>
    <cellStyle name="Normal 5 3 2 4 3 2" xfId="28816" xr:uid="{00000000-0005-0000-0000-00001D700000}"/>
    <cellStyle name="Normal 5 3 2 4 3 2 2" xfId="27646" xr:uid="{00000000-0005-0000-0000-00001E700000}"/>
    <cellStyle name="Normal 5 3 2 4 3 3" xfId="28821" xr:uid="{00000000-0005-0000-0000-00001F700000}"/>
    <cellStyle name="Normal 5 3 2 4 4" xfId="27715" xr:uid="{00000000-0005-0000-0000-000020700000}"/>
    <cellStyle name="Normal 5 3 2 4 4 2" xfId="30042" xr:uid="{00000000-0005-0000-0000-000021700000}"/>
    <cellStyle name="Normal 5 3 2 4 5" xfId="350" xr:uid="{00000000-0005-0000-0000-000022700000}"/>
    <cellStyle name="Normal 5 3 2 5" xfId="30046" xr:uid="{00000000-0005-0000-0000-000023700000}"/>
    <cellStyle name="Normal 5 3 2 5 2" xfId="27965" xr:uid="{00000000-0005-0000-0000-000024700000}"/>
    <cellStyle name="Normal 5 3 2 5 2 2" xfId="32714" xr:uid="{00000000-0005-0000-0000-000025700000}"/>
    <cellStyle name="Normal 5 3 2 5 2 2 2" xfId="32203" xr:uid="{00000000-0005-0000-0000-000026700000}"/>
    <cellStyle name="Normal 5 3 2 5 2 3" xfId="14427" xr:uid="{00000000-0005-0000-0000-000027700000}"/>
    <cellStyle name="Normal 5 3 2 5 3" xfId="21704" xr:uid="{00000000-0005-0000-0000-000028700000}"/>
    <cellStyle name="Normal 5 3 2 5 3 2" xfId="26041" xr:uid="{00000000-0005-0000-0000-000029700000}"/>
    <cellStyle name="Normal 5 3 2 5 4" xfId="30051" xr:uid="{00000000-0005-0000-0000-00002A700000}"/>
    <cellStyle name="Normal 5 3 2 6" xfId="30057" xr:uid="{00000000-0005-0000-0000-00002B700000}"/>
    <cellStyle name="Normal 5 3 2 6 2" xfId="21708" xr:uid="{00000000-0005-0000-0000-00002C700000}"/>
    <cellStyle name="Normal 5 3 2 6 2 2" xfId="33428" xr:uid="{00000000-0005-0000-0000-00002D700000}"/>
    <cellStyle name="Normal 5 3 2 6 3" xfId="30058" xr:uid="{00000000-0005-0000-0000-00002E700000}"/>
    <cellStyle name="Normal 5 3 2 7" xfId="30059" xr:uid="{00000000-0005-0000-0000-00002F700000}"/>
    <cellStyle name="Normal 5 3 2 7 2" xfId="30060" xr:uid="{00000000-0005-0000-0000-000030700000}"/>
    <cellStyle name="Normal 5 3 2 8" xfId="19219" xr:uid="{00000000-0005-0000-0000-000031700000}"/>
    <cellStyle name="Normal 5 3 3" xfId="31866" xr:uid="{00000000-0005-0000-0000-000032700000}"/>
    <cellStyle name="Normal 5 3 3 2" xfId="28756" xr:uid="{00000000-0005-0000-0000-000033700000}"/>
    <cellStyle name="Normal 5 3 3 2 2" xfId="25722" xr:uid="{00000000-0005-0000-0000-000034700000}"/>
    <cellStyle name="Normal 5 3 3 2 2 2" xfId="9242" xr:uid="{00000000-0005-0000-0000-000035700000}"/>
    <cellStyle name="Normal 5 3 3 2 2 2 2" xfId="25978" xr:uid="{00000000-0005-0000-0000-000036700000}"/>
    <cellStyle name="Normal 5 3 3 2 2 2 2 2" xfId="27550" xr:uid="{00000000-0005-0000-0000-000037700000}"/>
    <cellStyle name="Normal 5 3 3 2 2 2 2 2 2" xfId="30065" xr:uid="{00000000-0005-0000-0000-000038700000}"/>
    <cellStyle name="Normal 5 3 3 2 2 2 2 3" xfId="6269" xr:uid="{00000000-0005-0000-0000-000039700000}"/>
    <cellStyle name="Normal 5 3 3 2 2 2 3" xfId="24894" xr:uid="{00000000-0005-0000-0000-00003A700000}"/>
    <cellStyle name="Normal 5 3 3 2 2 2 3 2" xfId="10542" xr:uid="{00000000-0005-0000-0000-00003B700000}"/>
    <cellStyle name="Normal 5 3 3 2 2 2 4" xfId="24895" xr:uid="{00000000-0005-0000-0000-00003C700000}"/>
    <cellStyle name="Normal 5 3 3 2 2 3" xfId="27991" xr:uid="{00000000-0005-0000-0000-00003D700000}"/>
    <cellStyle name="Normal 5 3 3 2 2 3 2" xfId="24427" xr:uid="{00000000-0005-0000-0000-00003E700000}"/>
    <cellStyle name="Normal 5 3 3 2 2 3 2 2" xfId="30069" xr:uid="{00000000-0005-0000-0000-00003F700000}"/>
    <cellStyle name="Normal 5 3 3 2 2 3 3" xfId="24905" xr:uid="{00000000-0005-0000-0000-000040700000}"/>
    <cellStyle name="Normal 5 3 3 2 2 4" xfId="31497" xr:uid="{00000000-0005-0000-0000-000041700000}"/>
    <cellStyle name="Normal 5 3 3 2 2 4 2" xfId="30070" xr:uid="{00000000-0005-0000-0000-000042700000}"/>
    <cellStyle name="Normal 5 3 3 2 2 5" xfId="44" xr:uid="{00000000-0005-0000-0000-000043700000}"/>
    <cellStyle name="Normal 5 3 3 2 3" xfId="26648" xr:uid="{00000000-0005-0000-0000-000044700000}"/>
    <cellStyle name="Normal 5 3 3 2 3 2" xfId="31049" xr:uid="{00000000-0005-0000-0000-000045700000}"/>
    <cellStyle name="Normal 5 3 3 2 3 2 2" xfId="30071" xr:uid="{00000000-0005-0000-0000-000046700000}"/>
    <cellStyle name="Normal 5 3 3 2 3 2 2 2" xfId="32534" xr:uid="{00000000-0005-0000-0000-000047700000}"/>
    <cellStyle name="Normal 5 3 3 2 3 2 3" xfId="615" xr:uid="{00000000-0005-0000-0000-000048700000}"/>
    <cellStyle name="Normal 5 3 3 2 3 3" xfId="30754" xr:uid="{00000000-0005-0000-0000-000049700000}"/>
    <cellStyle name="Normal 5 3 3 2 3 3 2" xfId="31541" xr:uid="{00000000-0005-0000-0000-00004A700000}"/>
    <cellStyle name="Normal 5 3 3 2 3 4" xfId="30077" xr:uid="{00000000-0005-0000-0000-00004B700000}"/>
    <cellStyle name="Normal 5 3 3 2 4" xfId="23292" xr:uid="{00000000-0005-0000-0000-00004C700000}"/>
    <cellStyle name="Normal 5 3 3 2 4 2" xfId="25856" xr:uid="{00000000-0005-0000-0000-00004D700000}"/>
    <cellStyle name="Normal 5 3 3 2 4 2 2" xfId="7706" xr:uid="{00000000-0005-0000-0000-00004E700000}"/>
    <cellStyle name="Normal 5 3 3 2 4 3" xfId="34009" xr:uid="{00000000-0005-0000-0000-00004F700000}"/>
    <cellStyle name="Normal 5 3 3 2 5" xfId="27736" xr:uid="{00000000-0005-0000-0000-000050700000}"/>
    <cellStyle name="Normal 5 3 3 2 5 2" xfId="30078" xr:uid="{00000000-0005-0000-0000-000051700000}"/>
    <cellStyle name="Normal 5 3 3 2 6" xfId="22105" xr:uid="{00000000-0005-0000-0000-000052700000}"/>
    <cellStyle name="Normal 5 3 3 3" xfId="30086" xr:uid="{00000000-0005-0000-0000-000053700000}"/>
    <cellStyle name="Normal 5 3 3 3 2" xfId="30087" xr:uid="{00000000-0005-0000-0000-000054700000}"/>
    <cellStyle name="Normal 5 3 3 3 2 2" xfId="30091" xr:uid="{00000000-0005-0000-0000-000055700000}"/>
    <cellStyle name="Normal 5 3 3 3 2 2 2" xfId="32306" xr:uid="{00000000-0005-0000-0000-000056700000}"/>
    <cellStyle name="Normal 5 3 3 3 2 2 2 2" xfId="19270" xr:uid="{00000000-0005-0000-0000-000057700000}"/>
    <cellStyle name="Normal 5 3 3 3 2 2 3" xfId="25122" xr:uid="{00000000-0005-0000-0000-000058700000}"/>
    <cellStyle name="Normal 5 3 3 3 2 3" xfId="28541" xr:uid="{00000000-0005-0000-0000-000059700000}"/>
    <cellStyle name="Normal 5 3 3 3 2 3 2" xfId="33843" xr:uid="{00000000-0005-0000-0000-00005A700000}"/>
    <cellStyle name="Normal 5 3 3 3 2 4" xfId="21155" xr:uid="{00000000-0005-0000-0000-00005B700000}"/>
    <cellStyle name="Normal 5 3 3 3 3" xfId="32771" xr:uid="{00000000-0005-0000-0000-00005C700000}"/>
    <cellStyle name="Normal 5 3 3 3 3 2" xfId="23554" xr:uid="{00000000-0005-0000-0000-00005D700000}"/>
    <cellStyle name="Normal 5 3 3 3 3 2 2" xfId="30566" xr:uid="{00000000-0005-0000-0000-00005E700000}"/>
    <cellStyle name="Normal 5 3 3 3 3 3" xfId="33903" xr:uid="{00000000-0005-0000-0000-00005F700000}"/>
    <cellStyle name="Normal 5 3 3 3 4" xfId="25128" xr:uid="{00000000-0005-0000-0000-000060700000}"/>
    <cellStyle name="Normal 5 3 3 3 4 2" xfId="10819" xr:uid="{00000000-0005-0000-0000-000061700000}"/>
    <cellStyle name="Normal 5 3 3 3 5" xfId="33591" xr:uid="{00000000-0005-0000-0000-000062700000}"/>
    <cellStyle name="Normal 5 3 3 4" xfId="30097" xr:uid="{00000000-0005-0000-0000-000063700000}"/>
    <cellStyle name="Normal 5 3 3 4 2" xfId="282" xr:uid="{00000000-0005-0000-0000-000064700000}"/>
    <cellStyle name="Normal 5 3 3 4 2 2" xfId="30098" xr:uid="{00000000-0005-0000-0000-000065700000}"/>
    <cellStyle name="Normal 5 3 3 4 2 2 2" xfId="30099" xr:uid="{00000000-0005-0000-0000-000066700000}"/>
    <cellStyle name="Normal 5 3 3 4 2 3" xfId="30100" xr:uid="{00000000-0005-0000-0000-000067700000}"/>
    <cellStyle name="Normal 5 3 3 4 3" xfId="30574" xr:uid="{00000000-0005-0000-0000-000068700000}"/>
    <cellStyle name="Normal 5 3 3 4 3 2" xfId="27951" xr:uid="{00000000-0005-0000-0000-000069700000}"/>
    <cellStyle name="Normal 5 3 3 4 4" xfId="30578" xr:uid="{00000000-0005-0000-0000-00006A700000}"/>
    <cellStyle name="Normal 5 3 3 5" xfId="30229" xr:uid="{00000000-0005-0000-0000-00006B700000}"/>
    <cellStyle name="Normal 5 3 3 5 2" xfId="21741" xr:uid="{00000000-0005-0000-0000-00006C700000}"/>
    <cellStyle name="Normal 5 3 3 5 2 2" xfId="33641" xr:uid="{00000000-0005-0000-0000-00006D700000}"/>
    <cellStyle name="Normal 5 3 3 5 3" xfId="30582" xr:uid="{00000000-0005-0000-0000-00006E700000}"/>
    <cellStyle name="Normal 5 3 3 6" xfId="19679" xr:uid="{00000000-0005-0000-0000-00006F700000}"/>
    <cellStyle name="Normal 5 3 3 6 2" xfId="30107" xr:uid="{00000000-0005-0000-0000-000070700000}"/>
    <cellStyle name="Normal 5 3 3 7" xfId="30113" xr:uid="{00000000-0005-0000-0000-000071700000}"/>
    <cellStyle name="Normal 5 3 4" xfId="2134" xr:uid="{00000000-0005-0000-0000-000072700000}"/>
    <cellStyle name="Normal 5 3 4 2" xfId="2141" xr:uid="{00000000-0005-0000-0000-000073700000}"/>
    <cellStyle name="Normal 5 3 4 2 2" xfId="6210" xr:uid="{00000000-0005-0000-0000-000074700000}"/>
    <cellStyle name="Normal 5 3 4 2 2 2" xfId="6212" xr:uid="{00000000-0005-0000-0000-000075700000}"/>
    <cellStyle name="Normal 5 3 4 2 2 2 2" xfId="27768" xr:uid="{00000000-0005-0000-0000-000076700000}"/>
    <cellStyle name="Normal 5 3 4 2 2 2 2 2" xfId="29549" xr:uid="{00000000-0005-0000-0000-000077700000}"/>
    <cellStyle name="Normal 5 3 4 2 2 2 3" xfId="6502" xr:uid="{00000000-0005-0000-0000-000078700000}"/>
    <cellStyle name="Normal 5 3 4 2 2 3" xfId="530" xr:uid="{00000000-0005-0000-0000-000079700000}"/>
    <cellStyle name="Normal 5 3 4 2 2 3 2" xfId="27030" xr:uid="{00000000-0005-0000-0000-00007A700000}"/>
    <cellStyle name="Normal 5 3 4 2 2 4" xfId="33208" xr:uid="{00000000-0005-0000-0000-00007B700000}"/>
    <cellStyle name="Normal 5 3 4 2 3" xfId="6215" xr:uid="{00000000-0005-0000-0000-00007C700000}"/>
    <cellStyle name="Normal 5 3 4 2 3 2" xfId="6220" xr:uid="{00000000-0005-0000-0000-00007D700000}"/>
    <cellStyle name="Normal 5 3 4 2 3 2 2" xfId="11391" xr:uid="{00000000-0005-0000-0000-00007E700000}"/>
    <cellStyle name="Normal 5 3 4 2 3 3" xfId="30115" xr:uid="{00000000-0005-0000-0000-00007F700000}"/>
    <cellStyle name="Normal 5 3 4 2 4" xfId="27261" xr:uid="{00000000-0005-0000-0000-000080700000}"/>
    <cellStyle name="Normal 5 3 4 2 4 2" xfId="32746" xr:uid="{00000000-0005-0000-0000-000081700000}"/>
    <cellStyle name="Normal 5 3 4 2 5" xfId="32748" xr:uid="{00000000-0005-0000-0000-000082700000}"/>
    <cellStyle name="Normal 5 3 4 3" xfId="6223" xr:uid="{00000000-0005-0000-0000-000083700000}"/>
    <cellStyle name="Normal 5 3 4 3 2" xfId="6226" xr:uid="{00000000-0005-0000-0000-000084700000}"/>
    <cellStyle name="Normal 5 3 4 3 2 2" xfId="6228" xr:uid="{00000000-0005-0000-0000-000085700000}"/>
    <cellStyle name="Normal 5 3 4 3 2 2 2" xfId="28633" xr:uid="{00000000-0005-0000-0000-000086700000}"/>
    <cellStyle name="Normal 5 3 4 3 2 3" xfId="31506" xr:uid="{00000000-0005-0000-0000-000087700000}"/>
    <cellStyle name="Normal 5 3 4 3 3" xfId="6231" xr:uid="{00000000-0005-0000-0000-000088700000}"/>
    <cellStyle name="Normal 5 3 4 3 3 2" xfId="33626" xr:uid="{00000000-0005-0000-0000-000089700000}"/>
    <cellStyle name="Normal 5 3 4 3 4" xfId="30996" xr:uid="{00000000-0005-0000-0000-00008A700000}"/>
    <cellStyle name="Normal 5 3 4 4" xfId="6233" xr:uid="{00000000-0005-0000-0000-00008B700000}"/>
    <cellStyle name="Normal 5 3 4 4 2" xfId="238" xr:uid="{00000000-0005-0000-0000-00008C700000}"/>
    <cellStyle name="Normal 5 3 4 4 2 2" xfId="2115" xr:uid="{00000000-0005-0000-0000-00008D700000}"/>
    <cellStyle name="Normal 5 3 4 4 3" xfId="32377" xr:uid="{00000000-0005-0000-0000-00008E700000}"/>
    <cellStyle name="Normal 5 3 4 5" xfId="6240" xr:uid="{00000000-0005-0000-0000-00008F700000}"/>
    <cellStyle name="Normal 5 3 4 5 2" xfId="33599" xr:uid="{00000000-0005-0000-0000-000090700000}"/>
    <cellStyle name="Normal 5 3 4 6" xfId="30120" xr:uid="{00000000-0005-0000-0000-000091700000}"/>
    <cellStyle name="Normal 5 3 5" xfId="705" xr:uid="{00000000-0005-0000-0000-000092700000}"/>
    <cellStyle name="Normal 5 3 5 2" xfId="6244" xr:uid="{00000000-0005-0000-0000-000093700000}"/>
    <cellStyle name="Normal 5 3 5 2 2" xfId="10564" xr:uid="{00000000-0005-0000-0000-000094700000}"/>
    <cellStyle name="Normal 5 3 5 2 2 2" xfId="27118" xr:uid="{00000000-0005-0000-0000-000095700000}"/>
    <cellStyle name="Normal 5 3 5 2 2 2 2" xfId="26291" xr:uid="{00000000-0005-0000-0000-000096700000}"/>
    <cellStyle name="Normal 5 3 5 2 2 3" xfId="26306" xr:uid="{00000000-0005-0000-0000-000097700000}"/>
    <cellStyle name="Normal 5 3 5 2 3" xfId="10568" xr:uid="{00000000-0005-0000-0000-000098700000}"/>
    <cellStyle name="Normal 5 3 5 2 3 2" xfId="4280" xr:uid="{00000000-0005-0000-0000-000099700000}"/>
    <cellStyle name="Normal 5 3 5 2 4" xfId="31536" xr:uid="{00000000-0005-0000-0000-00009A700000}"/>
    <cellStyle name="Normal 5 3 5 3" xfId="6247" xr:uid="{00000000-0005-0000-0000-00009B700000}"/>
    <cellStyle name="Normal 5 3 5 3 2" xfId="6259" xr:uid="{00000000-0005-0000-0000-00009C700000}"/>
    <cellStyle name="Normal 5 3 5 3 2 2" xfId="20219" xr:uid="{00000000-0005-0000-0000-00009D700000}"/>
    <cellStyle name="Normal 5 3 5 3 3" xfId="31922" xr:uid="{00000000-0005-0000-0000-00009E700000}"/>
    <cellStyle name="Normal 5 3 5 4" xfId="6261" xr:uid="{00000000-0005-0000-0000-00009F700000}"/>
    <cellStyle name="Normal 5 3 5 4 2" xfId="370" xr:uid="{00000000-0005-0000-0000-0000A0700000}"/>
    <cellStyle name="Normal 5 3 5 5" xfId="30121" xr:uid="{00000000-0005-0000-0000-0000A1700000}"/>
    <cellStyle name="Normal 5 3 6" xfId="10584" xr:uid="{00000000-0005-0000-0000-0000A2700000}"/>
    <cellStyle name="Normal 5 3 6 2" xfId="11853" xr:uid="{00000000-0005-0000-0000-0000A3700000}"/>
    <cellStyle name="Normal 5 3 6 2 2" xfId="10578" xr:uid="{00000000-0005-0000-0000-0000A4700000}"/>
    <cellStyle name="Normal 5 3 6 2 2 2" xfId="11750" xr:uid="{00000000-0005-0000-0000-0000A5700000}"/>
    <cellStyle name="Normal 5 3 6 2 3" xfId="30122" xr:uid="{00000000-0005-0000-0000-0000A6700000}"/>
    <cellStyle name="Normal 5 3 6 3" xfId="13343" xr:uid="{00000000-0005-0000-0000-0000A7700000}"/>
    <cellStyle name="Normal 5 3 6 3 2" xfId="33178" xr:uid="{00000000-0005-0000-0000-0000A8700000}"/>
    <cellStyle name="Normal 5 3 6 4" xfId="13348" xr:uid="{00000000-0005-0000-0000-0000A9700000}"/>
    <cellStyle name="Normal 5 3 7" xfId="1076" xr:uid="{00000000-0005-0000-0000-0000AA700000}"/>
    <cellStyle name="Normal 5 3 7 2" xfId="11861" xr:uid="{00000000-0005-0000-0000-0000AB700000}"/>
    <cellStyle name="Normal 5 3 7 2 2" xfId="30919" xr:uid="{00000000-0005-0000-0000-0000AC700000}"/>
    <cellStyle name="Normal 5 3 7 3" xfId="11943" xr:uid="{00000000-0005-0000-0000-0000AD700000}"/>
    <cellStyle name="Normal 5 3 8" xfId="1309" xr:uid="{00000000-0005-0000-0000-0000AE700000}"/>
    <cellStyle name="Normal 5 3 8 2" xfId="11949" xr:uid="{00000000-0005-0000-0000-0000AF700000}"/>
    <cellStyle name="Normal 5 3 9" xfId="26998" xr:uid="{00000000-0005-0000-0000-0000B0700000}"/>
    <cellStyle name="Normal 5 4" xfId="30678" xr:uid="{00000000-0005-0000-0000-0000B1700000}"/>
    <cellStyle name="Normal 5 4 2" xfId="30279" xr:uid="{00000000-0005-0000-0000-0000B2700000}"/>
    <cellStyle name="Normal 5 4 2 2" xfId="24058" xr:uid="{00000000-0005-0000-0000-0000B3700000}"/>
    <cellStyle name="Normal 5 4 2 2 2" xfId="26667" xr:uid="{00000000-0005-0000-0000-0000B4700000}"/>
    <cellStyle name="Normal 5 4 2 2 2 2" xfId="9516" xr:uid="{00000000-0005-0000-0000-0000B5700000}"/>
    <cellStyle name="Normal 5 4 2 2 2 2 2" xfId="26055" xr:uid="{00000000-0005-0000-0000-0000B6700000}"/>
    <cellStyle name="Normal 5 4 2 2 2 2 2 2" xfId="30126" xr:uid="{00000000-0005-0000-0000-0000B7700000}"/>
    <cellStyle name="Normal 5 4 2 2 2 2 2 2 2" xfId="28294" xr:uid="{00000000-0005-0000-0000-0000B8700000}"/>
    <cellStyle name="Normal 5 4 2 2 2 2 2 3" xfId="11437" xr:uid="{00000000-0005-0000-0000-0000B9700000}"/>
    <cellStyle name="Normal 5 4 2 2 2 2 3" xfId="20364" xr:uid="{00000000-0005-0000-0000-0000BA700000}"/>
    <cellStyle name="Normal 5 4 2 2 2 2 3 2" xfId="28247" xr:uid="{00000000-0005-0000-0000-0000BB700000}"/>
    <cellStyle name="Normal 5 4 2 2 2 2 4" xfId="30068" xr:uid="{00000000-0005-0000-0000-0000BC700000}"/>
    <cellStyle name="Normal 5 4 2 2 2 3" xfId="30130" xr:uid="{00000000-0005-0000-0000-0000BD700000}"/>
    <cellStyle name="Normal 5 4 2 2 2 3 2" xfId="29113" xr:uid="{00000000-0005-0000-0000-0000BE700000}"/>
    <cellStyle name="Normal 5 4 2 2 2 3 2 2" xfId="30141" xr:uid="{00000000-0005-0000-0000-0000BF700000}"/>
    <cellStyle name="Normal 5 4 2 2 2 3 3" xfId="23876" xr:uid="{00000000-0005-0000-0000-0000C0700000}"/>
    <cellStyle name="Normal 5 4 2 2 2 4" xfId="20432" xr:uid="{00000000-0005-0000-0000-0000C1700000}"/>
    <cellStyle name="Normal 5 4 2 2 2 4 2" xfId="1483" xr:uid="{00000000-0005-0000-0000-0000C2700000}"/>
    <cellStyle name="Normal 5 4 2 2 2 5" xfId="20436" xr:uid="{00000000-0005-0000-0000-0000C3700000}"/>
    <cellStyle name="Normal 5 4 2 2 3" xfId="26670" xr:uid="{00000000-0005-0000-0000-0000C4700000}"/>
    <cellStyle name="Normal 5 4 2 2 3 2" xfId="31625" xr:uid="{00000000-0005-0000-0000-0000C5700000}"/>
    <cellStyle name="Normal 5 4 2 2 3 2 2" xfId="20302" xr:uid="{00000000-0005-0000-0000-0000C6700000}"/>
    <cellStyle name="Normal 5 4 2 2 3 2 2 2" xfId="3924" xr:uid="{00000000-0005-0000-0000-0000C7700000}"/>
    <cellStyle name="Normal 5 4 2 2 3 2 3" xfId="27889" xr:uid="{00000000-0005-0000-0000-0000C8700000}"/>
    <cellStyle name="Normal 5 4 2 2 3 3" xfId="30155" xr:uid="{00000000-0005-0000-0000-0000C9700000}"/>
    <cellStyle name="Normal 5 4 2 2 3 3 2" xfId="30157" xr:uid="{00000000-0005-0000-0000-0000CA700000}"/>
    <cellStyle name="Normal 5 4 2 2 3 4" xfId="22803" xr:uid="{00000000-0005-0000-0000-0000CB700000}"/>
    <cellStyle name="Normal 5 4 2 2 4" xfId="19676" xr:uid="{00000000-0005-0000-0000-0000CC700000}"/>
    <cellStyle name="Normal 5 4 2 2 4 2" xfId="25607" xr:uid="{00000000-0005-0000-0000-0000CD700000}"/>
    <cellStyle name="Normal 5 4 2 2 4 2 2" xfId="13266" xr:uid="{00000000-0005-0000-0000-0000CE700000}"/>
    <cellStyle name="Normal 5 4 2 2 4 3" xfId="28174" xr:uid="{00000000-0005-0000-0000-0000CF700000}"/>
    <cellStyle name="Normal 5 4 2 2 5" xfId="19680" xr:uid="{00000000-0005-0000-0000-0000D0700000}"/>
    <cellStyle name="Normal 5 4 2 2 5 2" xfId="31129" xr:uid="{00000000-0005-0000-0000-0000D1700000}"/>
    <cellStyle name="Normal 5 4 2 2 6" xfId="22165" xr:uid="{00000000-0005-0000-0000-0000D2700000}"/>
    <cellStyle name="Normal 5 4 2 3" xfId="24064" xr:uid="{00000000-0005-0000-0000-0000D3700000}"/>
    <cellStyle name="Normal 5 4 2 3 2" xfId="26241" xr:uid="{00000000-0005-0000-0000-0000D4700000}"/>
    <cellStyle name="Normal 5 4 2 3 2 2" xfId="6768" xr:uid="{00000000-0005-0000-0000-0000D5700000}"/>
    <cellStyle name="Normal 5 4 2 3 2 2 2" xfId="28093" xr:uid="{00000000-0005-0000-0000-0000D6700000}"/>
    <cellStyle name="Normal 5 4 2 3 2 2 2 2" xfId="31648" xr:uid="{00000000-0005-0000-0000-0000D7700000}"/>
    <cellStyle name="Normal 5 4 2 3 2 2 3" xfId="6741" xr:uid="{00000000-0005-0000-0000-0000D8700000}"/>
    <cellStyle name="Normal 5 4 2 3 2 3" xfId="6771" xr:uid="{00000000-0005-0000-0000-0000D9700000}"/>
    <cellStyle name="Normal 5 4 2 3 2 3 2" xfId="28109" xr:uid="{00000000-0005-0000-0000-0000DA700000}"/>
    <cellStyle name="Normal 5 4 2 3 2 4" xfId="20463" xr:uid="{00000000-0005-0000-0000-0000DB700000}"/>
    <cellStyle name="Normal 5 4 2 3 3" xfId="30168" xr:uid="{00000000-0005-0000-0000-0000DC700000}"/>
    <cellStyle name="Normal 5 4 2 3 3 2" xfId="6779" xr:uid="{00000000-0005-0000-0000-0000DD700000}"/>
    <cellStyle name="Normal 5 4 2 3 3 2 2" xfId="30175" xr:uid="{00000000-0005-0000-0000-0000DE700000}"/>
    <cellStyle name="Normal 5 4 2 3 3 3" xfId="21315" xr:uid="{00000000-0005-0000-0000-0000DF700000}"/>
    <cellStyle name="Normal 5 4 2 3 4" xfId="14697" xr:uid="{00000000-0005-0000-0000-0000E0700000}"/>
    <cellStyle name="Normal 5 4 2 3 4 2" xfId="30172" xr:uid="{00000000-0005-0000-0000-0000E1700000}"/>
    <cellStyle name="Normal 5 4 2 3 5" xfId="29952" xr:uid="{00000000-0005-0000-0000-0000E2700000}"/>
    <cellStyle name="Normal 5 4 2 4" xfId="24524" xr:uid="{00000000-0005-0000-0000-0000E3700000}"/>
    <cellStyle name="Normal 5 4 2 4 2" xfId="25380" xr:uid="{00000000-0005-0000-0000-0000E4700000}"/>
    <cellStyle name="Normal 5 4 2 4 2 2" xfId="6788" xr:uid="{00000000-0005-0000-0000-0000E5700000}"/>
    <cellStyle name="Normal 5 4 2 4 2 2 2" xfId="28136" xr:uid="{00000000-0005-0000-0000-0000E6700000}"/>
    <cellStyle name="Normal 5 4 2 4 2 3" xfId="28143" xr:uid="{00000000-0005-0000-0000-0000E7700000}"/>
    <cellStyle name="Normal 5 4 2 4 3" xfId="30198" xr:uid="{00000000-0005-0000-0000-0000E8700000}"/>
    <cellStyle name="Normal 5 4 2 4 3 2" xfId="30203" xr:uid="{00000000-0005-0000-0000-0000E9700000}"/>
    <cellStyle name="Normal 5 4 2 4 4" xfId="31897" xr:uid="{00000000-0005-0000-0000-0000EA700000}"/>
    <cellStyle name="Normal 5 4 2 5" xfId="22433" xr:uid="{00000000-0005-0000-0000-0000EB700000}"/>
    <cellStyle name="Normal 5 4 2 5 2" xfId="30697" xr:uid="{00000000-0005-0000-0000-0000EC700000}"/>
    <cellStyle name="Normal 5 4 2 5 2 2" xfId="27391" xr:uid="{00000000-0005-0000-0000-0000ED700000}"/>
    <cellStyle name="Normal 5 4 2 5 3" xfId="30212" xr:uid="{00000000-0005-0000-0000-0000EE700000}"/>
    <cellStyle name="Normal 5 4 2 6" xfId="30220" xr:uid="{00000000-0005-0000-0000-0000EF700000}"/>
    <cellStyle name="Normal 5 4 2 6 2" xfId="30752" xr:uid="{00000000-0005-0000-0000-0000F0700000}"/>
    <cellStyle name="Normal 5 4 2 7" xfId="30224" xr:uid="{00000000-0005-0000-0000-0000F1700000}"/>
    <cellStyle name="Normal 5 4 3" xfId="31881" xr:uid="{00000000-0005-0000-0000-0000F2700000}"/>
    <cellStyle name="Normal 5 4 3 2" xfId="22145" xr:uid="{00000000-0005-0000-0000-0000F3700000}"/>
    <cellStyle name="Normal 5 4 3 2 2" xfId="25622" xr:uid="{00000000-0005-0000-0000-0000F4700000}"/>
    <cellStyle name="Normal 5 4 3 2 2 2" xfId="22775" xr:uid="{00000000-0005-0000-0000-0000F5700000}"/>
    <cellStyle name="Normal 5 4 3 2 2 2 2" xfId="32390" xr:uid="{00000000-0005-0000-0000-0000F6700000}"/>
    <cellStyle name="Normal 5 4 3 2 2 2 2 2" xfId="30236" xr:uid="{00000000-0005-0000-0000-0000F7700000}"/>
    <cellStyle name="Normal 5 4 3 2 2 2 3" xfId="30235" xr:uid="{00000000-0005-0000-0000-0000F8700000}"/>
    <cellStyle name="Normal 5 4 3 2 2 3" xfId="30240" xr:uid="{00000000-0005-0000-0000-0000F9700000}"/>
    <cellStyle name="Normal 5 4 3 2 2 3 2" xfId="15357" xr:uid="{00000000-0005-0000-0000-0000FA700000}"/>
    <cellStyle name="Normal 5 4 3 2 2 4" xfId="20545" xr:uid="{00000000-0005-0000-0000-0000FB700000}"/>
    <cellStyle name="Normal 5 4 3 2 3" xfId="19613" xr:uid="{00000000-0005-0000-0000-0000FC700000}"/>
    <cellStyle name="Normal 5 4 3 2 3 2" xfId="26928" xr:uid="{00000000-0005-0000-0000-0000FD700000}"/>
    <cellStyle name="Normal 5 4 3 2 3 2 2" xfId="30247" xr:uid="{00000000-0005-0000-0000-0000FE700000}"/>
    <cellStyle name="Normal 5 4 3 2 3 3" xfId="26932" xr:uid="{00000000-0005-0000-0000-0000FF700000}"/>
    <cellStyle name="Normal 5 4 3 2 4" xfId="27899" xr:uid="{00000000-0005-0000-0000-000000710000}"/>
    <cellStyle name="Normal 5 4 3 2 4 2" xfId="26937" xr:uid="{00000000-0005-0000-0000-000001710000}"/>
    <cellStyle name="Normal 5 4 3 2 5" xfId="30252" xr:uid="{00000000-0005-0000-0000-000002710000}"/>
    <cellStyle name="Normal 5 4 3 3" xfId="20243" xr:uid="{00000000-0005-0000-0000-000003710000}"/>
    <cellStyle name="Normal 5 4 3 3 2" xfId="26983" xr:uid="{00000000-0005-0000-0000-000004710000}"/>
    <cellStyle name="Normal 5 4 3 3 2 2" xfId="6799" xr:uid="{00000000-0005-0000-0000-000005710000}"/>
    <cellStyle name="Normal 5 4 3 3 2 2 2" xfId="30260" xr:uid="{00000000-0005-0000-0000-000006710000}"/>
    <cellStyle name="Normal 5 4 3 3 2 3" xfId="30264" xr:uid="{00000000-0005-0000-0000-000007710000}"/>
    <cellStyle name="Normal 5 4 3 3 3" xfId="29619" xr:uid="{00000000-0005-0000-0000-000008710000}"/>
    <cellStyle name="Normal 5 4 3 3 3 2" xfId="28692" xr:uid="{00000000-0005-0000-0000-000009710000}"/>
    <cellStyle name="Normal 5 4 3 3 4" xfId="31930" xr:uid="{00000000-0005-0000-0000-00000A710000}"/>
    <cellStyle name="Normal 5 4 3 4" xfId="28783" xr:uid="{00000000-0005-0000-0000-00000B710000}"/>
    <cellStyle name="Normal 5 4 3 4 2" xfId="28520" xr:uid="{00000000-0005-0000-0000-00000C710000}"/>
    <cellStyle name="Normal 5 4 3 4 2 2" xfId="29680" xr:uid="{00000000-0005-0000-0000-00000D710000}"/>
    <cellStyle name="Normal 5 4 3 4 3" xfId="30268" xr:uid="{00000000-0005-0000-0000-00000E710000}"/>
    <cellStyle name="Normal 5 4 3 5" xfId="27306" xr:uid="{00000000-0005-0000-0000-00000F710000}"/>
    <cellStyle name="Normal 5 4 3 5 2" xfId="343" xr:uid="{00000000-0005-0000-0000-000010710000}"/>
    <cellStyle name="Normal 5 4 3 6" xfId="25199" xr:uid="{00000000-0005-0000-0000-000011710000}"/>
    <cellStyle name="Normal 5 4 4" xfId="335" xr:uid="{00000000-0005-0000-0000-000012710000}"/>
    <cellStyle name="Normal 5 4 4 2" xfId="3123" xr:uid="{00000000-0005-0000-0000-000013710000}"/>
    <cellStyle name="Normal 5 4 4 2 2" xfId="4571" xr:uid="{00000000-0005-0000-0000-000014710000}"/>
    <cellStyle name="Normal 5 4 4 2 2 2" xfId="6277" xr:uid="{00000000-0005-0000-0000-000015710000}"/>
    <cellStyle name="Normal 5 4 4 2 2 2 2" xfId="30272" xr:uid="{00000000-0005-0000-0000-000016710000}"/>
    <cellStyle name="Normal 5 4 4 2 2 3" xfId="26987" xr:uid="{00000000-0005-0000-0000-000017710000}"/>
    <cellStyle name="Normal 5 4 4 2 3" xfId="4575" xr:uid="{00000000-0005-0000-0000-000018710000}"/>
    <cellStyle name="Normal 5 4 4 2 3 2" xfId="19382" xr:uid="{00000000-0005-0000-0000-000019710000}"/>
    <cellStyle name="Normal 5 4 4 2 4" xfId="30281" xr:uid="{00000000-0005-0000-0000-00001A710000}"/>
    <cellStyle name="Normal 5 4 4 3" xfId="4582" xr:uid="{00000000-0005-0000-0000-00001B710000}"/>
    <cellStyle name="Normal 5 4 4 3 2" xfId="4586" xr:uid="{00000000-0005-0000-0000-00001C710000}"/>
    <cellStyle name="Normal 5 4 4 3 2 2" xfId="27003" xr:uid="{00000000-0005-0000-0000-00001D710000}"/>
    <cellStyle name="Normal 5 4 4 3 3" xfId="31181" xr:uid="{00000000-0005-0000-0000-00001E710000}"/>
    <cellStyle name="Normal 5 4 4 4" xfId="4596" xr:uid="{00000000-0005-0000-0000-00001F710000}"/>
    <cellStyle name="Normal 5 4 4 4 2" xfId="32245" xr:uid="{00000000-0005-0000-0000-000020710000}"/>
    <cellStyle name="Normal 5 4 4 5" xfId="30290" xr:uid="{00000000-0005-0000-0000-000021710000}"/>
    <cellStyle name="Normal 5 4 5" xfId="6279" xr:uid="{00000000-0005-0000-0000-000022710000}"/>
    <cellStyle name="Normal 5 4 5 2" xfId="4618" xr:uid="{00000000-0005-0000-0000-000023710000}"/>
    <cellStyle name="Normal 5 4 5 2 2" xfId="13475" xr:uid="{00000000-0005-0000-0000-000024710000}"/>
    <cellStyle name="Normal 5 4 5 2 2 2" xfId="20969" xr:uid="{00000000-0005-0000-0000-000025710000}"/>
    <cellStyle name="Normal 5 4 5 2 3" xfId="26207" xr:uid="{00000000-0005-0000-0000-000026710000}"/>
    <cellStyle name="Normal 5 4 5 3" xfId="304" xr:uid="{00000000-0005-0000-0000-000027710000}"/>
    <cellStyle name="Normal 5 4 5 3 2" xfId="30790" xr:uid="{00000000-0005-0000-0000-000028710000}"/>
    <cellStyle name="Normal 5 4 5 4" xfId="27655" xr:uid="{00000000-0005-0000-0000-000029710000}"/>
    <cellStyle name="Normal 5 4 6" xfId="6283" xr:uid="{00000000-0005-0000-0000-00002A710000}"/>
    <cellStyle name="Normal 5 4 6 2" xfId="27433" xr:uid="{00000000-0005-0000-0000-00002B710000}"/>
    <cellStyle name="Normal 5 4 6 2 2" xfId="28270" xr:uid="{00000000-0005-0000-0000-00002C710000}"/>
    <cellStyle name="Normal 5 4 6 3" xfId="10223" xr:uid="{00000000-0005-0000-0000-00002D710000}"/>
    <cellStyle name="Normal 5 4 7" xfId="11277" xr:uid="{00000000-0005-0000-0000-00002E710000}"/>
    <cellStyle name="Normal 5 4 7 2" xfId="11967" xr:uid="{00000000-0005-0000-0000-00002F710000}"/>
    <cellStyle name="Normal 5 4 8" xfId="26590" xr:uid="{00000000-0005-0000-0000-000030710000}"/>
    <cellStyle name="Normal 5 5" xfId="26260" xr:uid="{00000000-0005-0000-0000-000031710000}"/>
    <cellStyle name="Normal 5 5 2" xfId="31513" xr:uid="{00000000-0005-0000-0000-000032710000}"/>
    <cellStyle name="Normal 5 5 2 2" xfId="15976" xr:uid="{00000000-0005-0000-0000-000033710000}"/>
    <cellStyle name="Normal 5 5 2 2 2" xfId="30295" xr:uid="{00000000-0005-0000-0000-000034710000}"/>
    <cellStyle name="Normal 5 5 2 2 2 2" xfId="31415" xr:uid="{00000000-0005-0000-0000-000035710000}"/>
    <cellStyle name="Normal 5 5 2 2 2 2 2" xfId="31419" xr:uid="{00000000-0005-0000-0000-000036710000}"/>
    <cellStyle name="Normal 5 5 2 2 2 2 2 2" xfId="1035" xr:uid="{00000000-0005-0000-0000-000037710000}"/>
    <cellStyle name="Normal 5 5 2 2 2 2 3" xfId="30416" xr:uid="{00000000-0005-0000-0000-000038710000}"/>
    <cellStyle name="Normal 5 5 2 2 2 3" xfId="30296" xr:uid="{00000000-0005-0000-0000-000039710000}"/>
    <cellStyle name="Normal 5 5 2 2 2 3 2" xfId="30298" xr:uid="{00000000-0005-0000-0000-00003A710000}"/>
    <cellStyle name="Normal 5 5 2 2 2 4" xfId="26571" xr:uid="{00000000-0005-0000-0000-00003B710000}"/>
    <cellStyle name="Normal 5 5 2 2 3" xfId="21103" xr:uid="{00000000-0005-0000-0000-00003C710000}"/>
    <cellStyle name="Normal 5 5 2 2 3 2" xfId="29477" xr:uid="{00000000-0005-0000-0000-00003D710000}"/>
    <cellStyle name="Normal 5 5 2 2 3 2 2" xfId="25452" xr:uid="{00000000-0005-0000-0000-00003E710000}"/>
    <cellStyle name="Normal 5 5 2 2 3 3" xfId="24302" xr:uid="{00000000-0005-0000-0000-00003F710000}"/>
    <cellStyle name="Normal 5 5 2 2 4" xfId="4132" xr:uid="{00000000-0005-0000-0000-000040710000}"/>
    <cellStyle name="Normal 5 5 2 2 4 2" xfId="30301" xr:uid="{00000000-0005-0000-0000-000041710000}"/>
    <cellStyle name="Normal 5 5 2 2 5" xfId="20306" xr:uid="{00000000-0005-0000-0000-000042710000}"/>
    <cellStyle name="Normal 5 5 2 3" xfId="24578" xr:uid="{00000000-0005-0000-0000-000043710000}"/>
    <cellStyle name="Normal 5 5 2 3 2" xfId="23787" xr:uid="{00000000-0005-0000-0000-000044710000}"/>
    <cellStyle name="Normal 5 5 2 3 2 2" xfId="2345" xr:uid="{00000000-0005-0000-0000-000045710000}"/>
    <cellStyle name="Normal 5 5 2 3 2 2 2" xfId="28278" xr:uid="{00000000-0005-0000-0000-000046710000}"/>
    <cellStyle name="Normal 5 5 2 3 2 3" xfId="26588" xr:uid="{00000000-0005-0000-0000-000047710000}"/>
    <cellStyle name="Normal 5 5 2 3 3" xfId="18954" xr:uid="{00000000-0005-0000-0000-000048710000}"/>
    <cellStyle name="Normal 5 5 2 3 3 2" xfId="30326" xr:uid="{00000000-0005-0000-0000-000049710000}"/>
    <cellStyle name="Normal 5 5 2 3 4" xfId="30216" xr:uid="{00000000-0005-0000-0000-00004A710000}"/>
    <cellStyle name="Normal 5 5 2 4" xfId="30488" xr:uid="{00000000-0005-0000-0000-00004B710000}"/>
    <cellStyle name="Normal 5 5 2 4 2" xfId="3838" xr:uid="{00000000-0005-0000-0000-00004C710000}"/>
    <cellStyle name="Normal 5 5 2 4 2 2" xfId="28317" xr:uid="{00000000-0005-0000-0000-00004D710000}"/>
    <cellStyle name="Normal 5 5 2 4 3" xfId="30306" xr:uid="{00000000-0005-0000-0000-00004E710000}"/>
    <cellStyle name="Normal 5 5 2 5" xfId="31066" xr:uid="{00000000-0005-0000-0000-00004F710000}"/>
    <cellStyle name="Normal 5 5 2 5 2" xfId="30692" xr:uid="{00000000-0005-0000-0000-000050710000}"/>
    <cellStyle name="Normal 5 5 2 6" xfId="30307" xr:uid="{00000000-0005-0000-0000-000051710000}"/>
    <cellStyle name="Normal 5 5 2 6 2" xfId="30817" xr:uid="{00000000-0005-0000-0000-000052710000}"/>
    <cellStyle name="Normal 5 5 2 7" xfId="30921" xr:uid="{00000000-0005-0000-0000-000053710000}"/>
    <cellStyle name="Normal 5 5 3" xfId="30315" xr:uid="{00000000-0005-0000-0000-000054710000}"/>
    <cellStyle name="Normal 5 5 3 2" xfId="32691" xr:uid="{00000000-0005-0000-0000-000055710000}"/>
    <cellStyle name="Normal 5 5 3 2 2" xfId="33701" xr:uid="{00000000-0005-0000-0000-000056710000}"/>
    <cellStyle name="Normal 5 5 3 2 2 2" xfId="30966" xr:uid="{00000000-0005-0000-0000-000057710000}"/>
    <cellStyle name="Normal 5 5 3 2 2 2 2" xfId="31183" xr:uid="{00000000-0005-0000-0000-000058710000}"/>
    <cellStyle name="Normal 5 5 3 2 2 3" xfId="21495" xr:uid="{00000000-0005-0000-0000-000059710000}"/>
    <cellStyle name="Normal 5 5 3 2 3" xfId="29502" xr:uid="{00000000-0005-0000-0000-00005A710000}"/>
    <cellStyle name="Normal 5 5 3 2 3 2" xfId="20518" xr:uid="{00000000-0005-0000-0000-00005B710000}"/>
    <cellStyle name="Normal 5 5 3 2 4" xfId="24966" xr:uid="{00000000-0005-0000-0000-00005C710000}"/>
    <cellStyle name="Normal 5 5 3 3" xfId="32699" xr:uid="{00000000-0005-0000-0000-00005D710000}"/>
    <cellStyle name="Normal 5 5 3 3 2" xfId="32530" xr:uid="{00000000-0005-0000-0000-00005E710000}"/>
    <cellStyle name="Normal 5 5 3 3 2 2" xfId="24391" xr:uid="{00000000-0005-0000-0000-00005F710000}"/>
    <cellStyle name="Normal 5 5 3 3 3" xfId="29648" xr:uid="{00000000-0005-0000-0000-000060710000}"/>
    <cellStyle name="Normal 5 5 3 4" xfId="31581" xr:uid="{00000000-0005-0000-0000-000061710000}"/>
    <cellStyle name="Normal 5 5 3 4 2" xfId="28471" xr:uid="{00000000-0005-0000-0000-000062710000}"/>
    <cellStyle name="Normal 5 5 3 5" xfId="30687" xr:uid="{00000000-0005-0000-0000-000063710000}"/>
    <cellStyle name="Normal 5 5 4" xfId="14326" xr:uid="{00000000-0005-0000-0000-000064710000}"/>
    <cellStyle name="Normal 5 5 4 2" xfId="4711" xr:uid="{00000000-0005-0000-0000-000065710000}"/>
    <cellStyle name="Normal 5 5 4 2 2" xfId="9229" xr:uid="{00000000-0005-0000-0000-000066710000}"/>
    <cellStyle name="Normal 5 5 4 2 2 2" xfId="31053" xr:uid="{00000000-0005-0000-0000-000067710000}"/>
    <cellStyle name="Normal 5 5 4 2 3" xfId="30525" xr:uid="{00000000-0005-0000-0000-000068710000}"/>
    <cellStyle name="Normal 5 5 4 3" xfId="4805" xr:uid="{00000000-0005-0000-0000-000069710000}"/>
    <cellStyle name="Normal 5 5 4 3 2" xfId="32927" xr:uid="{00000000-0005-0000-0000-00006A710000}"/>
    <cellStyle name="Normal 5 5 4 4" xfId="28475" xr:uid="{00000000-0005-0000-0000-00006B710000}"/>
    <cellStyle name="Normal 5 5 5" xfId="6285" xr:uid="{00000000-0005-0000-0000-00006C710000}"/>
    <cellStyle name="Normal 5 5 5 2" xfId="1865" xr:uid="{00000000-0005-0000-0000-00006D710000}"/>
    <cellStyle name="Normal 5 5 5 2 2" xfId="32102" xr:uid="{00000000-0005-0000-0000-00006E710000}"/>
    <cellStyle name="Normal 5 5 5 3" xfId="21747" xr:uid="{00000000-0005-0000-0000-00006F710000}"/>
    <cellStyle name="Normal 5 5 6" xfId="6288" xr:uid="{00000000-0005-0000-0000-000070710000}"/>
    <cellStyle name="Normal 5 5 6 2" xfId="11974" xr:uid="{00000000-0005-0000-0000-000071710000}"/>
    <cellStyle name="Normal 5 5 7" xfId="30329" xr:uid="{00000000-0005-0000-0000-000072710000}"/>
    <cellStyle name="Normal 5 5 7 2" xfId="5685" xr:uid="{00000000-0005-0000-0000-000073710000}"/>
    <cellStyle name="Normal 5 5 8" xfId="28298" xr:uid="{00000000-0005-0000-0000-000074710000}"/>
    <cellStyle name="Normal 5 6" xfId="31332" xr:uid="{00000000-0005-0000-0000-000075710000}"/>
    <cellStyle name="Normal 5 6 2" xfId="31463" xr:uid="{00000000-0005-0000-0000-000076710000}"/>
    <cellStyle name="Normal 5 6 2 2" xfId="5783" xr:uid="{00000000-0005-0000-0000-000077710000}"/>
    <cellStyle name="Normal 5 6 2 2 2" xfId="28942" xr:uid="{00000000-0005-0000-0000-000078710000}"/>
    <cellStyle name="Normal 5 6 2 2 2 2" xfId="29966" xr:uid="{00000000-0005-0000-0000-000079710000}"/>
    <cellStyle name="Normal 5 6 2 2 2 2 2" xfId="30338" xr:uid="{00000000-0005-0000-0000-00007A710000}"/>
    <cellStyle name="Normal 5 6 2 2 2 3" xfId="20646" xr:uid="{00000000-0005-0000-0000-00007B710000}"/>
    <cellStyle name="Normal 5 6 2 2 3" xfId="24235" xr:uid="{00000000-0005-0000-0000-00007C710000}"/>
    <cellStyle name="Normal 5 6 2 2 3 2" xfId="27999" xr:uid="{00000000-0005-0000-0000-00007D710000}"/>
    <cellStyle name="Normal 5 6 2 2 4" xfId="30349" xr:uid="{00000000-0005-0000-0000-00007E710000}"/>
    <cellStyle name="Normal 5 6 2 3" xfId="29967" xr:uid="{00000000-0005-0000-0000-00007F710000}"/>
    <cellStyle name="Normal 5 6 2 3 2" xfId="14471" xr:uid="{00000000-0005-0000-0000-000080710000}"/>
    <cellStyle name="Normal 5 6 2 3 2 2" xfId="28601" xr:uid="{00000000-0005-0000-0000-000081710000}"/>
    <cellStyle name="Normal 5 6 2 3 3" xfId="14474" xr:uid="{00000000-0005-0000-0000-000082710000}"/>
    <cellStyle name="Normal 5 6 2 4" xfId="25467" xr:uid="{00000000-0005-0000-0000-000083710000}"/>
    <cellStyle name="Normal 5 6 2 4 2" xfId="12481" xr:uid="{00000000-0005-0000-0000-000084710000}"/>
    <cellStyle name="Normal 5 6 2 5" xfId="30309" xr:uid="{00000000-0005-0000-0000-000085710000}"/>
    <cellStyle name="Normal 5 6 2 5 2" xfId="31222" xr:uid="{00000000-0005-0000-0000-000086710000}"/>
    <cellStyle name="Normal 5 6 2 6" xfId="27394" xr:uid="{00000000-0005-0000-0000-000087710000}"/>
    <cellStyle name="Normal 5 6 2 6 2" xfId="19641" xr:uid="{00000000-0005-0000-0000-000088710000}"/>
    <cellStyle name="Normal 5 6 2 7" xfId="34024" xr:uid="{00000000-0005-0000-0000-000089710000}"/>
    <cellStyle name="Normal 5 6 3" xfId="6107" xr:uid="{00000000-0005-0000-0000-00008A710000}"/>
    <cellStyle name="Normal 5 6 3 2" xfId="33472" xr:uid="{00000000-0005-0000-0000-00008B710000}"/>
    <cellStyle name="Normal 5 6 3 2 2" xfId="32009" xr:uid="{00000000-0005-0000-0000-00008C710000}"/>
    <cellStyle name="Normal 5 6 3 2 2 2" xfId="28883" xr:uid="{00000000-0005-0000-0000-00008D710000}"/>
    <cellStyle name="Normal 5 6 3 2 3" xfId="30359" xr:uid="{00000000-0005-0000-0000-00008E710000}"/>
    <cellStyle name="Normal 5 6 3 3" xfId="29975" xr:uid="{00000000-0005-0000-0000-00008F710000}"/>
    <cellStyle name="Normal 5 6 3 3 2" xfId="13124" xr:uid="{00000000-0005-0000-0000-000090710000}"/>
    <cellStyle name="Normal 5 6 3 4" xfId="30367" xr:uid="{00000000-0005-0000-0000-000091710000}"/>
    <cellStyle name="Normal 5 6 4" xfId="6297" xr:uid="{00000000-0005-0000-0000-000092710000}"/>
    <cellStyle name="Normal 5 6 4 2" xfId="11669" xr:uid="{00000000-0005-0000-0000-000093710000}"/>
    <cellStyle name="Normal 5 6 4 2 2" xfId="30375" xr:uid="{00000000-0005-0000-0000-000094710000}"/>
    <cellStyle name="Normal 5 6 4 3" xfId="30381" xr:uid="{00000000-0005-0000-0000-000095710000}"/>
    <cellStyle name="Normal 5 6 5" xfId="3495" xr:uid="{00000000-0005-0000-0000-000096710000}"/>
    <cellStyle name="Normal 5 6 5 2" xfId="18518" xr:uid="{00000000-0005-0000-0000-000097710000}"/>
    <cellStyle name="Normal 5 6 6" xfId="29316" xr:uid="{00000000-0005-0000-0000-000098710000}"/>
    <cellStyle name="Normal 5 6 6 2" xfId="8837" xr:uid="{00000000-0005-0000-0000-000099710000}"/>
    <cellStyle name="Normal 5 6 7" xfId="21036" xr:uid="{00000000-0005-0000-0000-00009A710000}"/>
    <cellStyle name="Normal 5 6 7 2" xfId="31917" xr:uid="{00000000-0005-0000-0000-00009B710000}"/>
    <cellStyle name="Normal 5 6 8" xfId="21448" xr:uid="{00000000-0005-0000-0000-00009C710000}"/>
    <cellStyle name="Normal 5 7" xfId="33388" xr:uid="{00000000-0005-0000-0000-00009D710000}"/>
    <cellStyle name="Normal 5 7 2" xfId="30652" xr:uid="{00000000-0005-0000-0000-00009E710000}"/>
    <cellStyle name="Normal 5 7 2 2" xfId="30016" xr:uid="{00000000-0005-0000-0000-00009F710000}"/>
    <cellStyle name="Normal 5 7 2 2 2" xfId="27802" xr:uid="{00000000-0005-0000-0000-0000A0710000}"/>
    <cellStyle name="Normal 5 7 2 2 2 2" xfId="27805" xr:uid="{00000000-0005-0000-0000-0000A1710000}"/>
    <cellStyle name="Normal 5 7 2 2 3" xfId="31091" xr:uid="{00000000-0005-0000-0000-0000A2710000}"/>
    <cellStyle name="Normal 5 7 2 3" xfId="30021" xr:uid="{00000000-0005-0000-0000-0000A3710000}"/>
    <cellStyle name="Normal 5 7 2 3 2" xfId="14480" xr:uid="{00000000-0005-0000-0000-0000A4710000}"/>
    <cellStyle name="Normal 5 7 2 4" xfId="33682" xr:uid="{00000000-0005-0000-0000-0000A5710000}"/>
    <cellStyle name="Normal 5 7 2 4 2" xfId="27167" xr:uid="{00000000-0005-0000-0000-0000A6710000}"/>
    <cellStyle name="Normal 5 7 2 5" xfId="30284" xr:uid="{00000000-0005-0000-0000-0000A7710000}"/>
    <cellStyle name="Normal 5 7 2 5 2" xfId="32545" xr:uid="{00000000-0005-0000-0000-0000A8710000}"/>
    <cellStyle name="Normal 5 7 2 6" xfId="32330" xr:uid="{00000000-0005-0000-0000-0000A9710000}"/>
    <cellStyle name="Normal 5 7 2 6 2" xfId="20075" xr:uid="{00000000-0005-0000-0000-0000AA710000}"/>
    <cellStyle name="Normal 5 7 2 7" xfId="33735" xr:uid="{00000000-0005-0000-0000-0000AB710000}"/>
    <cellStyle name="Normal 5 7 3" xfId="30384" xr:uid="{00000000-0005-0000-0000-0000AC710000}"/>
    <cellStyle name="Normal 5 7 3 2" xfId="30024" xr:uid="{00000000-0005-0000-0000-0000AD710000}"/>
    <cellStyle name="Normal 5 7 3 2 2" xfId="30389" xr:uid="{00000000-0005-0000-0000-0000AE710000}"/>
    <cellStyle name="Normal 5 7 3 3" xfId="14509" xr:uid="{00000000-0005-0000-0000-0000AF710000}"/>
    <cellStyle name="Normal 5 7 4" xfId="6301" xr:uid="{00000000-0005-0000-0000-0000B0710000}"/>
    <cellStyle name="Normal 5 7 4 2" xfId="30392" xr:uid="{00000000-0005-0000-0000-0000B1710000}"/>
    <cellStyle name="Normal 5 7 5" xfId="30395" xr:uid="{00000000-0005-0000-0000-0000B2710000}"/>
    <cellStyle name="Normal 5 7 5 2" xfId="30396" xr:uid="{00000000-0005-0000-0000-0000B3710000}"/>
    <cellStyle name="Normal 5 7 6" xfId="30404" xr:uid="{00000000-0005-0000-0000-0000B4710000}"/>
    <cellStyle name="Normal 5 7 6 2" xfId="30415" xr:uid="{00000000-0005-0000-0000-0000B5710000}"/>
    <cellStyle name="Normal 5 7 7" xfId="21466" xr:uid="{00000000-0005-0000-0000-0000B6710000}"/>
    <cellStyle name="Normal 5 7 7 2" xfId="21476" xr:uid="{00000000-0005-0000-0000-0000B7710000}"/>
    <cellStyle name="Normal 5 7 8" xfId="21497" xr:uid="{00000000-0005-0000-0000-0000B8710000}"/>
    <cellStyle name="Normal 5 8" xfId="10384" xr:uid="{00000000-0005-0000-0000-0000B9710000}"/>
    <cellStyle name="Normal 5 8 2" xfId="29632" xr:uid="{00000000-0005-0000-0000-0000BA710000}"/>
    <cellStyle name="Normal 5 8 2 2" xfId="573" xr:uid="{00000000-0005-0000-0000-0000BB710000}"/>
    <cellStyle name="Normal 5 8 2 2 2" xfId="29029" xr:uid="{00000000-0005-0000-0000-0000BC710000}"/>
    <cellStyle name="Normal 5 8 2 3" xfId="19571" xr:uid="{00000000-0005-0000-0000-0000BD710000}"/>
    <cellStyle name="Normal 5 8 2 3 2" xfId="28082" xr:uid="{00000000-0005-0000-0000-0000BE710000}"/>
    <cellStyle name="Normal 5 8 2 4" xfId="30432" xr:uid="{00000000-0005-0000-0000-0000BF710000}"/>
    <cellStyle name="Normal 5 8 2 4 2" xfId="32354" xr:uid="{00000000-0005-0000-0000-0000C0710000}"/>
    <cellStyle name="Normal 5 8 2 5" xfId="19278" xr:uid="{00000000-0005-0000-0000-0000C1710000}"/>
    <cellStyle name="Normal 5 8 2 5 2" xfId="15776" xr:uid="{00000000-0005-0000-0000-0000C2710000}"/>
    <cellStyle name="Normal 5 8 2 6" xfId="32446" xr:uid="{00000000-0005-0000-0000-0000C3710000}"/>
    <cellStyle name="Normal 5 8 2 6 2" xfId="31796" xr:uid="{00000000-0005-0000-0000-0000C4710000}"/>
    <cellStyle name="Normal 5 8 2 7" xfId="9274" xr:uid="{00000000-0005-0000-0000-0000C5710000}"/>
    <cellStyle name="Normal 5 8 3" xfId="4698" xr:uid="{00000000-0005-0000-0000-0000C6710000}"/>
    <cellStyle name="Normal 5 8 3 2" xfId="28854" xr:uid="{00000000-0005-0000-0000-0000C7710000}"/>
    <cellStyle name="Normal 5 8 4" xfId="4707" xr:uid="{00000000-0005-0000-0000-0000C8710000}"/>
    <cellStyle name="Normal 5 8 4 2" xfId="30435" xr:uid="{00000000-0005-0000-0000-0000C9710000}"/>
    <cellStyle name="Normal 5 8 5" xfId="809" xr:uid="{00000000-0005-0000-0000-0000CA710000}"/>
    <cellStyle name="Normal 5 8 5 2" xfId="29678" xr:uid="{00000000-0005-0000-0000-0000CB710000}"/>
    <cellStyle name="Normal 5 8 6" xfId="29683" xr:uid="{00000000-0005-0000-0000-0000CC710000}"/>
    <cellStyle name="Normal 5 8 6 2" xfId="23039" xr:uid="{00000000-0005-0000-0000-0000CD710000}"/>
    <cellStyle name="Normal 5 8 7" xfId="21513" xr:uid="{00000000-0005-0000-0000-0000CE710000}"/>
    <cellStyle name="Normal 5 8 7 2" xfId="21" xr:uid="{00000000-0005-0000-0000-0000CF710000}"/>
    <cellStyle name="Normal 5 8 8" xfId="21524" xr:uid="{00000000-0005-0000-0000-0000D0710000}"/>
    <cellStyle name="Normal 5 9" xfId="10387" xr:uid="{00000000-0005-0000-0000-0000D1710000}"/>
    <cellStyle name="Normal 5 9 2" xfId="21691" xr:uid="{00000000-0005-0000-0000-0000D2710000}"/>
    <cellStyle name="Normal 5 9 2 2" xfId="30450" xr:uid="{00000000-0005-0000-0000-0000D3710000}"/>
    <cellStyle name="Normal 5 9 2 2 2" xfId="5607" xr:uid="{00000000-0005-0000-0000-0000D4710000}"/>
    <cellStyle name="Normal 5 9 2 3" xfId="30453" xr:uid="{00000000-0005-0000-0000-0000D5710000}"/>
    <cellStyle name="Normal 5 9 2 3 2" xfId="29766" xr:uid="{00000000-0005-0000-0000-0000D6710000}"/>
    <cellStyle name="Normal 5 9 2 4" xfId="30457" xr:uid="{00000000-0005-0000-0000-0000D7710000}"/>
    <cellStyle name="Normal 5 9 2 4 2" xfId="29772" xr:uid="{00000000-0005-0000-0000-0000D8710000}"/>
    <cellStyle name="Normal 5 9 2 5" xfId="33706" xr:uid="{00000000-0005-0000-0000-0000D9710000}"/>
    <cellStyle name="Normal 5 9 2 5 2" xfId="32030" xr:uid="{00000000-0005-0000-0000-0000DA710000}"/>
    <cellStyle name="Normal 5 9 2 6" xfId="11501" xr:uid="{00000000-0005-0000-0000-0000DB710000}"/>
    <cellStyle name="Normal 5 9 2 6 2" xfId="33476" xr:uid="{00000000-0005-0000-0000-0000DC710000}"/>
    <cellStyle name="Normal 5 9 2 7" xfId="1521" xr:uid="{00000000-0005-0000-0000-0000DD710000}"/>
    <cellStyle name="Normal 5 9 3" xfId="4716" xr:uid="{00000000-0005-0000-0000-0000DE710000}"/>
    <cellStyle name="Normal 5 9 3 2" xfId="24863" xr:uid="{00000000-0005-0000-0000-0000DF710000}"/>
    <cellStyle name="Normal 5 9 4" xfId="434" xr:uid="{00000000-0005-0000-0000-0000E0710000}"/>
    <cellStyle name="Normal 5 9 4 2" xfId="22621" xr:uid="{00000000-0005-0000-0000-0000E1710000}"/>
    <cellStyle name="Normal 5 9 5" xfId="24736" xr:uid="{00000000-0005-0000-0000-0000E2710000}"/>
    <cellStyle name="Normal 5 9 5 2" xfId="29798" xr:uid="{00000000-0005-0000-0000-0000E3710000}"/>
    <cellStyle name="Normal 5 9 6" xfId="16437" xr:uid="{00000000-0005-0000-0000-0000E4710000}"/>
    <cellStyle name="Normal 5 9 6 2" xfId="3345" xr:uid="{00000000-0005-0000-0000-0000E5710000}"/>
    <cellStyle name="Normal 5 9 7" xfId="16446" xr:uid="{00000000-0005-0000-0000-0000E6710000}"/>
    <cellStyle name="Normal 5 9 7 2" xfId="16449" xr:uid="{00000000-0005-0000-0000-0000E7710000}"/>
    <cellStyle name="Normal 5 9 8" xfId="16462" xr:uid="{00000000-0005-0000-0000-0000E8710000}"/>
    <cellStyle name="Normal 6" xfId="33255" xr:uid="{00000000-0005-0000-0000-0000E9710000}"/>
    <cellStyle name="Normal 6 2" xfId="32702" xr:uid="{00000000-0005-0000-0000-0000EA710000}"/>
    <cellStyle name="Normal 7" xfId="32700" xr:uid="{00000000-0005-0000-0000-0000EB710000}"/>
    <cellStyle name="Normal 7 10" xfId="15301" xr:uid="{00000000-0005-0000-0000-0000EC710000}"/>
    <cellStyle name="Normal 7 2" xfId="27399" xr:uid="{00000000-0005-0000-0000-0000ED710000}"/>
    <cellStyle name="Normal 7 2 2" xfId="26148" xr:uid="{00000000-0005-0000-0000-0000EE710000}"/>
    <cellStyle name="Normal 7 2 2 2" xfId="27546" xr:uid="{00000000-0005-0000-0000-0000EF710000}"/>
    <cellStyle name="Normal 7 2 2 2 2" xfId="12929" xr:uid="{00000000-0005-0000-0000-0000F0710000}"/>
    <cellStyle name="Normal 7 2 2 2 2 2" xfId="16910" xr:uid="{00000000-0005-0000-0000-0000F1710000}"/>
    <cellStyle name="Normal 7 2 2 2 2 2 2" xfId="19498" xr:uid="{00000000-0005-0000-0000-0000F2710000}"/>
    <cellStyle name="Normal 7 2 2 2 2 2 2 2" xfId="30701" xr:uid="{00000000-0005-0000-0000-0000F3710000}"/>
    <cellStyle name="Normal 7 2 2 2 2 2 2 2 2" xfId="1397" xr:uid="{00000000-0005-0000-0000-0000F4710000}"/>
    <cellStyle name="Normal 7 2 2 2 2 2 2 2 2 2" xfId="16021" xr:uid="{00000000-0005-0000-0000-0000F5710000}"/>
    <cellStyle name="Normal 7 2 2 2 2 2 2 2 3" xfId="5647" xr:uid="{00000000-0005-0000-0000-0000F6710000}"/>
    <cellStyle name="Normal 7 2 2 2 2 2 2 3" xfId="30470" xr:uid="{00000000-0005-0000-0000-0000F7710000}"/>
    <cellStyle name="Normal 7 2 2 2 2 2 2 3 2" xfId="5704" xr:uid="{00000000-0005-0000-0000-0000F8710000}"/>
    <cellStyle name="Normal 7 2 2 2 2 2 2 4" xfId="7675" xr:uid="{00000000-0005-0000-0000-0000F9710000}"/>
    <cellStyle name="Normal 7 2 2 2 2 2 3" xfId="30471" xr:uid="{00000000-0005-0000-0000-0000FA710000}"/>
    <cellStyle name="Normal 7 2 2 2 2 2 3 2" xfId="30733" xr:uid="{00000000-0005-0000-0000-0000FB710000}"/>
    <cellStyle name="Normal 7 2 2 2 2 2 3 2 2" xfId="5803" xr:uid="{00000000-0005-0000-0000-0000FC710000}"/>
    <cellStyle name="Normal 7 2 2 2 2 2 3 3" xfId="30672" xr:uid="{00000000-0005-0000-0000-0000FD710000}"/>
    <cellStyle name="Normal 7 2 2 2 2 2 4" xfId="6506" xr:uid="{00000000-0005-0000-0000-0000FE710000}"/>
    <cellStyle name="Normal 7 2 2 2 2 2 4 2" xfId="30472" xr:uid="{00000000-0005-0000-0000-0000FF710000}"/>
    <cellStyle name="Normal 7 2 2 2 2 2 5" xfId="23462" xr:uid="{00000000-0005-0000-0000-000000720000}"/>
    <cellStyle name="Normal 7 2 2 2 2 3" xfId="9666" xr:uid="{00000000-0005-0000-0000-000001720000}"/>
    <cellStyle name="Normal 7 2 2 2 2 3 2" xfId="30596" xr:uid="{00000000-0005-0000-0000-000002720000}"/>
    <cellStyle name="Normal 7 2 2 2 2 3 2 2" xfId="31177" xr:uid="{00000000-0005-0000-0000-000003720000}"/>
    <cellStyle name="Normal 7 2 2 2 2 3 2 2 2" xfId="6181" xr:uid="{00000000-0005-0000-0000-000004720000}"/>
    <cellStyle name="Normal 7 2 2 2 2 3 2 3" xfId="30479" xr:uid="{00000000-0005-0000-0000-000005720000}"/>
    <cellStyle name="Normal 7 2 2 2 2 3 3" xfId="23501" xr:uid="{00000000-0005-0000-0000-000006720000}"/>
    <cellStyle name="Normal 7 2 2 2 2 3 3 2" xfId="30483" xr:uid="{00000000-0005-0000-0000-000007720000}"/>
    <cellStyle name="Normal 7 2 2 2 2 3 4" xfId="23415" xr:uid="{00000000-0005-0000-0000-000008720000}"/>
    <cellStyle name="Normal 7 2 2 2 2 4" xfId="18937" xr:uid="{00000000-0005-0000-0000-000009720000}"/>
    <cellStyle name="Normal 7 2 2 2 2 4 2" xfId="18942" xr:uid="{00000000-0005-0000-0000-00000A720000}"/>
    <cellStyle name="Normal 7 2 2 2 2 4 2 2" xfId="5336" xr:uid="{00000000-0005-0000-0000-00000B720000}"/>
    <cellStyle name="Normal 7 2 2 2 2 4 3" xfId="23508" xr:uid="{00000000-0005-0000-0000-00000C720000}"/>
    <cellStyle name="Normal 7 2 2 2 2 5" xfId="22656" xr:uid="{00000000-0005-0000-0000-00000D720000}"/>
    <cellStyle name="Normal 7 2 2 2 2 5 2" xfId="18948" xr:uid="{00000000-0005-0000-0000-00000E720000}"/>
    <cellStyle name="Normal 7 2 2 2 2 6" xfId="18952" xr:uid="{00000000-0005-0000-0000-00000F720000}"/>
    <cellStyle name="Normal 7 2 2 2 3" xfId="26766" xr:uid="{00000000-0005-0000-0000-000010720000}"/>
    <cellStyle name="Normal 7 2 2 2 3 2" xfId="16913" xr:uid="{00000000-0005-0000-0000-000011720000}"/>
    <cellStyle name="Normal 7 2 2 2 3 2 2" xfId="31285" xr:uid="{00000000-0005-0000-0000-000012720000}"/>
    <cellStyle name="Normal 7 2 2 2 3 2 2 2" xfId="25731" xr:uid="{00000000-0005-0000-0000-000013720000}"/>
    <cellStyle name="Normal 7 2 2 2 3 2 2 2 2" xfId="3561" xr:uid="{00000000-0005-0000-0000-000014720000}"/>
    <cellStyle name="Normal 7 2 2 2 3 2 2 3" xfId="18348" xr:uid="{00000000-0005-0000-0000-000015720000}"/>
    <cellStyle name="Normal 7 2 2 2 3 2 3" xfId="30806" xr:uid="{00000000-0005-0000-0000-000016720000}"/>
    <cellStyle name="Normal 7 2 2 2 3 2 3 2" xfId="25740" xr:uid="{00000000-0005-0000-0000-000017720000}"/>
    <cellStyle name="Normal 7 2 2 2 3 2 4" xfId="932" xr:uid="{00000000-0005-0000-0000-000018720000}"/>
    <cellStyle name="Normal 7 2 2 2 3 3" xfId="33101" xr:uid="{00000000-0005-0000-0000-000019720000}"/>
    <cellStyle name="Normal 7 2 2 2 3 3 2" xfId="29216" xr:uid="{00000000-0005-0000-0000-00001A720000}"/>
    <cellStyle name="Normal 7 2 2 2 3 3 2 2" xfId="25756" xr:uid="{00000000-0005-0000-0000-00001B720000}"/>
    <cellStyle name="Normal 7 2 2 2 3 3 3" xfId="23517" xr:uid="{00000000-0005-0000-0000-00001C720000}"/>
    <cellStyle name="Normal 7 2 2 2 3 4" xfId="10137" xr:uid="{00000000-0005-0000-0000-00001D720000}"/>
    <cellStyle name="Normal 7 2 2 2 3 4 2" xfId="13974" xr:uid="{00000000-0005-0000-0000-00001E720000}"/>
    <cellStyle name="Normal 7 2 2 2 3 5" xfId="13979" xr:uid="{00000000-0005-0000-0000-00001F720000}"/>
    <cellStyle name="Normal 7 2 2 2 4" xfId="33010" xr:uid="{00000000-0005-0000-0000-000020720000}"/>
    <cellStyle name="Normal 7 2 2 2 4 2" xfId="30485" xr:uid="{00000000-0005-0000-0000-000021720000}"/>
    <cellStyle name="Normal 7 2 2 2 4 2 2" xfId="29335" xr:uid="{00000000-0005-0000-0000-000022720000}"/>
    <cellStyle name="Normal 7 2 2 2 4 2 2 2" xfId="25824" xr:uid="{00000000-0005-0000-0000-000023720000}"/>
    <cellStyle name="Normal 7 2 2 2 4 2 3" xfId="30486" xr:uid="{00000000-0005-0000-0000-000024720000}"/>
    <cellStyle name="Normal 7 2 2 2 4 3" xfId="30487" xr:uid="{00000000-0005-0000-0000-000025720000}"/>
    <cellStyle name="Normal 7 2 2 2 4 3 2" xfId="30318" xr:uid="{00000000-0005-0000-0000-000026720000}"/>
    <cellStyle name="Normal 7 2 2 2 4 4" xfId="13987" xr:uid="{00000000-0005-0000-0000-000027720000}"/>
    <cellStyle name="Normal 7 2 2 2 5" xfId="32865" xr:uid="{00000000-0005-0000-0000-000028720000}"/>
    <cellStyle name="Normal 7 2 2 2 5 2" xfId="30490" xr:uid="{00000000-0005-0000-0000-000029720000}"/>
    <cellStyle name="Normal 7 2 2 2 5 2 2" xfId="32155" xr:uid="{00000000-0005-0000-0000-00002A720000}"/>
    <cellStyle name="Normal 7 2 2 2 5 3" xfId="31064" xr:uid="{00000000-0005-0000-0000-00002B720000}"/>
    <cellStyle name="Normal 7 2 2 2 6" xfId="4534" xr:uid="{00000000-0005-0000-0000-00002C720000}"/>
    <cellStyle name="Normal 7 2 2 2 6 2" xfId="31743" xr:uid="{00000000-0005-0000-0000-00002D720000}"/>
    <cellStyle name="Normal 7 2 2 2 7" xfId="5161" xr:uid="{00000000-0005-0000-0000-00002E720000}"/>
    <cellStyle name="Normal 7 2 2 3" xfId="25017" xr:uid="{00000000-0005-0000-0000-00002F720000}"/>
    <cellStyle name="Normal 7 2 2 3 2" xfId="23865" xr:uid="{00000000-0005-0000-0000-000030720000}"/>
    <cellStyle name="Normal 7 2 2 3 2 2" xfId="12214" xr:uid="{00000000-0005-0000-0000-000031720000}"/>
    <cellStyle name="Normal 7 2 2 3 2 2 2" xfId="20771" xr:uid="{00000000-0005-0000-0000-000032720000}"/>
    <cellStyle name="Normal 7 2 2 3 2 2 2 2" xfId="32233" xr:uid="{00000000-0005-0000-0000-000033720000}"/>
    <cellStyle name="Normal 7 2 2 3 2 2 2 2 2" xfId="33332" xr:uid="{00000000-0005-0000-0000-000034720000}"/>
    <cellStyle name="Normal 7 2 2 3 2 2 2 3" xfId="30492" xr:uid="{00000000-0005-0000-0000-000035720000}"/>
    <cellStyle name="Normal 7 2 2 3 2 2 3" xfId="30493" xr:uid="{00000000-0005-0000-0000-000036720000}"/>
    <cellStyle name="Normal 7 2 2 3 2 2 3 2" xfId="30494" xr:uid="{00000000-0005-0000-0000-000037720000}"/>
    <cellStyle name="Normal 7 2 2 3 2 2 4" xfId="18513" xr:uid="{00000000-0005-0000-0000-000038720000}"/>
    <cellStyle name="Normal 7 2 2 3 2 3" xfId="30496" xr:uid="{00000000-0005-0000-0000-000039720000}"/>
    <cellStyle name="Normal 7 2 2 3 2 3 2" xfId="30499" xr:uid="{00000000-0005-0000-0000-00003A720000}"/>
    <cellStyle name="Normal 7 2 2 3 2 3 2 2" xfId="30501" xr:uid="{00000000-0005-0000-0000-00003B720000}"/>
    <cellStyle name="Normal 7 2 2 3 2 3 3" xfId="23538" xr:uid="{00000000-0005-0000-0000-00003C720000}"/>
    <cellStyle name="Normal 7 2 2 3 2 4" xfId="20930" xr:uid="{00000000-0005-0000-0000-00003D720000}"/>
    <cellStyle name="Normal 7 2 2 3 2 4 2" xfId="21925" xr:uid="{00000000-0005-0000-0000-00003E720000}"/>
    <cellStyle name="Normal 7 2 2 3 2 5" xfId="19146" xr:uid="{00000000-0005-0000-0000-00003F720000}"/>
    <cellStyle name="Normal 7 2 2 3 3" xfId="32939" xr:uid="{00000000-0005-0000-0000-000040720000}"/>
    <cellStyle name="Normal 7 2 2 3 3 2" xfId="30503" xr:uid="{00000000-0005-0000-0000-000041720000}"/>
    <cellStyle name="Normal 7 2 2 3 3 2 2" xfId="26940" xr:uid="{00000000-0005-0000-0000-000042720000}"/>
    <cellStyle name="Normal 7 2 2 3 3 2 2 2" xfId="25956" xr:uid="{00000000-0005-0000-0000-000043720000}"/>
    <cellStyle name="Normal 7 2 2 3 3 2 3" xfId="33016" xr:uid="{00000000-0005-0000-0000-000044720000}"/>
    <cellStyle name="Normal 7 2 2 3 3 3" xfId="30505" xr:uid="{00000000-0005-0000-0000-000045720000}"/>
    <cellStyle name="Normal 7 2 2 3 3 3 2" xfId="30508" xr:uid="{00000000-0005-0000-0000-000046720000}"/>
    <cellStyle name="Normal 7 2 2 3 3 4" xfId="4642" xr:uid="{00000000-0005-0000-0000-000047720000}"/>
    <cellStyle name="Normal 7 2 2 3 4" xfId="15097" xr:uid="{00000000-0005-0000-0000-000048720000}"/>
    <cellStyle name="Normal 7 2 2 3 4 2" xfId="30509" xr:uid="{00000000-0005-0000-0000-000049720000}"/>
    <cellStyle name="Normal 7 2 2 3 4 2 2" xfId="30522" xr:uid="{00000000-0005-0000-0000-00004A720000}"/>
    <cellStyle name="Normal 7 2 2 3 4 3" xfId="30528" xr:uid="{00000000-0005-0000-0000-00004B720000}"/>
    <cellStyle name="Normal 7 2 2 3 5" xfId="32979" xr:uid="{00000000-0005-0000-0000-00004C720000}"/>
    <cellStyle name="Normal 7 2 2 3 5 2" xfId="31539" xr:uid="{00000000-0005-0000-0000-00004D720000}"/>
    <cellStyle name="Normal 7 2 2 3 6" xfId="5173" xr:uid="{00000000-0005-0000-0000-00004E720000}"/>
    <cellStyle name="Normal 7 2 2 4" xfId="20407" xr:uid="{00000000-0005-0000-0000-00004F720000}"/>
    <cellStyle name="Normal 7 2 2 4 2" xfId="33726" xr:uid="{00000000-0005-0000-0000-000050720000}"/>
    <cellStyle name="Normal 7 2 2 4 2 2" xfId="31523" xr:uid="{00000000-0005-0000-0000-000051720000}"/>
    <cellStyle name="Normal 7 2 2 4 2 2 2" xfId="30531" xr:uid="{00000000-0005-0000-0000-000052720000}"/>
    <cellStyle name="Normal 7 2 2 4 2 2 2 2" xfId="32490" xr:uid="{00000000-0005-0000-0000-000053720000}"/>
    <cellStyle name="Normal 7 2 2 4 2 2 3" xfId="24024" xr:uid="{00000000-0005-0000-0000-000054720000}"/>
    <cellStyle name="Normal 7 2 2 4 2 3" xfId="30533" xr:uid="{00000000-0005-0000-0000-000055720000}"/>
    <cellStyle name="Normal 7 2 2 4 2 3 2" xfId="30535" xr:uid="{00000000-0005-0000-0000-000056720000}"/>
    <cellStyle name="Normal 7 2 2 4 2 4" xfId="4552" xr:uid="{00000000-0005-0000-0000-000057720000}"/>
    <cellStyle name="Normal 7 2 2 4 3" xfId="28229" xr:uid="{00000000-0005-0000-0000-000058720000}"/>
    <cellStyle name="Normal 7 2 2 4 3 2" xfId="28324" xr:uid="{00000000-0005-0000-0000-000059720000}"/>
    <cellStyle name="Normal 7 2 2 4 3 2 2" xfId="30540" xr:uid="{00000000-0005-0000-0000-00005A720000}"/>
    <cellStyle name="Normal 7 2 2 4 3 3" xfId="32849" xr:uid="{00000000-0005-0000-0000-00005B720000}"/>
    <cellStyle name="Normal 7 2 2 4 4" xfId="28240" xr:uid="{00000000-0005-0000-0000-00005C720000}"/>
    <cellStyle name="Normal 7 2 2 4 4 2" xfId="31713" xr:uid="{00000000-0005-0000-0000-00005D720000}"/>
    <cellStyle name="Normal 7 2 2 4 5" xfId="29334" xr:uid="{00000000-0005-0000-0000-00005E720000}"/>
    <cellStyle name="Normal 7 2 2 5" xfId="29086" xr:uid="{00000000-0005-0000-0000-00005F720000}"/>
    <cellStyle name="Normal 7 2 2 5 2" xfId="33548" xr:uid="{00000000-0005-0000-0000-000060720000}"/>
    <cellStyle name="Normal 7 2 2 5 2 2" xfId="29518" xr:uid="{00000000-0005-0000-0000-000061720000}"/>
    <cellStyle name="Normal 7 2 2 5 2 2 2" xfId="27784" xr:uid="{00000000-0005-0000-0000-000062720000}"/>
    <cellStyle name="Normal 7 2 2 5 2 3" xfId="26143" xr:uid="{00000000-0005-0000-0000-000063720000}"/>
    <cellStyle name="Normal 7 2 2 5 3" xfId="27376" xr:uid="{00000000-0005-0000-0000-000064720000}"/>
    <cellStyle name="Normal 7 2 2 5 3 2" xfId="31966" xr:uid="{00000000-0005-0000-0000-000065720000}"/>
    <cellStyle name="Normal 7 2 2 5 4" xfId="33166" xr:uid="{00000000-0005-0000-0000-000066720000}"/>
    <cellStyle name="Normal 7 2 2 6" xfId="5083" xr:uid="{00000000-0005-0000-0000-000067720000}"/>
    <cellStyle name="Normal 7 2 2 6 2" xfId="29560" xr:uid="{00000000-0005-0000-0000-000068720000}"/>
    <cellStyle name="Normal 7 2 2 6 2 2" xfId="27786" xr:uid="{00000000-0005-0000-0000-000069720000}"/>
    <cellStyle name="Normal 7 2 2 6 3" xfId="29572" xr:uid="{00000000-0005-0000-0000-00006A720000}"/>
    <cellStyle name="Normal 7 2 2 7" xfId="3855" xr:uid="{00000000-0005-0000-0000-00006B720000}"/>
    <cellStyle name="Normal 7 2 2 7 2" xfId="28662" xr:uid="{00000000-0005-0000-0000-00006C720000}"/>
    <cellStyle name="Normal 7 2 2 8" xfId="16145" xr:uid="{00000000-0005-0000-0000-00006D720000}"/>
    <cellStyle name="Normal 7 2 3" xfId="22885" xr:uid="{00000000-0005-0000-0000-00006E720000}"/>
    <cellStyle name="Normal 7 2 3 2" xfId="17499" xr:uid="{00000000-0005-0000-0000-00006F720000}"/>
    <cellStyle name="Normal 7 2 3 2 2" xfId="27217" xr:uid="{00000000-0005-0000-0000-000070720000}"/>
    <cellStyle name="Normal 7 2 3 2 2 2" xfId="17199" xr:uid="{00000000-0005-0000-0000-000071720000}"/>
    <cellStyle name="Normal 7 2 3 2 2 2 2" xfId="30135" xr:uid="{00000000-0005-0000-0000-000072720000}"/>
    <cellStyle name="Normal 7 2 3 2 2 2 2 2" xfId="30745" xr:uid="{00000000-0005-0000-0000-000073720000}"/>
    <cellStyle name="Normal 7 2 3 2 2 2 2 2 2" xfId="19375" xr:uid="{00000000-0005-0000-0000-000074720000}"/>
    <cellStyle name="Normal 7 2 3 2 2 2 2 3" xfId="33239" xr:uid="{00000000-0005-0000-0000-000075720000}"/>
    <cellStyle name="Normal 7 2 3 2 2 2 3" xfId="30544" xr:uid="{00000000-0005-0000-0000-000076720000}"/>
    <cellStyle name="Normal 7 2 3 2 2 2 3 2" xfId="30546" xr:uid="{00000000-0005-0000-0000-000077720000}"/>
    <cellStyle name="Normal 7 2 3 2 2 2 4" xfId="10252" xr:uid="{00000000-0005-0000-0000-000078720000}"/>
    <cellStyle name="Normal 7 2 3 2 2 3" xfId="31015" xr:uid="{00000000-0005-0000-0000-000079720000}"/>
    <cellStyle name="Normal 7 2 3 2 2 3 2" xfId="32237" xr:uid="{00000000-0005-0000-0000-00007A720000}"/>
    <cellStyle name="Normal 7 2 3 2 2 3 2 2" xfId="30780" xr:uid="{00000000-0005-0000-0000-00007B720000}"/>
    <cellStyle name="Normal 7 2 3 2 2 3 3" xfId="23563" xr:uid="{00000000-0005-0000-0000-00007C720000}"/>
    <cellStyle name="Normal 7 2 3 2 2 4" xfId="25579" xr:uid="{00000000-0005-0000-0000-00007D720000}"/>
    <cellStyle name="Normal 7 2 3 2 2 4 2" xfId="19584" xr:uid="{00000000-0005-0000-0000-00007E720000}"/>
    <cellStyle name="Normal 7 2 3 2 2 5" xfId="26496" xr:uid="{00000000-0005-0000-0000-00007F720000}"/>
    <cellStyle name="Normal 7 2 3 2 3" xfId="29807" xr:uid="{00000000-0005-0000-0000-000080720000}"/>
    <cellStyle name="Normal 7 2 3 2 3 2" xfId="27219" xr:uid="{00000000-0005-0000-0000-000081720000}"/>
    <cellStyle name="Normal 7 2 3 2 3 2 2" xfId="32012" xr:uid="{00000000-0005-0000-0000-000082720000}"/>
    <cellStyle name="Normal 7 2 3 2 3 2 2 2" xfId="892" xr:uid="{00000000-0005-0000-0000-000083720000}"/>
    <cellStyle name="Normal 7 2 3 2 3 2 3" xfId="30551" xr:uid="{00000000-0005-0000-0000-000084720000}"/>
    <cellStyle name="Normal 7 2 3 2 3 3" xfId="30553" xr:uid="{00000000-0005-0000-0000-000085720000}"/>
    <cellStyle name="Normal 7 2 3 2 3 3 2" xfId="31643" xr:uid="{00000000-0005-0000-0000-000086720000}"/>
    <cellStyle name="Normal 7 2 3 2 3 4" xfId="6909" xr:uid="{00000000-0005-0000-0000-000087720000}"/>
    <cellStyle name="Normal 7 2 3 2 4" xfId="26119" xr:uid="{00000000-0005-0000-0000-000088720000}"/>
    <cellStyle name="Normal 7 2 3 2 4 2" xfId="6197" xr:uid="{00000000-0005-0000-0000-000089720000}"/>
    <cellStyle name="Normal 7 2 3 2 4 2 2" xfId="33751" xr:uid="{00000000-0005-0000-0000-00008A720000}"/>
    <cellStyle name="Normal 7 2 3 2 4 3" xfId="9840" xr:uid="{00000000-0005-0000-0000-00008B720000}"/>
    <cellStyle name="Normal 7 2 3 2 5" xfId="33203" xr:uid="{00000000-0005-0000-0000-00008C720000}"/>
    <cellStyle name="Normal 7 2 3 2 5 2" xfId="9846" xr:uid="{00000000-0005-0000-0000-00008D720000}"/>
    <cellStyle name="Normal 7 2 3 2 6" xfId="468" xr:uid="{00000000-0005-0000-0000-00008E720000}"/>
    <cellStyle name="Normal 7 2 3 3" xfId="445" xr:uid="{00000000-0005-0000-0000-00008F720000}"/>
    <cellStyle name="Normal 7 2 3 3 2" xfId="13238" xr:uid="{00000000-0005-0000-0000-000090720000}"/>
    <cellStyle name="Normal 7 2 3 3 2 2" xfId="30266" xr:uid="{00000000-0005-0000-0000-000091720000}"/>
    <cellStyle name="Normal 7 2 3 3 2 2 2" xfId="33246" xr:uid="{00000000-0005-0000-0000-000092720000}"/>
    <cellStyle name="Normal 7 2 3 3 2 2 2 2" xfId="33408" xr:uid="{00000000-0005-0000-0000-000093720000}"/>
    <cellStyle name="Normal 7 2 3 3 2 2 3" xfId="30554" xr:uid="{00000000-0005-0000-0000-000094720000}"/>
    <cellStyle name="Normal 7 2 3 3 2 3" xfId="30559" xr:uid="{00000000-0005-0000-0000-000095720000}"/>
    <cellStyle name="Normal 7 2 3 3 2 3 2" xfId="30562" xr:uid="{00000000-0005-0000-0000-000096720000}"/>
    <cellStyle name="Normal 7 2 3 3 2 4" xfId="14777" xr:uid="{00000000-0005-0000-0000-000097720000}"/>
    <cellStyle name="Normal 7 2 3 3 3" xfId="23341" xr:uid="{00000000-0005-0000-0000-000098720000}"/>
    <cellStyle name="Normal 7 2 3 3 3 2" xfId="23797" xr:uid="{00000000-0005-0000-0000-000099720000}"/>
    <cellStyle name="Normal 7 2 3 3 3 2 2" xfId="33272" xr:uid="{00000000-0005-0000-0000-00009A720000}"/>
    <cellStyle name="Normal 7 2 3 3 3 3" xfId="33118" xr:uid="{00000000-0005-0000-0000-00009B720000}"/>
    <cellStyle name="Normal 7 2 3 3 4" xfId="5968" xr:uid="{00000000-0005-0000-0000-00009C720000}"/>
    <cellStyle name="Normal 7 2 3 3 4 2" xfId="9865" xr:uid="{00000000-0005-0000-0000-00009D720000}"/>
    <cellStyle name="Normal 7 2 3 3 5" xfId="8802" xr:uid="{00000000-0005-0000-0000-00009E720000}"/>
    <cellStyle name="Normal 7 2 3 4" xfId="28446" xr:uid="{00000000-0005-0000-0000-00009F720000}"/>
    <cellStyle name="Normal 7 2 3 4 2" xfId="23353" xr:uid="{00000000-0005-0000-0000-0000A0720000}"/>
    <cellStyle name="Normal 7 2 3 4 2 2" xfId="20441" xr:uid="{00000000-0005-0000-0000-0000A1720000}"/>
    <cellStyle name="Normal 7 2 3 4 2 2 2" xfId="34011" xr:uid="{00000000-0005-0000-0000-0000A2720000}"/>
    <cellStyle name="Normal 7 2 3 4 2 3" xfId="29602" xr:uid="{00000000-0005-0000-0000-0000A3720000}"/>
    <cellStyle name="Normal 7 2 3 4 3" xfId="29218" xr:uid="{00000000-0005-0000-0000-0000A4720000}"/>
    <cellStyle name="Normal 7 2 3 4 3 2" xfId="29223" xr:uid="{00000000-0005-0000-0000-0000A5720000}"/>
    <cellStyle name="Normal 7 2 3 4 4" xfId="8460" xr:uid="{00000000-0005-0000-0000-0000A6720000}"/>
    <cellStyle name="Normal 7 2 3 5" xfId="32824" xr:uid="{00000000-0005-0000-0000-0000A7720000}"/>
    <cellStyle name="Normal 7 2 3 5 2" xfId="15914" xr:uid="{00000000-0005-0000-0000-0000A8720000}"/>
    <cellStyle name="Normal 7 2 3 5 2 2" xfId="33601" xr:uid="{00000000-0005-0000-0000-0000A9720000}"/>
    <cellStyle name="Normal 7 2 3 5 3" xfId="23360" xr:uid="{00000000-0005-0000-0000-0000AA720000}"/>
    <cellStyle name="Normal 7 2 3 6" xfId="16790" xr:uid="{00000000-0005-0000-0000-0000AB720000}"/>
    <cellStyle name="Normal 7 2 3 6 2" xfId="27792" xr:uid="{00000000-0005-0000-0000-0000AC720000}"/>
    <cellStyle name="Normal 7 2 3 7" xfId="27795" xr:uid="{00000000-0005-0000-0000-0000AD720000}"/>
    <cellStyle name="Normal 7 2 4" xfId="3266" xr:uid="{00000000-0005-0000-0000-0000AE720000}"/>
    <cellStyle name="Normal 7 2 4 2" xfId="29824" xr:uid="{00000000-0005-0000-0000-0000AF720000}"/>
    <cellStyle name="Normal 7 2 4 2 2" xfId="6511" xr:uid="{00000000-0005-0000-0000-0000B0720000}"/>
    <cellStyle name="Normal 7 2 4 2 2 2" xfId="16305" xr:uid="{00000000-0005-0000-0000-0000B1720000}"/>
    <cellStyle name="Normal 7 2 4 2 2 2 2" xfId="32918" xr:uid="{00000000-0005-0000-0000-0000B2720000}"/>
    <cellStyle name="Normal 7 2 4 2 2 2 2 2" xfId="16788" xr:uid="{00000000-0005-0000-0000-0000B3720000}"/>
    <cellStyle name="Normal 7 2 4 2 2 2 3" xfId="31427" xr:uid="{00000000-0005-0000-0000-0000B4720000}"/>
    <cellStyle name="Normal 7 2 4 2 2 3" xfId="33337" xr:uid="{00000000-0005-0000-0000-0000B5720000}"/>
    <cellStyle name="Normal 7 2 4 2 2 3 2" xfId="30636" xr:uid="{00000000-0005-0000-0000-0000B6720000}"/>
    <cellStyle name="Normal 7 2 4 2 2 4" xfId="26610" xr:uid="{00000000-0005-0000-0000-0000B7720000}"/>
    <cellStyle name="Normal 7 2 4 2 3" xfId="6513" xr:uid="{00000000-0005-0000-0000-0000B8720000}"/>
    <cellStyle name="Normal 7 2 4 2 3 2" xfId="9072" xr:uid="{00000000-0005-0000-0000-0000B9720000}"/>
    <cellStyle name="Normal 7 2 4 2 3 2 2" xfId="33622" xr:uid="{00000000-0005-0000-0000-0000BA720000}"/>
    <cellStyle name="Normal 7 2 4 2 3 3" xfId="3436" xr:uid="{00000000-0005-0000-0000-0000BB720000}"/>
    <cellStyle name="Normal 7 2 4 2 4" xfId="33349" xr:uid="{00000000-0005-0000-0000-0000BC720000}"/>
    <cellStyle name="Normal 7 2 4 2 4 2" xfId="11236" xr:uid="{00000000-0005-0000-0000-0000BD720000}"/>
    <cellStyle name="Normal 7 2 4 2 5" xfId="33617" xr:uid="{00000000-0005-0000-0000-0000BE720000}"/>
    <cellStyle name="Normal 7 2 4 3" xfId="27191" xr:uid="{00000000-0005-0000-0000-0000BF720000}"/>
    <cellStyle name="Normal 7 2 4 3 2" xfId="16420" xr:uid="{00000000-0005-0000-0000-0000C0720000}"/>
    <cellStyle name="Normal 7 2 4 3 2 2" xfId="28167" xr:uid="{00000000-0005-0000-0000-0000C1720000}"/>
    <cellStyle name="Normal 7 2 4 3 2 2 2" xfId="33375" xr:uid="{00000000-0005-0000-0000-0000C2720000}"/>
    <cellStyle name="Normal 7 2 4 3 2 3" xfId="30564" xr:uid="{00000000-0005-0000-0000-0000C3720000}"/>
    <cellStyle name="Normal 7 2 4 3 3" xfId="8126" xr:uid="{00000000-0005-0000-0000-0000C4720000}"/>
    <cellStyle name="Normal 7 2 4 3 3 2" xfId="11243" xr:uid="{00000000-0005-0000-0000-0000C5720000}"/>
    <cellStyle name="Normal 7 2 4 3 4" xfId="8833" xr:uid="{00000000-0005-0000-0000-0000C6720000}"/>
    <cellStyle name="Normal 7 2 4 4" xfId="19671" xr:uid="{00000000-0005-0000-0000-0000C7720000}"/>
    <cellStyle name="Normal 7 2 4 4 2" xfId="23382" xr:uid="{00000000-0005-0000-0000-0000C8720000}"/>
    <cellStyle name="Normal 7 2 4 4 2 2" xfId="31957" xr:uid="{00000000-0005-0000-0000-0000C9720000}"/>
    <cellStyle name="Normal 7 2 4 4 3" xfId="29645" xr:uid="{00000000-0005-0000-0000-0000CA720000}"/>
    <cellStyle name="Normal 7 2 4 5" xfId="29090" xr:uid="{00000000-0005-0000-0000-0000CB720000}"/>
    <cellStyle name="Normal 7 2 4 5 2" xfId="23391" xr:uid="{00000000-0005-0000-0000-0000CC720000}"/>
    <cellStyle name="Normal 7 2 4 6" xfId="30567" xr:uid="{00000000-0005-0000-0000-0000CD720000}"/>
    <cellStyle name="Normal 7 2 5" xfId="6527" xr:uid="{00000000-0005-0000-0000-0000CE720000}"/>
    <cellStyle name="Normal 7 2 5 2" xfId="6531" xr:uid="{00000000-0005-0000-0000-0000CF720000}"/>
    <cellStyle name="Normal 7 2 5 2 2" xfId="10048" xr:uid="{00000000-0005-0000-0000-0000D0720000}"/>
    <cellStyle name="Normal 7 2 5 2 2 2" xfId="27245" xr:uid="{00000000-0005-0000-0000-0000D1720000}"/>
    <cellStyle name="Normal 7 2 5 2 2 2 2" xfId="7394" xr:uid="{00000000-0005-0000-0000-0000D2720000}"/>
    <cellStyle name="Normal 7 2 5 2 2 3" xfId="27228" xr:uid="{00000000-0005-0000-0000-0000D3720000}"/>
    <cellStyle name="Normal 7 2 5 2 3" xfId="27282" xr:uid="{00000000-0005-0000-0000-0000D4720000}"/>
    <cellStyle name="Normal 7 2 5 2 3 2" xfId="11260" xr:uid="{00000000-0005-0000-0000-0000D5720000}"/>
    <cellStyle name="Normal 7 2 5 2 4" xfId="32936" xr:uid="{00000000-0005-0000-0000-0000D6720000}"/>
    <cellStyle name="Normal 7 2 5 3" xfId="29611" xr:uid="{00000000-0005-0000-0000-0000D7720000}"/>
    <cellStyle name="Normal 7 2 5 3 2" xfId="23401" xr:uid="{00000000-0005-0000-0000-0000D8720000}"/>
    <cellStyle name="Normal 7 2 5 3 2 2" xfId="34034" xr:uid="{00000000-0005-0000-0000-0000D9720000}"/>
    <cellStyle name="Normal 7 2 5 3 3" xfId="23403" xr:uid="{00000000-0005-0000-0000-0000DA720000}"/>
    <cellStyle name="Normal 7 2 5 4" xfId="21242" xr:uid="{00000000-0005-0000-0000-0000DB720000}"/>
    <cellStyle name="Normal 7 2 5 4 2" xfId="19190" xr:uid="{00000000-0005-0000-0000-0000DC720000}"/>
    <cellStyle name="Normal 7 2 5 5" xfId="33403" xr:uid="{00000000-0005-0000-0000-0000DD720000}"/>
    <cellStyle name="Normal 7 2 6" xfId="12472" xr:uid="{00000000-0005-0000-0000-0000DE720000}"/>
    <cellStyle name="Normal 7 2 6 2" xfId="6536" xr:uid="{00000000-0005-0000-0000-0000DF720000}"/>
    <cellStyle name="Normal 7 2 6 2 2" xfId="30079" xr:uid="{00000000-0005-0000-0000-0000E0720000}"/>
    <cellStyle name="Normal 7 2 6 2 2 2" xfId="26760" xr:uid="{00000000-0005-0000-0000-0000E1720000}"/>
    <cellStyle name="Normal 7 2 6 2 3" xfId="33417" xr:uid="{00000000-0005-0000-0000-0000E2720000}"/>
    <cellStyle name="Normal 7 2 6 3" xfId="33426" xr:uid="{00000000-0005-0000-0000-0000E3720000}"/>
    <cellStyle name="Normal 7 2 6 3 2" xfId="22008" xr:uid="{00000000-0005-0000-0000-0000E4720000}"/>
    <cellStyle name="Normal 7 2 6 4" xfId="33473" xr:uid="{00000000-0005-0000-0000-0000E5720000}"/>
    <cellStyle name="Normal 7 2 7" xfId="15422" xr:uid="{00000000-0005-0000-0000-0000E6720000}"/>
    <cellStyle name="Normal 7 2 7 2" xfId="33430" xr:uid="{00000000-0005-0000-0000-0000E7720000}"/>
    <cellStyle name="Normal 7 2 7 2 2" xfId="24766" xr:uid="{00000000-0005-0000-0000-0000E8720000}"/>
    <cellStyle name="Normal 7 2 7 3" xfId="29096" xr:uid="{00000000-0005-0000-0000-0000E9720000}"/>
    <cellStyle name="Normal 7 2 8" xfId="6396" xr:uid="{00000000-0005-0000-0000-0000EA720000}"/>
    <cellStyle name="Normal 7 2 8 2" xfId="33628" xr:uid="{00000000-0005-0000-0000-0000EB720000}"/>
    <cellStyle name="Normal 7 2 9" xfId="30569" xr:uid="{00000000-0005-0000-0000-0000EC720000}"/>
    <cellStyle name="Normal 7 3" xfId="28063" xr:uid="{00000000-0005-0000-0000-0000ED720000}"/>
    <cellStyle name="Normal 7 3 2" xfId="22491" xr:uid="{00000000-0005-0000-0000-0000EE720000}"/>
    <cellStyle name="Normal 7 3 2 2" xfId="14564" xr:uid="{00000000-0005-0000-0000-0000EF720000}"/>
    <cellStyle name="Normal 7 3 2 2 2" xfId="26782" xr:uid="{00000000-0005-0000-0000-0000F0720000}"/>
    <cellStyle name="Normal 7 3 2 2 2 2" xfId="8572" xr:uid="{00000000-0005-0000-0000-0000F1720000}"/>
    <cellStyle name="Normal 7 3 2 2 2 2 2" xfId="26572" xr:uid="{00000000-0005-0000-0000-0000F2720000}"/>
    <cellStyle name="Normal 7 3 2 2 2 2 2 2" xfId="19588" xr:uid="{00000000-0005-0000-0000-0000F3720000}"/>
    <cellStyle name="Normal 7 3 2 2 2 2 2 2 2" xfId="19595" xr:uid="{00000000-0005-0000-0000-0000F4720000}"/>
    <cellStyle name="Normal 7 3 2 2 2 2 2 3" xfId="19696" xr:uid="{00000000-0005-0000-0000-0000F5720000}"/>
    <cellStyle name="Normal 7 3 2 2 2 2 3" xfId="28518" xr:uid="{00000000-0005-0000-0000-0000F6720000}"/>
    <cellStyle name="Normal 7 3 2 2 2 2 3 2" xfId="20902" xr:uid="{00000000-0005-0000-0000-0000F7720000}"/>
    <cellStyle name="Normal 7 3 2 2 2 2 4" xfId="12590" xr:uid="{00000000-0005-0000-0000-0000F8720000}"/>
    <cellStyle name="Normal 7 3 2 2 2 3" xfId="33543" xr:uid="{00000000-0005-0000-0000-0000F9720000}"/>
    <cellStyle name="Normal 7 3 2 2 2 3 2" xfId="30572" xr:uid="{00000000-0005-0000-0000-0000FA720000}"/>
    <cellStyle name="Normal 7 3 2 2 2 3 2 2" xfId="2484" xr:uid="{00000000-0005-0000-0000-0000FB720000}"/>
    <cellStyle name="Normal 7 3 2 2 2 3 3" xfId="23746" xr:uid="{00000000-0005-0000-0000-0000FC720000}"/>
    <cellStyle name="Normal 7 3 2 2 2 4" xfId="21117" xr:uid="{00000000-0005-0000-0000-0000FD720000}"/>
    <cellStyle name="Normal 7 3 2 2 2 4 2" xfId="21119" xr:uid="{00000000-0005-0000-0000-0000FE720000}"/>
    <cellStyle name="Normal 7 3 2 2 2 5" xfId="21128" xr:uid="{00000000-0005-0000-0000-0000FF720000}"/>
    <cellStyle name="Normal 7 3 2 2 3" xfId="26057" xr:uid="{00000000-0005-0000-0000-000000730000}"/>
    <cellStyle name="Normal 7 3 2 2 3 2" xfId="30125" xr:uid="{00000000-0005-0000-0000-000001730000}"/>
    <cellStyle name="Normal 7 3 2 2 3 2 2" xfId="28295" xr:uid="{00000000-0005-0000-0000-000002730000}"/>
    <cellStyle name="Normal 7 3 2 2 3 2 2 2" xfId="19858" xr:uid="{00000000-0005-0000-0000-000003730000}"/>
    <cellStyle name="Normal 7 3 2 2 3 2 3" xfId="32242" xr:uid="{00000000-0005-0000-0000-000004730000}"/>
    <cellStyle name="Normal 7 3 2 2 3 3" xfId="30581" xr:uid="{00000000-0005-0000-0000-000005730000}"/>
    <cellStyle name="Normal 7 3 2 2 3 3 2" xfId="33273" xr:uid="{00000000-0005-0000-0000-000006730000}"/>
    <cellStyle name="Normal 7 3 2 2 3 4" xfId="9602" xr:uid="{00000000-0005-0000-0000-000007730000}"/>
    <cellStyle name="Normal 7 3 2 2 4" xfId="20367" xr:uid="{00000000-0005-0000-0000-000008730000}"/>
    <cellStyle name="Normal 7 3 2 2 4 2" xfId="28246" xr:uid="{00000000-0005-0000-0000-000009730000}"/>
    <cellStyle name="Normal 7 3 2 2 4 2 2" xfId="30585" xr:uid="{00000000-0005-0000-0000-00000A730000}"/>
    <cellStyle name="Normal 7 3 2 2 4 3" xfId="30590" xr:uid="{00000000-0005-0000-0000-00000B730000}"/>
    <cellStyle name="Normal 7 3 2 2 5" xfId="21876" xr:uid="{00000000-0005-0000-0000-00000C730000}"/>
    <cellStyle name="Normal 7 3 2 2 5 2" xfId="30592" xr:uid="{00000000-0005-0000-0000-00000D730000}"/>
    <cellStyle name="Normal 7 3 2 2 6" xfId="5209" xr:uid="{00000000-0005-0000-0000-00000E730000}"/>
    <cellStyle name="Normal 7 3 2 3" xfId="2278" xr:uid="{00000000-0005-0000-0000-00000F730000}"/>
    <cellStyle name="Normal 7 3 2 3 2" xfId="32781" xr:uid="{00000000-0005-0000-0000-000010730000}"/>
    <cellStyle name="Normal 7 3 2 3 2 2" xfId="33450" xr:uid="{00000000-0005-0000-0000-000011730000}"/>
    <cellStyle name="Normal 7 3 2 3 2 2 2" xfId="1695" xr:uid="{00000000-0005-0000-0000-000012730000}"/>
    <cellStyle name="Normal 7 3 2 3 2 2 2 2" xfId="32086" xr:uid="{00000000-0005-0000-0000-000013730000}"/>
    <cellStyle name="Normal 7 3 2 3 2 2 3" xfId="2398" xr:uid="{00000000-0005-0000-0000-000014730000}"/>
    <cellStyle name="Normal 7 3 2 3 2 3" xfId="32750" xr:uid="{00000000-0005-0000-0000-000015730000}"/>
    <cellStyle name="Normal 7 3 2 3 2 3 2" xfId="33851" xr:uid="{00000000-0005-0000-0000-000016730000}"/>
    <cellStyle name="Normal 7 3 2 3 2 4" xfId="21565" xr:uid="{00000000-0005-0000-0000-000017730000}"/>
    <cellStyle name="Normal 7 3 2 3 3" xfId="29110" xr:uid="{00000000-0005-0000-0000-000018730000}"/>
    <cellStyle name="Normal 7 3 2 3 3 2" xfId="30140" xr:uid="{00000000-0005-0000-0000-000019730000}"/>
    <cellStyle name="Normal 7 3 2 3 3 2 2" xfId="21483" xr:uid="{00000000-0005-0000-0000-00001A730000}"/>
    <cellStyle name="Normal 7 3 2 3 3 3" xfId="20478" xr:uid="{00000000-0005-0000-0000-00001B730000}"/>
    <cellStyle name="Normal 7 3 2 3 4" xfId="16560" xr:uid="{00000000-0005-0000-0000-00001C730000}"/>
    <cellStyle name="Normal 7 3 2 3 4 2" xfId="13562" xr:uid="{00000000-0005-0000-0000-00001D730000}"/>
    <cellStyle name="Normal 7 3 2 3 5" xfId="33159" xr:uid="{00000000-0005-0000-0000-00001E730000}"/>
    <cellStyle name="Normal 7 3 2 4" xfId="27820" xr:uid="{00000000-0005-0000-0000-00001F730000}"/>
    <cellStyle name="Normal 7 3 2 4 2" xfId="30886" xr:uid="{00000000-0005-0000-0000-000020730000}"/>
    <cellStyle name="Normal 7 3 2 4 2 2" xfId="30890" xr:uid="{00000000-0005-0000-0000-000021730000}"/>
    <cellStyle name="Normal 7 3 2 4 2 2 2" xfId="27821" xr:uid="{00000000-0005-0000-0000-000022730000}"/>
    <cellStyle name="Normal 7 3 2 4 2 3" xfId="30597" xr:uid="{00000000-0005-0000-0000-000023730000}"/>
    <cellStyle name="Normal 7 3 2 4 3" xfId="28251" xr:uid="{00000000-0005-0000-0000-000024730000}"/>
    <cellStyle name="Normal 7 3 2 4 3 2" xfId="30598" xr:uid="{00000000-0005-0000-0000-000025730000}"/>
    <cellStyle name="Normal 7 3 2 4 4" xfId="33687" xr:uid="{00000000-0005-0000-0000-000026730000}"/>
    <cellStyle name="Normal 7 3 2 5" xfId="29103" xr:uid="{00000000-0005-0000-0000-000027730000}"/>
    <cellStyle name="Normal 7 3 2 5 2" xfId="30793" xr:uid="{00000000-0005-0000-0000-000028730000}"/>
    <cellStyle name="Normal 7 3 2 5 2 2" xfId="18438" xr:uid="{00000000-0005-0000-0000-000029730000}"/>
    <cellStyle name="Normal 7 3 2 5 3" xfId="29715" xr:uid="{00000000-0005-0000-0000-00002A730000}"/>
    <cellStyle name="Normal 7 3 2 6" xfId="3846" xr:uid="{00000000-0005-0000-0000-00002B730000}"/>
    <cellStyle name="Normal 7 3 2 6 2" xfId="29717" xr:uid="{00000000-0005-0000-0000-00002C730000}"/>
    <cellStyle name="Normal 7 3 2 7" xfId="25712" xr:uid="{00000000-0005-0000-0000-00002D730000}"/>
    <cellStyle name="Normal 7 3 3" xfId="29302" xr:uid="{00000000-0005-0000-0000-00002E730000}"/>
    <cellStyle name="Normal 7 3 3 2" xfId="27694" xr:uid="{00000000-0005-0000-0000-00002F730000}"/>
    <cellStyle name="Normal 7 3 3 2 2" xfId="33554" xr:uid="{00000000-0005-0000-0000-000030730000}"/>
    <cellStyle name="Normal 7 3 3 2 2 2" xfId="33393" xr:uid="{00000000-0005-0000-0000-000031730000}"/>
    <cellStyle name="Normal 7 3 3 2 2 2 2" xfId="30616" xr:uid="{00000000-0005-0000-0000-000032730000}"/>
    <cellStyle name="Normal 7 3 3 2 2 2 2 2" xfId="20321" xr:uid="{00000000-0005-0000-0000-000033730000}"/>
    <cellStyle name="Normal 7 3 3 2 2 2 3" xfId="30617" xr:uid="{00000000-0005-0000-0000-000034730000}"/>
    <cellStyle name="Normal 7 3 3 2 2 3" xfId="33219" xr:uid="{00000000-0005-0000-0000-000035730000}"/>
    <cellStyle name="Normal 7 3 3 2 2 3 2" xfId="30619" xr:uid="{00000000-0005-0000-0000-000036730000}"/>
    <cellStyle name="Normal 7 3 3 2 2 4" xfId="14805" xr:uid="{00000000-0005-0000-0000-000037730000}"/>
    <cellStyle name="Normal 7 3 3 2 3" xfId="27131" xr:uid="{00000000-0005-0000-0000-000038730000}"/>
    <cellStyle name="Normal 7 3 3 2 3 2" xfId="33915" xr:uid="{00000000-0005-0000-0000-000039730000}"/>
    <cellStyle name="Normal 7 3 3 2 3 2 2" xfId="30620" xr:uid="{00000000-0005-0000-0000-00003A730000}"/>
    <cellStyle name="Normal 7 3 3 2 3 3" xfId="30621" xr:uid="{00000000-0005-0000-0000-00003B730000}"/>
    <cellStyle name="Normal 7 3 3 2 4" xfId="29320" xr:uid="{00000000-0005-0000-0000-00003C730000}"/>
    <cellStyle name="Normal 7 3 3 2 4 2" xfId="13540" xr:uid="{00000000-0005-0000-0000-00003D730000}"/>
    <cellStyle name="Normal 7 3 3 2 5" xfId="31697" xr:uid="{00000000-0005-0000-0000-00003E730000}"/>
    <cellStyle name="Normal 7 3 3 3" xfId="30623" xr:uid="{00000000-0005-0000-0000-00003F730000}"/>
    <cellStyle name="Normal 7 3 3 3 2" xfId="23428" xr:uid="{00000000-0005-0000-0000-000040730000}"/>
    <cellStyle name="Normal 7 3 3 3 2 2" xfId="19623" xr:uid="{00000000-0005-0000-0000-000041730000}"/>
    <cellStyle name="Normal 7 3 3 3 2 2 2" xfId="9899" xr:uid="{00000000-0005-0000-0000-000042730000}"/>
    <cellStyle name="Normal 7 3 3 3 2 3" xfId="21760" xr:uid="{00000000-0005-0000-0000-000043730000}"/>
    <cellStyle name="Normal 7 3 3 3 3" xfId="3491" xr:uid="{00000000-0005-0000-0000-000044730000}"/>
    <cellStyle name="Normal 7 3 3 3 3 2" xfId="26429" xr:uid="{00000000-0005-0000-0000-000045730000}"/>
    <cellStyle name="Normal 7 3 3 3 4" xfId="3423" xr:uid="{00000000-0005-0000-0000-000046730000}"/>
    <cellStyle name="Normal 7 3 3 4" xfId="32173" xr:uid="{00000000-0005-0000-0000-000047730000}"/>
    <cellStyle name="Normal 7 3 3 4 2" xfId="18054" xr:uid="{00000000-0005-0000-0000-000048730000}"/>
    <cellStyle name="Normal 7 3 3 4 2 2" xfId="29732" xr:uid="{00000000-0005-0000-0000-000049730000}"/>
    <cellStyle name="Normal 7 3 3 4 3" xfId="29738" xr:uid="{00000000-0005-0000-0000-00004A730000}"/>
    <cellStyle name="Normal 7 3 3 5" xfId="29107" xr:uid="{00000000-0005-0000-0000-00004B730000}"/>
    <cellStyle name="Normal 7 3 3 5 2" xfId="27831" xr:uid="{00000000-0005-0000-0000-00004C730000}"/>
    <cellStyle name="Normal 7 3 3 6" xfId="27832" xr:uid="{00000000-0005-0000-0000-00004D730000}"/>
    <cellStyle name="Normal 7 3 4" xfId="1054" xr:uid="{00000000-0005-0000-0000-00004E730000}"/>
    <cellStyle name="Normal 7 3 4 2" xfId="6538" xr:uid="{00000000-0005-0000-0000-00004F730000}"/>
    <cellStyle name="Normal 7 3 4 2 2" xfId="1552" xr:uid="{00000000-0005-0000-0000-000050730000}"/>
    <cellStyle name="Normal 7 3 4 2 2 2" xfId="33724" xr:uid="{00000000-0005-0000-0000-000051730000}"/>
    <cellStyle name="Normal 7 3 4 2 2 2 2" xfId="27829" xr:uid="{00000000-0005-0000-0000-000052730000}"/>
    <cellStyle name="Normal 7 3 4 2 2 3" xfId="33637" xr:uid="{00000000-0005-0000-0000-000053730000}"/>
    <cellStyle name="Normal 7 3 4 2 3" xfId="33055" xr:uid="{00000000-0005-0000-0000-000054730000}"/>
    <cellStyle name="Normal 7 3 4 2 3 2" xfId="11287" xr:uid="{00000000-0005-0000-0000-000055730000}"/>
    <cellStyle name="Normal 7 3 4 2 4" xfId="33718" xr:uid="{00000000-0005-0000-0000-000056730000}"/>
    <cellStyle name="Normal 7 3 4 3" xfId="6543" xr:uid="{00000000-0005-0000-0000-000057730000}"/>
    <cellStyle name="Normal 7 3 4 3 2" xfId="24220" xr:uid="{00000000-0005-0000-0000-000058730000}"/>
    <cellStyle name="Normal 7 3 4 3 2 2" xfId="21766" xr:uid="{00000000-0005-0000-0000-000059730000}"/>
    <cellStyle name="Normal 7 3 4 3 3" xfId="23448" xr:uid="{00000000-0005-0000-0000-00005A730000}"/>
    <cellStyle name="Normal 7 3 4 4" xfId="33269" xr:uid="{00000000-0005-0000-0000-00005B730000}"/>
    <cellStyle name="Normal 7 3 4 4 2" xfId="10850" xr:uid="{00000000-0005-0000-0000-00005C730000}"/>
    <cellStyle name="Normal 7 3 4 5" xfId="33194" xr:uid="{00000000-0005-0000-0000-00005D730000}"/>
    <cellStyle name="Normal 7 3 5" xfId="6547" xr:uid="{00000000-0005-0000-0000-00005E730000}"/>
    <cellStyle name="Normal 7 3 5 2" xfId="6549" xr:uid="{00000000-0005-0000-0000-00005F730000}"/>
    <cellStyle name="Normal 7 3 5 2 2" xfId="32089" xr:uid="{00000000-0005-0000-0000-000060730000}"/>
    <cellStyle name="Normal 7 3 5 2 2 2" xfId="28425" xr:uid="{00000000-0005-0000-0000-000061730000}"/>
    <cellStyle name="Normal 7 3 5 2 3" xfId="32104" xr:uid="{00000000-0005-0000-0000-000062730000}"/>
    <cellStyle name="Normal 7 3 5 3" xfId="33282" xr:uid="{00000000-0005-0000-0000-000063730000}"/>
    <cellStyle name="Normal 7 3 5 3 2" xfId="23463" xr:uid="{00000000-0005-0000-0000-000064730000}"/>
    <cellStyle name="Normal 7 3 5 4" xfId="33631" xr:uid="{00000000-0005-0000-0000-000065730000}"/>
    <cellStyle name="Normal 7 3 6" xfId="3039" xr:uid="{00000000-0005-0000-0000-000066730000}"/>
    <cellStyle name="Normal 7 3 6 2" xfId="12532" xr:uid="{00000000-0005-0000-0000-000067730000}"/>
    <cellStyle name="Normal 7 3 6 2 2" xfId="32137" xr:uid="{00000000-0005-0000-0000-000068730000}"/>
    <cellStyle name="Normal 7 3 6 3" xfId="32961" xr:uid="{00000000-0005-0000-0000-000069730000}"/>
    <cellStyle name="Normal 7 3 7" xfId="15424" xr:uid="{00000000-0005-0000-0000-00006A730000}"/>
    <cellStyle name="Normal 7 3 7 2" xfId="30234" xr:uid="{00000000-0005-0000-0000-00006B730000}"/>
    <cellStyle name="Normal 7 3 8" xfId="28622" xr:uid="{00000000-0005-0000-0000-00006C730000}"/>
    <cellStyle name="Normal 7 4" xfId="28412" xr:uid="{00000000-0005-0000-0000-00006D730000}"/>
    <cellStyle name="Normal 7 4 2" xfId="30634" xr:uid="{00000000-0005-0000-0000-00006E730000}"/>
    <cellStyle name="Normal 7 4 2 2" xfId="2595" xr:uid="{00000000-0005-0000-0000-00006F730000}"/>
    <cellStyle name="Normal 7 4 2 2 2" xfId="27506" xr:uid="{00000000-0005-0000-0000-000070730000}"/>
    <cellStyle name="Normal 7 4 2 2 2 2" xfId="33507" xr:uid="{00000000-0005-0000-0000-000071730000}"/>
    <cellStyle name="Normal 7 4 2 2 2 2 2" xfId="25137" xr:uid="{00000000-0005-0000-0000-000072730000}"/>
    <cellStyle name="Normal 7 4 2 2 2 2 2 2" xfId="28517" xr:uid="{00000000-0005-0000-0000-000073730000}"/>
    <cellStyle name="Normal 7 4 2 2 2 2 3" xfId="29340" xr:uid="{00000000-0005-0000-0000-000074730000}"/>
    <cellStyle name="Normal 7 4 2 2 2 3" xfId="28963" xr:uid="{00000000-0005-0000-0000-000075730000}"/>
    <cellStyle name="Normal 7 4 2 2 2 3 2" xfId="1080" xr:uid="{00000000-0005-0000-0000-000076730000}"/>
    <cellStyle name="Normal 7 4 2 2 2 4" xfId="9500" xr:uid="{00000000-0005-0000-0000-000077730000}"/>
    <cellStyle name="Normal 7 4 2 2 3" xfId="28092" xr:uid="{00000000-0005-0000-0000-000078730000}"/>
    <cellStyle name="Normal 7 4 2 2 3 2" xfId="11516" xr:uid="{00000000-0005-0000-0000-000079730000}"/>
    <cellStyle name="Normal 7 4 2 2 3 2 2" xfId="28552" xr:uid="{00000000-0005-0000-0000-00007A730000}"/>
    <cellStyle name="Normal 7 4 2 2 3 3" xfId="21682" xr:uid="{00000000-0005-0000-0000-00007B730000}"/>
    <cellStyle name="Normal 7 4 2 2 4" xfId="23958" xr:uid="{00000000-0005-0000-0000-00007C730000}"/>
    <cellStyle name="Normal 7 4 2 2 4 2" xfId="27480" xr:uid="{00000000-0005-0000-0000-00007D730000}"/>
    <cellStyle name="Normal 7 4 2 2 5" xfId="31847" xr:uid="{00000000-0005-0000-0000-00007E730000}"/>
    <cellStyle name="Normal 7 4 2 3" xfId="30706" xr:uid="{00000000-0005-0000-0000-00007F730000}"/>
    <cellStyle name="Normal 7 4 2 3 2" xfId="28625" xr:uid="{00000000-0005-0000-0000-000080730000}"/>
    <cellStyle name="Normal 7 4 2 3 2 2" xfId="28498" xr:uid="{00000000-0005-0000-0000-000081730000}"/>
    <cellStyle name="Normal 7 4 2 3 2 2 2" xfId="23338" xr:uid="{00000000-0005-0000-0000-000082730000}"/>
    <cellStyle name="Normal 7 4 2 3 2 3" xfId="28509" xr:uid="{00000000-0005-0000-0000-000083730000}"/>
    <cellStyle name="Normal 7 4 2 3 3" xfId="28107" xr:uid="{00000000-0005-0000-0000-000084730000}"/>
    <cellStyle name="Normal 7 4 2 3 3 2" xfId="11578" xr:uid="{00000000-0005-0000-0000-000085730000}"/>
    <cellStyle name="Normal 7 4 2 3 4" xfId="30638" xr:uid="{00000000-0005-0000-0000-000086730000}"/>
    <cellStyle name="Normal 7 4 2 4" xfId="27842" xr:uid="{00000000-0005-0000-0000-000087730000}"/>
    <cellStyle name="Normal 7 4 2 4 2" xfId="27844" xr:uid="{00000000-0005-0000-0000-000088730000}"/>
    <cellStyle name="Normal 7 4 2 4 2 2" xfId="28525" xr:uid="{00000000-0005-0000-0000-000089730000}"/>
    <cellStyle name="Normal 7 4 2 4 3" xfId="27846" xr:uid="{00000000-0005-0000-0000-00008A730000}"/>
    <cellStyle name="Normal 7 4 2 5" xfId="27852" xr:uid="{00000000-0005-0000-0000-00008B730000}"/>
    <cellStyle name="Normal 7 4 2 5 2" xfId="33657" xr:uid="{00000000-0005-0000-0000-00008C730000}"/>
    <cellStyle name="Normal 7 4 2 6" xfId="27857" xr:uid="{00000000-0005-0000-0000-00008D730000}"/>
    <cellStyle name="Normal 7 4 3" xfId="26381" xr:uid="{00000000-0005-0000-0000-00008E730000}"/>
    <cellStyle name="Normal 7 4 3 2" xfId="27149" xr:uid="{00000000-0005-0000-0000-00008F730000}"/>
    <cellStyle name="Normal 7 4 3 2 2" xfId="31344" xr:uid="{00000000-0005-0000-0000-000090730000}"/>
    <cellStyle name="Normal 7 4 3 2 2 2" xfId="33031" xr:uid="{00000000-0005-0000-0000-000091730000}"/>
    <cellStyle name="Normal 7 4 3 2 2 2 2" xfId="29184" xr:uid="{00000000-0005-0000-0000-000092730000}"/>
    <cellStyle name="Normal 7 4 3 2 2 3" xfId="30645" xr:uid="{00000000-0005-0000-0000-000093730000}"/>
    <cellStyle name="Normal 7 4 3 2 3" xfId="30654" xr:uid="{00000000-0005-0000-0000-000094730000}"/>
    <cellStyle name="Normal 7 4 3 2 3 2" xfId="11684" xr:uid="{00000000-0005-0000-0000-000095730000}"/>
    <cellStyle name="Normal 7 4 3 2 4" xfId="31242" xr:uid="{00000000-0005-0000-0000-000096730000}"/>
    <cellStyle name="Normal 7 4 3 3" xfId="21164" xr:uid="{00000000-0005-0000-0000-000097730000}"/>
    <cellStyle name="Normal 7 4 3 3 2" xfId="23506" xr:uid="{00000000-0005-0000-0000-000098730000}"/>
    <cellStyle name="Normal 7 4 3 3 2 2" xfId="28365" xr:uid="{00000000-0005-0000-0000-000099730000}"/>
    <cellStyle name="Normal 7 4 3 3 3" xfId="23268" xr:uid="{00000000-0005-0000-0000-00009A730000}"/>
    <cellStyle name="Normal 7 4 3 4" xfId="27864" xr:uid="{00000000-0005-0000-0000-00009B730000}"/>
    <cellStyle name="Normal 7 4 3 4 2" xfId="23518" xr:uid="{00000000-0005-0000-0000-00009C730000}"/>
    <cellStyle name="Normal 7 4 3 5" xfId="27870" xr:uid="{00000000-0005-0000-0000-00009D730000}"/>
    <cellStyle name="Normal 7 4 4" xfId="6558" xr:uid="{00000000-0005-0000-0000-00009E730000}"/>
    <cellStyle name="Normal 7 4 4 2" xfId="5052" xr:uid="{00000000-0005-0000-0000-00009F730000}"/>
    <cellStyle name="Normal 7 4 4 2 2" xfId="29246" xr:uid="{00000000-0005-0000-0000-0000A0730000}"/>
    <cellStyle name="Normal 7 4 4 2 2 2" xfId="27194" xr:uid="{00000000-0005-0000-0000-0000A1730000}"/>
    <cellStyle name="Normal 7 4 4 2 3" xfId="32406" xr:uid="{00000000-0005-0000-0000-0000A2730000}"/>
    <cellStyle name="Normal 7 4 4 3" xfId="30648" xr:uid="{00000000-0005-0000-0000-0000A3730000}"/>
    <cellStyle name="Normal 7 4 4 3 2" xfId="7908" xr:uid="{00000000-0005-0000-0000-0000A4730000}"/>
    <cellStyle name="Normal 7 4 4 4" xfId="30667" xr:uid="{00000000-0005-0000-0000-0000A5730000}"/>
    <cellStyle name="Normal 7 4 5" xfId="6563" xr:uid="{00000000-0005-0000-0000-0000A6730000}"/>
    <cellStyle name="Normal 7 4 5 2" xfId="22451" xr:uid="{00000000-0005-0000-0000-0000A7730000}"/>
    <cellStyle name="Normal 7 4 5 2 2" xfId="27018" xr:uid="{00000000-0005-0000-0000-0000A8730000}"/>
    <cellStyle name="Normal 7 4 5 3" xfId="33420" xr:uid="{00000000-0005-0000-0000-0000A9730000}"/>
    <cellStyle name="Normal 7 4 6" xfId="22463" xr:uid="{00000000-0005-0000-0000-0000AA730000}"/>
    <cellStyle name="Normal 7 4 6 2" xfId="28328" xr:uid="{00000000-0005-0000-0000-0000AB730000}"/>
    <cellStyle name="Normal 7 4 7" xfId="28332" xr:uid="{00000000-0005-0000-0000-0000AC730000}"/>
    <cellStyle name="Normal 7 5" xfId="30670" xr:uid="{00000000-0005-0000-0000-0000AD730000}"/>
    <cellStyle name="Normal 7 5 2" xfId="30732" xr:uid="{00000000-0005-0000-0000-0000AE730000}"/>
    <cellStyle name="Normal 7 5 2 2" xfId="25139" xr:uid="{00000000-0005-0000-0000-0000AF730000}"/>
    <cellStyle name="Normal 7 5 2 2 2" xfId="31408" xr:uid="{00000000-0005-0000-0000-0000B0730000}"/>
    <cellStyle name="Normal 7 5 2 2 2 2" xfId="33571" xr:uid="{00000000-0005-0000-0000-0000B1730000}"/>
    <cellStyle name="Normal 7 5 2 2 2 2 2" xfId="32605" xr:uid="{00000000-0005-0000-0000-0000B2730000}"/>
    <cellStyle name="Normal 7 5 2 2 2 3" xfId="27754" xr:uid="{00000000-0005-0000-0000-0000B3730000}"/>
    <cellStyle name="Normal 7 5 2 2 3" xfId="28134" xr:uid="{00000000-0005-0000-0000-0000B4730000}"/>
    <cellStyle name="Normal 7 5 2 2 3 2" xfId="7231" xr:uid="{00000000-0005-0000-0000-0000B5730000}"/>
    <cellStyle name="Normal 7 5 2 2 4" xfId="32168" xr:uid="{00000000-0005-0000-0000-0000B6730000}"/>
    <cellStyle name="Normal 7 5 2 3" xfId="33918" xr:uid="{00000000-0005-0000-0000-0000B7730000}"/>
    <cellStyle name="Normal 7 5 2 3 2" xfId="11097" xr:uid="{00000000-0005-0000-0000-0000B8730000}"/>
    <cellStyle name="Normal 7 5 2 3 2 2" xfId="26906" xr:uid="{00000000-0005-0000-0000-0000B9730000}"/>
    <cellStyle name="Normal 7 5 2 3 3" xfId="32660" xr:uid="{00000000-0005-0000-0000-0000BA730000}"/>
    <cellStyle name="Normal 7 5 2 4" xfId="27881" xr:uid="{00000000-0005-0000-0000-0000BB730000}"/>
    <cellStyle name="Normal 7 5 2 4 2" xfId="27888" xr:uid="{00000000-0005-0000-0000-0000BC730000}"/>
    <cellStyle name="Normal 7 5 2 5" xfId="27893" xr:uid="{00000000-0005-0000-0000-0000BD730000}"/>
    <cellStyle name="Normal 7 5 3" xfId="30330" xr:uid="{00000000-0005-0000-0000-0000BE730000}"/>
    <cellStyle name="Normal 7 5 3 2" xfId="31969" xr:uid="{00000000-0005-0000-0000-0000BF730000}"/>
    <cellStyle name="Normal 7 5 3 2 2" xfId="33465" xr:uid="{00000000-0005-0000-0000-0000C0730000}"/>
    <cellStyle name="Normal 7 5 3 2 2 2" xfId="33855" xr:uid="{00000000-0005-0000-0000-0000C1730000}"/>
    <cellStyle name="Normal 7 5 3 2 3" xfId="31361" xr:uid="{00000000-0005-0000-0000-0000C2730000}"/>
    <cellStyle name="Normal 7 5 3 3" xfId="32559" xr:uid="{00000000-0005-0000-0000-0000C3730000}"/>
    <cellStyle name="Normal 7 5 3 3 2" xfId="31070" xr:uid="{00000000-0005-0000-0000-0000C4730000}"/>
    <cellStyle name="Normal 7 5 3 4" xfId="28115" xr:uid="{00000000-0005-0000-0000-0000C5730000}"/>
    <cellStyle name="Normal 7 5 4" xfId="6575" xr:uid="{00000000-0005-0000-0000-0000C6730000}"/>
    <cellStyle name="Normal 7 5 4 2" xfId="33478" xr:uid="{00000000-0005-0000-0000-0000C7730000}"/>
    <cellStyle name="Normal 7 5 4 2 2" xfId="33908" xr:uid="{00000000-0005-0000-0000-0000C8730000}"/>
    <cellStyle name="Normal 7 5 4 3" xfId="30675" xr:uid="{00000000-0005-0000-0000-0000C9730000}"/>
    <cellStyle name="Normal 7 5 5" xfId="32112" xr:uid="{00000000-0005-0000-0000-0000CA730000}"/>
    <cellStyle name="Normal 7 5 5 2" xfId="33960" xr:uid="{00000000-0005-0000-0000-0000CB730000}"/>
    <cellStyle name="Normal 7 5 6" xfId="30682" xr:uid="{00000000-0005-0000-0000-0000CC730000}"/>
    <cellStyle name="Normal 7 6" xfId="32933" xr:uid="{00000000-0005-0000-0000-0000CD730000}"/>
    <cellStyle name="Normal 7 6 2" xfId="21668" xr:uid="{00000000-0005-0000-0000-0000CE730000}"/>
    <cellStyle name="Normal 7 6 2 2" xfId="27081" xr:uid="{00000000-0005-0000-0000-0000CF730000}"/>
    <cellStyle name="Normal 7 6 2 2 2" xfId="21094" xr:uid="{00000000-0005-0000-0000-0000D0730000}"/>
    <cellStyle name="Normal 7 6 2 2 2 2" xfId="21099" xr:uid="{00000000-0005-0000-0000-0000D1730000}"/>
    <cellStyle name="Normal 7 6 2 2 3" xfId="21104" xr:uid="{00000000-0005-0000-0000-0000D2730000}"/>
    <cellStyle name="Normal 7 6 2 3" xfId="31802" xr:uid="{00000000-0005-0000-0000-0000D3730000}"/>
    <cellStyle name="Normal 7 6 2 3 2" xfId="21106" xr:uid="{00000000-0005-0000-0000-0000D4730000}"/>
    <cellStyle name="Normal 7 6 2 4" xfId="18453" xr:uid="{00000000-0005-0000-0000-0000D5730000}"/>
    <cellStyle name="Normal 7 6 3" xfId="30319" xr:uid="{00000000-0005-0000-0000-0000D6730000}"/>
    <cellStyle name="Normal 7 6 3 2" xfId="21134" xr:uid="{00000000-0005-0000-0000-0000D7730000}"/>
    <cellStyle name="Normal 7 6 3 2 2" xfId="21137" xr:uid="{00000000-0005-0000-0000-0000D8730000}"/>
    <cellStyle name="Normal 7 6 3 3" xfId="21139" xr:uid="{00000000-0005-0000-0000-0000D9730000}"/>
    <cellStyle name="Normal 7 6 4" xfId="33963" xr:uid="{00000000-0005-0000-0000-0000DA730000}"/>
    <cellStyle name="Normal 7 6 4 2" xfId="21145" xr:uid="{00000000-0005-0000-0000-0000DB730000}"/>
    <cellStyle name="Normal 7 6 5" xfId="26915" xr:uid="{00000000-0005-0000-0000-0000DC730000}"/>
    <cellStyle name="Normal 7 7" xfId="25351" xr:uid="{00000000-0005-0000-0000-0000DD730000}"/>
    <cellStyle name="Normal 7 7 2" xfId="11583" xr:uid="{00000000-0005-0000-0000-0000DE730000}"/>
    <cellStyle name="Normal 7 7 2 2" xfId="25358" xr:uid="{00000000-0005-0000-0000-0000DF730000}"/>
    <cellStyle name="Normal 7 7 2 2 2" xfId="21554" xr:uid="{00000000-0005-0000-0000-0000E0730000}"/>
    <cellStyle name="Normal 7 7 2 3" xfId="25368" xr:uid="{00000000-0005-0000-0000-0000E1730000}"/>
    <cellStyle name="Normal 7 7 3" xfId="22409" xr:uid="{00000000-0005-0000-0000-0000E2730000}"/>
    <cellStyle name="Normal 7 7 3 2" xfId="22418" xr:uid="{00000000-0005-0000-0000-0000E3730000}"/>
    <cellStyle name="Normal 7 7 4" xfId="25442" xr:uid="{00000000-0005-0000-0000-0000E4730000}"/>
    <cellStyle name="Normal 7 8" xfId="10115" xr:uid="{00000000-0005-0000-0000-0000E5730000}"/>
    <cellStyle name="Normal 7 8 2" xfId="24523" xr:uid="{00000000-0005-0000-0000-0000E6730000}"/>
    <cellStyle name="Normal 7 8 2 2" xfId="25375" xr:uid="{00000000-0005-0000-0000-0000E7730000}"/>
    <cellStyle name="Normal 7 8 3" xfId="22431" xr:uid="{00000000-0005-0000-0000-0000E8730000}"/>
    <cellStyle name="Normal 7 9" xfId="25397" xr:uid="{00000000-0005-0000-0000-0000E9730000}"/>
    <cellStyle name="Normal 7 9 2" xfId="25399" xr:uid="{00000000-0005-0000-0000-0000EA730000}"/>
    <cellStyle name="Normal 8" xfId="29856" xr:uid="{00000000-0005-0000-0000-0000EB730000}"/>
    <cellStyle name="Normal 8 2" xfId="27749" xr:uid="{00000000-0005-0000-0000-0000EC730000}"/>
    <cellStyle name="Normal 9" xfId="30688" xr:uid="{00000000-0005-0000-0000-0000ED730000}"/>
    <cellStyle name="Normal 9 10" xfId="11202" xr:uid="{00000000-0005-0000-0000-0000EE730000}"/>
    <cellStyle name="Normal 9 2" xfId="19920" xr:uid="{00000000-0005-0000-0000-0000EF730000}"/>
    <cellStyle name="Normal 9 2 2" xfId="29436" xr:uid="{00000000-0005-0000-0000-0000F0730000}"/>
    <cellStyle name="Normal 9 2 2 2" xfId="30698" xr:uid="{00000000-0005-0000-0000-0000F1730000}"/>
    <cellStyle name="Normal 9 2 2 2 2" xfId="33033" xr:uid="{00000000-0005-0000-0000-0000F2730000}"/>
    <cellStyle name="Normal 9 2 2 2 2 2" xfId="21124" xr:uid="{00000000-0005-0000-0000-0000F3730000}"/>
    <cellStyle name="Normal 9 2 2 2 2 2 2" xfId="21001" xr:uid="{00000000-0005-0000-0000-0000F4730000}"/>
    <cellStyle name="Normal 9 2 2 2 2 2 2 2" xfId="25073" xr:uid="{00000000-0005-0000-0000-0000F5730000}"/>
    <cellStyle name="Normal 9 2 2 2 2 2 2 2 2" xfId="25075" xr:uid="{00000000-0005-0000-0000-0000F6730000}"/>
    <cellStyle name="Normal 9 2 2 2 2 2 2 3" xfId="25104" xr:uid="{00000000-0005-0000-0000-0000F7730000}"/>
    <cellStyle name="Normal 9 2 2 2 2 2 3" xfId="25142" xr:uid="{00000000-0005-0000-0000-0000F8730000}"/>
    <cellStyle name="Normal 9 2 2 2 2 2 3 2" xfId="25146" xr:uid="{00000000-0005-0000-0000-0000F9730000}"/>
    <cellStyle name="Normal 9 2 2 2 2 2 4" xfId="25203" xr:uid="{00000000-0005-0000-0000-0000FA730000}"/>
    <cellStyle name="Normal 9 2 2 2 2 3" xfId="21126" xr:uid="{00000000-0005-0000-0000-0000FB730000}"/>
    <cellStyle name="Normal 9 2 2 2 2 3 2" xfId="9948" xr:uid="{00000000-0005-0000-0000-0000FC730000}"/>
    <cellStyle name="Normal 9 2 2 2 2 3 2 2" xfId="25353" xr:uid="{00000000-0005-0000-0000-0000FD730000}"/>
    <cellStyle name="Normal 9 2 2 2 2 3 3" xfId="25407" xr:uid="{00000000-0005-0000-0000-0000FE730000}"/>
    <cellStyle name="Normal 9 2 2 2 2 4" xfId="30699" xr:uid="{00000000-0005-0000-0000-0000FF730000}"/>
    <cellStyle name="Normal 9 2 2 2 2 4 2" xfId="19468" xr:uid="{00000000-0005-0000-0000-000000740000}"/>
    <cellStyle name="Normal 9 2 2 2 2 5" xfId="11155" xr:uid="{00000000-0005-0000-0000-000001740000}"/>
    <cellStyle name="Normal 9 2 2 2 3" xfId="30703" xr:uid="{00000000-0005-0000-0000-000002740000}"/>
    <cellStyle name="Normal 9 2 2 2 3 2" xfId="21132" xr:uid="{00000000-0005-0000-0000-000003740000}"/>
    <cellStyle name="Normal 9 2 2 2 3 2 2" xfId="24397" xr:uid="{00000000-0005-0000-0000-000004740000}"/>
    <cellStyle name="Normal 9 2 2 2 3 2 2 2" xfId="24608" xr:uid="{00000000-0005-0000-0000-000005740000}"/>
    <cellStyle name="Normal 9 2 2 2 3 2 3" xfId="16591" xr:uid="{00000000-0005-0000-0000-000006740000}"/>
    <cellStyle name="Normal 9 2 2 2 3 3" xfId="30709" xr:uid="{00000000-0005-0000-0000-000007740000}"/>
    <cellStyle name="Normal 9 2 2 2 3 3 2" xfId="24623" xr:uid="{00000000-0005-0000-0000-000008740000}"/>
    <cellStyle name="Normal 9 2 2 2 3 4" xfId="31872" xr:uid="{00000000-0005-0000-0000-000009740000}"/>
    <cellStyle name="Normal 9 2 2 2 4" xfId="5090" xr:uid="{00000000-0005-0000-0000-00000A740000}"/>
    <cellStyle name="Normal 9 2 2 2 4 2" xfId="30639" xr:uid="{00000000-0005-0000-0000-00000B740000}"/>
    <cellStyle name="Normal 9 2 2 2 4 2 2" xfId="31347" xr:uid="{00000000-0005-0000-0000-00000C740000}"/>
    <cellStyle name="Normal 9 2 2 2 4 3" xfId="32149" xr:uid="{00000000-0005-0000-0000-00000D740000}"/>
    <cellStyle name="Normal 9 2 2 2 5" xfId="30713" xr:uid="{00000000-0005-0000-0000-00000E740000}"/>
    <cellStyle name="Normal 9 2 2 2 5 2" xfId="30716" xr:uid="{00000000-0005-0000-0000-00000F740000}"/>
    <cellStyle name="Normal 9 2 2 2 6" xfId="21797" xr:uid="{00000000-0005-0000-0000-000010740000}"/>
    <cellStyle name="Normal 9 2 2 3" xfId="30720" xr:uid="{00000000-0005-0000-0000-000011740000}"/>
    <cellStyle name="Normal 9 2 2 3 2" xfId="30722" xr:uid="{00000000-0005-0000-0000-000012740000}"/>
    <cellStyle name="Normal 9 2 2 3 2 2" xfId="21141" xr:uid="{00000000-0005-0000-0000-000013740000}"/>
    <cellStyle name="Normal 9 2 2 3 2 2 2" xfId="31442" xr:uid="{00000000-0005-0000-0000-000014740000}"/>
    <cellStyle name="Normal 9 2 2 3 2 2 2 2" xfId="7318" xr:uid="{00000000-0005-0000-0000-000015740000}"/>
    <cellStyle name="Normal 9 2 2 3 2 2 3" xfId="31876" xr:uid="{00000000-0005-0000-0000-000016740000}"/>
    <cellStyle name="Normal 9 2 2 3 2 3" xfId="30726" xr:uid="{00000000-0005-0000-0000-000017740000}"/>
    <cellStyle name="Normal 9 2 2 3 2 3 2" xfId="30727" xr:uid="{00000000-0005-0000-0000-000018740000}"/>
    <cellStyle name="Normal 9 2 2 3 2 4" xfId="33804" xr:uid="{00000000-0005-0000-0000-000019740000}"/>
    <cellStyle name="Normal 9 2 2 3 3" xfId="30735" xr:uid="{00000000-0005-0000-0000-00001A740000}"/>
    <cellStyle name="Normal 9 2 2 3 3 2" xfId="30741" xr:uid="{00000000-0005-0000-0000-00001B740000}"/>
    <cellStyle name="Normal 9 2 2 3 3 2 2" xfId="15216" xr:uid="{00000000-0005-0000-0000-00001C740000}"/>
    <cellStyle name="Normal 9 2 2 3 3 3" xfId="1433" xr:uid="{00000000-0005-0000-0000-00001D740000}"/>
    <cellStyle name="Normal 9 2 2 3 4" xfId="25032" xr:uid="{00000000-0005-0000-0000-00001E740000}"/>
    <cellStyle name="Normal 9 2 2 3 4 2" xfId="32548" xr:uid="{00000000-0005-0000-0000-00001F740000}"/>
    <cellStyle name="Normal 9 2 2 3 5" xfId="32333" xr:uid="{00000000-0005-0000-0000-000020740000}"/>
    <cellStyle name="Normal 9 2 2 4" xfId="30747" xr:uid="{00000000-0005-0000-0000-000021740000}"/>
    <cellStyle name="Normal 9 2 2 4 2" xfId="30128" xr:uid="{00000000-0005-0000-0000-000022740000}"/>
    <cellStyle name="Normal 9 2 2 4 2 2" xfId="30131" xr:uid="{00000000-0005-0000-0000-000023740000}"/>
    <cellStyle name="Normal 9 2 2 4 2 2 2" xfId="20196" xr:uid="{00000000-0005-0000-0000-000024740000}"/>
    <cellStyle name="Normal 9 2 2 4 2 3" xfId="26729" xr:uid="{00000000-0005-0000-0000-000025740000}"/>
    <cellStyle name="Normal 9 2 2 4 3" xfId="7303" xr:uid="{00000000-0005-0000-0000-000026740000}"/>
    <cellStyle name="Normal 9 2 2 4 3 2" xfId="965" xr:uid="{00000000-0005-0000-0000-000027740000}"/>
    <cellStyle name="Normal 9 2 2 4 4" xfId="9003" xr:uid="{00000000-0005-0000-0000-000028740000}"/>
    <cellStyle name="Normal 9 2 2 5" xfId="30749" xr:uid="{00000000-0005-0000-0000-000029740000}"/>
    <cellStyle name="Normal 9 2 2 5 2" xfId="27817" xr:uid="{00000000-0005-0000-0000-00002A740000}"/>
    <cellStyle name="Normal 9 2 2 5 2 2" xfId="25941" xr:uid="{00000000-0005-0000-0000-00002B740000}"/>
    <cellStyle name="Normal 9 2 2 5 3" xfId="87" xr:uid="{00000000-0005-0000-0000-00002C740000}"/>
    <cellStyle name="Normal 9 2 2 6" xfId="17226" xr:uid="{00000000-0005-0000-0000-00002D740000}"/>
    <cellStyle name="Normal 9 2 2 6 2" xfId="27826" xr:uid="{00000000-0005-0000-0000-00002E740000}"/>
    <cellStyle name="Normal 9 2 2 7" xfId="30751" xr:uid="{00000000-0005-0000-0000-00002F740000}"/>
    <cellStyle name="Normal 9 2 3" xfId="20632" xr:uid="{00000000-0005-0000-0000-000030740000}"/>
    <cellStyle name="Normal 9 2 3 2" xfId="30753" xr:uid="{00000000-0005-0000-0000-000031740000}"/>
    <cellStyle name="Normal 9 2 3 2 2" xfId="6623" xr:uid="{00000000-0005-0000-0000-000032740000}"/>
    <cellStyle name="Normal 9 2 3 2 2 2" xfId="21566" xr:uid="{00000000-0005-0000-0000-000033740000}"/>
    <cellStyle name="Normal 9 2 3 2 2 2 2" xfId="23018" xr:uid="{00000000-0005-0000-0000-000034740000}"/>
    <cellStyle name="Normal 9 2 3 2 2 2 2 2" xfId="25633" xr:uid="{00000000-0005-0000-0000-000035740000}"/>
    <cellStyle name="Normal 9 2 3 2 2 2 3" xfId="5445" xr:uid="{00000000-0005-0000-0000-000036740000}"/>
    <cellStyle name="Normal 9 2 3 2 2 3" xfId="30758" xr:uid="{00000000-0005-0000-0000-000037740000}"/>
    <cellStyle name="Normal 9 2 3 2 2 3 2" xfId="29391" xr:uid="{00000000-0005-0000-0000-000038740000}"/>
    <cellStyle name="Normal 9 2 3 2 2 4" xfId="30762" xr:uid="{00000000-0005-0000-0000-000039740000}"/>
    <cellStyle name="Normal 9 2 3 2 3" xfId="5807" xr:uid="{00000000-0005-0000-0000-00003A740000}"/>
    <cellStyle name="Normal 9 2 3 2 3 2" xfId="26546" xr:uid="{00000000-0005-0000-0000-00003B740000}"/>
    <cellStyle name="Normal 9 2 3 2 3 2 2" xfId="32017" xr:uid="{00000000-0005-0000-0000-00003C740000}"/>
    <cellStyle name="Normal 9 2 3 2 3 3" xfId="26553" xr:uid="{00000000-0005-0000-0000-00003D740000}"/>
    <cellStyle name="Normal 9 2 3 2 4" xfId="22332" xr:uid="{00000000-0005-0000-0000-00003E740000}"/>
    <cellStyle name="Normal 9 2 3 2 4 2" xfId="30766" xr:uid="{00000000-0005-0000-0000-00003F740000}"/>
    <cellStyle name="Normal 9 2 3 2 5" xfId="22341" xr:uid="{00000000-0005-0000-0000-000040740000}"/>
    <cellStyle name="Normal 9 2 3 3" xfId="30770" xr:uid="{00000000-0005-0000-0000-000041740000}"/>
    <cellStyle name="Normal 9 2 3 3 2" xfId="23790" xr:uid="{00000000-0005-0000-0000-000042740000}"/>
    <cellStyle name="Normal 9 2 3 3 2 2" xfId="34001" xr:uid="{00000000-0005-0000-0000-000043740000}"/>
    <cellStyle name="Normal 9 2 3 3 2 2 2" xfId="28672" xr:uid="{00000000-0005-0000-0000-000044740000}"/>
    <cellStyle name="Normal 9 2 3 3 2 3" xfId="29763" xr:uid="{00000000-0005-0000-0000-000045740000}"/>
    <cellStyle name="Normal 9 2 3 3 3" xfId="23793" xr:uid="{00000000-0005-0000-0000-000046740000}"/>
    <cellStyle name="Normal 9 2 3 3 3 2" xfId="26566" xr:uid="{00000000-0005-0000-0000-000047740000}"/>
    <cellStyle name="Normal 9 2 3 3 4" xfId="22353" xr:uid="{00000000-0005-0000-0000-000048740000}"/>
    <cellStyle name="Normal 9 2 3 4" xfId="33397" xr:uid="{00000000-0005-0000-0000-000049740000}"/>
    <cellStyle name="Normal 9 2 3 4 2" xfId="23795" xr:uid="{00000000-0005-0000-0000-00004A740000}"/>
    <cellStyle name="Normal 9 2 3 4 2 2" xfId="2768" xr:uid="{00000000-0005-0000-0000-00004B740000}"/>
    <cellStyle name="Normal 9 2 3 4 3" xfId="27000" xr:uid="{00000000-0005-0000-0000-00004C740000}"/>
    <cellStyle name="Normal 9 2 3 5" xfId="27673" xr:uid="{00000000-0005-0000-0000-00004D740000}"/>
    <cellStyle name="Normal 9 2 3 5 2" xfId="28926" xr:uid="{00000000-0005-0000-0000-00004E740000}"/>
    <cellStyle name="Normal 9 2 3 6" xfId="29948" xr:uid="{00000000-0005-0000-0000-00004F740000}"/>
    <cellStyle name="Normal 9 2 4" xfId="1346" xr:uid="{00000000-0005-0000-0000-000050740000}"/>
    <cellStyle name="Normal 9 2 4 2" xfId="3383" xr:uid="{00000000-0005-0000-0000-000051740000}"/>
    <cellStyle name="Normal 9 2 4 2 2" xfId="5492" xr:uid="{00000000-0005-0000-0000-000052740000}"/>
    <cellStyle name="Normal 9 2 4 2 2 2" xfId="30783" xr:uid="{00000000-0005-0000-0000-000053740000}"/>
    <cellStyle name="Normal 9 2 4 2 2 2 2" xfId="30785" xr:uid="{00000000-0005-0000-0000-000054740000}"/>
    <cellStyle name="Normal 9 2 4 2 2 3" xfId="27426" xr:uid="{00000000-0005-0000-0000-000055740000}"/>
    <cellStyle name="Normal 9 2 4 2 3" xfId="33294" xr:uid="{00000000-0005-0000-0000-000056740000}"/>
    <cellStyle name="Normal 9 2 4 2 3 2" xfId="30721" xr:uid="{00000000-0005-0000-0000-000057740000}"/>
    <cellStyle name="Normal 9 2 4 2 4" xfId="22428" xr:uid="{00000000-0005-0000-0000-000058740000}"/>
    <cellStyle name="Normal 9 2 4 3" xfId="29052" xr:uid="{00000000-0005-0000-0000-000059740000}"/>
    <cellStyle name="Normal 9 2 4 3 2" xfId="23807" xr:uid="{00000000-0005-0000-0000-00005A740000}"/>
    <cellStyle name="Normal 9 2 4 3 2 2" xfId="27954" xr:uid="{00000000-0005-0000-0000-00005B740000}"/>
    <cellStyle name="Normal 9 2 4 3 3" xfId="14603" xr:uid="{00000000-0005-0000-0000-00005C740000}"/>
    <cellStyle name="Normal 9 2 4 4" xfId="26833" xr:uid="{00000000-0005-0000-0000-00005D740000}"/>
    <cellStyle name="Normal 9 2 4 4 2" xfId="14042" xr:uid="{00000000-0005-0000-0000-00005E740000}"/>
    <cellStyle name="Normal 9 2 4 5" xfId="30799" xr:uid="{00000000-0005-0000-0000-00005F740000}"/>
    <cellStyle name="Normal 9 2 5" xfId="213" xr:uid="{00000000-0005-0000-0000-000060740000}"/>
    <cellStyle name="Normal 9 2 5 2" xfId="8397" xr:uid="{00000000-0005-0000-0000-000061740000}"/>
    <cellStyle name="Normal 9 2 5 2 2" xfId="3300" xr:uid="{00000000-0005-0000-0000-000062740000}"/>
    <cellStyle name="Normal 9 2 5 2 2 2" xfId="31547" xr:uid="{00000000-0005-0000-0000-000063740000}"/>
    <cellStyle name="Normal 9 2 5 2 3" xfId="25434" xr:uid="{00000000-0005-0000-0000-000064740000}"/>
    <cellStyle name="Normal 9 2 5 3" xfId="30804" xr:uid="{00000000-0005-0000-0000-000065740000}"/>
    <cellStyle name="Normal 9 2 5 3 2" xfId="14629" xr:uid="{00000000-0005-0000-0000-000066740000}"/>
    <cellStyle name="Normal 9 2 5 4" xfId="31201" xr:uid="{00000000-0005-0000-0000-000067740000}"/>
    <cellStyle name="Normal 9 2 6" xfId="6848" xr:uid="{00000000-0005-0000-0000-000068740000}"/>
    <cellStyle name="Normal 9 2 6 2" xfId="32959" xr:uid="{00000000-0005-0000-0000-000069740000}"/>
    <cellStyle name="Normal 9 2 6 2 2" xfId="31339" xr:uid="{00000000-0005-0000-0000-00006A740000}"/>
    <cellStyle name="Normal 9 2 6 3" xfId="32840" xr:uid="{00000000-0005-0000-0000-00006B740000}"/>
    <cellStyle name="Normal 9 2 7" xfId="30809" xr:uid="{00000000-0005-0000-0000-00006C740000}"/>
    <cellStyle name="Normal 9 2 7 2" xfId="30811" xr:uid="{00000000-0005-0000-0000-00006D740000}"/>
    <cellStyle name="Normal 9 2 8" xfId="30814" xr:uid="{00000000-0005-0000-0000-00006E740000}"/>
    <cellStyle name="Normal 9 3" xfId="6937" xr:uid="{00000000-0005-0000-0000-00006F740000}"/>
    <cellStyle name="Normal 9 3 2" xfId="30818" xr:uid="{00000000-0005-0000-0000-000070740000}"/>
    <cellStyle name="Normal 9 3 2 2" xfId="32217" xr:uid="{00000000-0005-0000-0000-000071740000}"/>
    <cellStyle name="Normal 9 3 2 2 2" xfId="30826" xr:uid="{00000000-0005-0000-0000-000072740000}"/>
    <cellStyle name="Normal 9 3 2 2 2 2" xfId="4601" xr:uid="{00000000-0005-0000-0000-000073740000}"/>
    <cellStyle name="Normal 9 3 2 2 2 2 2" xfId="32090" xr:uid="{00000000-0005-0000-0000-000074740000}"/>
    <cellStyle name="Normal 9 3 2 2 2 2 2 2" xfId="28054" xr:uid="{00000000-0005-0000-0000-000075740000}"/>
    <cellStyle name="Normal 9 3 2 2 2 2 3" xfId="31705" xr:uid="{00000000-0005-0000-0000-000076740000}"/>
    <cellStyle name="Normal 9 3 2 2 2 3" xfId="30829" xr:uid="{00000000-0005-0000-0000-000077740000}"/>
    <cellStyle name="Normal 9 3 2 2 2 3 2" xfId="30830" xr:uid="{00000000-0005-0000-0000-000078740000}"/>
    <cellStyle name="Normal 9 3 2 2 2 4" xfId="8714" xr:uid="{00000000-0005-0000-0000-000079740000}"/>
    <cellStyle name="Normal 9 3 2 2 3" xfId="11262" xr:uid="{00000000-0005-0000-0000-00007A740000}"/>
    <cellStyle name="Normal 9 3 2 2 3 2" xfId="30834" xr:uid="{00000000-0005-0000-0000-00007B740000}"/>
    <cellStyle name="Normal 9 3 2 2 3 2 2" xfId="31546" xr:uid="{00000000-0005-0000-0000-00007C740000}"/>
    <cellStyle name="Normal 9 3 2 2 3 3" xfId="30836" xr:uid="{00000000-0005-0000-0000-00007D740000}"/>
    <cellStyle name="Normal 9 3 2 2 4" xfId="30837" xr:uid="{00000000-0005-0000-0000-00007E740000}"/>
    <cellStyle name="Normal 9 3 2 2 4 2" xfId="23895" xr:uid="{00000000-0005-0000-0000-00007F740000}"/>
    <cellStyle name="Normal 9 3 2 2 5" xfId="30843" xr:uid="{00000000-0005-0000-0000-000080740000}"/>
    <cellStyle name="Normal 9 3 2 3" xfId="30848" xr:uid="{00000000-0005-0000-0000-000081740000}"/>
    <cellStyle name="Normal 9 3 2 3 2" xfId="30850" xr:uid="{00000000-0005-0000-0000-000082740000}"/>
    <cellStyle name="Normal 9 3 2 3 2 2" xfId="30854" xr:uid="{00000000-0005-0000-0000-000083740000}"/>
    <cellStyle name="Normal 9 3 2 3 2 2 2" xfId="31745" xr:uid="{00000000-0005-0000-0000-000084740000}"/>
    <cellStyle name="Normal 9 3 2 3 2 3" xfId="30856" xr:uid="{00000000-0005-0000-0000-000085740000}"/>
    <cellStyle name="Normal 9 3 2 3 3" xfId="30857" xr:uid="{00000000-0005-0000-0000-000086740000}"/>
    <cellStyle name="Normal 9 3 2 3 3 2" xfId="30863" xr:uid="{00000000-0005-0000-0000-000087740000}"/>
    <cellStyle name="Normal 9 3 2 3 4" xfId="28241" xr:uid="{00000000-0005-0000-0000-000088740000}"/>
    <cellStyle name="Normal 9 3 2 4" xfId="30868" xr:uid="{00000000-0005-0000-0000-000089740000}"/>
    <cellStyle name="Normal 9 3 2 4 2" xfId="30238" xr:uid="{00000000-0005-0000-0000-00008A740000}"/>
    <cellStyle name="Normal 9 3 2 4 2 2" xfId="33317" xr:uid="{00000000-0005-0000-0000-00008B740000}"/>
    <cellStyle name="Normal 9 3 2 4 3" xfId="26245" xr:uid="{00000000-0005-0000-0000-00008C740000}"/>
    <cellStyle name="Normal 9 3 2 5" xfId="30878" xr:uid="{00000000-0005-0000-0000-00008D740000}"/>
    <cellStyle name="Normal 9 3 2 5 2" xfId="27009" xr:uid="{00000000-0005-0000-0000-00008E740000}"/>
    <cellStyle name="Normal 9 3 2 6" xfId="28347" xr:uid="{00000000-0005-0000-0000-00008F740000}"/>
    <cellStyle name="Normal 9 3 3" xfId="30888" xr:uid="{00000000-0005-0000-0000-000090740000}"/>
    <cellStyle name="Normal 9 3 3 2" xfId="30891" xr:uid="{00000000-0005-0000-0000-000091740000}"/>
    <cellStyle name="Normal 9 3 3 2 2" xfId="6706" xr:uid="{00000000-0005-0000-0000-000092740000}"/>
    <cellStyle name="Normal 9 3 3 2 2 2" xfId="1837" xr:uid="{00000000-0005-0000-0000-000093740000}"/>
    <cellStyle name="Normal 9 3 3 2 2 2 2" xfId="11765" xr:uid="{00000000-0005-0000-0000-000094740000}"/>
    <cellStyle name="Normal 9 3 3 2 2 3" xfId="16071" xr:uid="{00000000-0005-0000-0000-000095740000}"/>
    <cellStyle name="Normal 9 3 3 2 3" xfId="25497" xr:uid="{00000000-0005-0000-0000-000096740000}"/>
    <cellStyle name="Normal 9 3 3 2 3 2" xfId="12351" xr:uid="{00000000-0005-0000-0000-000097740000}"/>
    <cellStyle name="Normal 9 3 3 2 4" xfId="11446" xr:uid="{00000000-0005-0000-0000-000098740000}"/>
    <cellStyle name="Normal 9 3 3 3" xfId="33872" xr:uid="{00000000-0005-0000-0000-000099740000}"/>
    <cellStyle name="Normal 9 3 3 3 2" xfId="23833" xr:uid="{00000000-0005-0000-0000-00009A740000}"/>
    <cellStyle name="Normal 9 3 3 3 2 2" xfId="2406" xr:uid="{00000000-0005-0000-0000-00009B740000}"/>
    <cellStyle name="Normal 9 3 3 3 3" xfId="25511" xr:uid="{00000000-0005-0000-0000-00009C740000}"/>
    <cellStyle name="Normal 9 3 3 4" xfId="30893" xr:uid="{00000000-0005-0000-0000-00009D740000}"/>
    <cellStyle name="Normal 9 3 3 4 2" xfId="33104" xr:uid="{00000000-0005-0000-0000-00009E740000}"/>
    <cellStyle name="Normal 9 3 3 5" xfId="33606" xr:uid="{00000000-0005-0000-0000-00009F740000}"/>
    <cellStyle name="Normal 9 3 4" xfId="1364" xr:uid="{00000000-0005-0000-0000-0000A0740000}"/>
    <cellStyle name="Normal 9 3 4 2" xfId="30895" xr:uid="{00000000-0005-0000-0000-0000A1740000}"/>
    <cellStyle name="Normal 9 3 4 2 2" xfId="7125" xr:uid="{00000000-0005-0000-0000-0000A2740000}"/>
    <cellStyle name="Normal 9 3 4 2 2 2" xfId="30896" xr:uid="{00000000-0005-0000-0000-0000A3740000}"/>
    <cellStyle name="Normal 9 3 4 2 3" xfId="7764" xr:uid="{00000000-0005-0000-0000-0000A4740000}"/>
    <cellStyle name="Normal 9 3 4 3" xfId="30901" xr:uid="{00000000-0005-0000-0000-0000A5740000}"/>
    <cellStyle name="Normal 9 3 4 3 2" xfId="14690" xr:uid="{00000000-0005-0000-0000-0000A6740000}"/>
    <cellStyle name="Normal 9 3 4 4" xfId="30906" xr:uid="{00000000-0005-0000-0000-0000A7740000}"/>
    <cellStyle name="Normal 9 3 5" xfId="30903" xr:uid="{00000000-0005-0000-0000-0000A8740000}"/>
    <cellStyle name="Normal 9 3 5 2" xfId="30910" xr:uid="{00000000-0005-0000-0000-0000A9740000}"/>
    <cellStyle name="Normal 9 3 5 2 2" xfId="3291" xr:uid="{00000000-0005-0000-0000-0000AA740000}"/>
    <cellStyle name="Normal 9 3 5 3" xfId="30911" xr:uid="{00000000-0005-0000-0000-0000AB740000}"/>
    <cellStyle name="Normal 9 3 6" xfId="30915" xr:uid="{00000000-0005-0000-0000-0000AC740000}"/>
    <cellStyle name="Normal 9 3 6 2" xfId="30736" xr:uid="{00000000-0005-0000-0000-0000AD740000}"/>
    <cellStyle name="Normal 9 3 7" xfId="32417" xr:uid="{00000000-0005-0000-0000-0000AE740000}"/>
    <cellStyle name="Normal 9 4" xfId="30924" xr:uid="{00000000-0005-0000-0000-0000AF740000}"/>
    <cellStyle name="Normal 9 4 2" xfId="17505" xr:uid="{00000000-0005-0000-0000-0000B0740000}"/>
    <cellStyle name="Normal 9 4 2 2" xfId="27325" xr:uid="{00000000-0005-0000-0000-0000B1740000}"/>
    <cellStyle name="Normal 9 4 2 2 2" xfId="31027" xr:uid="{00000000-0005-0000-0000-0000B2740000}"/>
    <cellStyle name="Normal 9 4 2 2 2 2" xfId="30845" xr:uid="{00000000-0005-0000-0000-0000B3740000}"/>
    <cellStyle name="Normal 9 4 2 2 2 2 2" xfId="4431" xr:uid="{00000000-0005-0000-0000-0000B4740000}"/>
    <cellStyle name="Normal 9 4 2 2 2 3" xfId="31998" xr:uid="{00000000-0005-0000-0000-0000B5740000}"/>
    <cellStyle name="Normal 9 4 2 2 3" xfId="30929" xr:uid="{00000000-0005-0000-0000-0000B6740000}"/>
    <cellStyle name="Normal 9 4 2 2 3 2" xfId="6348" xr:uid="{00000000-0005-0000-0000-0000B7740000}"/>
    <cellStyle name="Normal 9 4 2 2 4" xfId="30139" xr:uid="{00000000-0005-0000-0000-0000B8740000}"/>
    <cellStyle name="Normal 9 4 2 3" xfId="32205" xr:uid="{00000000-0005-0000-0000-0000B9740000}"/>
    <cellStyle name="Normal 9 4 2 3 2" xfId="31052" xr:uid="{00000000-0005-0000-0000-0000BA740000}"/>
    <cellStyle name="Normal 9 4 2 3 2 2" xfId="29581" xr:uid="{00000000-0005-0000-0000-0000BB740000}"/>
    <cellStyle name="Normal 9 4 2 3 3" xfId="7793" xr:uid="{00000000-0005-0000-0000-0000BC740000}"/>
    <cellStyle name="Normal 9 4 2 4" xfId="32025" xr:uid="{00000000-0005-0000-0000-0000BD740000}"/>
    <cellStyle name="Normal 9 4 2 4 2" xfId="27417" xr:uid="{00000000-0005-0000-0000-0000BE740000}"/>
    <cellStyle name="Normal 9 4 2 5" xfId="32039" xr:uid="{00000000-0005-0000-0000-0000BF740000}"/>
    <cellStyle name="Normal 9 4 3" xfId="28464" xr:uid="{00000000-0005-0000-0000-0000C0740000}"/>
    <cellStyle name="Normal 9 4 3 2" xfId="30934" xr:uid="{00000000-0005-0000-0000-0000C1740000}"/>
    <cellStyle name="Normal 9 4 3 2 2" xfId="29119" xr:uid="{00000000-0005-0000-0000-0000C2740000}"/>
    <cellStyle name="Normal 9 4 3 2 2 2" xfId="30462" xr:uid="{00000000-0005-0000-0000-0000C3740000}"/>
    <cellStyle name="Normal 9 4 3 2 3" xfId="208" xr:uid="{00000000-0005-0000-0000-0000C4740000}"/>
    <cellStyle name="Normal 9 4 3 3" xfId="31005" xr:uid="{00000000-0005-0000-0000-0000C5740000}"/>
    <cellStyle name="Normal 9 4 3 3 2" xfId="31018" xr:uid="{00000000-0005-0000-0000-0000C6740000}"/>
    <cellStyle name="Normal 9 4 3 4" xfId="9916" xr:uid="{00000000-0005-0000-0000-0000C7740000}"/>
    <cellStyle name="Normal 9 4 4" xfId="22752" xr:uid="{00000000-0005-0000-0000-0000C8740000}"/>
    <cellStyle name="Normal 9 4 4 2" xfId="30944" xr:uid="{00000000-0005-0000-0000-0000C9740000}"/>
    <cellStyle name="Normal 9 4 4 2 2" xfId="2509" xr:uid="{00000000-0005-0000-0000-0000CA740000}"/>
    <cellStyle name="Normal 9 4 4 3" xfId="31031" xr:uid="{00000000-0005-0000-0000-0000CB740000}"/>
    <cellStyle name="Normal 9 4 5" xfId="29574" xr:uid="{00000000-0005-0000-0000-0000CC740000}"/>
    <cellStyle name="Normal 9 4 5 2" xfId="23377" xr:uid="{00000000-0005-0000-0000-0000CD740000}"/>
    <cellStyle name="Normal 9 4 6" xfId="30951" xr:uid="{00000000-0005-0000-0000-0000CE740000}"/>
    <cellStyle name="Normal 9 5" xfId="30952" xr:uid="{00000000-0005-0000-0000-0000CF740000}"/>
    <cellStyle name="Normal 9 5 2" xfId="29576" xr:uid="{00000000-0005-0000-0000-0000D0740000}"/>
    <cellStyle name="Normal 9 5 2 2" xfId="7260" xr:uid="{00000000-0005-0000-0000-0000D1740000}"/>
    <cellStyle name="Normal 9 5 2 2 2" xfId="33228" xr:uid="{00000000-0005-0000-0000-0000D2740000}"/>
    <cellStyle name="Normal 9 5 2 2 2 2" xfId="33774" xr:uid="{00000000-0005-0000-0000-0000D3740000}"/>
    <cellStyle name="Normal 9 5 2 2 3" xfId="32094" xr:uid="{00000000-0005-0000-0000-0000D4740000}"/>
    <cellStyle name="Normal 9 5 2 3" xfId="101" xr:uid="{00000000-0005-0000-0000-0000D5740000}"/>
    <cellStyle name="Normal 9 5 2 3 2" xfId="31501" xr:uid="{00000000-0005-0000-0000-0000D6740000}"/>
    <cellStyle name="Normal 9 5 2 4" xfId="30959" xr:uid="{00000000-0005-0000-0000-0000D7740000}"/>
    <cellStyle name="Normal 9 5 3" xfId="22758" xr:uid="{00000000-0005-0000-0000-0000D8740000}"/>
    <cellStyle name="Normal 9 5 3 2" xfId="4355" xr:uid="{00000000-0005-0000-0000-0000D9740000}"/>
    <cellStyle name="Normal 9 5 3 2 2" xfId="33761" xr:uid="{00000000-0005-0000-0000-0000DA740000}"/>
    <cellStyle name="Normal 9 5 3 3" xfId="31691" xr:uid="{00000000-0005-0000-0000-0000DB740000}"/>
    <cellStyle name="Normal 9 5 4" xfId="30791" xr:uid="{00000000-0005-0000-0000-0000DC740000}"/>
    <cellStyle name="Normal 9 5 4 2" xfId="30963" xr:uid="{00000000-0005-0000-0000-0000DD740000}"/>
    <cellStyle name="Normal 9 5 5" xfId="29523" xr:uid="{00000000-0005-0000-0000-0000DE740000}"/>
    <cellStyle name="Normal 9 6" xfId="33086" xr:uid="{00000000-0005-0000-0000-0000DF740000}"/>
    <cellStyle name="Normal 9 6 2" xfId="33989" xr:uid="{00000000-0005-0000-0000-0000E0740000}"/>
    <cellStyle name="Normal 9 6 2 2" xfId="20705" xr:uid="{00000000-0005-0000-0000-0000E1740000}"/>
    <cellStyle name="Normal 9 6 2 2 2" xfId="33799" xr:uid="{00000000-0005-0000-0000-0000E2740000}"/>
    <cellStyle name="Normal 9 6 2 3" xfId="32143" xr:uid="{00000000-0005-0000-0000-0000E3740000}"/>
    <cellStyle name="Normal 9 6 3" xfId="33091" xr:uid="{00000000-0005-0000-0000-0000E4740000}"/>
    <cellStyle name="Normal 9 6 3 2" xfId="33047" xr:uid="{00000000-0005-0000-0000-0000E5740000}"/>
    <cellStyle name="Normal 9 6 4" xfId="31724" xr:uid="{00000000-0005-0000-0000-0000E6740000}"/>
    <cellStyle name="Normal 9 7" xfId="25447" xr:uid="{00000000-0005-0000-0000-0000E7740000}"/>
    <cellStyle name="Normal 9 7 2" xfId="25085" xr:uid="{00000000-0005-0000-0000-0000E8740000}"/>
    <cellStyle name="Normal 9 7 2 2" xfId="25455" xr:uid="{00000000-0005-0000-0000-0000E9740000}"/>
    <cellStyle name="Normal 9 7 3" xfId="22501" xr:uid="{00000000-0005-0000-0000-0000EA740000}"/>
    <cellStyle name="Normal 9 8" xfId="25461" xr:uid="{00000000-0005-0000-0000-0000EB740000}"/>
    <cellStyle name="Normal 9 8 2" xfId="25464" xr:uid="{00000000-0005-0000-0000-0000EC740000}"/>
    <cellStyle name="Normal 9 9" xfId="25469" xr:uid="{00000000-0005-0000-0000-0000ED740000}"/>
    <cellStyle name="Note 10" xfId="30967" xr:uid="{00000000-0005-0000-0000-0000EE740000}"/>
    <cellStyle name="Note 10 2" xfId="31180" xr:uid="{00000000-0005-0000-0000-0000EF740000}"/>
    <cellStyle name="Note 10 2 2" xfId="30970" xr:uid="{00000000-0005-0000-0000-0000F0740000}"/>
    <cellStyle name="Note 10 2 2 2" xfId="30971" xr:uid="{00000000-0005-0000-0000-0000F1740000}"/>
    <cellStyle name="Note 10 2 3" xfId="30916" xr:uid="{00000000-0005-0000-0000-0000F2740000}"/>
    <cellStyle name="Note 10 3" xfId="30972" xr:uid="{00000000-0005-0000-0000-0000F3740000}"/>
    <cellStyle name="Note 10 3 2" xfId="33561" xr:uid="{00000000-0005-0000-0000-0000F4740000}"/>
    <cellStyle name="Note 10 4" xfId="33479" xr:uid="{00000000-0005-0000-0000-0000F5740000}"/>
    <cellStyle name="Note 11" xfId="12421" xr:uid="{00000000-0005-0000-0000-0000F6740000}"/>
    <cellStyle name="Note 11 2" xfId="8653" xr:uid="{00000000-0005-0000-0000-0000F7740000}"/>
    <cellStyle name="Note 11 2 2" xfId="33434" xr:uid="{00000000-0005-0000-0000-0000F8740000}"/>
    <cellStyle name="Note 11 3" xfId="30979" xr:uid="{00000000-0005-0000-0000-0000F9740000}"/>
    <cellStyle name="Note 12" xfId="8309" xr:uid="{00000000-0005-0000-0000-0000FA740000}"/>
    <cellStyle name="Note 12 2" xfId="2955" xr:uid="{00000000-0005-0000-0000-0000FB740000}"/>
    <cellStyle name="Note 13" xfId="6899" xr:uid="{00000000-0005-0000-0000-0000FC740000}"/>
    <cellStyle name="Note 14" xfId="17347" xr:uid="{00000000-0005-0000-0000-0000FD740000}"/>
    <cellStyle name="Note 2" xfId="32703" xr:uid="{00000000-0005-0000-0000-0000FE740000}"/>
    <cellStyle name="Note 2 10" xfId="2452" xr:uid="{00000000-0005-0000-0000-0000FF740000}"/>
    <cellStyle name="Note 2 10 2" xfId="30981" xr:uid="{00000000-0005-0000-0000-000000750000}"/>
    <cellStyle name="Note 2 10 2 2" xfId="33818" xr:uid="{00000000-0005-0000-0000-000001750000}"/>
    <cellStyle name="Note 2 10 3" xfId="31054" xr:uid="{00000000-0005-0000-0000-000002750000}"/>
    <cellStyle name="Note 2 11" xfId="30898" xr:uid="{00000000-0005-0000-0000-000003750000}"/>
    <cellStyle name="Note 2 11 2" xfId="11217" xr:uid="{00000000-0005-0000-0000-000004750000}"/>
    <cellStyle name="Note 2 12" xfId="30904" xr:uid="{00000000-0005-0000-0000-000005750000}"/>
    <cellStyle name="Note 2 2" xfId="12029" xr:uid="{00000000-0005-0000-0000-000006750000}"/>
    <cellStyle name="Note 2 2 10" xfId="19567" xr:uid="{00000000-0005-0000-0000-000007750000}"/>
    <cellStyle name="Note 2 2 10 2" xfId="30983" xr:uid="{00000000-0005-0000-0000-000008750000}"/>
    <cellStyle name="Note 2 2 11" xfId="4111" xr:uid="{00000000-0005-0000-0000-000009750000}"/>
    <cellStyle name="Note 2 2 2" xfId="31338" xr:uid="{00000000-0005-0000-0000-00000A750000}"/>
    <cellStyle name="Note 2 2 2 10" xfId="26116" xr:uid="{00000000-0005-0000-0000-00000B750000}"/>
    <cellStyle name="Note 2 2 2 2" xfId="25530" xr:uid="{00000000-0005-0000-0000-00000C750000}"/>
    <cellStyle name="Note 2 2 2 2 2" xfId="12831" xr:uid="{00000000-0005-0000-0000-00000D750000}"/>
    <cellStyle name="Note 2 2 2 2 2 2" xfId="16284" xr:uid="{00000000-0005-0000-0000-00000E750000}"/>
    <cellStyle name="Note 2 2 2 2 2 2 2" xfId="32785" xr:uid="{00000000-0005-0000-0000-00000F750000}"/>
    <cellStyle name="Note 2 2 2 2 2 2 2 2" xfId="33572" xr:uid="{00000000-0005-0000-0000-000010750000}"/>
    <cellStyle name="Note 2 2 2 2 2 2 2 2 2" xfId="31518" xr:uid="{00000000-0005-0000-0000-000011750000}"/>
    <cellStyle name="Note 2 2 2 2 2 2 2 2 2 2" xfId="2062" xr:uid="{00000000-0005-0000-0000-000012750000}"/>
    <cellStyle name="Note 2 2 2 2 2 2 2 2 2 2 2" xfId="30990" xr:uid="{00000000-0005-0000-0000-000013750000}"/>
    <cellStyle name="Note 2 2 2 2 2 2 2 2 2 2 2 2" xfId="3543" xr:uid="{00000000-0005-0000-0000-000014750000}"/>
    <cellStyle name="Note 2 2 2 2 2 2 2 2 2 2 3" xfId="29455" xr:uid="{00000000-0005-0000-0000-000015750000}"/>
    <cellStyle name="Note 2 2 2 2 2 2 2 2 2 3" xfId="15223" xr:uid="{00000000-0005-0000-0000-000016750000}"/>
    <cellStyle name="Note 2 2 2 2 2 2 2 2 2 3 2" xfId="2911" xr:uid="{00000000-0005-0000-0000-000017750000}"/>
    <cellStyle name="Note 2 2 2 2 2 2 2 2 2 4" xfId="21942" xr:uid="{00000000-0005-0000-0000-000018750000}"/>
    <cellStyle name="Note 2 2 2 2 2 2 2 2 3" xfId="10249" xr:uid="{00000000-0005-0000-0000-000019750000}"/>
    <cellStyle name="Note 2 2 2 2 2 2 2 2 3 2" xfId="29686" xr:uid="{00000000-0005-0000-0000-00001A750000}"/>
    <cellStyle name="Note 2 2 2 2 2 2 2 2 3 2 2" xfId="30993" xr:uid="{00000000-0005-0000-0000-00001B750000}"/>
    <cellStyle name="Note 2 2 2 2 2 2 2 2 3 3" xfId="30995" xr:uid="{00000000-0005-0000-0000-00001C750000}"/>
    <cellStyle name="Note 2 2 2 2 2 2 2 2 4" xfId="23160" xr:uid="{00000000-0005-0000-0000-00001D750000}"/>
    <cellStyle name="Note 2 2 2 2 2 2 2 2 4 2" xfId="24752" xr:uid="{00000000-0005-0000-0000-00001E750000}"/>
    <cellStyle name="Note 2 2 2 2 2 2 2 2 5" xfId="21692" xr:uid="{00000000-0005-0000-0000-00001F750000}"/>
    <cellStyle name="Note 2 2 2 2 2 2 2 3" xfId="21544" xr:uid="{00000000-0005-0000-0000-000020750000}"/>
    <cellStyle name="Note 2 2 2 2 2 2 2 3 2" xfId="33771" xr:uid="{00000000-0005-0000-0000-000021750000}"/>
    <cellStyle name="Note 2 2 2 2 2 2 2 3 2 2" xfId="15238" xr:uid="{00000000-0005-0000-0000-000022750000}"/>
    <cellStyle name="Note 2 2 2 2 2 2 2 3 2 2 2" xfId="7333" xr:uid="{00000000-0005-0000-0000-000023750000}"/>
    <cellStyle name="Note 2 2 2 2 2 2 2 3 2 3" xfId="32014" xr:uid="{00000000-0005-0000-0000-000024750000}"/>
    <cellStyle name="Note 2 2 2 2 2 2 2 3 3" xfId="26499" xr:uid="{00000000-0005-0000-0000-000025750000}"/>
    <cellStyle name="Note 2 2 2 2 2 2 2 3 3 2" xfId="28526" xr:uid="{00000000-0005-0000-0000-000026750000}"/>
    <cellStyle name="Note 2 2 2 2 2 2 2 3 4" xfId="32041" xr:uid="{00000000-0005-0000-0000-000027750000}"/>
    <cellStyle name="Note 2 2 2 2 2 2 2 4" xfId="31765" xr:uid="{00000000-0005-0000-0000-000028750000}"/>
    <cellStyle name="Note 2 2 2 2 2 2 2 4 2" xfId="31007" xr:uid="{00000000-0005-0000-0000-000029750000}"/>
    <cellStyle name="Note 2 2 2 2 2 2 2 4 2 2" xfId="27607" xr:uid="{00000000-0005-0000-0000-00002A750000}"/>
    <cellStyle name="Note 2 2 2 2 2 2 2 4 3" xfId="29390" xr:uid="{00000000-0005-0000-0000-00002B750000}"/>
    <cellStyle name="Note 2 2 2 2 2 2 2 5" xfId="31024" xr:uid="{00000000-0005-0000-0000-00002C750000}"/>
    <cellStyle name="Note 2 2 2 2 2 2 2 5 2" xfId="25977" xr:uid="{00000000-0005-0000-0000-00002D750000}"/>
    <cellStyle name="Note 2 2 2 2 2 2 2 6" xfId="13957" xr:uid="{00000000-0005-0000-0000-00002E750000}"/>
    <cellStyle name="Note 2 2 2 2 2 2 3" xfId="33280" xr:uid="{00000000-0005-0000-0000-00002F750000}"/>
    <cellStyle name="Note 2 2 2 2 2 2 3 2" xfId="23472" xr:uid="{00000000-0005-0000-0000-000030750000}"/>
    <cellStyle name="Note 2 2 2 2 2 2 3 2 2" xfId="30609" xr:uid="{00000000-0005-0000-0000-000031750000}"/>
    <cellStyle name="Note 2 2 2 2 2 2 3 2 2 2" xfId="15257" xr:uid="{00000000-0005-0000-0000-000032750000}"/>
    <cellStyle name="Note 2 2 2 2 2 2 3 2 2 2 2" xfId="31040" xr:uid="{00000000-0005-0000-0000-000033750000}"/>
    <cellStyle name="Note 2 2 2 2 2 2 3 2 2 3" xfId="31043" xr:uid="{00000000-0005-0000-0000-000034750000}"/>
    <cellStyle name="Note 2 2 2 2 2 2 3 2 3" xfId="31047" xr:uid="{00000000-0005-0000-0000-000035750000}"/>
    <cellStyle name="Note 2 2 2 2 2 2 3 2 3 2" xfId="12574" xr:uid="{00000000-0005-0000-0000-000036750000}"/>
    <cellStyle name="Note 2 2 2 2 2 2 3 2 4" xfId="23184" xr:uid="{00000000-0005-0000-0000-000037750000}"/>
    <cellStyle name="Note 2 2 2 2 2 2 3 3" xfId="32502" xr:uid="{00000000-0005-0000-0000-000038750000}"/>
    <cellStyle name="Note 2 2 2 2 2 2 3 3 2" xfId="25336" xr:uid="{00000000-0005-0000-0000-000039750000}"/>
    <cellStyle name="Note 2 2 2 2 2 2 3 3 2 2" xfId="30283" xr:uid="{00000000-0005-0000-0000-00003A750000}"/>
    <cellStyle name="Note 2 2 2 2 2 2 3 3 3" xfId="843" xr:uid="{00000000-0005-0000-0000-00003B750000}"/>
    <cellStyle name="Note 2 2 2 2 2 2 3 4" xfId="13047" xr:uid="{00000000-0005-0000-0000-00003C750000}"/>
    <cellStyle name="Note 2 2 2 2 2 2 3 4 2" xfId="19896" xr:uid="{00000000-0005-0000-0000-00003D750000}"/>
    <cellStyle name="Note 2 2 2 2 2 2 3 5" xfId="30243" xr:uid="{00000000-0005-0000-0000-00003E750000}"/>
    <cellStyle name="Note 2 2 2 2 2 2 4" xfId="16197" xr:uid="{00000000-0005-0000-0000-00003F750000}"/>
    <cellStyle name="Note 2 2 2 2 2 2 4 2" xfId="33753" xr:uid="{00000000-0005-0000-0000-000040750000}"/>
    <cellStyle name="Note 2 2 2 2 2 2 4 2 2" xfId="31059" xr:uid="{00000000-0005-0000-0000-000041750000}"/>
    <cellStyle name="Note 2 2 2 2 2 2 4 2 2 2" xfId="15228" xr:uid="{00000000-0005-0000-0000-000042750000}"/>
    <cellStyle name="Note 2 2 2 2 2 2 4 2 3" xfId="31067" xr:uid="{00000000-0005-0000-0000-000043750000}"/>
    <cellStyle name="Note 2 2 2 2 2 2 4 3" xfId="6515" xr:uid="{00000000-0005-0000-0000-000044750000}"/>
    <cellStyle name="Note 2 2 2 2 2 2 4 3 2" xfId="20194" xr:uid="{00000000-0005-0000-0000-000045750000}"/>
    <cellStyle name="Note 2 2 2 2 2 2 4 4" xfId="31072" xr:uid="{00000000-0005-0000-0000-000046750000}"/>
    <cellStyle name="Note 2 2 2 2 2 2 5" xfId="8826" xr:uid="{00000000-0005-0000-0000-000047750000}"/>
    <cellStyle name="Note 2 2 2 2 2 2 5 2" xfId="31075" xr:uid="{00000000-0005-0000-0000-000048750000}"/>
    <cellStyle name="Note 2 2 2 2 2 2 5 2 2" xfId="28491" xr:uid="{00000000-0005-0000-0000-000049750000}"/>
    <cellStyle name="Note 2 2 2 2 2 2 5 3" xfId="32283" xr:uid="{00000000-0005-0000-0000-00004A750000}"/>
    <cellStyle name="Note 2 2 2 2 2 2 6" xfId="33333" xr:uid="{00000000-0005-0000-0000-00004B750000}"/>
    <cellStyle name="Note 2 2 2 2 2 2 6 2" xfId="33115" xr:uid="{00000000-0005-0000-0000-00004C750000}"/>
    <cellStyle name="Note 2 2 2 2 2 2 7" xfId="33117" xr:uid="{00000000-0005-0000-0000-00004D750000}"/>
    <cellStyle name="Note 2 2 2 2 2 3" xfId="32789" xr:uid="{00000000-0005-0000-0000-00004E750000}"/>
    <cellStyle name="Note 2 2 2 2 2 3 2" xfId="33508" xr:uid="{00000000-0005-0000-0000-00004F750000}"/>
    <cellStyle name="Note 2 2 2 2 2 3 2 2" xfId="33515" xr:uid="{00000000-0005-0000-0000-000050750000}"/>
    <cellStyle name="Note 2 2 2 2 2 3 2 2 2" xfId="31078" xr:uid="{00000000-0005-0000-0000-000051750000}"/>
    <cellStyle name="Note 2 2 2 2 2 3 2 2 2 2" xfId="8303" xr:uid="{00000000-0005-0000-0000-000052750000}"/>
    <cellStyle name="Note 2 2 2 2 2 3 2 2 2 2 2" xfId="27591" xr:uid="{00000000-0005-0000-0000-000053750000}"/>
    <cellStyle name="Note 2 2 2 2 2 3 2 2 2 3" xfId="31079" xr:uid="{00000000-0005-0000-0000-000054750000}"/>
    <cellStyle name="Note 2 2 2 2 2 3 2 2 3" xfId="31082" xr:uid="{00000000-0005-0000-0000-000055750000}"/>
    <cellStyle name="Note 2 2 2 2 2 3 2 2 3 2" xfId="29758" xr:uid="{00000000-0005-0000-0000-000056750000}"/>
    <cellStyle name="Note 2 2 2 2 2 3 2 2 4" xfId="32060" xr:uid="{00000000-0005-0000-0000-000057750000}"/>
    <cellStyle name="Note 2 2 2 2 2 3 2 3" xfId="28657" xr:uid="{00000000-0005-0000-0000-000058750000}"/>
    <cellStyle name="Note 2 2 2 2 2 3 2 3 2" xfId="24009" xr:uid="{00000000-0005-0000-0000-000059750000}"/>
    <cellStyle name="Note 2 2 2 2 2 3 2 3 2 2" xfId="28659" xr:uid="{00000000-0005-0000-0000-00005A750000}"/>
    <cellStyle name="Note 2 2 2 2 2 3 2 3 3" xfId="28669" xr:uid="{00000000-0005-0000-0000-00005B750000}"/>
    <cellStyle name="Note 2 2 2 2 2 3 2 4" xfId="28129" xr:uid="{00000000-0005-0000-0000-00005C750000}"/>
    <cellStyle name="Note 2 2 2 2 2 3 2 4 2" xfId="27798" xr:uid="{00000000-0005-0000-0000-00005D750000}"/>
    <cellStyle name="Note 2 2 2 2 2 3 2 5" xfId="14305" xr:uid="{00000000-0005-0000-0000-00005E750000}"/>
    <cellStyle name="Note 2 2 2 2 2 3 3" xfId="33196" xr:uid="{00000000-0005-0000-0000-00005F750000}"/>
    <cellStyle name="Note 2 2 2 2 2 3 3 2" xfId="32611" xr:uid="{00000000-0005-0000-0000-000060750000}"/>
    <cellStyle name="Note 2 2 2 2 2 3 3 2 2" xfId="23951" xr:uid="{00000000-0005-0000-0000-000061750000}"/>
    <cellStyle name="Note 2 2 2 2 2 3 3 2 2 2" xfId="33496" xr:uid="{00000000-0005-0000-0000-000062750000}"/>
    <cellStyle name="Note 2 2 2 2 2 3 3 2 3" xfId="32349" xr:uid="{00000000-0005-0000-0000-000063750000}"/>
    <cellStyle name="Note 2 2 2 2 2 3 3 3" xfId="19024" xr:uid="{00000000-0005-0000-0000-000064750000}"/>
    <cellStyle name="Note 2 2 2 2 2 3 3 3 2" xfId="25943" xr:uid="{00000000-0005-0000-0000-000065750000}"/>
    <cellStyle name="Note 2 2 2 2 2 3 3 4" xfId="21776" xr:uid="{00000000-0005-0000-0000-000066750000}"/>
    <cellStyle name="Note 2 2 2 2 2 3 4" xfId="16248" xr:uid="{00000000-0005-0000-0000-000067750000}"/>
    <cellStyle name="Note 2 2 2 2 2 3 4 2" xfId="10963" xr:uid="{00000000-0005-0000-0000-000068750000}"/>
    <cellStyle name="Note 2 2 2 2 2 3 4 2 2" xfId="6718" xr:uid="{00000000-0005-0000-0000-000069750000}"/>
    <cellStyle name="Note 2 2 2 2 2 3 4 3" xfId="8931" xr:uid="{00000000-0005-0000-0000-00006A750000}"/>
    <cellStyle name="Note 2 2 2 2 2 3 5" xfId="31084" xr:uid="{00000000-0005-0000-0000-00006B750000}"/>
    <cellStyle name="Note 2 2 2 2 2 3 5 2" xfId="8932" xr:uid="{00000000-0005-0000-0000-00006C750000}"/>
    <cellStyle name="Note 2 2 2 2 2 3 6" xfId="31085" xr:uid="{00000000-0005-0000-0000-00006D750000}"/>
    <cellStyle name="Note 2 2 2 2 2 4" xfId="8196" xr:uid="{00000000-0005-0000-0000-00006E750000}"/>
    <cellStyle name="Note 2 2 2 2 2 4 2" xfId="3539" xr:uid="{00000000-0005-0000-0000-00006F750000}"/>
    <cellStyle name="Note 2 2 2 2 2 4 2 2" xfId="33746" xr:uid="{00000000-0005-0000-0000-000070750000}"/>
    <cellStyle name="Note 2 2 2 2 2 4 2 2 2" xfId="9285" xr:uid="{00000000-0005-0000-0000-000071750000}"/>
    <cellStyle name="Note 2 2 2 2 2 4 2 2 2 2" xfId="24402" xr:uid="{00000000-0005-0000-0000-000072750000}"/>
    <cellStyle name="Note 2 2 2 2 2 4 2 2 3" xfId="9287" xr:uid="{00000000-0005-0000-0000-000073750000}"/>
    <cellStyle name="Note 2 2 2 2 2 4 2 3" xfId="29153" xr:uid="{00000000-0005-0000-0000-000074750000}"/>
    <cellStyle name="Note 2 2 2 2 2 4 2 3 2" xfId="9296" xr:uid="{00000000-0005-0000-0000-000075750000}"/>
    <cellStyle name="Note 2 2 2 2 2 4 2 4" xfId="3565" xr:uid="{00000000-0005-0000-0000-000076750000}"/>
    <cellStyle name="Note 2 2 2 2 2 4 3" xfId="4282" xr:uid="{00000000-0005-0000-0000-000077750000}"/>
    <cellStyle name="Note 2 2 2 2 2 4 3 2" xfId="21676" xr:uid="{00000000-0005-0000-0000-000078750000}"/>
    <cellStyle name="Note 2 2 2 2 2 4 3 2 2" xfId="9407" xr:uid="{00000000-0005-0000-0000-000079750000}"/>
    <cellStyle name="Note 2 2 2 2 2 4 3 3" xfId="23254" xr:uid="{00000000-0005-0000-0000-00007A750000}"/>
    <cellStyle name="Note 2 2 2 2 2 4 4" xfId="3060" xr:uid="{00000000-0005-0000-0000-00007B750000}"/>
    <cellStyle name="Note 2 2 2 2 2 4 4 2" xfId="8940" xr:uid="{00000000-0005-0000-0000-00007C750000}"/>
    <cellStyle name="Note 2 2 2 2 2 4 5" xfId="31093" xr:uid="{00000000-0005-0000-0000-00007D750000}"/>
    <cellStyle name="Note 2 2 2 2 2 5" xfId="6026" xr:uid="{00000000-0005-0000-0000-00007E750000}"/>
    <cellStyle name="Note 2 2 2 2 2 5 2" xfId="3557" xr:uid="{00000000-0005-0000-0000-00007F750000}"/>
    <cellStyle name="Note 2 2 2 2 2 5 2 2" xfId="31095" xr:uid="{00000000-0005-0000-0000-000080750000}"/>
    <cellStyle name="Note 2 2 2 2 2 5 2 2 2" xfId="9349" xr:uid="{00000000-0005-0000-0000-000081750000}"/>
    <cellStyle name="Note 2 2 2 2 2 5 2 3" xfId="30653" xr:uid="{00000000-0005-0000-0000-000082750000}"/>
    <cellStyle name="Note 2 2 2 2 2 5 3" xfId="3073" xr:uid="{00000000-0005-0000-0000-000083750000}"/>
    <cellStyle name="Note 2 2 2 2 2 5 3 2" xfId="24102" xr:uid="{00000000-0005-0000-0000-000084750000}"/>
    <cellStyle name="Note 2 2 2 2 2 5 4" xfId="31787" xr:uid="{00000000-0005-0000-0000-000085750000}"/>
    <cellStyle name="Note 2 2 2 2 2 6" xfId="5008" xr:uid="{00000000-0005-0000-0000-000086750000}"/>
    <cellStyle name="Note 2 2 2 2 2 6 2" xfId="14492" xr:uid="{00000000-0005-0000-0000-000087750000}"/>
    <cellStyle name="Note 2 2 2 2 2 6 2 2" xfId="31097" xr:uid="{00000000-0005-0000-0000-000088750000}"/>
    <cellStyle name="Note 2 2 2 2 2 6 3" xfId="31099" xr:uid="{00000000-0005-0000-0000-000089750000}"/>
    <cellStyle name="Note 2 2 2 2 2 7" xfId="8179" xr:uid="{00000000-0005-0000-0000-00008A750000}"/>
    <cellStyle name="Note 2 2 2 2 2 7 2" xfId="31101" xr:uid="{00000000-0005-0000-0000-00008B750000}"/>
    <cellStyle name="Note 2 2 2 2 2 8" xfId="31294" xr:uid="{00000000-0005-0000-0000-00008C750000}"/>
    <cellStyle name="Note 2 2 2 2 3" xfId="11497" xr:uid="{00000000-0005-0000-0000-00008D750000}"/>
    <cellStyle name="Note 2 2 2 2 3 2" xfId="29580" xr:uid="{00000000-0005-0000-0000-00008E750000}"/>
    <cellStyle name="Note 2 2 2 2 3 2 2" xfId="33523" xr:uid="{00000000-0005-0000-0000-00008F750000}"/>
    <cellStyle name="Note 2 2 2 2 3 2 2 2" xfId="30512" xr:uid="{00000000-0005-0000-0000-000090750000}"/>
    <cellStyle name="Note 2 2 2 2 3 2 2 2 2" xfId="31508" xr:uid="{00000000-0005-0000-0000-000091750000}"/>
    <cellStyle name="Note 2 2 2 2 3 2 2 2 2 2" xfId="15916" xr:uid="{00000000-0005-0000-0000-000092750000}"/>
    <cellStyle name="Note 2 2 2 2 3 2 2 2 2 2 2" xfId="26325" xr:uid="{00000000-0005-0000-0000-000093750000}"/>
    <cellStyle name="Note 2 2 2 2 3 2 2 2 2 3" xfId="32366" xr:uid="{00000000-0005-0000-0000-000094750000}"/>
    <cellStyle name="Note 2 2 2 2 3 2 2 2 3" xfId="30519" xr:uid="{00000000-0005-0000-0000-000095750000}"/>
    <cellStyle name="Note 2 2 2 2 3 2 2 2 3 2" xfId="33377" xr:uid="{00000000-0005-0000-0000-000096750000}"/>
    <cellStyle name="Note 2 2 2 2 3 2 2 2 4" xfId="25523" xr:uid="{00000000-0005-0000-0000-000097750000}"/>
    <cellStyle name="Note 2 2 2 2 3 2 2 3" xfId="23586" xr:uid="{00000000-0005-0000-0000-000098750000}"/>
    <cellStyle name="Note 2 2 2 2 3 2 2 3 2" xfId="31949" xr:uid="{00000000-0005-0000-0000-000099750000}"/>
    <cellStyle name="Note 2 2 2 2 3 2 2 3 2 2" xfId="29865" xr:uid="{00000000-0005-0000-0000-00009A750000}"/>
    <cellStyle name="Note 2 2 2 2 3 2 2 3 3" xfId="30784" xr:uid="{00000000-0005-0000-0000-00009B750000}"/>
    <cellStyle name="Note 2 2 2 2 3 2 2 4" xfId="23593" xr:uid="{00000000-0005-0000-0000-00009C750000}"/>
    <cellStyle name="Note 2 2 2 2 3 2 2 4 2" xfId="21012" xr:uid="{00000000-0005-0000-0000-00009D750000}"/>
    <cellStyle name="Note 2 2 2 2 3 2 2 5" xfId="23598" xr:uid="{00000000-0005-0000-0000-00009E750000}"/>
    <cellStyle name="Note 2 2 2 2 3 2 3" xfId="34016" xr:uid="{00000000-0005-0000-0000-00009F750000}"/>
    <cellStyle name="Note 2 2 2 2 3 2 3 2" xfId="31106" xr:uid="{00000000-0005-0000-0000-0000A0750000}"/>
    <cellStyle name="Note 2 2 2 2 3 2 3 2 2" xfId="31110" xr:uid="{00000000-0005-0000-0000-0000A1750000}"/>
    <cellStyle name="Note 2 2 2 2 3 2 3 2 2 2" xfId="32026" xr:uid="{00000000-0005-0000-0000-0000A2750000}"/>
    <cellStyle name="Note 2 2 2 2 3 2 3 2 3" xfId="33185" xr:uid="{00000000-0005-0000-0000-0000A3750000}"/>
    <cellStyle name="Note 2 2 2 2 3 2 3 3" xfId="23602" xr:uid="{00000000-0005-0000-0000-0000A4750000}"/>
    <cellStyle name="Note 2 2 2 2 3 2 3 3 2" xfId="10203" xr:uid="{00000000-0005-0000-0000-0000A5750000}"/>
    <cellStyle name="Note 2 2 2 2 3 2 3 4" xfId="23608" xr:uid="{00000000-0005-0000-0000-0000A6750000}"/>
    <cellStyle name="Note 2 2 2 2 3 2 4" xfId="16367" xr:uid="{00000000-0005-0000-0000-0000A7750000}"/>
    <cellStyle name="Note 2 2 2 2 3 2 4 2" xfId="31111" xr:uid="{00000000-0005-0000-0000-0000A8750000}"/>
    <cellStyle name="Note 2 2 2 2 3 2 4 2 2" xfId="31112" xr:uid="{00000000-0005-0000-0000-0000A9750000}"/>
    <cellStyle name="Note 2 2 2 2 3 2 4 3" xfId="28361" xr:uid="{00000000-0005-0000-0000-0000AA750000}"/>
    <cellStyle name="Note 2 2 2 2 3 2 5" xfId="33664" xr:uid="{00000000-0005-0000-0000-0000AB750000}"/>
    <cellStyle name="Note 2 2 2 2 3 2 5 2" xfId="23944" xr:uid="{00000000-0005-0000-0000-0000AC750000}"/>
    <cellStyle name="Note 2 2 2 2 3 2 6" xfId="33119" xr:uid="{00000000-0005-0000-0000-0000AD750000}"/>
    <cellStyle name="Note 2 2 2 2 3 3" xfId="33569" xr:uid="{00000000-0005-0000-0000-0000AE750000}"/>
    <cellStyle name="Note 2 2 2 2 3 3 2" xfId="33036" xr:uid="{00000000-0005-0000-0000-0000AF750000}"/>
    <cellStyle name="Note 2 2 2 2 3 3 2 2" xfId="33291" xr:uid="{00000000-0005-0000-0000-0000B0750000}"/>
    <cellStyle name="Note 2 2 2 2 3 3 2 2 2" xfId="30192" xr:uid="{00000000-0005-0000-0000-0000B1750000}"/>
    <cellStyle name="Note 2 2 2 2 3 3 2 2 2 2" xfId="30398" xr:uid="{00000000-0005-0000-0000-0000B2750000}"/>
    <cellStyle name="Note 2 2 2 2 3 3 2 2 3" xfId="33940" xr:uid="{00000000-0005-0000-0000-0000B3750000}"/>
    <cellStyle name="Note 2 2 2 2 3 3 2 3" xfId="31119" xr:uid="{00000000-0005-0000-0000-0000B4750000}"/>
    <cellStyle name="Note 2 2 2 2 3 3 2 3 2" xfId="33211" xr:uid="{00000000-0005-0000-0000-0000B5750000}"/>
    <cellStyle name="Note 2 2 2 2 3 3 2 4" xfId="31120" xr:uid="{00000000-0005-0000-0000-0000B6750000}"/>
    <cellStyle name="Note 2 2 2 2 3 3 3" xfId="33354" xr:uid="{00000000-0005-0000-0000-0000B7750000}"/>
    <cellStyle name="Note 2 2 2 2 3 3 3 2" xfId="31121" xr:uid="{00000000-0005-0000-0000-0000B8750000}"/>
    <cellStyle name="Note 2 2 2 2 3 3 3 2 2" xfId="11560" xr:uid="{00000000-0005-0000-0000-0000B9750000}"/>
    <cellStyle name="Note 2 2 2 2 3 3 3 3" xfId="28728" xr:uid="{00000000-0005-0000-0000-0000BA750000}"/>
    <cellStyle name="Note 2 2 2 2 3 3 4" xfId="31144" xr:uid="{00000000-0005-0000-0000-0000BB750000}"/>
    <cellStyle name="Note 2 2 2 2 3 3 4 2" xfId="8948" xr:uid="{00000000-0005-0000-0000-0000BC750000}"/>
    <cellStyle name="Note 2 2 2 2 3 3 5" xfId="31145" xr:uid="{00000000-0005-0000-0000-0000BD750000}"/>
    <cellStyle name="Note 2 2 2 2 3 4" xfId="11508" xr:uid="{00000000-0005-0000-0000-0000BE750000}"/>
    <cellStyle name="Note 2 2 2 2 3 4 2" xfId="7472" xr:uid="{00000000-0005-0000-0000-0000BF750000}"/>
    <cellStyle name="Note 2 2 2 2 3 4 2 2" xfId="31130" xr:uid="{00000000-0005-0000-0000-0000C0750000}"/>
    <cellStyle name="Note 2 2 2 2 3 4 2 2 2" xfId="9424" xr:uid="{00000000-0005-0000-0000-0000C1750000}"/>
    <cellStyle name="Note 2 2 2 2 3 4 2 3" xfId="31132" xr:uid="{00000000-0005-0000-0000-0000C2750000}"/>
    <cellStyle name="Note 2 2 2 2 3 4 3" xfId="7398" xr:uid="{00000000-0005-0000-0000-0000C3750000}"/>
    <cellStyle name="Note 2 2 2 2 3 4 3 2" xfId="24280" xr:uid="{00000000-0005-0000-0000-0000C4750000}"/>
    <cellStyle name="Note 2 2 2 2 3 4 4" xfId="31153" xr:uid="{00000000-0005-0000-0000-0000C5750000}"/>
    <cellStyle name="Note 2 2 2 2 3 5" xfId="13068" xr:uid="{00000000-0005-0000-0000-0000C6750000}"/>
    <cellStyle name="Note 2 2 2 2 3 5 2" xfId="3583" xr:uid="{00000000-0005-0000-0000-0000C7750000}"/>
    <cellStyle name="Note 2 2 2 2 3 5 2 2" xfId="31136" xr:uid="{00000000-0005-0000-0000-0000C8750000}"/>
    <cellStyle name="Note 2 2 2 2 3 5 3" xfId="31160" xr:uid="{00000000-0005-0000-0000-0000C9750000}"/>
    <cellStyle name="Note 2 2 2 2 3 6" xfId="4052" xr:uid="{00000000-0005-0000-0000-0000CA750000}"/>
    <cellStyle name="Note 2 2 2 2 3 6 2" xfId="31142" xr:uid="{00000000-0005-0000-0000-0000CB750000}"/>
    <cellStyle name="Note 2 2 2 2 3 7" xfId="31143" xr:uid="{00000000-0005-0000-0000-0000CC750000}"/>
    <cellStyle name="Note 2 2 2 2 4" xfId="31289" xr:uid="{00000000-0005-0000-0000-0000CD750000}"/>
    <cellStyle name="Note 2 2 2 2 4 2" xfId="33627" xr:uid="{00000000-0005-0000-0000-0000CE750000}"/>
    <cellStyle name="Note 2 2 2 2 4 2 2" xfId="21928" xr:uid="{00000000-0005-0000-0000-0000CF750000}"/>
    <cellStyle name="Note 2 2 2 2 4 2 2 2" xfId="33355" xr:uid="{00000000-0005-0000-0000-0000D0750000}"/>
    <cellStyle name="Note 2 2 2 2 4 2 2 2 2" xfId="2016" xr:uid="{00000000-0005-0000-0000-0000D1750000}"/>
    <cellStyle name="Note 2 2 2 2 4 2 2 2 2 2" xfId="13391" xr:uid="{00000000-0005-0000-0000-0000D2750000}"/>
    <cellStyle name="Note 2 2 2 2 4 2 2 2 3" xfId="386" xr:uid="{00000000-0005-0000-0000-0000D3750000}"/>
    <cellStyle name="Note 2 2 2 2 4 2 2 3" xfId="27469" xr:uid="{00000000-0005-0000-0000-0000D4750000}"/>
    <cellStyle name="Note 2 2 2 2 4 2 2 3 2" xfId="21469" xr:uid="{00000000-0005-0000-0000-0000D5750000}"/>
    <cellStyle name="Note 2 2 2 2 4 2 2 4" xfId="31147" xr:uid="{00000000-0005-0000-0000-0000D6750000}"/>
    <cellStyle name="Note 2 2 2 2 4 2 3" xfId="11152" xr:uid="{00000000-0005-0000-0000-0000D7750000}"/>
    <cellStyle name="Note 2 2 2 2 4 2 3 2" xfId="31151" xr:uid="{00000000-0005-0000-0000-0000D8750000}"/>
    <cellStyle name="Note 2 2 2 2 4 2 3 2 2" xfId="352" xr:uid="{00000000-0005-0000-0000-0000D9750000}"/>
    <cellStyle name="Note 2 2 2 2 4 2 3 3" xfId="27291" xr:uid="{00000000-0005-0000-0000-0000DA750000}"/>
    <cellStyle name="Note 2 2 2 2 4 2 4" xfId="23572" xr:uid="{00000000-0005-0000-0000-0000DB750000}"/>
    <cellStyle name="Note 2 2 2 2 4 2 4 2" xfId="31164" xr:uid="{00000000-0005-0000-0000-0000DC750000}"/>
    <cellStyle name="Note 2 2 2 2 4 2 5" xfId="26373" xr:uid="{00000000-0005-0000-0000-0000DD750000}"/>
    <cellStyle name="Note 2 2 2 2 4 3" xfId="3156" xr:uid="{00000000-0005-0000-0000-0000DE750000}"/>
    <cellStyle name="Note 2 2 2 2 4 3 2" xfId="23981" xr:uid="{00000000-0005-0000-0000-0000DF750000}"/>
    <cellStyle name="Note 2 2 2 2 4 3 2 2" xfId="28796" xr:uid="{00000000-0005-0000-0000-0000E0750000}"/>
    <cellStyle name="Note 2 2 2 2 4 3 2 2 2" xfId="30881" xr:uid="{00000000-0005-0000-0000-0000E1750000}"/>
    <cellStyle name="Note 2 2 2 2 4 3 2 3" xfId="32902" xr:uid="{00000000-0005-0000-0000-0000E2750000}"/>
    <cellStyle name="Note 2 2 2 2 4 3 3" xfId="20723" xr:uid="{00000000-0005-0000-0000-0000E3750000}"/>
    <cellStyle name="Note 2 2 2 2 4 3 3 2" xfId="28823" xr:uid="{00000000-0005-0000-0000-0000E4750000}"/>
    <cellStyle name="Note 2 2 2 2 4 3 4" xfId="32904" xr:uid="{00000000-0005-0000-0000-0000E5750000}"/>
    <cellStyle name="Note 2 2 2 2 4 4" xfId="24460" xr:uid="{00000000-0005-0000-0000-0000E6750000}"/>
    <cellStyle name="Note 2 2 2 2 4 4 2" xfId="10952" xr:uid="{00000000-0005-0000-0000-0000E7750000}"/>
    <cellStyle name="Note 2 2 2 2 4 4 2 2" xfId="31165" xr:uid="{00000000-0005-0000-0000-0000E8750000}"/>
    <cellStyle name="Note 2 2 2 2 4 4 3" xfId="31170" xr:uid="{00000000-0005-0000-0000-0000E9750000}"/>
    <cellStyle name="Note 2 2 2 2 4 5" xfId="5883" xr:uid="{00000000-0005-0000-0000-0000EA750000}"/>
    <cellStyle name="Note 2 2 2 2 4 5 2" xfId="31772" xr:uid="{00000000-0005-0000-0000-0000EB750000}"/>
    <cellStyle name="Note 2 2 2 2 4 6" xfId="31178" xr:uid="{00000000-0005-0000-0000-0000EC750000}"/>
    <cellStyle name="Note 2 2 2 2 5" xfId="27625" xr:uid="{00000000-0005-0000-0000-0000ED750000}"/>
    <cellStyle name="Note 2 2 2 2 5 2" xfId="31834" xr:uid="{00000000-0005-0000-0000-0000EE750000}"/>
    <cellStyle name="Note 2 2 2 2 5 2 2" xfId="31840" xr:uid="{00000000-0005-0000-0000-0000EF750000}"/>
    <cellStyle name="Note 2 2 2 2 5 2 2 2" xfId="32608" xr:uid="{00000000-0005-0000-0000-0000F0750000}"/>
    <cellStyle name="Note 2 2 2 2 5 2 2 2 2" xfId="31311" xr:uid="{00000000-0005-0000-0000-0000F1750000}"/>
    <cellStyle name="Note 2 2 2 2 5 2 2 3" xfId="9030" xr:uid="{00000000-0005-0000-0000-0000F2750000}"/>
    <cellStyle name="Note 2 2 2 2 5 2 3" xfId="11441" xr:uid="{00000000-0005-0000-0000-0000F3750000}"/>
    <cellStyle name="Note 2 2 2 2 5 2 3 2" xfId="31185" xr:uid="{00000000-0005-0000-0000-0000F4750000}"/>
    <cellStyle name="Note 2 2 2 2 5 2 4" xfId="25762" xr:uid="{00000000-0005-0000-0000-0000F5750000}"/>
    <cellStyle name="Note 2 2 2 2 5 3" xfId="26789" xr:uid="{00000000-0005-0000-0000-0000F6750000}"/>
    <cellStyle name="Note 2 2 2 2 5 3 2" xfId="3723" xr:uid="{00000000-0005-0000-0000-0000F7750000}"/>
    <cellStyle name="Note 2 2 2 2 5 3 2 2" xfId="31333" xr:uid="{00000000-0005-0000-0000-0000F8750000}"/>
    <cellStyle name="Note 2 2 2 2 5 3 3" xfId="25779" xr:uid="{00000000-0005-0000-0000-0000F9750000}"/>
    <cellStyle name="Note 2 2 2 2 5 4" xfId="5935" xr:uid="{00000000-0005-0000-0000-0000FA750000}"/>
    <cellStyle name="Note 2 2 2 2 5 4 2" xfId="25786" xr:uid="{00000000-0005-0000-0000-0000FB750000}"/>
    <cellStyle name="Note 2 2 2 2 5 5" xfId="27197" xr:uid="{00000000-0005-0000-0000-0000FC750000}"/>
    <cellStyle name="Note 2 2 2 2 6" xfId="31838" xr:uid="{00000000-0005-0000-0000-0000FD750000}"/>
    <cellStyle name="Note 2 2 2 2 6 2" xfId="29701" xr:uid="{00000000-0005-0000-0000-0000FE750000}"/>
    <cellStyle name="Note 2 2 2 2 6 2 2" xfId="3734" xr:uid="{00000000-0005-0000-0000-0000FF750000}"/>
    <cellStyle name="Note 2 2 2 2 6 2 2 2" xfId="31190" xr:uid="{00000000-0005-0000-0000-000000760000}"/>
    <cellStyle name="Note 2 2 2 2 6 2 3" xfId="25843" xr:uid="{00000000-0005-0000-0000-000001760000}"/>
    <cellStyle name="Note 2 2 2 2 6 3" xfId="31193" xr:uid="{00000000-0005-0000-0000-000002760000}"/>
    <cellStyle name="Note 2 2 2 2 6 3 2" xfId="3099" xr:uid="{00000000-0005-0000-0000-000003760000}"/>
    <cellStyle name="Note 2 2 2 2 6 4" xfId="31197" xr:uid="{00000000-0005-0000-0000-000004760000}"/>
    <cellStyle name="Note 2 2 2 2 7" xfId="30892" xr:uid="{00000000-0005-0000-0000-000005760000}"/>
    <cellStyle name="Note 2 2 2 2 7 2" xfId="5399" xr:uid="{00000000-0005-0000-0000-000006760000}"/>
    <cellStyle name="Note 2 2 2 2 7 2 2" xfId="25874" xr:uid="{00000000-0005-0000-0000-000007760000}"/>
    <cellStyle name="Note 2 2 2 2 7 3" xfId="31198" xr:uid="{00000000-0005-0000-0000-000008760000}"/>
    <cellStyle name="Note 2 2 2 2 8" xfId="31786" xr:uid="{00000000-0005-0000-0000-000009760000}"/>
    <cellStyle name="Note 2 2 2 2 8 2" xfId="31199" xr:uid="{00000000-0005-0000-0000-00000A760000}"/>
    <cellStyle name="Note 2 2 2 2 9" xfId="121" xr:uid="{00000000-0005-0000-0000-00000B760000}"/>
    <cellStyle name="Note 2 2 2 3" xfId="32680" xr:uid="{00000000-0005-0000-0000-00000C760000}"/>
    <cellStyle name="Note 2 2 2 3 2" xfId="13073" xr:uid="{00000000-0005-0000-0000-00000D760000}"/>
    <cellStyle name="Note 2 2 2 3 2 2" xfId="31208" xr:uid="{00000000-0005-0000-0000-00000E760000}"/>
    <cellStyle name="Note 2 2 2 3 2 2 2" xfId="23384" xr:uid="{00000000-0005-0000-0000-00000F760000}"/>
    <cellStyle name="Note 2 2 2 3 2 2 2 2" xfId="32160" xr:uid="{00000000-0005-0000-0000-000010760000}"/>
    <cellStyle name="Note 2 2 2 3 2 2 2 2 2" xfId="31756" xr:uid="{00000000-0005-0000-0000-000011760000}"/>
    <cellStyle name="Note 2 2 2 3 2 2 2 2 2 2" xfId="15642" xr:uid="{00000000-0005-0000-0000-000012760000}"/>
    <cellStyle name="Note 2 2 2 3 2 2 2 2 2 2 2" xfId="30136" xr:uid="{00000000-0005-0000-0000-000013760000}"/>
    <cellStyle name="Note 2 2 2 3 2 2 2 2 2 3" xfId="17328" xr:uid="{00000000-0005-0000-0000-000014760000}"/>
    <cellStyle name="Note 2 2 2 3 2 2 2 2 3" xfId="8775" xr:uid="{00000000-0005-0000-0000-000015760000}"/>
    <cellStyle name="Note 2 2 2 3 2 2 2 2 3 2" xfId="17332" xr:uid="{00000000-0005-0000-0000-000016760000}"/>
    <cellStyle name="Note 2 2 2 3 2 2 2 2 4" xfId="30629" xr:uid="{00000000-0005-0000-0000-000017760000}"/>
    <cellStyle name="Note 2 2 2 3 2 2 2 3" xfId="31217" xr:uid="{00000000-0005-0000-0000-000018760000}"/>
    <cellStyle name="Note 2 2 2 3 2 2 2 3 2" xfId="12314" xr:uid="{00000000-0005-0000-0000-000019760000}"/>
    <cellStyle name="Note 2 2 2 3 2 2 2 3 2 2" xfId="17344" xr:uid="{00000000-0005-0000-0000-00001A760000}"/>
    <cellStyle name="Note 2 2 2 3 2 2 2 3 3" xfId="13506" xr:uid="{00000000-0005-0000-0000-00001B760000}"/>
    <cellStyle name="Note 2 2 2 3 2 2 2 4" xfId="9115" xr:uid="{00000000-0005-0000-0000-00001C760000}"/>
    <cellStyle name="Note 2 2 2 3 2 2 2 4 2" xfId="13513" xr:uid="{00000000-0005-0000-0000-00001D760000}"/>
    <cellStyle name="Note 2 2 2 3 2 2 2 5" xfId="22774" xr:uid="{00000000-0005-0000-0000-00001E760000}"/>
    <cellStyle name="Note 2 2 2 3 2 2 3" xfId="23392" xr:uid="{00000000-0005-0000-0000-00001F760000}"/>
    <cellStyle name="Note 2 2 2 3 2 2 3 2" xfId="31226" xr:uid="{00000000-0005-0000-0000-000020760000}"/>
    <cellStyle name="Note 2 2 2 3 2 2 3 2 2" xfId="26463" xr:uid="{00000000-0005-0000-0000-000021760000}"/>
    <cellStyle name="Note 2 2 2 3 2 2 3 2 2 2" xfId="17362" xr:uid="{00000000-0005-0000-0000-000022760000}"/>
    <cellStyle name="Note 2 2 2 3 2 2 3 2 3" xfId="33635" xr:uid="{00000000-0005-0000-0000-000023760000}"/>
    <cellStyle name="Note 2 2 2 3 2 2 3 3" xfId="31230" xr:uid="{00000000-0005-0000-0000-000024760000}"/>
    <cellStyle name="Note 2 2 2 3 2 2 3 3 2" xfId="10405" xr:uid="{00000000-0005-0000-0000-000025760000}"/>
    <cellStyle name="Note 2 2 2 3 2 2 3 4" xfId="24042" xr:uid="{00000000-0005-0000-0000-000026760000}"/>
    <cellStyle name="Note 2 2 2 3 2 2 4" xfId="18127" xr:uid="{00000000-0005-0000-0000-000027760000}"/>
    <cellStyle name="Note 2 2 2 3 2 2 4 2" xfId="31235" xr:uid="{00000000-0005-0000-0000-000028760000}"/>
    <cellStyle name="Note 2 2 2 3 2 2 4 2 2" xfId="26486" xr:uid="{00000000-0005-0000-0000-000029760000}"/>
    <cellStyle name="Note 2 2 2 3 2 2 4 3" xfId="23768" xr:uid="{00000000-0005-0000-0000-00002A760000}"/>
    <cellStyle name="Note 2 2 2 3 2 2 5" xfId="28908" xr:uid="{00000000-0005-0000-0000-00002B760000}"/>
    <cellStyle name="Note 2 2 2 3 2 2 5 2" xfId="31246" xr:uid="{00000000-0005-0000-0000-00002C760000}"/>
    <cellStyle name="Note 2 2 2 3 2 2 6" xfId="31247" xr:uid="{00000000-0005-0000-0000-00002D760000}"/>
    <cellStyle name="Note 2 2 2 3 2 3" xfId="21459" xr:uid="{00000000-0005-0000-0000-00002E760000}"/>
    <cellStyle name="Note 2 2 2 3 2 3 2" xfId="23393" xr:uid="{00000000-0005-0000-0000-00002F760000}"/>
    <cellStyle name="Note 2 2 2 3 2 3 2 2" xfId="31214" xr:uid="{00000000-0005-0000-0000-000030760000}"/>
    <cellStyle name="Note 2 2 2 3 2 3 2 2 2" xfId="32414" xr:uid="{00000000-0005-0000-0000-000031760000}"/>
    <cellStyle name="Note 2 2 2 3 2 3 2 2 2 2" xfId="17426" xr:uid="{00000000-0005-0000-0000-000032760000}"/>
    <cellStyle name="Note 2 2 2 3 2 3 2 2 3" xfId="31255" xr:uid="{00000000-0005-0000-0000-000033760000}"/>
    <cellStyle name="Note 2 2 2 3 2 3 2 3" xfId="32389" xr:uid="{00000000-0005-0000-0000-000034760000}"/>
    <cellStyle name="Note 2 2 2 3 2 3 2 3 2" xfId="9532" xr:uid="{00000000-0005-0000-0000-000035760000}"/>
    <cellStyle name="Note 2 2 2 3 2 3 2 4" xfId="24071" xr:uid="{00000000-0005-0000-0000-000036760000}"/>
    <cellStyle name="Note 2 2 2 3 2 3 3" xfId="32498" xr:uid="{00000000-0005-0000-0000-000037760000}"/>
    <cellStyle name="Note 2 2 2 3 2 3 3 2" xfId="31228" xr:uid="{00000000-0005-0000-0000-000038760000}"/>
    <cellStyle name="Note 2 2 2 3 2 3 3 2 2" xfId="32434" xr:uid="{00000000-0005-0000-0000-000039760000}"/>
    <cellStyle name="Note 2 2 2 3 2 3 3 3" xfId="24080" xr:uid="{00000000-0005-0000-0000-00003A760000}"/>
    <cellStyle name="Note 2 2 2 3 2 3 4" xfId="32501" xr:uid="{00000000-0005-0000-0000-00003B760000}"/>
    <cellStyle name="Note 2 2 2 3 2 3 4 2" xfId="1152" xr:uid="{00000000-0005-0000-0000-00003C760000}"/>
    <cellStyle name="Note 2 2 2 3 2 3 5" xfId="28910" xr:uid="{00000000-0005-0000-0000-00003D760000}"/>
    <cellStyle name="Note 2 2 2 3 2 4" xfId="8231" xr:uid="{00000000-0005-0000-0000-00003E760000}"/>
    <cellStyle name="Note 2 2 2 3 2 4 2" xfId="2662" xr:uid="{00000000-0005-0000-0000-00003F760000}"/>
    <cellStyle name="Note 2 2 2 3 2 4 2 2" xfId="31265" xr:uid="{00000000-0005-0000-0000-000040760000}"/>
    <cellStyle name="Note 2 2 2 3 2 4 2 2 2" xfId="14826" xr:uid="{00000000-0005-0000-0000-000041760000}"/>
    <cellStyle name="Note 2 2 2 3 2 4 2 3" xfId="31270" xr:uid="{00000000-0005-0000-0000-000042760000}"/>
    <cellStyle name="Note 2 2 2 3 2 4 3" xfId="9957" xr:uid="{00000000-0005-0000-0000-000043760000}"/>
    <cellStyle name="Note 2 2 2 3 2 4 3 2" xfId="31256" xr:uid="{00000000-0005-0000-0000-000044760000}"/>
    <cellStyle name="Note 2 2 2 3 2 4 4" xfId="9962" xr:uid="{00000000-0005-0000-0000-000045760000}"/>
    <cellStyle name="Note 2 2 2 3 2 5" xfId="3754" xr:uid="{00000000-0005-0000-0000-000046760000}"/>
    <cellStyle name="Note 2 2 2 3 2 5 2" xfId="3758" xr:uid="{00000000-0005-0000-0000-000047760000}"/>
    <cellStyle name="Note 2 2 2 3 2 5 2 2" xfId="31274" xr:uid="{00000000-0005-0000-0000-000048760000}"/>
    <cellStyle name="Note 2 2 2 3 2 5 3" xfId="4476" xr:uid="{00000000-0005-0000-0000-000049760000}"/>
    <cellStyle name="Note 2 2 2 3 2 6" xfId="12941" xr:uid="{00000000-0005-0000-0000-00004A760000}"/>
    <cellStyle name="Note 2 2 2 3 2 6 2" xfId="31278" xr:uid="{00000000-0005-0000-0000-00004B760000}"/>
    <cellStyle name="Note 2 2 2 3 2 7" xfId="29297" xr:uid="{00000000-0005-0000-0000-00004C760000}"/>
    <cellStyle name="Note 2 2 2 3 3" xfId="31281" xr:uid="{00000000-0005-0000-0000-00004D760000}"/>
    <cellStyle name="Note 2 2 2 3 3 2" xfId="27093" xr:uid="{00000000-0005-0000-0000-00004E760000}"/>
    <cellStyle name="Note 2 2 2 3 3 2 2" xfId="23408" xr:uid="{00000000-0005-0000-0000-00004F760000}"/>
    <cellStyle name="Note 2 2 2 3 3 2 2 2" xfId="32965" xr:uid="{00000000-0005-0000-0000-000050760000}"/>
    <cellStyle name="Note 2 2 2 3 3 2 2 2 2" xfId="11847" xr:uid="{00000000-0005-0000-0000-000051760000}"/>
    <cellStyle name="Note 2 2 2 3 3 2 2 2 2 2" xfId="1106" xr:uid="{00000000-0005-0000-0000-000052760000}"/>
    <cellStyle name="Note 2 2 2 3 3 2 2 2 3" xfId="23713" xr:uid="{00000000-0005-0000-0000-000053760000}"/>
    <cellStyle name="Note 2 2 2 3 3 2 2 3" xfId="31356" xr:uid="{00000000-0005-0000-0000-000054760000}"/>
    <cellStyle name="Note 2 2 2 3 3 2 2 3 2" xfId="33089" xr:uid="{00000000-0005-0000-0000-000055760000}"/>
    <cellStyle name="Note 2 2 2 3 3 2 2 4" xfId="24137" xr:uid="{00000000-0005-0000-0000-000056760000}"/>
    <cellStyle name="Note 2 2 2 3 3 2 3" xfId="33978" xr:uid="{00000000-0005-0000-0000-000057760000}"/>
    <cellStyle name="Note 2 2 2 3 3 2 3 2" xfId="27482" xr:uid="{00000000-0005-0000-0000-000058760000}"/>
    <cellStyle name="Note 2 2 2 3 3 2 3 2 2" xfId="23389" xr:uid="{00000000-0005-0000-0000-000059760000}"/>
    <cellStyle name="Note 2 2 2 3 3 2 3 3" xfId="24150" xr:uid="{00000000-0005-0000-0000-00005A760000}"/>
    <cellStyle name="Note 2 2 2 3 3 2 4" xfId="31295" xr:uid="{00000000-0005-0000-0000-00005B760000}"/>
    <cellStyle name="Note 2 2 2 3 3 2 4 2" xfId="5383" xr:uid="{00000000-0005-0000-0000-00005C760000}"/>
    <cellStyle name="Note 2 2 2 3 3 2 5" xfId="31296" xr:uid="{00000000-0005-0000-0000-00005D760000}"/>
    <cellStyle name="Note 2 2 2 3 3 3" xfId="31298" xr:uid="{00000000-0005-0000-0000-00005E760000}"/>
    <cellStyle name="Note 2 2 2 3 3 3 2" xfId="32504" xr:uid="{00000000-0005-0000-0000-00005F760000}"/>
    <cellStyle name="Note 2 2 2 3 3 3 2 2" xfId="31351" xr:uid="{00000000-0005-0000-0000-000060760000}"/>
    <cellStyle name="Note 2 2 2 3 3 3 2 2 2" xfId="31303" xr:uid="{00000000-0005-0000-0000-000061760000}"/>
    <cellStyle name="Note 2 2 2 3 3 3 2 3" xfId="24170" xr:uid="{00000000-0005-0000-0000-000062760000}"/>
    <cellStyle name="Note 2 2 2 3 3 3 3" xfId="32609" xr:uid="{00000000-0005-0000-0000-000063760000}"/>
    <cellStyle name="Note 2 2 2 3 3 3 3 2" xfId="31290" xr:uid="{00000000-0005-0000-0000-000064760000}"/>
    <cellStyle name="Note 2 2 2 3 3 3 4" xfId="29063" xr:uid="{00000000-0005-0000-0000-000065760000}"/>
    <cellStyle name="Note 2 2 2 3 3 4" xfId="3769" xr:uid="{00000000-0005-0000-0000-000066760000}"/>
    <cellStyle name="Note 2 2 2 3 3 4 2" xfId="3771" xr:uid="{00000000-0005-0000-0000-000067760000}"/>
    <cellStyle name="Note 2 2 2 3 3 4 2 2" xfId="31304" xr:uid="{00000000-0005-0000-0000-000068760000}"/>
    <cellStyle name="Note 2 2 2 3 3 4 3" xfId="1646" xr:uid="{00000000-0005-0000-0000-000069760000}"/>
    <cellStyle name="Note 2 2 2 3 3 5" xfId="3774" xr:uid="{00000000-0005-0000-0000-00006A760000}"/>
    <cellStyle name="Note 2 2 2 3 3 5 2" xfId="20658" xr:uid="{00000000-0005-0000-0000-00006B760000}"/>
    <cellStyle name="Note 2 2 2 3 3 6" xfId="31325" xr:uid="{00000000-0005-0000-0000-00006C760000}"/>
    <cellStyle name="Note 2 2 2 3 4" xfId="29829" xr:uid="{00000000-0005-0000-0000-00006D760000}"/>
    <cellStyle name="Note 2 2 2 3 4 2" xfId="27487" xr:uid="{00000000-0005-0000-0000-00006E760000}"/>
    <cellStyle name="Note 2 2 2 3 4 2 2" xfId="33967" xr:uid="{00000000-0005-0000-0000-00006F760000}"/>
    <cellStyle name="Note 2 2 2 3 4 2 2 2" xfId="31594" xr:uid="{00000000-0005-0000-0000-000070760000}"/>
    <cellStyle name="Note 2 2 2 3 4 2 2 2 2" xfId="31493" xr:uid="{00000000-0005-0000-0000-000071760000}"/>
    <cellStyle name="Note 2 2 2 3 4 2 2 3" xfId="23709" xr:uid="{00000000-0005-0000-0000-000072760000}"/>
    <cellStyle name="Note 2 2 2 3 4 2 3" xfId="31328" xr:uid="{00000000-0005-0000-0000-000073760000}"/>
    <cellStyle name="Note 2 2 2 3 4 2 3 2" xfId="31504" xr:uid="{00000000-0005-0000-0000-000074760000}"/>
    <cellStyle name="Note 2 2 2 3 4 2 4" xfId="31330" xr:uid="{00000000-0005-0000-0000-000075760000}"/>
    <cellStyle name="Note 2 2 2 3 4 3" xfId="24466" xr:uid="{00000000-0005-0000-0000-000076760000}"/>
    <cellStyle name="Note 2 2 2 3 4 3 2" xfId="33181" xr:uid="{00000000-0005-0000-0000-000077760000}"/>
    <cellStyle name="Note 2 2 2 3 4 3 2 2" xfId="30976" xr:uid="{00000000-0005-0000-0000-000078760000}"/>
    <cellStyle name="Note 2 2 2 3 4 3 3" xfId="31334" xr:uid="{00000000-0005-0000-0000-000079760000}"/>
    <cellStyle name="Note 2 2 2 3 4 4" xfId="9303" xr:uid="{00000000-0005-0000-0000-00007A760000}"/>
    <cellStyle name="Note 2 2 2 3 4 4 2" xfId="31335" xr:uid="{00000000-0005-0000-0000-00007B760000}"/>
    <cellStyle name="Note 2 2 2 3 4 5" xfId="31340" xr:uid="{00000000-0005-0000-0000-00007C760000}"/>
    <cellStyle name="Note 2 2 2 3 5" xfId="30894" xr:uid="{00000000-0005-0000-0000-00007D760000}"/>
    <cellStyle name="Note 2 2 2 3 5 2" xfId="22385" xr:uid="{00000000-0005-0000-0000-00007E760000}"/>
    <cellStyle name="Note 2 2 2 3 5 2 2" xfId="5523" xr:uid="{00000000-0005-0000-0000-00007F760000}"/>
    <cellStyle name="Note 2 2 2 3 5 2 2 2" xfId="31568" xr:uid="{00000000-0005-0000-0000-000080760000}"/>
    <cellStyle name="Note 2 2 2 3 5 2 3" xfId="8761" xr:uid="{00000000-0005-0000-0000-000081760000}"/>
    <cellStyle name="Note 2 2 2 3 5 3" xfId="33261" xr:uid="{00000000-0005-0000-0000-000082760000}"/>
    <cellStyle name="Note 2 2 2 3 5 3 2" xfId="8772" xr:uid="{00000000-0005-0000-0000-000083760000}"/>
    <cellStyle name="Note 2 2 2 3 5 4" xfId="31357" xr:uid="{00000000-0005-0000-0000-000084760000}"/>
    <cellStyle name="Note 2 2 2 3 6" xfId="30900" xr:uid="{00000000-0005-0000-0000-000085760000}"/>
    <cellStyle name="Note 2 2 2 3 6 2" xfId="10986" xr:uid="{00000000-0005-0000-0000-000086760000}"/>
    <cellStyle name="Note 2 2 2 3 6 2 2" xfId="8785" xr:uid="{00000000-0005-0000-0000-000087760000}"/>
    <cellStyle name="Note 2 2 2 3 6 3" xfId="9321" xr:uid="{00000000-0005-0000-0000-000088760000}"/>
    <cellStyle name="Note 2 2 2 3 7" xfId="31797" xr:uid="{00000000-0005-0000-0000-000089760000}"/>
    <cellStyle name="Note 2 2 2 3 7 2" xfId="10989" xr:uid="{00000000-0005-0000-0000-00008A760000}"/>
    <cellStyle name="Note 2 2 2 3 8" xfId="31358" xr:uid="{00000000-0005-0000-0000-00008B760000}"/>
    <cellStyle name="Note 2 2 2 4" xfId="31360" xr:uid="{00000000-0005-0000-0000-00008C760000}"/>
    <cellStyle name="Note 2 2 2 4 2" xfId="31364" xr:uid="{00000000-0005-0000-0000-00008D760000}"/>
    <cellStyle name="Note 2 2 2 4 2 2" xfId="10698" xr:uid="{00000000-0005-0000-0000-00008E760000}"/>
    <cellStyle name="Note 2 2 2 4 2 2 2" xfId="10867" xr:uid="{00000000-0005-0000-0000-00008F760000}"/>
    <cellStyle name="Note 2 2 2 4 2 2 2 2" xfId="5859" xr:uid="{00000000-0005-0000-0000-000090760000}"/>
    <cellStyle name="Note 2 2 2 4 2 2 2 2 2" xfId="29497" xr:uid="{00000000-0005-0000-0000-000091760000}"/>
    <cellStyle name="Note 2 2 2 4 2 2 2 2 2 2" xfId="17578" xr:uid="{00000000-0005-0000-0000-000092760000}"/>
    <cellStyle name="Note 2 2 2 4 2 2 2 2 3" xfId="4605" xr:uid="{00000000-0005-0000-0000-000093760000}"/>
    <cellStyle name="Note 2 2 2 4 2 2 2 3" xfId="31365" xr:uid="{00000000-0005-0000-0000-000094760000}"/>
    <cellStyle name="Note 2 2 2 4 2 2 2 3 2" xfId="16327" xr:uid="{00000000-0005-0000-0000-000095760000}"/>
    <cellStyle name="Note 2 2 2 4 2 2 2 4" xfId="33170" xr:uid="{00000000-0005-0000-0000-000096760000}"/>
    <cellStyle name="Note 2 2 2 4 2 2 3" xfId="33222" xr:uid="{00000000-0005-0000-0000-000097760000}"/>
    <cellStyle name="Note 2 2 2 4 2 2 3 2" xfId="31366" xr:uid="{00000000-0005-0000-0000-000098760000}"/>
    <cellStyle name="Note 2 2 2 4 2 2 3 2 2" xfId="29615" xr:uid="{00000000-0005-0000-0000-000099760000}"/>
    <cellStyle name="Note 2 2 2 4 2 2 3 3" xfId="28341" xr:uid="{00000000-0005-0000-0000-00009A760000}"/>
    <cellStyle name="Note 2 2 2 4 2 2 4" xfId="31369" xr:uid="{00000000-0005-0000-0000-00009B760000}"/>
    <cellStyle name="Note 2 2 2 4 2 2 4 2" xfId="26594" xr:uid="{00000000-0005-0000-0000-00009C760000}"/>
    <cellStyle name="Note 2 2 2 4 2 2 5" xfId="31371" xr:uid="{00000000-0005-0000-0000-00009D760000}"/>
    <cellStyle name="Note 2 2 2 4 2 3" xfId="28863" xr:uid="{00000000-0005-0000-0000-00009E760000}"/>
    <cellStyle name="Note 2 2 2 4 2 3 2" xfId="32835" xr:uid="{00000000-0005-0000-0000-00009F760000}"/>
    <cellStyle name="Note 2 2 2 4 2 3 2 2" xfId="22476" xr:uid="{00000000-0005-0000-0000-0000A0760000}"/>
    <cellStyle name="Note 2 2 2 4 2 3 2 2 2" xfId="31374" xr:uid="{00000000-0005-0000-0000-0000A1760000}"/>
    <cellStyle name="Note 2 2 2 4 2 3 2 3" xfId="24307" xr:uid="{00000000-0005-0000-0000-0000A2760000}"/>
    <cellStyle name="Note 2 2 2 4 2 3 3" xfId="31378" xr:uid="{00000000-0005-0000-0000-0000A3760000}"/>
    <cellStyle name="Note 2 2 2 4 2 3 3 2" xfId="20051" xr:uid="{00000000-0005-0000-0000-0000A4760000}"/>
    <cellStyle name="Note 2 2 2 4 2 3 4" xfId="31382" xr:uid="{00000000-0005-0000-0000-0000A5760000}"/>
    <cellStyle name="Note 2 2 2 4 2 4" xfId="3888" xr:uid="{00000000-0005-0000-0000-0000A6760000}"/>
    <cellStyle name="Note 2 2 2 4 2 4 2" xfId="9368" xr:uid="{00000000-0005-0000-0000-0000A7760000}"/>
    <cellStyle name="Note 2 2 2 4 2 4 2 2" xfId="22821" xr:uid="{00000000-0005-0000-0000-0000A8760000}"/>
    <cellStyle name="Note 2 2 2 4 2 4 3" xfId="10017" xr:uid="{00000000-0005-0000-0000-0000A9760000}"/>
    <cellStyle name="Note 2 2 2 4 2 5" xfId="3892" xr:uid="{00000000-0005-0000-0000-0000AA760000}"/>
    <cellStyle name="Note 2 2 2 4 2 5 2" xfId="11159" xr:uid="{00000000-0005-0000-0000-0000AB760000}"/>
    <cellStyle name="Note 2 2 2 4 2 6" xfId="31837" xr:uid="{00000000-0005-0000-0000-0000AC760000}"/>
    <cellStyle name="Note 2 2 2 4 3" xfId="33765" xr:uid="{00000000-0005-0000-0000-0000AD760000}"/>
    <cellStyle name="Note 2 2 2 4 3 2" xfId="5625" xr:uid="{00000000-0005-0000-0000-0000AE760000}"/>
    <cellStyle name="Note 2 2 2 4 3 2 2" xfId="14570" xr:uid="{00000000-0005-0000-0000-0000AF760000}"/>
    <cellStyle name="Note 2 2 2 4 3 2 2 2" xfId="1679" xr:uid="{00000000-0005-0000-0000-0000B0760000}"/>
    <cellStyle name="Note 2 2 2 4 3 2 2 2 2" xfId="3258" xr:uid="{00000000-0005-0000-0000-0000B1760000}"/>
    <cellStyle name="Note 2 2 2 4 3 2 2 3" xfId="6272" xr:uid="{00000000-0005-0000-0000-0000B2760000}"/>
    <cellStyle name="Note 2 2 2 4 3 2 3" xfId="31422" xr:uid="{00000000-0005-0000-0000-0000B3760000}"/>
    <cellStyle name="Note 2 2 2 4 3 2 3 2" xfId="4483" xr:uid="{00000000-0005-0000-0000-0000B4760000}"/>
    <cellStyle name="Note 2 2 2 4 3 2 4" xfId="31385" xr:uid="{00000000-0005-0000-0000-0000B5760000}"/>
    <cellStyle name="Note 2 2 2 4 3 3" xfId="449" xr:uid="{00000000-0005-0000-0000-0000B6760000}"/>
    <cellStyle name="Note 2 2 2 4 3 3 2" xfId="32926" xr:uid="{00000000-0005-0000-0000-0000B7760000}"/>
    <cellStyle name="Note 2 2 2 4 3 3 2 2" xfId="9339" xr:uid="{00000000-0005-0000-0000-0000B8760000}"/>
    <cellStyle name="Note 2 2 2 4 3 3 3" xfId="17237" xr:uid="{00000000-0005-0000-0000-0000B9760000}"/>
    <cellStyle name="Note 2 2 2 4 3 4" xfId="3904" xr:uid="{00000000-0005-0000-0000-0000BA760000}"/>
    <cellStyle name="Note 2 2 2 4 3 4 2" xfId="4238" xr:uid="{00000000-0005-0000-0000-0000BB760000}"/>
    <cellStyle name="Note 2 2 2 4 3 5" xfId="27310" xr:uid="{00000000-0005-0000-0000-0000BC760000}"/>
    <cellStyle name="Note 2 2 2 4 4" xfId="27335" xr:uid="{00000000-0005-0000-0000-0000BD760000}"/>
    <cellStyle name="Note 2 2 2 4 4 2" xfId="2320" xr:uid="{00000000-0005-0000-0000-0000BE760000}"/>
    <cellStyle name="Note 2 2 2 4 4 2 2" xfId="30124" xr:uid="{00000000-0005-0000-0000-0000BF760000}"/>
    <cellStyle name="Note 2 2 2 4 4 2 2 2" xfId="9581" xr:uid="{00000000-0005-0000-0000-0000C0760000}"/>
    <cellStyle name="Note 2 2 2 4 4 2 3" xfId="30580" xr:uid="{00000000-0005-0000-0000-0000C1760000}"/>
    <cellStyle name="Note 2 2 2 4 4 3" xfId="20363" xr:uid="{00000000-0005-0000-0000-0000C2760000}"/>
    <cellStyle name="Note 2 2 2 4 4 3 2" xfId="28248" xr:uid="{00000000-0005-0000-0000-0000C3760000}"/>
    <cellStyle name="Note 2 2 2 4 4 4" xfId="30066" xr:uid="{00000000-0005-0000-0000-0000C4760000}"/>
    <cellStyle name="Note 2 2 2 4 5" xfId="40" xr:uid="{00000000-0005-0000-0000-0000C5760000}"/>
    <cellStyle name="Note 2 2 2 4 5 2" xfId="29112" xr:uid="{00000000-0005-0000-0000-0000C6760000}"/>
    <cellStyle name="Note 2 2 2 4 5 2 2" xfId="8811" xr:uid="{00000000-0005-0000-0000-0000C7760000}"/>
    <cellStyle name="Note 2 2 2 4 5 3" xfId="23874" xr:uid="{00000000-0005-0000-0000-0000C8760000}"/>
    <cellStyle name="Note 2 2 2 4 6" xfId="3827" xr:uid="{00000000-0005-0000-0000-0000C9760000}"/>
    <cellStyle name="Note 2 2 2 4 6 2" xfId="11001" xr:uid="{00000000-0005-0000-0000-0000CA760000}"/>
    <cellStyle name="Note 2 2 2 4 7" xfId="17172" xr:uid="{00000000-0005-0000-0000-0000CB760000}"/>
    <cellStyle name="Note 2 2 2 5" xfId="31398" xr:uid="{00000000-0005-0000-0000-0000CC760000}"/>
    <cellStyle name="Note 2 2 2 5 2" xfId="31402" xr:uid="{00000000-0005-0000-0000-0000CD760000}"/>
    <cellStyle name="Note 2 2 2 5 2 2" xfId="29155" xr:uid="{00000000-0005-0000-0000-0000CE760000}"/>
    <cellStyle name="Note 2 2 2 5 2 2 2" xfId="33275" xr:uid="{00000000-0005-0000-0000-0000CF760000}"/>
    <cellStyle name="Note 2 2 2 5 2 2 2 2" xfId="14561" xr:uid="{00000000-0005-0000-0000-0000D0760000}"/>
    <cellStyle name="Note 2 2 2 5 2 2 2 2 2" xfId="1731" xr:uid="{00000000-0005-0000-0000-0000D1760000}"/>
    <cellStyle name="Note 2 2 2 5 2 2 2 3" xfId="8039" xr:uid="{00000000-0005-0000-0000-0000D2760000}"/>
    <cellStyle name="Note 2 2 2 5 2 2 3" xfId="31405" xr:uid="{00000000-0005-0000-0000-0000D3760000}"/>
    <cellStyle name="Note 2 2 2 5 2 2 3 2" xfId="31406" xr:uid="{00000000-0005-0000-0000-0000D4760000}"/>
    <cellStyle name="Note 2 2 2 5 2 2 4" xfId="26280" xr:uid="{00000000-0005-0000-0000-0000D5760000}"/>
    <cellStyle name="Note 2 2 2 5 2 3" xfId="31417" xr:uid="{00000000-0005-0000-0000-0000D6760000}"/>
    <cellStyle name="Note 2 2 2 5 2 3 2" xfId="28979" xr:uid="{00000000-0005-0000-0000-0000D7760000}"/>
    <cellStyle name="Note 2 2 2 5 2 3 2 2" xfId="20995" xr:uid="{00000000-0005-0000-0000-0000D8760000}"/>
    <cellStyle name="Note 2 2 2 5 2 3 3" xfId="31423" xr:uid="{00000000-0005-0000-0000-0000D9760000}"/>
    <cellStyle name="Note 2 2 2 5 2 4" xfId="3940" xr:uid="{00000000-0005-0000-0000-0000DA760000}"/>
    <cellStyle name="Note 2 2 2 5 2 4 2" xfId="11323" xr:uid="{00000000-0005-0000-0000-0000DB760000}"/>
    <cellStyle name="Note 2 2 2 5 2 5" xfId="31843" xr:uid="{00000000-0005-0000-0000-0000DC760000}"/>
    <cellStyle name="Note 2 2 2 5 3" xfId="33779" xr:uid="{00000000-0005-0000-0000-0000DD760000}"/>
    <cellStyle name="Note 2 2 2 5 3 2" xfId="6082" xr:uid="{00000000-0005-0000-0000-0000DE760000}"/>
    <cellStyle name="Note 2 2 2 5 3 2 2" xfId="31428" xr:uid="{00000000-0005-0000-0000-0000DF760000}"/>
    <cellStyle name="Note 2 2 2 5 3 2 2 2" xfId="9999" xr:uid="{00000000-0005-0000-0000-0000E0760000}"/>
    <cellStyle name="Note 2 2 2 5 3 2 3" xfId="29183" xr:uid="{00000000-0005-0000-0000-0000E1760000}"/>
    <cellStyle name="Note 2 2 2 5 3 3" xfId="27627" xr:uid="{00000000-0005-0000-0000-0000E2760000}"/>
    <cellStyle name="Note 2 2 2 5 3 3 2" xfId="29005" xr:uid="{00000000-0005-0000-0000-0000E3760000}"/>
    <cellStyle name="Note 2 2 2 5 3 4" xfId="31430" xr:uid="{00000000-0005-0000-0000-0000E4760000}"/>
    <cellStyle name="Note 2 2 2 5 4" xfId="11840" xr:uid="{00000000-0005-0000-0000-0000E5760000}"/>
    <cellStyle name="Note 2 2 2 5 4 2" xfId="27130" xr:uid="{00000000-0005-0000-0000-0000E6760000}"/>
    <cellStyle name="Note 2 2 2 5 4 2 2" xfId="33914" xr:uid="{00000000-0005-0000-0000-0000E7760000}"/>
    <cellStyle name="Note 2 2 2 5 4 3" xfId="29318" xr:uid="{00000000-0005-0000-0000-0000E8760000}"/>
    <cellStyle name="Note 2 2 2 5 5" xfId="429" xr:uid="{00000000-0005-0000-0000-0000E9760000}"/>
    <cellStyle name="Note 2 2 2 5 5 2" xfId="2014" xr:uid="{00000000-0005-0000-0000-0000EA760000}"/>
    <cellStyle name="Note 2 2 2 5 6" xfId="31443" xr:uid="{00000000-0005-0000-0000-0000EB760000}"/>
    <cellStyle name="Note 2 2 2 6" xfId="5598" xr:uid="{00000000-0005-0000-0000-0000EC760000}"/>
    <cellStyle name="Note 2 2 2 6 2" xfId="23743" xr:uid="{00000000-0005-0000-0000-0000ED760000}"/>
    <cellStyle name="Note 2 2 2 6 2 2" xfId="31556" xr:uid="{00000000-0005-0000-0000-0000EE760000}"/>
    <cellStyle name="Note 2 2 2 6 2 2 2" xfId="31444" xr:uid="{00000000-0005-0000-0000-0000EF760000}"/>
    <cellStyle name="Note 2 2 2 6 2 2 2 2" xfId="31252" xr:uid="{00000000-0005-0000-0000-0000F0760000}"/>
    <cellStyle name="Note 2 2 2 6 2 2 3" xfId="24665" xr:uid="{00000000-0005-0000-0000-0000F1760000}"/>
    <cellStyle name="Note 2 2 2 6 2 3" xfId="27632" xr:uid="{00000000-0005-0000-0000-0000F2760000}"/>
    <cellStyle name="Note 2 2 2 6 2 3 2" xfId="257" xr:uid="{00000000-0005-0000-0000-0000F3760000}"/>
    <cellStyle name="Note 2 2 2 6 2 4" xfId="31448" xr:uid="{00000000-0005-0000-0000-0000F4760000}"/>
    <cellStyle name="Note 2 2 2 6 3" xfId="23747" xr:uid="{00000000-0005-0000-0000-0000F5760000}"/>
    <cellStyle name="Note 2 2 2 6 3 2" xfId="33891" xr:uid="{00000000-0005-0000-0000-0000F6760000}"/>
    <cellStyle name="Note 2 2 2 6 3 2 2" xfId="33458" xr:uid="{00000000-0005-0000-0000-0000F7760000}"/>
    <cellStyle name="Note 2 2 2 6 3 3" xfId="31449" xr:uid="{00000000-0005-0000-0000-0000F8760000}"/>
    <cellStyle name="Note 2 2 2 6 4" xfId="33740" xr:uid="{00000000-0005-0000-0000-0000F9760000}"/>
    <cellStyle name="Note 2 2 2 6 4 2" xfId="31115" xr:uid="{00000000-0005-0000-0000-0000FA760000}"/>
    <cellStyle name="Note 2 2 2 6 5" xfId="28171" xr:uid="{00000000-0005-0000-0000-0000FB760000}"/>
    <cellStyle name="Note 2 2 2 7" xfId="22232" xr:uid="{00000000-0005-0000-0000-0000FC760000}"/>
    <cellStyle name="Note 2 2 2 7 2" xfId="30651" xr:uid="{00000000-0005-0000-0000-0000FD760000}"/>
    <cellStyle name="Note 2 2 2 7 2 2" xfId="30659" xr:uid="{00000000-0005-0000-0000-0000FE760000}"/>
    <cellStyle name="Note 2 2 2 7 2 2 2" xfId="11595" xr:uid="{00000000-0005-0000-0000-0000FF760000}"/>
    <cellStyle name="Note 2 2 2 7 2 3" xfId="30665" xr:uid="{00000000-0005-0000-0000-000000770000}"/>
    <cellStyle name="Note 2 2 2 7 3" xfId="33716" xr:uid="{00000000-0005-0000-0000-000001770000}"/>
    <cellStyle name="Note 2 2 2 7 3 2" xfId="31453" xr:uid="{00000000-0005-0000-0000-000002770000}"/>
    <cellStyle name="Note 2 2 2 7 4" xfId="31127" xr:uid="{00000000-0005-0000-0000-000003770000}"/>
    <cellStyle name="Note 2 2 2 8" xfId="9437" xr:uid="{00000000-0005-0000-0000-000004770000}"/>
    <cellStyle name="Note 2 2 2 8 2" xfId="33188" xr:uid="{00000000-0005-0000-0000-000005770000}"/>
    <cellStyle name="Note 2 2 2 8 2 2" xfId="30674" xr:uid="{00000000-0005-0000-0000-000006770000}"/>
    <cellStyle name="Note 2 2 2 8 3" xfId="31958" xr:uid="{00000000-0005-0000-0000-000007770000}"/>
    <cellStyle name="Note 2 2 2 9" xfId="14289" xr:uid="{00000000-0005-0000-0000-000008770000}"/>
    <cellStyle name="Note 2 2 2 9 2" xfId="32995" xr:uid="{00000000-0005-0000-0000-000009770000}"/>
    <cellStyle name="Note 2 2 3" xfId="31460" xr:uid="{00000000-0005-0000-0000-00000A770000}"/>
    <cellStyle name="Note 2 2 3 2" xfId="31461" xr:uid="{00000000-0005-0000-0000-00000B770000}"/>
    <cellStyle name="Note 2 2 3 2 2" xfId="13274" xr:uid="{00000000-0005-0000-0000-00000C770000}"/>
    <cellStyle name="Note 2 2 3 2 2 2" xfId="17530" xr:uid="{00000000-0005-0000-0000-00000D770000}"/>
    <cellStyle name="Note 2 2 3 2 2 2 2" xfId="33867" xr:uid="{00000000-0005-0000-0000-00000E770000}"/>
    <cellStyle name="Note 2 2 3 2 2 2 2 2" xfId="32419" xr:uid="{00000000-0005-0000-0000-00000F770000}"/>
    <cellStyle name="Note 2 2 3 2 2 2 2 2 2" xfId="20982" xr:uid="{00000000-0005-0000-0000-000010770000}"/>
    <cellStyle name="Note 2 2 3 2 2 2 2 2 2 2" xfId="31511" xr:uid="{00000000-0005-0000-0000-000011770000}"/>
    <cellStyle name="Note 2 2 3 2 2 2 2 2 2 2 2" xfId="32912" xr:uid="{00000000-0005-0000-0000-000012770000}"/>
    <cellStyle name="Note 2 2 3 2 2 2 2 2 2 3" xfId="1078" xr:uid="{00000000-0005-0000-0000-000013770000}"/>
    <cellStyle name="Note 2 2 3 2 2 2 2 2 3" xfId="31982" xr:uid="{00000000-0005-0000-0000-000014770000}"/>
    <cellStyle name="Note 2 2 3 2 2 2 2 2 3 2" xfId="28175" xr:uid="{00000000-0005-0000-0000-000015770000}"/>
    <cellStyle name="Note 2 2 3 2 2 2 2 2 4" xfId="6379" xr:uid="{00000000-0005-0000-0000-000016770000}"/>
    <cellStyle name="Note 2 2 3 2 2 2 2 3" xfId="31873" xr:uid="{00000000-0005-0000-0000-000017770000}"/>
    <cellStyle name="Note 2 2 3 2 2 2 2 3 2" xfId="31988" xr:uid="{00000000-0005-0000-0000-000018770000}"/>
    <cellStyle name="Note 2 2 3 2 2 2 2 3 2 2" xfId="33079" xr:uid="{00000000-0005-0000-0000-000019770000}"/>
    <cellStyle name="Note 2 2 3 2 2 2 2 3 3" xfId="31462" xr:uid="{00000000-0005-0000-0000-00001A770000}"/>
    <cellStyle name="Note 2 2 3 2 2 2 2 4" xfId="26242" xr:uid="{00000000-0005-0000-0000-00001B770000}"/>
    <cellStyle name="Note 2 2 3 2 2 2 2 4 2" xfId="6769" xr:uid="{00000000-0005-0000-0000-00001C770000}"/>
    <cellStyle name="Note 2 2 3 2 2 2 2 5" xfId="30167" xr:uid="{00000000-0005-0000-0000-00001D770000}"/>
    <cellStyle name="Note 2 2 3 2 2 2 3" xfId="30161" xr:uid="{00000000-0005-0000-0000-00001E770000}"/>
    <cellStyle name="Note 2 2 3 2 2 2 3 2" xfId="31159" xr:uid="{00000000-0005-0000-0000-00001F770000}"/>
    <cellStyle name="Note 2 2 3 2 2 2 3 2 2" xfId="31477" xr:uid="{00000000-0005-0000-0000-000020770000}"/>
    <cellStyle name="Note 2 2 3 2 2 2 3 2 2 2" xfId="1630" xr:uid="{00000000-0005-0000-0000-000021770000}"/>
    <cellStyle name="Note 2 2 3 2 2 2 3 2 3" xfId="29899" xr:uid="{00000000-0005-0000-0000-000022770000}"/>
    <cellStyle name="Note 2 2 3 2 2 2 3 3" xfId="31479" xr:uid="{00000000-0005-0000-0000-000023770000}"/>
    <cellStyle name="Note 2 2 3 2 2 2 3 3 2" xfId="33832" xr:uid="{00000000-0005-0000-0000-000024770000}"/>
    <cellStyle name="Note 2 2 3 2 2 2 3 4" xfId="25379" xr:uid="{00000000-0005-0000-0000-000025770000}"/>
    <cellStyle name="Note 2 2 3 2 2 2 4" xfId="18905" xr:uid="{00000000-0005-0000-0000-000026770000}"/>
    <cellStyle name="Note 2 2 3 2 2 2 4 2" xfId="31516" xr:uid="{00000000-0005-0000-0000-000027770000}"/>
    <cellStyle name="Note 2 2 3 2 2 2 4 2 2" xfId="33210" xr:uid="{00000000-0005-0000-0000-000028770000}"/>
    <cellStyle name="Note 2 2 3 2 2 2 4 3" xfId="29595" xr:uid="{00000000-0005-0000-0000-000029770000}"/>
    <cellStyle name="Note 2 2 3 2 2 2 5" xfId="31517" xr:uid="{00000000-0005-0000-0000-00002A770000}"/>
    <cellStyle name="Note 2 2 3 2 2 2 5 2" xfId="31349" xr:uid="{00000000-0005-0000-0000-00002B770000}"/>
    <cellStyle name="Note 2 2 3 2 2 2 6" xfId="24678" xr:uid="{00000000-0005-0000-0000-00002C770000}"/>
    <cellStyle name="Note 2 2 3 2 2 3" xfId="8797" xr:uid="{00000000-0005-0000-0000-00002D770000}"/>
    <cellStyle name="Note 2 2 3 2 2 3 2" xfId="33803" xr:uid="{00000000-0005-0000-0000-00002E770000}"/>
    <cellStyle name="Note 2 2 3 2 2 3 2 2" xfId="31635" xr:uid="{00000000-0005-0000-0000-00002F770000}"/>
    <cellStyle name="Note 2 2 3 2 2 3 2 2 2" xfId="33487" xr:uid="{00000000-0005-0000-0000-000030770000}"/>
    <cellStyle name="Note 2 2 3 2 2 3 2 2 2 2" xfId="20199" xr:uid="{00000000-0005-0000-0000-000031770000}"/>
    <cellStyle name="Note 2 2 3 2 2 3 2 2 3" xfId="20100" xr:uid="{00000000-0005-0000-0000-000032770000}"/>
    <cellStyle name="Note 2 2 3 2 2 3 2 3" xfId="29440" xr:uid="{00000000-0005-0000-0000-000033770000}"/>
    <cellStyle name="Note 2 2 3 2 2 3 2 3 2" xfId="29442" xr:uid="{00000000-0005-0000-0000-000034770000}"/>
    <cellStyle name="Note 2 2 3 2 2 3 2 4" xfId="26982" xr:uid="{00000000-0005-0000-0000-000035770000}"/>
    <cellStyle name="Note 2 2 3 2 2 3 3" xfId="31639" xr:uid="{00000000-0005-0000-0000-000036770000}"/>
    <cellStyle name="Note 2 2 3 2 2 3 3 2" xfId="31468" xr:uid="{00000000-0005-0000-0000-000037770000}"/>
    <cellStyle name="Note 2 2 3 2 2 3 3 2 2" xfId="31471" xr:uid="{00000000-0005-0000-0000-000038770000}"/>
    <cellStyle name="Note 2 2 3 2 2 3 3 3" xfId="18962" xr:uid="{00000000-0005-0000-0000-000039770000}"/>
    <cellStyle name="Note 2 2 3 2 2 3 4" xfId="31522" xr:uid="{00000000-0005-0000-0000-00003A770000}"/>
    <cellStyle name="Note 2 2 3 2 2 3 4 2" xfId="8366" xr:uid="{00000000-0005-0000-0000-00003B770000}"/>
    <cellStyle name="Note 2 2 3 2 2 3 5" xfId="32492" xr:uid="{00000000-0005-0000-0000-00003C770000}"/>
    <cellStyle name="Note 2 2 3 2 2 4" xfId="8262" xr:uid="{00000000-0005-0000-0000-00003D770000}"/>
    <cellStyle name="Note 2 2 3 2 2 4 2" xfId="4139" xr:uid="{00000000-0005-0000-0000-00003E770000}"/>
    <cellStyle name="Note 2 2 3 2 2 4 2 2" xfId="23880" xr:uid="{00000000-0005-0000-0000-00003F770000}"/>
    <cellStyle name="Note 2 2 3 2 2 4 2 2 2" xfId="14208" xr:uid="{00000000-0005-0000-0000-000040770000}"/>
    <cellStyle name="Note 2 2 3 2 2 4 2 3" xfId="29511" xr:uid="{00000000-0005-0000-0000-000041770000}"/>
    <cellStyle name="Note 2 2 3 2 2 4 3" xfId="4143" xr:uid="{00000000-0005-0000-0000-000042770000}"/>
    <cellStyle name="Note 2 2 3 2 2 4 3 2" xfId="31473" xr:uid="{00000000-0005-0000-0000-000043770000}"/>
    <cellStyle name="Note 2 2 3 2 2 4 4" xfId="31474" xr:uid="{00000000-0005-0000-0000-000044770000}"/>
    <cellStyle name="Note 2 2 3 2 2 5" xfId="4150" xr:uid="{00000000-0005-0000-0000-000045770000}"/>
    <cellStyle name="Note 2 2 3 2 2 5 2" xfId="14677" xr:uid="{00000000-0005-0000-0000-000046770000}"/>
    <cellStyle name="Note 2 2 3 2 2 5 2 2" xfId="31904" xr:uid="{00000000-0005-0000-0000-000047770000}"/>
    <cellStyle name="Note 2 2 3 2 2 5 3" xfId="30907" xr:uid="{00000000-0005-0000-0000-000048770000}"/>
    <cellStyle name="Note 2 2 3 2 2 6" xfId="1251" xr:uid="{00000000-0005-0000-0000-000049770000}"/>
    <cellStyle name="Note 2 2 3 2 2 6 2" xfId="29417" xr:uid="{00000000-0005-0000-0000-00004A770000}"/>
    <cellStyle name="Note 2 2 3 2 2 7" xfId="26336" xr:uid="{00000000-0005-0000-0000-00004B770000}"/>
    <cellStyle name="Note 2 2 3 2 3" xfId="31017" xr:uid="{00000000-0005-0000-0000-00004C770000}"/>
    <cellStyle name="Note 2 2 3 2 3 2" xfId="19191" xr:uid="{00000000-0005-0000-0000-00004D770000}"/>
    <cellStyle name="Note 2 2 3 2 3 2 2" xfId="27112" xr:uid="{00000000-0005-0000-0000-00004E770000}"/>
    <cellStyle name="Note 2 2 3 2 3 2 2 2" xfId="30103" xr:uid="{00000000-0005-0000-0000-00004F770000}"/>
    <cellStyle name="Note 2 2 3 2 3 2 2 2 2" xfId="28362" xr:uid="{00000000-0005-0000-0000-000050770000}"/>
    <cellStyle name="Note 2 2 3 2 3 2 2 2 2 2" xfId="587" xr:uid="{00000000-0005-0000-0000-000051770000}"/>
    <cellStyle name="Note 2 2 3 2 3 2 2 2 3" xfId="30941" xr:uid="{00000000-0005-0000-0000-000052770000}"/>
    <cellStyle name="Note 2 2 3 2 3 2 2 3" xfId="9828" xr:uid="{00000000-0005-0000-0000-000053770000}"/>
    <cellStyle name="Note 2 2 3 2 3 2 2 3 2" xfId="31476" xr:uid="{00000000-0005-0000-0000-000054770000}"/>
    <cellStyle name="Note 2 2 3 2 3 2 2 4" xfId="23788" xr:uid="{00000000-0005-0000-0000-000055770000}"/>
    <cellStyle name="Note 2 2 3 2 3 2 3" xfId="31752" xr:uid="{00000000-0005-0000-0000-000056770000}"/>
    <cellStyle name="Note 2 2 3 2 3 2 3 2" xfId="31585" xr:uid="{00000000-0005-0000-0000-000057770000}"/>
    <cellStyle name="Note 2 2 3 2 3 2 3 2 2" xfId="31662" xr:uid="{00000000-0005-0000-0000-000058770000}"/>
    <cellStyle name="Note 2 2 3 2 3 2 3 3" xfId="24923" xr:uid="{00000000-0005-0000-0000-000059770000}"/>
    <cellStyle name="Note 2 2 3 2 3 2 4" xfId="31589" xr:uid="{00000000-0005-0000-0000-00005A770000}"/>
    <cellStyle name="Note 2 2 3 2 3 2 4 2" xfId="31478" xr:uid="{00000000-0005-0000-0000-00005B770000}"/>
    <cellStyle name="Note 2 2 3 2 3 2 5" xfId="31481" xr:uid="{00000000-0005-0000-0000-00005C770000}"/>
    <cellStyle name="Note 2 2 3 2 3 3" xfId="31592" xr:uid="{00000000-0005-0000-0000-00005D770000}"/>
    <cellStyle name="Note 2 2 3 2 3 3 2" xfId="31768" xr:uid="{00000000-0005-0000-0000-00005E770000}"/>
    <cellStyle name="Note 2 2 3 2 3 3 2 2" xfId="31482" xr:uid="{00000000-0005-0000-0000-00005F770000}"/>
    <cellStyle name="Note 2 2 3 2 3 3 2 2 2" xfId="31483" xr:uid="{00000000-0005-0000-0000-000060770000}"/>
    <cellStyle name="Note 2 2 3 2 3 3 2 3" xfId="25102" xr:uid="{00000000-0005-0000-0000-000061770000}"/>
    <cellStyle name="Note 2 2 3 2 3 3 3" xfId="31596" xr:uid="{00000000-0005-0000-0000-000062770000}"/>
    <cellStyle name="Note 2 2 3 2 3 3 3 2" xfId="31494" xr:uid="{00000000-0005-0000-0000-000063770000}"/>
    <cellStyle name="Note 2 2 3 2 3 3 4" xfId="31515" xr:uid="{00000000-0005-0000-0000-000064770000}"/>
    <cellStyle name="Note 2 2 3 2 3 4" xfId="18289" xr:uid="{00000000-0005-0000-0000-000065770000}"/>
    <cellStyle name="Note 2 2 3 2 3 4 2" xfId="4160" xr:uid="{00000000-0005-0000-0000-000066770000}"/>
    <cellStyle name="Note 2 2 3 2 3 4 2 2" xfId="31499" xr:uid="{00000000-0005-0000-0000-000067770000}"/>
    <cellStyle name="Note 2 2 3 2 3 4 3" xfId="31507" xr:uid="{00000000-0005-0000-0000-000068770000}"/>
    <cellStyle name="Note 2 2 3 2 3 5" xfId="18292" xr:uid="{00000000-0005-0000-0000-000069770000}"/>
    <cellStyle name="Note 2 2 3 2 3 5 2" xfId="26117" xr:uid="{00000000-0005-0000-0000-00006A770000}"/>
    <cellStyle name="Note 2 2 3 2 3 6" xfId="4048" xr:uid="{00000000-0005-0000-0000-00006B770000}"/>
    <cellStyle name="Note 2 2 3 2 4" xfId="31510" xr:uid="{00000000-0005-0000-0000-00006C770000}"/>
    <cellStyle name="Note 2 2 3 2 4 2" xfId="33868" xr:uid="{00000000-0005-0000-0000-00006D770000}"/>
    <cellStyle name="Note 2 2 3 2 4 2 2" xfId="32767" xr:uid="{00000000-0005-0000-0000-00006E770000}"/>
    <cellStyle name="Note 2 2 3 2 4 2 2 2" xfId="28198" xr:uid="{00000000-0005-0000-0000-00006F770000}"/>
    <cellStyle name="Note 2 2 3 2 4 2 2 2 2" xfId="30628" xr:uid="{00000000-0005-0000-0000-000070770000}"/>
    <cellStyle name="Note 2 2 3 2 4 2 2 3" xfId="27390" xr:uid="{00000000-0005-0000-0000-000071770000}"/>
    <cellStyle name="Note 2 2 3 2 4 2 3" xfId="29559" xr:uid="{00000000-0005-0000-0000-000072770000}"/>
    <cellStyle name="Note 2 2 3 2 4 2 3 2" xfId="29049" xr:uid="{00000000-0005-0000-0000-000073770000}"/>
    <cellStyle name="Note 2 2 3 2 4 2 4" xfId="29568" xr:uid="{00000000-0005-0000-0000-000074770000}"/>
    <cellStyle name="Note 2 2 3 2 4 3" xfId="24553" xr:uid="{00000000-0005-0000-0000-000075770000}"/>
    <cellStyle name="Note 2 2 3 2 4 3 2" xfId="28212" xr:uid="{00000000-0005-0000-0000-000076770000}"/>
    <cellStyle name="Note 2 2 3 2 4 3 2 2" xfId="28214" xr:uid="{00000000-0005-0000-0000-000077770000}"/>
    <cellStyle name="Note 2 2 3 2 4 3 3" xfId="30031" xr:uid="{00000000-0005-0000-0000-000078770000}"/>
    <cellStyle name="Note 2 2 3 2 4 4" xfId="18297" xr:uid="{00000000-0005-0000-0000-000079770000}"/>
    <cellStyle name="Note 2 2 3 2 4 4 2" xfId="29287" xr:uid="{00000000-0005-0000-0000-00007A770000}"/>
    <cellStyle name="Note 2 2 3 2 4 5" xfId="31521" xr:uid="{00000000-0005-0000-0000-00007B770000}"/>
    <cellStyle name="Note 2 2 3 2 5" xfId="29027" xr:uid="{00000000-0005-0000-0000-00007C770000}"/>
    <cellStyle name="Note 2 2 3 2 5 2" xfId="30936" xr:uid="{00000000-0005-0000-0000-00007D770000}"/>
    <cellStyle name="Note 2 2 3 2 5 2 2" xfId="8277" xr:uid="{00000000-0005-0000-0000-00007E770000}"/>
    <cellStyle name="Note 2 2 3 2 5 2 2 2" xfId="29522" xr:uid="{00000000-0005-0000-0000-00007F770000}"/>
    <cellStyle name="Note 2 2 3 2 5 2 3" xfId="22239" xr:uid="{00000000-0005-0000-0000-000080770000}"/>
    <cellStyle name="Note 2 2 3 2 5 3" xfId="31641" xr:uid="{00000000-0005-0000-0000-000081770000}"/>
    <cellStyle name="Note 2 2 3 2 5 3 2" xfId="26222" xr:uid="{00000000-0005-0000-0000-000082770000}"/>
    <cellStyle name="Note 2 2 3 2 5 4" xfId="31524" xr:uid="{00000000-0005-0000-0000-000083770000}"/>
    <cellStyle name="Note 2 2 3 2 6" xfId="12877" xr:uid="{00000000-0005-0000-0000-000084770000}"/>
    <cellStyle name="Note 2 2 3 2 6 2" xfId="6840" xr:uid="{00000000-0005-0000-0000-000085770000}"/>
    <cellStyle name="Note 2 2 3 2 6 2 2" xfId="26244" xr:uid="{00000000-0005-0000-0000-000086770000}"/>
    <cellStyle name="Note 2 2 3 2 6 3" xfId="15304" xr:uid="{00000000-0005-0000-0000-000087770000}"/>
    <cellStyle name="Note 2 2 3 2 7" xfId="20758" xr:uid="{00000000-0005-0000-0000-000088770000}"/>
    <cellStyle name="Note 2 2 3 2 7 2" xfId="18762" xr:uid="{00000000-0005-0000-0000-000089770000}"/>
    <cellStyle name="Note 2 2 3 2 8" xfId="780" xr:uid="{00000000-0005-0000-0000-00008A770000}"/>
    <cellStyle name="Note 2 2 3 3" xfId="29191" xr:uid="{00000000-0005-0000-0000-00008B770000}"/>
    <cellStyle name="Note 2 2 3 3 2" xfId="31535" xr:uid="{00000000-0005-0000-0000-00008C770000}"/>
    <cellStyle name="Note 2 2 3 3 2 2" xfId="22009" xr:uid="{00000000-0005-0000-0000-00008D770000}"/>
    <cellStyle name="Note 2 2 3 3 2 2 2" xfId="24023" xr:uid="{00000000-0005-0000-0000-00008E770000}"/>
    <cellStyle name="Note 2 2 3 3 2 2 2 2" xfId="31537" xr:uid="{00000000-0005-0000-0000-00008F770000}"/>
    <cellStyle name="Note 2 2 3 3 2 2 2 2 2" xfId="32265" xr:uid="{00000000-0005-0000-0000-000090770000}"/>
    <cellStyle name="Note 2 2 3 3 2 2 2 2 2 2" xfId="21186" xr:uid="{00000000-0005-0000-0000-000091770000}"/>
    <cellStyle name="Note 2 2 3 3 2 2 2 2 3" xfId="31543" xr:uid="{00000000-0005-0000-0000-000092770000}"/>
    <cellStyle name="Note 2 2 3 3 2 2 2 3" xfId="24871" xr:uid="{00000000-0005-0000-0000-000093770000}"/>
    <cellStyle name="Note 2 2 3 3 2 2 2 3 2" xfId="13721" xr:uid="{00000000-0005-0000-0000-000094770000}"/>
    <cellStyle name="Note 2 2 3 3 2 2 2 4" xfId="30742" xr:uid="{00000000-0005-0000-0000-000095770000}"/>
    <cellStyle name="Note 2 2 3 3 2 2 3" xfId="21917" xr:uid="{00000000-0005-0000-0000-000096770000}"/>
    <cellStyle name="Note 2 2 3 3 2 2 3 2" xfId="31685" xr:uid="{00000000-0005-0000-0000-000097770000}"/>
    <cellStyle name="Note 2 2 3 3 2 2 3 2 2" xfId="26341" xr:uid="{00000000-0005-0000-0000-000098770000}"/>
    <cellStyle name="Note 2 2 3 3 2 2 3 3" xfId="27963" xr:uid="{00000000-0005-0000-0000-000099770000}"/>
    <cellStyle name="Note 2 2 3 3 2 2 4" xfId="28730" xr:uid="{00000000-0005-0000-0000-00009A770000}"/>
    <cellStyle name="Note 2 2 3 3 2 2 4 2" xfId="33313" xr:uid="{00000000-0005-0000-0000-00009B770000}"/>
    <cellStyle name="Note 2 2 3 3 2 2 5" xfId="31545" xr:uid="{00000000-0005-0000-0000-00009C770000}"/>
    <cellStyle name="Note 2 2 3 3 2 3" xfId="30831" xr:uid="{00000000-0005-0000-0000-00009D770000}"/>
    <cellStyle name="Note 2 2 3 3 2 3 2" xfId="31549" xr:uid="{00000000-0005-0000-0000-00009E770000}"/>
    <cellStyle name="Note 2 2 3 3 2 3 2 2" xfId="33835" xr:uid="{00000000-0005-0000-0000-00009F770000}"/>
    <cellStyle name="Note 2 2 3 3 2 3 2 2 2" xfId="30712" xr:uid="{00000000-0005-0000-0000-0000A0770000}"/>
    <cellStyle name="Note 2 2 3 3 2 3 2 3" xfId="28643" xr:uid="{00000000-0005-0000-0000-0000A1770000}"/>
    <cellStyle name="Note 2 2 3 3 2 3 3" xfId="27922" xr:uid="{00000000-0005-0000-0000-0000A2770000}"/>
    <cellStyle name="Note 2 2 3 3 2 3 3 2" xfId="31288" xr:uid="{00000000-0005-0000-0000-0000A3770000}"/>
    <cellStyle name="Note 2 2 3 3 2 3 4" xfId="29873" xr:uid="{00000000-0005-0000-0000-0000A4770000}"/>
    <cellStyle name="Note 2 2 3 3 2 4" xfId="3804" xr:uid="{00000000-0005-0000-0000-0000A5770000}"/>
    <cellStyle name="Note 2 2 3 3 2 4 2" xfId="4304" xr:uid="{00000000-0005-0000-0000-0000A6770000}"/>
    <cellStyle name="Note 2 2 3 3 2 4 2 2" xfId="11784" xr:uid="{00000000-0005-0000-0000-0000A7770000}"/>
    <cellStyle name="Note 2 2 3 3 2 4 3" xfId="10858" xr:uid="{00000000-0005-0000-0000-0000A8770000}"/>
    <cellStyle name="Note 2 2 3 3 2 5" xfId="3627" xr:uid="{00000000-0005-0000-0000-0000A9770000}"/>
    <cellStyle name="Note 2 2 3 3 2 5 2" xfId="6483" xr:uid="{00000000-0005-0000-0000-0000AA770000}"/>
    <cellStyle name="Note 2 2 3 3 2 6" xfId="31941" xr:uid="{00000000-0005-0000-0000-0000AB770000}"/>
    <cellStyle name="Note 2 2 3 3 3" xfId="31560" xr:uid="{00000000-0005-0000-0000-0000AC770000}"/>
    <cellStyle name="Note 2 2 3 3 3 2" xfId="31728" xr:uid="{00000000-0005-0000-0000-0000AD770000}"/>
    <cellStyle name="Note 2 2 3 3 3 2 2" xfId="31561" xr:uid="{00000000-0005-0000-0000-0000AE770000}"/>
    <cellStyle name="Note 2 2 3 3 3 2 2 2" xfId="30473" xr:uid="{00000000-0005-0000-0000-0000AF770000}"/>
    <cellStyle name="Note 2 2 3 3 3 2 2 2 2" xfId="30156" xr:uid="{00000000-0005-0000-0000-0000B0770000}"/>
    <cellStyle name="Note 2 2 3 3 3 2 2 3" xfId="23829" xr:uid="{00000000-0005-0000-0000-0000B1770000}"/>
    <cellStyle name="Note 2 2 3 3 3 2 3" xfId="31732" xr:uid="{00000000-0005-0000-0000-0000B2770000}"/>
    <cellStyle name="Note 2 2 3 3 3 2 3 2" xfId="31566" xr:uid="{00000000-0005-0000-0000-0000B3770000}"/>
    <cellStyle name="Note 2 2 3 3 3 2 4" xfId="29894" xr:uid="{00000000-0005-0000-0000-0000B4770000}"/>
    <cellStyle name="Note 2 2 3 3 3 3" xfId="30839" xr:uid="{00000000-0005-0000-0000-0000B5770000}"/>
    <cellStyle name="Note 2 2 3 3 3 3 2" xfId="31739" xr:uid="{00000000-0005-0000-0000-0000B6770000}"/>
    <cellStyle name="Note 2 2 3 3 3 3 2 2" xfId="30181" xr:uid="{00000000-0005-0000-0000-0000B7770000}"/>
    <cellStyle name="Note 2 2 3 3 3 3 3" xfId="31571" xr:uid="{00000000-0005-0000-0000-0000B8770000}"/>
    <cellStyle name="Note 2 2 3 3 3 4" xfId="18299" xr:uid="{00000000-0005-0000-0000-0000B9770000}"/>
    <cellStyle name="Note 2 2 3 3 3 4 2" xfId="4956" xr:uid="{00000000-0005-0000-0000-0000BA770000}"/>
    <cellStyle name="Note 2 2 3 3 3 5" xfId="30195" xr:uid="{00000000-0005-0000-0000-0000BB770000}"/>
    <cellStyle name="Note 2 2 3 3 4" xfId="31580" xr:uid="{00000000-0005-0000-0000-0000BC770000}"/>
    <cellStyle name="Note 2 2 3 3 4 2" xfId="32590" xr:uid="{00000000-0005-0000-0000-0000BD770000}"/>
    <cellStyle name="Note 2 2 3 3 4 2 2" xfId="27540" xr:uid="{00000000-0005-0000-0000-0000BE770000}"/>
    <cellStyle name="Note 2 2 3 3 4 2 2 2" xfId="28450" xr:uid="{00000000-0005-0000-0000-0000BF770000}"/>
    <cellStyle name="Note 2 2 3 3 4 2 3" xfId="21338" xr:uid="{00000000-0005-0000-0000-0000C0770000}"/>
    <cellStyle name="Note 2 2 3 3 4 3" xfId="31754" xr:uid="{00000000-0005-0000-0000-0000C1770000}"/>
    <cellStyle name="Note 2 2 3 3 4 3 2" xfId="31587" xr:uid="{00000000-0005-0000-0000-0000C2770000}"/>
    <cellStyle name="Note 2 2 3 3 4 4" xfId="31590" xr:uid="{00000000-0005-0000-0000-0000C3770000}"/>
    <cellStyle name="Note 2 2 3 3 5" xfId="30789" xr:uid="{00000000-0005-0000-0000-0000C4770000}"/>
    <cellStyle name="Note 2 2 3 3 5 2" xfId="29495" xr:uid="{00000000-0005-0000-0000-0000C5770000}"/>
    <cellStyle name="Note 2 2 3 3 5 2 2" xfId="30823" xr:uid="{00000000-0005-0000-0000-0000C6770000}"/>
    <cellStyle name="Note 2 2 3 3 5 3" xfId="31597" xr:uid="{00000000-0005-0000-0000-0000C7770000}"/>
    <cellStyle name="Note 2 2 3 3 6" xfId="20777" xr:uid="{00000000-0005-0000-0000-0000C8770000}"/>
    <cellStyle name="Note 2 2 3 3 6 2" xfId="15955" xr:uid="{00000000-0005-0000-0000-0000C9770000}"/>
    <cellStyle name="Note 2 2 3 3 7" xfId="20787" xr:uid="{00000000-0005-0000-0000-0000CA770000}"/>
    <cellStyle name="Note 2 2 3 4" xfId="9955" xr:uid="{00000000-0005-0000-0000-0000CB770000}"/>
    <cellStyle name="Note 2 2 3 4 2" xfId="6034" xr:uid="{00000000-0005-0000-0000-0000CC770000}"/>
    <cellStyle name="Note 2 2 3 4 2 2" xfId="31599" xr:uid="{00000000-0005-0000-0000-0000CD770000}"/>
    <cellStyle name="Note 2 2 3 4 2 2 2" xfId="31602" xr:uid="{00000000-0005-0000-0000-0000CE770000}"/>
    <cellStyle name="Note 2 2 3 4 2 2 2 2" xfId="20656" xr:uid="{00000000-0005-0000-0000-0000CF770000}"/>
    <cellStyle name="Note 2 2 3 4 2 2 2 2 2" xfId="24436" xr:uid="{00000000-0005-0000-0000-0000D0770000}"/>
    <cellStyle name="Note 2 2 3 4 2 2 2 3" xfId="31604" xr:uid="{00000000-0005-0000-0000-0000D1770000}"/>
    <cellStyle name="Note 2 2 3 4 2 2 3" xfId="31780" xr:uid="{00000000-0005-0000-0000-0000D2770000}"/>
    <cellStyle name="Note 2 2 3 4 2 2 3 2" xfId="31608" xr:uid="{00000000-0005-0000-0000-0000D3770000}"/>
    <cellStyle name="Note 2 2 3 4 2 2 4" xfId="31401" xr:uid="{00000000-0005-0000-0000-0000D4770000}"/>
    <cellStyle name="Note 2 2 3 4 2 3" xfId="30862" xr:uid="{00000000-0005-0000-0000-0000D5770000}"/>
    <cellStyle name="Note 2 2 3 4 2 3 2" xfId="33504" xr:uid="{00000000-0005-0000-0000-0000D6770000}"/>
    <cellStyle name="Note 2 2 3 4 2 3 2 2" xfId="30050" xr:uid="{00000000-0005-0000-0000-0000D7770000}"/>
    <cellStyle name="Note 2 2 3 4 2 3 3" xfId="31617" xr:uid="{00000000-0005-0000-0000-0000D8770000}"/>
    <cellStyle name="Note 2 2 3 4 2 4" xfId="3820" xr:uid="{00000000-0005-0000-0000-0000D9770000}"/>
    <cellStyle name="Note 2 2 3 4 2 4 2" xfId="12253" xr:uid="{00000000-0005-0000-0000-0000DA770000}"/>
    <cellStyle name="Note 2 2 3 4 2 5" xfId="30062" xr:uid="{00000000-0005-0000-0000-0000DB770000}"/>
    <cellStyle name="Note 2 2 3 4 3" xfId="33974" xr:uid="{00000000-0005-0000-0000-0000DC770000}"/>
    <cellStyle name="Note 2 2 3 4 3 2" xfId="2347" xr:uid="{00000000-0005-0000-0000-0000DD770000}"/>
    <cellStyle name="Note 2 2 3 4 3 2 2" xfId="33881" xr:uid="{00000000-0005-0000-0000-0000DE770000}"/>
    <cellStyle name="Note 2 2 3 4 3 2 2 2" xfId="11093" xr:uid="{00000000-0005-0000-0000-0000DF770000}"/>
    <cellStyle name="Note 2 2 3 4 3 2 3" xfId="31622" xr:uid="{00000000-0005-0000-0000-0000E0770000}"/>
    <cellStyle name="Note 2 2 3 4 3 3" xfId="31851" xr:uid="{00000000-0005-0000-0000-0000E1770000}"/>
    <cellStyle name="Note 2 2 3 4 3 3 2" xfId="30208" xr:uid="{00000000-0005-0000-0000-0000E2770000}"/>
    <cellStyle name="Note 2 2 3 4 3 4" xfId="31870" xr:uid="{00000000-0005-0000-0000-0000E3770000}"/>
    <cellStyle name="Note 2 2 3 4 4" xfId="33871" xr:uid="{00000000-0005-0000-0000-0000E4770000}"/>
    <cellStyle name="Note 2 2 3 4 4 2" xfId="28090" xr:uid="{00000000-0005-0000-0000-0000E5770000}"/>
    <cellStyle name="Note 2 2 3 4 4 2 2" xfId="31647" xr:uid="{00000000-0005-0000-0000-0000E6770000}"/>
    <cellStyle name="Note 2 2 3 4 4 3" xfId="23960" xr:uid="{00000000-0005-0000-0000-0000E7770000}"/>
    <cellStyle name="Note 2 2 3 4 5" xfId="4703" xr:uid="{00000000-0005-0000-0000-0000E8770000}"/>
    <cellStyle name="Note 2 2 3 4 5 2" xfId="28108" xr:uid="{00000000-0005-0000-0000-0000E9770000}"/>
    <cellStyle name="Note 2 2 3 4 6" xfId="20804" xr:uid="{00000000-0005-0000-0000-0000EA770000}"/>
    <cellStyle name="Note 2 2 3 5" xfId="3744" xr:uid="{00000000-0005-0000-0000-0000EB770000}"/>
    <cellStyle name="Note 2 2 3 5 2" xfId="31628" xr:uid="{00000000-0005-0000-0000-0000EC770000}"/>
    <cellStyle name="Note 2 2 3 5 2 2" xfId="31630" xr:uid="{00000000-0005-0000-0000-0000ED770000}"/>
    <cellStyle name="Note 2 2 3 5 2 2 2" xfId="31822" xr:uid="{00000000-0005-0000-0000-0000EE770000}"/>
    <cellStyle name="Note 2 2 3 5 2 2 2 2" xfId="559" xr:uid="{00000000-0005-0000-0000-0000EF770000}"/>
    <cellStyle name="Note 2 2 3 5 2 2 3" xfId="31632" xr:uid="{00000000-0005-0000-0000-0000F0770000}"/>
    <cellStyle name="Note 2 2 3 5 2 3" xfId="26781" xr:uid="{00000000-0005-0000-0000-0000F1770000}"/>
    <cellStyle name="Note 2 2 3 5 2 3 2" xfId="31634" xr:uid="{00000000-0005-0000-0000-0000F2770000}"/>
    <cellStyle name="Note 2 2 3 5 2 4" xfId="33383" xr:uid="{00000000-0005-0000-0000-0000F3770000}"/>
    <cellStyle name="Note 2 2 3 5 3" xfId="33796" xr:uid="{00000000-0005-0000-0000-0000F4770000}"/>
    <cellStyle name="Note 2 2 3 5 3 2" xfId="33226" xr:uid="{00000000-0005-0000-0000-0000F5770000}"/>
    <cellStyle name="Note 2 2 3 5 3 2 2" xfId="33769" xr:uid="{00000000-0005-0000-0000-0000F6770000}"/>
    <cellStyle name="Note 2 2 3 5 3 3" xfId="31778" xr:uid="{00000000-0005-0000-0000-0000F7770000}"/>
    <cellStyle name="Note 2 2 3 5 4" xfId="23730" xr:uid="{00000000-0005-0000-0000-0000F8770000}"/>
    <cellStyle name="Note 2 2 3 5 4 2" xfId="31637" xr:uid="{00000000-0005-0000-0000-0000F9770000}"/>
    <cellStyle name="Note 2 2 3 5 5" xfId="28119" xr:uid="{00000000-0005-0000-0000-0000FA770000}"/>
    <cellStyle name="Note 2 2 3 6" xfId="22243" xr:uid="{00000000-0005-0000-0000-0000FB770000}"/>
    <cellStyle name="Note 2 2 3 6 2" xfId="23766" xr:uid="{00000000-0005-0000-0000-0000FC770000}"/>
    <cellStyle name="Note 2 2 3 6 2 2" xfId="32580" xr:uid="{00000000-0005-0000-0000-0000FD770000}"/>
    <cellStyle name="Note 2 2 3 6 2 2 2" xfId="30947" xr:uid="{00000000-0005-0000-0000-0000FE770000}"/>
    <cellStyle name="Note 2 2 3 6 2 3" xfId="29699" xr:uid="{00000000-0005-0000-0000-0000FF770000}"/>
    <cellStyle name="Note 2 2 3 6 3" xfId="25606" xr:uid="{00000000-0005-0000-0000-000000780000}"/>
    <cellStyle name="Note 2 2 3 6 3 2" xfId="33439" xr:uid="{00000000-0005-0000-0000-000001780000}"/>
    <cellStyle name="Note 2 2 3 6 4" xfId="30173" xr:uid="{00000000-0005-0000-0000-000002780000}"/>
    <cellStyle name="Note 2 2 3 7" xfId="22254" xr:uid="{00000000-0005-0000-0000-000003780000}"/>
    <cellStyle name="Note 2 2 3 7 2" xfId="33857" xr:uid="{00000000-0005-0000-0000-000004780000}"/>
    <cellStyle name="Note 2 2 3 7 2 2" xfId="29505" xr:uid="{00000000-0005-0000-0000-000005780000}"/>
    <cellStyle name="Note 2 2 3 7 3" xfId="31650" xr:uid="{00000000-0005-0000-0000-000006780000}"/>
    <cellStyle name="Note 2 2 3 8" xfId="9448" xr:uid="{00000000-0005-0000-0000-000007780000}"/>
    <cellStyle name="Note 2 2 3 8 2" xfId="33469" xr:uid="{00000000-0005-0000-0000-000008780000}"/>
    <cellStyle name="Note 2 2 3 9" xfId="28055" xr:uid="{00000000-0005-0000-0000-000009780000}"/>
    <cellStyle name="Note 2 2 4" xfId="12886" xr:uid="{00000000-0005-0000-0000-00000A780000}"/>
    <cellStyle name="Note 2 2 4 2" xfId="13734" xr:uid="{00000000-0005-0000-0000-00000B780000}"/>
    <cellStyle name="Note 2 2 4 2 2" xfId="31658" xr:uid="{00000000-0005-0000-0000-00000C780000}"/>
    <cellStyle name="Note 2 2 4 2 2 2" xfId="19198" xr:uid="{00000000-0005-0000-0000-00000D780000}"/>
    <cellStyle name="Note 2 2 4 2 2 2 2" xfId="32839" xr:uid="{00000000-0005-0000-0000-00000E780000}"/>
    <cellStyle name="Note 2 2 4 2 2 2 2 2" xfId="29906" xr:uid="{00000000-0005-0000-0000-00000F780000}"/>
    <cellStyle name="Note 2 2 4 2 2 2 2 2 2" xfId="29907" xr:uid="{00000000-0005-0000-0000-000010780000}"/>
    <cellStyle name="Note 2 2 4 2 2 2 2 2 2 2" xfId="28480" xr:uid="{00000000-0005-0000-0000-000011780000}"/>
    <cellStyle name="Note 2 2 4 2 2 2 2 2 3" xfId="31659" xr:uid="{00000000-0005-0000-0000-000012780000}"/>
    <cellStyle name="Note 2 2 4 2 2 2 2 3" xfId="23619" xr:uid="{00000000-0005-0000-0000-000013780000}"/>
    <cellStyle name="Note 2 2 4 2 2 2 2 3 2" xfId="27175" xr:uid="{00000000-0005-0000-0000-000014780000}"/>
    <cellStyle name="Note 2 2 4 2 2 2 2 4" xfId="29912" xr:uid="{00000000-0005-0000-0000-000015780000}"/>
    <cellStyle name="Note 2 2 4 2 2 2 3" xfId="32096" xr:uid="{00000000-0005-0000-0000-000016780000}"/>
    <cellStyle name="Note 2 2 4 2 2 2 3 2" xfId="33649" xr:uid="{00000000-0005-0000-0000-000017780000}"/>
    <cellStyle name="Note 2 2 4 2 2 2 3 2 2" xfId="26407" xr:uid="{00000000-0005-0000-0000-000018780000}"/>
    <cellStyle name="Note 2 2 4 2 2 2 3 3" xfId="31212" xr:uid="{00000000-0005-0000-0000-000019780000}"/>
    <cellStyle name="Note 2 2 4 2 2 2 4" xfId="33929" xr:uid="{00000000-0005-0000-0000-00001A780000}"/>
    <cellStyle name="Note 2 2 4 2 2 2 4 2" xfId="31663" xr:uid="{00000000-0005-0000-0000-00001B780000}"/>
    <cellStyle name="Note 2 2 4 2 2 2 5" xfId="29986" xr:uid="{00000000-0005-0000-0000-00001C780000}"/>
    <cellStyle name="Note 2 2 4 2 2 3" xfId="32101" xr:uid="{00000000-0005-0000-0000-00001D780000}"/>
    <cellStyle name="Note 2 2 4 2 2 3 2" xfId="28583" xr:uid="{00000000-0005-0000-0000-00001E780000}"/>
    <cellStyle name="Note 2 2 4 2 2 3 2 2" xfId="31664" xr:uid="{00000000-0005-0000-0000-00001F780000}"/>
    <cellStyle name="Note 2 2 4 2 2 3 2 2 2" xfId="25719" xr:uid="{00000000-0005-0000-0000-000020780000}"/>
    <cellStyle name="Note 2 2 4 2 2 3 2 3" xfId="29943" xr:uid="{00000000-0005-0000-0000-000021780000}"/>
    <cellStyle name="Note 2 2 4 2 2 3 3" xfId="29627" xr:uid="{00000000-0005-0000-0000-000022780000}"/>
    <cellStyle name="Note 2 2 4 2 2 3 3 2" xfId="31667" xr:uid="{00000000-0005-0000-0000-000023780000}"/>
    <cellStyle name="Note 2 2 4 2 2 3 4" xfId="31670" xr:uid="{00000000-0005-0000-0000-000024780000}"/>
    <cellStyle name="Note 2 2 4 2 2 4" xfId="4640" xr:uid="{00000000-0005-0000-0000-000025780000}"/>
    <cellStyle name="Note 2 2 4 2 2 4 2" xfId="9015" xr:uid="{00000000-0005-0000-0000-000026780000}"/>
    <cellStyle name="Note 2 2 4 2 2 4 2 2" xfId="28951" xr:uid="{00000000-0005-0000-0000-000027780000}"/>
    <cellStyle name="Note 2 2 4 2 2 4 3" xfId="31672" xr:uid="{00000000-0005-0000-0000-000028780000}"/>
    <cellStyle name="Note 2 2 4 2 2 5" xfId="4649" xr:uid="{00000000-0005-0000-0000-000029780000}"/>
    <cellStyle name="Note 2 2 4 2 2 5 2" xfId="31673" xr:uid="{00000000-0005-0000-0000-00002A780000}"/>
    <cellStyle name="Note 2 2 4 2 2 6" xfId="31967" xr:uid="{00000000-0005-0000-0000-00002B780000}"/>
    <cellStyle name="Note 2 2 4 2 3" xfId="16955" xr:uid="{00000000-0005-0000-0000-00002C780000}"/>
    <cellStyle name="Note 2 2 4 2 3 2" xfId="31675" xr:uid="{00000000-0005-0000-0000-00002D780000}"/>
    <cellStyle name="Note 2 2 4 2 3 2 2" xfId="33764" xr:uid="{00000000-0005-0000-0000-00002E780000}"/>
    <cellStyle name="Note 2 2 4 2 3 2 2 2" xfId="31677" xr:uid="{00000000-0005-0000-0000-00002F780000}"/>
    <cellStyle name="Note 2 2 4 2 3 2 2 2 2" xfId="28952" xr:uid="{00000000-0005-0000-0000-000030780000}"/>
    <cellStyle name="Note 2 2 4 2 3 2 2 3" xfId="24491" xr:uid="{00000000-0005-0000-0000-000031780000}"/>
    <cellStyle name="Note 2 2 4 2 3 2 3" xfId="31683" xr:uid="{00000000-0005-0000-0000-000032780000}"/>
    <cellStyle name="Note 2 2 4 2 3 2 3 2" xfId="31684" xr:uid="{00000000-0005-0000-0000-000033780000}"/>
    <cellStyle name="Note 2 2 4 2 3 2 4" xfId="22684" xr:uid="{00000000-0005-0000-0000-000034780000}"/>
    <cellStyle name="Note 2 2 4 2 3 3" xfId="31693" xr:uid="{00000000-0005-0000-0000-000035780000}"/>
    <cellStyle name="Note 2 2 4 2 3 3 2" xfId="31695" xr:uid="{00000000-0005-0000-0000-000036780000}"/>
    <cellStyle name="Note 2 2 4 2 3 3 2 2" xfId="31700" xr:uid="{00000000-0005-0000-0000-000037780000}"/>
    <cellStyle name="Note 2 2 4 2 3 3 3" xfId="31702" xr:uid="{00000000-0005-0000-0000-000038780000}"/>
    <cellStyle name="Note 2 2 4 2 3 4" xfId="18321" xr:uid="{00000000-0005-0000-0000-000039780000}"/>
    <cellStyle name="Note 2 2 4 2 3 4 2" xfId="26147" xr:uid="{00000000-0005-0000-0000-00003A780000}"/>
    <cellStyle name="Note 2 2 4 2 3 5" xfId="28065" xr:uid="{00000000-0005-0000-0000-00003B780000}"/>
    <cellStyle name="Note 2 2 4 2 4" xfId="29697" xr:uid="{00000000-0005-0000-0000-00003C780000}"/>
    <cellStyle name="Note 2 2 4 2 4 2" xfId="5318" xr:uid="{00000000-0005-0000-0000-00003D780000}"/>
    <cellStyle name="Note 2 2 4 2 4 2 2" xfId="15086" xr:uid="{00000000-0005-0000-0000-00003E780000}"/>
    <cellStyle name="Note 2 2 4 2 4 2 2 2" xfId="32267" xr:uid="{00000000-0005-0000-0000-00003F780000}"/>
    <cellStyle name="Note 2 2 4 2 4 2 3" xfId="15091" xr:uid="{00000000-0005-0000-0000-000040780000}"/>
    <cellStyle name="Note 2 2 4 2 4 3" xfId="5328" xr:uid="{00000000-0005-0000-0000-000041780000}"/>
    <cellStyle name="Note 2 2 4 2 4 3 2" xfId="6165" xr:uid="{00000000-0005-0000-0000-000042780000}"/>
    <cellStyle name="Note 2 2 4 2 4 4" xfId="28917" xr:uid="{00000000-0005-0000-0000-000043780000}"/>
    <cellStyle name="Note 2 2 4 2 5" xfId="29696" xr:uid="{00000000-0005-0000-0000-000044780000}"/>
    <cellStyle name="Note 2 2 4 2 5 2" xfId="5341" xr:uid="{00000000-0005-0000-0000-000045780000}"/>
    <cellStyle name="Note 2 2 4 2 5 2 2" xfId="26395" xr:uid="{00000000-0005-0000-0000-000046780000}"/>
    <cellStyle name="Note 2 2 4 2 5 3" xfId="30923" xr:uid="{00000000-0005-0000-0000-000047780000}"/>
    <cellStyle name="Note 2 2 4 2 6" xfId="20827" xr:uid="{00000000-0005-0000-0000-000048780000}"/>
    <cellStyle name="Note 2 2 4 2 6 2" xfId="17415" xr:uid="{00000000-0005-0000-0000-000049780000}"/>
    <cellStyle name="Note 2 2 4 2 7" xfId="23803" xr:uid="{00000000-0005-0000-0000-00004A780000}"/>
    <cellStyle name="Note 2 2 4 3" xfId="17252" xr:uid="{00000000-0005-0000-0000-00004B780000}"/>
    <cellStyle name="Note 2 2 4 3 2" xfId="33798" xr:uid="{00000000-0005-0000-0000-00004C780000}"/>
    <cellStyle name="Note 2 2 4 3 2 2" xfId="22037" xr:uid="{00000000-0005-0000-0000-00004D780000}"/>
    <cellStyle name="Note 2 2 4 3 2 2 2" xfId="27580" xr:uid="{00000000-0005-0000-0000-00004E780000}"/>
    <cellStyle name="Note 2 2 4 3 2 2 2 2" xfId="17824" xr:uid="{00000000-0005-0000-0000-00004F780000}"/>
    <cellStyle name="Note 2 2 4 3 2 2 2 2 2" xfId="17828" xr:uid="{00000000-0005-0000-0000-000050780000}"/>
    <cellStyle name="Note 2 2 4 3 2 2 2 3" xfId="17840" xr:uid="{00000000-0005-0000-0000-000051780000}"/>
    <cellStyle name="Note 2 2 4 3 2 2 3" xfId="26350" xr:uid="{00000000-0005-0000-0000-000052780000}"/>
    <cellStyle name="Note 2 2 4 3 2 2 3 2" xfId="17865" xr:uid="{00000000-0005-0000-0000-000053780000}"/>
    <cellStyle name="Note 2 2 4 3 2 2 4" xfId="31708" xr:uid="{00000000-0005-0000-0000-000054780000}"/>
    <cellStyle name="Note 2 2 4 3 2 3" xfId="22052" xr:uid="{00000000-0005-0000-0000-000055780000}"/>
    <cellStyle name="Note 2 2 4 3 2 3 2" xfId="24284" xr:uid="{00000000-0005-0000-0000-000056780000}"/>
    <cellStyle name="Note 2 2 4 3 2 3 2 2" xfId="18206" xr:uid="{00000000-0005-0000-0000-000057780000}"/>
    <cellStyle name="Note 2 2 4 3 2 3 3" xfId="28897" xr:uid="{00000000-0005-0000-0000-000058780000}"/>
    <cellStyle name="Note 2 2 4 3 2 4" xfId="3863" xr:uid="{00000000-0005-0000-0000-000059780000}"/>
    <cellStyle name="Note 2 2 4 3 2 4 2" xfId="4292" xr:uid="{00000000-0005-0000-0000-00005A780000}"/>
    <cellStyle name="Note 2 2 4 3 2 5" xfId="23778" xr:uid="{00000000-0005-0000-0000-00005B780000}"/>
    <cellStyle name="Note 2 2 4 3 3" xfId="33096" xr:uid="{00000000-0005-0000-0000-00005C780000}"/>
    <cellStyle name="Note 2 2 4 3 3 2" xfId="22055" xr:uid="{00000000-0005-0000-0000-00005D780000}"/>
    <cellStyle name="Note 2 2 4 3 3 2 2" xfId="31719" xr:uid="{00000000-0005-0000-0000-00005E780000}"/>
    <cellStyle name="Note 2 2 4 3 3 2 2 2" xfId="19722" xr:uid="{00000000-0005-0000-0000-00005F780000}"/>
    <cellStyle name="Note 2 2 4 3 3 2 3" xfId="32696" xr:uid="{00000000-0005-0000-0000-000060780000}"/>
    <cellStyle name="Note 2 2 4 3 3 3" xfId="31723" xr:uid="{00000000-0005-0000-0000-000061780000}"/>
    <cellStyle name="Note 2 2 4 3 3 3 2" xfId="32712" xr:uid="{00000000-0005-0000-0000-000062780000}"/>
    <cellStyle name="Note 2 2 4 3 3 4" xfId="27203" xr:uid="{00000000-0005-0000-0000-000063780000}"/>
    <cellStyle name="Note 2 2 4 3 4" xfId="31730" xr:uid="{00000000-0005-0000-0000-000064780000}"/>
    <cellStyle name="Note 2 2 4 3 4 2" xfId="5450" xr:uid="{00000000-0005-0000-0000-000065780000}"/>
    <cellStyle name="Note 2 2 4 3 4 2 2" xfId="15108" xr:uid="{00000000-0005-0000-0000-000066780000}"/>
    <cellStyle name="Note 2 2 4 3 4 3" xfId="31736" xr:uid="{00000000-0005-0000-0000-000067780000}"/>
    <cellStyle name="Note 2 2 4 3 5" xfId="20110" xr:uid="{00000000-0005-0000-0000-000068780000}"/>
    <cellStyle name="Note 2 2 4 3 5 2" xfId="31740" xr:uid="{00000000-0005-0000-0000-000069780000}"/>
    <cellStyle name="Note 2 2 4 3 6" xfId="15067" xr:uid="{00000000-0005-0000-0000-00006A780000}"/>
    <cellStyle name="Note 2 2 4 4" xfId="15026" xr:uid="{00000000-0005-0000-0000-00006B780000}"/>
    <cellStyle name="Note 2 2 4 4 2" xfId="31125" xr:uid="{00000000-0005-0000-0000-00006C780000}"/>
    <cellStyle name="Note 2 2 4 4 2 2" xfId="22157" xr:uid="{00000000-0005-0000-0000-00006D780000}"/>
    <cellStyle name="Note 2 2 4 4 2 2 2" xfId="14" xr:uid="{00000000-0005-0000-0000-00006E780000}"/>
    <cellStyle name="Note 2 2 4 4 2 2 2 2" xfId="33233" xr:uid="{00000000-0005-0000-0000-00006F780000}"/>
    <cellStyle name="Note 2 2 4 4 2 2 3" xfId="31746" xr:uid="{00000000-0005-0000-0000-000070780000}"/>
    <cellStyle name="Note 2 2 4 4 2 3" xfId="32371" xr:uid="{00000000-0005-0000-0000-000071780000}"/>
    <cellStyle name="Note 2 2 4 4 2 3 2" xfId="31782" xr:uid="{00000000-0005-0000-0000-000072780000}"/>
    <cellStyle name="Note 2 2 4 4 2 4" xfId="26266" xr:uid="{00000000-0005-0000-0000-000073780000}"/>
    <cellStyle name="Note 2 2 4 4 3" xfId="33981" xr:uid="{00000000-0005-0000-0000-000074780000}"/>
    <cellStyle name="Note 2 2 4 4 3 2" xfId="33933" xr:uid="{00000000-0005-0000-0000-000075780000}"/>
    <cellStyle name="Note 2 2 4 4 3 2 2" xfId="32863" xr:uid="{00000000-0005-0000-0000-000076780000}"/>
    <cellStyle name="Note 2 2 4 4 3 3" xfId="31800" xr:uid="{00000000-0005-0000-0000-000077780000}"/>
    <cellStyle name="Note 2 2 4 4 4" xfId="23134" xr:uid="{00000000-0005-0000-0000-000078780000}"/>
    <cellStyle name="Note 2 2 4 4 4 2" xfId="28135" xr:uid="{00000000-0005-0000-0000-000079780000}"/>
    <cellStyle name="Note 2 2 4 4 5" xfId="28142" xr:uid="{00000000-0005-0000-0000-00007A780000}"/>
    <cellStyle name="Note 2 2 4 5" xfId="26221" xr:uid="{00000000-0005-0000-0000-00007B780000}"/>
    <cellStyle name="Note 2 2 4 5 2" xfId="31757" xr:uid="{00000000-0005-0000-0000-00007C780000}"/>
    <cellStyle name="Note 2 2 4 5 2 2" xfId="34021" xr:uid="{00000000-0005-0000-0000-00007D780000}"/>
    <cellStyle name="Note 2 2 4 5 2 2 2" xfId="31762" xr:uid="{00000000-0005-0000-0000-00007E780000}"/>
    <cellStyle name="Note 2 2 4 5 2 3" xfId="31899" xr:uid="{00000000-0005-0000-0000-00007F780000}"/>
    <cellStyle name="Note 2 2 4 5 3" xfId="31764" xr:uid="{00000000-0005-0000-0000-000080780000}"/>
    <cellStyle name="Note 2 2 4 5 3 2" xfId="31766" xr:uid="{00000000-0005-0000-0000-000081780000}"/>
    <cellStyle name="Note 2 2 4 5 4" xfId="30201" xr:uid="{00000000-0005-0000-0000-000082780000}"/>
    <cellStyle name="Note 2 2 4 6" xfId="31166" xr:uid="{00000000-0005-0000-0000-000083780000}"/>
    <cellStyle name="Note 2 2 4 6 2" xfId="31771" xr:uid="{00000000-0005-0000-0000-000084780000}"/>
    <cellStyle name="Note 2 2 4 6 2 2" xfId="31774" xr:uid="{00000000-0005-0000-0000-000085780000}"/>
    <cellStyle name="Note 2 2 4 6 3" xfId="31775" xr:uid="{00000000-0005-0000-0000-000086780000}"/>
    <cellStyle name="Note 2 2 4 7" xfId="22262" xr:uid="{00000000-0005-0000-0000-000087780000}"/>
    <cellStyle name="Note 2 2 4 7 2" xfId="31777" xr:uid="{00000000-0005-0000-0000-000088780000}"/>
    <cellStyle name="Note 2 2 4 8" xfId="31220" xr:uid="{00000000-0005-0000-0000-000089780000}"/>
    <cellStyle name="Note 2 2 5" xfId="6494" xr:uid="{00000000-0005-0000-0000-00008A780000}"/>
    <cellStyle name="Note 2 2 5 2" xfId="29361" xr:uid="{00000000-0005-0000-0000-00008B780000}"/>
    <cellStyle name="Note 2 2 5 2 2" xfId="29366" xr:uid="{00000000-0005-0000-0000-00008C780000}"/>
    <cellStyle name="Note 2 2 5 2 2 2" xfId="25031" xr:uid="{00000000-0005-0000-0000-00008D780000}"/>
    <cellStyle name="Note 2 2 5 2 2 2 2" xfId="32549" xr:uid="{00000000-0005-0000-0000-00008E780000}"/>
    <cellStyle name="Note 2 2 5 2 2 2 2 2" xfId="33501" xr:uid="{00000000-0005-0000-0000-00008F780000}"/>
    <cellStyle name="Note 2 2 5 2 2 2 2 2 2" xfId="26089" xr:uid="{00000000-0005-0000-0000-000090780000}"/>
    <cellStyle name="Note 2 2 5 2 2 2 2 3" xfId="27598" xr:uid="{00000000-0005-0000-0000-000091780000}"/>
    <cellStyle name="Note 2 2 5 2 2 2 3" xfId="32275" xr:uid="{00000000-0005-0000-0000-000092780000}"/>
    <cellStyle name="Note 2 2 5 2 2 2 3 2" xfId="2293" xr:uid="{00000000-0005-0000-0000-000093780000}"/>
    <cellStyle name="Note 2 2 5 2 2 2 4" xfId="31859" xr:uid="{00000000-0005-0000-0000-000094780000}"/>
    <cellStyle name="Note 2 2 5 2 2 3" xfId="32334" xr:uid="{00000000-0005-0000-0000-000095780000}"/>
    <cellStyle name="Note 2 2 5 2 2 3 2" xfId="31849" xr:uid="{00000000-0005-0000-0000-000096780000}"/>
    <cellStyle name="Note 2 2 5 2 2 3 2 2" xfId="31855" xr:uid="{00000000-0005-0000-0000-000097780000}"/>
    <cellStyle name="Note 2 2 5 2 2 3 3" xfId="31869" xr:uid="{00000000-0005-0000-0000-000098780000}"/>
    <cellStyle name="Note 2 2 5 2 2 4" xfId="4916" xr:uid="{00000000-0005-0000-0000-000099780000}"/>
    <cellStyle name="Note 2 2 5 2 2 4 2" xfId="31875" xr:uid="{00000000-0005-0000-0000-00009A780000}"/>
    <cellStyle name="Note 2 2 5 2 2 5" xfId="32163" xr:uid="{00000000-0005-0000-0000-00009B780000}"/>
    <cellStyle name="Note 2 2 5 2 3" xfId="14541" xr:uid="{00000000-0005-0000-0000-00009C780000}"/>
    <cellStyle name="Note 2 2 5 2 3 2" xfId="32338" xr:uid="{00000000-0005-0000-0000-00009D780000}"/>
    <cellStyle name="Note 2 2 5 2 3 2 2" xfId="32192" xr:uid="{00000000-0005-0000-0000-00009E780000}"/>
    <cellStyle name="Note 2 2 5 2 3 2 2 2" xfId="31633" xr:uid="{00000000-0005-0000-0000-00009F780000}"/>
    <cellStyle name="Note 2 2 5 2 3 2 3" xfId="33384" xr:uid="{00000000-0005-0000-0000-0000A0780000}"/>
    <cellStyle name="Note 2 2 5 2 3 3" xfId="32340" xr:uid="{00000000-0005-0000-0000-0000A1780000}"/>
    <cellStyle name="Note 2 2 5 2 3 3 2" xfId="31779" xr:uid="{00000000-0005-0000-0000-0000A2780000}"/>
    <cellStyle name="Note 2 2 5 2 3 4" xfId="33702" xr:uid="{00000000-0005-0000-0000-0000A3780000}"/>
    <cellStyle name="Note 2 2 5 2 4" xfId="14874" xr:uid="{00000000-0005-0000-0000-0000A4780000}"/>
    <cellStyle name="Note 2 2 5 2 4 2" xfId="5674" xr:uid="{00000000-0005-0000-0000-0000A5780000}"/>
    <cellStyle name="Note 2 2 5 2 4 2 2" xfId="9988" xr:uid="{00000000-0005-0000-0000-0000A6780000}"/>
    <cellStyle name="Note 2 2 5 2 4 3" xfId="31781" xr:uid="{00000000-0005-0000-0000-0000A7780000}"/>
    <cellStyle name="Note 2 2 5 2 5" xfId="11723" xr:uid="{00000000-0005-0000-0000-0000A8780000}"/>
    <cellStyle name="Note 2 2 5 2 5 2" xfId="32193" xr:uid="{00000000-0005-0000-0000-0000A9780000}"/>
    <cellStyle name="Note 2 2 5 2 6" xfId="20860" xr:uid="{00000000-0005-0000-0000-0000AA780000}"/>
    <cellStyle name="Note 2 2 5 3" xfId="29197" xr:uid="{00000000-0005-0000-0000-0000AB780000}"/>
    <cellStyle name="Note 2 2 5 3 2" xfId="29370" xr:uid="{00000000-0005-0000-0000-0000AC780000}"/>
    <cellStyle name="Note 2 2 5 3 2 2" xfId="22352" xr:uid="{00000000-0005-0000-0000-0000AD780000}"/>
    <cellStyle name="Note 2 2 5 3 2 2 2" xfId="32372" xr:uid="{00000000-0005-0000-0000-0000AE780000}"/>
    <cellStyle name="Note 2 2 5 3 2 2 2 2" xfId="31783" xr:uid="{00000000-0005-0000-0000-0000AF780000}"/>
    <cellStyle name="Note 2 2 5 3 2 2 3" xfId="31790" xr:uid="{00000000-0005-0000-0000-0000B0780000}"/>
    <cellStyle name="Note 2 2 5 3 2 3" xfId="32447" xr:uid="{00000000-0005-0000-0000-0000B1780000}"/>
    <cellStyle name="Note 2 2 5 3 2 3 2" xfId="31803" xr:uid="{00000000-0005-0000-0000-0000B2780000}"/>
    <cellStyle name="Note 2 2 5 3 2 4" xfId="31806" xr:uid="{00000000-0005-0000-0000-0000B3780000}"/>
    <cellStyle name="Note 2 2 5 3 3" xfId="3153" xr:uid="{00000000-0005-0000-0000-0000B4780000}"/>
    <cellStyle name="Note 2 2 5 3 3 2" xfId="32382" xr:uid="{00000000-0005-0000-0000-0000B5780000}"/>
    <cellStyle name="Note 2 2 5 3 3 2 2" xfId="31900" xr:uid="{00000000-0005-0000-0000-0000B6780000}"/>
    <cellStyle name="Note 2 2 5 3 3 3" xfId="31807" xr:uid="{00000000-0005-0000-0000-0000B7780000}"/>
    <cellStyle name="Note 2 2 5 3 4" xfId="7778" xr:uid="{00000000-0005-0000-0000-0000B8780000}"/>
    <cellStyle name="Note 2 2 5 3 4 2" xfId="33747" xr:uid="{00000000-0005-0000-0000-0000B9780000}"/>
    <cellStyle name="Note 2 2 5 3 5" xfId="27383" xr:uid="{00000000-0005-0000-0000-0000BA780000}"/>
    <cellStyle name="Note 2 2 5 4" xfId="29838" xr:uid="{00000000-0005-0000-0000-0000BB780000}"/>
    <cellStyle name="Note 2 2 5 4 2" xfId="29976" xr:uid="{00000000-0005-0000-0000-0000BC780000}"/>
    <cellStyle name="Note 2 2 5 4 2 2" xfId="33894" xr:uid="{00000000-0005-0000-0000-0000BD780000}"/>
    <cellStyle name="Note 2 2 5 4 2 2 2" xfId="32042" xr:uid="{00000000-0005-0000-0000-0000BE780000}"/>
    <cellStyle name="Note 2 2 5 4 2 3" xfId="31326" xr:uid="{00000000-0005-0000-0000-0000BF780000}"/>
    <cellStyle name="Note 2 2 5 4 3" xfId="2905" xr:uid="{00000000-0005-0000-0000-0000C0780000}"/>
    <cellStyle name="Note 2 2 5 4 3 2" xfId="27298" xr:uid="{00000000-0005-0000-0000-0000C1780000}"/>
    <cellStyle name="Note 2 2 5 4 4" xfId="27392" xr:uid="{00000000-0005-0000-0000-0000C2780000}"/>
    <cellStyle name="Note 2 2 5 5" xfId="31225" xr:uid="{00000000-0005-0000-0000-0000C3780000}"/>
    <cellStyle name="Note 2 2 5 5 2" xfId="1585" xr:uid="{00000000-0005-0000-0000-0000C4780000}"/>
    <cellStyle name="Note 2 2 5 5 2 2" xfId="31809" xr:uid="{00000000-0005-0000-0000-0000C5780000}"/>
    <cellStyle name="Note 2 2 5 5 3" xfId="33634" xr:uid="{00000000-0005-0000-0000-0000C6780000}"/>
    <cellStyle name="Note 2 2 5 6" xfId="30755" xr:uid="{00000000-0005-0000-0000-0000C7780000}"/>
    <cellStyle name="Note 2 2 5 6 2" xfId="26468" xr:uid="{00000000-0005-0000-0000-0000C8780000}"/>
    <cellStyle name="Note 2 2 5 7" xfId="31232" xr:uid="{00000000-0005-0000-0000-0000C9780000}"/>
    <cellStyle name="Note 2 2 6" xfId="17409" xr:uid="{00000000-0005-0000-0000-0000CA780000}"/>
    <cellStyle name="Note 2 2 6 2" xfId="31811" xr:uid="{00000000-0005-0000-0000-0000CB780000}"/>
    <cellStyle name="Note 2 2 6 2 2" xfId="31814" xr:uid="{00000000-0005-0000-0000-0000CC780000}"/>
    <cellStyle name="Note 2 2 6 2 2 2" xfId="26948" xr:uid="{00000000-0005-0000-0000-0000CD780000}"/>
    <cellStyle name="Note 2 2 6 2 2 2 2" xfId="13231" xr:uid="{00000000-0005-0000-0000-0000CE780000}"/>
    <cellStyle name="Note 2 2 6 2 2 2 2 2" xfId="13235" xr:uid="{00000000-0005-0000-0000-0000CF780000}"/>
    <cellStyle name="Note 2 2 6 2 2 2 3" xfId="13241" xr:uid="{00000000-0005-0000-0000-0000D0780000}"/>
    <cellStyle name="Note 2 2 6 2 2 3" xfId="32479" xr:uid="{00000000-0005-0000-0000-0000D1780000}"/>
    <cellStyle name="Note 2 2 6 2 2 3 2" xfId="13256" xr:uid="{00000000-0005-0000-0000-0000D2780000}"/>
    <cellStyle name="Note 2 2 6 2 2 4" xfId="33482" xr:uid="{00000000-0005-0000-0000-0000D3780000}"/>
    <cellStyle name="Note 2 2 6 2 3" xfId="14529" xr:uid="{00000000-0005-0000-0000-0000D4780000}"/>
    <cellStyle name="Note 2 2 6 2 3 2" xfId="33920" xr:uid="{00000000-0005-0000-0000-0000D5780000}"/>
    <cellStyle name="Note 2 2 6 2 3 2 2" xfId="31815" xr:uid="{00000000-0005-0000-0000-0000D6780000}"/>
    <cellStyle name="Note 2 2 6 2 3 3" xfId="31816" xr:uid="{00000000-0005-0000-0000-0000D7780000}"/>
    <cellStyle name="Note 2 2 6 2 4" xfId="14535" xr:uid="{00000000-0005-0000-0000-0000D8780000}"/>
    <cellStyle name="Note 2 2 6 2 4 2" xfId="31825" xr:uid="{00000000-0005-0000-0000-0000D9780000}"/>
    <cellStyle name="Note 2 2 6 2 5" xfId="31826" xr:uid="{00000000-0005-0000-0000-0000DA780000}"/>
    <cellStyle name="Note 2 2 6 3" xfId="19653" xr:uid="{00000000-0005-0000-0000-0000DB780000}"/>
    <cellStyle name="Note 2 2 6 3 2" xfId="19013" xr:uid="{00000000-0005-0000-0000-0000DC780000}"/>
    <cellStyle name="Note 2 2 6 3 2 2" xfId="19018" xr:uid="{00000000-0005-0000-0000-0000DD780000}"/>
    <cellStyle name="Note 2 2 6 3 2 2 2" xfId="32739" xr:uid="{00000000-0005-0000-0000-0000DE780000}"/>
    <cellStyle name="Note 2 2 6 3 2 3" xfId="19022" xr:uid="{00000000-0005-0000-0000-0000DF780000}"/>
    <cellStyle name="Note 2 2 6 3 3" xfId="6000" xr:uid="{00000000-0005-0000-0000-0000E0780000}"/>
    <cellStyle name="Note 2 2 6 3 3 2" xfId="27755" xr:uid="{00000000-0005-0000-0000-0000E1780000}"/>
    <cellStyle name="Note 2 2 6 3 4" xfId="27758" xr:uid="{00000000-0005-0000-0000-0000E2780000}"/>
    <cellStyle name="Note 2 2 6 4" xfId="31944" xr:uid="{00000000-0005-0000-0000-0000E3780000}"/>
    <cellStyle name="Note 2 2 6 4 2" xfId="5754" xr:uid="{00000000-0005-0000-0000-0000E4780000}"/>
    <cellStyle name="Note 2 2 6 4 2 2" xfId="19050" xr:uid="{00000000-0005-0000-0000-0000E5780000}"/>
    <cellStyle name="Note 2 2 6 4 3" xfId="25505" xr:uid="{00000000-0005-0000-0000-0000E6780000}"/>
    <cellStyle name="Note 2 2 6 5" xfId="31234" xr:uid="{00000000-0005-0000-0000-0000E7780000}"/>
    <cellStyle name="Note 2 2 6 5 2" xfId="19055" xr:uid="{00000000-0005-0000-0000-0000E8780000}"/>
    <cellStyle name="Note 2 2 6 6" xfId="27916" xr:uid="{00000000-0005-0000-0000-0000E9780000}"/>
    <cellStyle name="Note 2 2 7" xfId="19170" xr:uid="{00000000-0005-0000-0000-0000EA780000}"/>
    <cellStyle name="Note 2 2 7 2" xfId="33717" xr:uid="{00000000-0005-0000-0000-0000EB780000}"/>
    <cellStyle name="Note 2 2 7 2 2" xfId="22612" xr:uid="{00000000-0005-0000-0000-0000EC780000}"/>
    <cellStyle name="Note 2 2 7 2 2 2" xfId="27624" xr:uid="{00000000-0005-0000-0000-0000ED780000}"/>
    <cellStyle name="Note 2 2 7 2 2 2 2" xfId="31835" xr:uid="{00000000-0005-0000-0000-0000EE780000}"/>
    <cellStyle name="Note 2 2 7 2 2 3" xfId="31839" xr:uid="{00000000-0005-0000-0000-0000EF780000}"/>
    <cellStyle name="Note 2 2 7 2 3" xfId="14539" xr:uid="{00000000-0005-0000-0000-0000F0780000}"/>
    <cellStyle name="Note 2 2 7 2 3 2" xfId="23" xr:uid="{00000000-0005-0000-0000-0000F1780000}"/>
    <cellStyle name="Note 2 2 7 2 4" xfId="28732" xr:uid="{00000000-0005-0000-0000-0000F2780000}"/>
    <cellStyle name="Note 2 2 7 3" xfId="29199" xr:uid="{00000000-0005-0000-0000-0000F3780000}"/>
    <cellStyle name="Note 2 2 7 3 2" xfId="26180" xr:uid="{00000000-0005-0000-0000-0000F4780000}"/>
    <cellStyle name="Note 2 2 7 3 2 2" xfId="29028" xr:uid="{00000000-0005-0000-0000-0000F5780000}"/>
    <cellStyle name="Note 2 2 7 3 3" xfId="29804" xr:uid="{00000000-0005-0000-0000-0000F6780000}"/>
    <cellStyle name="Note 2 2 7 4" xfId="31862" xr:uid="{00000000-0005-0000-0000-0000F7780000}"/>
    <cellStyle name="Note 2 2 7 4 2" xfId="19526" xr:uid="{00000000-0005-0000-0000-0000F8780000}"/>
    <cellStyle name="Note 2 2 7 5" xfId="31245" xr:uid="{00000000-0005-0000-0000-0000F9780000}"/>
    <cellStyle name="Note 2 2 8" xfId="3616" xr:uid="{00000000-0005-0000-0000-0000FA780000}"/>
    <cellStyle name="Note 2 2 8 2" xfId="31854" xr:uid="{00000000-0005-0000-0000-0000FB780000}"/>
    <cellStyle name="Note 2 2 8 2 2" xfId="31856" xr:uid="{00000000-0005-0000-0000-0000FC780000}"/>
    <cellStyle name="Note 2 2 8 2 2 2" xfId="29733" xr:uid="{00000000-0005-0000-0000-0000FD780000}"/>
    <cellStyle name="Note 2 2 8 2 3" xfId="30274" xr:uid="{00000000-0005-0000-0000-0000FE780000}"/>
    <cellStyle name="Note 2 2 8 3" xfId="31871" xr:uid="{00000000-0005-0000-0000-0000FF780000}"/>
    <cellStyle name="Note 2 2 8 3 2" xfId="24709" xr:uid="{00000000-0005-0000-0000-000000790000}"/>
    <cellStyle name="Note 2 2 8 4" xfId="30637" xr:uid="{00000000-0005-0000-0000-000001790000}"/>
    <cellStyle name="Note 2 2 9" xfId="31373" xr:uid="{00000000-0005-0000-0000-000002790000}"/>
    <cellStyle name="Note 2 2 9 2" xfId="31879" xr:uid="{00000000-0005-0000-0000-000003790000}"/>
    <cellStyle name="Note 2 2 9 2 2" xfId="30547" xr:uid="{00000000-0005-0000-0000-000004790000}"/>
    <cellStyle name="Note 2 2 9 3" xfId="31885" xr:uid="{00000000-0005-0000-0000-000005790000}"/>
    <cellStyle name="Note 2 3" xfId="30101" xr:uid="{00000000-0005-0000-0000-000006790000}"/>
    <cellStyle name="Note 2 3 10" xfId="8417" xr:uid="{00000000-0005-0000-0000-000007790000}"/>
    <cellStyle name="Note 2 3 2" xfId="9523" xr:uid="{00000000-0005-0000-0000-000008790000}"/>
    <cellStyle name="Note 2 3 2 2" xfId="32759" xr:uid="{00000000-0005-0000-0000-000009790000}"/>
    <cellStyle name="Note 2 3 2 2 2" xfId="15044" xr:uid="{00000000-0005-0000-0000-00000A790000}"/>
    <cellStyle name="Note 2 3 2 2 2 2" xfId="18214" xr:uid="{00000000-0005-0000-0000-00000B790000}"/>
    <cellStyle name="Note 2 3 2 2 2 2 2" xfId="32379" xr:uid="{00000000-0005-0000-0000-00000C790000}"/>
    <cellStyle name="Note 2 3 2 2 2 2 2 2" xfId="33590" xr:uid="{00000000-0005-0000-0000-00000D790000}"/>
    <cellStyle name="Note 2 3 2 2 2 2 2 2 2" xfId="25440" xr:uid="{00000000-0005-0000-0000-00000E790000}"/>
    <cellStyle name="Note 2 3 2 2 2 2 2 2 2 2" xfId="22426" xr:uid="{00000000-0005-0000-0000-00000F790000}"/>
    <cellStyle name="Note 2 3 2 2 2 2 2 2 2 2 2" xfId="6571" xr:uid="{00000000-0005-0000-0000-000010790000}"/>
    <cellStyle name="Note 2 3 2 2 2 2 2 2 2 3" xfId="6317" xr:uid="{00000000-0005-0000-0000-000011790000}"/>
    <cellStyle name="Note 2 3 2 2 2 2 2 2 3" xfId="14373" xr:uid="{00000000-0005-0000-0000-000012790000}"/>
    <cellStyle name="Note 2 3 2 2 2 2 2 2 3 2" xfId="15336" xr:uid="{00000000-0005-0000-0000-000013790000}"/>
    <cellStyle name="Note 2 3 2 2 2 2 2 2 4" xfId="31886" xr:uid="{00000000-0005-0000-0000-000014790000}"/>
    <cellStyle name="Note 2 3 2 2 2 2 2 3" xfId="23906" xr:uid="{00000000-0005-0000-0000-000015790000}"/>
    <cellStyle name="Note 2 3 2 2 2 2 2 3 2" xfId="23908" xr:uid="{00000000-0005-0000-0000-000016790000}"/>
    <cellStyle name="Note 2 3 2 2 2 2 2 3 2 2" xfId="31893" xr:uid="{00000000-0005-0000-0000-000017790000}"/>
    <cellStyle name="Note 2 3 2 2 2 2 2 3 3" xfId="30615" xr:uid="{00000000-0005-0000-0000-000018790000}"/>
    <cellStyle name="Note 2 3 2 2 2 2 2 4" xfId="23911" xr:uid="{00000000-0005-0000-0000-000019790000}"/>
    <cellStyle name="Note 2 3 2 2 2 2 2 4 2" xfId="32224" xr:uid="{00000000-0005-0000-0000-00001A790000}"/>
    <cellStyle name="Note 2 3 2 2 2 2 2 5" xfId="19585" xr:uid="{00000000-0005-0000-0000-00001B790000}"/>
    <cellStyle name="Note 2 3 2 2 2 2 3" xfId="32383" xr:uid="{00000000-0005-0000-0000-00001C790000}"/>
    <cellStyle name="Note 2 3 2 2 2 2 3 2" xfId="31901" xr:uid="{00000000-0005-0000-0000-00001D790000}"/>
    <cellStyle name="Note 2 3 2 2 2 2 3 2 2" xfId="23650" xr:uid="{00000000-0005-0000-0000-00001E790000}"/>
    <cellStyle name="Note 2 3 2 2 2 2 3 2 2 2" xfId="26393" xr:uid="{00000000-0005-0000-0000-00001F790000}"/>
    <cellStyle name="Note 2 3 2 2 2 2 3 2 3" xfId="31905" xr:uid="{00000000-0005-0000-0000-000020790000}"/>
    <cellStyle name="Note 2 3 2 2 2 2 3 3" xfId="23917" xr:uid="{00000000-0005-0000-0000-000021790000}"/>
    <cellStyle name="Note 2 3 2 2 2 2 3 3 2" xfId="26405" xr:uid="{00000000-0005-0000-0000-000022790000}"/>
    <cellStyle name="Note 2 3 2 2 2 2 3 4" xfId="31919" xr:uid="{00000000-0005-0000-0000-000023790000}"/>
    <cellStyle name="Note 2 3 2 2 2 2 4" xfId="5025" xr:uid="{00000000-0005-0000-0000-000024790000}"/>
    <cellStyle name="Note 2 3 2 2 2 2 4 2" xfId="30178" xr:uid="{00000000-0005-0000-0000-000025790000}"/>
    <cellStyle name="Note 2 3 2 2 2 2 4 2 2" xfId="29740" xr:uid="{00000000-0005-0000-0000-000026790000}"/>
    <cellStyle name="Note 2 3 2 2 2 2 4 3" xfId="25679" xr:uid="{00000000-0005-0000-0000-000027790000}"/>
    <cellStyle name="Note 2 3 2 2 2 2 5" xfId="31925" xr:uid="{00000000-0005-0000-0000-000028790000}"/>
    <cellStyle name="Note 2 3 2 2 2 2 5 2" xfId="3979" xr:uid="{00000000-0005-0000-0000-000029790000}"/>
    <cellStyle name="Note 2 3 2 2 2 2 6" xfId="32916" xr:uid="{00000000-0005-0000-0000-00002A790000}"/>
    <cellStyle name="Note 2 3 2 2 2 3" xfId="30521" xr:uid="{00000000-0005-0000-0000-00002B790000}"/>
    <cellStyle name="Note 2 3 2 2 2 3 2" xfId="32422" xr:uid="{00000000-0005-0000-0000-00002C790000}"/>
    <cellStyle name="Note 2 3 2 2 2 3 2 2" xfId="31932" xr:uid="{00000000-0005-0000-0000-00002D790000}"/>
    <cellStyle name="Note 2 3 2 2 2 3 2 2 2" xfId="20604" xr:uid="{00000000-0005-0000-0000-00002E790000}"/>
    <cellStyle name="Note 2 3 2 2 2 3 2 2 2 2" xfId="76" xr:uid="{00000000-0005-0000-0000-00002F790000}"/>
    <cellStyle name="Note 2 3 2 2 2 3 2 2 3" xfId="19378" xr:uid="{00000000-0005-0000-0000-000030790000}"/>
    <cellStyle name="Note 2 3 2 2 2 3 2 3" xfId="23928" xr:uid="{00000000-0005-0000-0000-000031790000}"/>
    <cellStyle name="Note 2 3 2 2 2 3 2 3 2" xfId="26214" xr:uid="{00000000-0005-0000-0000-000032790000}"/>
    <cellStyle name="Note 2 3 2 2 2 3 2 4" xfId="30414" xr:uid="{00000000-0005-0000-0000-000033790000}"/>
    <cellStyle name="Note 2 3 2 2 2 3 3" xfId="32586" xr:uid="{00000000-0005-0000-0000-000034790000}"/>
    <cellStyle name="Note 2 3 2 2 2 3 3 2" xfId="20816" xr:uid="{00000000-0005-0000-0000-000035790000}"/>
    <cellStyle name="Note 2 3 2 2 2 3 3 2 2" xfId="2796" xr:uid="{00000000-0005-0000-0000-000036790000}"/>
    <cellStyle name="Note 2 3 2 2 2 3 3 3" xfId="31942" xr:uid="{00000000-0005-0000-0000-000037790000}"/>
    <cellStyle name="Note 2 3 2 2 2 3 4" xfId="9183" xr:uid="{00000000-0005-0000-0000-000038790000}"/>
    <cellStyle name="Note 2 3 2 2 2 3 4 2" xfId="28723" xr:uid="{00000000-0005-0000-0000-000039790000}"/>
    <cellStyle name="Note 2 3 2 2 2 3 5" xfId="32921" xr:uid="{00000000-0005-0000-0000-00003A790000}"/>
    <cellStyle name="Note 2 3 2 2 2 4" xfId="8396" xr:uid="{00000000-0005-0000-0000-00003B790000}"/>
    <cellStyle name="Note 2 3 2 2 2 4 2" xfId="5295" xr:uid="{00000000-0005-0000-0000-00003C790000}"/>
    <cellStyle name="Note 2 3 2 2 2 4 2 2" xfId="21260" xr:uid="{00000000-0005-0000-0000-00003D790000}"/>
    <cellStyle name="Note 2 3 2 2 2 4 2 2 2" xfId="32810" xr:uid="{00000000-0005-0000-0000-00003E790000}"/>
    <cellStyle name="Note 2 3 2 2 2 4 2 3" xfId="31947" xr:uid="{00000000-0005-0000-0000-00003F790000}"/>
    <cellStyle name="Note 2 3 2 2 2 4 3" xfId="5300" xr:uid="{00000000-0005-0000-0000-000040790000}"/>
    <cellStyle name="Note 2 3 2 2 2 4 3 2" xfId="8086" xr:uid="{00000000-0005-0000-0000-000041790000}"/>
    <cellStyle name="Note 2 3 2 2 2 4 4" xfId="30514" xr:uid="{00000000-0005-0000-0000-000042790000}"/>
    <cellStyle name="Note 2 3 2 2 2 5" xfId="5303" xr:uid="{00000000-0005-0000-0000-000043790000}"/>
    <cellStyle name="Note 2 3 2 2 2 5 2" xfId="5308" xr:uid="{00000000-0005-0000-0000-000044790000}"/>
    <cellStyle name="Note 2 3 2 2 2 5 2 2" xfId="32189" xr:uid="{00000000-0005-0000-0000-000045790000}"/>
    <cellStyle name="Note 2 3 2 2 2 5 3" xfId="31952" xr:uid="{00000000-0005-0000-0000-000046790000}"/>
    <cellStyle name="Note 2 3 2 2 2 6" xfId="5310" xr:uid="{00000000-0005-0000-0000-000047790000}"/>
    <cellStyle name="Note 2 3 2 2 2 6 2" xfId="20024" xr:uid="{00000000-0005-0000-0000-000048790000}"/>
    <cellStyle name="Note 2 3 2 2 2 7" xfId="28523" xr:uid="{00000000-0005-0000-0000-000049790000}"/>
    <cellStyle name="Note 2 3 2 2 3" xfId="31502" xr:uid="{00000000-0005-0000-0000-00004A790000}"/>
    <cellStyle name="Note 2 3 2 2 3 2" xfId="31960" xr:uid="{00000000-0005-0000-0000-00004B790000}"/>
    <cellStyle name="Note 2 3 2 2 3 2 2" xfId="33306" xr:uid="{00000000-0005-0000-0000-00004C790000}"/>
    <cellStyle name="Note 2 3 2 2 3 2 2 2" xfId="31961" xr:uid="{00000000-0005-0000-0000-00004D790000}"/>
    <cellStyle name="Note 2 3 2 2 3 2 2 2 2" xfId="20840" xr:uid="{00000000-0005-0000-0000-00004E790000}"/>
    <cellStyle name="Note 2 3 2 2 3 2 2 2 2 2" xfId="17455" xr:uid="{00000000-0005-0000-0000-00004F790000}"/>
    <cellStyle name="Note 2 3 2 2 3 2 2 2 3" xfId="15116" xr:uid="{00000000-0005-0000-0000-000050790000}"/>
    <cellStyle name="Note 2 3 2 2 3 2 2 3" xfId="24271" xr:uid="{00000000-0005-0000-0000-000051790000}"/>
    <cellStyle name="Note 2 3 2 2 3 2 2 3 2" xfId="15076" xr:uid="{00000000-0005-0000-0000-000052790000}"/>
    <cellStyle name="Note 2 3 2 2 3 2 2 4" xfId="31964" xr:uid="{00000000-0005-0000-0000-000053790000}"/>
    <cellStyle name="Note 2 3 2 2 3 2 3" xfId="31965" xr:uid="{00000000-0005-0000-0000-000054790000}"/>
    <cellStyle name="Note 2 3 2 2 3 2 3 2" xfId="30350" xr:uid="{00000000-0005-0000-0000-000055790000}"/>
    <cellStyle name="Note 2 3 2 2 3 2 3 2 2" xfId="20767" xr:uid="{00000000-0005-0000-0000-000056790000}"/>
    <cellStyle name="Note 2 3 2 2 3 2 3 3" xfId="28161" xr:uid="{00000000-0005-0000-0000-000057790000}"/>
    <cellStyle name="Note 2 3 2 2 3 2 4" xfId="30334" xr:uid="{00000000-0005-0000-0000-000058790000}"/>
    <cellStyle name="Note 2 3 2 2 3 2 4 2" xfId="31971" xr:uid="{00000000-0005-0000-0000-000059790000}"/>
    <cellStyle name="Note 2 3 2 2 3 2 5" xfId="6709" xr:uid="{00000000-0005-0000-0000-00005A790000}"/>
    <cellStyle name="Note 2 3 2 2 3 3" xfId="31976" xr:uid="{00000000-0005-0000-0000-00005B790000}"/>
    <cellStyle name="Note 2 3 2 2 3 3 2" xfId="33021" xr:uid="{00000000-0005-0000-0000-00005C790000}"/>
    <cellStyle name="Note 2 3 2 2 3 3 2 2" xfId="16776" xr:uid="{00000000-0005-0000-0000-00005D790000}"/>
    <cellStyle name="Note 2 3 2 2 3 3 2 2 2" xfId="21022" xr:uid="{00000000-0005-0000-0000-00005E790000}"/>
    <cellStyle name="Note 2 3 2 2 3 3 2 3" xfId="16781" xr:uid="{00000000-0005-0000-0000-00005F790000}"/>
    <cellStyle name="Note 2 3 2 2 3 3 3" xfId="31981" xr:uid="{00000000-0005-0000-0000-000060790000}"/>
    <cellStyle name="Note 2 3 2 2 3 3 3 2" xfId="18729" xr:uid="{00000000-0005-0000-0000-000061790000}"/>
    <cellStyle name="Note 2 3 2 2 3 3 4" xfId="31985" xr:uid="{00000000-0005-0000-0000-000062790000}"/>
    <cellStyle name="Note 2 3 2 2 3 4" xfId="5321" xr:uid="{00000000-0005-0000-0000-000063790000}"/>
    <cellStyle name="Note 2 3 2 2 3 4 2" xfId="9574" xr:uid="{00000000-0005-0000-0000-000064790000}"/>
    <cellStyle name="Note 2 3 2 2 3 4 2 2" xfId="12918" xr:uid="{00000000-0005-0000-0000-000065790000}"/>
    <cellStyle name="Note 2 3 2 2 3 4 3" xfId="31107" xr:uid="{00000000-0005-0000-0000-000066790000}"/>
    <cellStyle name="Note 2 3 2 2 3 5" xfId="20907" xr:uid="{00000000-0005-0000-0000-000067790000}"/>
    <cellStyle name="Note 2 3 2 2 3 5 2" xfId="31994" xr:uid="{00000000-0005-0000-0000-000068790000}"/>
    <cellStyle name="Note 2 3 2 2 3 6" xfId="20917" xr:uid="{00000000-0005-0000-0000-000069790000}"/>
    <cellStyle name="Note 2 3 2 2 4" xfId="31996" xr:uid="{00000000-0005-0000-0000-00006A790000}"/>
    <cellStyle name="Note 2 3 2 2 4 2" xfId="31023" xr:uid="{00000000-0005-0000-0000-00006B790000}"/>
    <cellStyle name="Note 2 3 2 2 4 2 2" xfId="25976" xr:uid="{00000000-0005-0000-0000-00006C790000}"/>
    <cellStyle name="Note 2 3 2 2 4 2 2 2" xfId="19075" xr:uid="{00000000-0005-0000-0000-00006D790000}"/>
    <cellStyle name="Note 2 3 2 2 4 2 2 2 2" xfId="33743" xr:uid="{00000000-0005-0000-0000-00006E790000}"/>
    <cellStyle name="Note 2 3 2 2 4 2 2 3" xfId="25705" xr:uid="{00000000-0005-0000-0000-00006F790000}"/>
    <cellStyle name="Note 2 3 2 2 4 2 3" xfId="27237" xr:uid="{00000000-0005-0000-0000-000070790000}"/>
    <cellStyle name="Note 2 3 2 2 4 2 3 2" xfId="19092" xr:uid="{00000000-0005-0000-0000-000071790000}"/>
    <cellStyle name="Note 2 3 2 2 4 2 4" xfId="29473" xr:uid="{00000000-0005-0000-0000-000072790000}"/>
    <cellStyle name="Note 2 3 2 2 4 3" xfId="13959" xr:uid="{00000000-0005-0000-0000-000073790000}"/>
    <cellStyle name="Note 2 3 2 2 4 3 2" xfId="32010" xr:uid="{00000000-0005-0000-0000-000074790000}"/>
    <cellStyle name="Note 2 3 2 2 4 3 2 2" xfId="16794" xr:uid="{00000000-0005-0000-0000-000075790000}"/>
    <cellStyle name="Note 2 3 2 2 4 3 3" xfId="32011" xr:uid="{00000000-0005-0000-0000-000076790000}"/>
    <cellStyle name="Note 2 3 2 2 4 4" xfId="8346" xr:uid="{00000000-0005-0000-0000-000077790000}"/>
    <cellStyle name="Note 2 3 2 2 4 4 2" xfId="29372" xr:uid="{00000000-0005-0000-0000-000078790000}"/>
    <cellStyle name="Note 2 3 2 2 4 5" xfId="20919" xr:uid="{00000000-0005-0000-0000-000079790000}"/>
    <cellStyle name="Note 2 3 2 2 5" xfId="29734" xr:uid="{00000000-0005-0000-0000-00007A790000}"/>
    <cellStyle name="Note 2 3 2 2 5 2" xfId="30244" xr:uid="{00000000-0005-0000-0000-00007B790000}"/>
    <cellStyle name="Note 2 3 2 2 5 2 2" xfId="10214" xr:uid="{00000000-0005-0000-0000-00007C790000}"/>
    <cellStyle name="Note 2 3 2 2 5 2 2 2" xfId="32907" xr:uid="{00000000-0005-0000-0000-00007D790000}"/>
    <cellStyle name="Note 2 3 2 2 5 2 3" xfId="9813" xr:uid="{00000000-0005-0000-0000-00007E790000}"/>
    <cellStyle name="Note 2 3 2 2 5 3" xfId="32015" xr:uid="{00000000-0005-0000-0000-00007F790000}"/>
    <cellStyle name="Note 2 3 2 2 5 3 2" xfId="9820" xr:uid="{00000000-0005-0000-0000-000080790000}"/>
    <cellStyle name="Note 2 3 2 2 5 4" xfId="32018" xr:uid="{00000000-0005-0000-0000-000081790000}"/>
    <cellStyle name="Note 2 3 2 2 6" xfId="29735" xr:uid="{00000000-0005-0000-0000-000082790000}"/>
    <cellStyle name="Note 2 3 2 2 6 2" xfId="33446" xr:uid="{00000000-0005-0000-0000-000083790000}"/>
    <cellStyle name="Note 2 3 2 2 6 2 2" xfId="9835" xr:uid="{00000000-0005-0000-0000-000084790000}"/>
    <cellStyle name="Note 2 3 2 2 6 3" xfId="31009" xr:uid="{00000000-0005-0000-0000-000085790000}"/>
    <cellStyle name="Note 2 3 2 2 7" xfId="32043" xr:uid="{00000000-0005-0000-0000-000086790000}"/>
    <cellStyle name="Note 2 3 2 2 7 2" xfId="25630" xr:uid="{00000000-0005-0000-0000-000087790000}"/>
    <cellStyle name="Note 2 3 2 2 8" xfId="32044" xr:uid="{00000000-0005-0000-0000-000088790000}"/>
    <cellStyle name="Note 2 3 2 3" xfId="32049" xr:uid="{00000000-0005-0000-0000-000089790000}"/>
    <cellStyle name="Note 2 3 2 3 2" xfId="4973" xr:uid="{00000000-0005-0000-0000-00008A790000}"/>
    <cellStyle name="Note 2 3 2 3 2 2" xfId="13512" xr:uid="{00000000-0005-0000-0000-00008B790000}"/>
    <cellStyle name="Note 2 3 2 3 2 2 2" xfId="3695" xr:uid="{00000000-0005-0000-0000-00008C790000}"/>
    <cellStyle name="Note 2 3 2 3 2 2 2 2" xfId="9400" xr:uid="{00000000-0005-0000-0000-00008D790000}"/>
    <cellStyle name="Note 2 3 2 3 2 2 2 2 2" xfId="5028" xr:uid="{00000000-0005-0000-0000-00008E790000}"/>
    <cellStyle name="Note 2 3 2 3 2 2 2 2 2 2" xfId="11136" xr:uid="{00000000-0005-0000-0000-00008F790000}"/>
    <cellStyle name="Note 2 3 2 3 2 2 2 2 3" xfId="5037" xr:uid="{00000000-0005-0000-0000-000090790000}"/>
    <cellStyle name="Note 2 3 2 3 2 2 2 3" xfId="3139" xr:uid="{00000000-0005-0000-0000-000091790000}"/>
    <cellStyle name="Note 2 3 2 3 2 2 2 3 2" xfId="13084" xr:uid="{00000000-0005-0000-0000-000092790000}"/>
    <cellStyle name="Note 2 3 2 3 2 2 2 4" xfId="5047" xr:uid="{00000000-0005-0000-0000-000093790000}"/>
    <cellStyle name="Note 2 3 2 3 2 2 3" xfId="2801" xr:uid="{00000000-0005-0000-0000-000094790000}"/>
    <cellStyle name="Note 2 3 2 3 2 2 3 2" xfId="9415" xr:uid="{00000000-0005-0000-0000-000095790000}"/>
    <cellStyle name="Note 2 3 2 3 2 2 3 2 2" xfId="3507" xr:uid="{00000000-0005-0000-0000-000096790000}"/>
    <cellStyle name="Note 2 3 2 3 2 2 3 3" xfId="5058" xr:uid="{00000000-0005-0000-0000-000097790000}"/>
    <cellStyle name="Note 2 3 2 3 2 2 4" xfId="4393" xr:uid="{00000000-0005-0000-0000-000098790000}"/>
    <cellStyle name="Note 2 3 2 3 2 2 4 2" xfId="5072" xr:uid="{00000000-0005-0000-0000-000099790000}"/>
    <cellStyle name="Note 2 3 2 3 2 2 5" xfId="5086" xr:uid="{00000000-0005-0000-0000-00009A790000}"/>
    <cellStyle name="Note 2 3 2 3 2 3" xfId="13523" xr:uid="{00000000-0005-0000-0000-00009B790000}"/>
    <cellStyle name="Note 2 3 2 3 2 3 2" xfId="4184" xr:uid="{00000000-0005-0000-0000-00009C790000}"/>
    <cellStyle name="Note 2 3 2 3 2 3 2 2" xfId="9420" xr:uid="{00000000-0005-0000-0000-00009D790000}"/>
    <cellStyle name="Note 2 3 2 3 2 3 2 2 2" xfId="22096" xr:uid="{00000000-0005-0000-0000-00009E790000}"/>
    <cellStyle name="Note 2 3 2 3 2 3 2 3" xfId="5110" xr:uid="{00000000-0005-0000-0000-00009F790000}"/>
    <cellStyle name="Note 2 3 2 3 2 3 3" xfId="4195" xr:uid="{00000000-0005-0000-0000-0000A0790000}"/>
    <cellStyle name="Note 2 3 2 3 2 3 3 2" xfId="5120" xr:uid="{00000000-0005-0000-0000-0000A1790000}"/>
    <cellStyle name="Note 2 3 2 3 2 3 4" xfId="3991" xr:uid="{00000000-0005-0000-0000-0000A2790000}"/>
    <cellStyle name="Note 2 3 2 3 2 4" xfId="14300" xr:uid="{00000000-0005-0000-0000-0000A3790000}"/>
    <cellStyle name="Note 2 3 2 3 2 4 2" xfId="12200" xr:uid="{00000000-0005-0000-0000-0000A4790000}"/>
    <cellStyle name="Note 2 3 2 3 2 4 2 2" xfId="5140" xr:uid="{00000000-0005-0000-0000-0000A5790000}"/>
    <cellStyle name="Note 2 3 2 3 2 4 3" xfId="10190" xr:uid="{00000000-0005-0000-0000-0000A6790000}"/>
    <cellStyle name="Note 2 3 2 3 2 5" xfId="5436" xr:uid="{00000000-0005-0000-0000-0000A7790000}"/>
    <cellStyle name="Note 2 3 2 3 2 5 2" xfId="3763" xr:uid="{00000000-0005-0000-0000-0000A8790000}"/>
    <cellStyle name="Note 2 3 2 3 2 6" xfId="6792" xr:uid="{00000000-0005-0000-0000-0000A9790000}"/>
    <cellStyle name="Note 2 3 2 3 3" xfId="6295" xr:uid="{00000000-0005-0000-0000-0000AA790000}"/>
    <cellStyle name="Note 2 3 2 3 3 2" xfId="18590" xr:uid="{00000000-0005-0000-0000-0000AB790000}"/>
    <cellStyle name="Note 2 3 2 3 3 2 2" xfId="8122" xr:uid="{00000000-0005-0000-0000-0000AC790000}"/>
    <cellStyle name="Note 2 3 2 3 3 2 2 2" xfId="9441" xr:uid="{00000000-0005-0000-0000-0000AD790000}"/>
    <cellStyle name="Note 2 3 2 3 3 2 2 2 2" xfId="13484" xr:uid="{00000000-0005-0000-0000-0000AE790000}"/>
    <cellStyle name="Note 2 3 2 3 3 2 2 3" xfId="1783" xr:uid="{00000000-0005-0000-0000-0000AF790000}"/>
    <cellStyle name="Note 2 3 2 3 3 2 3" xfId="1761" xr:uid="{00000000-0005-0000-0000-0000B0790000}"/>
    <cellStyle name="Note 2 3 2 3 3 2 3 2" xfId="9174" xr:uid="{00000000-0005-0000-0000-0000B1790000}"/>
    <cellStyle name="Note 2 3 2 3 3 2 4" xfId="2256" xr:uid="{00000000-0005-0000-0000-0000B2790000}"/>
    <cellStyle name="Note 2 3 2 3 3 3" xfId="14301" xr:uid="{00000000-0005-0000-0000-0000B3790000}"/>
    <cellStyle name="Note 2 3 2 3 3 3 2" xfId="3652" xr:uid="{00000000-0005-0000-0000-0000B4790000}"/>
    <cellStyle name="Note 2 3 2 3 3 3 2 2" xfId="16806" xr:uid="{00000000-0005-0000-0000-0000B5790000}"/>
    <cellStyle name="Note 2 3 2 3 3 3 3" xfId="1797" xr:uid="{00000000-0005-0000-0000-0000B6790000}"/>
    <cellStyle name="Note 2 3 2 3 3 4" xfId="5456" xr:uid="{00000000-0005-0000-0000-0000B7790000}"/>
    <cellStyle name="Note 2 3 2 3 3 4 2" xfId="14443" xr:uid="{00000000-0005-0000-0000-0000B8790000}"/>
    <cellStyle name="Note 2 3 2 3 3 5" xfId="20951" xr:uid="{00000000-0005-0000-0000-0000B9790000}"/>
    <cellStyle name="Note 2 3 2 3 4" xfId="8619" xr:uid="{00000000-0005-0000-0000-0000BA790000}"/>
    <cellStyle name="Note 2 3 2 3 4 2" xfId="14306" xr:uid="{00000000-0005-0000-0000-0000BB790000}"/>
    <cellStyle name="Note 2 3 2 3 4 2 2" xfId="3664" xr:uid="{00000000-0005-0000-0000-0000BC790000}"/>
    <cellStyle name="Note 2 3 2 3 4 2 2 2" xfId="1890" xr:uid="{00000000-0005-0000-0000-0000BD790000}"/>
    <cellStyle name="Note 2 3 2 3 4 2 3" xfId="3272" xr:uid="{00000000-0005-0000-0000-0000BE790000}"/>
    <cellStyle name="Note 2 3 2 3 4 3" xfId="4532" xr:uid="{00000000-0005-0000-0000-0000BF790000}"/>
    <cellStyle name="Note 2 3 2 3 4 3 2" xfId="3677" xr:uid="{00000000-0005-0000-0000-0000C0790000}"/>
    <cellStyle name="Note 2 3 2 3 4 4" xfId="5156" xr:uid="{00000000-0005-0000-0000-0000C1790000}"/>
    <cellStyle name="Note 2 3 2 3 5" xfId="5166" xr:uid="{00000000-0005-0000-0000-0000C2790000}"/>
    <cellStyle name="Note 2 3 2 3 5 2" xfId="10420" xr:uid="{00000000-0005-0000-0000-0000C3790000}"/>
    <cellStyle name="Note 2 3 2 3 5 2 2" xfId="8928" xr:uid="{00000000-0005-0000-0000-0000C4790000}"/>
    <cellStyle name="Note 2 3 2 3 5 3" xfId="11361" xr:uid="{00000000-0005-0000-0000-0000C5790000}"/>
    <cellStyle name="Note 2 3 2 3 6" xfId="32050" xr:uid="{00000000-0005-0000-0000-0000C6790000}"/>
    <cellStyle name="Note 2 3 2 3 6 2" xfId="7423" xr:uid="{00000000-0005-0000-0000-0000C7790000}"/>
    <cellStyle name="Note 2 3 2 3 7" xfId="33477" xr:uid="{00000000-0005-0000-0000-0000C8790000}"/>
    <cellStyle name="Note 2 3 2 4" xfId="31795" xr:uid="{00000000-0005-0000-0000-0000C9790000}"/>
    <cellStyle name="Note 2 3 2 4 2" xfId="6054" xr:uid="{00000000-0005-0000-0000-0000CA790000}"/>
    <cellStyle name="Note 2 3 2 4 2 2" xfId="13532" xr:uid="{00000000-0005-0000-0000-0000CB790000}"/>
    <cellStyle name="Note 2 3 2 4 2 2 2" xfId="3105" xr:uid="{00000000-0005-0000-0000-0000CC790000}"/>
    <cellStyle name="Note 2 3 2 4 2 2 2 2" xfId="9465" xr:uid="{00000000-0005-0000-0000-0000CD790000}"/>
    <cellStyle name="Note 2 3 2 4 2 2 2 2 2" xfId="1514" xr:uid="{00000000-0005-0000-0000-0000CE790000}"/>
    <cellStyle name="Note 2 3 2 4 2 2 2 3" xfId="5064" xr:uid="{00000000-0005-0000-0000-0000CF790000}"/>
    <cellStyle name="Note 2 3 2 4 2 2 3" xfId="4396" xr:uid="{00000000-0005-0000-0000-0000D0790000}"/>
    <cellStyle name="Note 2 3 2 4 2 2 3 2" xfId="5080" xr:uid="{00000000-0005-0000-0000-0000D1790000}"/>
    <cellStyle name="Note 2 3 2 4 2 2 4" xfId="5088" xr:uid="{00000000-0005-0000-0000-0000D2790000}"/>
    <cellStyle name="Note 2 3 2 4 2 3" xfId="14319" xr:uid="{00000000-0005-0000-0000-0000D3790000}"/>
    <cellStyle name="Note 2 3 2 4 2 3 2" xfId="4200" xr:uid="{00000000-0005-0000-0000-0000D4790000}"/>
    <cellStyle name="Note 2 3 2 4 2 3 2 2" xfId="8682" xr:uid="{00000000-0005-0000-0000-0000D5790000}"/>
    <cellStyle name="Note 2 3 2 4 2 3 3" xfId="3994" xr:uid="{00000000-0005-0000-0000-0000D6790000}"/>
    <cellStyle name="Note 2 3 2 4 2 4" xfId="4968" xr:uid="{00000000-0005-0000-0000-0000D7790000}"/>
    <cellStyle name="Note 2 3 2 4 2 4 2" xfId="11311" xr:uid="{00000000-0005-0000-0000-0000D8790000}"/>
    <cellStyle name="Note 2 3 2 4 2 5" xfId="5943" xr:uid="{00000000-0005-0000-0000-0000D9790000}"/>
    <cellStyle name="Note 2 3 2 4 3" xfId="9111" xr:uid="{00000000-0005-0000-0000-0000DA790000}"/>
    <cellStyle name="Note 2 3 2 4 3 2" xfId="14320" xr:uid="{00000000-0005-0000-0000-0000DB790000}"/>
    <cellStyle name="Note 2 3 2 4 3 2 2" xfId="3396" xr:uid="{00000000-0005-0000-0000-0000DC790000}"/>
    <cellStyle name="Note 2 3 2 4 3 2 2 2" xfId="2803" xr:uid="{00000000-0005-0000-0000-0000DD790000}"/>
    <cellStyle name="Note 2 3 2 4 3 2 3" xfId="2253" xr:uid="{00000000-0005-0000-0000-0000DE790000}"/>
    <cellStyle name="Note 2 3 2 4 3 3" xfId="2531" xr:uid="{00000000-0005-0000-0000-0000DF790000}"/>
    <cellStyle name="Note 2 3 2 4 3 3 2" xfId="1801" xr:uid="{00000000-0005-0000-0000-0000E0790000}"/>
    <cellStyle name="Note 2 3 2 4 3 4" xfId="1049" xr:uid="{00000000-0005-0000-0000-0000E1790000}"/>
    <cellStyle name="Note 2 3 2 4 4" xfId="22772" xr:uid="{00000000-0005-0000-0000-0000E2790000}"/>
    <cellStyle name="Note 2 3 2 4 4 2" xfId="5952" xr:uid="{00000000-0005-0000-0000-0000E3790000}"/>
    <cellStyle name="Note 2 3 2 4 4 2 2" xfId="3688" xr:uid="{00000000-0005-0000-0000-0000E4790000}"/>
    <cellStyle name="Note 2 3 2 4 4 3" xfId="3467" xr:uid="{00000000-0005-0000-0000-0000E5790000}"/>
    <cellStyle name="Note 2 3 2 4 5" xfId="5955" xr:uid="{00000000-0005-0000-0000-0000E6790000}"/>
    <cellStyle name="Note 2 3 2 4 5 2" xfId="10434" xr:uid="{00000000-0005-0000-0000-0000E7790000}"/>
    <cellStyle name="Note 2 3 2 4 6" xfId="20547" xr:uid="{00000000-0005-0000-0000-0000E8790000}"/>
    <cellStyle name="Note 2 3 2 5" xfId="31937" xr:uid="{00000000-0005-0000-0000-0000E9790000}"/>
    <cellStyle name="Note 2 3 2 5 2" xfId="9123" xr:uid="{00000000-0005-0000-0000-0000EA790000}"/>
    <cellStyle name="Note 2 3 2 5 2 2" xfId="14327" xr:uid="{00000000-0005-0000-0000-0000EB790000}"/>
    <cellStyle name="Note 2 3 2 5 2 2 2" xfId="4712" xr:uid="{00000000-0005-0000-0000-0000EC790000}"/>
    <cellStyle name="Note 2 3 2 5 2 2 2 2" xfId="9228" xr:uid="{00000000-0005-0000-0000-0000ED790000}"/>
    <cellStyle name="Note 2 3 2 5 2 2 3" xfId="4806" xr:uid="{00000000-0005-0000-0000-0000EE790000}"/>
    <cellStyle name="Note 2 3 2 5 2 3" xfId="6286" xr:uid="{00000000-0005-0000-0000-0000EF790000}"/>
    <cellStyle name="Note 2 3 2 5 2 3 2" xfId="1866" xr:uid="{00000000-0005-0000-0000-0000F0790000}"/>
    <cellStyle name="Note 2 3 2 5 2 4" xfId="6289" xr:uid="{00000000-0005-0000-0000-0000F1790000}"/>
    <cellStyle name="Note 2 3 2 5 3" xfId="24045" xr:uid="{00000000-0005-0000-0000-0000F2790000}"/>
    <cellStyle name="Note 2 3 2 5 3 2" xfId="6298" xr:uid="{00000000-0005-0000-0000-0000F3790000}"/>
    <cellStyle name="Note 2 3 2 5 3 2 2" xfId="11670" xr:uid="{00000000-0005-0000-0000-0000F4790000}"/>
    <cellStyle name="Note 2 3 2 5 3 3" xfId="3496" xr:uid="{00000000-0005-0000-0000-0000F5790000}"/>
    <cellStyle name="Note 2 3 2 5 4" xfId="14993" xr:uid="{00000000-0005-0000-0000-0000F6790000}"/>
    <cellStyle name="Note 2 3 2 5 4 2" xfId="6302" xr:uid="{00000000-0005-0000-0000-0000F7790000}"/>
    <cellStyle name="Note 2 3 2 5 5" xfId="15001" xr:uid="{00000000-0005-0000-0000-0000F8790000}"/>
    <cellStyle name="Note 2 3 2 6" xfId="22268" xr:uid="{00000000-0005-0000-0000-0000F9790000}"/>
    <cellStyle name="Note 2 3 2 6 2" xfId="23771" xr:uid="{00000000-0005-0000-0000-0000FA790000}"/>
    <cellStyle name="Note 2 3 2 6 2 2" xfId="6454" xr:uid="{00000000-0005-0000-0000-0000FB790000}"/>
    <cellStyle name="Note 2 3 2 6 2 2 2" xfId="4946" xr:uid="{00000000-0005-0000-0000-0000FC790000}"/>
    <cellStyle name="Note 2 3 2 6 2 3" xfId="6458" xr:uid="{00000000-0005-0000-0000-0000FD790000}"/>
    <cellStyle name="Note 2 3 2 6 3" xfId="6461" xr:uid="{00000000-0005-0000-0000-0000FE790000}"/>
    <cellStyle name="Note 2 3 2 6 3 2" xfId="846" xr:uid="{00000000-0005-0000-0000-0000FF790000}"/>
    <cellStyle name="Note 2 3 2 6 4" xfId="15009" xr:uid="{00000000-0005-0000-0000-0000007A0000}"/>
    <cellStyle name="Note 2 3 2 7" xfId="22285" xr:uid="{00000000-0005-0000-0000-0000017A0000}"/>
    <cellStyle name="Note 2 3 2 7 2" xfId="6566" xr:uid="{00000000-0005-0000-0000-0000027A0000}"/>
    <cellStyle name="Note 2 3 2 7 2 2" xfId="6576" xr:uid="{00000000-0005-0000-0000-0000037A0000}"/>
    <cellStyle name="Note 2 3 2 7 3" xfId="6579" xr:uid="{00000000-0005-0000-0000-0000047A0000}"/>
    <cellStyle name="Note 2 3 2 8" xfId="3000" xr:uid="{00000000-0005-0000-0000-0000057A0000}"/>
    <cellStyle name="Note 2 3 2 8 2" xfId="5856" xr:uid="{00000000-0005-0000-0000-0000067A0000}"/>
    <cellStyle name="Note 2 3 2 9" xfId="33570" xr:uid="{00000000-0005-0000-0000-0000077A0000}"/>
    <cellStyle name="Note 2 3 3" xfId="33157" xr:uid="{00000000-0005-0000-0000-0000087A0000}"/>
    <cellStyle name="Note 2 3 3 2" xfId="28288" xr:uid="{00000000-0005-0000-0000-0000097A0000}"/>
    <cellStyle name="Note 2 3 3 2 2" xfId="32650" xr:uid="{00000000-0005-0000-0000-00000A7A0000}"/>
    <cellStyle name="Note 2 3 3 2 2 2" xfId="19213" xr:uid="{00000000-0005-0000-0000-00000B7A0000}"/>
    <cellStyle name="Note 2 3 3 2 2 2 2" xfId="27696" xr:uid="{00000000-0005-0000-0000-00000C7A0000}"/>
    <cellStyle name="Note 2 3 3 2 2 2 2 2" xfId="32742" xr:uid="{00000000-0005-0000-0000-00000D7A0000}"/>
    <cellStyle name="Note 2 3 3 2 2 2 2 2 2" xfId="32854" xr:uid="{00000000-0005-0000-0000-00000E7A0000}"/>
    <cellStyle name="Note 2 3 3 2 2 2 2 2 2 2" xfId="32061" xr:uid="{00000000-0005-0000-0000-00000F7A0000}"/>
    <cellStyle name="Note 2 3 3 2 2 2 2 2 3" xfId="32062" xr:uid="{00000000-0005-0000-0000-0000107A0000}"/>
    <cellStyle name="Note 2 3 3 2 2 2 2 3" xfId="32856" xr:uid="{00000000-0005-0000-0000-0000117A0000}"/>
    <cellStyle name="Note 2 3 3 2 2 2 2 3 2" xfId="32063" xr:uid="{00000000-0005-0000-0000-0000127A0000}"/>
    <cellStyle name="Note 2 3 3 2 2 2 2 4" xfId="31554" xr:uid="{00000000-0005-0000-0000-0000137A0000}"/>
    <cellStyle name="Note 2 3 3 2 2 2 3" xfId="28221" xr:uid="{00000000-0005-0000-0000-0000147A0000}"/>
    <cellStyle name="Note 2 3 3 2 2 2 3 2" xfId="28224" xr:uid="{00000000-0005-0000-0000-0000157A0000}"/>
    <cellStyle name="Note 2 3 3 2 2 2 3 2 2" xfId="32350" xr:uid="{00000000-0005-0000-0000-0000167A0000}"/>
    <cellStyle name="Note 2 3 3 2 2 2 3 3" xfId="32833" xr:uid="{00000000-0005-0000-0000-0000177A0000}"/>
    <cellStyle name="Note 2 3 3 2 2 2 4" xfId="28226" xr:uid="{00000000-0005-0000-0000-0000187A0000}"/>
    <cellStyle name="Note 2 3 3 2 2 2 4 2" xfId="32705" xr:uid="{00000000-0005-0000-0000-0000197A0000}"/>
    <cellStyle name="Note 2 3 3 2 2 2 5" xfId="32074" xr:uid="{00000000-0005-0000-0000-00001A7A0000}"/>
    <cellStyle name="Note 2 3 3 2 2 3" xfId="30769" xr:uid="{00000000-0005-0000-0000-00001B7A0000}"/>
    <cellStyle name="Note 2 3 3 2 2 3 2" xfId="28049" xr:uid="{00000000-0005-0000-0000-00001C7A0000}"/>
    <cellStyle name="Note 2 3 3 2 2 3 2 2" xfId="32861" xr:uid="{00000000-0005-0000-0000-00001D7A0000}"/>
    <cellStyle name="Note 2 3 3 2 2 3 2 2 2" xfId="33576" xr:uid="{00000000-0005-0000-0000-00001E7A0000}"/>
    <cellStyle name="Note 2 3 3 2 2 3 2 3" xfId="21861" xr:uid="{00000000-0005-0000-0000-00001F7A0000}"/>
    <cellStyle name="Note 2 3 3 2 2 3 3" xfId="27403" xr:uid="{00000000-0005-0000-0000-0000207A0000}"/>
    <cellStyle name="Note 2 3 3 2 2 3 3 2" xfId="32873" xr:uid="{00000000-0005-0000-0000-0000217A0000}"/>
    <cellStyle name="Note 2 3 3 2 2 3 4" xfId="29540" xr:uid="{00000000-0005-0000-0000-0000227A0000}"/>
    <cellStyle name="Note 2 3 3 2 2 4" xfId="5652" xr:uid="{00000000-0005-0000-0000-0000237A0000}"/>
    <cellStyle name="Note 2 3 3 2 2 4 2" xfId="5656" xr:uid="{00000000-0005-0000-0000-0000247A0000}"/>
    <cellStyle name="Note 2 3 3 2 2 4 2 2" xfId="31742" xr:uid="{00000000-0005-0000-0000-0000257A0000}"/>
    <cellStyle name="Note 2 3 3 2 2 4 3" xfId="26052" xr:uid="{00000000-0005-0000-0000-0000267A0000}"/>
    <cellStyle name="Note 2 3 3 2 2 5" xfId="5661" xr:uid="{00000000-0005-0000-0000-0000277A0000}"/>
    <cellStyle name="Note 2 3 3 2 2 5 2" xfId="32992" xr:uid="{00000000-0005-0000-0000-0000287A0000}"/>
    <cellStyle name="Note 2 3 3 2 2 6" xfId="27811" xr:uid="{00000000-0005-0000-0000-0000297A0000}"/>
    <cellStyle name="Note 2 3 3 2 3" xfId="25064" xr:uid="{00000000-0005-0000-0000-00002A7A0000}"/>
    <cellStyle name="Note 2 3 3 2 3 2" xfId="33610" xr:uid="{00000000-0005-0000-0000-00002B7A0000}"/>
    <cellStyle name="Note 2 3 3 2 3 2 2" xfId="31196" xr:uid="{00000000-0005-0000-0000-00002C7A0000}"/>
    <cellStyle name="Note 2 3 3 2 3 2 2 2" xfId="32078" xr:uid="{00000000-0005-0000-0000-00002D7A0000}"/>
    <cellStyle name="Note 2 3 3 2 3 2 2 2 2" xfId="33069" xr:uid="{00000000-0005-0000-0000-00002E7A0000}"/>
    <cellStyle name="Note 2 3 3 2 3 2 2 3" xfId="26675" xr:uid="{00000000-0005-0000-0000-00002F7A0000}"/>
    <cellStyle name="Note 2 3 3 2 3 2 3" xfId="32878" xr:uid="{00000000-0005-0000-0000-0000307A0000}"/>
    <cellStyle name="Note 2 3 3 2 3 2 3 2" xfId="34032" xr:uid="{00000000-0005-0000-0000-0000317A0000}"/>
    <cellStyle name="Note 2 3 3 2 3 2 4" xfId="32990" xr:uid="{00000000-0005-0000-0000-0000327A0000}"/>
    <cellStyle name="Note 2 3 3 2 3 3" xfId="32084" xr:uid="{00000000-0005-0000-0000-0000337A0000}"/>
    <cellStyle name="Note 2 3 3 2 3 3 2" xfId="32942" xr:uid="{00000000-0005-0000-0000-0000347A0000}"/>
    <cellStyle name="Note 2 3 3 2 3 3 2 2" xfId="2912" xr:uid="{00000000-0005-0000-0000-0000357A0000}"/>
    <cellStyle name="Note 2 3 3 2 3 3 3" xfId="33815" xr:uid="{00000000-0005-0000-0000-0000367A0000}"/>
    <cellStyle name="Note 2 3 3 2 3 4" xfId="5681" xr:uid="{00000000-0005-0000-0000-0000377A0000}"/>
    <cellStyle name="Note 2 3 3 2 3 4 2" xfId="33122" xr:uid="{00000000-0005-0000-0000-0000387A0000}"/>
    <cellStyle name="Note 2 3 3 2 3 5" xfId="21043" xr:uid="{00000000-0005-0000-0000-0000397A0000}"/>
    <cellStyle name="Note 2 3 3 2 4" xfId="20648" xr:uid="{00000000-0005-0000-0000-00003A7A0000}"/>
    <cellStyle name="Note 2 3 3 2 4 2" xfId="23596" xr:uid="{00000000-0005-0000-0000-00003B7A0000}"/>
    <cellStyle name="Note 2 3 3 2 4 2 2" xfId="33778" xr:uid="{00000000-0005-0000-0000-00003C7A0000}"/>
    <cellStyle name="Note 2 3 3 2 4 2 2 2" xfId="7099" xr:uid="{00000000-0005-0000-0000-00003D7A0000}"/>
    <cellStyle name="Note 2 3 3 2 4 2 3" xfId="23640" xr:uid="{00000000-0005-0000-0000-00003E7A0000}"/>
    <cellStyle name="Note 2 3 3 2 4 3" xfId="32099" xr:uid="{00000000-0005-0000-0000-00003F7A0000}"/>
    <cellStyle name="Note 2 3 3 2 4 3 2" xfId="33712" xr:uid="{00000000-0005-0000-0000-0000407A0000}"/>
    <cellStyle name="Note 2 3 3 2 4 4" xfId="33930" xr:uid="{00000000-0005-0000-0000-0000417A0000}"/>
    <cellStyle name="Note 2 3 3 2 5" xfId="27409" xr:uid="{00000000-0005-0000-0000-0000427A0000}"/>
    <cellStyle name="Note 2 3 3 2 5 2" xfId="33786" xr:uid="{00000000-0005-0000-0000-0000437A0000}"/>
    <cellStyle name="Note 2 3 3 2 5 2 2" xfId="10341" xr:uid="{00000000-0005-0000-0000-0000447A0000}"/>
    <cellStyle name="Note 2 3 3 2 5 3" xfId="32105" xr:uid="{00000000-0005-0000-0000-0000457A0000}"/>
    <cellStyle name="Note 2 3 3 2 6" xfId="20947" xr:uid="{00000000-0005-0000-0000-0000467A0000}"/>
    <cellStyle name="Note 2 3 3 2 6 2" xfId="22811" xr:uid="{00000000-0005-0000-0000-0000477A0000}"/>
    <cellStyle name="Note 2 3 3 2 7" xfId="20976" xr:uid="{00000000-0005-0000-0000-0000487A0000}"/>
    <cellStyle name="Note 2 3 3 3" xfId="32111" xr:uid="{00000000-0005-0000-0000-0000497A0000}"/>
    <cellStyle name="Note 2 3 3 3 2" xfId="7903" xr:uid="{00000000-0005-0000-0000-00004A7A0000}"/>
    <cellStyle name="Note 2 3 3 3 2 2" xfId="13551" xr:uid="{00000000-0005-0000-0000-00004B7A0000}"/>
    <cellStyle name="Note 2 3 3 3 2 2 2" xfId="7540" xr:uid="{00000000-0005-0000-0000-00004C7A0000}"/>
    <cellStyle name="Note 2 3 3 3 2 2 2 2" xfId="12476" xr:uid="{00000000-0005-0000-0000-00004D7A0000}"/>
    <cellStyle name="Note 2 3 3 3 2 2 2 2 2" xfId="5766" xr:uid="{00000000-0005-0000-0000-00004E7A0000}"/>
    <cellStyle name="Note 2 3 3 3 2 2 2 3" xfId="7562" xr:uid="{00000000-0005-0000-0000-00004F7A0000}"/>
    <cellStyle name="Note 2 3 3 3 2 2 3" xfId="7574" xr:uid="{00000000-0005-0000-0000-0000507A0000}"/>
    <cellStyle name="Note 2 3 3 3 2 2 3 2" xfId="7584" xr:uid="{00000000-0005-0000-0000-0000517A0000}"/>
    <cellStyle name="Note 2 3 3 3 2 2 4" xfId="5395" xr:uid="{00000000-0005-0000-0000-0000527A0000}"/>
    <cellStyle name="Note 2 3 3 3 2 3" xfId="14340" xr:uid="{00000000-0005-0000-0000-0000537A0000}"/>
    <cellStyle name="Note 2 3 3 3 2 3 2" xfId="7603" xr:uid="{00000000-0005-0000-0000-0000547A0000}"/>
    <cellStyle name="Note 2 3 3 3 2 3 2 2" xfId="9521" xr:uid="{00000000-0005-0000-0000-0000557A0000}"/>
    <cellStyle name="Note 2 3 3 3 2 3 3" xfId="7615" xr:uid="{00000000-0005-0000-0000-0000567A0000}"/>
    <cellStyle name="Note 2 3 3 3 2 4" xfId="9931" xr:uid="{00000000-0005-0000-0000-0000577A0000}"/>
    <cellStyle name="Note 2 3 3 3 2 4 2" xfId="13042" xr:uid="{00000000-0005-0000-0000-0000587A0000}"/>
    <cellStyle name="Note 2 3 3 3 2 5" xfId="7938" xr:uid="{00000000-0005-0000-0000-0000597A0000}"/>
    <cellStyle name="Note 2 3 3 3 3" xfId="8982" xr:uid="{00000000-0005-0000-0000-00005A7A0000}"/>
    <cellStyle name="Note 2 3 3 3 3 2" xfId="14344" xr:uid="{00000000-0005-0000-0000-00005B7A0000}"/>
    <cellStyle name="Note 2 3 3 3 3 2 2" xfId="5486" xr:uid="{00000000-0005-0000-0000-00005C7A0000}"/>
    <cellStyle name="Note 2 3 3 3 3 2 2 2" xfId="14175" xr:uid="{00000000-0005-0000-0000-00005D7A0000}"/>
    <cellStyle name="Note 2 3 3 3 3 2 3" xfId="7672" xr:uid="{00000000-0005-0000-0000-00005E7A0000}"/>
    <cellStyle name="Note 2 3 3 3 3 3" xfId="7958" xr:uid="{00000000-0005-0000-0000-00005F7A0000}"/>
    <cellStyle name="Note 2 3 3 3 3 3 2" xfId="7696" xr:uid="{00000000-0005-0000-0000-0000607A0000}"/>
    <cellStyle name="Note 2 3 3 3 3 4" xfId="7965" xr:uid="{00000000-0005-0000-0000-0000617A0000}"/>
    <cellStyle name="Note 2 3 3 3 4" xfId="4589" xr:uid="{00000000-0005-0000-0000-0000627A0000}"/>
    <cellStyle name="Note 2 3 3 3 4 2" xfId="7978" xr:uid="{00000000-0005-0000-0000-0000637A0000}"/>
    <cellStyle name="Note 2 3 3 3 4 2 2" xfId="5525" xr:uid="{00000000-0005-0000-0000-0000647A0000}"/>
    <cellStyle name="Note 2 3 3 3 4 3" xfId="7987" xr:uid="{00000000-0005-0000-0000-0000657A0000}"/>
    <cellStyle name="Note 2 3 3 3 5" xfId="7991" xr:uid="{00000000-0005-0000-0000-0000667A0000}"/>
    <cellStyle name="Note 2 3 3 3 5 2" xfId="10468" xr:uid="{00000000-0005-0000-0000-0000677A0000}"/>
    <cellStyle name="Note 2 3 3 3 6" xfId="20979" xr:uid="{00000000-0005-0000-0000-0000687A0000}"/>
    <cellStyle name="Note 2 3 3 4" xfId="293" xr:uid="{00000000-0005-0000-0000-0000697A0000}"/>
    <cellStyle name="Note 2 3 3 4 2" xfId="8547" xr:uid="{00000000-0005-0000-0000-00006A7A0000}"/>
    <cellStyle name="Note 2 3 3 4 2 2" xfId="2953" xr:uid="{00000000-0005-0000-0000-00006B7A0000}"/>
    <cellStyle name="Note 2 3 3 4 2 2 2" xfId="19820" xr:uid="{00000000-0005-0000-0000-00006C7A0000}"/>
    <cellStyle name="Note 2 3 3 4 2 2 2 2" xfId="7836" xr:uid="{00000000-0005-0000-0000-00006D7A0000}"/>
    <cellStyle name="Note 2 3 3 4 2 2 3" xfId="19830" xr:uid="{00000000-0005-0000-0000-00006E7A0000}"/>
    <cellStyle name="Note 2 3 3 4 2 3" xfId="7620" xr:uid="{00000000-0005-0000-0000-00006F7A0000}"/>
    <cellStyle name="Note 2 3 3 4 2 3 2" xfId="19833" xr:uid="{00000000-0005-0000-0000-0000707A0000}"/>
    <cellStyle name="Note 2 3 3 4 2 4" xfId="4525" xr:uid="{00000000-0005-0000-0000-0000717A0000}"/>
    <cellStyle name="Note 2 3 3 4 3" xfId="24066" xr:uid="{00000000-0005-0000-0000-0000727A0000}"/>
    <cellStyle name="Note 2 3 3 4 3 2" xfId="8520" xr:uid="{00000000-0005-0000-0000-0000737A0000}"/>
    <cellStyle name="Note 2 3 3 4 3 2 2" xfId="12756" xr:uid="{00000000-0005-0000-0000-0000747A0000}"/>
    <cellStyle name="Note 2 3 3 4 3 3" xfId="9168" xr:uid="{00000000-0005-0000-0000-0000757A0000}"/>
    <cellStyle name="Note 2 3 3 4 4" xfId="10297" xr:uid="{00000000-0005-0000-0000-0000767A0000}"/>
    <cellStyle name="Note 2 3 3 4 4 2" xfId="9203" xr:uid="{00000000-0005-0000-0000-0000777A0000}"/>
    <cellStyle name="Note 2 3 3 4 5" xfId="25387" xr:uid="{00000000-0005-0000-0000-0000787A0000}"/>
    <cellStyle name="Note 2 3 3 5" xfId="28987" xr:uid="{00000000-0005-0000-0000-0000797A0000}"/>
    <cellStyle name="Note 2 3 3 5 2" xfId="24075" xr:uid="{00000000-0005-0000-0000-00007A7A0000}"/>
    <cellStyle name="Note 2 3 3 5 2 2" xfId="8755" xr:uid="{00000000-0005-0000-0000-00007B7A0000}"/>
    <cellStyle name="Note 2 3 3 5 2 2 2" xfId="19860" xr:uid="{00000000-0005-0000-0000-00007C7A0000}"/>
    <cellStyle name="Note 2 3 3 5 2 3" xfId="7710" xr:uid="{00000000-0005-0000-0000-00007D7A0000}"/>
    <cellStyle name="Note 2 3 3 5 3" xfId="25028" xr:uid="{00000000-0005-0000-0000-00007E7A0000}"/>
    <cellStyle name="Note 2 3 3 5 3 2" xfId="28640" xr:uid="{00000000-0005-0000-0000-00007F7A0000}"/>
    <cellStyle name="Note 2 3 3 5 4" xfId="15012" xr:uid="{00000000-0005-0000-0000-0000807A0000}"/>
    <cellStyle name="Note 2 3 3 6" xfId="22306" xr:uid="{00000000-0005-0000-0000-0000817A0000}"/>
    <cellStyle name="Note 2 3 3 6 2" xfId="7008" xr:uid="{00000000-0005-0000-0000-0000827A0000}"/>
    <cellStyle name="Note 2 3 3 6 2 2" xfId="8923" xr:uid="{00000000-0005-0000-0000-0000837A0000}"/>
    <cellStyle name="Note 2 3 3 6 3" xfId="2576" xr:uid="{00000000-0005-0000-0000-0000847A0000}"/>
    <cellStyle name="Note 2 3 3 7" xfId="22318" xr:uid="{00000000-0005-0000-0000-0000857A0000}"/>
    <cellStyle name="Note 2 3 3 7 2" xfId="6156" xr:uid="{00000000-0005-0000-0000-0000867A0000}"/>
    <cellStyle name="Note 2 3 3 8" xfId="32118" xr:uid="{00000000-0005-0000-0000-0000877A0000}"/>
    <cellStyle name="Note 2 3 4" xfId="21064" xr:uid="{00000000-0005-0000-0000-0000887A0000}"/>
    <cellStyle name="Note 2 3 4 2" xfId="15964" xr:uid="{00000000-0005-0000-0000-0000897A0000}"/>
    <cellStyle name="Note 2 3 4 2 2" xfId="32124" xr:uid="{00000000-0005-0000-0000-00008A7A0000}"/>
    <cellStyle name="Note 2 3 4 2 2 2" xfId="32628" xr:uid="{00000000-0005-0000-0000-00008B7A0000}"/>
    <cellStyle name="Note 2 3 4 2 2 2 2" xfId="21277" xr:uid="{00000000-0005-0000-0000-00008C7A0000}"/>
    <cellStyle name="Note 2 3 4 2 2 2 2 2" xfId="28307" xr:uid="{00000000-0005-0000-0000-00008D7A0000}"/>
    <cellStyle name="Note 2 3 4 2 2 2 2 2 2" xfId="14426" xr:uid="{00000000-0005-0000-0000-00008E7A0000}"/>
    <cellStyle name="Note 2 3 4 2 2 2 2 3" xfId="21290" xr:uid="{00000000-0005-0000-0000-00008F7A0000}"/>
    <cellStyle name="Note 2 3 4 2 2 2 3" xfId="21299" xr:uid="{00000000-0005-0000-0000-0000907A0000}"/>
    <cellStyle name="Note 2 3 4 2 2 2 3 2" xfId="15750" xr:uid="{00000000-0005-0000-0000-0000917A0000}"/>
    <cellStyle name="Note 2 3 4 2 2 2 4" xfId="21305" xr:uid="{00000000-0005-0000-0000-0000927A0000}"/>
    <cellStyle name="Note 2 3 4 2 2 3" xfId="30633" xr:uid="{00000000-0005-0000-0000-0000937A0000}"/>
    <cellStyle name="Note 2 3 4 2 2 3 2" xfId="10412" xr:uid="{00000000-0005-0000-0000-0000947A0000}"/>
    <cellStyle name="Note 2 3 4 2 2 3 2 2" xfId="21310" xr:uid="{00000000-0005-0000-0000-0000957A0000}"/>
    <cellStyle name="Note 2 3 4 2 2 3 3" xfId="13375" xr:uid="{00000000-0005-0000-0000-0000967A0000}"/>
    <cellStyle name="Note 2 3 4 2 2 4" xfId="5818" xr:uid="{00000000-0005-0000-0000-0000977A0000}"/>
    <cellStyle name="Note 2 3 4 2 2 4 2" xfId="25651" xr:uid="{00000000-0005-0000-0000-0000987A0000}"/>
    <cellStyle name="Note 2 3 4 2 2 5" xfId="2520" xr:uid="{00000000-0005-0000-0000-0000997A0000}"/>
    <cellStyle name="Note 2 3 4 2 3" xfId="33951" xr:uid="{00000000-0005-0000-0000-00009A7A0000}"/>
    <cellStyle name="Note 2 3 4 2 3 2" xfId="32754" xr:uid="{00000000-0005-0000-0000-00009B7A0000}"/>
    <cellStyle name="Note 2 3 4 2 3 2 2" xfId="21431" xr:uid="{00000000-0005-0000-0000-00009C7A0000}"/>
    <cellStyle name="Note 2 3 4 2 3 2 2 2" xfId="21434" xr:uid="{00000000-0005-0000-0000-00009D7A0000}"/>
    <cellStyle name="Note 2 3 4 2 3 2 3" xfId="20198" xr:uid="{00000000-0005-0000-0000-00009E7A0000}"/>
    <cellStyle name="Note 2 3 4 2 3 3" xfId="32130" xr:uid="{00000000-0005-0000-0000-00009F7A0000}"/>
    <cellStyle name="Note 2 3 4 2 3 3 2" xfId="25671" xr:uid="{00000000-0005-0000-0000-0000A07A0000}"/>
    <cellStyle name="Note 2 3 4 2 3 4" xfId="24632" xr:uid="{00000000-0005-0000-0000-0000A17A0000}"/>
    <cellStyle name="Note 2 3 4 2 4" xfId="20691" xr:uid="{00000000-0005-0000-0000-0000A27A0000}"/>
    <cellStyle name="Note 2 3 4 2 4 2" xfId="6628" xr:uid="{00000000-0005-0000-0000-0000A37A0000}"/>
    <cellStyle name="Note 2 3 4 2 4 2 2" xfId="21533" xr:uid="{00000000-0005-0000-0000-0000A47A0000}"/>
    <cellStyle name="Note 2 3 4 2 4 3" xfId="27623" xr:uid="{00000000-0005-0000-0000-0000A57A0000}"/>
    <cellStyle name="Note 2 3 4 2 5" xfId="32152" xr:uid="{00000000-0005-0000-0000-0000A67A0000}"/>
    <cellStyle name="Note 2 3 4 2 5 2" xfId="33595" xr:uid="{00000000-0005-0000-0000-0000A77A0000}"/>
    <cellStyle name="Note 2 3 4 2 6" xfId="21007" xr:uid="{00000000-0005-0000-0000-0000A87A0000}"/>
    <cellStyle name="Note 2 3 4 3" xfId="32157" xr:uid="{00000000-0005-0000-0000-0000A97A0000}"/>
    <cellStyle name="Note 2 3 4 3 2" xfId="9869" xr:uid="{00000000-0005-0000-0000-0000AA7A0000}"/>
    <cellStyle name="Note 2 3 4 3 2 2" xfId="14355" xr:uid="{00000000-0005-0000-0000-0000AB7A0000}"/>
    <cellStyle name="Note 2 3 4 3 2 2 2" xfId="21653" xr:uid="{00000000-0005-0000-0000-0000AC7A0000}"/>
    <cellStyle name="Note 2 3 4 3 2 2 2 2" xfId="21656" xr:uid="{00000000-0005-0000-0000-0000AD7A0000}"/>
    <cellStyle name="Note 2 3 4 3 2 2 3" xfId="21664" xr:uid="{00000000-0005-0000-0000-0000AE7A0000}"/>
    <cellStyle name="Note 2 3 4 3 2 3" xfId="23344" xr:uid="{00000000-0005-0000-0000-0000AF7A0000}"/>
    <cellStyle name="Note 2 3 4 3 2 3 2" xfId="25701" xr:uid="{00000000-0005-0000-0000-0000B07A0000}"/>
    <cellStyle name="Note 2 3 4 3 2 4" xfId="24477" xr:uid="{00000000-0005-0000-0000-0000B17A0000}"/>
    <cellStyle name="Note 2 3 4 3 3" xfId="9886" xr:uid="{00000000-0005-0000-0000-0000B27A0000}"/>
    <cellStyle name="Note 2 3 4 3 3 2" xfId="23348" xr:uid="{00000000-0005-0000-0000-0000B37A0000}"/>
    <cellStyle name="Note 2 3 4 3 3 2 2" xfId="21718" xr:uid="{00000000-0005-0000-0000-0000B47A0000}"/>
    <cellStyle name="Note 2 3 4 3 3 3" xfId="1130" xr:uid="{00000000-0005-0000-0000-0000B57A0000}"/>
    <cellStyle name="Note 2 3 4 3 4" xfId="10311" xr:uid="{00000000-0005-0000-0000-0000B67A0000}"/>
    <cellStyle name="Note 2 3 4 3 4 2" xfId="9896" xr:uid="{00000000-0005-0000-0000-0000B77A0000}"/>
    <cellStyle name="Note 2 3 4 3 5" xfId="3171" xr:uid="{00000000-0005-0000-0000-0000B87A0000}"/>
    <cellStyle name="Note 2 3 4 4" xfId="32161" xr:uid="{00000000-0005-0000-0000-0000B97A0000}"/>
    <cellStyle name="Note 2 3 4 4 2" xfId="10373" xr:uid="{00000000-0005-0000-0000-0000BA7A0000}"/>
    <cellStyle name="Note 2 3 4 4 2 2" xfId="23356" xr:uid="{00000000-0005-0000-0000-0000BB7A0000}"/>
    <cellStyle name="Note 2 3 4 4 2 2 2" xfId="21788" xr:uid="{00000000-0005-0000-0000-0000BC7A0000}"/>
    <cellStyle name="Note 2 3 4 4 2 3" xfId="4679" xr:uid="{00000000-0005-0000-0000-0000BD7A0000}"/>
    <cellStyle name="Note 2 3 4 4 3" xfId="10382" xr:uid="{00000000-0005-0000-0000-0000BE7A0000}"/>
    <cellStyle name="Note 2 3 4 4 3 2" xfId="10983" xr:uid="{00000000-0005-0000-0000-0000BF7A0000}"/>
    <cellStyle name="Note 2 3 4 4 4" xfId="10388" xr:uid="{00000000-0005-0000-0000-0000C07A0000}"/>
    <cellStyle name="Note 2 3 4 5" xfId="31215" xr:uid="{00000000-0005-0000-0000-0000C17A0000}"/>
    <cellStyle name="Note 2 3 4 5 2" xfId="10605" xr:uid="{00000000-0005-0000-0000-0000C27A0000}"/>
    <cellStyle name="Note 2 3 4 5 2 2" xfId="10608" xr:uid="{00000000-0005-0000-0000-0000C37A0000}"/>
    <cellStyle name="Note 2 3 4 5 3" xfId="10613" xr:uid="{00000000-0005-0000-0000-0000C47A0000}"/>
    <cellStyle name="Note 2 3 4 6" xfId="361" xr:uid="{00000000-0005-0000-0000-0000C57A0000}"/>
    <cellStyle name="Note 2 3 4 6 2" xfId="11651" xr:uid="{00000000-0005-0000-0000-0000C67A0000}"/>
    <cellStyle name="Note 2 3 4 7" xfId="31218" xr:uid="{00000000-0005-0000-0000-0000C77A0000}"/>
    <cellStyle name="Note 2 3 5" xfId="32165" xr:uid="{00000000-0005-0000-0000-0000C87A0000}"/>
    <cellStyle name="Note 2 3 5 2" xfId="32170" xr:uid="{00000000-0005-0000-0000-0000C97A0000}"/>
    <cellStyle name="Note 2 3 5 2 2" xfId="33965" xr:uid="{00000000-0005-0000-0000-0000CA7A0000}"/>
    <cellStyle name="Note 2 3 5 2 2 2" xfId="32171" xr:uid="{00000000-0005-0000-0000-0000CB7A0000}"/>
    <cellStyle name="Note 2 3 5 2 2 2 2" xfId="22358" xr:uid="{00000000-0005-0000-0000-0000CC7A0000}"/>
    <cellStyle name="Note 2 3 5 2 2 2 2 2" xfId="22369" xr:uid="{00000000-0005-0000-0000-0000CD7A0000}"/>
    <cellStyle name="Note 2 3 5 2 2 2 3" xfId="22377" xr:uid="{00000000-0005-0000-0000-0000CE7A0000}"/>
    <cellStyle name="Note 2 3 5 2 2 3" xfId="32176" xr:uid="{00000000-0005-0000-0000-0000CF7A0000}"/>
    <cellStyle name="Note 2 3 5 2 2 3 2" xfId="25797" xr:uid="{00000000-0005-0000-0000-0000D07A0000}"/>
    <cellStyle name="Note 2 3 5 2 2 4" xfId="32177" xr:uid="{00000000-0005-0000-0000-0000D17A0000}"/>
    <cellStyle name="Note 2 3 5 2 3" xfId="14554" xr:uid="{00000000-0005-0000-0000-0000D27A0000}"/>
    <cellStyle name="Note 2 3 5 2 3 2" xfId="33284" xr:uid="{00000000-0005-0000-0000-0000D37A0000}"/>
    <cellStyle name="Note 2 3 5 2 3 2 2" xfId="28545" xr:uid="{00000000-0005-0000-0000-0000D47A0000}"/>
    <cellStyle name="Note 2 3 5 2 3 3" xfId="33133" xr:uid="{00000000-0005-0000-0000-0000D57A0000}"/>
    <cellStyle name="Note 2 3 5 2 4" xfId="19230" xr:uid="{00000000-0005-0000-0000-0000D67A0000}"/>
    <cellStyle name="Note 2 3 5 2 4 2" xfId="29358" xr:uid="{00000000-0005-0000-0000-0000D77A0000}"/>
    <cellStyle name="Note 2 3 5 2 5" xfId="32499" xr:uid="{00000000-0005-0000-0000-0000D87A0000}"/>
    <cellStyle name="Note 2 3 5 3" xfId="32178" xr:uid="{00000000-0005-0000-0000-0000D97A0000}"/>
    <cellStyle name="Note 2 3 5 3 2" xfId="11016" xr:uid="{00000000-0005-0000-0000-0000DA7A0000}"/>
    <cellStyle name="Note 2 3 5 3 2 2" xfId="12225" xr:uid="{00000000-0005-0000-0000-0000DB7A0000}"/>
    <cellStyle name="Note 2 3 5 3 2 2 2" xfId="657" xr:uid="{00000000-0005-0000-0000-0000DC7A0000}"/>
    <cellStyle name="Note 2 3 5 3 2 3" xfId="5221" xr:uid="{00000000-0005-0000-0000-0000DD7A0000}"/>
    <cellStyle name="Note 2 3 5 3 3" xfId="6478" xr:uid="{00000000-0005-0000-0000-0000DE7A0000}"/>
    <cellStyle name="Note 2 3 5 3 3 2" xfId="167" xr:uid="{00000000-0005-0000-0000-0000DF7A0000}"/>
    <cellStyle name="Note 2 3 5 3 4" xfId="2265" xr:uid="{00000000-0005-0000-0000-0000E07A0000}"/>
    <cellStyle name="Note 2 3 5 4" xfId="31224" xr:uid="{00000000-0005-0000-0000-0000E17A0000}"/>
    <cellStyle name="Note 2 3 5 4 2" xfId="971" xr:uid="{00000000-0005-0000-0000-0000E27A0000}"/>
    <cellStyle name="Note 2 3 5 4 2 2" xfId="17554" xr:uid="{00000000-0005-0000-0000-0000E37A0000}"/>
    <cellStyle name="Note 2 3 5 4 3" xfId="2193" xr:uid="{00000000-0005-0000-0000-0000E47A0000}"/>
    <cellStyle name="Note 2 3 5 5" xfId="31229" xr:uid="{00000000-0005-0000-0000-0000E57A0000}"/>
    <cellStyle name="Note 2 3 5 5 2" xfId="255" xr:uid="{00000000-0005-0000-0000-0000E67A0000}"/>
    <cellStyle name="Note 2 3 5 6" xfId="17029" xr:uid="{00000000-0005-0000-0000-0000E77A0000}"/>
    <cellStyle name="Note 2 3 6" xfId="17604" xr:uid="{00000000-0005-0000-0000-0000E87A0000}"/>
    <cellStyle name="Note 2 3 6 2" xfId="32182" xr:uid="{00000000-0005-0000-0000-0000E97A0000}"/>
    <cellStyle name="Note 2 3 6 2 2" xfId="32187" xr:uid="{00000000-0005-0000-0000-0000EA7A0000}"/>
    <cellStyle name="Note 2 3 6 2 2 2" xfId="25320" xr:uid="{00000000-0005-0000-0000-0000EB7A0000}"/>
    <cellStyle name="Note 2 3 6 2 2 2 2" xfId="1705" xr:uid="{00000000-0005-0000-0000-0000EC7A0000}"/>
    <cellStyle name="Note 2 3 6 2 2 3" xfId="9698" xr:uid="{00000000-0005-0000-0000-0000ED7A0000}"/>
    <cellStyle name="Note 2 3 6 2 3" xfId="14574" xr:uid="{00000000-0005-0000-0000-0000EE7A0000}"/>
    <cellStyle name="Note 2 3 6 2 3 2" xfId="17" xr:uid="{00000000-0005-0000-0000-0000EF7A0000}"/>
    <cellStyle name="Note 2 3 6 2 4" xfId="32506" xr:uid="{00000000-0005-0000-0000-0000F07A0000}"/>
    <cellStyle name="Note 2 3 6 3" xfId="32188" xr:uid="{00000000-0005-0000-0000-0000F17A0000}"/>
    <cellStyle name="Note 2 3 6 3 2" xfId="6488" xr:uid="{00000000-0005-0000-0000-0000F27A0000}"/>
    <cellStyle name="Note 2 3 6 3 2 2" xfId="622" xr:uid="{00000000-0005-0000-0000-0000F37A0000}"/>
    <cellStyle name="Note 2 3 6 3 3" xfId="1155" xr:uid="{00000000-0005-0000-0000-0000F47A0000}"/>
    <cellStyle name="Note 2 3 6 4" xfId="31233" xr:uid="{00000000-0005-0000-0000-0000F57A0000}"/>
    <cellStyle name="Note 2 3 6 4 2" xfId="1748" xr:uid="{00000000-0005-0000-0000-0000F67A0000}"/>
    <cellStyle name="Note 2 3 6 5" xfId="31236" xr:uid="{00000000-0005-0000-0000-0000F77A0000}"/>
    <cellStyle name="Note 2 3 7" xfId="16774" xr:uid="{00000000-0005-0000-0000-0000F87A0000}"/>
    <cellStyle name="Note 2 3 7 2" xfId="31346" xr:uid="{00000000-0005-0000-0000-0000F97A0000}"/>
    <cellStyle name="Note 2 3 7 2 2" xfId="2603" xr:uid="{00000000-0005-0000-0000-0000FA7A0000}"/>
    <cellStyle name="Note 2 3 7 2 2 2" xfId="210" xr:uid="{00000000-0005-0000-0000-0000FB7A0000}"/>
    <cellStyle name="Note 2 3 7 2 3" xfId="784" xr:uid="{00000000-0005-0000-0000-0000FC7A0000}"/>
    <cellStyle name="Note 2 3 7 3" xfId="33647" xr:uid="{00000000-0005-0000-0000-0000FD7A0000}"/>
    <cellStyle name="Note 2 3 7 3 2" xfId="15636" xr:uid="{00000000-0005-0000-0000-0000FE7A0000}"/>
    <cellStyle name="Note 2 3 7 4" xfId="31243" xr:uid="{00000000-0005-0000-0000-0000FF7A0000}"/>
    <cellStyle name="Note 2 3 8" xfId="32146" xr:uid="{00000000-0005-0000-0000-0000007B0000}"/>
    <cellStyle name="Note 2 3 8 2" xfId="32198" xr:uid="{00000000-0005-0000-0000-0000017B0000}"/>
    <cellStyle name="Note 2 3 8 2 2" xfId="861" xr:uid="{00000000-0005-0000-0000-0000027B0000}"/>
    <cellStyle name="Note 2 3 8 3" xfId="32799" xr:uid="{00000000-0005-0000-0000-0000037B0000}"/>
    <cellStyle name="Note 2 3 9" xfId="27640" xr:uid="{00000000-0005-0000-0000-0000047B0000}"/>
    <cellStyle name="Note 2 3 9 2" xfId="32199" xr:uid="{00000000-0005-0000-0000-0000057B0000}"/>
    <cellStyle name="Note 2 4" xfId="8117" xr:uid="{00000000-0005-0000-0000-0000067B0000}"/>
    <cellStyle name="Note 2 4 2" xfId="2280" xr:uid="{00000000-0005-0000-0000-0000077B0000}"/>
    <cellStyle name="Note 2 4 2 2" xfId="6374" xr:uid="{00000000-0005-0000-0000-0000087B0000}"/>
    <cellStyle name="Note 2 4 2 2 2" xfId="6376" xr:uid="{00000000-0005-0000-0000-0000097B0000}"/>
    <cellStyle name="Note 2 4 2 2 2 2" xfId="19775" xr:uid="{00000000-0005-0000-0000-00000A7B0000}"/>
    <cellStyle name="Note 2 4 2 2 2 2 2" xfId="32206" xr:uid="{00000000-0005-0000-0000-00000B7B0000}"/>
    <cellStyle name="Note 2 4 2 2 2 2 2 2" xfId="30456" xr:uid="{00000000-0005-0000-0000-00000C7B0000}"/>
    <cellStyle name="Note 2 4 2 2 2 2 2 2 2" xfId="30932" xr:uid="{00000000-0005-0000-0000-00000D7B0000}"/>
    <cellStyle name="Note 2 4 2 2 2 2 2 2 2 2" xfId="31827" xr:uid="{00000000-0005-0000-0000-00000E7B0000}"/>
    <cellStyle name="Note 2 4 2 2 2 2 2 2 3" xfId="25899" xr:uid="{00000000-0005-0000-0000-00000F7B0000}"/>
    <cellStyle name="Note 2 4 2 2 2 2 2 3" xfId="32114" xr:uid="{00000000-0005-0000-0000-0000107B0000}"/>
    <cellStyle name="Note 2 4 2 2 2 2 2 3 2" xfId="32029" xr:uid="{00000000-0005-0000-0000-0000117B0000}"/>
    <cellStyle name="Note 2 4 2 2 2 2 2 4" xfId="21304" xr:uid="{00000000-0005-0000-0000-0000127B0000}"/>
    <cellStyle name="Note 2 4 2 2 2 2 3" xfId="28077" xr:uid="{00000000-0005-0000-0000-0000137B0000}"/>
    <cellStyle name="Note 2 4 2 2 2 2 3 2" xfId="29858" xr:uid="{00000000-0005-0000-0000-0000147B0000}"/>
    <cellStyle name="Note 2 4 2 2 2 2 3 2 2" xfId="32214" xr:uid="{00000000-0005-0000-0000-0000157B0000}"/>
    <cellStyle name="Note 2 4 2 2 2 2 3 3" xfId="31337" xr:uid="{00000000-0005-0000-0000-0000167B0000}"/>
    <cellStyle name="Note 2 4 2 2 2 2 4" xfId="22733" xr:uid="{00000000-0005-0000-0000-0000177B0000}"/>
    <cellStyle name="Note 2 4 2 2 2 2 4 2" xfId="32346" xr:uid="{00000000-0005-0000-0000-0000187B0000}"/>
    <cellStyle name="Note 2 4 2 2 2 2 5" xfId="22737" xr:uid="{00000000-0005-0000-0000-0000197B0000}"/>
    <cellStyle name="Note 2 4 2 2 2 3" xfId="28717" xr:uid="{00000000-0005-0000-0000-00001A7B0000}"/>
    <cellStyle name="Note 2 4 2 2 2 3 2" xfId="31004" xr:uid="{00000000-0005-0000-0000-00001B7B0000}"/>
    <cellStyle name="Note 2 4 2 2 2 3 2 2" xfId="31010" xr:uid="{00000000-0005-0000-0000-00001C7B0000}"/>
    <cellStyle name="Note 2 4 2 2 2 3 2 2 2" xfId="32240" xr:uid="{00000000-0005-0000-0000-00001D7B0000}"/>
    <cellStyle name="Note 2 4 2 2 2 3 2 3" xfId="21433" xr:uid="{00000000-0005-0000-0000-00001E7B0000}"/>
    <cellStyle name="Note 2 4 2 2 2 3 3" xfId="28422" xr:uid="{00000000-0005-0000-0000-00001F7B0000}"/>
    <cellStyle name="Note 2 4 2 2 2 3 3 2" xfId="30552" xr:uid="{00000000-0005-0000-0000-0000207B0000}"/>
    <cellStyle name="Note 2 4 2 2 2 3 4" xfId="20654" xr:uid="{00000000-0005-0000-0000-0000217B0000}"/>
    <cellStyle name="Note 2 4 2 2 2 4" xfId="6603" xr:uid="{00000000-0005-0000-0000-0000227B0000}"/>
    <cellStyle name="Note 2 4 2 2 2 4 2" xfId="6044" xr:uid="{00000000-0005-0000-0000-0000237B0000}"/>
    <cellStyle name="Note 2 4 2 2 2 4 2 2" xfId="30558" xr:uid="{00000000-0005-0000-0000-0000247B0000}"/>
    <cellStyle name="Note 2 4 2 2 2 4 3" xfId="32258" xr:uid="{00000000-0005-0000-0000-0000257B0000}"/>
    <cellStyle name="Note 2 4 2 2 2 5" xfId="6608" xr:uid="{00000000-0005-0000-0000-0000267B0000}"/>
    <cellStyle name="Note 2 4 2 2 2 5 2" xfId="32411" xr:uid="{00000000-0005-0000-0000-0000277B0000}"/>
    <cellStyle name="Note 2 4 2 2 2 6" xfId="32259" xr:uid="{00000000-0005-0000-0000-0000287B0000}"/>
    <cellStyle name="Note 2 4 2 2 3" xfId="2074" xr:uid="{00000000-0005-0000-0000-0000297B0000}"/>
    <cellStyle name="Note 2 4 2 2 3 2" xfId="33412" xr:uid="{00000000-0005-0000-0000-00002A7B0000}"/>
    <cellStyle name="Note 2 4 2 2 3 2 2" xfId="33922" xr:uid="{00000000-0005-0000-0000-00002B7B0000}"/>
    <cellStyle name="Note 2 4 2 2 3 2 2 2" xfId="33137" xr:uid="{00000000-0005-0000-0000-00002C7B0000}"/>
    <cellStyle name="Note 2 4 2 2 3 2 2 2 2" xfId="32262" xr:uid="{00000000-0005-0000-0000-00002D7B0000}"/>
    <cellStyle name="Note 2 4 2 2 3 2 2 3" xfId="21650" xr:uid="{00000000-0005-0000-0000-00002E7B0000}"/>
    <cellStyle name="Note 2 4 2 2 3 2 3" xfId="30958" xr:uid="{00000000-0005-0000-0000-00002F7B0000}"/>
    <cellStyle name="Note 2 4 2 2 3 2 3 2" xfId="32263" xr:uid="{00000000-0005-0000-0000-0000307B0000}"/>
    <cellStyle name="Note 2 4 2 2 3 2 4" xfId="19561" xr:uid="{00000000-0005-0000-0000-0000317B0000}"/>
    <cellStyle name="Note 2 4 2 2 3 3" xfId="14466" xr:uid="{00000000-0005-0000-0000-0000327B0000}"/>
    <cellStyle name="Note 2 4 2 2 3 3 2" xfId="21148" xr:uid="{00000000-0005-0000-0000-0000337B0000}"/>
    <cellStyle name="Note 2 4 2 2 3 3 2 2" xfId="17098" xr:uid="{00000000-0005-0000-0000-0000347B0000}"/>
    <cellStyle name="Note 2 4 2 2 3 3 3" xfId="21982" xr:uid="{00000000-0005-0000-0000-0000357B0000}"/>
    <cellStyle name="Note 2 4 2 2 3 4" xfId="6633" xr:uid="{00000000-0005-0000-0000-0000367B0000}"/>
    <cellStyle name="Note 2 4 2 2 3 4 2" xfId="25958" xr:uid="{00000000-0005-0000-0000-0000377B0000}"/>
    <cellStyle name="Note 2 4 2 2 3 5" xfId="5689" xr:uid="{00000000-0005-0000-0000-0000387B0000}"/>
    <cellStyle name="Note 2 4 2 2 4" xfId="32278" xr:uid="{00000000-0005-0000-0000-0000397B0000}"/>
    <cellStyle name="Note 2 4 2 2 4 2" xfId="22773" xr:uid="{00000000-0005-0000-0000-00003A7B0000}"/>
    <cellStyle name="Note 2 4 2 2 4 2 2" xfId="32142" xr:uid="{00000000-0005-0000-0000-00003B7B0000}"/>
    <cellStyle name="Note 2 4 2 2 4 2 2 2" xfId="32280" xr:uid="{00000000-0005-0000-0000-00003C7B0000}"/>
    <cellStyle name="Note 2 4 2 2 4 2 3" xfId="27115" xr:uid="{00000000-0005-0000-0000-00003D7B0000}"/>
    <cellStyle name="Note 2 4 2 2 4 3" xfId="31498" xr:uid="{00000000-0005-0000-0000-00003E7B0000}"/>
    <cellStyle name="Note 2 4 2 2 4 3 2" xfId="20673" xr:uid="{00000000-0005-0000-0000-00003F7B0000}"/>
    <cellStyle name="Note 2 4 2 2 4 4" xfId="31418" xr:uid="{00000000-0005-0000-0000-0000407B0000}"/>
    <cellStyle name="Note 2 4 2 2 5" xfId="30371" xr:uid="{00000000-0005-0000-0000-0000417B0000}"/>
    <cellStyle name="Note 2 4 2 2 5 2" xfId="32288" xr:uid="{00000000-0005-0000-0000-0000427B0000}"/>
    <cellStyle name="Note 2 4 2 2 5 2 2" xfId="5735" xr:uid="{00000000-0005-0000-0000-0000437B0000}"/>
    <cellStyle name="Note 2 4 2 2 5 3" xfId="21712" xr:uid="{00000000-0005-0000-0000-0000447B0000}"/>
    <cellStyle name="Note 2 4 2 2 6" xfId="34027" xr:uid="{00000000-0005-0000-0000-0000457B0000}"/>
    <cellStyle name="Note 2 4 2 2 6 2" xfId="32615" xr:uid="{00000000-0005-0000-0000-0000467B0000}"/>
    <cellStyle name="Note 2 4 2 2 7" xfId="32625" xr:uid="{00000000-0005-0000-0000-0000477B0000}"/>
    <cellStyle name="Note 2 4 2 3" xfId="6119" xr:uid="{00000000-0005-0000-0000-0000487B0000}"/>
    <cellStyle name="Note 2 4 2 3 2" xfId="13038" xr:uid="{00000000-0005-0000-0000-0000497B0000}"/>
    <cellStyle name="Note 2 4 2 3 2 2" xfId="14196" xr:uid="{00000000-0005-0000-0000-00004A7B0000}"/>
    <cellStyle name="Note 2 4 2 3 2 2 2" xfId="24403" xr:uid="{00000000-0005-0000-0000-00004B7B0000}"/>
    <cellStyle name="Note 2 4 2 3 2 2 2 2" xfId="33971" xr:uid="{00000000-0005-0000-0000-00004C7B0000}"/>
    <cellStyle name="Note 2 4 2 3 2 2 2 2 2" xfId="32296" xr:uid="{00000000-0005-0000-0000-00004D7B0000}"/>
    <cellStyle name="Note 2 4 2 3 2 2 2 3" xfId="32911" xr:uid="{00000000-0005-0000-0000-00004E7B0000}"/>
    <cellStyle name="Note 2 4 2 3 2 2 3" xfId="32301" xr:uid="{00000000-0005-0000-0000-00004F7B0000}"/>
    <cellStyle name="Note 2 4 2 3 2 2 3 2" xfId="31412" xr:uid="{00000000-0005-0000-0000-0000507B0000}"/>
    <cellStyle name="Note 2 4 2 3 2 2 4" xfId="31241" xr:uid="{00000000-0005-0000-0000-0000517B0000}"/>
    <cellStyle name="Note 2 4 2 3 2 3" xfId="1732" xr:uid="{00000000-0005-0000-0000-0000527B0000}"/>
    <cellStyle name="Note 2 4 2 3 2 3 2" xfId="7429" xr:uid="{00000000-0005-0000-0000-0000537B0000}"/>
    <cellStyle name="Note 2 4 2 3 2 3 2 2" xfId="33220" xr:uid="{00000000-0005-0000-0000-0000547B0000}"/>
    <cellStyle name="Note 2 4 2 3 2 3 3" xfId="7444" xr:uid="{00000000-0005-0000-0000-0000557B0000}"/>
    <cellStyle name="Note 2 4 2 3 2 4" xfId="1349" xr:uid="{00000000-0005-0000-0000-0000567B0000}"/>
    <cellStyle name="Note 2 4 2 3 2 4 2" xfId="7728" xr:uid="{00000000-0005-0000-0000-0000577B0000}"/>
    <cellStyle name="Note 2 4 2 3 2 5" xfId="32125" xr:uid="{00000000-0005-0000-0000-0000587B0000}"/>
    <cellStyle name="Note 2 4 2 3 3" xfId="11014" xr:uid="{00000000-0005-0000-0000-0000597B0000}"/>
    <cellStyle name="Note 2 4 2 3 3 2" xfId="5116" xr:uid="{00000000-0005-0000-0000-00005A7B0000}"/>
    <cellStyle name="Note 2 4 2 3 3 2 2" xfId="32308" xr:uid="{00000000-0005-0000-0000-00005B7B0000}"/>
    <cellStyle name="Note 2 4 2 3 3 2 2 2" xfId="32046" xr:uid="{00000000-0005-0000-0000-00005C7B0000}"/>
    <cellStyle name="Note 2 4 2 3 3 2 3" xfId="32309" xr:uid="{00000000-0005-0000-0000-00005D7B0000}"/>
    <cellStyle name="Note 2 4 2 3 3 3" xfId="31383" xr:uid="{00000000-0005-0000-0000-00005E7B0000}"/>
    <cellStyle name="Note 2 4 2 3 3 3 2" xfId="4978" xr:uid="{00000000-0005-0000-0000-00005F7B0000}"/>
    <cellStyle name="Note 2 4 2 3 3 4" xfId="32311" xr:uid="{00000000-0005-0000-0000-0000607B0000}"/>
    <cellStyle name="Note 2 4 2 3 4" xfId="10140" xr:uid="{00000000-0005-0000-0000-0000617B0000}"/>
    <cellStyle name="Note 2 4 2 3 4 2" xfId="33678" xr:uid="{00000000-0005-0000-0000-0000627B0000}"/>
    <cellStyle name="Note 2 4 2 3 4 2 2" xfId="5914" xr:uid="{00000000-0005-0000-0000-0000637B0000}"/>
    <cellStyle name="Note 2 4 2 3 4 3" xfId="32313" xr:uid="{00000000-0005-0000-0000-0000647B0000}"/>
    <cellStyle name="Note 2 4 2 3 5" xfId="27199" xr:uid="{00000000-0005-0000-0000-0000657B0000}"/>
    <cellStyle name="Note 2 4 2 3 5 2" xfId="33423" xr:uid="{00000000-0005-0000-0000-0000667B0000}"/>
    <cellStyle name="Note 2 4 2 3 6" xfId="32639" xr:uid="{00000000-0005-0000-0000-0000677B0000}"/>
    <cellStyle name="Note 2 4 2 4" xfId="904" xr:uid="{00000000-0005-0000-0000-0000687B0000}"/>
    <cellStyle name="Note 2 4 2 4 2" xfId="11025" xr:uid="{00000000-0005-0000-0000-0000697B0000}"/>
    <cellStyle name="Note 2 4 2 4 2 2" xfId="33274" xr:uid="{00000000-0005-0000-0000-00006A7B0000}"/>
    <cellStyle name="Note 2 4 2 4 2 2 2" xfId="21585" xr:uid="{00000000-0005-0000-0000-00006B7B0000}"/>
    <cellStyle name="Note 2 4 2 4 2 2 2 2" xfId="31553" xr:uid="{00000000-0005-0000-0000-00006C7B0000}"/>
    <cellStyle name="Note 2 4 2 4 2 2 3" xfId="32056" xr:uid="{00000000-0005-0000-0000-00006D7B0000}"/>
    <cellStyle name="Note 2 4 2 4 2 3" xfId="32786" xr:uid="{00000000-0005-0000-0000-00006E7B0000}"/>
    <cellStyle name="Note 2 4 2 4 2 3 2" xfId="3372" xr:uid="{00000000-0005-0000-0000-00006F7B0000}"/>
    <cellStyle name="Note 2 4 2 4 2 4" xfId="28359" xr:uid="{00000000-0005-0000-0000-0000707B0000}"/>
    <cellStyle name="Note 2 4 2 4 3" xfId="24131" xr:uid="{00000000-0005-0000-0000-0000717B0000}"/>
    <cellStyle name="Note 2 4 2 4 3 2" xfId="24263" xr:uid="{00000000-0005-0000-0000-0000727B0000}"/>
    <cellStyle name="Note 2 4 2 4 3 2 2" xfId="32317" xr:uid="{00000000-0005-0000-0000-0000737B0000}"/>
    <cellStyle name="Note 2 4 2 4 3 3" xfId="26975" xr:uid="{00000000-0005-0000-0000-0000747B0000}"/>
    <cellStyle name="Note 2 4 2 4 4" xfId="26978" xr:uid="{00000000-0005-0000-0000-0000757B0000}"/>
    <cellStyle name="Note 2 4 2 4 4 2" xfId="28257" xr:uid="{00000000-0005-0000-0000-0000767B0000}"/>
    <cellStyle name="Note 2 4 2 4 5" xfId="26985" xr:uid="{00000000-0005-0000-0000-0000777B0000}"/>
    <cellStyle name="Note 2 4 2 5" xfId="29268" xr:uid="{00000000-0005-0000-0000-0000787B0000}"/>
    <cellStyle name="Note 2 4 2 5 2" xfId="24141" xr:uid="{00000000-0005-0000-0000-0000797B0000}"/>
    <cellStyle name="Note 2 4 2 5 2 2" xfId="27224" xr:uid="{00000000-0005-0000-0000-00007A7B0000}"/>
    <cellStyle name="Note 2 4 2 5 2 2 2" xfId="32876" xr:uid="{00000000-0005-0000-0000-00007B7B0000}"/>
    <cellStyle name="Note 2 4 2 5 2 3" xfId="33889" xr:uid="{00000000-0005-0000-0000-00007C7B0000}"/>
    <cellStyle name="Note 2 4 2 5 3" xfId="22815" xr:uid="{00000000-0005-0000-0000-00007D7B0000}"/>
    <cellStyle name="Note 2 4 2 5 3 2" xfId="1477" xr:uid="{00000000-0005-0000-0000-00007E7B0000}"/>
    <cellStyle name="Note 2 4 2 5 4" xfId="19386" xr:uid="{00000000-0005-0000-0000-00007F7B0000}"/>
    <cellStyle name="Note 2 4 2 6" xfId="22337" xr:uid="{00000000-0005-0000-0000-0000807B0000}"/>
    <cellStyle name="Note 2 4 2 6 2" xfId="30986" xr:uid="{00000000-0005-0000-0000-0000817B0000}"/>
    <cellStyle name="Note 2 4 2 6 2 2" xfId="26698" xr:uid="{00000000-0005-0000-0000-0000827B0000}"/>
    <cellStyle name="Note 2 4 2 6 3" xfId="26578" xr:uid="{00000000-0005-0000-0000-0000837B0000}"/>
    <cellStyle name="Note 2 4 2 7" xfId="22744" xr:uid="{00000000-0005-0000-0000-0000847B0000}"/>
    <cellStyle name="Note 2 4 2 7 2" xfId="27293" xr:uid="{00000000-0005-0000-0000-0000857B0000}"/>
    <cellStyle name="Note 2 4 2 8" xfId="27679" xr:uid="{00000000-0005-0000-0000-0000867B0000}"/>
    <cellStyle name="Note 2 4 3" xfId="27152" xr:uid="{00000000-0005-0000-0000-0000877B0000}"/>
    <cellStyle name="Note 2 4 3 2" xfId="10088" xr:uid="{00000000-0005-0000-0000-0000887B0000}"/>
    <cellStyle name="Note 2 4 3 2 2" xfId="27158" xr:uid="{00000000-0005-0000-0000-0000897B0000}"/>
    <cellStyle name="Note 2 4 3 2 2 2" xfId="25932" xr:uid="{00000000-0005-0000-0000-00008A7B0000}"/>
    <cellStyle name="Note 2 4 3 2 2 2 2" xfId="33994" xr:uid="{00000000-0005-0000-0000-00008B7B0000}"/>
    <cellStyle name="Note 2 4 3 2 2 2 2 2" xfId="30116" xr:uid="{00000000-0005-0000-0000-00008C7B0000}"/>
    <cellStyle name="Note 2 4 3 2 2 2 2 2 2" xfId="31174" xr:uid="{00000000-0005-0000-0000-00008D7B0000}"/>
    <cellStyle name="Note 2 4 3 2 2 2 2 3" xfId="30444" xr:uid="{00000000-0005-0000-0000-00008E7B0000}"/>
    <cellStyle name="Note 2 4 3 2 2 2 3" xfId="32517" xr:uid="{00000000-0005-0000-0000-00008F7B0000}"/>
    <cellStyle name="Note 2 4 3 2 2 2 3 2" xfId="17519" xr:uid="{00000000-0005-0000-0000-0000907B0000}"/>
    <cellStyle name="Note 2 4 3 2 2 2 4" xfId="19181" xr:uid="{00000000-0005-0000-0000-0000917B0000}"/>
    <cellStyle name="Note 2 4 3 2 2 3" xfId="33829" xr:uid="{00000000-0005-0000-0000-0000927B0000}"/>
    <cellStyle name="Note 2 4 3 2 2 3 2" xfId="32633" xr:uid="{00000000-0005-0000-0000-0000937B0000}"/>
    <cellStyle name="Note 2 4 3 2 2 3 2 2" xfId="32322" xr:uid="{00000000-0005-0000-0000-0000947B0000}"/>
    <cellStyle name="Note 2 4 3 2 2 3 3" xfId="32654" xr:uid="{00000000-0005-0000-0000-0000957B0000}"/>
    <cellStyle name="Note 2 4 3 2 2 4" xfId="7081" xr:uid="{00000000-0005-0000-0000-0000967B0000}"/>
    <cellStyle name="Note 2 4 3 2 2 4 2" xfId="32659" xr:uid="{00000000-0005-0000-0000-0000977B0000}"/>
    <cellStyle name="Note 2 4 3 2 2 5" xfId="34004" xr:uid="{00000000-0005-0000-0000-0000987B0000}"/>
    <cellStyle name="Note 2 4 3 2 3" xfId="33685" xr:uid="{00000000-0005-0000-0000-0000997B0000}"/>
    <cellStyle name="Note 2 4 3 2 3 2" xfId="32676" xr:uid="{00000000-0005-0000-0000-00009A7B0000}"/>
    <cellStyle name="Note 2 4 3 2 3 2 2" xfId="33653" xr:uid="{00000000-0005-0000-0000-00009B7B0000}"/>
    <cellStyle name="Note 2 4 3 2 3 2 2 2" xfId="32769" xr:uid="{00000000-0005-0000-0000-00009C7B0000}"/>
    <cellStyle name="Note 2 4 3 2 3 2 3" xfId="32686" xr:uid="{00000000-0005-0000-0000-00009D7B0000}"/>
    <cellStyle name="Note 2 4 3 2 3 3" xfId="32690" xr:uid="{00000000-0005-0000-0000-00009E7B0000}"/>
    <cellStyle name="Note 2 4 3 2 3 3 2" xfId="19164" xr:uid="{00000000-0005-0000-0000-00009F7B0000}"/>
    <cellStyle name="Note 2 4 3 2 3 4" xfId="27437" xr:uid="{00000000-0005-0000-0000-0000A07B0000}"/>
    <cellStyle name="Note 2 4 3 2 4" xfId="20862" xr:uid="{00000000-0005-0000-0000-0000A17B0000}"/>
    <cellStyle name="Note 2 4 3 2 4 2" xfId="32554" xr:uid="{00000000-0005-0000-0000-0000A27B0000}"/>
    <cellStyle name="Note 2 4 3 2 4 2 2" xfId="33658" xr:uid="{00000000-0005-0000-0000-0000A37B0000}"/>
    <cellStyle name="Note 2 4 3 2 4 3" xfId="32713" xr:uid="{00000000-0005-0000-0000-0000A47B0000}"/>
    <cellStyle name="Note 2 4 3 2 5" xfId="32336" xr:uid="{00000000-0005-0000-0000-0000A57B0000}"/>
    <cellStyle name="Note 2 4 3 2 5 2" xfId="32729" xr:uid="{00000000-0005-0000-0000-0000A67B0000}"/>
    <cellStyle name="Note 2 4 3 2 6" xfId="21066" xr:uid="{00000000-0005-0000-0000-0000A77B0000}"/>
    <cellStyle name="Note 2 4 3 3" xfId="27160" xr:uid="{00000000-0005-0000-0000-0000A87B0000}"/>
    <cellStyle name="Note 2 4 3 3 2" xfId="13889" xr:uid="{00000000-0005-0000-0000-0000A97B0000}"/>
    <cellStyle name="Note 2 4 3 3 2 2" xfId="33310" xr:uid="{00000000-0005-0000-0000-0000AA7B0000}"/>
    <cellStyle name="Note 2 4 3 3 2 2 2" xfId="33877" xr:uid="{00000000-0005-0000-0000-0000AB7B0000}"/>
    <cellStyle name="Note 2 4 3 3 2 2 2 2" xfId="4545" xr:uid="{00000000-0005-0000-0000-0000AC7B0000}"/>
    <cellStyle name="Note 2 4 3 3 2 2 3" xfId="32956" xr:uid="{00000000-0005-0000-0000-0000AD7B0000}"/>
    <cellStyle name="Note 2 4 3 3 2 3" xfId="30177" xr:uid="{00000000-0005-0000-0000-0000AE7B0000}"/>
    <cellStyle name="Note 2 4 3 3 2 3 2" xfId="23739" xr:uid="{00000000-0005-0000-0000-0000AF7B0000}"/>
    <cellStyle name="Note 2 4 3 3 2 4" xfId="32908" xr:uid="{00000000-0005-0000-0000-0000B07B0000}"/>
    <cellStyle name="Note 2 4 3 3 3" xfId="9866" xr:uid="{00000000-0005-0000-0000-0000B17B0000}"/>
    <cellStyle name="Note 2 4 3 3 3 2" xfId="33367" xr:uid="{00000000-0005-0000-0000-0000B27B0000}"/>
    <cellStyle name="Note 2 4 3 3 3 2 2" xfId="33481" xr:uid="{00000000-0005-0000-0000-0000B37B0000}"/>
    <cellStyle name="Note 2 4 3 3 3 3" xfId="32913" xr:uid="{00000000-0005-0000-0000-0000B47B0000}"/>
    <cellStyle name="Note 2 4 3 3 4" xfId="23817" xr:uid="{00000000-0005-0000-0000-0000B57B0000}"/>
    <cellStyle name="Note 2 4 3 3 4 2" xfId="33433" xr:uid="{00000000-0005-0000-0000-0000B67B0000}"/>
    <cellStyle name="Note 2 4 3 3 5" xfId="32342" xr:uid="{00000000-0005-0000-0000-0000B77B0000}"/>
    <cellStyle name="Note 2 4 3 4" xfId="26254" xr:uid="{00000000-0005-0000-0000-0000B87B0000}"/>
    <cellStyle name="Note 2 4 3 4 2" xfId="24162" xr:uid="{00000000-0005-0000-0000-0000B97B0000}"/>
    <cellStyle name="Note 2 4 3 4 2 2" xfId="33279" xr:uid="{00000000-0005-0000-0000-0000BA7B0000}"/>
    <cellStyle name="Note 2 4 3 4 2 2 2" xfId="17798" xr:uid="{00000000-0005-0000-0000-0000BB7B0000}"/>
    <cellStyle name="Note 2 4 3 4 2 3" xfId="28720" xr:uid="{00000000-0005-0000-0000-0000BC7B0000}"/>
    <cellStyle name="Note 2 4 3 4 3" xfId="23311" xr:uid="{00000000-0005-0000-0000-0000BD7B0000}"/>
    <cellStyle name="Note 2 4 3 4 3 2" xfId="26997" xr:uid="{00000000-0005-0000-0000-0000BE7B0000}"/>
    <cellStyle name="Note 2 4 3 4 4" xfId="26558" xr:uid="{00000000-0005-0000-0000-0000BF7B0000}"/>
    <cellStyle name="Note 2 4 3 5" xfId="19565" xr:uid="{00000000-0005-0000-0000-0000C07B0000}"/>
    <cellStyle name="Note 2 4 3 5 2" xfId="30982" xr:uid="{00000000-0005-0000-0000-0000C17B0000}"/>
    <cellStyle name="Note 2 4 3 5 2 2" xfId="34013" xr:uid="{00000000-0005-0000-0000-0000C27B0000}"/>
    <cellStyle name="Note 2 4 3 5 3" xfId="26596" xr:uid="{00000000-0005-0000-0000-0000C37B0000}"/>
    <cellStyle name="Note 2 4 3 6" xfId="17585" xr:uid="{00000000-0005-0000-0000-0000C47B0000}"/>
    <cellStyle name="Note 2 4 3 6 2" xfId="33593" xr:uid="{00000000-0005-0000-0000-0000C57B0000}"/>
    <cellStyle name="Note 2 4 3 7" xfId="32892" xr:uid="{00000000-0005-0000-0000-0000C67B0000}"/>
    <cellStyle name="Note 2 4 4" xfId="19116" xr:uid="{00000000-0005-0000-0000-0000C77B0000}"/>
    <cellStyle name="Note 2 4 4 2" xfId="1689" xr:uid="{00000000-0005-0000-0000-0000C87B0000}"/>
    <cellStyle name="Note 2 4 4 2 2" xfId="882" xr:uid="{00000000-0005-0000-0000-0000C97B0000}"/>
    <cellStyle name="Note 2 4 4 2 2 2" xfId="30442" xr:uid="{00000000-0005-0000-0000-0000CA7B0000}"/>
    <cellStyle name="Note 2 4 4 2 2 2 2" xfId="24083" xr:uid="{00000000-0005-0000-0000-0000CB7B0000}"/>
    <cellStyle name="Note 2 4 4 2 2 2 2 2" xfId="28126" xr:uid="{00000000-0005-0000-0000-0000CC7B0000}"/>
    <cellStyle name="Note 2 4 4 2 2 2 3" xfId="28127" xr:uid="{00000000-0005-0000-0000-0000CD7B0000}"/>
    <cellStyle name="Note 2 4 4 2 2 3" xfId="30448" xr:uid="{00000000-0005-0000-0000-0000CE7B0000}"/>
    <cellStyle name="Note 2 4 4 2 2 3 2" xfId="20313" xr:uid="{00000000-0005-0000-0000-0000CF7B0000}"/>
    <cellStyle name="Note 2 4 4 2 2 4" xfId="32448" xr:uid="{00000000-0005-0000-0000-0000D07B0000}"/>
    <cellStyle name="Note 2 4 4 2 3" xfId="30204" xr:uid="{00000000-0005-0000-0000-0000D17B0000}"/>
    <cellStyle name="Note 2 4 4 2 3 2" xfId="32358" xr:uid="{00000000-0005-0000-0000-0000D27B0000}"/>
    <cellStyle name="Note 2 4 4 2 3 2 2" xfId="22383" xr:uid="{00000000-0005-0000-0000-0000D37B0000}"/>
    <cellStyle name="Note 2 4 4 2 3 3" xfId="32359" xr:uid="{00000000-0005-0000-0000-0000D47B0000}"/>
    <cellStyle name="Note 2 4 4 2 4" xfId="32364" xr:uid="{00000000-0005-0000-0000-0000D57B0000}"/>
    <cellStyle name="Note 2 4 4 2 4 2" xfId="27206" xr:uid="{00000000-0005-0000-0000-0000D67B0000}"/>
    <cellStyle name="Note 2 4 4 2 5" xfId="31021" xr:uid="{00000000-0005-0000-0000-0000D77B0000}"/>
    <cellStyle name="Note 2 4 4 3" xfId="33106" xr:uid="{00000000-0005-0000-0000-0000D87B0000}"/>
    <cellStyle name="Note 2 4 4 3 2" xfId="10369" xr:uid="{00000000-0005-0000-0000-0000D97B0000}"/>
    <cellStyle name="Note 2 4 4 3 2 2" xfId="29394" xr:uid="{00000000-0005-0000-0000-0000DA7B0000}"/>
    <cellStyle name="Note 2 4 4 3 2 2 2" xfId="20953" xr:uid="{00000000-0005-0000-0000-0000DB7B0000}"/>
    <cellStyle name="Note 2 4 4 3 2 3" xfId="32870" xr:uid="{00000000-0005-0000-0000-0000DC7B0000}"/>
    <cellStyle name="Note 2 4 4 3 3" xfId="29401" xr:uid="{00000000-0005-0000-0000-0000DD7B0000}"/>
    <cellStyle name="Note 2 4 4 3 3 2" xfId="29405" xr:uid="{00000000-0005-0000-0000-0000DE7B0000}"/>
    <cellStyle name="Note 2 4 4 3 4" xfId="29408" xr:uid="{00000000-0005-0000-0000-0000DF7B0000}"/>
    <cellStyle name="Note 2 4 4 4" xfId="6394" xr:uid="{00000000-0005-0000-0000-0000E07B0000}"/>
    <cellStyle name="Note 2 4 4 4 2" xfId="32415" xr:uid="{00000000-0005-0000-0000-0000E17B0000}"/>
    <cellStyle name="Note 2 4 4 4 2 2" xfId="32418" xr:uid="{00000000-0005-0000-0000-0000E27B0000}"/>
    <cellStyle name="Note 2 4 4 4 3" xfId="27004" xr:uid="{00000000-0005-0000-0000-0000E37B0000}"/>
    <cellStyle name="Note 2 4 4 5" xfId="31262" xr:uid="{00000000-0005-0000-0000-0000E47B0000}"/>
    <cellStyle name="Note 2 4 4 5 2" xfId="32429" xr:uid="{00000000-0005-0000-0000-0000E57B0000}"/>
    <cellStyle name="Note 2 4 4 6" xfId="31269" xr:uid="{00000000-0005-0000-0000-0000E67B0000}"/>
    <cellStyle name="Note 2 4 5" xfId="22800" xr:uid="{00000000-0005-0000-0000-0000E77B0000}"/>
    <cellStyle name="Note 2 4 5 2" xfId="27985" xr:uid="{00000000-0005-0000-0000-0000E87B0000}"/>
    <cellStyle name="Note 2 4 5 2 2" xfId="18220" xr:uid="{00000000-0005-0000-0000-0000E97B0000}"/>
    <cellStyle name="Note 2 4 5 2 2 2" xfId="32402" xr:uid="{00000000-0005-0000-0000-0000EA7B0000}"/>
    <cellStyle name="Note 2 4 5 2 2 2 2" xfId="9673" xr:uid="{00000000-0005-0000-0000-0000EB7B0000}"/>
    <cellStyle name="Note 2 4 5 2 2 3" xfId="32403" xr:uid="{00000000-0005-0000-0000-0000EC7B0000}"/>
    <cellStyle name="Note 2 4 5 2 3" xfId="3338" xr:uid="{00000000-0005-0000-0000-0000ED7B0000}"/>
    <cellStyle name="Note 2 4 5 2 3 2" xfId="60" xr:uid="{00000000-0005-0000-0000-0000EE7B0000}"/>
    <cellStyle name="Note 2 4 5 2 4" xfId="32837" xr:uid="{00000000-0005-0000-0000-0000EF7B0000}"/>
    <cellStyle name="Note 2 4 5 3" xfId="29652" xr:uid="{00000000-0005-0000-0000-0000F07B0000}"/>
    <cellStyle name="Note 2 4 5 3 2" xfId="22831" xr:uid="{00000000-0005-0000-0000-0000F17B0000}"/>
    <cellStyle name="Note 2 4 5 3 2 2" xfId="32935" xr:uid="{00000000-0005-0000-0000-0000F27B0000}"/>
    <cellStyle name="Note 2 4 5 3 3" xfId="33309" xr:uid="{00000000-0005-0000-0000-0000F37B0000}"/>
    <cellStyle name="Note 2 4 5 4" xfId="31603" xr:uid="{00000000-0005-0000-0000-0000F47B0000}"/>
    <cellStyle name="Note 2 4 5 4 2" xfId="27589" xr:uid="{00000000-0005-0000-0000-0000F57B0000}"/>
    <cellStyle name="Note 2 4 5 5" xfId="31257" xr:uid="{00000000-0005-0000-0000-0000F67B0000}"/>
    <cellStyle name="Note 2 4 6" xfId="16777" xr:uid="{00000000-0005-0000-0000-0000F77B0000}"/>
    <cellStyle name="Note 2 4 6 2" xfId="30879" xr:uid="{00000000-0005-0000-0000-0000F87B0000}"/>
    <cellStyle name="Note 2 4 6 2 2" xfId="22894" xr:uid="{00000000-0005-0000-0000-0000F97B0000}"/>
    <cellStyle name="Note 2 4 6 2 2 2" xfId="32981" xr:uid="{00000000-0005-0000-0000-0000FA7B0000}"/>
    <cellStyle name="Note 2 4 6 2 3" xfId="32715" xr:uid="{00000000-0005-0000-0000-0000FB7B0000}"/>
    <cellStyle name="Note 2 4 6 3" xfId="31607" xr:uid="{00000000-0005-0000-0000-0000FC7B0000}"/>
    <cellStyle name="Note 2 4 6 3 2" xfId="535" xr:uid="{00000000-0005-0000-0000-0000FD7B0000}"/>
    <cellStyle name="Note 2 4 6 4" xfId="21949" xr:uid="{00000000-0005-0000-0000-0000FE7B0000}"/>
    <cellStyle name="Note 2 4 7" xfId="19645" xr:uid="{00000000-0005-0000-0000-0000FF7B0000}"/>
    <cellStyle name="Note 2 4 7 2" xfId="33007" xr:uid="{00000000-0005-0000-0000-0000007C0000}"/>
    <cellStyle name="Note 2 4 7 2 2" xfId="1270" xr:uid="{00000000-0005-0000-0000-0000017C0000}"/>
    <cellStyle name="Note 2 4 7 3" xfId="32410" xr:uid="{00000000-0005-0000-0000-0000027C0000}"/>
    <cellStyle name="Note 2 4 8" xfId="30662" xr:uid="{00000000-0005-0000-0000-0000037C0000}"/>
    <cellStyle name="Note 2 4 8 2" xfId="32889" xr:uid="{00000000-0005-0000-0000-0000047C0000}"/>
    <cellStyle name="Note 2 4 9" xfId="30524" xr:uid="{00000000-0005-0000-0000-0000057C0000}"/>
    <cellStyle name="Note 2 5" xfId="4289" xr:uid="{00000000-0005-0000-0000-0000067C0000}"/>
    <cellStyle name="Note 2 5 2" xfId="6398" xr:uid="{00000000-0005-0000-0000-0000077C0000}"/>
    <cellStyle name="Note 2 5 2 2" xfId="10032" xr:uid="{00000000-0005-0000-0000-0000087C0000}"/>
    <cellStyle name="Note 2 5 2 2 2" xfId="6400" xr:uid="{00000000-0005-0000-0000-0000097C0000}"/>
    <cellStyle name="Note 2 5 2 2 2 2" xfId="21091" xr:uid="{00000000-0005-0000-0000-00000A7C0000}"/>
    <cellStyle name="Note 2 5 2 2 2 2 2" xfId="29300" xr:uid="{00000000-0005-0000-0000-00000B7C0000}"/>
    <cellStyle name="Note 2 5 2 2 2 2 2 2" xfId="28076" xr:uid="{00000000-0005-0000-0000-00000C7C0000}"/>
    <cellStyle name="Note 2 5 2 2 2 2 2 2 2" xfId="29859" xr:uid="{00000000-0005-0000-0000-00000D7C0000}"/>
    <cellStyle name="Note 2 5 2 2 2 2 2 3" xfId="22731" xr:uid="{00000000-0005-0000-0000-00000E7C0000}"/>
    <cellStyle name="Note 2 5 2 2 2 2 3" xfId="11796" xr:uid="{00000000-0005-0000-0000-00000F7C0000}"/>
    <cellStyle name="Note 2 5 2 2 2 2 3 2" xfId="28423" xr:uid="{00000000-0005-0000-0000-0000107C0000}"/>
    <cellStyle name="Note 2 5 2 2 2 2 4" xfId="28828" xr:uid="{00000000-0005-0000-0000-0000117C0000}"/>
    <cellStyle name="Note 2 5 2 2 2 3" xfId="32431" xr:uid="{00000000-0005-0000-0000-0000127C0000}"/>
    <cellStyle name="Note 2 5 2 2 2 3 2" xfId="26219" xr:uid="{00000000-0005-0000-0000-0000137C0000}"/>
    <cellStyle name="Note 2 5 2 2 2 3 2 2" xfId="30957" xr:uid="{00000000-0005-0000-0000-0000147C0000}"/>
    <cellStyle name="Note 2 5 2 2 2 3 3" xfId="32443" xr:uid="{00000000-0005-0000-0000-0000157C0000}"/>
    <cellStyle name="Note 2 5 2 2 2 4" xfId="6326" xr:uid="{00000000-0005-0000-0000-0000167C0000}"/>
    <cellStyle name="Note 2 5 2 2 2 4 2" xfId="30977" xr:uid="{00000000-0005-0000-0000-0000177C0000}"/>
    <cellStyle name="Note 2 5 2 2 2 5" xfId="22170" xr:uid="{00000000-0005-0000-0000-0000187C0000}"/>
    <cellStyle name="Note 2 5 2 2 3" xfId="26174" xr:uid="{00000000-0005-0000-0000-0000197C0000}"/>
    <cellStyle name="Note 2 5 2 2 3 2" xfId="32452" xr:uid="{00000000-0005-0000-0000-00001A7C0000}"/>
    <cellStyle name="Note 2 5 2 2 3 2 2" xfId="32454" xr:uid="{00000000-0005-0000-0000-00001B7C0000}"/>
    <cellStyle name="Note 2 5 2 2 3 2 2 2" xfId="32300" xr:uid="{00000000-0005-0000-0000-00001C7C0000}"/>
    <cellStyle name="Note 2 5 2 2 3 2 3" xfId="33806" xr:uid="{00000000-0005-0000-0000-00001D7C0000}"/>
    <cellStyle name="Note 2 5 2 2 3 3" xfId="32456" xr:uid="{00000000-0005-0000-0000-00001E7C0000}"/>
    <cellStyle name="Note 2 5 2 2 3 3 2" xfId="29428" xr:uid="{00000000-0005-0000-0000-00001F7C0000}"/>
    <cellStyle name="Note 2 5 2 2 3 4" xfId="30759" xr:uid="{00000000-0005-0000-0000-0000207C0000}"/>
    <cellStyle name="Note 2 5 2 2 4" xfId="11886" xr:uid="{00000000-0005-0000-0000-0000217C0000}"/>
    <cellStyle name="Note 2 5 2 2 4 2" xfId="33791" xr:uid="{00000000-0005-0000-0000-0000227C0000}"/>
    <cellStyle name="Note 2 5 2 2 4 2 2" xfId="33831" xr:uid="{00000000-0005-0000-0000-0000237C0000}"/>
    <cellStyle name="Note 2 5 2 2 4 3" xfId="32458" xr:uid="{00000000-0005-0000-0000-0000247C0000}"/>
    <cellStyle name="Note 2 5 2 2 5" xfId="31896" xr:uid="{00000000-0005-0000-0000-0000257C0000}"/>
    <cellStyle name="Note 2 5 2 2 5 2" xfId="28145" xr:uid="{00000000-0005-0000-0000-0000267C0000}"/>
    <cellStyle name="Note 2 5 2 2 6" xfId="33731" xr:uid="{00000000-0005-0000-0000-0000277C0000}"/>
    <cellStyle name="Note 2 5 2 3" xfId="6405" xr:uid="{00000000-0005-0000-0000-0000287C0000}"/>
    <cellStyle name="Note 2 5 2 3 2" xfId="11060" xr:uid="{00000000-0005-0000-0000-0000297C0000}"/>
    <cellStyle name="Note 2 5 2 3 2 2" xfId="33254" xr:uid="{00000000-0005-0000-0000-00002A7C0000}"/>
    <cellStyle name="Note 2 5 2 3 2 2 2" xfId="33322" xr:uid="{00000000-0005-0000-0000-00002B7C0000}"/>
    <cellStyle name="Note 2 5 2 3 2 2 2 2" xfId="32518" xr:uid="{00000000-0005-0000-0000-00002C7C0000}"/>
    <cellStyle name="Note 2 5 2 3 2 2 3" xfId="32522" xr:uid="{00000000-0005-0000-0000-00002D7C0000}"/>
    <cellStyle name="Note 2 5 2 3 2 3" xfId="4321" xr:uid="{00000000-0005-0000-0000-00002E7C0000}"/>
    <cellStyle name="Note 2 5 2 3 2 3 2" xfId="22608" xr:uid="{00000000-0005-0000-0000-00002F7C0000}"/>
    <cellStyle name="Note 2 5 2 3 2 4" xfId="30436" xr:uid="{00000000-0005-0000-0000-0000307C0000}"/>
    <cellStyle name="Note 2 5 2 3 3" xfId="9606" xr:uid="{00000000-0005-0000-0000-0000317C0000}"/>
    <cellStyle name="Note 2 5 2 3 3 2" xfId="32462" xr:uid="{00000000-0005-0000-0000-0000327C0000}"/>
    <cellStyle name="Note 2 5 2 3 3 2 2" xfId="32464" xr:uid="{00000000-0005-0000-0000-0000337C0000}"/>
    <cellStyle name="Note 2 5 2 3 3 3" xfId="32465" xr:uid="{00000000-0005-0000-0000-0000347C0000}"/>
    <cellStyle name="Note 2 5 2 3 4" xfId="30211" xr:uid="{00000000-0005-0000-0000-0000357C0000}"/>
    <cellStyle name="Note 2 5 2 3 4 2" xfId="33327" xr:uid="{00000000-0005-0000-0000-0000367C0000}"/>
    <cellStyle name="Note 2 5 2 3 5" xfId="27647" xr:uid="{00000000-0005-0000-0000-0000377C0000}"/>
    <cellStyle name="Note 2 5 2 4" xfId="32806" xr:uid="{00000000-0005-0000-0000-0000387C0000}"/>
    <cellStyle name="Note 2 5 2 4 2" xfId="11065" xr:uid="{00000000-0005-0000-0000-0000397C0000}"/>
    <cellStyle name="Note 2 5 2 4 2 2" xfId="33996" xr:uid="{00000000-0005-0000-0000-00003A7C0000}"/>
    <cellStyle name="Note 2 5 2 4 2 2 2" xfId="33013" xr:uid="{00000000-0005-0000-0000-00003B7C0000}"/>
    <cellStyle name="Note 2 5 2 4 2 3" xfId="32538" xr:uid="{00000000-0005-0000-0000-00003C7C0000}"/>
    <cellStyle name="Note 2 5 2 4 3" xfId="27032" xr:uid="{00000000-0005-0000-0000-00003D7C0000}"/>
    <cellStyle name="Note 2 5 2 4 3 2" xfId="29389" xr:uid="{00000000-0005-0000-0000-00003E7C0000}"/>
    <cellStyle name="Note 2 5 2 4 4" xfId="22304" xr:uid="{00000000-0005-0000-0000-00003F7C0000}"/>
    <cellStyle name="Note 2 5 2 5" xfId="33062" xr:uid="{00000000-0005-0000-0000-0000407C0000}"/>
    <cellStyle name="Note 2 5 2 5 2" xfId="33396" xr:uid="{00000000-0005-0000-0000-0000417C0000}"/>
    <cellStyle name="Note 2 5 2 5 2 2" xfId="33068" xr:uid="{00000000-0005-0000-0000-0000427C0000}"/>
    <cellStyle name="Note 2 5 2 5 3" xfId="21624" xr:uid="{00000000-0005-0000-0000-0000437C0000}"/>
    <cellStyle name="Note 2 5 2 6" xfId="22526" xr:uid="{00000000-0005-0000-0000-0000447C0000}"/>
    <cellStyle name="Note 2 5 2 6 2" xfId="11996" xr:uid="{00000000-0005-0000-0000-0000457C0000}"/>
    <cellStyle name="Note 2 5 2 7" xfId="33099" xr:uid="{00000000-0005-0000-0000-0000467C0000}"/>
    <cellStyle name="Note 2 5 3" xfId="27875" xr:uid="{00000000-0005-0000-0000-0000477C0000}"/>
    <cellStyle name="Note 2 5 3 2" xfId="24493" xr:uid="{00000000-0005-0000-0000-0000487C0000}"/>
    <cellStyle name="Note 2 5 3 2 2" xfId="33897" xr:uid="{00000000-0005-0000-0000-0000497C0000}"/>
    <cellStyle name="Note 2 5 3 2 2 2" xfId="33810" xr:uid="{00000000-0005-0000-0000-00004A7C0000}"/>
    <cellStyle name="Note 2 5 3 2 2 2 2" xfId="30643" xr:uid="{00000000-0005-0000-0000-00004B7C0000}"/>
    <cellStyle name="Note 2 5 3 2 2 2 2 2" xfId="29304" xr:uid="{00000000-0005-0000-0000-00004C7C0000}"/>
    <cellStyle name="Note 2 5 3 2 2 2 3" xfId="33041" xr:uid="{00000000-0005-0000-0000-00004D7C0000}"/>
    <cellStyle name="Note 2 5 3 2 2 3" xfId="33813" xr:uid="{00000000-0005-0000-0000-00004E7C0000}"/>
    <cellStyle name="Note 2 5 3 2 2 3 2" xfId="31425" xr:uid="{00000000-0005-0000-0000-00004F7C0000}"/>
    <cellStyle name="Note 2 5 3 2 2 4" xfId="33045" xr:uid="{00000000-0005-0000-0000-0000507C0000}"/>
    <cellStyle name="Note 2 5 3 2 3" xfId="32466" xr:uid="{00000000-0005-0000-0000-0000517C0000}"/>
    <cellStyle name="Note 2 5 3 2 3 2" xfId="32467" xr:uid="{00000000-0005-0000-0000-0000527C0000}"/>
    <cellStyle name="Note 2 5 3 2 3 2 2" xfId="32474" xr:uid="{00000000-0005-0000-0000-0000537C0000}"/>
    <cellStyle name="Note 2 5 3 2 3 3" xfId="32476" xr:uid="{00000000-0005-0000-0000-0000547C0000}"/>
    <cellStyle name="Note 2 5 3 2 4" xfId="30267" xr:uid="{00000000-0005-0000-0000-0000557C0000}"/>
    <cellStyle name="Note 2 5 3 2 4 2" xfId="20433" xr:uid="{00000000-0005-0000-0000-0000567C0000}"/>
    <cellStyle name="Note 2 5 3 2 5" xfId="26895" xr:uid="{00000000-0005-0000-0000-0000577C0000}"/>
    <cellStyle name="Note 2 5 3 3" xfId="32480" xr:uid="{00000000-0005-0000-0000-0000587C0000}"/>
    <cellStyle name="Note 2 5 3 3 2" xfId="247" xr:uid="{00000000-0005-0000-0000-0000597C0000}"/>
    <cellStyle name="Note 2 5 3 3 2 2" xfId="33848" xr:uid="{00000000-0005-0000-0000-00005A7C0000}"/>
    <cellStyle name="Note 2 5 3 3 2 2 2" xfId="33081" xr:uid="{00000000-0005-0000-0000-00005B7C0000}"/>
    <cellStyle name="Note 2 5 3 3 2 3" xfId="33029" xr:uid="{00000000-0005-0000-0000-00005C7C0000}"/>
    <cellStyle name="Note 2 5 3 3 3" xfId="32481" xr:uid="{00000000-0005-0000-0000-00005D7C0000}"/>
    <cellStyle name="Note 2 5 3 3 3 2" xfId="30668" xr:uid="{00000000-0005-0000-0000-00005E7C0000}"/>
    <cellStyle name="Note 2 5 3 3 4" xfId="30467" xr:uid="{00000000-0005-0000-0000-00005F7C0000}"/>
    <cellStyle name="Note 2 5 3 4" xfId="18964" xr:uid="{00000000-0005-0000-0000-0000607C0000}"/>
    <cellStyle name="Note 2 5 3 4 2" xfId="33110" xr:uid="{00000000-0005-0000-0000-0000617C0000}"/>
    <cellStyle name="Note 2 5 3 4 2 2" xfId="33588" xr:uid="{00000000-0005-0000-0000-0000627C0000}"/>
    <cellStyle name="Note 2 5 3 4 3" xfId="22936" xr:uid="{00000000-0005-0000-0000-0000637C0000}"/>
    <cellStyle name="Note 2 5 3 5" xfId="18966" xr:uid="{00000000-0005-0000-0000-0000647C0000}"/>
    <cellStyle name="Note 2 5 3 5 2" xfId="30516" xr:uid="{00000000-0005-0000-0000-0000657C0000}"/>
    <cellStyle name="Note 2 5 3 6" xfId="18968" xr:uid="{00000000-0005-0000-0000-0000667C0000}"/>
    <cellStyle name="Note 2 5 4" xfId="19866" xr:uid="{00000000-0005-0000-0000-0000677C0000}"/>
    <cellStyle name="Note 2 5 4 2" xfId="32482" xr:uid="{00000000-0005-0000-0000-0000687C0000}"/>
    <cellStyle name="Note 2 5 4 2 2" xfId="32484" xr:uid="{00000000-0005-0000-0000-0000697C0000}"/>
    <cellStyle name="Note 2 5 4 2 2 2" xfId="18926" xr:uid="{00000000-0005-0000-0000-00006A7C0000}"/>
    <cellStyle name="Note 2 5 4 2 2 2 2" xfId="27458" xr:uid="{00000000-0005-0000-0000-00006B7C0000}"/>
    <cellStyle name="Note 2 5 4 2 2 3" xfId="18931" xr:uid="{00000000-0005-0000-0000-00006C7C0000}"/>
    <cellStyle name="Note 2 5 4 2 3" xfId="32486" xr:uid="{00000000-0005-0000-0000-00006D7C0000}"/>
    <cellStyle name="Note 2 5 4 2 3 2" xfId="20062" xr:uid="{00000000-0005-0000-0000-00006E7C0000}"/>
    <cellStyle name="Note 2 5 4 2 4" xfId="34005" xr:uid="{00000000-0005-0000-0000-00006F7C0000}"/>
    <cellStyle name="Note 2 5 4 3" xfId="32487" xr:uid="{00000000-0005-0000-0000-0000707C0000}"/>
    <cellStyle name="Note 2 5 4 3 2" xfId="32488" xr:uid="{00000000-0005-0000-0000-0000717C0000}"/>
    <cellStyle name="Note 2 5 4 3 2 2" xfId="18950" xr:uid="{00000000-0005-0000-0000-0000727C0000}"/>
    <cellStyle name="Note 2 5 4 3 3" xfId="27329" xr:uid="{00000000-0005-0000-0000-0000737C0000}"/>
    <cellStyle name="Note 2 5 4 4" xfId="1924" xr:uid="{00000000-0005-0000-0000-0000747C0000}"/>
    <cellStyle name="Note 2 5 4 4 2" xfId="32988" xr:uid="{00000000-0005-0000-0000-0000757C0000}"/>
    <cellStyle name="Note 2 5 4 5" xfId="4166" xr:uid="{00000000-0005-0000-0000-0000767C0000}"/>
    <cellStyle name="Note 2 5 5" xfId="32491" xr:uid="{00000000-0005-0000-0000-0000777C0000}"/>
    <cellStyle name="Note 2 5 5 2" xfId="20669" xr:uid="{00000000-0005-0000-0000-0000787C0000}"/>
    <cellStyle name="Note 2 5 5 2 2" xfId="22282" xr:uid="{00000000-0005-0000-0000-0000797C0000}"/>
    <cellStyle name="Note 2 5 5 2 2 2" xfId="19141" xr:uid="{00000000-0005-0000-0000-00007A7C0000}"/>
    <cellStyle name="Note 2 5 5 2 3" xfId="33341" xr:uid="{00000000-0005-0000-0000-00007B7C0000}"/>
    <cellStyle name="Note 2 5 5 3" xfId="30049" xr:uid="{00000000-0005-0000-0000-00007C7C0000}"/>
    <cellStyle name="Note 2 5 5 3 2" xfId="33335" xr:uid="{00000000-0005-0000-0000-00007D7C0000}"/>
    <cellStyle name="Note 2 5 5 4" xfId="4308" xr:uid="{00000000-0005-0000-0000-00007E7C0000}"/>
    <cellStyle name="Note 2 5 6" xfId="32872" xr:uid="{00000000-0005-0000-0000-00007F7C0000}"/>
    <cellStyle name="Note 2 5 6 2" xfId="27411" xr:uid="{00000000-0005-0000-0000-0000807C0000}"/>
    <cellStyle name="Note 2 5 6 2 2" xfId="32496" xr:uid="{00000000-0005-0000-0000-0000817C0000}"/>
    <cellStyle name="Note 2 5 6 3" xfId="32497" xr:uid="{00000000-0005-0000-0000-0000827C0000}"/>
    <cellStyle name="Note 2 5 7" xfId="33379" xr:uid="{00000000-0005-0000-0000-0000837C0000}"/>
    <cellStyle name="Note 2 5 7 2" xfId="32328" xr:uid="{00000000-0005-0000-0000-0000847C0000}"/>
    <cellStyle name="Note 2 5 8" xfId="31450" xr:uid="{00000000-0005-0000-0000-0000857C0000}"/>
    <cellStyle name="Note 2 6" xfId="12402" xr:uid="{00000000-0005-0000-0000-0000867C0000}"/>
    <cellStyle name="Note 2 6 2" xfId="1739" xr:uid="{00000000-0005-0000-0000-0000877C0000}"/>
    <cellStyle name="Note 2 6 2 2" xfId="423" xr:uid="{00000000-0005-0000-0000-0000887C0000}"/>
    <cellStyle name="Note 2 6 2 2 2" xfId="30257" xr:uid="{00000000-0005-0000-0000-0000897C0000}"/>
    <cellStyle name="Note 2 6 2 2 2 2" xfId="22205" xr:uid="{00000000-0005-0000-0000-00008A7C0000}"/>
    <cellStyle name="Note 2 6 2 2 2 2 2" xfId="32848" xr:uid="{00000000-0005-0000-0000-00008B7C0000}"/>
    <cellStyle name="Note 2 6 2 2 2 2 2 2" xfId="30259" xr:uid="{00000000-0005-0000-0000-00008C7C0000}"/>
    <cellStyle name="Note 2 6 2 2 2 2 3" xfId="30263" xr:uid="{00000000-0005-0000-0000-00008D7C0000}"/>
    <cellStyle name="Note 2 6 2 2 2 3" xfId="32500" xr:uid="{00000000-0005-0000-0000-00008E7C0000}"/>
    <cellStyle name="Note 2 6 2 2 2 3 2" xfId="30611" xr:uid="{00000000-0005-0000-0000-00008F7C0000}"/>
    <cellStyle name="Note 2 6 2 2 2 4" xfId="32503" xr:uid="{00000000-0005-0000-0000-0000907C0000}"/>
    <cellStyle name="Note 2 6 2 2 3" xfId="28513" xr:uid="{00000000-0005-0000-0000-0000917C0000}"/>
    <cellStyle name="Note 2 6 2 2 3 2" xfId="27908" xr:uid="{00000000-0005-0000-0000-0000927C0000}"/>
    <cellStyle name="Note 2 6 2 2 3 2 2" xfId="21711" xr:uid="{00000000-0005-0000-0000-0000937C0000}"/>
    <cellStyle name="Note 2 6 2 2 3 3" xfId="21719" xr:uid="{00000000-0005-0000-0000-0000947C0000}"/>
    <cellStyle name="Note 2 6 2 2 4" xfId="409" xr:uid="{00000000-0005-0000-0000-0000957C0000}"/>
    <cellStyle name="Note 2 6 2 2 4 2" xfId="28528" xr:uid="{00000000-0005-0000-0000-0000967C0000}"/>
    <cellStyle name="Note 2 6 2 2 5" xfId="28531" xr:uid="{00000000-0005-0000-0000-0000977C0000}"/>
    <cellStyle name="Note 2 6 2 3" xfId="29888" xr:uid="{00000000-0005-0000-0000-0000987C0000}"/>
    <cellStyle name="Note 2 6 2 3 2" xfId="11079" xr:uid="{00000000-0005-0000-0000-0000997C0000}"/>
    <cellStyle name="Note 2 6 2 3 2 2" xfId="32508" xr:uid="{00000000-0005-0000-0000-00009A7C0000}"/>
    <cellStyle name="Note 2 6 2 3 2 2 2" xfId="30287" xr:uid="{00000000-0005-0000-0000-00009B7C0000}"/>
    <cellStyle name="Note 2 6 2 3 2 3" xfId="32612" xr:uid="{00000000-0005-0000-0000-00009C7C0000}"/>
    <cellStyle name="Note 2 6 2 3 3" xfId="28535" xr:uid="{00000000-0005-0000-0000-00009D7C0000}"/>
    <cellStyle name="Note 2 6 2 3 3 2" xfId="21802" xr:uid="{00000000-0005-0000-0000-00009E7C0000}"/>
    <cellStyle name="Note 2 6 2 3 4" xfId="28539" xr:uid="{00000000-0005-0000-0000-00009F7C0000}"/>
    <cellStyle name="Note 2 6 2 4" xfId="29892" xr:uid="{00000000-0005-0000-0000-0000A07C0000}"/>
    <cellStyle name="Note 2 6 2 4 2" xfId="23809" xr:uid="{00000000-0005-0000-0000-0000A17C0000}"/>
    <cellStyle name="Note 2 6 2 4 2 2" xfId="30787" xr:uid="{00000000-0005-0000-0000-0000A27C0000}"/>
    <cellStyle name="Note 2 6 2 4 3" xfId="27063" xr:uid="{00000000-0005-0000-0000-0000A37C0000}"/>
    <cellStyle name="Note 2 6 2 5" xfId="32051" xr:uid="{00000000-0005-0000-0000-0000A47C0000}"/>
    <cellStyle name="Note 2 6 2 5 2" xfId="27352" xr:uid="{00000000-0005-0000-0000-0000A57C0000}"/>
    <cellStyle name="Note 2 6 2 6" xfId="29897" xr:uid="{00000000-0005-0000-0000-0000A67C0000}"/>
    <cellStyle name="Note 2 6 3" xfId="20308" xr:uid="{00000000-0005-0000-0000-0000A77C0000}"/>
    <cellStyle name="Note 2 6 3 2" xfId="29903" xr:uid="{00000000-0005-0000-0000-0000A87C0000}"/>
    <cellStyle name="Note 2 6 3 2 2" xfId="32645" xr:uid="{00000000-0005-0000-0000-0000A97C0000}"/>
    <cellStyle name="Note 2 6 3 2 2 2" xfId="31951" xr:uid="{00000000-0005-0000-0000-0000AA7C0000}"/>
    <cellStyle name="Note 2 6 3 2 2 2 2" xfId="32998" xr:uid="{00000000-0005-0000-0000-0000AB7C0000}"/>
    <cellStyle name="Note 2 6 3 2 2 3" xfId="1374" xr:uid="{00000000-0005-0000-0000-0000AC7C0000}"/>
    <cellStyle name="Note 2 6 3 2 3" xfId="26534" xr:uid="{00000000-0005-0000-0000-0000AD7C0000}"/>
    <cellStyle name="Note 2 6 3 2 3 2" xfId="22585" xr:uid="{00000000-0005-0000-0000-0000AE7C0000}"/>
    <cellStyle name="Note 2 6 3 2 4" xfId="30686" xr:uid="{00000000-0005-0000-0000-0000AF7C0000}"/>
    <cellStyle name="Note 2 6 3 3" xfId="23002" xr:uid="{00000000-0005-0000-0000-0000B07C0000}"/>
    <cellStyle name="Note 2 6 3 3 2" xfId="23834" xr:uid="{00000000-0005-0000-0000-0000B17C0000}"/>
    <cellStyle name="Note 2 6 3 3 2 2" xfId="28712" xr:uid="{00000000-0005-0000-0000-0000B27C0000}"/>
    <cellStyle name="Note 2 6 3 3 3" xfId="28556" xr:uid="{00000000-0005-0000-0000-0000B37C0000}"/>
    <cellStyle name="Note 2 6 3 4" xfId="18991" xr:uid="{00000000-0005-0000-0000-0000B47C0000}"/>
    <cellStyle name="Note 2 6 3 4 2" xfId="29909" xr:uid="{00000000-0005-0000-0000-0000B57C0000}"/>
    <cellStyle name="Note 2 6 3 5" xfId="19003" xr:uid="{00000000-0005-0000-0000-0000B67C0000}"/>
    <cellStyle name="Note 2 6 4" xfId="32862" xr:uid="{00000000-0005-0000-0000-0000B77C0000}"/>
    <cellStyle name="Note 2 6 4 2" xfId="29928" xr:uid="{00000000-0005-0000-0000-0000B87C0000}"/>
    <cellStyle name="Note 2 6 4 2 2" xfId="32122" xr:uid="{00000000-0005-0000-0000-0000B97C0000}"/>
    <cellStyle name="Note 2 6 4 2 2 2" xfId="19335" xr:uid="{00000000-0005-0000-0000-0000BA7C0000}"/>
    <cellStyle name="Note 2 6 4 2 3" xfId="26838" xr:uid="{00000000-0005-0000-0000-0000BB7C0000}"/>
    <cellStyle name="Note 2 6 4 3" xfId="27565" xr:uid="{00000000-0005-0000-0000-0000BC7C0000}"/>
    <cellStyle name="Note 2 6 4 3 2" xfId="26386" xr:uid="{00000000-0005-0000-0000-0000BD7C0000}"/>
    <cellStyle name="Note 2 6 4 4" xfId="4338" xr:uid="{00000000-0005-0000-0000-0000BE7C0000}"/>
    <cellStyle name="Note 2 6 5" xfId="32655" xr:uid="{00000000-0005-0000-0000-0000BF7C0000}"/>
    <cellStyle name="Note 2 6 5 2" xfId="11133" xr:uid="{00000000-0005-0000-0000-0000C07C0000}"/>
    <cellStyle name="Note 2 6 5 2 2" xfId="32512" xr:uid="{00000000-0005-0000-0000-0000C17C0000}"/>
    <cellStyle name="Note 2 6 5 3" xfId="31936" xr:uid="{00000000-0005-0000-0000-0000C27C0000}"/>
    <cellStyle name="Note 2 6 6" xfId="31895" xr:uid="{00000000-0005-0000-0000-0000C37C0000}"/>
    <cellStyle name="Note 2 6 6 2" xfId="32520" xr:uid="{00000000-0005-0000-0000-0000C47C0000}"/>
    <cellStyle name="Note 2 6 7" xfId="32525" xr:uid="{00000000-0005-0000-0000-0000C57C0000}"/>
    <cellStyle name="Note 2 7" xfId="15393" xr:uid="{00000000-0005-0000-0000-0000C67C0000}"/>
    <cellStyle name="Note 2 7 2" xfId="470" xr:uid="{00000000-0005-0000-0000-0000C77C0000}"/>
    <cellStyle name="Note 2 7 2 2" xfId="33674" xr:uid="{00000000-0005-0000-0000-0000C87C0000}"/>
    <cellStyle name="Note 2 7 2 2 2" xfId="373" xr:uid="{00000000-0005-0000-0000-0000C97C0000}"/>
    <cellStyle name="Note 2 7 2 2 2 2" xfId="875" xr:uid="{00000000-0005-0000-0000-0000CA7C0000}"/>
    <cellStyle name="Note 2 7 2 2 2 2 2" xfId="31808" xr:uid="{00000000-0005-0000-0000-0000CB7C0000}"/>
    <cellStyle name="Note 2 7 2 2 2 3" xfId="7320" xr:uid="{00000000-0005-0000-0000-0000CC7C0000}"/>
    <cellStyle name="Note 2 7 2 2 3" xfId="28396" xr:uid="{00000000-0005-0000-0000-0000CD7C0000}"/>
    <cellStyle name="Note 2 7 2 2 3 2" xfId="11082" xr:uid="{00000000-0005-0000-0000-0000CE7C0000}"/>
    <cellStyle name="Note 2 7 2 2 4" xfId="28603" xr:uid="{00000000-0005-0000-0000-0000CF7C0000}"/>
    <cellStyle name="Note 2 7 2 3" xfId="30133" xr:uid="{00000000-0005-0000-0000-0000D07C0000}"/>
    <cellStyle name="Note 2 7 2 3 2" xfId="33935" xr:uid="{00000000-0005-0000-0000-0000D17C0000}"/>
    <cellStyle name="Note 2 7 2 3 2 2" xfId="2065" xr:uid="{00000000-0005-0000-0000-0000D27C0000}"/>
    <cellStyle name="Note 2 7 2 3 3" xfId="28607" xr:uid="{00000000-0005-0000-0000-0000D37C0000}"/>
    <cellStyle name="Note 2 7 2 4" xfId="16742" xr:uid="{00000000-0005-0000-0000-0000D47C0000}"/>
    <cellStyle name="Note 2 7 2 4 2" xfId="4050" xr:uid="{00000000-0005-0000-0000-0000D57C0000}"/>
    <cellStyle name="Note 2 7 2 5" xfId="16751" xr:uid="{00000000-0005-0000-0000-0000D67C0000}"/>
    <cellStyle name="Note 2 7 3" xfId="22092" xr:uid="{00000000-0005-0000-0000-0000D77C0000}"/>
    <cellStyle name="Note 2 7 3 2" xfId="33732" xr:uid="{00000000-0005-0000-0000-0000D87C0000}"/>
    <cellStyle name="Note 2 7 3 2 2" xfId="33917" xr:uid="{00000000-0005-0000-0000-0000D97C0000}"/>
    <cellStyle name="Note 2 7 3 2 2 2" xfId="32731" xr:uid="{00000000-0005-0000-0000-0000DA7C0000}"/>
    <cellStyle name="Note 2 7 3 2 3" xfId="28612" xr:uid="{00000000-0005-0000-0000-0000DB7C0000}"/>
    <cellStyle name="Note 2 7 3 3" xfId="27877" xr:uid="{00000000-0005-0000-0000-0000DC7C0000}"/>
    <cellStyle name="Note 2 7 3 3 2" xfId="28631" xr:uid="{00000000-0005-0000-0000-0000DD7C0000}"/>
    <cellStyle name="Note 2 7 3 4" xfId="16760" xr:uid="{00000000-0005-0000-0000-0000DE7C0000}"/>
    <cellStyle name="Note 2 7 4" xfId="32694" xr:uid="{00000000-0005-0000-0000-0000DF7C0000}"/>
    <cellStyle name="Note 2 7 4 2" xfId="32375" xr:uid="{00000000-0005-0000-0000-0000E07C0000}"/>
    <cellStyle name="Note 2 7 4 2 2" xfId="31669" xr:uid="{00000000-0005-0000-0000-0000E17C0000}"/>
    <cellStyle name="Note 2 7 4 3" xfId="28636" xr:uid="{00000000-0005-0000-0000-0000E27C0000}"/>
    <cellStyle name="Note 2 7 5" xfId="32220" xr:uid="{00000000-0005-0000-0000-0000E37C0000}"/>
    <cellStyle name="Note 2 7 5 2" xfId="23028" xr:uid="{00000000-0005-0000-0000-0000E47C0000}"/>
    <cellStyle name="Note 2 7 6" xfId="30802" xr:uid="{00000000-0005-0000-0000-0000E57C0000}"/>
    <cellStyle name="Note 2 8" xfId="6324" xr:uid="{00000000-0005-0000-0000-0000E67C0000}"/>
    <cellStyle name="Note 2 8 2" xfId="32540" xr:uid="{00000000-0005-0000-0000-0000E77C0000}"/>
    <cellStyle name="Note 2 8 2 2" xfId="33214" xr:uid="{00000000-0005-0000-0000-0000E87C0000}"/>
    <cellStyle name="Note 2 8 2 2 2" xfId="30377" xr:uid="{00000000-0005-0000-0000-0000E97C0000}"/>
    <cellStyle name="Note 2 8 2 2 2 2" xfId="31734" xr:uid="{00000000-0005-0000-0000-0000EA7C0000}"/>
    <cellStyle name="Note 2 8 2 2 3" xfId="13086" xr:uid="{00000000-0005-0000-0000-0000EB7C0000}"/>
    <cellStyle name="Note 2 8 2 3" xfId="29656" xr:uid="{00000000-0005-0000-0000-0000EC7C0000}"/>
    <cellStyle name="Note 2 8 2 3 2" xfId="30657" xr:uid="{00000000-0005-0000-0000-0000ED7C0000}"/>
    <cellStyle name="Note 2 8 2 4" xfId="16832" xr:uid="{00000000-0005-0000-0000-0000EE7C0000}"/>
    <cellStyle name="Note 2 8 3" xfId="32558" xr:uid="{00000000-0005-0000-0000-0000EF7C0000}"/>
    <cellStyle name="Note 2 8 3 2" xfId="32776" xr:uid="{00000000-0005-0000-0000-0000F07C0000}"/>
    <cellStyle name="Note 2 8 3 2 2" xfId="32563" xr:uid="{00000000-0005-0000-0000-0000F17C0000}"/>
    <cellStyle name="Note 2 8 3 3" xfId="28645" xr:uid="{00000000-0005-0000-0000-0000F27C0000}"/>
    <cellStyle name="Note 2 8 4" xfId="32386" xr:uid="{00000000-0005-0000-0000-0000F37C0000}"/>
    <cellStyle name="Note 2 8 4 2" xfId="22514" xr:uid="{00000000-0005-0000-0000-0000F47C0000}"/>
    <cellStyle name="Note 2 8 5" xfId="27570" xr:uid="{00000000-0005-0000-0000-0000F57C0000}"/>
    <cellStyle name="Note 2 9" xfId="17572" xr:uid="{00000000-0005-0000-0000-0000F67C0000}"/>
    <cellStyle name="Note 2 9 2" xfId="26273" xr:uid="{00000000-0005-0000-0000-0000F77C0000}"/>
    <cellStyle name="Note 2 9 2 2" xfId="31562" xr:uid="{00000000-0005-0000-0000-0000F87C0000}"/>
    <cellStyle name="Note 2 9 2 2 2" xfId="22111" xr:uid="{00000000-0005-0000-0000-0000F97C0000}"/>
    <cellStyle name="Note 2 9 2 3" xfId="19265" xr:uid="{00000000-0005-0000-0000-0000FA7C0000}"/>
    <cellStyle name="Note 2 9 3" xfId="37" xr:uid="{00000000-0005-0000-0000-0000FB7C0000}"/>
    <cellStyle name="Note 2 9 3 2" xfId="27756" xr:uid="{00000000-0005-0000-0000-0000FC7C0000}"/>
    <cellStyle name="Note 2 9 4" xfId="183" xr:uid="{00000000-0005-0000-0000-0000FD7C0000}"/>
    <cellStyle name="Note 3" xfId="32578" xr:uid="{00000000-0005-0000-0000-0000FE7C0000}"/>
    <cellStyle name="Note 3 10" xfId="33938" xr:uid="{00000000-0005-0000-0000-0000FF7C0000}"/>
    <cellStyle name="Note 3 10 2" xfId="22702" xr:uid="{00000000-0005-0000-0000-0000007D0000}"/>
    <cellStyle name="Note 3 11" xfId="617" xr:uid="{00000000-0005-0000-0000-0000017D0000}"/>
    <cellStyle name="Note 3 2" xfId="32585" xr:uid="{00000000-0005-0000-0000-0000027D0000}"/>
    <cellStyle name="Note 3 2 10" xfId="32592" xr:uid="{00000000-0005-0000-0000-0000037D0000}"/>
    <cellStyle name="Note 3 2 2" xfId="10854" xr:uid="{00000000-0005-0000-0000-0000047D0000}"/>
    <cellStyle name="Note 3 2 2 2" xfId="20470" xr:uid="{00000000-0005-0000-0000-0000057D0000}"/>
    <cellStyle name="Note 3 2 2 2 2" xfId="11615" xr:uid="{00000000-0005-0000-0000-0000067D0000}"/>
    <cellStyle name="Note 3 2 2 2 2 2" xfId="14074" xr:uid="{00000000-0005-0000-0000-0000077D0000}"/>
    <cellStyle name="Note 3 2 2 2 2 2 2" xfId="5505" xr:uid="{00000000-0005-0000-0000-0000087D0000}"/>
    <cellStyle name="Note 3 2 2 2 2 2 2 2" xfId="4969" xr:uid="{00000000-0005-0000-0000-0000097D0000}"/>
    <cellStyle name="Note 3 2 2 2 2 2 2 2 2" xfId="11312" xr:uid="{00000000-0005-0000-0000-00000A7D0000}"/>
    <cellStyle name="Note 3 2 2 2 2 2 2 2 2 2" xfId="33389" xr:uid="{00000000-0005-0000-0000-00000B7D0000}"/>
    <cellStyle name="Note 3 2 2 2 2 2 2 2 2 2 2" xfId="1127" xr:uid="{00000000-0005-0000-0000-00000C7D0000}"/>
    <cellStyle name="Note 3 2 2 2 2 2 2 2 2 3" xfId="33034" xr:uid="{00000000-0005-0000-0000-00000D7D0000}"/>
    <cellStyle name="Note 3 2 2 2 2 2 2 2 3" xfId="13313" xr:uid="{00000000-0005-0000-0000-00000E7D0000}"/>
    <cellStyle name="Note 3 2 2 2 2 2 2 2 3 2" xfId="20908" xr:uid="{00000000-0005-0000-0000-00000F7D0000}"/>
    <cellStyle name="Note 3 2 2 2 2 2 2 2 4" xfId="24405" xr:uid="{00000000-0005-0000-0000-0000107D0000}"/>
    <cellStyle name="Note 3 2 2 2 2 2 2 3" xfId="5944" xr:uid="{00000000-0005-0000-0000-0000117D0000}"/>
    <cellStyle name="Note 3 2 2 2 2 2 2 3 2" xfId="11897" xr:uid="{00000000-0005-0000-0000-0000127D0000}"/>
    <cellStyle name="Note 3 2 2 2 2 2 2 3 2 2" xfId="32949" xr:uid="{00000000-0005-0000-0000-0000137D0000}"/>
    <cellStyle name="Note 3 2 2 2 2 2 2 3 3" xfId="24469" xr:uid="{00000000-0005-0000-0000-0000147D0000}"/>
    <cellStyle name="Note 3 2 2 2 2 2 2 4" xfId="4831" xr:uid="{00000000-0005-0000-0000-0000157D0000}"/>
    <cellStyle name="Note 3 2 2 2 2 2 2 4 2" xfId="24559" xr:uid="{00000000-0005-0000-0000-0000167D0000}"/>
    <cellStyle name="Note 3 2 2 2 2 2 2 5" xfId="32607" xr:uid="{00000000-0005-0000-0000-0000177D0000}"/>
    <cellStyle name="Note 3 2 2 2 2 2 3" xfId="5512" xr:uid="{00000000-0005-0000-0000-0000187D0000}"/>
    <cellStyle name="Note 3 2 2 2 2 2 3 2" xfId="1050" xr:uid="{00000000-0005-0000-0000-0000197D0000}"/>
    <cellStyle name="Note 3 2 2 2 2 2 3 2 2" xfId="11908" xr:uid="{00000000-0005-0000-0000-00001A7D0000}"/>
    <cellStyle name="Note 3 2 2 2 2 2 3 2 2 2" xfId="32380" xr:uid="{00000000-0005-0000-0000-00001B7D0000}"/>
    <cellStyle name="Note 3 2 2 2 2 2 3 2 3" xfId="24934" xr:uid="{00000000-0005-0000-0000-00001C7D0000}"/>
    <cellStyle name="Note 3 2 2 2 2 2 3 3" xfId="21011" xr:uid="{00000000-0005-0000-0000-00001D7D0000}"/>
    <cellStyle name="Note 3 2 2 2 2 2 3 3 2" xfId="21312" xr:uid="{00000000-0005-0000-0000-00001E7D0000}"/>
    <cellStyle name="Note 3 2 2 2 2 2 3 4" xfId="21018" xr:uid="{00000000-0005-0000-0000-00001F7D0000}"/>
    <cellStyle name="Note 3 2 2 2 2 2 4" xfId="13186" xr:uid="{00000000-0005-0000-0000-0000207D0000}"/>
    <cellStyle name="Note 3 2 2 2 2 2 4 2" xfId="29179" xr:uid="{00000000-0005-0000-0000-0000217D0000}"/>
    <cellStyle name="Note 3 2 2 2 2 2 4 2 2" xfId="22968" xr:uid="{00000000-0005-0000-0000-0000227D0000}"/>
    <cellStyle name="Note 3 2 2 2 2 2 4 3" xfId="16174" xr:uid="{00000000-0005-0000-0000-0000237D0000}"/>
    <cellStyle name="Note 3 2 2 2 2 2 5" xfId="30541" xr:uid="{00000000-0005-0000-0000-0000247D0000}"/>
    <cellStyle name="Note 3 2 2 2 2 2 5 2" xfId="24547" xr:uid="{00000000-0005-0000-0000-0000257D0000}"/>
    <cellStyle name="Note 3 2 2 2 2 2 6" xfId="16298" xr:uid="{00000000-0005-0000-0000-0000267D0000}"/>
    <cellStyle name="Note 3 2 2 2 2 3" xfId="14076" xr:uid="{00000000-0005-0000-0000-0000277D0000}"/>
    <cellStyle name="Note 3 2 2 2 2 3 2" xfId="5537" xr:uid="{00000000-0005-0000-0000-0000287D0000}"/>
    <cellStyle name="Note 3 2 2 2 2 3 2 2" xfId="6290" xr:uid="{00000000-0005-0000-0000-0000297D0000}"/>
    <cellStyle name="Note 3 2 2 2 2 3 2 2 2" xfId="11973" xr:uid="{00000000-0005-0000-0000-00002A7D0000}"/>
    <cellStyle name="Note 3 2 2 2 2 3 2 2 2 2" xfId="32851" xr:uid="{00000000-0005-0000-0000-00002B7D0000}"/>
    <cellStyle name="Note 3 2 2 2 2 3 2 2 3" xfId="15300" xr:uid="{00000000-0005-0000-0000-00002C7D0000}"/>
    <cellStyle name="Note 3 2 2 2 2 3 2 3" xfId="30328" xr:uid="{00000000-0005-0000-0000-00002D7D0000}"/>
    <cellStyle name="Note 3 2 2 2 2 3 2 3 2" xfId="5686" xr:uid="{00000000-0005-0000-0000-00002E7D0000}"/>
    <cellStyle name="Note 3 2 2 2 2 3 2 4" xfId="28297" xr:uid="{00000000-0005-0000-0000-00002F7D0000}"/>
    <cellStyle name="Note 3 2 2 2 2 3 3" xfId="9677" xr:uid="{00000000-0005-0000-0000-0000307D0000}"/>
    <cellStyle name="Note 3 2 2 2 2 3 3 2" xfId="29315" xr:uid="{00000000-0005-0000-0000-0000317D0000}"/>
    <cellStyle name="Note 3 2 2 2 2 3 3 2 2" xfId="8839" xr:uid="{00000000-0005-0000-0000-0000327D0000}"/>
    <cellStyle name="Note 3 2 2 2 2 3 3 3" xfId="21037" xr:uid="{00000000-0005-0000-0000-0000337D0000}"/>
    <cellStyle name="Note 3 2 2 2 2 3 4" xfId="30548" xr:uid="{00000000-0005-0000-0000-0000347D0000}"/>
    <cellStyle name="Note 3 2 2 2 2 3 4 2" xfId="30403" xr:uid="{00000000-0005-0000-0000-0000357D0000}"/>
    <cellStyle name="Note 3 2 2 2 2 3 5" xfId="30233" xr:uid="{00000000-0005-0000-0000-0000367D0000}"/>
    <cellStyle name="Note 3 2 2 2 2 4" xfId="14078" xr:uid="{00000000-0005-0000-0000-0000377D0000}"/>
    <cellStyle name="Note 3 2 2 2 2 4 2" xfId="27386" xr:uid="{00000000-0005-0000-0000-0000387D0000}"/>
    <cellStyle name="Note 3 2 2 2 2 4 2 2" xfId="20185" xr:uid="{00000000-0005-0000-0000-0000397D0000}"/>
    <cellStyle name="Note 3 2 2 2 2 4 2 2 2" xfId="21472" xr:uid="{00000000-0005-0000-0000-00003A7D0000}"/>
    <cellStyle name="Note 3 2 2 2 2 4 2 3" xfId="20200" xr:uid="{00000000-0005-0000-0000-00003B7D0000}"/>
    <cellStyle name="Note 3 2 2 2 2 4 3" xfId="32629" xr:uid="{00000000-0005-0000-0000-00003C7D0000}"/>
    <cellStyle name="Note 3 2 2 2 2 4 3 2" xfId="19881" xr:uid="{00000000-0005-0000-0000-00003D7D0000}"/>
    <cellStyle name="Note 3 2 2 2 2 4 4" xfId="30632" xr:uid="{00000000-0005-0000-0000-00003E7D0000}"/>
    <cellStyle name="Note 3 2 2 2 2 5" xfId="25928" xr:uid="{00000000-0005-0000-0000-00003F7D0000}"/>
    <cellStyle name="Note 3 2 2 2 2 5 2" xfId="32641" xr:uid="{00000000-0005-0000-0000-0000407D0000}"/>
    <cellStyle name="Note 3 2 2 2 2 5 2 2" xfId="30683" xr:uid="{00000000-0005-0000-0000-0000417D0000}"/>
    <cellStyle name="Note 3 2 2 2 2 5 3" xfId="32169" xr:uid="{00000000-0005-0000-0000-0000427D0000}"/>
    <cellStyle name="Note 3 2 2 2 2 6" xfId="20959" xr:uid="{00000000-0005-0000-0000-0000437D0000}"/>
    <cellStyle name="Note 3 2 2 2 2 6 2" xfId="32661" xr:uid="{00000000-0005-0000-0000-0000447D0000}"/>
    <cellStyle name="Note 3 2 2 2 2 7" xfId="15865" xr:uid="{00000000-0005-0000-0000-0000457D0000}"/>
    <cellStyle name="Note 3 2 2 2 3" xfId="32664" xr:uid="{00000000-0005-0000-0000-0000467D0000}"/>
    <cellStyle name="Note 3 2 2 2 3 2" xfId="14113" xr:uid="{00000000-0005-0000-0000-0000477D0000}"/>
    <cellStyle name="Note 3 2 2 2 3 2 2" xfId="2291" xr:uid="{00000000-0005-0000-0000-0000487D0000}"/>
    <cellStyle name="Note 3 2 2 2 3 2 2 2" xfId="4526" xr:uid="{00000000-0005-0000-0000-0000497D0000}"/>
    <cellStyle name="Note 3 2 2 2 3 2 2 2 2" xfId="13845" xr:uid="{00000000-0005-0000-0000-00004A7D0000}"/>
    <cellStyle name="Note 3 2 2 2 3 2 2 2 2 2" xfId="21452" xr:uid="{00000000-0005-0000-0000-00004B7D0000}"/>
    <cellStyle name="Note 3 2 2 2 3 2 2 2 3" xfId="24780" xr:uid="{00000000-0005-0000-0000-00004C7D0000}"/>
    <cellStyle name="Note 3 2 2 2 3 2 2 3" xfId="4541" xr:uid="{00000000-0005-0000-0000-00004D7D0000}"/>
    <cellStyle name="Note 3 2 2 2 3 2 2 3 2" xfId="21498" xr:uid="{00000000-0005-0000-0000-00004E7D0000}"/>
    <cellStyle name="Note 3 2 2 2 3 2 2 4" xfId="24765" xr:uid="{00000000-0005-0000-0000-00004F7D0000}"/>
    <cellStyle name="Note 3 2 2 2 3 2 3" xfId="11626" xr:uid="{00000000-0005-0000-0000-0000507D0000}"/>
    <cellStyle name="Note 3 2 2 2 3 2 3 2" xfId="9195" xr:uid="{00000000-0005-0000-0000-0000517D0000}"/>
    <cellStyle name="Note 3 2 2 2 3 2 3 2 2" xfId="27645" xr:uid="{00000000-0005-0000-0000-0000527D0000}"/>
    <cellStyle name="Note 3 2 2 2 3 2 3 3" xfId="21098" xr:uid="{00000000-0005-0000-0000-0000537D0000}"/>
    <cellStyle name="Note 3 2 2 2 3 2 4" xfId="28997" xr:uid="{00000000-0005-0000-0000-0000547D0000}"/>
    <cellStyle name="Note 3 2 2 2 3 2 4 2" xfId="31576" xr:uid="{00000000-0005-0000-0000-0000557D0000}"/>
    <cellStyle name="Note 3 2 2 2 3 2 5" xfId="29014" xr:uid="{00000000-0005-0000-0000-0000567D0000}"/>
    <cellStyle name="Note 3 2 2 2 3 3" xfId="14115" xr:uid="{00000000-0005-0000-0000-0000577D0000}"/>
    <cellStyle name="Note 3 2 2 2 3 3 2" xfId="33556" xr:uid="{00000000-0005-0000-0000-0000587D0000}"/>
    <cellStyle name="Note 3 2 2 2 3 3 2 2" xfId="5724" xr:uid="{00000000-0005-0000-0000-0000597D0000}"/>
    <cellStyle name="Note 3 2 2 2 3 3 2 2 2" xfId="30948" xr:uid="{00000000-0005-0000-0000-00005A7D0000}"/>
    <cellStyle name="Note 3 2 2 2 3 3 2 3" xfId="28848" xr:uid="{00000000-0005-0000-0000-00005B7D0000}"/>
    <cellStyle name="Note 3 2 2 2 3 3 3" xfId="31286" xr:uid="{00000000-0005-0000-0000-00005C7D0000}"/>
    <cellStyle name="Note 3 2 2 2 3 3 3 2" xfId="32073" xr:uid="{00000000-0005-0000-0000-00005D7D0000}"/>
    <cellStyle name="Note 3 2 2 2 3 3 4" xfId="30459" xr:uid="{00000000-0005-0000-0000-00005E7D0000}"/>
    <cellStyle name="Note 3 2 2 2 3 4" xfId="32681" xr:uid="{00000000-0005-0000-0000-00005F7D0000}"/>
    <cellStyle name="Note 3 2 2 2 3 4 2" xfId="27751" xr:uid="{00000000-0005-0000-0000-0000607D0000}"/>
    <cellStyle name="Note 3 2 2 2 3 4 2 2" xfId="31202" xr:uid="{00000000-0005-0000-0000-0000617D0000}"/>
    <cellStyle name="Note 3 2 2 2 3 4 3" xfId="31280" xr:uid="{00000000-0005-0000-0000-0000627D0000}"/>
    <cellStyle name="Note 3 2 2 2 3 5" xfId="31359" xr:uid="{00000000-0005-0000-0000-0000637D0000}"/>
    <cellStyle name="Note 3 2 2 2 3 5 2" xfId="31362" xr:uid="{00000000-0005-0000-0000-0000647D0000}"/>
    <cellStyle name="Note 3 2 2 2 3 6" xfId="31395" xr:uid="{00000000-0005-0000-0000-0000657D0000}"/>
    <cellStyle name="Note 3 2 2 2 4" xfId="32706" xr:uid="{00000000-0005-0000-0000-0000667D0000}"/>
    <cellStyle name="Note 3 2 2 2 4 2" xfId="15759" xr:uid="{00000000-0005-0000-0000-0000677D0000}"/>
    <cellStyle name="Note 3 2 2 2 4 2 2" xfId="32710" xr:uid="{00000000-0005-0000-0000-0000687D0000}"/>
    <cellStyle name="Note 3 2 2 2 4 2 2 2" xfId="4683" xr:uid="{00000000-0005-0000-0000-0000697D0000}"/>
    <cellStyle name="Note 3 2 2 2 4 2 2 2 2" xfId="24535" xr:uid="{00000000-0005-0000-0000-00006A7D0000}"/>
    <cellStyle name="Note 3 2 2 2 4 2 2 3" xfId="4688" xr:uid="{00000000-0005-0000-0000-00006B7D0000}"/>
    <cellStyle name="Note 3 2 2 2 4 2 3" xfId="31026" xr:uid="{00000000-0005-0000-0000-00006C7D0000}"/>
    <cellStyle name="Note 3 2 2 2 4 2 3 2" xfId="4705" xr:uid="{00000000-0005-0000-0000-00006D7D0000}"/>
    <cellStyle name="Note 3 2 2 2 4 2 4" xfId="29435" xr:uid="{00000000-0005-0000-0000-00006E7D0000}"/>
    <cellStyle name="Note 3 2 2 2 4 3" xfId="10235" xr:uid="{00000000-0005-0000-0000-00006F7D0000}"/>
    <cellStyle name="Note 3 2 2 2 4 3 2" xfId="27397" xr:uid="{00000000-0005-0000-0000-0000707D0000}"/>
    <cellStyle name="Note 3 2 2 2 4 3 2 2" xfId="4728" xr:uid="{00000000-0005-0000-0000-0000717D0000}"/>
    <cellStyle name="Note 3 2 2 2 4 3 3" xfId="31316" xr:uid="{00000000-0005-0000-0000-0000727D0000}"/>
    <cellStyle name="Note 3 2 2 2 4 4" xfId="26193" xr:uid="{00000000-0005-0000-0000-0000737D0000}"/>
    <cellStyle name="Note 3 2 2 2 4 4 2" xfId="31533" xr:uid="{00000000-0005-0000-0000-0000747D0000}"/>
    <cellStyle name="Note 3 2 2 2 4 5" xfId="32720" xr:uid="{00000000-0005-0000-0000-0000757D0000}"/>
    <cellStyle name="Note 3 2 2 2 5" xfId="32722" xr:uid="{00000000-0005-0000-0000-0000767D0000}"/>
    <cellStyle name="Note 3 2 2 2 5 2" xfId="25584" xr:uid="{00000000-0005-0000-0000-0000777D0000}"/>
    <cellStyle name="Note 3 2 2 2 5 2 2" xfId="24617" xr:uid="{00000000-0005-0000-0000-0000787D0000}"/>
    <cellStyle name="Note 3 2 2 2 5 2 2 2" xfId="4762" xr:uid="{00000000-0005-0000-0000-0000797D0000}"/>
    <cellStyle name="Note 3 2 2 2 5 2 3" xfId="31321" xr:uid="{00000000-0005-0000-0000-00007A7D0000}"/>
    <cellStyle name="Note 3 2 2 2 5 3" xfId="26493" xr:uid="{00000000-0005-0000-0000-00007B7D0000}"/>
    <cellStyle name="Note 3 2 2 2 5 3 2" xfId="24027" xr:uid="{00000000-0005-0000-0000-00007C7D0000}"/>
    <cellStyle name="Note 3 2 2 2 5 4" xfId="32730" xr:uid="{00000000-0005-0000-0000-00007D7D0000}"/>
    <cellStyle name="Note 3 2 2 2 6" xfId="32738" xr:uid="{00000000-0005-0000-0000-00007E7D0000}"/>
    <cellStyle name="Note 3 2 2 2 6 2" xfId="30807" xr:uid="{00000000-0005-0000-0000-00007F7D0000}"/>
    <cellStyle name="Note 3 2 2 2 6 2 2" xfId="27292" xr:uid="{00000000-0005-0000-0000-0000807D0000}"/>
    <cellStyle name="Note 3 2 2 2 6 3" xfId="30813" xr:uid="{00000000-0005-0000-0000-0000817D0000}"/>
    <cellStyle name="Note 3 2 2 2 7" xfId="28930" xr:uid="{00000000-0005-0000-0000-0000827D0000}"/>
    <cellStyle name="Note 3 2 2 2 7 2" xfId="32416" xr:uid="{00000000-0005-0000-0000-0000837D0000}"/>
    <cellStyle name="Note 3 2 2 2 8" xfId="33553" xr:uid="{00000000-0005-0000-0000-0000847D0000}"/>
    <cellStyle name="Note 3 2 2 3" xfId="20494" xr:uid="{00000000-0005-0000-0000-0000857D0000}"/>
    <cellStyle name="Note 3 2 2 3 2" xfId="32744" xr:uid="{00000000-0005-0000-0000-0000867D0000}"/>
    <cellStyle name="Note 3 2 2 3 2 2" xfId="711" xr:uid="{00000000-0005-0000-0000-0000877D0000}"/>
    <cellStyle name="Note 3 2 2 3 2 2 2" xfId="23225" xr:uid="{00000000-0005-0000-0000-0000887D0000}"/>
    <cellStyle name="Note 3 2 2 3 2 2 2 2" xfId="28358" xr:uid="{00000000-0005-0000-0000-0000897D0000}"/>
    <cellStyle name="Note 3 2 2 3 2 2 2 2 2" xfId="12238" xr:uid="{00000000-0005-0000-0000-00008A7D0000}"/>
    <cellStyle name="Note 3 2 2 3 2 2 2 2 2 2" xfId="32747" xr:uid="{00000000-0005-0000-0000-00008B7D0000}"/>
    <cellStyle name="Note 3 2 2 3 2 2 2 2 3" xfId="32749" xr:uid="{00000000-0005-0000-0000-00008C7D0000}"/>
    <cellStyle name="Note 3 2 2 3 2 2 2 3" xfId="29020" xr:uid="{00000000-0005-0000-0000-00008D7D0000}"/>
    <cellStyle name="Note 3 2 2 3 2 2 2 3 2" xfId="32751" xr:uid="{00000000-0005-0000-0000-00008E7D0000}"/>
    <cellStyle name="Note 3 2 2 3 2 2 2 4" xfId="32752" xr:uid="{00000000-0005-0000-0000-00008F7D0000}"/>
    <cellStyle name="Note 3 2 2 3 2 2 3" xfId="11739" xr:uid="{00000000-0005-0000-0000-0000907D0000}"/>
    <cellStyle name="Note 3 2 2 3 2 2 3 2" xfId="32898" xr:uid="{00000000-0005-0000-0000-0000917D0000}"/>
    <cellStyle name="Note 3 2 2 3 2 2 3 2 2" xfId="32900" xr:uid="{00000000-0005-0000-0000-0000927D0000}"/>
    <cellStyle name="Note 3 2 2 3 2 2 3 3" xfId="21520" xr:uid="{00000000-0005-0000-0000-0000937D0000}"/>
    <cellStyle name="Note 3 2 2 3 2 2 4" xfId="32930" xr:uid="{00000000-0005-0000-0000-0000947D0000}"/>
    <cellStyle name="Note 3 2 2 3 2 2 4 2" xfId="32424" xr:uid="{00000000-0005-0000-0000-0000957D0000}"/>
    <cellStyle name="Note 3 2 2 3 2 2 5" xfId="32393" xr:uid="{00000000-0005-0000-0000-0000967D0000}"/>
    <cellStyle name="Note 3 2 2 3 2 3" xfId="14176" xr:uid="{00000000-0005-0000-0000-0000977D0000}"/>
    <cellStyle name="Note 3 2 2 3 2 3 2" xfId="32725" xr:uid="{00000000-0005-0000-0000-0000987D0000}"/>
    <cellStyle name="Note 3 2 2 3 2 3 2 2" xfId="33906" xr:uid="{00000000-0005-0000-0000-0000997D0000}"/>
    <cellStyle name="Note 3 2 2 3 2 3 2 2 2" xfId="32755" xr:uid="{00000000-0005-0000-0000-00009A7D0000}"/>
    <cellStyle name="Note 3 2 2 3 2 3 2 3" xfId="33586" xr:uid="{00000000-0005-0000-0000-00009B7D0000}"/>
    <cellStyle name="Note 3 2 2 3 2 3 3" xfId="32726" xr:uid="{00000000-0005-0000-0000-00009C7D0000}"/>
    <cellStyle name="Note 3 2 2 3 2 3 3 2" xfId="33112" xr:uid="{00000000-0005-0000-0000-00009D7D0000}"/>
    <cellStyle name="Note 3 2 2 3 2 3 4" xfId="32436" xr:uid="{00000000-0005-0000-0000-00009E7D0000}"/>
    <cellStyle name="Note 3 2 2 3 2 4" xfId="33311" xr:uid="{00000000-0005-0000-0000-00009F7D0000}"/>
    <cellStyle name="Note 3 2 2 3 2 4 2" xfId="30536" xr:uid="{00000000-0005-0000-0000-0000A07D0000}"/>
    <cellStyle name="Note 3 2 2 3 2 4 2 2" xfId="31526" xr:uid="{00000000-0005-0000-0000-0000A17D0000}"/>
    <cellStyle name="Note 3 2 2 3 2 4 3" xfId="23664" xr:uid="{00000000-0005-0000-0000-0000A27D0000}"/>
    <cellStyle name="Note 3 2 2 3 2 5" xfId="33235" xr:uid="{00000000-0005-0000-0000-0000A37D0000}"/>
    <cellStyle name="Note 3 2 2 3 2 5 2" xfId="23524" xr:uid="{00000000-0005-0000-0000-0000A47D0000}"/>
    <cellStyle name="Note 3 2 2 3 2 6" xfId="6857" xr:uid="{00000000-0005-0000-0000-0000A57D0000}"/>
    <cellStyle name="Note 3 2 2 3 3" xfId="32855" xr:uid="{00000000-0005-0000-0000-0000A67D0000}"/>
    <cellStyle name="Note 3 2 2 3 3 2" xfId="14188" xr:uid="{00000000-0005-0000-0000-0000A77D0000}"/>
    <cellStyle name="Note 3 2 2 3 3 2 2" xfId="33749" xr:uid="{00000000-0005-0000-0000-0000A87D0000}"/>
    <cellStyle name="Note 3 2 2 3 3 2 2 2" xfId="28912" xr:uid="{00000000-0005-0000-0000-0000A97D0000}"/>
    <cellStyle name="Note 3 2 2 3 3 2 2 2 2" xfId="27887" xr:uid="{00000000-0005-0000-0000-0000AA7D0000}"/>
    <cellStyle name="Note 3 2 2 3 3 2 2 3" xfId="24781" xr:uid="{00000000-0005-0000-0000-0000AB7D0000}"/>
    <cellStyle name="Note 3 2 2 3 3 2 3" xfId="31593" xr:uid="{00000000-0005-0000-0000-0000AC7D0000}"/>
    <cellStyle name="Note 3 2 2 3 3 2 3 2" xfId="31489" xr:uid="{00000000-0005-0000-0000-0000AD7D0000}"/>
    <cellStyle name="Note 3 2 2 3 3 2 4" xfId="33189" xr:uid="{00000000-0005-0000-0000-0000AE7D0000}"/>
    <cellStyle name="Note 3 2 2 3 3 3" xfId="26277" xr:uid="{00000000-0005-0000-0000-0000AF7D0000}"/>
    <cellStyle name="Note 3 2 2 3 3 3 2" xfId="33404" xr:uid="{00000000-0005-0000-0000-0000B07D0000}"/>
    <cellStyle name="Note 3 2 2 3 3 3 2 2" xfId="4284" xr:uid="{00000000-0005-0000-0000-0000B17D0000}"/>
    <cellStyle name="Note 3 2 2 3 3 3 3" xfId="31500" xr:uid="{00000000-0005-0000-0000-0000B27D0000}"/>
    <cellStyle name="Note 3 2 2 3 3 4" xfId="32047" xr:uid="{00000000-0005-0000-0000-0000B37D0000}"/>
    <cellStyle name="Note 3 2 2 3 3 4 2" xfId="30767" xr:uid="{00000000-0005-0000-0000-0000B47D0000}"/>
    <cellStyle name="Note 3 2 2 3 3 5" xfId="31791" xr:uid="{00000000-0005-0000-0000-0000B57D0000}"/>
    <cellStyle name="Note 3 2 2 3 4" xfId="31551" xr:uid="{00000000-0005-0000-0000-0000B67D0000}"/>
    <cellStyle name="Note 3 2 2 3 4 2" xfId="19874" xr:uid="{00000000-0005-0000-0000-0000B77D0000}"/>
    <cellStyle name="Note 3 2 2 3 4 2 2" xfId="31250" xr:uid="{00000000-0005-0000-0000-0000B87D0000}"/>
    <cellStyle name="Note 3 2 2 3 4 2 2 2" xfId="32761" xr:uid="{00000000-0005-0000-0000-0000B97D0000}"/>
    <cellStyle name="Note 3 2 2 3 4 2 3" xfId="31514" xr:uid="{00000000-0005-0000-0000-0000BA7D0000}"/>
    <cellStyle name="Note 3 2 2 3 4 3" xfId="29687" xr:uid="{00000000-0005-0000-0000-0000BB7D0000}"/>
    <cellStyle name="Note 3 2 2 3 4 3 2" xfId="32651" xr:uid="{00000000-0005-0000-0000-0000BC7D0000}"/>
    <cellStyle name="Note 3 2 2 3 4 4" xfId="32109" xr:uid="{00000000-0005-0000-0000-0000BD7D0000}"/>
    <cellStyle name="Note 3 2 2 3 5" xfId="27629" xr:uid="{00000000-0005-0000-0000-0000BE7D0000}"/>
    <cellStyle name="Note 3 2 2 3 5 2" xfId="6755" xr:uid="{00000000-0005-0000-0000-0000BF7D0000}"/>
    <cellStyle name="Note 3 2 2 3 5 2 2" xfId="32684" xr:uid="{00000000-0005-0000-0000-0000C07D0000}"/>
    <cellStyle name="Note 3 2 2 3 5 3" xfId="33882" xr:uid="{00000000-0005-0000-0000-0000C17D0000}"/>
    <cellStyle name="Note 3 2 2 3 6" xfId="31447" xr:uid="{00000000-0005-0000-0000-0000C27D0000}"/>
    <cellStyle name="Note 3 2 2 3 6 2" xfId="943" xr:uid="{00000000-0005-0000-0000-0000C37D0000}"/>
    <cellStyle name="Note 3 2 2 3 7" xfId="28860" xr:uid="{00000000-0005-0000-0000-0000C47D0000}"/>
    <cellStyle name="Note 3 2 2 4" xfId="28218" xr:uid="{00000000-0005-0000-0000-0000C57D0000}"/>
    <cellStyle name="Note 3 2 2 4 2" xfId="28042" xr:uid="{00000000-0005-0000-0000-0000C67D0000}"/>
    <cellStyle name="Note 3 2 2 4 2 2" xfId="17538" xr:uid="{00000000-0005-0000-0000-0000C77D0000}"/>
    <cellStyle name="Note 3 2 2 4 2 2 2" xfId="32539" xr:uid="{00000000-0005-0000-0000-0000C87D0000}"/>
    <cellStyle name="Note 3 2 2 4 2 2 2 2" xfId="33215" xr:uid="{00000000-0005-0000-0000-0000C97D0000}"/>
    <cellStyle name="Note 3 2 2 4 2 2 2 2 2" xfId="30376" xr:uid="{00000000-0005-0000-0000-0000CA7D0000}"/>
    <cellStyle name="Note 3 2 2 4 2 2 2 3" xfId="29658" xr:uid="{00000000-0005-0000-0000-0000CB7D0000}"/>
    <cellStyle name="Note 3 2 2 4 2 2 3" xfId="32556" xr:uid="{00000000-0005-0000-0000-0000CC7D0000}"/>
    <cellStyle name="Note 3 2 2 4 2 2 3 2" xfId="32777" xr:uid="{00000000-0005-0000-0000-0000CD7D0000}"/>
    <cellStyle name="Note 3 2 2 4 2 2 4" xfId="32384" xr:uid="{00000000-0005-0000-0000-0000CE7D0000}"/>
    <cellStyle name="Note 3 2 2 4 2 3" xfId="33098" xr:uid="{00000000-0005-0000-0000-0000CF7D0000}"/>
    <cellStyle name="Note 3 2 2 4 2 3 2" xfId="26272" xr:uid="{00000000-0005-0000-0000-0000D07D0000}"/>
    <cellStyle name="Note 3 2 2 4 2 3 2 2" xfId="32569" xr:uid="{00000000-0005-0000-0000-0000D17D0000}"/>
    <cellStyle name="Note 3 2 2 4 2 3 3" xfId="31036" xr:uid="{00000000-0005-0000-0000-0000D27D0000}"/>
    <cellStyle name="Note 3 2 2 4 2 4" xfId="31039" xr:uid="{00000000-0005-0000-0000-0000D37D0000}"/>
    <cellStyle name="Note 3 2 2 4 2 4 2" xfId="12825" xr:uid="{00000000-0005-0000-0000-0000D47D0000}"/>
    <cellStyle name="Note 3 2 2 4 2 5" xfId="30771" xr:uid="{00000000-0005-0000-0000-0000D57D0000}"/>
    <cellStyle name="Note 3 2 2 4 3" xfId="32832" xr:uid="{00000000-0005-0000-0000-0000D67D0000}"/>
    <cellStyle name="Note 3 2 2 4 3 2" xfId="13559" xr:uid="{00000000-0005-0000-0000-0000D77D0000}"/>
    <cellStyle name="Note 3 2 2 4 3 2 2" xfId="5906" xr:uid="{00000000-0005-0000-0000-0000D87D0000}"/>
    <cellStyle name="Note 3 2 2 4 3 2 2 2" xfId="32805" xr:uid="{00000000-0005-0000-0000-0000D97D0000}"/>
    <cellStyle name="Note 3 2 2 4 3 2 3" xfId="31567" xr:uid="{00000000-0005-0000-0000-0000DA7D0000}"/>
    <cellStyle name="Note 3 2 2 4 3 3" xfId="4882" xr:uid="{00000000-0005-0000-0000-0000DB7D0000}"/>
    <cellStyle name="Note 3 2 2 4 3 3 2" xfId="33513" xr:uid="{00000000-0005-0000-0000-0000DC7D0000}"/>
    <cellStyle name="Note 3 2 2 4 3 4" xfId="33195" xr:uid="{00000000-0005-0000-0000-0000DD7D0000}"/>
    <cellStyle name="Note 3 2 2 4 4" xfId="31414" xr:uid="{00000000-0005-0000-0000-0000DE7D0000}"/>
    <cellStyle name="Note 3 2 2 4 4 2" xfId="4901" xr:uid="{00000000-0005-0000-0000-0000DF7D0000}"/>
    <cellStyle name="Note 3 2 2 4 4 2 2" xfId="30194" xr:uid="{00000000-0005-0000-0000-0000E07D0000}"/>
    <cellStyle name="Note 3 2 2 4 4 3" xfId="30417" xr:uid="{00000000-0005-0000-0000-0000E17D0000}"/>
    <cellStyle name="Note 3 2 2 4 5" xfId="2206" xr:uid="{00000000-0005-0000-0000-0000E27D0000}"/>
    <cellStyle name="Note 3 2 2 4 5 2" xfId="30297" xr:uid="{00000000-0005-0000-0000-0000E37D0000}"/>
    <cellStyle name="Note 3 2 2 4 6" xfId="26569" xr:uid="{00000000-0005-0000-0000-0000E47D0000}"/>
    <cellStyle name="Note 3 2 2 5" xfId="28228" xr:uid="{00000000-0005-0000-0000-0000E57D0000}"/>
    <cellStyle name="Note 3 2 2 5 2" xfId="32704" xr:uid="{00000000-0005-0000-0000-0000E67D0000}"/>
    <cellStyle name="Note 3 2 2 5 2 2" xfId="29710" xr:uid="{00000000-0005-0000-0000-0000E77D0000}"/>
    <cellStyle name="Note 3 2 2 5 2 2 2" xfId="19100" xr:uid="{00000000-0005-0000-0000-0000E87D0000}"/>
    <cellStyle name="Note 3 2 2 5 2 2 2 2" xfId="7146" xr:uid="{00000000-0005-0000-0000-0000E97D0000}"/>
    <cellStyle name="Note 3 2 2 5 2 2 3" xfId="23430" xr:uid="{00000000-0005-0000-0000-0000EA7D0000}"/>
    <cellStyle name="Note 3 2 2 5 2 3" xfId="26916" xr:uid="{00000000-0005-0000-0000-0000EB7D0000}"/>
    <cellStyle name="Note 3 2 2 5 2 3 2" xfId="23442" xr:uid="{00000000-0005-0000-0000-0000EC7D0000}"/>
    <cellStyle name="Note 3 2 2 5 2 4" xfId="34014" xr:uid="{00000000-0005-0000-0000-0000ED7D0000}"/>
    <cellStyle name="Note 3 2 2 5 3" xfId="30570" xr:uid="{00000000-0005-0000-0000-0000EE7D0000}"/>
    <cellStyle name="Note 3 2 2 5 3 2" xfId="7984" xr:uid="{00000000-0005-0000-0000-0000EF7D0000}"/>
    <cellStyle name="Note 3 2 2 5 3 2 2" xfId="23489" xr:uid="{00000000-0005-0000-0000-0000F07D0000}"/>
    <cellStyle name="Note 3 2 2 5 3 3" xfId="30446" xr:uid="{00000000-0005-0000-0000-0000F17D0000}"/>
    <cellStyle name="Note 3 2 2 5 4" xfId="29474" xr:uid="{00000000-0005-0000-0000-0000F27D0000}"/>
    <cellStyle name="Note 3 2 2 5 4 2" xfId="31429" xr:uid="{00000000-0005-0000-0000-0000F37D0000}"/>
    <cellStyle name="Note 3 2 2 5 5" xfId="24304" xr:uid="{00000000-0005-0000-0000-0000F47D0000}"/>
    <cellStyle name="Note 3 2 2 6" xfId="28102" xr:uid="{00000000-0005-0000-0000-0000F57D0000}"/>
    <cellStyle name="Note 3 2 2 6 2" xfId="25759" xr:uid="{00000000-0005-0000-0000-0000F67D0000}"/>
    <cellStyle name="Note 3 2 2 6 2 2" xfId="28019" xr:uid="{00000000-0005-0000-0000-0000F77D0000}"/>
    <cellStyle name="Note 3 2 2 6 2 2 2" xfId="23672" xr:uid="{00000000-0005-0000-0000-0000F87D0000}"/>
    <cellStyle name="Note 3 2 2 6 2 3" xfId="33064" xr:uid="{00000000-0005-0000-0000-0000F97D0000}"/>
    <cellStyle name="Note 3 2 2 6 3" xfId="33625" xr:uid="{00000000-0005-0000-0000-0000FA7D0000}"/>
    <cellStyle name="Note 3 2 2 6 3 2" xfId="33902" xr:uid="{00000000-0005-0000-0000-0000FB7D0000}"/>
    <cellStyle name="Note 3 2 2 6 4" xfId="31440" xr:uid="{00000000-0005-0000-0000-0000FC7D0000}"/>
    <cellStyle name="Note 3 2 2 7" xfId="22396" xr:uid="{00000000-0005-0000-0000-0000FD7D0000}"/>
    <cellStyle name="Note 3 2 2 7 2" xfId="33331" xr:uid="{00000000-0005-0000-0000-0000FE7D0000}"/>
    <cellStyle name="Note 3 2 2 7 2 2" xfId="28031" xr:uid="{00000000-0005-0000-0000-0000FF7D0000}"/>
    <cellStyle name="Note 3 2 2 7 3" xfId="32971" xr:uid="{00000000-0005-0000-0000-0000007E0000}"/>
    <cellStyle name="Note 3 2 2 8" xfId="9475" xr:uid="{00000000-0005-0000-0000-0000017E0000}"/>
    <cellStyle name="Note 3 2 2 8 2" xfId="32787" xr:uid="{00000000-0005-0000-0000-0000027E0000}"/>
    <cellStyle name="Note 3 2 2 9" xfId="32796" xr:uid="{00000000-0005-0000-0000-0000037E0000}"/>
    <cellStyle name="Note 3 2 3" xfId="12694" xr:uid="{00000000-0005-0000-0000-0000047E0000}"/>
    <cellStyle name="Note 3 2 3 2" xfId="28567" xr:uid="{00000000-0005-0000-0000-0000057E0000}"/>
    <cellStyle name="Note 3 2 3 2 2" xfId="13699" xr:uid="{00000000-0005-0000-0000-0000067E0000}"/>
    <cellStyle name="Note 3 2 3 2 2 2" xfId="19237" xr:uid="{00000000-0005-0000-0000-0000077E0000}"/>
    <cellStyle name="Note 3 2 3 2 2 2 2" xfId="32185" xr:uid="{00000000-0005-0000-0000-0000087E0000}"/>
    <cellStyle name="Note 3 2 3 2 2 2 2 2" xfId="32803" xr:uid="{00000000-0005-0000-0000-0000097E0000}"/>
    <cellStyle name="Note 3 2 3 2 2 2 2 2 2" xfId="7171" xr:uid="{00000000-0005-0000-0000-00000A7E0000}"/>
    <cellStyle name="Note 3 2 3 2 2 2 2 2 2 2" xfId="4879" xr:uid="{00000000-0005-0000-0000-00000B7E0000}"/>
    <cellStyle name="Note 3 2 3 2 2 2 2 2 3" xfId="6987" xr:uid="{00000000-0005-0000-0000-00000C7E0000}"/>
    <cellStyle name="Note 3 2 3 2 2 2 2 3" xfId="32320" xr:uid="{00000000-0005-0000-0000-00000D7E0000}"/>
    <cellStyle name="Note 3 2 3 2 2 2 2 3 2" xfId="6993" xr:uid="{00000000-0005-0000-0000-00000E7E0000}"/>
    <cellStyle name="Note 3 2 3 2 2 2 2 4" xfId="32132" xr:uid="{00000000-0005-0000-0000-00000F7E0000}"/>
    <cellStyle name="Note 3 2 3 2 2 2 3" xfId="9445" xr:uid="{00000000-0005-0000-0000-0000107E0000}"/>
    <cellStyle name="Note 3 2 3 2 2 2 3 2" xfId="33148" xr:uid="{00000000-0005-0000-0000-0000117E0000}"/>
    <cellStyle name="Note 3 2 3 2 2 2 3 2 2" xfId="6999" xr:uid="{00000000-0005-0000-0000-0000127E0000}"/>
    <cellStyle name="Note 3 2 3 2 2 2 3 3" xfId="22189" xr:uid="{00000000-0005-0000-0000-0000137E0000}"/>
    <cellStyle name="Note 3 2 3 2 2 2 4" xfId="32505" xr:uid="{00000000-0005-0000-0000-0000147E0000}"/>
    <cellStyle name="Note 3 2 3 2 2 2 4 2" xfId="33860" xr:uid="{00000000-0005-0000-0000-0000157E0000}"/>
    <cellStyle name="Note 3 2 3 2 2 2 5" xfId="33854" xr:uid="{00000000-0005-0000-0000-0000167E0000}"/>
    <cellStyle name="Note 3 2 3 2 2 3" xfId="9708" xr:uid="{00000000-0005-0000-0000-0000177E0000}"/>
    <cellStyle name="Note 3 2 3 2 2 3 2" xfId="30925" xr:uid="{00000000-0005-0000-0000-0000187E0000}"/>
    <cellStyle name="Note 3 2 3 2 2 3 2 2" xfId="32814" xr:uid="{00000000-0005-0000-0000-0000197E0000}"/>
    <cellStyle name="Note 3 2 3 2 2 3 2 2 2" xfId="7815" xr:uid="{00000000-0005-0000-0000-00001A7E0000}"/>
    <cellStyle name="Note 3 2 3 2 2 3 2 3" xfId="32765" xr:uid="{00000000-0005-0000-0000-00001B7E0000}"/>
    <cellStyle name="Note 3 2 3 2 2 3 3" xfId="33113" xr:uid="{00000000-0005-0000-0000-00001C7E0000}"/>
    <cellStyle name="Note 3 2 3 2 2 3 3 2" xfId="32823" xr:uid="{00000000-0005-0000-0000-00001D7E0000}"/>
    <cellStyle name="Note 3 2 3 2 2 3 4" xfId="34002" xr:uid="{00000000-0005-0000-0000-00001E7E0000}"/>
    <cellStyle name="Note 3 2 3 2 2 4" xfId="7755" xr:uid="{00000000-0005-0000-0000-00001F7E0000}"/>
    <cellStyle name="Note 3 2 3 2 2 4 2" xfId="32827" xr:uid="{00000000-0005-0000-0000-0000207E0000}"/>
    <cellStyle name="Note 3 2 3 2 2 4 2 2" xfId="32829" xr:uid="{00000000-0005-0000-0000-0000217E0000}"/>
    <cellStyle name="Note 3 2 3 2 2 4 3" xfId="30441" xr:uid="{00000000-0005-0000-0000-0000227E0000}"/>
    <cellStyle name="Note 3 2 3 2 2 5" xfId="3049" xr:uid="{00000000-0005-0000-0000-0000237E0000}"/>
    <cellStyle name="Note 3 2 3 2 2 5 2" xfId="32831" xr:uid="{00000000-0005-0000-0000-0000247E0000}"/>
    <cellStyle name="Note 3 2 3 2 2 6" xfId="21580" xr:uid="{00000000-0005-0000-0000-0000257E0000}"/>
    <cellStyle name="Note 3 2 3 2 3" xfId="32843" xr:uid="{00000000-0005-0000-0000-0000267E0000}"/>
    <cellStyle name="Note 3 2 3 2 3 2" xfId="31345" xr:uid="{00000000-0005-0000-0000-0000277E0000}"/>
    <cellStyle name="Note 3 2 3 2 3 2 2" xfId="33161" xr:uid="{00000000-0005-0000-0000-0000287E0000}"/>
    <cellStyle name="Note 3 2 3 2 3 2 2 2" xfId="32441" xr:uid="{00000000-0005-0000-0000-0000297E0000}"/>
    <cellStyle name="Note 3 2 3 2 3 2 2 2 2" xfId="17995" xr:uid="{00000000-0005-0000-0000-00002A7E0000}"/>
    <cellStyle name="Note 3 2 3 2 3 2 2 3" xfId="23949" xr:uid="{00000000-0005-0000-0000-00002B7E0000}"/>
    <cellStyle name="Note 3 2 3 2 3 2 3" xfId="33168" xr:uid="{00000000-0005-0000-0000-00002C7E0000}"/>
    <cellStyle name="Note 3 2 3 2 3 2 3 2" xfId="25205" xr:uid="{00000000-0005-0000-0000-00002D7E0000}"/>
    <cellStyle name="Note 3 2 3 2 3 2 4" xfId="32068" xr:uid="{00000000-0005-0000-0000-00002E7E0000}"/>
    <cellStyle name="Note 3 2 3 2 3 3" xfId="3518" xr:uid="{00000000-0005-0000-0000-00002F7E0000}"/>
    <cellStyle name="Note 3 2 3 2 3 3 2" xfId="33518" xr:uid="{00000000-0005-0000-0000-0000307E0000}"/>
    <cellStyle name="Note 3 2 3 2 3 3 2 2" xfId="32846" xr:uid="{00000000-0005-0000-0000-0000317E0000}"/>
    <cellStyle name="Note 3 2 3 2 3 3 3" xfId="32663" xr:uid="{00000000-0005-0000-0000-0000327E0000}"/>
    <cellStyle name="Note 3 2 3 2 3 4" xfId="20150" xr:uid="{00000000-0005-0000-0000-0000337E0000}"/>
    <cellStyle name="Note 3 2 3 2 3 4 2" xfId="20154" xr:uid="{00000000-0005-0000-0000-0000347E0000}"/>
    <cellStyle name="Note 3 2 3 2 3 5" xfId="20158" xr:uid="{00000000-0005-0000-0000-0000357E0000}"/>
    <cellStyle name="Note 3 2 3 2 4" xfId="32145" xr:uid="{00000000-0005-0000-0000-0000367E0000}"/>
    <cellStyle name="Note 3 2 3 2 4 2" xfId="32195" xr:uid="{00000000-0005-0000-0000-0000377E0000}"/>
    <cellStyle name="Note 3 2 3 2 4 2 2" xfId="33696" xr:uid="{00000000-0005-0000-0000-0000387E0000}"/>
    <cellStyle name="Note 3 2 3 2 4 2 2 2" xfId="26864" xr:uid="{00000000-0005-0000-0000-0000397E0000}"/>
    <cellStyle name="Note 3 2 3 2 4 2 3" xfId="32859" xr:uid="{00000000-0005-0000-0000-00003A7E0000}"/>
    <cellStyle name="Note 3 2 3 2 4 3" xfId="26515" xr:uid="{00000000-0005-0000-0000-00003B7E0000}"/>
    <cellStyle name="Note 3 2 3 2 4 3 2" xfId="32066" xr:uid="{00000000-0005-0000-0000-00003C7E0000}"/>
    <cellStyle name="Note 3 2 3 2 4 4" xfId="20162" xr:uid="{00000000-0005-0000-0000-00003D7E0000}"/>
    <cellStyle name="Note 3 2 3 2 5" xfId="10006" xr:uid="{00000000-0005-0000-0000-00003E7E0000}"/>
    <cellStyle name="Note 3 2 3 2 5 2" xfId="2169" xr:uid="{00000000-0005-0000-0000-00003F7E0000}"/>
    <cellStyle name="Note 3 2 3 2 5 2 2" xfId="24322" xr:uid="{00000000-0005-0000-0000-0000407E0000}"/>
    <cellStyle name="Note 3 2 3 2 5 3" xfId="32868" xr:uid="{00000000-0005-0000-0000-0000417E0000}"/>
    <cellStyle name="Note 3 2 3 2 6" xfId="21352" xr:uid="{00000000-0005-0000-0000-0000427E0000}"/>
    <cellStyle name="Note 3 2 3 2 6 2" xfId="27424" xr:uid="{00000000-0005-0000-0000-0000437E0000}"/>
    <cellStyle name="Note 3 2 3 2 7" xfId="21366" xr:uid="{00000000-0005-0000-0000-0000447E0000}"/>
    <cellStyle name="Note 3 2 3 3" xfId="28045" xr:uid="{00000000-0005-0000-0000-0000457E0000}"/>
    <cellStyle name="Note 3 2 3 3 2" xfId="32860" xr:uid="{00000000-0005-0000-0000-0000467E0000}"/>
    <cellStyle name="Note 3 2 3 3 2 2" xfId="33575" xr:uid="{00000000-0005-0000-0000-0000477E0000}"/>
    <cellStyle name="Note 3 2 3 3 2 2 2" xfId="32555" xr:uid="{00000000-0005-0000-0000-0000487E0000}"/>
    <cellStyle name="Note 3 2 3 3 2 2 2 2" xfId="10061" xr:uid="{00000000-0005-0000-0000-0000497E0000}"/>
    <cellStyle name="Note 3 2 3 3 2 2 2 2 2" xfId="7362" xr:uid="{00000000-0005-0000-0000-00004A7E0000}"/>
    <cellStyle name="Note 3 2 3 3 2 2 2 3" xfId="29433" xr:uid="{00000000-0005-0000-0000-00004B7E0000}"/>
    <cellStyle name="Note 3 2 3 3 2 2 3" xfId="32716" xr:uid="{00000000-0005-0000-0000-00004C7E0000}"/>
    <cellStyle name="Note 3 2 3 3 2 2 3 2" xfId="32565" xr:uid="{00000000-0005-0000-0000-00004D7E0000}"/>
    <cellStyle name="Note 3 2 3 3 2 2 4" xfId="32566" xr:uid="{00000000-0005-0000-0000-00004E7E0000}"/>
    <cellStyle name="Note 3 2 3 3 2 3" xfId="3554" xr:uid="{00000000-0005-0000-0000-00004F7E0000}"/>
    <cellStyle name="Note 3 2 3 3 2 3 2" xfId="33845" xr:uid="{00000000-0005-0000-0000-0000507E0000}"/>
    <cellStyle name="Note 3 2 3 3 2 3 2 2" xfId="32572" xr:uid="{00000000-0005-0000-0000-0000517E0000}"/>
    <cellStyle name="Note 3 2 3 3 2 3 3" xfId="27504" xr:uid="{00000000-0005-0000-0000-0000527E0000}"/>
    <cellStyle name="Note 3 2 3 3 2 4" xfId="3069" xr:uid="{00000000-0005-0000-0000-0000537E0000}"/>
    <cellStyle name="Note 3 2 3 3 2 4 2" xfId="5633" xr:uid="{00000000-0005-0000-0000-0000547E0000}"/>
    <cellStyle name="Note 3 2 3 3 2 5" xfId="32027" xr:uid="{00000000-0005-0000-0000-0000557E0000}"/>
    <cellStyle name="Note 3 2 3 3 3" xfId="30715" xr:uid="{00000000-0005-0000-0000-0000567E0000}"/>
    <cellStyle name="Note 3 2 3 3 3 2" xfId="33006" xr:uid="{00000000-0005-0000-0000-0000577E0000}"/>
    <cellStyle name="Note 3 2 3 3 3 2 2" xfId="33362" xr:uid="{00000000-0005-0000-0000-0000587E0000}"/>
    <cellStyle name="Note 3 2 3 3 3 2 2 2" xfId="33400" xr:uid="{00000000-0005-0000-0000-0000597E0000}"/>
    <cellStyle name="Note 3 2 3 3 3 2 3" xfId="33429" xr:uid="{00000000-0005-0000-0000-00005A7E0000}"/>
    <cellStyle name="Note 3 2 3 3 3 3" xfId="5013" xr:uid="{00000000-0005-0000-0000-00005B7E0000}"/>
    <cellStyle name="Note 3 2 3 3 3 3 2" xfId="29143" xr:uid="{00000000-0005-0000-0000-00005C7E0000}"/>
    <cellStyle name="Note 3 2 3 3 3 4" xfId="20163" xr:uid="{00000000-0005-0000-0000-00005D7E0000}"/>
    <cellStyle name="Note 3 2 3 3 4" xfId="30661" xr:uid="{00000000-0005-0000-0000-00005E7E0000}"/>
    <cellStyle name="Note 3 2 3 3 4 2" xfId="32888" xr:uid="{00000000-0005-0000-0000-00005F7E0000}"/>
    <cellStyle name="Note 3 2 3 3 4 2 2" xfId="32076" xr:uid="{00000000-0005-0000-0000-0000607E0000}"/>
    <cellStyle name="Note 3 2 3 3 4 3" xfId="32881" xr:uid="{00000000-0005-0000-0000-0000617E0000}"/>
    <cellStyle name="Note 3 2 3 3 5" xfId="30664" xr:uid="{00000000-0005-0000-0000-0000627E0000}"/>
    <cellStyle name="Note 3 2 3 3 5 2" xfId="33438" xr:uid="{00000000-0005-0000-0000-0000637E0000}"/>
    <cellStyle name="Note 3 2 3 3 6" xfId="21378" xr:uid="{00000000-0005-0000-0000-0000647E0000}"/>
    <cellStyle name="Note 3 2 3 4" xfId="14976" xr:uid="{00000000-0005-0000-0000-0000657E0000}"/>
    <cellStyle name="Note 3 2 3 4 2" xfId="32871" xr:uid="{00000000-0005-0000-0000-0000667E0000}"/>
    <cellStyle name="Note 3 2 3 4 2 2" xfId="27410" xr:uid="{00000000-0005-0000-0000-0000677E0000}"/>
    <cellStyle name="Note 3 2 3 4 2 2 2" xfId="32495" xr:uid="{00000000-0005-0000-0000-0000687E0000}"/>
    <cellStyle name="Note 3 2 3 4 2 2 2 2" xfId="31069" xr:uid="{00000000-0005-0000-0000-0000697E0000}"/>
    <cellStyle name="Note 3 2 3 4 2 2 3" xfId="33642" xr:uid="{00000000-0005-0000-0000-00006A7E0000}"/>
    <cellStyle name="Note 3 2 3 4 2 3" xfId="3578" xr:uid="{00000000-0005-0000-0000-00006B7E0000}"/>
    <cellStyle name="Note 3 2 3 4 2 3 2" xfId="33928" xr:uid="{00000000-0005-0000-0000-00006C7E0000}"/>
    <cellStyle name="Note 3 2 3 4 2 4" xfId="32899" xr:uid="{00000000-0005-0000-0000-00006D7E0000}"/>
    <cellStyle name="Note 3 2 3 4 3" xfId="33380" xr:uid="{00000000-0005-0000-0000-00006E7E0000}"/>
    <cellStyle name="Note 3 2 3 4 3 2" xfId="5065" xr:uid="{00000000-0005-0000-0000-00006F7E0000}"/>
    <cellStyle name="Note 3 2 3 4 3 2 2" xfId="32139" xr:uid="{00000000-0005-0000-0000-0000707E0000}"/>
    <cellStyle name="Note 3 2 3 4 3 3" xfId="32891" xr:uid="{00000000-0005-0000-0000-0000717E0000}"/>
    <cellStyle name="Note 3 2 3 4 4" xfId="31451" xr:uid="{00000000-0005-0000-0000-0000727E0000}"/>
    <cellStyle name="Note 3 2 3 4 4 2" xfId="28277" xr:uid="{00000000-0005-0000-0000-0000737E0000}"/>
    <cellStyle name="Note 3 2 3 4 5" xfId="26587" xr:uid="{00000000-0005-0000-0000-0000747E0000}"/>
    <cellStyle name="Note 3 2 3 5" xfId="30825" xr:uid="{00000000-0005-0000-0000-0000757E0000}"/>
    <cellStyle name="Note 3 2 3 5 2" xfId="31894" xr:uid="{00000000-0005-0000-0000-0000767E0000}"/>
    <cellStyle name="Note 3 2 3 5 2 2" xfId="32519" xr:uid="{00000000-0005-0000-0000-0000777E0000}"/>
    <cellStyle name="Note 3 2 3 5 2 2 2" xfId="7810" xr:uid="{00000000-0005-0000-0000-0000787E0000}"/>
    <cellStyle name="Note 3 2 3 5 2 3" xfId="32894" xr:uid="{00000000-0005-0000-0000-0000797E0000}"/>
    <cellStyle name="Note 3 2 3 5 3" xfId="32524" xr:uid="{00000000-0005-0000-0000-00007A7E0000}"/>
    <cellStyle name="Note 3 2 3 5 3 2" xfId="33644" xr:uid="{00000000-0005-0000-0000-00007B7E0000}"/>
    <cellStyle name="Note 3 2 3 5 4" xfId="30324" xr:uid="{00000000-0005-0000-0000-00007C7E0000}"/>
    <cellStyle name="Note 3 2 3 6" xfId="25735" xr:uid="{00000000-0005-0000-0000-00007D7E0000}"/>
    <cellStyle name="Note 3 2 3 6 2" xfId="32535" xr:uid="{00000000-0005-0000-0000-00007E7E0000}"/>
    <cellStyle name="Note 3 2 3 6 2 2" xfId="32895" xr:uid="{00000000-0005-0000-0000-00007F7E0000}"/>
    <cellStyle name="Note 3 2 3 6 3" xfId="28945" xr:uid="{00000000-0005-0000-0000-0000807E0000}"/>
    <cellStyle name="Note 3 2 3 7" xfId="28957" xr:uid="{00000000-0005-0000-0000-0000817E0000}"/>
    <cellStyle name="Note 3 2 3 7 2" xfId="24762" xr:uid="{00000000-0005-0000-0000-0000827E0000}"/>
    <cellStyle name="Note 3 2 3 8" xfId="30606" xr:uid="{00000000-0005-0000-0000-0000837E0000}"/>
    <cellStyle name="Note 3 2 4" xfId="24867" xr:uid="{00000000-0005-0000-0000-0000847E0000}"/>
    <cellStyle name="Note 3 2 4 2" xfId="32866" xr:uid="{00000000-0005-0000-0000-0000857E0000}"/>
    <cellStyle name="Note 3 2 4 2 2" xfId="30489" xr:uid="{00000000-0005-0000-0000-0000867E0000}"/>
    <cellStyle name="Note 3 2 4 2 2 2" xfId="32154" xr:uid="{00000000-0005-0000-0000-0000877E0000}"/>
    <cellStyle name="Note 3 2 4 2 2 2 2" xfId="32091" xr:uid="{00000000-0005-0000-0000-0000887E0000}"/>
    <cellStyle name="Note 3 2 4 2 2 2 2 2" xfId="30179" xr:uid="{00000000-0005-0000-0000-0000897E0000}"/>
    <cellStyle name="Note 3 2 4 2 2 2 2 2 2" xfId="15064" xr:uid="{00000000-0005-0000-0000-00008A7E0000}"/>
    <cellStyle name="Note 3 2 4 2 2 2 2 3" xfId="25678" xr:uid="{00000000-0005-0000-0000-00008B7E0000}"/>
    <cellStyle name="Note 3 2 4 2 2 2 3" xfId="15346" xr:uid="{00000000-0005-0000-0000-00008C7E0000}"/>
    <cellStyle name="Note 3 2 4 2 2 2 3 2" xfId="32915" xr:uid="{00000000-0005-0000-0000-00008D7E0000}"/>
    <cellStyle name="Note 3 2 4 2 2 2 4" xfId="32917" xr:uid="{00000000-0005-0000-0000-00008E7E0000}"/>
    <cellStyle name="Note 3 2 4 2 2 3" xfId="2639" xr:uid="{00000000-0005-0000-0000-00008F7E0000}"/>
    <cellStyle name="Note 3 2 4 2 2 3 2" xfId="31204" xr:uid="{00000000-0005-0000-0000-0000907E0000}"/>
    <cellStyle name="Note 3 2 4 2 2 3 2 2" xfId="28725" xr:uid="{00000000-0005-0000-0000-0000917E0000}"/>
    <cellStyle name="Note 3 2 4 2 2 3 3" xfId="32922" xr:uid="{00000000-0005-0000-0000-0000927E0000}"/>
    <cellStyle name="Note 3 2 4 2 2 4" xfId="3218" xr:uid="{00000000-0005-0000-0000-0000937E0000}"/>
    <cellStyle name="Note 3 2 4 2 2 4 2" xfId="30513" xr:uid="{00000000-0005-0000-0000-0000947E0000}"/>
    <cellStyle name="Note 3 2 4 2 2 5" xfId="137" xr:uid="{00000000-0005-0000-0000-0000957E0000}"/>
    <cellStyle name="Note 3 2 4 2 3" xfId="31063" xr:uid="{00000000-0005-0000-0000-0000967E0000}"/>
    <cellStyle name="Note 3 2 4 2 3 2" xfId="33467" xr:uid="{00000000-0005-0000-0000-0000977E0000}"/>
    <cellStyle name="Note 3 2 4 2 3 2 2" xfId="30333" xr:uid="{00000000-0005-0000-0000-0000987E0000}"/>
    <cellStyle name="Note 3 2 4 2 3 2 2 2" xfId="31970" xr:uid="{00000000-0005-0000-0000-0000997E0000}"/>
    <cellStyle name="Note 3 2 4 2 3 2 3" xfId="13662" xr:uid="{00000000-0005-0000-0000-00009A7E0000}"/>
    <cellStyle name="Note 3 2 4 2 3 3" xfId="5144" xr:uid="{00000000-0005-0000-0000-00009B7E0000}"/>
    <cellStyle name="Note 3 2 4 2 3 3 2" xfId="31984" xr:uid="{00000000-0005-0000-0000-00009C7E0000}"/>
    <cellStyle name="Note 3 2 4 2 3 4" xfId="20213" xr:uid="{00000000-0005-0000-0000-00009D7E0000}"/>
    <cellStyle name="Note 3 2 4 2 4" xfId="32561" xr:uid="{00000000-0005-0000-0000-00009E7E0000}"/>
    <cellStyle name="Note 3 2 4 2 4 2" xfId="4268" xr:uid="{00000000-0005-0000-0000-00009F7E0000}"/>
    <cellStyle name="Note 3 2 4 2 4 2 2" xfId="15834" xr:uid="{00000000-0005-0000-0000-0000A07E0000}"/>
    <cellStyle name="Note 3 2 4 2 4 3" xfId="14441" xr:uid="{00000000-0005-0000-0000-0000A17E0000}"/>
    <cellStyle name="Note 3 2 4 2 5" xfId="33057" xr:uid="{00000000-0005-0000-0000-0000A27E0000}"/>
    <cellStyle name="Note 3 2 4 2 5 2" xfId="589" xr:uid="{00000000-0005-0000-0000-0000A37E0000}"/>
    <cellStyle name="Note 3 2 4 2 6" xfId="21403" xr:uid="{00000000-0005-0000-0000-0000A47E0000}"/>
    <cellStyle name="Note 3 2 4 3" xfId="28056" xr:uid="{00000000-0005-0000-0000-0000A57E0000}"/>
    <cellStyle name="Note 3 2 4 3 2" xfId="31438" xr:uid="{00000000-0005-0000-0000-0000A67E0000}"/>
    <cellStyle name="Note 3 2 4 3 2 2" xfId="33425" xr:uid="{00000000-0005-0000-0000-0000A77E0000}"/>
    <cellStyle name="Note 3 2 4 3 2 2 2" xfId="24408" xr:uid="{00000000-0005-0000-0000-0000A87E0000}"/>
    <cellStyle name="Note 3 2 4 3 2 2 2 2" xfId="32079" xr:uid="{00000000-0005-0000-0000-0000A97E0000}"/>
    <cellStyle name="Note 3 2 4 3 2 2 3" xfId="33035" xr:uid="{00000000-0005-0000-0000-0000AA7E0000}"/>
    <cellStyle name="Note 3 2 4 3 2 3" xfId="6702" xr:uid="{00000000-0005-0000-0000-0000AB7E0000}"/>
    <cellStyle name="Note 3 2 4 3 2 3 2" xfId="33037" xr:uid="{00000000-0005-0000-0000-0000AC7E0000}"/>
    <cellStyle name="Note 3 2 4 3 2 4" xfId="32593" xr:uid="{00000000-0005-0000-0000-0000AD7E0000}"/>
    <cellStyle name="Note 3 2 4 3 3" xfId="32948" xr:uid="{00000000-0005-0000-0000-0000AE7E0000}"/>
    <cellStyle name="Note 3 2 4 3 3 2" xfId="33360" xr:uid="{00000000-0005-0000-0000-0000AF7E0000}"/>
    <cellStyle name="Note 3 2 4 3 3 2 2" xfId="32951" xr:uid="{00000000-0005-0000-0000-0000B07E0000}"/>
    <cellStyle name="Note 3 2 4 3 3 3" xfId="32595" xr:uid="{00000000-0005-0000-0000-0000B17E0000}"/>
    <cellStyle name="Note 3 2 4 3 4" xfId="30673" xr:uid="{00000000-0005-0000-0000-0000B27E0000}"/>
    <cellStyle name="Note 3 2 4 3 4 2" xfId="12682" xr:uid="{00000000-0005-0000-0000-0000B37E0000}"/>
    <cellStyle name="Note 3 2 4 3 5" xfId="32606" xr:uid="{00000000-0005-0000-0000-0000B47E0000}"/>
    <cellStyle name="Note 3 2 4 4" xfId="24172" xr:uid="{00000000-0005-0000-0000-0000B57E0000}"/>
    <cellStyle name="Note 3 2 4 4 2" xfId="27451" xr:uid="{00000000-0005-0000-0000-0000B67E0000}"/>
    <cellStyle name="Note 3 2 4 4 2 2" xfId="32962" xr:uid="{00000000-0005-0000-0000-0000B77E0000}"/>
    <cellStyle name="Note 3 2 4 4 2 2 2" xfId="14311" xr:uid="{00000000-0005-0000-0000-0000B87E0000}"/>
    <cellStyle name="Note 3 2 4 4 2 3" xfId="32963" xr:uid="{00000000-0005-0000-0000-0000B97E0000}"/>
    <cellStyle name="Note 3 2 4 4 3" xfId="30584" xr:uid="{00000000-0005-0000-0000-0000BA7E0000}"/>
    <cellStyle name="Note 3 2 4 4 3 2" xfId="33668" xr:uid="{00000000-0005-0000-0000-0000BB7E0000}"/>
    <cellStyle name="Note 3 2 4 4 4" xfId="28316" xr:uid="{00000000-0005-0000-0000-0000BC7E0000}"/>
    <cellStyle name="Note 3 2 4 5" xfId="32967" xr:uid="{00000000-0005-0000-0000-0000BD7E0000}"/>
    <cellStyle name="Note 3 2 4 5 2" xfId="33399" xr:uid="{00000000-0005-0000-0000-0000BE7E0000}"/>
    <cellStyle name="Note 3 2 4 5 2 2" xfId="32969" xr:uid="{00000000-0005-0000-0000-0000BF7E0000}"/>
    <cellStyle name="Note 3 2 4 5 3" xfId="31283" xr:uid="{00000000-0005-0000-0000-0000C07E0000}"/>
    <cellStyle name="Note 3 2 4 6" xfId="24507" xr:uid="{00000000-0005-0000-0000-0000C17E0000}"/>
    <cellStyle name="Note 3 2 4 6 2" xfId="32973" xr:uid="{00000000-0005-0000-0000-0000C27E0000}"/>
    <cellStyle name="Note 3 2 4 7" xfId="32666" xr:uid="{00000000-0005-0000-0000-0000C37E0000}"/>
    <cellStyle name="Note 3 2 5" xfId="32826" xr:uid="{00000000-0005-0000-0000-0000C47E0000}"/>
    <cellStyle name="Note 3 2 5 2" xfId="32828" xr:uid="{00000000-0005-0000-0000-0000C57E0000}"/>
    <cellStyle name="Note 3 2 5 2 2" xfId="27924" xr:uid="{00000000-0005-0000-0000-0000C67E0000}"/>
    <cellStyle name="Note 3 2 5 2 2 2" xfId="29528" xr:uid="{00000000-0005-0000-0000-0000C77E0000}"/>
    <cellStyle name="Note 3 2 5 2 2 2 2" xfId="27575" xr:uid="{00000000-0005-0000-0000-0000C87E0000}"/>
    <cellStyle name="Note 3 2 5 2 2 2 2 2" xfId="134" xr:uid="{00000000-0005-0000-0000-0000C97E0000}"/>
    <cellStyle name="Note 3 2 5 2 2 2 3" xfId="32072" xr:uid="{00000000-0005-0000-0000-0000CA7E0000}"/>
    <cellStyle name="Note 3 2 5 2 2 3" xfId="1535" xr:uid="{00000000-0005-0000-0000-0000CB7E0000}"/>
    <cellStyle name="Note 3 2 5 2 2 3 2" xfId="29541" xr:uid="{00000000-0005-0000-0000-0000CC7E0000}"/>
    <cellStyle name="Note 3 2 5 2 2 4" xfId="29543" xr:uid="{00000000-0005-0000-0000-0000CD7E0000}"/>
    <cellStyle name="Note 3 2 5 2 3" xfId="28207" xr:uid="{00000000-0005-0000-0000-0000CE7E0000}"/>
    <cellStyle name="Note 3 2 5 2 3 2" xfId="31261" xr:uid="{00000000-0005-0000-0000-0000CF7E0000}"/>
    <cellStyle name="Note 3 2 5 2 3 2 2" xfId="32991" xr:uid="{00000000-0005-0000-0000-0000D07E0000}"/>
    <cellStyle name="Note 3 2 5 2 3 3" xfId="31268" xr:uid="{00000000-0005-0000-0000-0000D17E0000}"/>
    <cellStyle name="Note 3 2 5 2 4" xfId="14591" xr:uid="{00000000-0005-0000-0000-0000D27E0000}"/>
    <cellStyle name="Note 3 2 5 2 4 2" xfId="14461" xr:uid="{00000000-0005-0000-0000-0000D37E0000}"/>
    <cellStyle name="Note 3 2 5 2 5" xfId="33250" xr:uid="{00000000-0005-0000-0000-0000D47E0000}"/>
    <cellStyle name="Note 3 2 5 3" xfId="31188" xr:uid="{00000000-0005-0000-0000-0000D57E0000}"/>
    <cellStyle name="Note 3 2 5 3 2" xfId="33415" xr:uid="{00000000-0005-0000-0000-0000D67E0000}"/>
    <cellStyle name="Note 3 2 5 3 2 2" xfId="32975" xr:uid="{00000000-0005-0000-0000-0000D77E0000}"/>
    <cellStyle name="Note 3 2 5 3 2 2 2" xfId="32850" xr:uid="{00000000-0005-0000-0000-0000D87E0000}"/>
    <cellStyle name="Note 3 2 5 3 2 3" xfId="32285" xr:uid="{00000000-0005-0000-0000-0000D97E0000}"/>
    <cellStyle name="Note 3 2 5 3 3" xfId="2263" xr:uid="{00000000-0005-0000-0000-0000DA7E0000}"/>
    <cellStyle name="Note 3 2 5 3 3 2" xfId="31272" xr:uid="{00000000-0005-0000-0000-0000DB7E0000}"/>
    <cellStyle name="Note 3 2 5 3 4" xfId="28235" xr:uid="{00000000-0005-0000-0000-0000DC7E0000}"/>
    <cellStyle name="Note 3 2 5 4" xfId="32732" xr:uid="{00000000-0005-0000-0000-0000DD7E0000}"/>
    <cellStyle name="Note 3 2 5 4 2" xfId="26721" xr:uid="{00000000-0005-0000-0000-0000DE7E0000}"/>
    <cellStyle name="Note 3 2 5 4 2 2" xfId="26803" xr:uid="{00000000-0005-0000-0000-0000DF7E0000}"/>
    <cellStyle name="Note 3 2 5 4 3" xfId="31276" xr:uid="{00000000-0005-0000-0000-0000E07E0000}"/>
    <cellStyle name="Note 3 2 5 5" xfId="21945" xr:uid="{00000000-0005-0000-0000-0000E17E0000}"/>
    <cellStyle name="Note 3 2 5 5 2" xfId="30406" xr:uid="{00000000-0005-0000-0000-0000E27E0000}"/>
    <cellStyle name="Note 3 2 5 6" xfId="29947" xr:uid="{00000000-0005-0000-0000-0000E37E0000}"/>
    <cellStyle name="Note 3 2 6" xfId="19178" xr:uid="{00000000-0005-0000-0000-0000E47E0000}"/>
    <cellStyle name="Note 3 2 6 2" xfId="29336" xr:uid="{00000000-0005-0000-0000-0000E57E0000}"/>
    <cellStyle name="Note 3 2 6 2 2" xfId="30927" xr:uid="{00000000-0005-0000-0000-0000E67E0000}"/>
    <cellStyle name="Note 3 2 6 2 2 2" xfId="33382" xr:uid="{00000000-0005-0000-0000-0000E77E0000}"/>
    <cellStyle name="Note 3 2 6 2 2 2 2" xfId="21308" xr:uid="{00000000-0005-0000-0000-0000E87E0000}"/>
    <cellStyle name="Note 3 2 6 2 2 3" xfId="32838" xr:uid="{00000000-0005-0000-0000-0000E97E0000}"/>
    <cellStyle name="Note 3 2 6 2 3" xfId="13492" xr:uid="{00000000-0005-0000-0000-0000EA7E0000}"/>
    <cellStyle name="Note 3 2 6 2 3 2" xfId="31319" xr:uid="{00000000-0005-0000-0000-0000EB7E0000}"/>
    <cellStyle name="Note 3 2 6 2 4" xfId="32741" xr:uid="{00000000-0005-0000-0000-0000EC7E0000}"/>
    <cellStyle name="Note 3 2 6 3" xfId="29230" xr:uid="{00000000-0005-0000-0000-0000ED7E0000}"/>
    <cellStyle name="Note 3 2 6 3 2" xfId="25311" xr:uid="{00000000-0005-0000-0000-0000EE7E0000}"/>
    <cellStyle name="Note 3 2 6 3 2 2" xfId="29588" xr:uid="{00000000-0005-0000-0000-0000EF7E0000}"/>
    <cellStyle name="Note 3 2 6 3 3" xfId="31324" xr:uid="{00000000-0005-0000-0000-0000F07E0000}"/>
    <cellStyle name="Note 3 2 6 4" xfId="32626" xr:uid="{00000000-0005-0000-0000-0000F17E0000}"/>
    <cellStyle name="Note 3 2 6 4 2" xfId="19647" xr:uid="{00000000-0005-0000-0000-0000F27E0000}"/>
    <cellStyle name="Note 3 2 6 5" xfId="30221" xr:uid="{00000000-0005-0000-0000-0000F37E0000}"/>
    <cellStyle name="Note 3 2 7" xfId="25657" xr:uid="{00000000-0005-0000-0000-0000F47E0000}"/>
    <cellStyle name="Note 3 2 7 2" xfId="30317" xr:uid="{00000000-0005-0000-0000-0000F57E0000}"/>
    <cellStyle name="Note 3 2 7 2 2" xfId="29131" xr:uid="{00000000-0005-0000-0000-0000F67E0000}"/>
    <cellStyle name="Note 3 2 7 2 2 2" xfId="32604" xr:uid="{00000000-0005-0000-0000-0000F77E0000}"/>
    <cellStyle name="Note 3 2 7 2 3" xfId="28210" xr:uid="{00000000-0005-0000-0000-0000F87E0000}"/>
    <cellStyle name="Note 3 2 7 3" xfId="29237" xr:uid="{00000000-0005-0000-0000-0000F97E0000}"/>
    <cellStyle name="Note 3 2 7 3 2" xfId="30681" xr:uid="{00000000-0005-0000-0000-0000FA7E0000}"/>
    <cellStyle name="Note 3 2 7 4" xfId="32167" xr:uid="{00000000-0005-0000-0000-0000FB7E0000}"/>
    <cellStyle name="Note 3 2 8" xfId="25662" xr:uid="{00000000-0005-0000-0000-0000FC7E0000}"/>
    <cellStyle name="Note 3 2 8 2" xfId="32996" xr:uid="{00000000-0005-0000-0000-0000FD7E0000}"/>
    <cellStyle name="Note 3 2 8 2 2" xfId="12914" xr:uid="{00000000-0005-0000-0000-0000FE7E0000}"/>
    <cellStyle name="Note 3 2 8 3" xfId="2432" xr:uid="{00000000-0005-0000-0000-0000FF7E0000}"/>
    <cellStyle name="Note 3 2 9" xfId="20054" xr:uid="{00000000-0005-0000-0000-0000007F0000}"/>
    <cellStyle name="Note 3 2 9 2" xfId="20208" xr:uid="{00000000-0005-0000-0000-0000017F0000}"/>
    <cellStyle name="Note 3 3" xfId="30106" xr:uid="{00000000-0005-0000-0000-0000027F0000}"/>
    <cellStyle name="Note 3 3 2" xfId="13841" xr:uid="{00000000-0005-0000-0000-0000037F0000}"/>
    <cellStyle name="Note 3 3 2 2" xfId="20735" xr:uid="{00000000-0005-0000-0000-0000047F0000}"/>
    <cellStyle name="Note 3 3 2 2 2" xfId="30746" xr:uid="{00000000-0005-0000-0000-0000057F0000}"/>
    <cellStyle name="Note 3 3 2 2 2 2" xfId="31391" xr:uid="{00000000-0005-0000-0000-0000067F0000}"/>
    <cellStyle name="Note 3 3 2 2 2 2 2" xfId="31399" xr:uid="{00000000-0005-0000-0000-0000077F0000}"/>
    <cellStyle name="Note 3 3 2 2 2 2 2 2" xfId="33015" xr:uid="{00000000-0005-0000-0000-0000087F0000}"/>
    <cellStyle name="Note 3 3 2 2 2 2 2 2 2" xfId="33017" xr:uid="{00000000-0005-0000-0000-0000097F0000}"/>
    <cellStyle name="Note 3 3 2 2 2 2 2 2 2 2" xfId="32688" xr:uid="{00000000-0005-0000-0000-00000A7F0000}"/>
    <cellStyle name="Note 3 3 2 2 2 2 2 2 3" xfId="10887" xr:uid="{00000000-0005-0000-0000-00000B7F0000}"/>
    <cellStyle name="Note 3 3 2 2 2 2 2 3" xfId="32435" xr:uid="{00000000-0005-0000-0000-00000C7F0000}"/>
    <cellStyle name="Note 3 3 2 2 2 2 2 3 2" xfId="33019" xr:uid="{00000000-0005-0000-0000-00000D7F0000}"/>
    <cellStyle name="Note 3 3 2 2 2 2 2 4" xfId="33022" xr:uid="{00000000-0005-0000-0000-00000E7F0000}"/>
    <cellStyle name="Note 3 3 2 2 2 2 3" xfId="7880" xr:uid="{00000000-0005-0000-0000-00000F7F0000}"/>
    <cellStyle name="Note 3 3 2 2 2 2 3 2" xfId="33023" xr:uid="{00000000-0005-0000-0000-0000107F0000}"/>
    <cellStyle name="Note 3 3 2 2 2 2 3 2 2" xfId="33028" xr:uid="{00000000-0005-0000-0000-0000117F0000}"/>
    <cellStyle name="Note 3 3 2 2 2 2 3 3" xfId="23850" xr:uid="{00000000-0005-0000-0000-0000127F0000}"/>
    <cellStyle name="Note 3 3 2 2 2 2 4" xfId="27133" xr:uid="{00000000-0005-0000-0000-0000137F0000}"/>
    <cellStyle name="Note 3 3 2 2 2 2 4 2" xfId="24036" xr:uid="{00000000-0005-0000-0000-0000147F0000}"/>
    <cellStyle name="Note 3 3 2 2 2 2 5" xfId="19458" xr:uid="{00000000-0005-0000-0000-0000157F0000}"/>
    <cellStyle name="Note 3 3 2 2 2 3" xfId="19728" xr:uid="{00000000-0005-0000-0000-0000167F0000}"/>
    <cellStyle name="Note 3 3 2 2 2 3 2" xfId="25599" xr:uid="{00000000-0005-0000-0000-0000177F0000}"/>
    <cellStyle name="Note 3 3 2 2 2 3 2 2" xfId="26360" xr:uid="{00000000-0005-0000-0000-0000187F0000}"/>
    <cellStyle name="Note 3 3 2 2 2 3 2 2 2" xfId="29844" xr:uid="{00000000-0005-0000-0000-0000197F0000}"/>
    <cellStyle name="Note 3 3 2 2 2 3 2 3" xfId="12930" xr:uid="{00000000-0005-0000-0000-00001A7F0000}"/>
    <cellStyle name="Note 3 3 2 2 2 3 3" xfId="23760" xr:uid="{00000000-0005-0000-0000-00001B7F0000}"/>
    <cellStyle name="Note 3 3 2 2 2 3 3 2" xfId="30491" xr:uid="{00000000-0005-0000-0000-00001C7F0000}"/>
    <cellStyle name="Note 3 3 2 2 2 3 4" xfId="22602" xr:uid="{00000000-0005-0000-0000-00001D7F0000}"/>
    <cellStyle name="Note 3 3 2 2 2 4" xfId="27854" xr:uid="{00000000-0005-0000-0000-00001E7F0000}"/>
    <cellStyle name="Note 3 3 2 2 2 4 2" xfId="20617" xr:uid="{00000000-0005-0000-0000-00001F7F0000}"/>
    <cellStyle name="Note 3 3 2 2 2 4 2 2" xfId="32162" xr:uid="{00000000-0005-0000-0000-0000207F0000}"/>
    <cellStyle name="Note 3 3 2 2 2 4 3" xfId="28553" xr:uid="{00000000-0005-0000-0000-0000217F0000}"/>
    <cellStyle name="Note 3 3 2 2 2 5" xfId="27860" xr:uid="{00000000-0005-0000-0000-0000227F0000}"/>
    <cellStyle name="Note 3 3 2 2 2 5 2" xfId="19311" xr:uid="{00000000-0005-0000-0000-0000237F0000}"/>
    <cellStyle name="Note 3 3 2 2 2 6" xfId="27982" xr:uid="{00000000-0005-0000-0000-0000247F0000}"/>
    <cellStyle name="Note 3 3 2 2 3" xfId="30748" xr:uid="{00000000-0005-0000-0000-0000257F0000}"/>
    <cellStyle name="Note 3 3 2 2 3 2" xfId="26669" xr:uid="{00000000-0005-0000-0000-0000267F0000}"/>
    <cellStyle name="Note 3 3 2 2 3 2 2" xfId="31626" xr:uid="{00000000-0005-0000-0000-0000277F0000}"/>
    <cellStyle name="Note 3 3 2 2 3 2 2 2" xfId="20303" xr:uid="{00000000-0005-0000-0000-0000287F0000}"/>
    <cellStyle name="Note 3 3 2 2 3 2 2 2 2" xfId="3925" xr:uid="{00000000-0005-0000-0000-0000297F0000}"/>
    <cellStyle name="Note 3 3 2 2 3 2 2 3" xfId="27890" xr:uid="{00000000-0005-0000-0000-00002A7F0000}"/>
    <cellStyle name="Note 3 3 2 2 3 2 3" xfId="30154" xr:uid="{00000000-0005-0000-0000-00002B7F0000}"/>
    <cellStyle name="Note 3 3 2 2 3 2 3 2" xfId="30158" xr:uid="{00000000-0005-0000-0000-00002C7F0000}"/>
    <cellStyle name="Note 3 3 2 2 3 2 4" xfId="22805" xr:uid="{00000000-0005-0000-0000-00002D7F0000}"/>
    <cellStyle name="Note 3 3 2 2 3 3" xfId="19677" xr:uid="{00000000-0005-0000-0000-00002E7F0000}"/>
    <cellStyle name="Note 3 3 2 2 3 3 2" xfId="25608" xr:uid="{00000000-0005-0000-0000-00002F7F0000}"/>
    <cellStyle name="Note 3 3 2 2 3 3 2 2" xfId="13268" xr:uid="{00000000-0005-0000-0000-0000307F0000}"/>
    <cellStyle name="Note 3 3 2 2 3 3 3" xfId="28173" xr:uid="{00000000-0005-0000-0000-0000317F0000}"/>
    <cellStyle name="Note 3 3 2 2 3 4" xfId="19681" xr:uid="{00000000-0005-0000-0000-0000327F0000}"/>
    <cellStyle name="Note 3 3 2 2 3 4 2" xfId="31128" xr:uid="{00000000-0005-0000-0000-0000337F0000}"/>
    <cellStyle name="Note 3 3 2 2 3 5" xfId="22166" xr:uid="{00000000-0005-0000-0000-0000347F0000}"/>
    <cellStyle name="Note 3 3 2 2 4" xfId="31660" xr:uid="{00000000-0005-0000-0000-0000357F0000}"/>
    <cellStyle name="Note 3 3 2 2 4 2" xfId="30166" xr:uid="{00000000-0005-0000-0000-0000367F0000}"/>
    <cellStyle name="Note 3 3 2 2 4 2 2" xfId="6780" xr:uid="{00000000-0005-0000-0000-0000377F0000}"/>
    <cellStyle name="Note 3 3 2 2 4 2 2 2" xfId="30176" xr:uid="{00000000-0005-0000-0000-0000387F0000}"/>
    <cellStyle name="Note 3 3 2 2 4 2 3" xfId="21316" xr:uid="{00000000-0005-0000-0000-0000397F0000}"/>
    <cellStyle name="Note 3 3 2 2 4 3" xfId="14698" xr:uid="{00000000-0005-0000-0000-00003A7F0000}"/>
    <cellStyle name="Note 3 3 2 2 4 3 2" xfId="30171" xr:uid="{00000000-0005-0000-0000-00003B7F0000}"/>
    <cellStyle name="Note 3 3 2 2 4 4" xfId="29953" xr:uid="{00000000-0005-0000-0000-00003C7F0000}"/>
    <cellStyle name="Note 3 3 2 2 5" xfId="29831" xr:uid="{00000000-0005-0000-0000-00003D7F0000}"/>
    <cellStyle name="Note 3 3 2 2 5 2" xfId="30197" xr:uid="{00000000-0005-0000-0000-00003E7F0000}"/>
    <cellStyle name="Note 3 3 2 2 5 2 2" xfId="30202" xr:uid="{00000000-0005-0000-0000-00003F7F0000}"/>
    <cellStyle name="Note 3 3 2 2 5 3" xfId="31898" xr:uid="{00000000-0005-0000-0000-0000407F0000}"/>
    <cellStyle name="Note 3 3 2 2 6" xfId="33058" xr:uid="{00000000-0005-0000-0000-0000417F0000}"/>
    <cellStyle name="Note 3 3 2 2 6 2" xfId="30213" xr:uid="{00000000-0005-0000-0000-0000427F0000}"/>
    <cellStyle name="Note 3 3 2 2 7" xfId="33059" xr:uid="{00000000-0005-0000-0000-0000437F0000}"/>
    <cellStyle name="Note 3 3 2 3" xfId="32929" xr:uid="{00000000-0005-0000-0000-0000447F0000}"/>
    <cellStyle name="Note 3 3 2 3 2" xfId="32077" xr:uid="{00000000-0005-0000-0000-0000457F0000}"/>
    <cellStyle name="Note 3 3 2 3 2 2" xfId="32656" xr:uid="{00000000-0005-0000-0000-0000467F0000}"/>
    <cellStyle name="Note 3 3 2 3 2 2 2" xfId="33071" xr:uid="{00000000-0005-0000-0000-0000477F0000}"/>
    <cellStyle name="Note 3 3 2 3 2 2 2 2" xfId="33072" xr:uid="{00000000-0005-0000-0000-0000487F0000}"/>
    <cellStyle name="Note 3 3 2 3 2 2 2 2 2" xfId="29053" xr:uid="{00000000-0005-0000-0000-0000497F0000}"/>
    <cellStyle name="Note 3 3 2 3 2 2 2 3" xfId="32541" xr:uid="{00000000-0005-0000-0000-00004A7F0000}"/>
    <cellStyle name="Note 3 3 2 3 2 2 3" xfId="33073" xr:uid="{00000000-0005-0000-0000-00004B7F0000}"/>
    <cellStyle name="Note 3 3 2 3 2 2 3 2" xfId="33074" xr:uid="{00000000-0005-0000-0000-00004C7F0000}"/>
    <cellStyle name="Note 3 3 2 3 2 2 4" xfId="32215" xr:uid="{00000000-0005-0000-0000-00004D7F0000}"/>
    <cellStyle name="Note 3 3 2 3 2 3" xfId="27882" xr:uid="{00000000-0005-0000-0000-00004E7F0000}"/>
    <cellStyle name="Note 3 3 2 3 2 3 2" xfId="25617" xr:uid="{00000000-0005-0000-0000-00004F7F0000}"/>
    <cellStyle name="Note 3 3 2 3 2 3 2 2" xfId="33076" xr:uid="{00000000-0005-0000-0000-0000507F0000}"/>
    <cellStyle name="Note 3 3 2 3 2 3 3" xfId="33078" xr:uid="{00000000-0005-0000-0000-0000517F0000}"/>
    <cellStyle name="Note 3 3 2 3 2 4" xfId="19299" xr:uid="{00000000-0005-0000-0000-0000527F0000}"/>
    <cellStyle name="Note 3 3 2 3 2 4 2" xfId="32905" xr:uid="{00000000-0005-0000-0000-0000537F0000}"/>
    <cellStyle name="Note 3 3 2 3 2 5" xfId="26414" xr:uid="{00000000-0005-0000-0000-0000547F0000}"/>
    <cellStyle name="Note 3 3 2 3 3" xfId="26673" xr:uid="{00000000-0005-0000-0000-0000557F0000}"/>
    <cellStyle name="Note 3 3 2 3 3 2" xfId="19614" xr:uid="{00000000-0005-0000-0000-0000567F0000}"/>
    <cellStyle name="Note 3 3 2 3 3 2 2" xfId="26927" xr:uid="{00000000-0005-0000-0000-0000577F0000}"/>
    <cellStyle name="Note 3 3 2 3 3 2 2 2" xfId="30246" xr:uid="{00000000-0005-0000-0000-0000587F0000}"/>
    <cellStyle name="Note 3 3 2 3 3 2 3" xfId="26931" xr:uid="{00000000-0005-0000-0000-0000597F0000}"/>
    <cellStyle name="Note 3 3 2 3 3 3" xfId="27898" xr:uid="{00000000-0005-0000-0000-00005A7F0000}"/>
    <cellStyle name="Note 3 3 2 3 3 3 2" xfId="26936" xr:uid="{00000000-0005-0000-0000-00005B7F0000}"/>
    <cellStyle name="Note 3 3 2 3 3 4" xfId="30251" xr:uid="{00000000-0005-0000-0000-00005C7F0000}"/>
    <cellStyle name="Note 3 3 2 3 4" xfId="32579" xr:uid="{00000000-0005-0000-0000-00005D7F0000}"/>
    <cellStyle name="Note 3 3 2 3 4 2" xfId="29618" xr:uid="{00000000-0005-0000-0000-00005E7F0000}"/>
    <cellStyle name="Note 3 3 2 3 4 2 2" xfId="28691" xr:uid="{00000000-0005-0000-0000-00005F7F0000}"/>
    <cellStyle name="Note 3 3 2 3 4 3" xfId="31931" xr:uid="{00000000-0005-0000-0000-0000607F0000}"/>
    <cellStyle name="Note 3 3 2 3 5" xfId="33002" xr:uid="{00000000-0005-0000-0000-0000617F0000}"/>
    <cellStyle name="Note 3 3 2 3 5 2" xfId="30269" xr:uid="{00000000-0005-0000-0000-0000627F0000}"/>
    <cellStyle name="Note 3 3 2 3 6" xfId="32844" xr:uid="{00000000-0005-0000-0000-0000637F0000}"/>
    <cellStyle name="Note 3 3 2 4" xfId="29139" xr:uid="{00000000-0005-0000-0000-0000647F0000}"/>
    <cellStyle name="Note 3 3 2 4 2" xfId="9021" xr:uid="{00000000-0005-0000-0000-0000657F0000}"/>
    <cellStyle name="Note 3 3 2 4 2 2" xfId="26212" xr:uid="{00000000-0005-0000-0000-0000667F0000}"/>
    <cellStyle name="Note 3 3 2 4 2 2 2" xfId="19811" xr:uid="{00000000-0005-0000-0000-0000677F0000}"/>
    <cellStyle name="Note 3 3 2 4 2 2 2 2" xfId="32133" xr:uid="{00000000-0005-0000-0000-0000687F0000}"/>
    <cellStyle name="Note 3 3 2 4 2 2 3" xfId="32582" xr:uid="{00000000-0005-0000-0000-0000697F0000}"/>
    <cellStyle name="Note 3 3 2 4 2 3" xfId="27621" xr:uid="{00000000-0005-0000-0000-00006A7F0000}"/>
    <cellStyle name="Note 3 3 2 4 2 3 2" xfId="29803" xr:uid="{00000000-0005-0000-0000-00006B7F0000}"/>
    <cellStyle name="Note 3 3 2 4 2 4" xfId="32802" xr:uid="{00000000-0005-0000-0000-00006C7F0000}"/>
    <cellStyle name="Note 3 3 2 4 3" xfId="3082" xr:uid="{00000000-0005-0000-0000-00006D7F0000}"/>
    <cellStyle name="Note 3 3 2 4 3 2" xfId="4576" xr:uid="{00000000-0005-0000-0000-00006E7F0000}"/>
    <cellStyle name="Note 3 3 2 4 3 2 2" xfId="19381" xr:uid="{00000000-0005-0000-0000-00006F7F0000}"/>
    <cellStyle name="Note 3 3 2 4 3 3" xfId="30282" xr:uid="{00000000-0005-0000-0000-0000707F0000}"/>
    <cellStyle name="Note 3 3 2 4 4" xfId="30965" xr:uid="{00000000-0005-0000-0000-0000717F0000}"/>
    <cellStyle name="Note 3 3 2 4 4 2" xfId="31182" xr:uid="{00000000-0005-0000-0000-0000727F0000}"/>
    <cellStyle name="Note 3 3 2 4 5" xfId="32453" xr:uid="{00000000-0005-0000-0000-0000737F0000}"/>
    <cellStyle name="Note 3 3 2 5" xfId="26298" xr:uid="{00000000-0005-0000-0000-0000747F0000}"/>
    <cellStyle name="Note 3 3 2 5 2" xfId="28343" xr:uid="{00000000-0005-0000-0000-0000757F0000}"/>
    <cellStyle name="Note 3 3 2 5 2 2" xfId="29817" xr:uid="{00000000-0005-0000-0000-0000767F0000}"/>
    <cellStyle name="Note 3 3 2 5 2 2 2" xfId="14264" xr:uid="{00000000-0005-0000-0000-0000777F0000}"/>
    <cellStyle name="Note 3 3 2 5 2 3" xfId="25481" xr:uid="{00000000-0005-0000-0000-0000787F0000}"/>
    <cellStyle name="Note 3 3 2 5 3" xfId="29412" xr:uid="{00000000-0005-0000-0000-0000797F0000}"/>
    <cellStyle name="Note 3 3 2 5 3 2" xfId="26206" xr:uid="{00000000-0005-0000-0000-00007A7F0000}"/>
    <cellStyle name="Note 3 3 2 5 4" xfId="11786" xr:uid="{00000000-0005-0000-0000-00007B7F0000}"/>
    <cellStyle name="Note 3 3 2 6" xfId="22413" xr:uid="{00000000-0005-0000-0000-00007C7F0000}"/>
    <cellStyle name="Note 3 3 2 6 2" xfId="34033" xr:uid="{00000000-0005-0000-0000-00007D7F0000}"/>
    <cellStyle name="Note 3 3 2 6 2 2" xfId="29073" xr:uid="{00000000-0005-0000-0000-00007E7F0000}"/>
    <cellStyle name="Note 3 3 2 6 3" xfId="33651" xr:uid="{00000000-0005-0000-0000-00007F7F0000}"/>
    <cellStyle name="Note 3 3 2 7" xfId="22422" xr:uid="{00000000-0005-0000-0000-0000807F0000}"/>
    <cellStyle name="Note 3 3 2 7 2" xfId="33108" xr:uid="{00000000-0005-0000-0000-0000817F0000}"/>
    <cellStyle name="Note 3 3 2 8" xfId="14692" xr:uid="{00000000-0005-0000-0000-0000827F0000}"/>
    <cellStyle name="Note 3 3 3" xfId="30942" xr:uid="{00000000-0005-0000-0000-0000837F0000}"/>
    <cellStyle name="Note 3 3 3 2" xfId="32879" xr:uid="{00000000-0005-0000-0000-0000847F0000}"/>
    <cellStyle name="Note 3 3 3 2 2" xfId="30865" xr:uid="{00000000-0005-0000-0000-0000857F0000}"/>
    <cellStyle name="Note 3 3 3 2 2 2" xfId="30871" xr:uid="{00000000-0005-0000-0000-0000867F0000}"/>
    <cellStyle name="Note 3 3 3 2 2 2 2" xfId="30477" xr:uid="{00000000-0005-0000-0000-0000877F0000}"/>
    <cellStyle name="Note 3 3 3 2 2 2 2 2" xfId="30763" xr:uid="{00000000-0005-0000-0000-0000887F0000}"/>
    <cellStyle name="Note 3 3 3 2 2 2 2 2 2" xfId="28594" xr:uid="{00000000-0005-0000-0000-0000897F0000}"/>
    <cellStyle name="Note 3 3 3 2 2 2 2 3" xfId="28401" xr:uid="{00000000-0005-0000-0000-00008A7F0000}"/>
    <cellStyle name="Note 3 3 3 2 2 2 3" xfId="26150" xr:uid="{00000000-0005-0000-0000-00008B7F0000}"/>
    <cellStyle name="Note 3 3 3 2 2 2 3 2" xfId="16962" xr:uid="{00000000-0005-0000-0000-00008C7F0000}"/>
    <cellStyle name="Note 3 3 3 2 2 2 4" xfId="1205" xr:uid="{00000000-0005-0000-0000-00008D7F0000}"/>
    <cellStyle name="Note 3 3 3 2 2 3" xfId="4121" xr:uid="{00000000-0005-0000-0000-00008E7F0000}"/>
    <cellStyle name="Note 3 3 3 2 2 3 2" xfId="27100" xr:uid="{00000000-0005-0000-0000-00008F7F0000}"/>
    <cellStyle name="Note 3 3 3 2 2 3 2 2" xfId="33120" xr:uid="{00000000-0005-0000-0000-0000907F0000}"/>
    <cellStyle name="Note 3 3 3 2 2 3 3" xfId="28069" xr:uid="{00000000-0005-0000-0000-0000917F0000}"/>
    <cellStyle name="Note 3 3 3 2 2 4" xfId="4124" xr:uid="{00000000-0005-0000-0000-0000927F0000}"/>
    <cellStyle name="Note 3 3 3 2 2 4 2" xfId="28806" xr:uid="{00000000-0005-0000-0000-0000937F0000}"/>
    <cellStyle name="Note 3 3 3 2 2 5" xfId="900" xr:uid="{00000000-0005-0000-0000-0000947F0000}"/>
    <cellStyle name="Note 3 3 3 2 3" xfId="30874" xr:uid="{00000000-0005-0000-0000-0000957F0000}"/>
    <cellStyle name="Note 3 3 3 2 3 2" xfId="21101" xr:uid="{00000000-0005-0000-0000-0000967F0000}"/>
    <cellStyle name="Note 3 3 3 2 3 2 2" xfId="29476" xr:uid="{00000000-0005-0000-0000-0000977F0000}"/>
    <cellStyle name="Note 3 3 3 2 3 2 2 2" xfId="25453" xr:uid="{00000000-0005-0000-0000-0000987F0000}"/>
    <cellStyle name="Note 3 3 3 2 3 2 3" xfId="24300" xr:uid="{00000000-0005-0000-0000-0000997F0000}"/>
    <cellStyle name="Note 3 3 3 2 3 3" xfId="4133" xr:uid="{00000000-0005-0000-0000-00009A7F0000}"/>
    <cellStyle name="Note 3 3 3 2 3 3 2" xfId="30302" xr:uid="{00000000-0005-0000-0000-00009B7F0000}"/>
    <cellStyle name="Note 3 3 3 2 3 4" xfId="20305" xr:uid="{00000000-0005-0000-0000-00009C7F0000}"/>
    <cellStyle name="Note 3 3 3 2 4" xfId="28310" xr:uid="{00000000-0005-0000-0000-00009D7F0000}"/>
    <cellStyle name="Note 3 3 3 2 4 2" xfId="18953" xr:uid="{00000000-0005-0000-0000-00009E7F0000}"/>
    <cellStyle name="Note 3 3 3 2 4 2 2" xfId="30325" xr:uid="{00000000-0005-0000-0000-00009F7F0000}"/>
    <cellStyle name="Note 3 3 3 2 4 3" xfId="30217" xr:uid="{00000000-0005-0000-0000-0000A07F0000}"/>
    <cellStyle name="Note 3 3 3 2 5" xfId="29492" xr:uid="{00000000-0005-0000-0000-0000A17F0000}"/>
    <cellStyle name="Note 3 3 3 2 5 2" xfId="30305" xr:uid="{00000000-0005-0000-0000-0000A27F0000}"/>
    <cellStyle name="Note 3 3 3 2 6" xfId="21480" xr:uid="{00000000-0005-0000-0000-0000A37F0000}"/>
    <cellStyle name="Note 3 3 3 3" xfId="32943" xr:uid="{00000000-0005-0000-0000-0000A47F0000}"/>
    <cellStyle name="Note 3 3 3 3 2" xfId="24687" xr:uid="{00000000-0005-0000-0000-0000A57F0000}"/>
    <cellStyle name="Note 3 3 3 3 2 2" xfId="26123" xr:uid="{00000000-0005-0000-0000-0000A67F0000}"/>
    <cellStyle name="Note 3 3 3 3 2 2 2" xfId="30912" xr:uid="{00000000-0005-0000-0000-0000A77F0000}"/>
    <cellStyle name="Note 3 3 3 3 2 2 2 2" xfId="31722" xr:uid="{00000000-0005-0000-0000-0000A87F0000}"/>
    <cellStyle name="Note 3 3 3 3 2 2 3" xfId="34029" xr:uid="{00000000-0005-0000-0000-0000A97F0000}"/>
    <cellStyle name="Note 3 3 3 3 2 3" xfId="4153" xr:uid="{00000000-0005-0000-0000-0000AA7F0000}"/>
    <cellStyle name="Note 3 3 3 3 2 3 2" xfId="33018" xr:uid="{00000000-0005-0000-0000-0000AB7F0000}"/>
    <cellStyle name="Note 3 3 3 3 2 4" xfId="31935" xr:uid="{00000000-0005-0000-0000-0000AC7F0000}"/>
    <cellStyle name="Note 3 3 3 3 3" xfId="23140" xr:uid="{00000000-0005-0000-0000-0000AD7F0000}"/>
    <cellStyle name="Note 3 3 3 3 3 2" xfId="29500" xr:uid="{00000000-0005-0000-0000-0000AE7F0000}"/>
    <cellStyle name="Note 3 3 3 3 3 2 2" xfId="20517" xr:uid="{00000000-0005-0000-0000-0000AF7F0000}"/>
    <cellStyle name="Note 3 3 3 3 3 3" xfId="24965" xr:uid="{00000000-0005-0000-0000-0000B07F0000}"/>
    <cellStyle name="Note 3 3 3 3 4" xfId="27584" xr:uid="{00000000-0005-0000-0000-0000B17F0000}"/>
    <cellStyle name="Note 3 3 3 3 4 2" xfId="29647" xr:uid="{00000000-0005-0000-0000-0000B27F0000}"/>
    <cellStyle name="Note 3 3 3 3 5" xfId="32129" xr:uid="{00000000-0005-0000-0000-0000B37F0000}"/>
    <cellStyle name="Note 3 3 3 4" xfId="28788" xr:uid="{00000000-0005-0000-0000-0000B47F0000}"/>
    <cellStyle name="Note 3 3 3 4 2" xfId="24310" xr:uid="{00000000-0005-0000-0000-0000B57F0000}"/>
    <cellStyle name="Note 3 3 3 4 2 2" xfId="537" xr:uid="{00000000-0005-0000-0000-0000B67F0000}"/>
    <cellStyle name="Note 3 3 3 4 2 2 2" xfId="10892" xr:uid="{00000000-0005-0000-0000-0000B77F0000}"/>
    <cellStyle name="Note 3 3 3 4 2 3" xfId="31946" xr:uid="{00000000-0005-0000-0000-0000B87F0000}"/>
    <cellStyle name="Note 3 3 3 4 3" xfId="20177" xr:uid="{00000000-0005-0000-0000-0000B97F0000}"/>
    <cellStyle name="Note 3 3 3 4 3 2" xfId="30526" xr:uid="{00000000-0005-0000-0000-0000BA7F0000}"/>
    <cellStyle name="Note 3 3 3 4 4" xfId="24390" xr:uid="{00000000-0005-0000-0000-0000BB7F0000}"/>
    <cellStyle name="Note 3 3 3 5" xfId="33788" xr:uid="{00000000-0005-0000-0000-0000BC7F0000}"/>
    <cellStyle name="Note 3 3 3 5 2" xfId="33795" xr:uid="{00000000-0005-0000-0000-0000BD7F0000}"/>
    <cellStyle name="Note 3 3 3 5 2 2" xfId="18932" xr:uid="{00000000-0005-0000-0000-0000BE7F0000}"/>
    <cellStyle name="Note 3 3 3 5 3" xfId="27142" xr:uid="{00000000-0005-0000-0000-0000BF7F0000}"/>
    <cellStyle name="Note 3 3 3 6" xfId="22424" xr:uid="{00000000-0005-0000-0000-0000C07F0000}"/>
    <cellStyle name="Note 3 3 3 6 2" xfId="20525" xr:uid="{00000000-0005-0000-0000-0000C17F0000}"/>
    <cellStyle name="Note 3 3 3 7" xfId="33739" xr:uid="{00000000-0005-0000-0000-0000C27F0000}"/>
    <cellStyle name="Note 3 3 4" xfId="34031" xr:uid="{00000000-0005-0000-0000-0000C37F0000}"/>
    <cellStyle name="Note 3 3 4 2" xfId="33202" xr:uid="{00000000-0005-0000-0000-0000C47F0000}"/>
    <cellStyle name="Note 3 3 4 2 2" xfId="32024" xr:uid="{00000000-0005-0000-0000-0000C57F0000}"/>
    <cellStyle name="Note 3 3 4 2 2 2" xfId="20504" xr:uid="{00000000-0005-0000-0000-0000C67F0000}"/>
    <cellStyle name="Note 3 3 4 2 2 2 2" xfId="22732" xr:uid="{00000000-0005-0000-0000-0000C77F0000}"/>
    <cellStyle name="Note 3 3 4 2 2 2 2 2" xfId="32345" xr:uid="{00000000-0005-0000-0000-0000C87F0000}"/>
    <cellStyle name="Note 3 3 4 2 2 2 3" xfId="22736" xr:uid="{00000000-0005-0000-0000-0000C97F0000}"/>
    <cellStyle name="Note 3 3 4 2 2 3" xfId="3263" xr:uid="{00000000-0005-0000-0000-0000CA7F0000}"/>
    <cellStyle name="Note 3 3 4 2 2 3 2" xfId="7914" xr:uid="{00000000-0005-0000-0000-0000CB7F0000}"/>
    <cellStyle name="Note 3 3 4 2 2 4" xfId="20664" xr:uid="{00000000-0005-0000-0000-0000CC7F0000}"/>
    <cellStyle name="Note 3 3 4 2 3" xfId="32036" xr:uid="{00000000-0005-0000-0000-0000CD7F0000}"/>
    <cellStyle name="Note 3 3 4 2 3 2" xfId="24234" xr:uid="{00000000-0005-0000-0000-0000CE7F0000}"/>
    <cellStyle name="Note 3 3 4 2 3 2 2" xfId="28000" xr:uid="{00000000-0005-0000-0000-0000CF7F0000}"/>
    <cellStyle name="Note 3 3 4 2 3 3" xfId="30348" xr:uid="{00000000-0005-0000-0000-0000D07F0000}"/>
    <cellStyle name="Note 3 3 4 2 4" xfId="29537" xr:uid="{00000000-0005-0000-0000-0000D17F0000}"/>
    <cellStyle name="Note 3 3 4 2 4 2" xfId="14475" xr:uid="{00000000-0005-0000-0000-0000D27F0000}"/>
    <cellStyle name="Note 3 3 4 2 5" xfId="32678" xr:uid="{00000000-0005-0000-0000-0000D37F0000}"/>
    <cellStyle name="Note 3 3 4 3" xfId="33124" xr:uid="{00000000-0005-0000-0000-0000D47F0000}"/>
    <cellStyle name="Note 3 3 4 3 2" xfId="19499" xr:uid="{00000000-0005-0000-0000-0000D57F0000}"/>
    <cellStyle name="Note 3 3 4 3 2 2" xfId="6466" xr:uid="{00000000-0005-0000-0000-0000D67F0000}"/>
    <cellStyle name="Note 3 3 4 3 2 2 2" xfId="31240" xr:uid="{00000000-0005-0000-0000-0000D77F0000}"/>
    <cellStyle name="Note 3 3 4 3 2 3" xfId="20859" xr:uid="{00000000-0005-0000-0000-0000D87F0000}"/>
    <cellStyle name="Note 3 3 4 3 3" xfId="20618" xr:uid="{00000000-0005-0000-0000-0000D97F0000}"/>
    <cellStyle name="Note 3 3 4 3 3 2" xfId="30358" xr:uid="{00000000-0005-0000-0000-0000DA7F0000}"/>
    <cellStyle name="Note 3 3 4 3 4" xfId="27649" xr:uid="{00000000-0005-0000-0000-0000DB7F0000}"/>
    <cellStyle name="Note 3 3 4 4" xfId="32807" xr:uid="{00000000-0005-0000-0000-0000DC7F0000}"/>
    <cellStyle name="Note 3 3 4 4 2" xfId="32257" xr:uid="{00000000-0005-0000-0000-0000DD7F0000}"/>
    <cellStyle name="Note 3 3 4 4 2 2" xfId="19128" xr:uid="{00000000-0005-0000-0000-0000DE7F0000}"/>
    <cellStyle name="Note 3 3 4 4 3" xfId="31282" xr:uid="{00000000-0005-0000-0000-0000DF7F0000}"/>
    <cellStyle name="Note 3 3 4 5" xfId="21959" xr:uid="{00000000-0005-0000-0000-0000E07F0000}"/>
    <cellStyle name="Note 3 3 4 5 2" xfId="27502" xr:uid="{00000000-0005-0000-0000-0000E17F0000}"/>
    <cellStyle name="Note 3 3 4 6" xfId="31306" xr:uid="{00000000-0005-0000-0000-0000E27F0000}"/>
    <cellStyle name="Note 3 3 5" xfId="32830" xr:uid="{00000000-0005-0000-0000-0000E37F0000}"/>
    <cellStyle name="Note 3 3 5 2" xfId="33549" xr:uid="{00000000-0005-0000-0000-0000E47F0000}"/>
    <cellStyle name="Note 3 3 5 2 2" xfId="30956" xr:uid="{00000000-0005-0000-0000-0000E57F0000}"/>
    <cellStyle name="Note 3 3 5 2 2 2" xfId="21389" xr:uid="{00000000-0005-0000-0000-0000E67F0000}"/>
    <cellStyle name="Note 3 3 5 2 2 2 2" xfId="19180" xr:uid="{00000000-0005-0000-0000-0000E77F0000}"/>
    <cellStyle name="Note 3 3 5 2 2 3" xfId="21282" xr:uid="{00000000-0005-0000-0000-0000E87F0000}"/>
    <cellStyle name="Note 3 3 5 2 3" xfId="14610" xr:uid="{00000000-0005-0000-0000-0000E97F0000}"/>
    <cellStyle name="Note 3 3 5 2 3 2" xfId="31090" xr:uid="{00000000-0005-0000-0000-0000EA7F0000}"/>
    <cellStyle name="Note 3 3 5 2 4" xfId="24498" xr:uid="{00000000-0005-0000-0000-0000EB7F0000}"/>
    <cellStyle name="Note 3 3 5 3" xfId="24998" xr:uid="{00000000-0005-0000-0000-0000EC7F0000}"/>
    <cellStyle name="Note 3 3 5 3 2" xfId="32272" xr:uid="{00000000-0005-0000-0000-0000ED7F0000}"/>
    <cellStyle name="Note 3 3 5 3 2 2" xfId="27514" xr:uid="{00000000-0005-0000-0000-0000EE7F0000}"/>
    <cellStyle name="Note 3 3 5 3 3" xfId="32793" xr:uid="{00000000-0005-0000-0000-0000EF7F0000}"/>
    <cellStyle name="Note 3 3 5 4" xfId="31284" xr:uid="{00000000-0005-0000-0000-0000F07F0000}"/>
    <cellStyle name="Note 3 3 5 4 2" xfId="32897" xr:uid="{00000000-0005-0000-0000-0000F17F0000}"/>
    <cellStyle name="Note 3 3 5 5" xfId="24363" xr:uid="{00000000-0005-0000-0000-0000F27F0000}"/>
    <cellStyle name="Note 3 3 6" xfId="16786" xr:uid="{00000000-0005-0000-0000-0000F37F0000}"/>
    <cellStyle name="Note 3 3 6 2" xfId="32153" xr:uid="{00000000-0005-0000-0000-0000F47F0000}"/>
    <cellStyle name="Note 3 3 6 2 2" xfId="32093" xr:uid="{00000000-0005-0000-0000-0000F57F0000}"/>
    <cellStyle name="Note 3 3 6 2 2 2" xfId="25037" xr:uid="{00000000-0005-0000-0000-0000F67F0000}"/>
    <cellStyle name="Note 3 3 6 2 3" xfId="33175" xr:uid="{00000000-0005-0000-0000-0000F77F0000}"/>
    <cellStyle name="Note 3 3 6 3" xfId="33464" xr:uid="{00000000-0005-0000-0000-0000F87F0000}"/>
    <cellStyle name="Note 3 3 6 3 2" xfId="31207" xr:uid="{00000000-0005-0000-0000-0000F97F0000}"/>
    <cellStyle name="Note 3 3 6 4" xfId="31279" xr:uid="{00000000-0005-0000-0000-0000FA7F0000}"/>
    <cellStyle name="Note 3 3 7" xfId="19801" xr:uid="{00000000-0005-0000-0000-0000FB7F0000}"/>
    <cellStyle name="Note 3 3 7 2" xfId="33468" xr:uid="{00000000-0005-0000-0000-0000FC7F0000}"/>
    <cellStyle name="Note 3 3 7 2 2" xfId="9116" xr:uid="{00000000-0005-0000-0000-0000FD7F0000}"/>
    <cellStyle name="Note 3 3 7 3" xfId="31363" xr:uid="{00000000-0005-0000-0000-0000FE7F0000}"/>
    <cellStyle name="Note 3 3 8" xfId="32562" xr:uid="{00000000-0005-0000-0000-0000FF7F0000}"/>
    <cellStyle name="Note 3 3 8 2" xfId="33180" xr:uid="{00000000-0005-0000-0000-000000800000}"/>
    <cellStyle name="Note 3 3 9" xfId="7630" xr:uid="{00000000-0005-0000-0000-000001800000}"/>
    <cellStyle name="Note 3 4" xfId="1765" xr:uid="{00000000-0005-0000-0000-000002800000}"/>
    <cellStyle name="Note 3 4 2" xfId="6409" xr:uid="{00000000-0005-0000-0000-000003800000}"/>
    <cellStyle name="Note 3 4 2 2" xfId="5972" xr:uid="{00000000-0005-0000-0000-000004800000}"/>
    <cellStyle name="Note 3 4 2 2 2" xfId="6412" xr:uid="{00000000-0005-0000-0000-000005800000}"/>
    <cellStyle name="Note 3 4 2 2 2 2" xfId="22021" xr:uid="{00000000-0005-0000-0000-000006800000}"/>
    <cellStyle name="Note 3 4 2 2 2 2 2" xfId="5069" xr:uid="{00000000-0005-0000-0000-000007800000}"/>
    <cellStyle name="Note 3 4 2 2 2 2 2 2" xfId="33186" xr:uid="{00000000-0005-0000-0000-000008800000}"/>
    <cellStyle name="Note 3 4 2 2 2 2 2 2 2" xfId="21675" xr:uid="{00000000-0005-0000-0000-000009800000}"/>
    <cellStyle name="Note 3 4 2 2 2 2 2 3" xfId="31694" xr:uid="{00000000-0005-0000-0000-00000A800000}"/>
    <cellStyle name="Note 3 4 2 2 2 2 3" xfId="30258" xr:uid="{00000000-0005-0000-0000-00000B800000}"/>
    <cellStyle name="Note 3 4 2 2 2 2 3 2" xfId="32370" xr:uid="{00000000-0005-0000-0000-00000C800000}"/>
    <cellStyle name="Note 3 4 2 2 2 2 4" xfId="28312" xr:uid="{00000000-0005-0000-0000-00000D800000}"/>
    <cellStyle name="Note 3 4 2 2 2 3" xfId="22718" xr:uid="{00000000-0005-0000-0000-00000E800000}"/>
    <cellStyle name="Note 3 4 2 2 2 3 2" xfId="28375" xr:uid="{00000000-0005-0000-0000-00000F800000}"/>
    <cellStyle name="Note 3 4 2 2 2 3 2 2" xfId="33677" xr:uid="{00000000-0005-0000-0000-000010800000}"/>
    <cellStyle name="Note 3 4 2 2 2 3 3" xfId="30145" xr:uid="{00000000-0005-0000-0000-000011800000}"/>
    <cellStyle name="Note 3 4 2 2 2 4" xfId="28378" xr:uid="{00000000-0005-0000-0000-000012800000}"/>
    <cellStyle name="Note 3 4 2 2 2 4 2" xfId="33199" xr:uid="{00000000-0005-0000-0000-000013800000}"/>
    <cellStyle name="Note 3 4 2 2 2 5" xfId="14160" xr:uid="{00000000-0005-0000-0000-000014800000}"/>
    <cellStyle name="Note 3 4 2 2 3" xfId="33140" xr:uid="{00000000-0005-0000-0000-000015800000}"/>
    <cellStyle name="Note 3 4 2 2 3 2" xfId="33201" xr:uid="{00000000-0005-0000-0000-000016800000}"/>
    <cellStyle name="Note 3 4 2 2 3 2 2" xfId="9132" xr:uid="{00000000-0005-0000-0000-000017800000}"/>
    <cellStyle name="Note 3 4 2 2 3 2 2 2" xfId="25144" xr:uid="{00000000-0005-0000-0000-000018800000}"/>
    <cellStyle name="Note 3 4 2 2 3 2 3" xfId="9615" xr:uid="{00000000-0005-0000-0000-000019800000}"/>
    <cellStyle name="Note 3 4 2 2 3 3" xfId="28383" xr:uid="{00000000-0005-0000-0000-00001A800000}"/>
    <cellStyle name="Note 3 4 2 2 3 3 2" xfId="9640" xr:uid="{00000000-0005-0000-0000-00001B800000}"/>
    <cellStyle name="Note 3 4 2 2 3 4" xfId="33052" xr:uid="{00000000-0005-0000-0000-00001C800000}"/>
    <cellStyle name="Note 3 4 2 2 4" xfId="33206" xr:uid="{00000000-0005-0000-0000-00001D800000}"/>
    <cellStyle name="Note 3 4 2 2 4 2" xfId="26683" xr:uid="{00000000-0005-0000-0000-00001E800000}"/>
    <cellStyle name="Note 3 4 2 2 4 2 2" xfId="9924" xr:uid="{00000000-0005-0000-0000-00001F800000}"/>
    <cellStyle name="Note 3 4 2 2 4 3" xfId="33270" xr:uid="{00000000-0005-0000-0000-000020800000}"/>
    <cellStyle name="Note 3 4 2 2 5" xfId="26398" xr:uid="{00000000-0005-0000-0000-000021800000}"/>
    <cellStyle name="Note 3 4 2 2 5 2" xfId="26087" xr:uid="{00000000-0005-0000-0000-000022800000}"/>
    <cellStyle name="Note 3 4 2 2 6" xfId="32825" xr:uid="{00000000-0005-0000-0000-000023800000}"/>
    <cellStyle name="Note 3 4 2 3" xfId="6415" xr:uid="{00000000-0005-0000-0000-000024800000}"/>
    <cellStyle name="Note 3 4 2 3 2" xfId="9550" xr:uid="{00000000-0005-0000-0000-000025800000}"/>
    <cellStyle name="Note 3 4 2 3 2 2" xfId="22041" xr:uid="{00000000-0005-0000-0000-000026800000}"/>
    <cellStyle name="Note 3 4 2 3 2 2 2" xfId="24274" xr:uid="{00000000-0005-0000-0000-000027800000}"/>
    <cellStyle name="Note 3 4 2 3 2 2 2 2" xfId="33227" xr:uid="{00000000-0005-0000-0000-000028800000}"/>
    <cellStyle name="Note 3 4 2 3 2 2 3" xfId="29739" xr:uid="{00000000-0005-0000-0000-000029800000}"/>
    <cellStyle name="Note 3 4 2 3 2 3" xfId="25919" xr:uid="{00000000-0005-0000-0000-00002A800000}"/>
    <cellStyle name="Note 3 4 2 3 2 3 2" xfId="14293" xr:uid="{00000000-0005-0000-0000-00002B800000}"/>
    <cellStyle name="Note 3 4 2 3 2 4" xfId="11474" xr:uid="{00000000-0005-0000-0000-00002C800000}"/>
    <cellStyle name="Note 3 4 2 3 3" xfId="11397" xr:uid="{00000000-0005-0000-0000-00002D800000}"/>
    <cellStyle name="Note 3 4 2 3 3 2" xfId="29294" xr:uid="{00000000-0005-0000-0000-00002E800000}"/>
    <cellStyle name="Note 3 4 2 3 3 2 2" xfId="9776" xr:uid="{00000000-0005-0000-0000-00002F800000}"/>
    <cellStyle name="Note 3 4 2 3 3 3" xfId="28036" xr:uid="{00000000-0005-0000-0000-000030800000}"/>
    <cellStyle name="Note 3 4 2 3 4" xfId="31773" xr:uid="{00000000-0005-0000-0000-000031800000}"/>
    <cellStyle name="Note 3 4 2 3 4 2" xfId="28879" xr:uid="{00000000-0005-0000-0000-000032800000}"/>
    <cellStyle name="Note 3 4 2 3 5" xfId="33237" xr:uid="{00000000-0005-0000-0000-000033800000}"/>
    <cellStyle name="Note 3 4 2 4" xfId="28066" xr:uid="{00000000-0005-0000-0000-000034800000}"/>
    <cellStyle name="Note 3 4 2 4 2" xfId="19913" xr:uid="{00000000-0005-0000-0000-000035800000}"/>
    <cellStyle name="Note 3 4 2 4 2 2" xfId="33752" xr:uid="{00000000-0005-0000-0000-000036800000}"/>
    <cellStyle name="Note 3 4 2 4 2 2 2" xfId="11149" xr:uid="{00000000-0005-0000-0000-000037800000}"/>
    <cellStyle name="Note 3 4 2 4 2 3" xfId="29868" xr:uid="{00000000-0005-0000-0000-000038800000}"/>
    <cellStyle name="Note 3 4 2 4 3" xfId="19916" xr:uid="{00000000-0005-0000-0000-000039800000}"/>
    <cellStyle name="Note 3 4 2 4 3 2" xfId="27091" xr:uid="{00000000-0005-0000-0000-00003A800000}"/>
    <cellStyle name="Note 3 4 2 4 4" xfId="6254" xr:uid="{00000000-0005-0000-0000-00003B800000}"/>
    <cellStyle name="Note 3 4 2 5" xfId="30341" xr:uid="{00000000-0005-0000-0000-00003C800000}"/>
    <cellStyle name="Note 3 4 2 5 2" xfId="33846" xr:uid="{00000000-0005-0000-0000-00003D800000}"/>
    <cellStyle name="Note 3 4 2 5 2 2" xfId="29883" xr:uid="{00000000-0005-0000-0000-00003E800000}"/>
    <cellStyle name="Note 3 4 2 5 3" xfId="26645" xr:uid="{00000000-0005-0000-0000-00003F800000}"/>
    <cellStyle name="Note 3 4 2 6" xfId="22435" xr:uid="{00000000-0005-0000-0000-000040800000}"/>
    <cellStyle name="Note 3 4 2 6 2" xfId="33834" xr:uid="{00000000-0005-0000-0000-000041800000}"/>
    <cellStyle name="Note 3 4 2 7" xfId="30618" xr:uid="{00000000-0005-0000-0000-000042800000}"/>
    <cellStyle name="Note 3 4 3" xfId="6418" xr:uid="{00000000-0005-0000-0000-000043800000}"/>
    <cellStyle name="Note 3 4 3 2" xfId="6425" xr:uid="{00000000-0005-0000-0000-000044800000}"/>
    <cellStyle name="Note 3 4 3 2 2" xfId="33156" xr:uid="{00000000-0005-0000-0000-000045800000}"/>
    <cellStyle name="Note 3 4 3 2 2 2" xfId="25512" xr:uid="{00000000-0005-0000-0000-000046800000}"/>
    <cellStyle name="Note 3 4 3 2 2 2 2" xfId="21209" xr:uid="{00000000-0005-0000-0000-000047800000}"/>
    <cellStyle name="Note 3 4 3 2 2 2 2 2" xfId="23495" xr:uid="{00000000-0005-0000-0000-000048800000}"/>
    <cellStyle name="Note 3 4 3 2 2 2 3" xfId="33249" xr:uid="{00000000-0005-0000-0000-000049800000}"/>
    <cellStyle name="Note 3 4 3 2 2 3" xfId="4631" xr:uid="{00000000-0005-0000-0000-00004A800000}"/>
    <cellStyle name="Note 3 4 3 2 2 3 2" xfId="32808" xr:uid="{00000000-0005-0000-0000-00004B800000}"/>
    <cellStyle name="Note 3 4 3 2 2 4" xfId="33253" xr:uid="{00000000-0005-0000-0000-00004C800000}"/>
    <cellStyle name="Note 3 4 3 2 3" xfId="29609" xr:uid="{00000000-0005-0000-0000-00004D800000}"/>
    <cellStyle name="Note 3 4 3 2 3 2" xfId="26449" xr:uid="{00000000-0005-0000-0000-00004E800000}"/>
    <cellStyle name="Note 3 4 3 2 3 2 2" xfId="3954" xr:uid="{00000000-0005-0000-0000-00004F800000}"/>
    <cellStyle name="Note 3 4 3 2 3 3" xfId="33265" xr:uid="{00000000-0005-0000-0000-000050800000}"/>
    <cellStyle name="Note 3 4 3 2 4" xfId="26646" xr:uid="{00000000-0005-0000-0000-000051800000}"/>
    <cellStyle name="Note 3 4 3 2 4 2" xfId="23100" xr:uid="{00000000-0005-0000-0000-000052800000}"/>
    <cellStyle name="Note 3 4 3 2 5" xfId="32174" xr:uid="{00000000-0005-0000-0000-000053800000}"/>
    <cellStyle name="Note 3 4 3 3" xfId="33713" xr:uid="{00000000-0005-0000-0000-000054800000}"/>
    <cellStyle name="Note 3 4 3 3 2" xfId="12879" xr:uid="{00000000-0005-0000-0000-000055800000}"/>
    <cellStyle name="Note 3 4 3 3 2 2" xfId="24890" xr:uid="{00000000-0005-0000-0000-000056800000}"/>
    <cellStyle name="Note 3 4 3 3 2 2 2" xfId="19532" xr:uid="{00000000-0005-0000-0000-000057800000}"/>
    <cellStyle name="Note 3 4 3 3 2 3" xfId="33132" xr:uid="{00000000-0005-0000-0000-000058800000}"/>
    <cellStyle name="Note 3 4 3 3 3" xfId="22872" xr:uid="{00000000-0005-0000-0000-000059800000}"/>
    <cellStyle name="Note 3 4 3 3 3 2" xfId="30587" xr:uid="{00000000-0005-0000-0000-00005A800000}"/>
    <cellStyle name="Note 3 4 3 3 4" xfId="33285" xr:uid="{00000000-0005-0000-0000-00005B800000}"/>
    <cellStyle name="Note 3 4 3 4" xfId="33736" xr:uid="{00000000-0005-0000-0000-00005C800000}"/>
    <cellStyle name="Note 3 4 3 4 2" xfId="33244" xr:uid="{00000000-0005-0000-0000-00005D800000}"/>
    <cellStyle name="Note 3 4 3 4 2 2" xfId="19570" xr:uid="{00000000-0005-0000-0000-00005E800000}"/>
    <cellStyle name="Note 3 4 3 4 3" xfId="27275" xr:uid="{00000000-0005-0000-0000-00005F800000}"/>
    <cellStyle name="Note 3 4 3 5" xfId="21964" xr:uid="{00000000-0005-0000-0000-000060800000}"/>
    <cellStyle name="Note 3 4 3 5 2" xfId="26128" xr:uid="{00000000-0005-0000-0000-000061800000}"/>
    <cellStyle name="Note 3 4 3 6" xfId="32630" xr:uid="{00000000-0005-0000-0000-000062800000}"/>
    <cellStyle name="Note 3 4 4" xfId="6429" xr:uid="{00000000-0005-0000-0000-000063800000}"/>
    <cellStyle name="Note 3 4 4 2" xfId="33616" xr:uid="{00000000-0005-0000-0000-000064800000}"/>
    <cellStyle name="Note 3 4 4 2 2" xfId="32297" xr:uid="{00000000-0005-0000-0000-000065800000}"/>
    <cellStyle name="Note 3 4 4 2 2 2" xfId="30614" xr:uid="{00000000-0005-0000-0000-000066800000}"/>
    <cellStyle name="Note 3 4 4 2 2 2 2" xfId="28830" xr:uid="{00000000-0005-0000-0000-000067800000}"/>
    <cellStyle name="Note 3 4 4 2 2 3" xfId="7560" xr:uid="{00000000-0005-0000-0000-000068800000}"/>
    <cellStyle name="Note 3 4 4 2 3" xfId="30035" xr:uid="{00000000-0005-0000-0000-000069800000}"/>
    <cellStyle name="Note 3 4 4 2 3 2" xfId="31679" xr:uid="{00000000-0005-0000-0000-00006A800000}"/>
    <cellStyle name="Note 3 4 4 2 4" xfId="33584" xr:uid="{00000000-0005-0000-0000-00006B800000}"/>
    <cellStyle name="Note 3 4 4 3" xfId="32709" xr:uid="{00000000-0005-0000-0000-00006C800000}"/>
    <cellStyle name="Note 3 4 4 3 2" xfId="33320" xr:uid="{00000000-0005-0000-0000-00006D800000}"/>
    <cellStyle name="Note 3 4 4 3 2 2" xfId="25117" xr:uid="{00000000-0005-0000-0000-00006E800000}"/>
    <cellStyle name="Note 3 4 4 3 3" xfId="33526" xr:uid="{00000000-0005-0000-0000-00006F800000}"/>
    <cellStyle name="Note 3 4 4 4" xfId="32510" xr:uid="{00000000-0005-0000-0000-000070800000}"/>
    <cellStyle name="Note 3 4 4 4 2" xfId="31302" xr:uid="{00000000-0005-0000-0000-000071800000}"/>
    <cellStyle name="Note 3 4 4 5" xfId="31305" xr:uid="{00000000-0005-0000-0000-000072800000}"/>
    <cellStyle name="Note 3 4 5" xfId="33491" xr:uid="{00000000-0005-0000-0000-000073800000}"/>
    <cellStyle name="Note 3 4 5 2" xfId="20696" xr:uid="{00000000-0005-0000-0000-000074800000}"/>
    <cellStyle name="Note 3 4 5 2 2" xfId="22391" xr:uid="{00000000-0005-0000-0000-000075800000}"/>
    <cellStyle name="Note 3 4 5 2 2 2" xfId="21284" xr:uid="{00000000-0005-0000-0000-000076800000}"/>
    <cellStyle name="Note 3 4 5 2 3" xfId="33353" xr:uid="{00000000-0005-0000-0000-000077800000}"/>
    <cellStyle name="Note 3 4 5 3" xfId="33326" xr:uid="{00000000-0005-0000-0000-000078800000}"/>
    <cellStyle name="Note 3 4 5 3 2" xfId="33539" xr:uid="{00000000-0005-0000-0000-000079800000}"/>
    <cellStyle name="Note 3 4 5 4" xfId="31314" xr:uid="{00000000-0005-0000-0000-00007A800000}"/>
    <cellStyle name="Note 3 4 6" xfId="31744" xr:uid="{00000000-0005-0000-0000-00007B800000}"/>
    <cellStyle name="Note 3 4 6 2" xfId="33424" xr:uid="{00000000-0005-0000-0000-00007C800000}"/>
    <cellStyle name="Note 3 4 6 2 2" xfId="22140" xr:uid="{00000000-0005-0000-0000-00007D800000}"/>
    <cellStyle name="Note 3 4 6 3" xfId="31534" xr:uid="{00000000-0005-0000-0000-00007E800000}"/>
    <cellStyle name="Note 3 4 7" xfId="32945" xr:uid="{00000000-0005-0000-0000-00007F800000}"/>
    <cellStyle name="Note 3 4 7 2" xfId="33358" xr:uid="{00000000-0005-0000-0000-000080800000}"/>
    <cellStyle name="Note 3 4 8" xfId="28749" xr:uid="{00000000-0005-0000-0000-000081800000}"/>
    <cellStyle name="Note 3 5" xfId="6432" xr:uid="{00000000-0005-0000-0000-000082800000}"/>
    <cellStyle name="Note 3 5 2" xfId="6436" xr:uid="{00000000-0005-0000-0000-000083800000}"/>
    <cellStyle name="Note 3 5 2 2" xfId="19000" xr:uid="{00000000-0005-0000-0000-000084800000}"/>
    <cellStyle name="Note 3 5 2 2 2" xfId="21045" xr:uid="{00000000-0005-0000-0000-000085800000}"/>
    <cellStyle name="Note 3 5 2 2 2 2" xfId="33205" xr:uid="{00000000-0005-0000-0000-000086800000}"/>
    <cellStyle name="Note 3 5 2 2 2 2 2" xfId="32000" xr:uid="{00000000-0005-0000-0000-000087800000}"/>
    <cellStyle name="Note 3 5 2 2 2 2 2 2" xfId="8144" xr:uid="{00000000-0005-0000-0000-000088800000}"/>
    <cellStyle name="Note 3 5 2 2 2 2 3" xfId="27840" xr:uid="{00000000-0005-0000-0000-000089800000}"/>
    <cellStyle name="Note 3 5 2 2 2 3" xfId="31686" xr:uid="{00000000-0005-0000-0000-00008A800000}"/>
    <cellStyle name="Note 3 5 2 2 2 3 2" xfId="33298" xr:uid="{00000000-0005-0000-0000-00008B800000}"/>
    <cellStyle name="Note 3 5 2 2 2 4" xfId="30228" xr:uid="{00000000-0005-0000-0000-00008C800000}"/>
    <cellStyle name="Note 3 5 2 2 3" xfId="33338" xr:uid="{00000000-0005-0000-0000-00008D800000}"/>
    <cellStyle name="Note 3 5 2 2 3 2" xfId="28091" xr:uid="{00000000-0005-0000-0000-00008E800000}"/>
    <cellStyle name="Note 3 5 2 2 3 2 2" xfId="11518" xr:uid="{00000000-0005-0000-0000-00008F800000}"/>
    <cellStyle name="Note 3 5 2 2 3 3" xfId="23957" xr:uid="{00000000-0005-0000-0000-000090800000}"/>
    <cellStyle name="Note 3 5 2 2 4" xfId="33346" xr:uid="{00000000-0005-0000-0000-000091800000}"/>
    <cellStyle name="Note 3 5 2 2 4 2" xfId="28106" xr:uid="{00000000-0005-0000-0000-000092800000}"/>
    <cellStyle name="Note 3 5 2 2 5" xfId="27660" xr:uid="{00000000-0005-0000-0000-000093800000}"/>
    <cellStyle name="Note 3 5 2 3" xfId="33583" xr:uid="{00000000-0005-0000-0000-000094800000}"/>
    <cellStyle name="Note 3 5 2 3 2" xfId="2877" xr:uid="{00000000-0005-0000-0000-000095800000}"/>
    <cellStyle name="Note 3 5 2 3 2 2" xfId="30940" xr:uid="{00000000-0005-0000-0000-000096800000}"/>
    <cellStyle name="Note 3 5 2 3 2 2 2" xfId="33387" xr:uid="{00000000-0005-0000-0000-000097800000}"/>
    <cellStyle name="Note 3 5 2 3 2 3" xfId="33925" xr:uid="{00000000-0005-0000-0000-000098800000}"/>
    <cellStyle name="Note 3 5 2 3 3" xfId="33347" xr:uid="{00000000-0005-0000-0000-000099800000}"/>
    <cellStyle name="Note 3 5 2 3 3 2" xfId="30655" xr:uid="{00000000-0005-0000-0000-00009A800000}"/>
    <cellStyle name="Note 3 5 2 3 4" xfId="33348" xr:uid="{00000000-0005-0000-0000-00009B800000}"/>
    <cellStyle name="Note 3 5 2 4" xfId="33351" xr:uid="{00000000-0005-0000-0000-00009C800000}"/>
    <cellStyle name="Note 3 5 2 4 2" xfId="32241" xr:uid="{00000000-0005-0000-0000-00009D800000}"/>
    <cellStyle name="Note 3 5 2 4 2 2" xfId="33364" xr:uid="{00000000-0005-0000-0000-00009E800000}"/>
    <cellStyle name="Note 3 5 2 4 3" xfId="27111" xr:uid="{00000000-0005-0000-0000-00009F800000}"/>
    <cellStyle name="Note 3 5 2 5" xfId="33618" xr:uid="{00000000-0005-0000-0000-0000A0800000}"/>
    <cellStyle name="Note 3 5 2 5 2" xfId="33368" xr:uid="{00000000-0005-0000-0000-0000A1800000}"/>
    <cellStyle name="Note 3 5 2 6" xfId="33223" xr:uid="{00000000-0005-0000-0000-0000A2800000}"/>
    <cellStyle name="Note 3 5 3" xfId="24944" xr:uid="{00000000-0005-0000-0000-0000A3800000}"/>
    <cellStyle name="Note 3 5 3 2" xfId="33758" xr:uid="{00000000-0005-0000-0000-0000A4800000}"/>
    <cellStyle name="Note 3 5 3 2 2" xfId="27013" xr:uid="{00000000-0005-0000-0000-0000A5800000}"/>
    <cellStyle name="Note 3 5 3 2 2 2" xfId="26734" xr:uid="{00000000-0005-0000-0000-0000A6800000}"/>
    <cellStyle name="Note 3 5 3 2 2 2 2" xfId="31832" xr:uid="{00000000-0005-0000-0000-0000A7800000}"/>
    <cellStyle name="Note 3 5 3 2 2 3" xfId="30694" xr:uid="{00000000-0005-0000-0000-0000A8800000}"/>
    <cellStyle name="Note 3 5 3 2 3" xfId="15628" xr:uid="{00000000-0005-0000-0000-0000A9800000}"/>
    <cellStyle name="Note 3 5 3 2 3 2" xfId="28133" xr:uid="{00000000-0005-0000-0000-0000AA800000}"/>
    <cellStyle name="Note 3 5 3 2 4" xfId="15633" xr:uid="{00000000-0005-0000-0000-0000AB800000}"/>
    <cellStyle name="Note 3 5 3 3" xfId="33405" xr:uid="{00000000-0005-0000-0000-0000AC800000}"/>
    <cellStyle name="Note 3 5 3 3 2" xfId="27046" xr:uid="{00000000-0005-0000-0000-0000AD800000}"/>
    <cellStyle name="Note 3 5 3 3 2 2" xfId="31844" xr:uid="{00000000-0005-0000-0000-0000AE800000}"/>
    <cellStyle name="Note 3 5 3 3 3" xfId="4381" xr:uid="{00000000-0005-0000-0000-0000AF800000}"/>
    <cellStyle name="Note 3 5 3 4" xfId="19029" xr:uid="{00000000-0005-0000-0000-0000B0800000}"/>
    <cellStyle name="Note 3 5 3 4 2" xfId="33457" xr:uid="{00000000-0005-0000-0000-0000B1800000}"/>
    <cellStyle name="Note 3 5 3 5" xfId="19031" xr:uid="{00000000-0005-0000-0000-0000B2800000}"/>
    <cellStyle name="Note 3 5 4" xfId="29467" xr:uid="{00000000-0005-0000-0000-0000B3800000}"/>
    <cellStyle name="Note 3 5 4 2" xfId="2146" xr:uid="{00000000-0005-0000-0000-0000B4800000}"/>
    <cellStyle name="Note 3 5 4 2 2" xfId="32314" xr:uid="{00000000-0005-0000-0000-0000B5800000}"/>
    <cellStyle name="Note 3 5 4 2 2 2" xfId="21079" xr:uid="{00000000-0005-0000-0000-0000B6800000}"/>
    <cellStyle name="Note 3 5 4 2 3" xfId="15646" xr:uid="{00000000-0005-0000-0000-0000B7800000}"/>
    <cellStyle name="Note 3 5 4 3" xfId="5030" xr:uid="{00000000-0005-0000-0000-0000B8800000}"/>
    <cellStyle name="Note 3 5 4 3 2" xfId="30702" xr:uid="{00000000-0005-0000-0000-0000B9800000}"/>
    <cellStyle name="Note 3 5 4 4" xfId="5668" xr:uid="{00000000-0005-0000-0000-0000BA800000}"/>
    <cellStyle name="Note 3 5 5" xfId="33218" xr:uid="{00000000-0005-0000-0000-0000BB800000}"/>
    <cellStyle name="Note 3 5 5 2" xfId="2164" xr:uid="{00000000-0005-0000-0000-0000BC800000}"/>
    <cellStyle name="Note 3 5 5 2 2" xfId="6729" xr:uid="{00000000-0005-0000-0000-0000BD800000}"/>
    <cellStyle name="Note 3 5 5 3" xfId="31657" xr:uid="{00000000-0005-0000-0000-0000BE800000}"/>
    <cellStyle name="Note 3 5 6" xfId="16922" xr:uid="{00000000-0005-0000-0000-0000BF800000}"/>
    <cellStyle name="Note 3 5 6 2" xfId="16924" xr:uid="{00000000-0005-0000-0000-0000C0800000}"/>
    <cellStyle name="Note 3 5 7" xfId="16982" xr:uid="{00000000-0005-0000-0000-0000C1800000}"/>
    <cellStyle name="Note 3 6" xfId="12434" xr:uid="{00000000-0005-0000-0000-0000C2800000}"/>
    <cellStyle name="Note 3 6 2" xfId="11889" xr:uid="{00000000-0005-0000-0000-0000C3800000}"/>
    <cellStyle name="Note 3 6 2 2" xfId="32693" xr:uid="{00000000-0005-0000-0000-0000C4800000}"/>
    <cellStyle name="Note 3 6 2 2 2" xfId="32374" xr:uid="{00000000-0005-0000-0000-0000C5800000}"/>
    <cellStyle name="Note 3 6 2 2 2 2" xfId="31668" xr:uid="{00000000-0005-0000-0000-0000C6800000}"/>
    <cellStyle name="Note 3 6 2 2 2 2 2" xfId="31135" xr:uid="{00000000-0005-0000-0000-0000C7800000}"/>
    <cellStyle name="Note 3 6 2 2 2 3" xfId="19658" xr:uid="{00000000-0005-0000-0000-0000C8800000}"/>
    <cellStyle name="Note 3 6 2 2 3" xfId="28635" xr:uid="{00000000-0005-0000-0000-0000C9800000}"/>
    <cellStyle name="Note 3 6 2 2 3 2" xfId="31138" xr:uid="{00000000-0005-0000-0000-0000CA800000}"/>
    <cellStyle name="Note 3 6 2 2 4" xfId="27465" xr:uid="{00000000-0005-0000-0000-0000CB800000}"/>
    <cellStyle name="Note 3 6 2 3" xfId="32219" xr:uid="{00000000-0005-0000-0000-0000CC800000}"/>
    <cellStyle name="Note 3 6 2 3 2" xfId="23029" xr:uid="{00000000-0005-0000-0000-0000CD800000}"/>
    <cellStyle name="Note 3 6 2 3 2 2" xfId="33392" xr:uid="{00000000-0005-0000-0000-0000CE800000}"/>
    <cellStyle name="Note 3 6 2 3 3" xfId="20687" xr:uid="{00000000-0005-0000-0000-0000CF800000}"/>
    <cellStyle name="Note 3 6 2 4" xfId="30803" xr:uid="{00000000-0005-0000-0000-0000D0800000}"/>
    <cellStyle name="Note 3 6 2 4 2" xfId="19755" xr:uid="{00000000-0005-0000-0000-0000D1800000}"/>
    <cellStyle name="Note 3 6 2 5" xfId="31200" xr:uid="{00000000-0005-0000-0000-0000D2800000}"/>
    <cellStyle name="Note 3 6 3" xfId="11992" xr:uid="{00000000-0005-0000-0000-0000D3800000}"/>
    <cellStyle name="Note 3 6 3 2" xfId="32385" xr:uid="{00000000-0005-0000-0000-0000D4800000}"/>
    <cellStyle name="Note 3 6 3 2 2" xfId="22513" xr:uid="{00000000-0005-0000-0000-0000D5800000}"/>
    <cellStyle name="Note 3 6 3 2 2 2" xfId="20121" xr:uid="{00000000-0005-0000-0000-0000D6800000}"/>
    <cellStyle name="Note 3 6 3 2 3" xfId="15675" xr:uid="{00000000-0005-0000-0000-0000D7800000}"/>
    <cellStyle name="Note 3 6 3 3" xfId="27571" xr:uid="{00000000-0005-0000-0000-0000D8800000}"/>
    <cellStyle name="Note 3 6 3 3 2" xfId="14252" xr:uid="{00000000-0005-0000-0000-0000D9800000}"/>
    <cellStyle name="Note 3 6 3 4" xfId="28758" xr:uid="{00000000-0005-0000-0000-0000DA800000}"/>
    <cellStyle name="Note 3 6 4" xfId="33236" xr:uid="{00000000-0005-0000-0000-0000DB800000}"/>
    <cellStyle name="Note 3 6 4 2" xfId="184" xr:uid="{00000000-0005-0000-0000-0000DC800000}"/>
    <cellStyle name="Note 3 6 4 2 2" xfId="31387" xr:uid="{00000000-0005-0000-0000-0000DD800000}"/>
    <cellStyle name="Note 3 6 4 3" xfId="30810" xr:uid="{00000000-0005-0000-0000-0000DE800000}"/>
    <cellStyle name="Note 3 6 5" xfId="31913" xr:uid="{00000000-0005-0000-0000-0000DF800000}"/>
    <cellStyle name="Note 3 6 5 2" xfId="31456" xr:uid="{00000000-0005-0000-0000-0000E0800000}"/>
    <cellStyle name="Note 3 6 6" xfId="17023" xr:uid="{00000000-0005-0000-0000-0000E1800000}"/>
    <cellStyle name="Note 3 7" xfId="15394" xr:uid="{00000000-0005-0000-0000-0000E2800000}"/>
    <cellStyle name="Note 3 7 2" xfId="12003" xr:uid="{00000000-0005-0000-0000-0000E3800000}"/>
    <cellStyle name="Note 3 7 2 2" xfId="26334" xr:uid="{00000000-0005-0000-0000-0000E4800000}"/>
    <cellStyle name="Note 3 7 2 2 2" xfId="31903" xr:uid="{00000000-0005-0000-0000-0000E5800000}"/>
    <cellStyle name="Note 3 7 2 2 2 2" xfId="31924" xr:uid="{00000000-0005-0000-0000-0000E6800000}"/>
    <cellStyle name="Note 3 7 2 2 3" xfId="28975" xr:uid="{00000000-0005-0000-0000-0000E7800000}"/>
    <cellStyle name="Note 3 7 2 3" xfId="30909" xr:uid="{00000000-0005-0000-0000-0000E8800000}"/>
    <cellStyle name="Note 3 7 2 3 2" xfId="31519" xr:uid="{00000000-0005-0000-0000-0000E9800000}"/>
    <cellStyle name="Note 3 7 2 4" xfId="2569" xr:uid="{00000000-0005-0000-0000-0000EA800000}"/>
    <cellStyle name="Note 3 7 3" xfId="31179" xr:uid="{00000000-0005-0000-0000-0000EB800000}"/>
    <cellStyle name="Note 3 7 3 2" xfId="29419" xr:uid="{00000000-0005-0000-0000-0000EC800000}"/>
    <cellStyle name="Note 3 7 3 2 2" xfId="29423" xr:uid="{00000000-0005-0000-0000-0000ED800000}"/>
    <cellStyle name="Note 3 7 3 3" xfId="28890" xr:uid="{00000000-0005-0000-0000-0000EE800000}"/>
    <cellStyle name="Note 3 7 4" xfId="26335" xr:uid="{00000000-0005-0000-0000-0000EF800000}"/>
    <cellStyle name="Note 3 7 4 2" xfId="31902" xr:uid="{00000000-0005-0000-0000-0000F0800000}"/>
    <cellStyle name="Note 3 7 5" xfId="30908" xr:uid="{00000000-0005-0000-0000-0000F1800000}"/>
    <cellStyle name="Note 3 8" xfId="6365" xr:uid="{00000000-0005-0000-0000-0000F2800000}"/>
    <cellStyle name="Note 3 8 2" xfId="33143" xr:uid="{00000000-0005-0000-0000-0000F3800000}"/>
    <cellStyle name="Note 3 8 2 2" xfId="26115" xr:uid="{00000000-0005-0000-0000-0000F4800000}"/>
    <cellStyle name="Note 3 8 2 2 2" xfId="31968" xr:uid="{00000000-0005-0000-0000-0000F5800000}"/>
    <cellStyle name="Note 3 8 2 3" xfId="29667" xr:uid="{00000000-0005-0000-0000-0000F6800000}"/>
    <cellStyle name="Note 3 8 3" xfId="29443" xr:uid="{00000000-0005-0000-0000-0000F7800000}"/>
    <cellStyle name="Note 3 8 3 2" xfId="29448" xr:uid="{00000000-0005-0000-0000-0000F8800000}"/>
    <cellStyle name="Note 3 8 4" xfId="29418" xr:uid="{00000000-0005-0000-0000-0000F9800000}"/>
    <cellStyle name="Note 3 9" xfId="30413" xr:uid="{00000000-0005-0000-0000-0000FA800000}"/>
    <cellStyle name="Note 3 9 2" xfId="31520" xr:uid="{00000000-0005-0000-0000-0000FB800000}"/>
    <cellStyle name="Note 3 9 2 2" xfId="31466" xr:uid="{00000000-0005-0000-0000-0000FC800000}"/>
    <cellStyle name="Note 3 9 3" xfId="6217" xr:uid="{00000000-0005-0000-0000-0000FD800000}"/>
    <cellStyle name="Note 4" xfId="33435" xr:uid="{00000000-0005-0000-0000-0000FE800000}"/>
    <cellStyle name="Note 4 10" xfId="23813" xr:uid="{00000000-0005-0000-0000-0000FF800000}"/>
    <cellStyle name="Note 4 2" xfId="33440" xr:uid="{00000000-0005-0000-0000-000000810000}"/>
    <cellStyle name="Note 4 2 2" xfId="21883" xr:uid="{00000000-0005-0000-0000-000001810000}"/>
    <cellStyle name="Note 4 2 2 2" xfId="32398" xr:uid="{00000000-0005-0000-0000-000002810000}"/>
    <cellStyle name="Note 4 2 2 2 2" xfId="32934" xr:uid="{00000000-0005-0000-0000-000003810000}"/>
    <cellStyle name="Note 4 2 2 2 2 2" xfId="19551" xr:uid="{00000000-0005-0000-0000-000004810000}"/>
    <cellStyle name="Note 4 2 2 2 2 2 2" xfId="27739" xr:uid="{00000000-0005-0000-0000-000005810000}"/>
    <cellStyle name="Note 4 2 2 2 2 2 2 2" xfId="30072" xr:uid="{00000000-0005-0000-0000-000006810000}"/>
    <cellStyle name="Note 4 2 2 2 2 2 2 2 2" xfId="25011" xr:uid="{00000000-0005-0000-0000-000007810000}"/>
    <cellStyle name="Note 4 2 2 2 2 2 2 2 2 2" xfId="33666" xr:uid="{00000000-0005-0000-0000-000008810000}"/>
    <cellStyle name="Note 4 2 2 2 2 2 2 2 3" xfId="33759" xr:uid="{00000000-0005-0000-0000-000009810000}"/>
    <cellStyle name="Note 4 2 2 2 2 2 2 3" xfId="19560" xr:uid="{00000000-0005-0000-0000-00000A810000}"/>
    <cellStyle name="Note 4 2 2 2 2 2 2 3 2" xfId="33688" xr:uid="{00000000-0005-0000-0000-00000B810000}"/>
    <cellStyle name="Note 4 2 2 2 2 2 2 4" xfId="21734" xr:uid="{00000000-0005-0000-0000-00000C810000}"/>
    <cellStyle name="Note 4 2 2 2 2 2 3" xfId="13748" xr:uid="{00000000-0005-0000-0000-00000D810000}"/>
    <cellStyle name="Note 4 2 2 2 2 2 3 2" xfId="29421" xr:uid="{00000000-0005-0000-0000-00000E810000}"/>
    <cellStyle name="Note 4 2 2 2 2 2 3 2 2" xfId="33912" xr:uid="{00000000-0005-0000-0000-00000F810000}"/>
    <cellStyle name="Note 4 2 2 2 2 2 3 3" xfId="31755" xr:uid="{00000000-0005-0000-0000-000010810000}"/>
    <cellStyle name="Note 4 2 2 2 2 2 4" xfId="19331" xr:uid="{00000000-0005-0000-0000-000011810000}"/>
    <cellStyle name="Note 4 2 2 2 2 2 4 2" xfId="9142" xr:uid="{00000000-0005-0000-0000-000012810000}"/>
    <cellStyle name="Note 4 2 2 2 2 2 5" xfId="3355" xr:uid="{00000000-0005-0000-0000-000013810000}"/>
    <cellStyle name="Note 4 2 2 2 2 3" xfId="24922" xr:uid="{00000000-0005-0000-0000-000014810000}"/>
    <cellStyle name="Note 4 2 2 2 2 3 2" xfId="30577" xr:uid="{00000000-0005-0000-0000-000015810000}"/>
    <cellStyle name="Note 4 2 2 2 2 3 2 2" xfId="19568" xr:uid="{00000000-0005-0000-0000-000016810000}"/>
    <cellStyle name="Note 4 2 2 2 2 3 2 2 2" xfId="33853" xr:uid="{00000000-0005-0000-0000-000017810000}"/>
    <cellStyle name="Note 4 2 2 2 2 3 2 3" xfId="33858" xr:uid="{00000000-0005-0000-0000-000018810000}"/>
    <cellStyle name="Note 4 2 2 2 2 3 3" xfId="33444" xr:uid="{00000000-0005-0000-0000-000019810000}"/>
    <cellStyle name="Note 4 2 2 2 2 3 3 2" xfId="33448" xr:uid="{00000000-0005-0000-0000-00001A810000}"/>
    <cellStyle name="Note 4 2 2 2 2 3 4" xfId="2099" xr:uid="{00000000-0005-0000-0000-00001B810000}"/>
    <cellStyle name="Note 4 2 2 2 2 4" xfId="33245" xr:uid="{00000000-0005-0000-0000-00001C810000}"/>
    <cellStyle name="Note 4 2 2 2 2 4 2" xfId="19572" xr:uid="{00000000-0005-0000-0000-00001D810000}"/>
    <cellStyle name="Note 4 2 2 2 2 4 2 2" xfId="28081" xr:uid="{00000000-0005-0000-0000-00001E810000}"/>
    <cellStyle name="Note 4 2 2 2 2 4 3" xfId="30433" xr:uid="{00000000-0005-0000-0000-00001F810000}"/>
    <cellStyle name="Note 4 2 2 2 2 5" xfId="27272" xr:uid="{00000000-0005-0000-0000-000020810000}"/>
    <cellStyle name="Note 4 2 2 2 2 5 2" xfId="14553" xr:uid="{00000000-0005-0000-0000-000021810000}"/>
    <cellStyle name="Note 4 2 2 2 2 6" xfId="33251" xr:uid="{00000000-0005-0000-0000-000022810000}"/>
    <cellStyle name="Note 4 2 2 2 3" xfId="16586" xr:uid="{00000000-0005-0000-0000-000023810000}"/>
    <cellStyle name="Note 4 2 2 2 3 2" xfId="19579" xr:uid="{00000000-0005-0000-0000-000024810000}"/>
    <cellStyle name="Note 4 2 2 2 3 2 2" xfId="30994" xr:uid="{00000000-0005-0000-0000-000025810000}"/>
    <cellStyle name="Note 4 2 2 2 3 2 2 2" xfId="15455" xr:uid="{00000000-0005-0000-0000-000026810000}"/>
    <cellStyle name="Note 4 2 2 2 3 2 2 2 2" xfId="26070" xr:uid="{00000000-0005-0000-0000-000027810000}"/>
    <cellStyle name="Note 4 2 2 2 3 2 2 3" xfId="26073" xr:uid="{00000000-0005-0000-0000-000028810000}"/>
    <cellStyle name="Note 4 2 2 2 3 2 3" xfId="19334" xr:uid="{00000000-0005-0000-0000-000029810000}"/>
    <cellStyle name="Note 4 2 2 2 3 2 3 2" xfId="15477" xr:uid="{00000000-0005-0000-0000-00002A810000}"/>
    <cellStyle name="Note 4 2 2 2 3 2 4" xfId="2225" xr:uid="{00000000-0005-0000-0000-00002B810000}"/>
    <cellStyle name="Note 4 2 2 2 3 3" xfId="24318" xr:uid="{00000000-0005-0000-0000-00002C810000}"/>
    <cellStyle name="Note 4 2 2 2 3 3 2" xfId="20426" xr:uid="{00000000-0005-0000-0000-00002D810000}"/>
    <cellStyle name="Note 4 2 2 2 3 3 2 2" xfId="26126" xr:uid="{00000000-0005-0000-0000-00002E810000}"/>
    <cellStyle name="Note 4 2 2 2 3 3 3" xfId="31853" xr:uid="{00000000-0005-0000-0000-00002F810000}"/>
    <cellStyle name="Note 4 2 2 2 3 4" xfId="26130" xr:uid="{00000000-0005-0000-0000-000030810000}"/>
    <cellStyle name="Note 4 2 2 2 3 4 2" xfId="30452" xr:uid="{00000000-0005-0000-0000-000031810000}"/>
    <cellStyle name="Note 4 2 2 2 3 5" xfId="33463" xr:uid="{00000000-0005-0000-0000-000032810000}"/>
    <cellStyle name="Note 4 2 2 2 4" xfId="6113" xr:uid="{00000000-0005-0000-0000-000033810000}"/>
    <cellStyle name="Note 4 2 2 2 4 2" xfId="33485" xr:uid="{00000000-0005-0000-0000-000034810000}"/>
    <cellStyle name="Note 4 2 2 2 4 2 2" xfId="20449" xr:uid="{00000000-0005-0000-0000-000035810000}"/>
    <cellStyle name="Note 4 2 2 2 4 2 2 2" xfId="26339" xr:uid="{00000000-0005-0000-0000-000036810000}"/>
    <cellStyle name="Note 4 2 2 2 4 2 3" xfId="27962" xr:uid="{00000000-0005-0000-0000-000037810000}"/>
    <cellStyle name="Note 4 2 2 2 4 3" xfId="19792" xr:uid="{00000000-0005-0000-0000-000038810000}"/>
    <cellStyle name="Note 4 2 2 2 4 3 2" xfId="33312" xr:uid="{00000000-0005-0000-0000-000039810000}"/>
    <cellStyle name="Note 4 2 2 2 4 4" xfId="31544" xr:uid="{00000000-0005-0000-0000-00003A810000}"/>
    <cellStyle name="Note 4 2 2 2 5" xfId="33004" xr:uid="{00000000-0005-0000-0000-00003B810000}"/>
    <cellStyle name="Note 4 2 2 2 5 2" xfId="27920" xr:uid="{00000000-0005-0000-0000-00003C810000}"/>
    <cellStyle name="Note 4 2 2 2 5 2 2" xfId="31287" xr:uid="{00000000-0005-0000-0000-00003D810000}"/>
    <cellStyle name="Note 4 2 2 2 5 3" xfId="29872" xr:uid="{00000000-0005-0000-0000-00003E810000}"/>
    <cellStyle name="Note 4 2 2 2 6" xfId="32407" xr:uid="{00000000-0005-0000-0000-00003F810000}"/>
    <cellStyle name="Note 4 2 2 2 6 2" xfId="30989" xr:uid="{00000000-0005-0000-0000-000040810000}"/>
    <cellStyle name="Note 4 2 2 2 7" xfId="34012" xr:uid="{00000000-0005-0000-0000-000041810000}"/>
    <cellStyle name="Note 4 2 2 3" xfId="33200" xr:uid="{00000000-0005-0000-0000-000042810000}"/>
    <cellStyle name="Note 4 2 2 3 2" xfId="9133" xr:uid="{00000000-0005-0000-0000-000043810000}"/>
    <cellStyle name="Note 4 2 2 3 2 2" xfId="25145" xr:uid="{00000000-0005-0000-0000-000044810000}"/>
    <cellStyle name="Note 4 2 2 3 2 2 2" xfId="8364" xr:uid="{00000000-0005-0000-0000-000045810000}"/>
    <cellStyle name="Note 4 2 2 3 2 2 2 2" xfId="25148" xr:uid="{00000000-0005-0000-0000-000046810000}"/>
    <cellStyle name="Note 4 2 2 3 2 2 2 2 2" xfId="2313" xr:uid="{00000000-0005-0000-0000-000047810000}"/>
    <cellStyle name="Note 4 2 2 3 2 2 2 3" xfId="33328" xr:uid="{00000000-0005-0000-0000-000048810000}"/>
    <cellStyle name="Note 4 2 2 3 2 2 3" xfId="19359" xr:uid="{00000000-0005-0000-0000-000049810000}"/>
    <cellStyle name="Note 4 2 2 3 2 2 3 2" xfId="33516" xr:uid="{00000000-0005-0000-0000-00004A810000}"/>
    <cellStyle name="Note 4 2 2 3 2 2 4" xfId="2683" xr:uid="{00000000-0005-0000-0000-00004B810000}"/>
    <cellStyle name="Note 4 2 2 3 2 3" xfId="21110" xr:uid="{00000000-0005-0000-0000-00004C810000}"/>
    <cellStyle name="Note 4 2 2 3 2 3 2" xfId="25176" xr:uid="{00000000-0005-0000-0000-00004D810000}"/>
    <cellStyle name="Note 4 2 2 3 2 3 2 2" xfId="33659" xr:uid="{00000000-0005-0000-0000-00004E810000}"/>
    <cellStyle name="Note 4 2 2 3 2 3 3" xfId="33566" xr:uid="{00000000-0005-0000-0000-00004F810000}"/>
    <cellStyle name="Note 4 2 2 3 2 4" xfId="31301" xr:uid="{00000000-0005-0000-0000-000050810000}"/>
    <cellStyle name="Note 4 2 2 3 2 4 2" xfId="25303" xr:uid="{00000000-0005-0000-0000-000051810000}"/>
    <cellStyle name="Note 4 2 2 3 2 5" xfId="33014" xr:uid="{00000000-0005-0000-0000-000052810000}"/>
    <cellStyle name="Note 4 2 2 3 3" xfId="9616" xr:uid="{00000000-0005-0000-0000-000053810000}"/>
    <cellStyle name="Note 4 2 2 3 3 2" xfId="19692" xr:uid="{00000000-0005-0000-0000-000054810000}"/>
    <cellStyle name="Note 4 2 2 3 3 2 2" xfId="12582" xr:uid="{00000000-0005-0000-0000-000055810000}"/>
    <cellStyle name="Note 4 2 2 3 3 2 2 2" xfId="14784" xr:uid="{00000000-0005-0000-0000-000056810000}"/>
    <cellStyle name="Note 4 2 2 3 3 2 3" xfId="19363" xr:uid="{00000000-0005-0000-0000-000057810000}"/>
    <cellStyle name="Note 4 2 2 3 3 3" xfId="26131" xr:uid="{00000000-0005-0000-0000-000058810000}"/>
    <cellStyle name="Note 4 2 2 3 3 3 2" xfId="11424" xr:uid="{00000000-0005-0000-0000-000059810000}"/>
    <cellStyle name="Note 4 2 2 3 3 4" xfId="33558" xr:uid="{00000000-0005-0000-0000-00005A810000}"/>
    <cellStyle name="Note 4 2 2 3 4" xfId="11295" xr:uid="{00000000-0005-0000-0000-00005B810000}"/>
    <cellStyle name="Note 4 2 2 3 4 2" xfId="25233" xr:uid="{00000000-0005-0000-0000-00005C810000}"/>
    <cellStyle name="Note 4 2 2 3 4 2 2" xfId="31565" xr:uid="{00000000-0005-0000-0000-00005D810000}"/>
    <cellStyle name="Note 4 2 2 3 4 3" xfId="29893" xr:uid="{00000000-0005-0000-0000-00005E810000}"/>
    <cellStyle name="Note 4 2 2 3 5" xfId="8324" xr:uid="{00000000-0005-0000-0000-00005F810000}"/>
    <cellStyle name="Note 4 2 2 3 5 2" xfId="31570" xr:uid="{00000000-0005-0000-0000-000060810000}"/>
    <cellStyle name="Note 4 2 2 3 6" xfId="8326" xr:uid="{00000000-0005-0000-0000-000061810000}"/>
    <cellStyle name="Note 4 2 2 4" xfId="28382" xr:uid="{00000000-0005-0000-0000-000062810000}"/>
    <cellStyle name="Note 4 2 2 4 2" xfId="9642" xr:uid="{00000000-0005-0000-0000-000063810000}"/>
    <cellStyle name="Note 4 2 2 4 2 2" xfId="32782" xr:uid="{00000000-0005-0000-0000-000064810000}"/>
    <cellStyle name="Note 4 2 2 4 2 2 2" xfId="18812" xr:uid="{00000000-0005-0000-0000-000065810000}"/>
    <cellStyle name="Note 4 2 2 4 2 2 2 2" xfId="21714" xr:uid="{00000000-0005-0000-0000-000066810000}"/>
    <cellStyle name="Note 4 2 2 4 2 2 3" xfId="19372" xr:uid="{00000000-0005-0000-0000-000067810000}"/>
    <cellStyle name="Note 4 2 2 4 2 3" xfId="29396" xr:uid="{00000000-0005-0000-0000-000068810000}"/>
    <cellStyle name="Note 4 2 2 4 2 3 2" xfId="26749" xr:uid="{00000000-0005-0000-0000-000069810000}"/>
    <cellStyle name="Note 4 2 2 4 2 4" xfId="26359" xr:uid="{00000000-0005-0000-0000-00006A810000}"/>
    <cellStyle name="Note 4 2 2 4 3" xfId="11301" xr:uid="{00000000-0005-0000-0000-00006B810000}"/>
    <cellStyle name="Note 4 2 2 4 3 2" xfId="6079" xr:uid="{00000000-0005-0000-0000-00006C810000}"/>
    <cellStyle name="Note 4 2 2 4 3 2 2" xfId="21805" xr:uid="{00000000-0005-0000-0000-00006D810000}"/>
    <cellStyle name="Note 4 2 2 4 3 3" xfId="8494" xr:uid="{00000000-0005-0000-0000-00006E810000}"/>
    <cellStyle name="Note 4 2 2 4 4" xfId="11305" xr:uid="{00000000-0005-0000-0000-00006F810000}"/>
    <cellStyle name="Note 4 2 2 4 4 2" xfId="8503" xr:uid="{00000000-0005-0000-0000-000070810000}"/>
    <cellStyle name="Note 4 2 2 4 5" xfId="7133" xr:uid="{00000000-0005-0000-0000-000071810000}"/>
    <cellStyle name="Note 4 2 2 5" xfId="33053" xr:uid="{00000000-0005-0000-0000-000072810000}"/>
    <cellStyle name="Note 4 2 2 5 2" xfId="5023" xr:uid="{00000000-0005-0000-0000-000073810000}"/>
    <cellStyle name="Note 4 2 2 5 2 2" xfId="25550" xr:uid="{00000000-0005-0000-0000-000074810000}"/>
    <cellStyle name="Note 4 2 2 5 2 2 2" xfId="22588" xr:uid="{00000000-0005-0000-0000-000075810000}"/>
    <cellStyle name="Note 4 2 2 5 2 3" xfId="32119" xr:uid="{00000000-0005-0000-0000-000076810000}"/>
    <cellStyle name="Note 4 2 2 5 3" xfId="16532" xr:uid="{00000000-0005-0000-0000-000077810000}"/>
    <cellStyle name="Note 4 2 2 5 3 2" xfId="10452" xr:uid="{00000000-0005-0000-0000-000078810000}"/>
    <cellStyle name="Note 4 2 2 5 4" xfId="30345" xr:uid="{00000000-0005-0000-0000-000079810000}"/>
    <cellStyle name="Note 4 2 2 6" xfId="22455" xr:uid="{00000000-0005-0000-0000-00007A810000}"/>
    <cellStyle name="Note 4 2 2 6 2" xfId="14201" xr:uid="{00000000-0005-0000-0000-00007B810000}"/>
    <cellStyle name="Note 4 2 2 6 2 2" xfId="12606" xr:uid="{00000000-0005-0000-0000-00007C810000}"/>
    <cellStyle name="Note 4 2 2 6 3" xfId="14210" xr:uid="{00000000-0005-0000-0000-00007D810000}"/>
    <cellStyle name="Note 4 2 2 7" xfId="22460" xr:uid="{00000000-0005-0000-0000-00007E810000}"/>
    <cellStyle name="Note 4 2 2 7 2" xfId="2542" xr:uid="{00000000-0005-0000-0000-00007F810000}"/>
    <cellStyle name="Note 4 2 2 8" xfId="14216" xr:uid="{00000000-0005-0000-0000-000080810000}"/>
    <cellStyle name="Note 4 2 3" xfId="33184" xr:uid="{00000000-0005-0000-0000-000081810000}"/>
    <cellStyle name="Note 4 2 3 2" xfId="30743" xr:uid="{00000000-0005-0000-0000-000082810000}"/>
    <cellStyle name="Note 4 2 3 2 2" xfId="1606" xr:uid="{00000000-0005-0000-0000-000083810000}"/>
    <cellStyle name="Note 4 2 3 2 2 2" xfId="31995" xr:uid="{00000000-0005-0000-0000-000084810000}"/>
    <cellStyle name="Note 4 2 3 2 2 2 2" xfId="22068" xr:uid="{00000000-0005-0000-0000-000085810000}"/>
    <cellStyle name="Note 4 2 3 2 2 2 2 2" xfId="26757" xr:uid="{00000000-0005-0000-0000-000086810000}"/>
    <cellStyle name="Note 4 2 3 2 2 2 2 2 2" xfId="15152" xr:uid="{00000000-0005-0000-0000-000087810000}"/>
    <cellStyle name="Note 4 2 3 2 2 2 2 3" xfId="32319" xr:uid="{00000000-0005-0000-0000-000088810000}"/>
    <cellStyle name="Note 4 2 3 2 2 2 3" xfId="22077" xr:uid="{00000000-0005-0000-0000-000089810000}"/>
    <cellStyle name="Note 4 2 3 2 2 2 3 2" xfId="32798" xr:uid="{00000000-0005-0000-0000-00008A810000}"/>
    <cellStyle name="Note 4 2 3 2 2 2 4" xfId="5666" xr:uid="{00000000-0005-0000-0000-00008B810000}"/>
    <cellStyle name="Note 4 2 3 2 2 3" xfId="5278" xr:uid="{00000000-0005-0000-0000-00008C810000}"/>
    <cellStyle name="Note 4 2 3 2 2 3 2" xfId="8242" xr:uid="{00000000-0005-0000-0000-00008D810000}"/>
    <cellStyle name="Note 4 2 3 2 2 3 2 2" xfId="27442" xr:uid="{00000000-0005-0000-0000-00008E810000}"/>
    <cellStyle name="Note 4 2 3 2 2 3 3" xfId="14027" xr:uid="{00000000-0005-0000-0000-00008F810000}"/>
    <cellStyle name="Note 4 2 3 2 2 4" xfId="2628" xr:uid="{00000000-0005-0000-0000-000090810000}"/>
    <cellStyle name="Note 4 2 3 2 2 4 2" xfId="32511" xr:uid="{00000000-0005-0000-0000-000091810000}"/>
    <cellStyle name="Note 4 2 3 2 2 5" xfId="33155" xr:uid="{00000000-0005-0000-0000-000092810000}"/>
    <cellStyle name="Note 4 2 3 2 3" xfId="32289" xr:uid="{00000000-0005-0000-0000-000093810000}"/>
    <cellStyle name="Note 4 2 3 2 3 2" xfId="26792" xr:uid="{00000000-0005-0000-0000-000094810000}"/>
    <cellStyle name="Note 4 2 3 2 3 2 2" xfId="20502" xr:uid="{00000000-0005-0000-0000-000095810000}"/>
    <cellStyle name="Note 4 2 3 2 3 2 2 2" xfId="25829" xr:uid="{00000000-0005-0000-0000-000096810000}"/>
    <cellStyle name="Note 4 2 3 2 3 2 3" xfId="19404" xr:uid="{00000000-0005-0000-0000-000097810000}"/>
    <cellStyle name="Note 4 2 3 2 3 3" xfId="19070" xr:uid="{00000000-0005-0000-0000-000098810000}"/>
    <cellStyle name="Note 4 2 3 2 3 3 2" xfId="28857" xr:uid="{00000000-0005-0000-0000-000099810000}"/>
    <cellStyle name="Note 4 2 3 2 3 4" xfId="18499" xr:uid="{00000000-0005-0000-0000-00009A810000}"/>
    <cellStyle name="Note 4 2 3 2 4" xfId="31050" xr:uid="{00000000-0005-0000-0000-00009B810000}"/>
    <cellStyle name="Note 4 2 3 2 4 2" xfId="26622" xr:uid="{00000000-0005-0000-0000-00009C810000}"/>
    <cellStyle name="Note 4 2 3 2 4 2 2" xfId="4115" xr:uid="{00000000-0005-0000-0000-00009D810000}"/>
    <cellStyle name="Note 4 2 3 2 4 3" xfId="31400" xr:uid="{00000000-0005-0000-0000-00009E810000}"/>
    <cellStyle name="Note 4 2 3 2 5" xfId="32327" xr:uid="{00000000-0005-0000-0000-00009F810000}"/>
    <cellStyle name="Note 4 2 3 2 5 2" xfId="31616" xr:uid="{00000000-0005-0000-0000-0000A0810000}"/>
    <cellStyle name="Note 4 2 3 2 6" xfId="19508" xr:uid="{00000000-0005-0000-0000-0000A1810000}"/>
    <cellStyle name="Note 4 2 3 3" xfId="26684" xr:uid="{00000000-0005-0000-0000-0000A2810000}"/>
    <cellStyle name="Note 4 2 3 3 2" xfId="9925" xr:uid="{00000000-0005-0000-0000-0000A3810000}"/>
    <cellStyle name="Note 4 2 3 3 2 2" xfId="26902" xr:uid="{00000000-0005-0000-0000-0000A4810000}"/>
    <cellStyle name="Note 4 2 3 3 2 2 2" xfId="27691" xr:uid="{00000000-0005-0000-0000-0000A5810000}"/>
    <cellStyle name="Note 4 2 3 3 2 2 2 2" xfId="33520" xr:uid="{00000000-0005-0000-0000-0000A6810000}"/>
    <cellStyle name="Note 4 2 3 3 2 2 3" xfId="30573" xr:uid="{00000000-0005-0000-0000-0000A7810000}"/>
    <cellStyle name="Note 4 2 3 3 2 3" xfId="5305" xr:uid="{00000000-0005-0000-0000-0000A8810000}"/>
    <cellStyle name="Note 4 2 3 3 2 3 2" xfId="33494" xr:uid="{00000000-0005-0000-0000-0000A9810000}"/>
    <cellStyle name="Note 4 2 3 3 2 4" xfId="31557" xr:uid="{00000000-0005-0000-0000-0000AA810000}"/>
    <cellStyle name="Note 4 2 3 3 3" xfId="11322" xr:uid="{00000000-0005-0000-0000-0000AB810000}"/>
    <cellStyle name="Note 4 2 3 3 3 2" xfId="27266" xr:uid="{00000000-0005-0000-0000-0000AC810000}"/>
    <cellStyle name="Note 4 2 3 3 3 2 2" xfId="31848" xr:uid="{00000000-0005-0000-0000-0000AD810000}"/>
    <cellStyle name="Note 4 2 3 3 3 3" xfId="32701" xr:uid="{00000000-0005-0000-0000-0000AE810000}"/>
    <cellStyle name="Note 4 2 3 3 4" xfId="10395" xr:uid="{00000000-0005-0000-0000-0000AF810000}"/>
    <cellStyle name="Note 4 2 3 3 4 2" xfId="31621" xr:uid="{00000000-0005-0000-0000-0000B0810000}"/>
    <cellStyle name="Note 4 2 3 3 5" xfId="8336" xr:uid="{00000000-0005-0000-0000-0000B1810000}"/>
    <cellStyle name="Note 4 2 3 4" xfId="33271" xr:uid="{00000000-0005-0000-0000-0000B2810000}"/>
    <cellStyle name="Note 4 2 3 4 2" xfId="11327" xr:uid="{00000000-0005-0000-0000-0000B3810000}"/>
    <cellStyle name="Note 4 2 3 4 2 2" xfId="24702" xr:uid="{00000000-0005-0000-0000-0000B4810000}"/>
    <cellStyle name="Note 4 2 3 4 2 2 2" xfId="21872" xr:uid="{00000000-0005-0000-0000-0000B5810000}"/>
    <cellStyle name="Note 4 2 3 4 2 3" xfId="21875" xr:uid="{00000000-0005-0000-0000-0000B6810000}"/>
    <cellStyle name="Note 4 2 3 4 3" xfId="11330" xr:uid="{00000000-0005-0000-0000-0000B7810000}"/>
    <cellStyle name="Note 4 2 3 4 3 2" xfId="8511" xr:uid="{00000000-0005-0000-0000-0000B8810000}"/>
    <cellStyle name="Note 4 2 3 4 4" xfId="28600" xr:uid="{00000000-0005-0000-0000-0000B9810000}"/>
    <cellStyle name="Note 4 2 3 5" xfId="33129" xr:uid="{00000000-0005-0000-0000-0000BA810000}"/>
    <cellStyle name="Note 4 2 3 5 2" xfId="5101" xr:uid="{00000000-0005-0000-0000-0000BB810000}"/>
    <cellStyle name="Note 4 2 3 5 2 2" xfId="30468" xr:uid="{00000000-0005-0000-0000-0000BC810000}"/>
    <cellStyle name="Note 4 2 3 5 3" xfId="26585" xr:uid="{00000000-0005-0000-0000-0000BD810000}"/>
    <cellStyle name="Note 4 2 3 6" xfId="22471" xr:uid="{00000000-0005-0000-0000-0000BE810000}"/>
    <cellStyle name="Note 4 2 3 6 2" xfId="14221" xr:uid="{00000000-0005-0000-0000-0000BF810000}"/>
    <cellStyle name="Note 4 2 3 7" xfId="5610" xr:uid="{00000000-0005-0000-0000-0000C0810000}"/>
    <cellStyle name="Note 4 2 4" xfId="30543" xr:uid="{00000000-0005-0000-0000-0000C1810000}"/>
    <cellStyle name="Note 4 2 4 2" xfId="30545" xr:uid="{00000000-0005-0000-0000-0000C2810000}"/>
    <cellStyle name="Note 4 2 4 2 2" xfId="30339" xr:uid="{00000000-0005-0000-0000-0000C3810000}"/>
    <cellStyle name="Note 4 2 4 2 2 2" xfId="31671" xr:uid="{00000000-0005-0000-0000-0000C4810000}"/>
    <cellStyle name="Note 4 2 4 2 2 2 2" xfId="21154" xr:uid="{00000000-0005-0000-0000-0000C5810000}"/>
    <cellStyle name="Note 4 2 4 2 2 2 2 2" xfId="24037" xr:uid="{00000000-0005-0000-0000-0000C6810000}"/>
    <cellStyle name="Note 4 2 4 2 2 2 3" xfId="19461" xr:uid="{00000000-0005-0000-0000-0000C7810000}"/>
    <cellStyle name="Note 4 2 4 2 2 3" xfId="2927" xr:uid="{00000000-0005-0000-0000-0000C8810000}"/>
    <cellStyle name="Note 4 2 4 2 2 3 2" xfId="22603" xr:uid="{00000000-0005-0000-0000-0000C9810000}"/>
    <cellStyle name="Note 4 2 4 2 2 4" xfId="22654" xr:uid="{00000000-0005-0000-0000-0000CA810000}"/>
    <cellStyle name="Note 4 2 4 2 3" xfId="24976" xr:uid="{00000000-0005-0000-0000-0000CB810000}"/>
    <cellStyle name="Note 4 2 4 2 3 2" xfId="20167" xr:uid="{00000000-0005-0000-0000-0000CC810000}"/>
    <cellStyle name="Note 4 2 4 2 3 2 2" xfId="22806" xr:uid="{00000000-0005-0000-0000-0000CD810000}"/>
    <cellStyle name="Note 4 2 4 2 3 3" xfId="22838" xr:uid="{00000000-0005-0000-0000-0000CE810000}"/>
    <cellStyle name="Note 4 2 4 2 4" xfId="29264" xr:uid="{00000000-0005-0000-0000-0000CF810000}"/>
    <cellStyle name="Note 4 2 4 2 4 2" xfId="14590" xr:uid="{00000000-0005-0000-0000-0000D0810000}"/>
    <cellStyle name="Note 4 2 4 2 5" xfId="33232" xr:uid="{00000000-0005-0000-0000-0000D1810000}"/>
    <cellStyle name="Note 4 2 4 3" xfId="26086" xr:uid="{00000000-0005-0000-0000-0000D2810000}"/>
    <cellStyle name="Note 4 2 4 3 2" xfId="2461" xr:uid="{00000000-0005-0000-0000-0000D3810000}"/>
    <cellStyle name="Note 4 2 4 3 2 2" xfId="21120" xr:uid="{00000000-0005-0000-0000-0000D4810000}"/>
    <cellStyle name="Note 4 2 4 3 2 2 2" xfId="32216" xr:uid="{00000000-0005-0000-0000-0000D5810000}"/>
    <cellStyle name="Note 4 2 4 3 2 3" xfId="24948" xr:uid="{00000000-0005-0000-0000-0000D6810000}"/>
    <cellStyle name="Note 4 2 4 3 3" xfId="4731" xr:uid="{00000000-0005-0000-0000-0000D7810000}"/>
    <cellStyle name="Note 4 2 4 3 3 2" xfId="25141" xr:uid="{00000000-0005-0000-0000-0000D8810000}"/>
    <cellStyle name="Note 4 2 4 3 4" xfId="27672" xr:uid="{00000000-0005-0000-0000-0000D9810000}"/>
    <cellStyle name="Note 4 2 4 4" xfId="33560" xr:uid="{00000000-0005-0000-0000-0000DA810000}"/>
    <cellStyle name="Note 4 2 4 4 2" xfId="11342" xr:uid="{00000000-0005-0000-0000-0000DB810000}"/>
    <cellStyle name="Note 4 2 4 4 2 2" xfId="23953" xr:uid="{00000000-0005-0000-0000-0000DC810000}"/>
    <cellStyle name="Note 4 2 4 4 3" xfId="33568" xr:uid="{00000000-0005-0000-0000-0000DD810000}"/>
    <cellStyle name="Note 4 2 4 5" xfId="28477" xr:uid="{00000000-0005-0000-0000-0000DE810000}"/>
    <cellStyle name="Note 4 2 4 5 2" xfId="31491" xr:uid="{00000000-0005-0000-0000-0000DF810000}"/>
    <cellStyle name="Note 4 2 4 6" xfId="14238" xr:uid="{00000000-0005-0000-0000-0000E0810000}"/>
    <cellStyle name="Note 4 2 5" xfId="28041" xr:uid="{00000000-0005-0000-0000-0000E1810000}"/>
    <cellStyle name="Note 4 2 5 2" xfId="33158" xr:uid="{00000000-0005-0000-0000-0000E2810000}"/>
    <cellStyle name="Note 4 2 5 2 2" xfId="26573" xr:uid="{00000000-0005-0000-0000-0000E3810000}"/>
    <cellStyle name="Note 4 2 5 2 2 2" xfId="51" xr:uid="{00000000-0005-0000-0000-0000E4810000}"/>
    <cellStyle name="Note 4 2 5 2 2 2 2" xfId="29552" xr:uid="{00000000-0005-0000-0000-0000E5810000}"/>
    <cellStyle name="Note 4 2 5 2 2 3" xfId="1316" xr:uid="{00000000-0005-0000-0000-0000E6810000}"/>
    <cellStyle name="Note 4 2 5 2 3" xfId="14621" xr:uid="{00000000-0005-0000-0000-0000E7810000}"/>
    <cellStyle name="Note 4 2 5 2 3 2" xfId="27901" xr:uid="{00000000-0005-0000-0000-0000E8810000}"/>
    <cellStyle name="Note 4 2 5 2 4" xfId="24810" xr:uid="{00000000-0005-0000-0000-0000E9810000}"/>
    <cellStyle name="Note 4 2 5 3" xfId="28861" xr:uid="{00000000-0005-0000-0000-0000EA810000}"/>
    <cellStyle name="Note 4 2 5 3 2" xfId="11349" xr:uid="{00000000-0005-0000-0000-0000EB810000}"/>
    <cellStyle name="Note 4 2 5 3 2 2" xfId="27243" xr:uid="{00000000-0005-0000-0000-0000EC810000}"/>
    <cellStyle name="Note 4 2 5 3 3" xfId="25991" xr:uid="{00000000-0005-0000-0000-0000ED810000}"/>
    <cellStyle name="Note 4 2 5 4" xfId="32727" xr:uid="{00000000-0005-0000-0000-0000EE810000}"/>
    <cellStyle name="Note 4 2 5 4 2" xfId="26926" xr:uid="{00000000-0005-0000-0000-0000EF810000}"/>
    <cellStyle name="Note 4 2 5 5" xfId="31056" xr:uid="{00000000-0005-0000-0000-0000F0810000}"/>
    <cellStyle name="Note 4 2 6" xfId="1440" xr:uid="{00000000-0005-0000-0000-0000F1810000}"/>
    <cellStyle name="Note 4 2 6 2" xfId="30520" xr:uid="{00000000-0005-0000-0000-0000F2810000}"/>
    <cellStyle name="Note 4 2 6 2 2" xfId="32421" xr:uid="{00000000-0005-0000-0000-0000F3810000}"/>
    <cellStyle name="Note 4 2 6 2 2 2" xfId="26845" xr:uid="{00000000-0005-0000-0000-0000F4810000}"/>
    <cellStyle name="Note 4 2 6 2 3" xfId="32587" xr:uid="{00000000-0005-0000-0000-0000F5810000}"/>
    <cellStyle name="Note 4 2 6 3" xfId="33728" xr:uid="{00000000-0005-0000-0000-0000F6810000}"/>
    <cellStyle name="Note 4 2 6 3 2" xfId="30313" xr:uid="{00000000-0005-0000-0000-0000F7810000}"/>
    <cellStyle name="Note 4 2 6 4" xfId="33909" xr:uid="{00000000-0005-0000-0000-0000F8810000}"/>
    <cellStyle name="Note 4 2 7" xfId="17748" xr:uid="{00000000-0005-0000-0000-0000F9810000}"/>
    <cellStyle name="Note 4 2 7 2" xfId="31975" xr:uid="{00000000-0005-0000-0000-0000FA810000}"/>
    <cellStyle name="Note 4 2 7 2 2" xfId="33020" xr:uid="{00000000-0005-0000-0000-0000FB810000}"/>
    <cellStyle name="Note 4 2 7 3" xfId="32758" xr:uid="{00000000-0005-0000-0000-0000FC810000}"/>
    <cellStyle name="Note 4 2 8" xfId="31707" xr:uid="{00000000-0005-0000-0000-0000FD810000}"/>
    <cellStyle name="Note 4 2 8 2" xfId="25060" xr:uid="{00000000-0005-0000-0000-0000FE810000}"/>
    <cellStyle name="Note 4 2 9" xfId="19771" xr:uid="{00000000-0005-0000-0000-0000FF810000}"/>
    <cellStyle name="Note 4 3" xfId="32885" xr:uid="{00000000-0005-0000-0000-000000820000}"/>
    <cellStyle name="Note 4 3 2" xfId="31475" xr:uid="{00000000-0005-0000-0000-000001820000}"/>
    <cellStyle name="Note 4 3 2 2" xfId="32597" xr:uid="{00000000-0005-0000-0000-000002820000}"/>
    <cellStyle name="Note 4 3 2 2 2" xfId="29291" xr:uid="{00000000-0005-0000-0000-000003820000}"/>
    <cellStyle name="Note 4 3 2 2 2 2" xfId="27993" xr:uid="{00000000-0005-0000-0000-000004820000}"/>
    <cellStyle name="Note 4 3 2 2 2 2 2" xfId="22172" xr:uid="{00000000-0005-0000-0000-000005820000}"/>
    <cellStyle name="Note 4 3 2 2 2 2 2 2" xfId="22177" xr:uid="{00000000-0005-0000-0000-000006820000}"/>
    <cellStyle name="Note 4 3 2 2 2 2 2 2 2" xfId="25163" xr:uid="{00000000-0005-0000-0000-000007820000}"/>
    <cellStyle name="Note 4 3 2 2 2 2 2 3" xfId="24348" xr:uid="{00000000-0005-0000-0000-000008820000}"/>
    <cellStyle name="Note 4 3 2 2 2 2 3" xfId="19473" xr:uid="{00000000-0005-0000-0000-000009820000}"/>
    <cellStyle name="Note 4 3 2 2 2 2 3 2" xfId="22184" xr:uid="{00000000-0005-0000-0000-00000A820000}"/>
    <cellStyle name="Note 4 3 2 2 2 2 4" xfId="19480" xr:uid="{00000000-0005-0000-0000-00000B820000}"/>
    <cellStyle name="Note 4 3 2 2 2 3" xfId="22187" xr:uid="{00000000-0005-0000-0000-00000C820000}"/>
    <cellStyle name="Note 4 3 2 2 2 3 2" xfId="31211" xr:uid="{00000000-0005-0000-0000-00000D820000}"/>
    <cellStyle name="Note 4 3 2 2 2 3 2 2" xfId="33555" xr:uid="{00000000-0005-0000-0000-00000E820000}"/>
    <cellStyle name="Note 4 3 2 2 2 3 3" xfId="19847" xr:uid="{00000000-0005-0000-0000-00000F820000}"/>
    <cellStyle name="Note 4 3 2 2 2 4" xfId="33373" xr:uid="{00000000-0005-0000-0000-000010820000}"/>
    <cellStyle name="Note 4 3 2 2 2 4 2" xfId="23527" xr:uid="{00000000-0005-0000-0000-000011820000}"/>
    <cellStyle name="Note 4 3 2 2 2 5" xfId="26444" xr:uid="{00000000-0005-0000-0000-000012820000}"/>
    <cellStyle name="Note 4 3 2 2 3" xfId="26899" xr:uid="{00000000-0005-0000-0000-000013820000}"/>
    <cellStyle name="Note 4 3 2 2 3 2" xfId="27226" xr:uid="{00000000-0005-0000-0000-000014820000}"/>
    <cellStyle name="Note 4 3 2 2 3 2 2" xfId="22197" xr:uid="{00000000-0005-0000-0000-000015820000}"/>
    <cellStyle name="Note 4 3 2 2 3 2 2 2" xfId="2477" xr:uid="{00000000-0005-0000-0000-000016820000}"/>
    <cellStyle name="Note 4 3 2 2 3 2 3" xfId="19483" xr:uid="{00000000-0005-0000-0000-000017820000}"/>
    <cellStyle name="Note 4 3 2 2 3 3" xfId="22201" xr:uid="{00000000-0005-0000-0000-000018820000}"/>
    <cellStyle name="Note 4 3 2 2 3 3 2" xfId="22906" xr:uid="{00000000-0005-0000-0000-000019820000}"/>
    <cellStyle name="Note 4 3 2 2 3 4" xfId="22206" xr:uid="{00000000-0005-0000-0000-00001A820000}"/>
    <cellStyle name="Note 4 3 2 2 4" xfId="33097" xr:uid="{00000000-0005-0000-0000-00001B820000}"/>
    <cellStyle name="Note 4 3 2 2 4 2" xfId="27485" xr:uid="{00000000-0005-0000-0000-00001C820000}"/>
    <cellStyle name="Note 4 3 2 2 4 2 2" xfId="22209" xr:uid="{00000000-0005-0000-0000-00001D820000}"/>
    <cellStyle name="Note 4 3 2 2 4 3" xfId="26037" xr:uid="{00000000-0005-0000-0000-00001E820000}"/>
    <cellStyle name="Note 4 3 2 2 5" xfId="29650" xr:uid="{00000000-0005-0000-0000-00001F820000}"/>
    <cellStyle name="Note 4 3 2 2 5 2" xfId="33987" xr:uid="{00000000-0005-0000-0000-000020820000}"/>
    <cellStyle name="Note 4 3 2 2 6" xfId="33598" xr:uid="{00000000-0005-0000-0000-000021820000}"/>
    <cellStyle name="Note 4 3 2 3" xfId="29295" xr:uid="{00000000-0005-0000-0000-000022820000}"/>
    <cellStyle name="Note 4 3 2 3 2" xfId="9778" xr:uid="{00000000-0005-0000-0000-000023820000}"/>
    <cellStyle name="Note 4 3 2 3 2 2" xfId="22472" xr:uid="{00000000-0005-0000-0000-000024820000}"/>
    <cellStyle name="Note 4 3 2 3 2 2 2" xfId="22477" xr:uid="{00000000-0005-0000-0000-000025820000}"/>
    <cellStyle name="Note 4 3 2 3 2 2 2 2" xfId="22482" xr:uid="{00000000-0005-0000-0000-000026820000}"/>
    <cellStyle name="Note 4 3 2 3 2 2 3" xfId="23644" xr:uid="{00000000-0005-0000-0000-000027820000}"/>
    <cellStyle name="Note 4 3 2 3 2 3" xfId="23967" xr:uid="{00000000-0005-0000-0000-000028820000}"/>
    <cellStyle name="Note 4 3 2 3 2 3 2" xfId="27847" xr:uid="{00000000-0005-0000-0000-000029820000}"/>
    <cellStyle name="Note 4 3 2 3 2 4" xfId="31889" xr:uid="{00000000-0005-0000-0000-00002A820000}"/>
    <cellStyle name="Note 4 3 2 3 3" xfId="18875" xr:uid="{00000000-0005-0000-0000-00002B820000}"/>
    <cellStyle name="Note 4 3 2 3 3 2" xfId="27668" xr:uid="{00000000-0005-0000-0000-00002C820000}"/>
    <cellStyle name="Note 4 3 2 3 3 2 2" xfId="23658" xr:uid="{00000000-0005-0000-0000-00002D820000}"/>
    <cellStyle name="Note 4 3 2 3 3 3" xfId="25416" xr:uid="{00000000-0005-0000-0000-00002E820000}"/>
    <cellStyle name="Note 4 3 2 3 4" xfId="11384" xr:uid="{00000000-0005-0000-0000-00002F820000}"/>
    <cellStyle name="Note 4 3 2 3 4 2" xfId="26053" xr:uid="{00000000-0005-0000-0000-000030820000}"/>
    <cellStyle name="Note 4 3 2 3 5" xfId="6328" xr:uid="{00000000-0005-0000-0000-000031820000}"/>
    <cellStyle name="Note 4 3 2 4" xfId="28035" xr:uid="{00000000-0005-0000-0000-000032820000}"/>
    <cellStyle name="Note 4 3 2 4 2" xfId="3796" xr:uid="{00000000-0005-0000-0000-000033820000}"/>
    <cellStyle name="Note 4 3 2 4 2 2" xfId="8382" xr:uid="{00000000-0005-0000-0000-000034820000}"/>
    <cellStyle name="Note 4 3 2 4 2 2 2" xfId="22589" xr:uid="{00000000-0005-0000-0000-000035820000}"/>
    <cellStyle name="Note 4 3 2 4 2 3" xfId="22595" xr:uid="{00000000-0005-0000-0000-000036820000}"/>
    <cellStyle name="Note 4 3 2 4 3" xfId="18401" xr:uid="{00000000-0005-0000-0000-000037820000}"/>
    <cellStyle name="Note 4 3 2 4 3 2" xfId="18406" xr:uid="{00000000-0005-0000-0000-000038820000}"/>
    <cellStyle name="Note 4 3 2 4 4" xfId="28885" xr:uid="{00000000-0005-0000-0000-000039820000}"/>
    <cellStyle name="Note 4 3 2 5" xfId="4081" xr:uid="{00000000-0005-0000-0000-00003A820000}"/>
    <cellStyle name="Note 4 3 2 5 2" xfId="10070" xr:uid="{00000000-0005-0000-0000-00003B820000}"/>
    <cellStyle name="Note 4 3 2 5 2 2" xfId="22647" xr:uid="{00000000-0005-0000-0000-00003C820000}"/>
    <cellStyle name="Note 4 3 2 5 3" xfId="26752" xr:uid="{00000000-0005-0000-0000-00003D820000}"/>
    <cellStyle name="Note 4 3 2 6" xfId="22484" xr:uid="{00000000-0005-0000-0000-00003E820000}"/>
    <cellStyle name="Note 4 3 2 6 2" xfId="30847" xr:uid="{00000000-0005-0000-0000-00003F820000}"/>
    <cellStyle name="Note 4 3 2 7" xfId="29306" xr:uid="{00000000-0005-0000-0000-000040820000}"/>
    <cellStyle name="Note 4 3 3" xfId="32235" xr:uid="{00000000-0005-0000-0000-000041820000}"/>
    <cellStyle name="Note 4 3 3 2" xfId="30776" xr:uid="{00000000-0005-0000-0000-000042820000}"/>
    <cellStyle name="Note 4 3 3 2 2" xfId="23924" xr:uid="{00000000-0005-0000-0000-000043820000}"/>
    <cellStyle name="Note 4 3 3 2 2 2" xfId="20643" xr:uid="{00000000-0005-0000-0000-000044820000}"/>
    <cellStyle name="Note 4 3 3 2 2 2 2" xfId="20649" xr:uid="{00000000-0005-0000-0000-000045820000}"/>
    <cellStyle name="Note 4 3 3 2 2 2 2 2" xfId="23597" xr:uid="{00000000-0005-0000-0000-000046820000}"/>
    <cellStyle name="Note 4 3 3 2 2 2 3" xfId="27408" xr:uid="{00000000-0005-0000-0000-000047820000}"/>
    <cellStyle name="Note 4 3 3 2 2 3" xfId="5640" xr:uid="{00000000-0005-0000-0000-000048820000}"/>
    <cellStyle name="Note 4 3 3 2 2 3 2" xfId="4590" xr:uid="{00000000-0005-0000-0000-000049820000}"/>
    <cellStyle name="Note 4 3 3 2 2 4" xfId="20677" xr:uid="{00000000-0005-0000-0000-00004A820000}"/>
    <cellStyle name="Note 4 3 3 2 3" xfId="20451" xr:uid="{00000000-0005-0000-0000-00004B820000}"/>
    <cellStyle name="Note 4 3 3 2 3 2" xfId="20683" xr:uid="{00000000-0005-0000-0000-00004C820000}"/>
    <cellStyle name="Note 4 3 3 2 3 2 2" xfId="20692" xr:uid="{00000000-0005-0000-0000-00004D820000}"/>
    <cellStyle name="Note 4 3 3 2 3 3" xfId="20703" xr:uid="{00000000-0005-0000-0000-00004E820000}"/>
    <cellStyle name="Note 4 3 3 2 4" xfId="29714" xr:uid="{00000000-0005-0000-0000-00004F820000}"/>
    <cellStyle name="Note 4 3 3 2 4 2" xfId="20711" xr:uid="{00000000-0005-0000-0000-000050820000}"/>
    <cellStyle name="Note 4 3 3 2 5" xfId="26665" xr:uid="{00000000-0005-0000-0000-000051820000}"/>
    <cellStyle name="Note 4 3 3 3" xfId="28878" xr:uid="{00000000-0005-0000-0000-000052820000}"/>
    <cellStyle name="Note 4 3 3 3 2" xfId="15466" xr:uid="{00000000-0005-0000-0000-000053820000}"/>
    <cellStyle name="Note 4 3 3 3 2 2" xfId="20854" xr:uid="{00000000-0005-0000-0000-000054820000}"/>
    <cellStyle name="Note 4 3 3 3 2 2 2" xfId="20863" xr:uid="{00000000-0005-0000-0000-000055820000}"/>
    <cellStyle name="Note 4 3 3 3 2 3" xfId="20874" xr:uid="{00000000-0005-0000-0000-000056820000}"/>
    <cellStyle name="Note 4 3 3 3 3" xfId="19536" xr:uid="{00000000-0005-0000-0000-000057820000}"/>
    <cellStyle name="Note 4 3 3 3 3 2" xfId="20881" xr:uid="{00000000-0005-0000-0000-000058820000}"/>
    <cellStyle name="Note 4 3 3 3 4" xfId="28900" xr:uid="{00000000-0005-0000-0000-000059820000}"/>
    <cellStyle name="Note 4 3 3 4" xfId="33300" xr:uid="{00000000-0005-0000-0000-00005A820000}"/>
    <cellStyle name="Note 4 3 3 4 2" xfId="18790" xr:uid="{00000000-0005-0000-0000-00005B820000}"/>
    <cellStyle name="Note 4 3 3 4 2 2" xfId="21028" xr:uid="{00000000-0005-0000-0000-00005C820000}"/>
    <cellStyle name="Note 4 3 3 4 3" xfId="33887" xr:uid="{00000000-0005-0000-0000-00005D820000}"/>
    <cellStyle name="Note 4 3 3 5" xfId="23559" xr:uid="{00000000-0005-0000-0000-00005E820000}"/>
    <cellStyle name="Note 4 3 3 5 2" xfId="33924" xr:uid="{00000000-0005-0000-0000-00005F820000}"/>
    <cellStyle name="Note 4 3 3 6" xfId="33528" xr:uid="{00000000-0005-0000-0000-000060820000}"/>
    <cellStyle name="Note 4 3 4" xfId="33345" xr:uid="{00000000-0005-0000-0000-000061820000}"/>
    <cellStyle name="Note 4 3 4 2" xfId="31696" xr:uid="{00000000-0005-0000-0000-000062820000}"/>
    <cellStyle name="Note 4 3 4 2 2" xfId="25023" xr:uid="{00000000-0005-0000-0000-000063820000}"/>
    <cellStyle name="Note 4 3 4 2 2 2" xfId="21276" xr:uid="{00000000-0005-0000-0000-000064820000}"/>
    <cellStyle name="Note 4 3 4 2 2 2 2" xfId="28311" xr:uid="{00000000-0005-0000-0000-000065820000}"/>
    <cellStyle name="Note 4 3 4 2 2 3" xfId="21301" xr:uid="{00000000-0005-0000-0000-000066820000}"/>
    <cellStyle name="Note 4 3 4 2 3" xfId="28017" xr:uid="{00000000-0005-0000-0000-000067820000}"/>
    <cellStyle name="Note 4 3 4 2 3 2" xfId="28022" xr:uid="{00000000-0005-0000-0000-000068820000}"/>
    <cellStyle name="Note 4 3 4 2 4" xfId="29282" xr:uid="{00000000-0005-0000-0000-000069820000}"/>
    <cellStyle name="Note 4 3 4 3" xfId="28495" xr:uid="{00000000-0005-0000-0000-00006A820000}"/>
    <cellStyle name="Note 4 3 4 3 2" xfId="22193" xr:uid="{00000000-0005-0000-0000-00006B820000}"/>
    <cellStyle name="Note 4 3 4 3 2 2" xfId="21426" xr:uid="{00000000-0005-0000-0000-00006C820000}"/>
    <cellStyle name="Note 4 3 4 3 3" xfId="28501" xr:uid="{00000000-0005-0000-0000-00006D820000}"/>
    <cellStyle name="Note 4 3 4 4" xfId="29325" xr:uid="{00000000-0005-0000-0000-00006E820000}"/>
    <cellStyle name="Note 4 3 4 4 2" xfId="31488" xr:uid="{00000000-0005-0000-0000-00006F820000}"/>
    <cellStyle name="Note 4 3 4 5" xfId="30975" xr:uid="{00000000-0005-0000-0000-000070820000}"/>
    <cellStyle name="Note 4 3 5" xfId="28457" xr:uid="{00000000-0005-0000-0000-000071820000}"/>
    <cellStyle name="Note 4 3 5 2" xfId="26537" xr:uid="{00000000-0005-0000-0000-000072820000}"/>
    <cellStyle name="Note 4 3 5 2 2" xfId="30009" xr:uid="{00000000-0005-0000-0000-000073820000}"/>
    <cellStyle name="Note 4 3 5 2 2 2" xfId="24205" xr:uid="{00000000-0005-0000-0000-000074820000}"/>
    <cellStyle name="Note 4 3 5 2 3" xfId="27374" xr:uid="{00000000-0005-0000-0000-000075820000}"/>
    <cellStyle name="Note 4 3 5 3" xfId="28512" xr:uid="{00000000-0005-0000-0000-000076820000}"/>
    <cellStyle name="Note 4 3 5 3 2" xfId="28516" xr:uid="{00000000-0005-0000-0000-000077820000}"/>
    <cellStyle name="Note 4 3 5 4" xfId="29341" xr:uid="{00000000-0005-0000-0000-000078820000}"/>
    <cellStyle name="Note 4 3 6" xfId="31538" xr:uid="{00000000-0005-0000-0000-000079820000}"/>
    <cellStyle name="Note 4 3 6 2" xfId="29527" xr:uid="{00000000-0005-0000-0000-00007A820000}"/>
    <cellStyle name="Note 4 3 6 2 2" xfId="32356" xr:uid="{00000000-0005-0000-0000-00007B820000}"/>
    <cellStyle name="Note 4 3 6 3" xfId="28534" xr:uid="{00000000-0005-0000-0000-00007C820000}"/>
    <cellStyle name="Note 4 3 7" xfId="34008" xr:uid="{00000000-0005-0000-0000-00007D820000}"/>
    <cellStyle name="Note 4 3 7 2" xfId="31259" xr:uid="{00000000-0005-0000-0000-00007E820000}"/>
    <cellStyle name="Note 4 3 8" xfId="33042" xr:uid="{00000000-0005-0000-0000-00007F820000}"/>
    <cellStyle name="Note 4 4" xfId="6445" xr:uid="{00000000-0005-0000-0000-000080820000}"/>
    <cellStyle name="Note 4 4 2" xfId="4579" xr:uid="{00000000-0005-0000-0000-000081820000}"/>
    <cellStyle name="Note 4 4 2 2" xfId="4584" xr:uid="{00000000-0005-0000-0000-000082820000}"/>
    <cellStyle name="Note 4 4 2 2 2" xfId="33394" xr:uid="{00000000-0005-0000-0000-000083820000}"/>
    <cellStyle name="Note 4 4 2 2 2 2" xfId="15051" xr:uid="{00000000-0005-0000-0000-000084820000}"/>
    <cellStyle name="Note 4 4 2 2 2 2 2" xfId="13378" xr:uid="{00000000-0005-0000-0000-000085820000}"/>
    <cellStyle name="Note 4 4 2 2 2 2 2 2" xfId="17709" xr:uid="{00000000-0005-0000-0000-000086820000}"/>
    <cellStyle name="Note 4 4 2 2 2 2 3" xfId="17714" xr:uid="{00000000-0005-0000-0000-000087820000}"/>
    <cellStyle name="Note 4 4 2 2 2 3" xfId="14257" xr:uid="{00000000-0005-0000-0000-000088820000}"/>
    <cellStyle name="Note 4 4 2 2 2 3 2" xfId="13385" xr:uid="{00000000-0005-0000-0000-000089820000}"/>
    <cellStyle name="Note 4 4 2 2 2 4" xfId="18187" xr:uid="{00000000-0005-0000-0000-00008A820000}"/>
    <cellStyle name="Note 4 4 2 2 3" xfId="34003" xr:uid="{00000000-0005-0000-0000-00008B820000}"/>
    <cellStyle name="Note 4 4 2 2 3 2" xfId="15062" xr:uid="{00000000-0005-0000-0000-00008C820000}"/>
    <cellStyle name="Note 4 4 2 2 3 2 2" xfId="17807" xr:uid="{00000000-0005-0000-0000-00008D820000}"/>
    <cellStyle name="Note 4 4 2 2 3 3" xfId="13811" xr:uid="{00000000-0005-0000-0000-00008E820000}"/>
    <cellStyle name="Note 4 4 2 2 4" xfId="29566" xr:uid="{00000000-0005-0000-0000-00008F820000}"/>
    <cellStyle name="Note 4 4 2 2 4 2" xfId="24833" xr:uid="{00000000-0005-0000-0000-000090820000}"/>
    <cellStyle name="Note 4 4 2 2 5" xfId="32882" xr:uid="{00000000-0005-0000-0000-000091820000}"/>
    <cellStyle name="Note 4 4 2 3" xfId="27092" xr:uid="{00000000-0005-0000-0000-000092820000}"/>
    <cellStyle name="Note 4 4 2 3 2" xfId="11427" xr:uid="{00000000-0005-0000-0000-000093820000}"/>
    <cellStyle name="Note 4 4 2 3 2 2" xfId="3876" xr:uid="{00000000-0005-0000-0000-000094820000}"/>
    <cellStyle name="Note 4 4 2 3 2 2 2" xfId="18156" xr:uid="{00000000-0005-0000-0000-000095820000}"/>
    <cellStyle name="Note 4 4 2 3 2 3" xfId="13819" xr:uid="{00000000-0005-0000-0000-000096820000}"/>
    <cellStyle name="Note 4 4 2 3 3" xfId="14608" xr:uid="{00000000-0005-0000-0000-000097820000}"/>
    <cellStyle name="Note 4 4 2 3 3 2" xfId="15099" xr:uid="{00000000-0005-0000-0000-000098820000}"/>
    <cellStyle name="Note 4 4 2 3 4" xfId="33645" xr:uid="{00000000-0005-0000-0000-000099820000}"/>
    <cellStyle name="Note 4 4 2 4" xfId="32834" xr:uid="{00000000-0005-0000-0000-00009A820000}"/>
    <cellStyle name="Note 4 4 2 4 2" xfId="11429" xr:uid="{00000000-0005-0000-0000-00009B820000}"/>
    <cellStyle name="Note 4 4 2 4 2 2" xfId="6060" xr:uid="{00000000-0005-0000-0000-00009C820000}"/>
    <cellStyle name="Note 4 4 2 4 3" xfId="27127" xr:uid="{00000000-0005-0000-0000-00009D820000}"/>
    <cellStyle name="Note 4 4 2 5" xfId="32564" xr:uid="{00000000-0005-0000-0000-00009E820000}"/>
    <cellStyle name="Note 4 4 2 5 2" xfId="29239" xr:uid="{00000000-0005-0000-0000-00009F820000}"/>
    <cellStyle name="Note 4 4 2 6" xfId="33262" xr:uid="{00000000-0005-0000-0000-0000A0820000}"/>
    <cellStyle name="Note 4 4 3" xfId="4860" xr:uid="{00000000-0005-0000-0000-0000A1820000}"/>
    <cellStyle name="Note 4 4 3 2" xfId="33398" xr:uid="{00000000-0005-0000-0000-0000A2820000}"/>
    <cellStyle name="Note 4 4 3 2 2" xfId="33672" xr:uid="{00000000-0005-0000-0000-0000A3820000}"/>
    <cellStyle name="Note 4 4 3 2 2 2" xfId="15138" xr:uid="{00000000-0005-0000-0000-0000A4820000}"/>
    <cellStyle name="Note 4 4 3 2 2 2 2" xfId="14778" xr:uid="{00000000-0005-0000-0000-0000A5820000}"/>
    <cellStyle name="Note 4 4 3 2 2 3" xfId="4378" xr:uid="{00000000-0005-0000-0000-0000A6820000}"/>
    <cellStyle name="Note 4 4 3 2 3" xfId="26756" xr:uid="{00000000-0005-0000-0000-0000A7820000}"/>
    <cellStyle name="Note 4 4 3 2 3 2" xfId="15150" xr:uid="{00000000-0005-0000-0000-0000A8820000}"/>
    <cellStyle name="Note 4 4 3 2 4" xfId="32318" xr:uid="{00000000-0005-0000-0000-0000A9820000}"/>
    <cellStyle name="Note 4 4 3 3" xfId="33574" xr:uid="{00000000-0005-0000-0000-0000AA820000}"/>
    <cellStyle name="Note 4 4 3 3 2" xfId="18835" xr:uid="{00000000-0005-0000-0000-0000AB820000}"/>
    <cellStyle name="Note 4 4 3 3 2 2" xfId="22152" xr:uid="{00000000-0005-0000-0000-0000AC820000}"/>
    <cellStyle name="Note 4 4 3 3 3" xfId="32797" xr:uid="{00000000-0005-0000-0000-0000AD820000}"/>
    <cellStyle name="Note 4 4 3 4" xfId="33662" xr:uid="{00000000-0005-0000-0000-0000AE820000}"/>
    <cellStyle name="Note 4 4 3 4 2" xfId="33372" xr:uid="{00000000-0005-0000-0000-0000AF820000}"/>
    <cellStyle name="Note 4 4 3 5" xfId="33821" xr:uid="{00000000-0005-0000-0000-0000B0820000}"/>
    <cellStyle name="Note 4 4 4" xfId="33679" xr:uid="{00000000-0005-0000-0000-0000B1820000}"/>
    <cellStyle name="Note 4 4 4 2" xfId="33690" xr:uid="{00000000-0005-0000-0000-0000B2820000}"/>
    <cellStyle name="Note 4 4 4 2 2" xfId="32955" xr:uid="{00000000-0005-0000-0000-0000B3820000}"/>
    <cellStyle name="Note 4 4 4 2 2 2" xfId="15192" xr:uid="{00000000-0005-0000-0000-0000B4820000}"/>
    <cellStyle name="Note 4 4 4 2 3" xfId="27440" xr:uid="{00000000-0005-0000-0000-0000B5820000}"/>
    <cellStyle name="Note 4 4 4 3" xfId="32621" xr:uid="{00000000-0005-0000-0000-0000B6820000}"/>
    <cellStyle name="Note 4 4 4 3 2" xfId="27187" xr:uid="{00000000-0005-0000-0000-0000B7820000}"/>
    <cellStyle name="Note 4 4 4 4" xfId="30556" xr:uid="{00000000-0005-0000-0000-0000B8820000}"/>
    <cellStyle name="Note 4 4 5" xfId="33497" xr:uid="{00000000-0005-0000-0000-0000B9820000}"/>
    <cellStyle name="Note 4 4 5 2" xfId="33697" xr:uid="{00000000-0005-0000-0000-0000BA820000}"/>
    <cellStyle name="Note 4 4 5 2 2" xfId="18844" xr:uid="{00000000-0005-0000-0000-0000BB820000}"/>
    <cellStyle name="Note 4 4 5 3" xfId="28551" xr:uid="{00000000-0005-0000-0000-0000BC820000}"/>
    <cellStyle name="Note 4 4 6" xfId="30827" xr:uid="{00000000-0005-0000-0000-0000BD820000}"/>
    <cellStyle name="Note 4 4 6 2" xfId="32976" xr:uid="{00000000-0005-0000-0000-0000BE820000}"/>
    <cellStyle name="Note 4 4 7" xfId="33043" xr:uid="{00000000-0005-0000-0000-0000BF820000}"/>
    <cellStyle name="Note 4 5" xfId="10791" xr:uid="{00000000-0005-0000-0000-0000C0820000}"/>
    <cellStyle name="Note 4 5 2" xfId="4886" xr:uid="{00000000-0005-0000-0000-0000C1820000}"/>
    <cellStyle name="Note 4 5 2 2" xfId="30170" xr:uid="{00000000-0005-0000-0000-0000C2820000}"/>
    <cellStyle name="Note 4 5 2 2 2" xfId="25728" xr:uid="{00000000-0005-0000-0000-0000C3820000}"/>
    <cellStyle name="Note 4 5 2 2 2 2" xfId="32883" xr:uid="{00000000-0005-0000-0000-0000C4820000}"/>
    <cellStyle name="Note 4 5 2 2 2 2 2" xfId="32550" xr:uid="{00000000-0005-0000-0000-0000C5820000}"/>
    <cellStyle name="Note 4 5 2 2 2 3" xfId="32683" xr:uid="{00000000-0005-0000-0000-0000C6820000}"/>
    <cellStyle name="Note 4 5 2 2 3" xfId="16380" xr:uid="{00000000-0005-0000-0000-0000C7820000}"/>
    <cellStyle name="Note 4 5 2 2 3 2" xfId="33711" xr:uid="{00000000-0005-0000-0000-0000C8820000}"/>
    <cellStyle name="Note 4 5 2 2 4" xfId="25743" xr:uid="{00000000-0005-0000-0000-0000C9820000}"/>
    <cellStyle name="Note 4 5 2 3" xfId="28529" xr:uid="{00000000-0005-0000-0000-0000CA820000}"/>
    <cellStyle name="Note 4 5 2 3 2" xfId="11443" xr:uid="{00000000-0005-0000-0000-0000CB820000}"/>
    <cellStyle name="Note 4 5 2 3 2 2" xfId="31184" xr:uid="{00000000-0005-0000-0000-0000CC820000}"/>
    <cellStyle name="Note 4 5 2 3 3" xfId="25763" xr:uid="{00000000-0005-0000-0000-0000CD820000}"/>
    <cellStyle name="Note 4 5 2 4" xfId="21161" xr:uid="{00000000-0005-0000-0000-0000CE820000}"/>
    <cellStyle name="Note 4 5 2 4 2" xfId="25780" xr:uid="{00000000-0005-0000-0000-0000CF820000}"/>
    <cellStyle name="Note 4 5 2 5" xfId="33278" xr:uid="{00000000-0005-0000-0000-0000D0820000}"/>
    <cellStyle name="Note 4 5 3" xfId="33725" xr:uid="{00000000-0005-0000-0000-0000D1820000}"/>
    <cellStyle name="Note 4 5 3 2" xfId="28537" xr:uid="{00000000-0005-0000-0000-0000D2820000}"/>
    <cellStyle name="Note 4 5 3 2 2" xfId="25823" xr:uid="{00000000-0005-0000-0000-0000D3820000}"/>
    <cellStyle name="Note 4 5 3 2 2 2" xfId="25886" xr:uid="{00000000-0005-0000-0000-0000D4820000}"/>
    <cellStyle name="Note 4 5 3 2 3" xfId="25827" xr:uid="{00000000-0005-0000-0000-0000D5820000}"/>
    <cellStyle name="Note 4 5 3 3" xfId="21176" xr:uid="{00000000-0005-0000-0000-0000D6820000}"/>
    <cellStyle name="Note 4 5 3 3 2" xfId="25845" xr:uid="{00000000-0005-0000-0000-0000D7820000}"/>
    <cellStyle name="Note 4 5 3 4" xfId="28521" xr:uid="{00000000-0005-0000-0000-0000D8820000}"/>
    <cellStyle name="Note 4 5 4" xfId="26812" xr:uid="{00000000-0005-0000-0000-0000D9820000}"/>
    <cellStyle name="Note 4 5 4 2" xfId="55" xr:uid="{00000000-0005-0000-0000-0000DA820000}"/>
    <cellStyle name="Note 4 5 4 2 2" xfId="25865" xr:uid="{00000000-0005-0000-0000-0000DB820000}"/>
    <cellStyle name="Note 4 5 4 3" xfId="28561" xr:uid="{00000000-0005-0000-0000-0000DC820000}"/>
    <cellStyle name="Note 4 5 5" xfId="26711" xr:uid="{00000000-0005-0000-0000-0000DD820000}"/>
    <cellStyle name="Note 4 5 5 2" xfId="33833" xr:uid="{00000000-0005-0000-0000-0000DE820000}"/>
    <cellStyle name="Note 4 5 6" xfId="17090" xr:uid="{00000000-0005-0000-0000-0000DF820000}"/>
    <cellStyle name="Note 4 6" xfId="2845" xr:uid="{00000000-0005-0000-0000-0000E0820000}"/>
    <cellStyle name="Note 4 6 2" xfId="10976" xr:uid="{00000000-0005-0000-0000-0000E1820000}"/>
    <cellStyle name="Note 4 6 2 2" xfId="21678" xr:uid="{00000000-0005-0000-0000-0000E2820000}"/>
    <cellStyle name="Note 4 6 2 2 2" xfId="10930" xr:uid="{00000000-0005-0000-0000-0000E3820000}"/>
    <cellStyle name="Note 4 6 2 2 2 2" xfId="31992" xr:uid="{00000000-0005-0000-0000-0000E4820000}"/>
    <cellStyle name="Note 4 6 2 2 3" xfId="21989" xr:uid="{00000000-0005-0000-0000-0000E5820000}"/>
    <cellStyle name="Note 4 6 2 3" xfId="14549" xr:uid="{00000000-0005-0000-0000-0000E6820000}"/>
    <cellStyle name="Note 4 6 2 3 2" xfId="8763" xr:uid="{00000000-0005-0000-0000-0000E7820000}"/>
    <cellStyle name="Note 4 6 2 4" xfId="13449" xr:uid="{00000000-0005-0000-0000-0000E8820000}"/>
    <cellStyle name="Note 4 6 3" xfId="33283" xr:uid="{00000000-0005-0000-0000-0000E9820000}"/>
    <cellStyle name="Note 4 6 3 2" xfId="22856" xr:uid="{00000000-0005-0000-0000-0000EA820000}"/>
    <cellStyle name="Note 4 6 3 2 2" xfId="25995" xr:uid="{00000000-0005-0000-0000-0000EB820000}"/>
    <cellStyle name="Note 4 6 3 3" xfId="13456" xr:uid="{00000000-0005-0000-0000-0000EC820000}"/>
    <cellStyle name="Note 4 6 4" xfId="30599" xr:uid="{00000000-0005-0000-0000-0000ED820000}"/>
    <cellStyle name="Note 4 6 4 2" xfId="31124" xr:uid="{00000000-0005-0000-0000-0000EE820000}"/>
    <cellStyle name="Note 4 6 5" xfId="32668" xr:uid="{00000000-0005-0000-0000-0000EF820000}"/>
    <cellStyle name="Note 4 7" xfId="15398" xr:uid="{00000000-0005-0000-0000-0000F0820000}"/>
    <cellStyle name="Note 4 7 2" xfId="10010" xr:uid="{00000000-0005-0000-0000-0000F1820000}"/>
    <cellStyle name="Note 4 7 2 2" xfId="21843" xr:uid="{00000000-0005-0000-0000-0000F2820000}"/>
    <cellStyle name="Note 4 7 2 2 2" xfId="11193" xr:uid="{00000000-0005-0000-0000-0000F3820000}"/>
    <cellStyle name="Note 4 7 2 3" xfId="13470" xr:uid="{00000000-0005-0000-0000-0000F4820000}"/>
    <cellStyle name="Note 4 7 3" xfId="31940" xr:uid="{00000000-0005-0000-0000-0000F5820000}"/>
    <cellStyle name="Note 4 7 3 2" xfId="30185" xr:uid="{00000000-0005-0000-0000-0000F6820000}"/>
    <cellStyle name="Note 4 7 4" xfId="26114" xr:uid="{00000000-0005-0000-0000-0000F7820000}"/>
    <cellStyle name="Note 4 8" xfId="28047" xr:uid="{00000000-0005-0000-0000-0000F8820000}"/>
    <cellStyle name="Note 4 8 2" xfId="30196" xr:uid="{00000000-0005-0000-0000-0000F9820000}"/>
    <cellStyle name="Note 4 8 2 2" xfId="30200" xr:uid="{00000000-0005-0000-0000-0000FA820000}"/>
    <cellStyle name="Note 4 8 3" xfId="29460" xr:uid="{00000000-0005-0000-0000-0000FB820000}"/>
    <cellStyle name="Note 4 9" xfId="30419" xr:uid="{00000000-0005-0000-0000-0000FC820000}"/>
    <cellStyle name="Note 4 9 2" xfId="30717" xr:uid="{00000000-0005-0000-0000-0000FD820000}"/>
    <cellStyle name="Note 5" xfId="33837" xr:uid="{00000000-0005-0000-0000-0000FE820000}"/>
    <cellStyle name="Note 5 2" xfId="33756" xr:uid="{00000000-0005-0000-0000-0000FF820000}"/>
    <cellStyle name="Note 5 2 2" xfId="34007" xr:uid="{00000000-0005-0000-0000-000000830000}"/>
    <cellStyle name="Note 5 2 2 2" xfId="31266" xr:uid="{00000000-0005-0000-0000-000001830000}"/>
    <cellStyle name="Note 5 2 2 2 2" xfId="33217" xr:uid="{00000000-0005-0000-0000-000002830000}"/>
    <cellStyle name="Note 5 2 2 2 2 2" xfId="33193" xr:uid="{00000000-0005-0000-0000-000003830000}"/>
    <cellStyle name="Note 5 2 2 2 2 2 2" xfId="33899" xr:uid="{00000000-0005-0000-0000-000004830000}"/>
    <cellStyle name="Note 5 2 2 2 2 2 2 2" xfId="21820" xr:uid="{00000000-0005-0000-0000-000005830000}"/>
    <cellStyle name="Note 5 2 2 2 2 2 2 2 2" xfId="28613" xr:uid="{00000000-0005-0000-0000-000006830000}"/>
    <cellStyle name="Note 5 2 2 2 2 2 2 3" xfId="28980" xr:uid="{00000000-0005-0000-0000-000007830000}"/>
    <cellStyle name="Note 5 2 2 2 2 2 3" xfId="10261" xr:uid="{00000000-0005-0000-0000-000008830000}"/>
    <cellStyle name="Note 5 2 2 2 2 2 3 2" xfId="14039" xr:uid="{00000000-0005-0000-0000-000009830000}"/>
    <cellStyle name="Note 5 2 2 2 2 2 4" xfId="12141" xr:uid="{00000000-0005-0000-0000-00000A830000}"/>
    <cellStyle name="Note 5 2 2 2 2 3" xfId="15225" xr:uid="{00000000-0005-0000-0000-00000B830000}"/>
    <cellStyle name="Note 5 2 2 2 2 3 2" xfId="21857" xr:uid="{00000000-0005-0000-0000-00000C830000}"/>
    <cellStyle name="Note 5 2 2 2 2 3 2 2" xfId="30114" xr:uid="{00000000-0005-0000-0000-00000D830000}"/>
    <cellStyle name="Note 5 2 2 2 2 3 3" xfId="270" xr:uid="{00000000-0005-0000-0000-00000E830000}"/>
    <cellStyle name="Note 5 2 2 2 2 4" xfId="24751" xr:uid="{00000000-0005-0000-0000-00000F830000}"/>
    <cellStyle name="Note 5 2 2 2 2 4 2" xfId="33990" xr:uid="{00000000-0005-0000-0000-000010830000}"/>
    <cellStyle name="Note 5 2 2 2 2 5" xfId="20425" xr:uid="{00000000-0005-0000-0000-000011830000}"/>
    <cellStyle name="Note 5 2 2 2 3" xfId="33772" xr:uid="{00000000-0005-0000-0000-000012830000}"/>
    <cellStyle name="Note 5 2 2 2 3 2" xfId="33780" xr:uid="{00000000-0005-0000-0000-000013830000}"/>
    <cellStyle name="Note 5 2 2 2 3 2 2" xfId="22650" xr:uid="{00000000-0005-0000-0000-000014830000}"/>
    <cellStyle name="Note 5 2 2 2 3 2 2 2" xfId="243" xr:uid="{00000000-0005-0000-0000-000015830000}"/>
    <cellStyle name="Note 5 2 2 2 3 2 3" xfId="125" xr:uid="{00000000-0005-0000-0000-000016830000}"/>
    <cellStyle name="Note 5 2 2 2 3 3" xfId="8604" xr:uid="{00000000-0005-0000-0000-000017830000}"/>
    <cellStyle name="Note 5 2 2 2 3 3 2" xfId="34020" xr:uid="{00000000-0005-0000-0000-000018830000}"/>
    <cellStyle name="Note 5 2 2 2 3 4" xfId="30451" xr:uid="{00000000-0005-0000-0000-000019830000}"/>
    <cellStyle name="Note 5 2 2 2 4" xfId="33792" xr:uid="{00000000-0005-0000-0000-00001A830000}"/>
    <cellStyle name="Note 5 2 2 2 4 2" xfId="28387" xr:uid="{00000000-0005-0000-0000-00001B830000}"/>
    <cellStyle name="Note 5 2 2 2 4 2 2" xfId="33723" xr:uid="{00000000-0005-0000-0000-00001C830000}"/>
    <cellStyle name="Note 5 2 2 2 4 3" xfId="33054" xr:uid="{00000000-0005-0000-0000-00001D830000}"/>
    <cellStyle name="Note 5 2 2 2 5" xfId="33793" xr:uid="{00000000-0005-0000-0000-00001E830000}"/>
    <cellStyle name="Note 5 2 2 2 5 2" xfId="30761" xr:uid="{00000000-0005-0000-0000-00001F830000}"/>
    <cellStyle name="Note 5 2 2 2 6" xfId="29209" xr:uid="{00000000-0005-0000-0000-000020830000}"/>
    <cellStyle name="Note 5 2 2 3" xfId="26450" xr:uid="{00000000-0005-0000-0000-000021830000}"/>
    <cellStyle name="Note 5 2 2 3 2" xfId="3955" xr:uid="{00000000-0005-0000-0000-000022830000}"/>
    <cellStyle name="Note 5 2 2 3 2 2" xfId="31457" xr:uid="{00000000-0005-0000-0000-000023830000}"/>
    <cellStyle name="Note 5 2 2 3 2 2 2" xfId="10303" xr:uid="{00000000-0005-0000-0000-000024830000}"/>
    <cellStyle name="Note 5 2 2 3 2 2 2 2" xfId="24471" xr:uid="{00000000-0005-0000-0000-000025830000}"/>
    <cellStyle name="Note 5 2 2 3 2 2 3" xfId="12325" xr:uid="{00000000-0005-0000-0000-000026830000}"/>
    <cellStyle name="Note 5 2 2 3 2 3" xfId="32813" xr:uid="{00000000-0005-0000-0000-000027830000}"/>
    <cellStyle name="Note 5 2 2 3 2 3 2" xfId="24563" xr:uid="{00000000-0005-0000-0000-000028830000}"/>
    <cellStyle name="Note 5 2 2 3 2 4" xfId="32763" xr:uid="{00000000-0005-0000-0000-000029830000}"/>
    <cellStyle name="Note 5 2 2 3 3" xfId="4222" xr:uid="{00000000-0005-0000-0000-00002A830000}"/>
    <cellStyle name="Note 5 2 2 3 3 2" xfId="33797" xr:uid="{00000000-0005-0000-0000-00002B830000}"/>
    <cellStyle name="Note 5 2 2 3 3 2 2" xfId="24969" xr:uid="{00000000-0005-0000-0000-00002C830000}"/>
    <cellStyle name="Note 5 2 2 3 3 3" xfId="29973" xr:uid="{00000000-0005-0000-0000-00002D830000}"/>
    <cellStyle name="Note 5 2 2 3 4" xfId="11574" xr:uid="{00000000-0005-0000-0000-00002E830000}"/>
    <cellStyle name="Note 5 2 2 3 4 2" xfId="32088" xr:uid="{00000000-0005-0000-0000-00002F830000}"/>
    <cellStyle name="Note 5 2 2 3 5" xfId="8719" xr:uid="{00000000-0005-0000-0000-000030830000}"/>
    <cellStyle name="Note 5 2 2 4" xfId="33266" xr:uid="{00000000-0005-0000-0000-000031830000}"/>
    <cellStyle name="Note 5 2 2 4 2" xfId="4686" xr:uid="{00000000-0005-0000-0000-000032830000}"/>
    <cellStyle name="Note 5 2 2 4 2 2" xfId="33982" xr:uid="{00000000-0005-0000-0000-000033830000}"/>
    <cellStyle name="Note 5 2 2 4 2 2 2" xfId="26497" xr:uid="{00000000-0005-0000-0000-000034830000}"/>
    <cellStyle name="Note 5 2 2 4 2 3" xfId="33629" xr:uid="{00000000-0005-0000-0000-000035830000}"/>
    <cellStyle name="Note 5 2 2 4 3" xfId="11576" xr:uid="{00000000-0005-0000-0000-000036830000}"/>
    <cellStyle name="Note 5 2 2 4 3 2" xfId="2787" xr:uid="{00000000-0005-0000-0000-000037830000}"/>
    <cellStyle name="Note 5 2 2 4 4" xfId="27804" xr:uid="{00000000-0005-0000-0000-000038830000}"/>
    <cellStyle name="Note 5 2 2 5" xfId="33805" xr:uid="{00000000-0005-0000-0000-000039830000}"/>
    <cellStyle name="Note 5 2 2 5 2" xfId="15568" xr:uid="{00000000-0005-0000-0000-00003A830000}"/>
    <cellStyle name="Note 5 2 2 5 2 2" xfId="3982" xr:uid="{00000000-0005-0000-0000-00003B830000}"/>
    <cellStyle name="Note 5 2 2 5 3" xfId="20289" xr:uid="{00000000-0005-0000-0000-00003C830000}"/>
    <cellStyle name="Note 5 2 2 6" xfId="22488" xr:uid="{00000000-0005-0000-0000-00003D830000}"/>
    <cellStyle name="Note 5 2 2 6 2" xfId="33116" xr:uid="{00000000-0005-0000-0000-00003E830000}"/>
    <cellStyle name="Note 5 2 2 7" xfId="33807" xr:uid="{00000000-0005-0000-0000-00003F830000}"/>
    <cellStyle name="Note 5 2 3" xfId="30724" xr:uid="{00000000-0005-0000-0000-000040830000}"/>
    <cellStyle name="Note 5 2 3 2" xfId="33660" xr:uid="{00000000-0005-0000-0000-000041830000}"/>
    <cellStyle name="Note 5 2 3 2 2" xfId="26709" xr:uid="{00000000-0005-0000-0000-000042830000}"/>
    <cellStyle name="Note 5 2 3 2 2 2" xfId="12592" xr:uid="{00000000-0005-0000-0000-000043830000}"/>
    <cellStyle name="Note 5 2 3 2 2 2 2" xfId="4611" xr:uid="{00000000-0005-0000-0000-000044830000}"/>
    <cellStyle name="Note 5 2 3 2 2 2 2 2" xfId="20989" xr:uid="{00000000-0005-0000-0000-000045830000}"/>
    <cellStyle name="Note 5 2 3 2 2 2 3" xfId="2187" xr:uid="{00000000-0005-0000-0000-000046830000}"/>
    <cellStyle name="Note 5 2 3 2 2 3" xfId="12602" xr:uid="{00000000-0005-0000-0000-000047830000}"/>
    <cellStyle name="Note 5 2 3 2 2 3 2" xfId="21026" xr:uid="{00000000-0005-0000-0000-000048830000}"/>
    <cellStyle name="Note 5 2 3 2 2 4" xfId="12607" xr:uid="{00000000-0005-0000-0000-000049830000}"/>
    <cellStyle name="Note 5 2 3 2 3" xfId="33592" xr:uid="{00000000-0005-0000-0000-00004A830000}"/>
    <cellStyle name="Note 5 2 3 2 3 2" xfId="6315" xr:uid="{00000000-0005-0000-0000-00004B830000}"/>
    <cellStyle name="Note 5 2 3 2 3 2 2" xfId="21087" xr:uid="{00000000-0005-0000-0000-00004C830000}"/>
    <cellStyle name="Note 5 2 3 2 3 3" xfId="6319" xr:uid="{00000000-0005-0000-0000-00004D830000}"/>
    <cellStyle name="Note 5 2 3 2 4" xfId="23588" xr:uid="{00000000-0005-0000-0000-00004E830000}"/>
    <cellStyle name="Note 5 2 3 2 4 2" xfId="11661" xr:uid="{00000000-0005-0000-0000-00004F830000}"/>
    <cellStyle name="Note 5 2 3 2 5" xfId="30658" xr:uid="{00000000-0005-0000-0000-000050830000}"/>
    <cellStyle name="Note 5 2 3 3" xfId="23101" xr:uid="{00000000-0005-0000-0000-000051830000}"/>
    <cellStyle name="Note 5 2 3 3 2" xfId="4256" xr:uid="{00000000-0005-0000-0000-000052830000}"/>
    <cellStyle name="Note 5 2 3 3 2 2" xfId="8390" xr:uid="{00000000-0005-0000-0000-000053830000}"/>
    <cellStyle name="Note 5 2 3 3 2 2 2" xfId="18980" xr:uid="{00000000-0005-0000-0000-000054830000}"/>
    <cellStyle name="Note 5 2 3 3 2 3" xfId="1074" xr:uid="{00000000-0005-0000-0000-000055830000}"/>
    <cellStyle name="Note 5 2 3 3 3" xfId="11581" xr:uid="{00000000-0005-0000-0000-000056830000}"/>
    <cellStyle name="Note 5 2 3 3 3 2" xfId="6392" xr:uid="{00000000-0005-0000-0000-000057830000}"/>
    <cellStyle name="Note 5 2 3 3 4" xfId="30110" xr:uid="{00000000-0005-0000-0000-000058830000}"/>
    <cellStyle name="Note 5 2 3 4" xfId="3079" xr:uid="{00000000-0005-0000-0000-000059830000}"/>
    <cellStyle name="Note 5 2 3 4 2" xfId="14268" xr:uid="{00000000-0005-0000-0000-00005A830000}"/>
    <cellStyle name="Note 5 2 3 4 2 2" xfId="7789" xr:uid="{00000000-0005-0000-0000-00005B830000}"/>
    <cellStyle name="Note 5 2 3 4 3" xfId="10095" xr:uid="{00000000-0005-0000-0000-00005C830000}"/>
    <cellStyle name="Note 5 2 3 5" xfId="3111" xr:uid="{00000000-0005-0000-0000-00005D830000}"/>
    <cellStyle name="Note 5 2 3 5 2" xfId="8534" xr:uid="{00000000-0005-0000-0000-00005E830000}"/>
    <cellStyle name="Note 5 2 3 6" xfId="9823" xr:uid="{00000000-0005-0000-0000-00005F830000}"/>
    <cellStyle name="Note 5 2 4" xfId="30550" xr:uid="{00000000-0005-0000-0000-000060830000}"/>
    <cellStyle name="Note 5 2 4 2" xfId="31846" xr:uid="{00000000-0005-0000-0000-000061830000}"/>
    <cellStyle name="Note 5 2 4 2 2" xfId="20013" xr:uid="{00000000-0005-0000-0000-000062830000}"/>
    <cellStyle name="Note 5 2 4 2 2 2" xfId="12643" xr:uid="{00000000-0005-0000-0000-000063830000}"/>
    <cellStyle name="Note 5 2 4 2 2 2 2" xfId="5677" xr:uid="{00000000-0005-0000-0000-000064830000}"/>
    <cellStyle name="Note 5 2 4 2 2 3" xfId="12648" xr:uid="{00000000-0005-0000-0000-000065830000}"/>
    <cellStyle name="Note 5 2 4 2 3" xfId="20017" xr:uid="{00000000-0005-0000-0000-000066830000}"/>
    <cellStyle name="Note 5 2 4 2 3 2" xfId="6491" xr:uid="{00000000-0005-0000-0000-000067830000}"/>
    <cellStyle name="Note 5 2 4 2 4" xfId="18725" xr:uid="{00000000-0005-0000-0000-000068830000}"/>
    <cellStyle name="Note 5 2 4 3" xfId="33179" xr:uid="{00000000-0005-0000-0000-000069830000}"/>
    <cellStyle name="Note 5 2 4 3 2" xfId="20035" xr:uid="{00000000-0005-0000-0000-00006A830000}"/>
    <cellStyle name="Note 5 2 4 3 2 2" xfId="7857" xr:uid="{00000000-0005-0000-0000-00006B830000}"/>
    <cellStyle name="Note 5 2 4 3 3" xfId="20037" xr:uid="{00000000-0005-0000-0000-00006C830000}"/>
    <cellStyle name="Note 5 2 4 4" xfId="4145" xr:uid="{00000000-0005-0000-0000-00006D830000}"/>
    <cellStyle name="Note 5 2 4 4 2" xfId="20041" xr:uid="{00000000-0005-0000-0000-00006E830000}"/>
    <cellStyle name="Note 5 2 4 5" xfId="3187" xr:uid="{00000000-0005-0000-0000-00006F830000}"/>
    <cellStyle name="Note 5 2 5" xfId="32671" xr:uid="{00000000-0005-0000-0000-000070830000}"/>
    <cellStyle name="Note 5 2 5 2" xfId="30718" xr:uid="{00000000-0005-0000-0000-000071830000}"/>
    <cellStyle name="Note 5 2 5 2 2" xfId="23725" xr:uid="{00000000-0005-0000-0000-000072830000}"/>
    <cellStyle name="Note 5 2 5 2 2 2" xfId="12677" xr:uid="{00000000-0005-0000-0000-000073830000}"/>
    <cellStyle name="Note 5 2 5 2 3" xfId="10196" xr:uid="{00000000-0005-0000-0000-000074830000}"/>
    <cellStyle name="Note 5 2 5 3" xfId="32685" xr:uid="{00000000-0005-0000-0000-000075830000}"/>
    <cellStyle name="Note 5 2 5 3 2" xfId="19778" xr:uid="{00000000-0005-0000-0000-000076830000}"/>
    <cellStyle name="Note 5 2 5 4" xfId="3195" xr:uid="{00000000-0005-0000-0000-000077830000}"/>
    <cellStyle name="Note 5 2 6" xfId="31714" xr:uid="{00000000-0005-0000-0000-000078830000}"/>
    <cellStyle name="Note 5 2 6 2" xfId="30768" xr:uid="{00000000-0005-0000-0000-000079830000}"/>
    <cellStyle name="Note 5 2 6 2 2" xfId="20081" xr:uid="{00000000-0005-0000-0000-00007A830000}"/>
    <cellStyle name="Note 5 2 6 3" xfId="33814" xr:uid="{00000000-0005-0000-0000-00007B830000}"/>
    <cellStyle name="Note 5 2 7" xfId="19451" xr:uid="{00000000-0005-0000-0000-00007C830000}"/>
    <cellStyle name="Note 5 2 7 2" xfId="32081" xr:uid="{00000000-0005-0000-0000-00007D830000}"/>
    <cellStyle name="Note 5 2 8" xfId="31564" xr:uid="{00000000-0005-0000-0000-00007E830000}"/>
    <cellStyle name="Note 5 3" xfId="33107" xr:uid="{00000000-0005-0000-0000-00007F830000}"/>
    <cellStyle name="Note 5 3 2" xfId="34006" xr:uid="{00000000-0005-0000-0000-000080830000}"/>
    <cellStyle name="Note 5 3 2 2" xfId="33330" xr:uid="{00000000-0005-0000-0000-000081830000}"/>
    <cellStyle name="Note 5 3 2 2 2" xfId="32290" xr:uid="{00000000-0005-0000-0000-000082830000}"/>
    <cellStyle name="Note 5 3 2 2 2 2" xfId="29044" xr:uid="{00000000-0005-0000-0000-000083830000}"/>
    <cellStyle name="Note 5 3 2 2 2 2 2" xfId="33173" xr:uid="{00000000-0005-0000-0000-000084830000}"/>
    <cellStyle name="Note 5 3 2 2 2 2 2 2" xfId="23534" xr:uid="{00000000-0005-0000-0000-000085830000}"/>
    <cellStyle name="Note 5 3 2 2 2 2 3" xfId="6017" xr:uid="{00000000-0005-0000-0000-000086830000}"/>
    <cellStyle name="Note 5 3 2 2 2 3" xfId="29768" xr:uid="{00000000-0005-0000-0000-000087830000}"/>
    <cellStyle name="Note 5 3 2 2 2 3 2" xfId="27020" xr:uid="{00000000-0005-0000-0000-000088830000}"/>
    <cellStyle name="Note 5 3 2 2 2 4" xfId="29770" xr:uid="{00000000-0005-0000-0000-000089830000}"/>
    <cellStyle name="Note 5 3 2 2 3" xfId="26211" xr:uid="{00000000-0005-0000-0000-00008A830000}"/>
    <cellStyle name="Note 5 3 2 2 3 2" xfId="28865" xr:uid="{00000000-0005-0000-0000-00008B830000}"/>
    <cellStyle name="Note 5 3 2 2 3 2 2" xfId="33992" xr:uid="{00000000-0005-0000-0000-00008C830000}"/>
    <cellStyle name="Note 5 3 2 2 3 3" xfId="29774" xr:uid="{00000000-0005-0000-0000-00008D830000}"/>
    <cellStyle name="Note 5 3 2 2 4" xfId="17900" xr:uid="{00000000-0005-0000-0000-00008E830000}"/>
    <cellStyle name="Note 5 3 2 2 4 2" xfId="28867" xr:uid="{00000000-0005-0000-0000-00008F830000}"/>
    <cellStyle name="Note 5 3 2 2 5" xfId="17902" xr:uid="{00000000-0005-0000-0000-000090830000}"/>
    <cellStyle name="Note 5 3 2 3" xfId="30586" xr:uid="{00000000-0005-0000-0000-000091830000}"/>
    <cellStyle name="Note 5 3 2 3 2" xfId="4474" xr:uid="{00000000-0005-0000-0000-000092830000}"/>
    <cellStyle name="Note 5 3 2 3 2 2" xfId="28876" xr:uid="{00000000-0005-0000-0000-000093830000}"/>
    <cellStyle name="Note 5 3 2 3 2 2 2" xfId="26169" xr:uid="{00000000-0005-0000-0000-000094830000}"/>
    <cellStyle name="Note 5 3 2 3 2 3" xfId="29781" xr:uid="{00000000-0005-0000-0000-000095830000}"/>
    <cellStyle name="Note 5 3 2 3 3" xfId="11603" xr:uid="{00000000-0005-0000-0000-000096830000}"/>
    <cellStyle name="Note 5 3 2 3 3 2" xfId="30710" xr:uid="{00000000-0005-0000-0000-000097830000}"/>
    <cellStyle name="Note 5 3 2 3 4" xfId="17906" xr:uid="{00000000-0005-0000-0000-000098830000}"/>
    <cellStyle name="Note 5 3 2 4" xfId="26575" xr:uid="{00000000-0005-0000-0000-000099830000}"/>
    <cellStyle name="Note 5 3 2 4 2" xfId="11607" xr:uid="{00000000-0005-0000-0000-00009A830000}"/>
    <cellStyle name="Note 5 3 2 4 2 2" xfId="21047" xr:uid="{00000000-0005-0000-0000-00009B830000}"/>
    <cellStyle name="Note 5 3 2 4 3" xfId="24629" xr:uid="{00000000-0005-0000-0000-00009C830000}"/>
    <cellStyle name="Note 5 3 2 5" xfId="32570" xr:uid="{00000000-0005-0000-0000-00009D830000}"/>
    <cellStyle name="Note 5 3 2 5 2" xfId="23216" xr:uid="{00000000-0005-0000-0000-00009E830000}"/>
    <cellStyle name="Note 5 3 2 6" xfId="25369" xr:uid="{00000000-0005-0000-0000-00009F830000}"/>
    <cellStyle name="Note 5 3 3" xfId="33190" xr:uid="{00000000-0005-0000-0000-0000A0830000}"/>
    <cellStyle name="Note 5 3 3 2" xfId="26790" xr:uid="{00000000-0005-0000-0000-0000A1830000}"/>
    <cellStyle name="Note 5 3 3 2 2" xfId="31954" xr:uid="{00000000-0005-0000-0000-0000A2830000}"/>
    <cellStyle name="Note 5 3 3 2 2 2" xfId="27720" xr:uid="{00000000-0005-0000-0000-0000A3830000}"/>
    <cellStyle name="Note 5 3 3 2 2 2 2" xfId="23555" xr:uid="{00000000-0005-0000-0000-0000A4830000}"/>
    <cellStyle name="Note 5 3 3 2 2 3" xfId="12706" xr:uid="{00000000-0005-0000-0000-0000A5830000}"/>
    <cellStyle name="Note 5 3 3 2 3" xfId="27633" xr:uid="{00000000-0005-0000-0000-0000A6830000}"/>
    <cellStyle name="Note 5 3 3 2 3 2" xfId="8798" xr:uid="{00000000-0005-0000-0000-0000A7830000}"/>
    <cellStyle name="Note 5 3 3 2 4" xfId="6039" xr:uid="{00000000-0005-0000-0000-0000A8830000}"/>
    <cellStyle name="Note 5 3 3 3" xfId="28025" xr:uid="{00000000-0005-0000-0000-0000A9830000}"/>
    <cellStyle name="Note 5 3 3 3 2" xfId="16965" xr:uid="{00000000-0005-0000-0000-0000AA830000}"/>
    <cellStyle name="Note 5 3 3 3 2 2" xfId="10284" xr:uid="{00000000-0005-0000-0000-0000AB830000}"/>
    <cellStyle name="Note 5 3 3 3 3" xfId="33842" xr:uid="{00000000-0005-0000-0000-0000AC830000}"/>
    <cellStyle name="Note 5 3 3 4" xfId="3222" xr:uid="{00000000-0005-0000-0000-0000AD830000}"/>
    <cellStyle name="Note 5 3 3 4 2" xfId="7564" xr:uid="{00000000-0005-0000-0000-0000AE830000}"/>
    <cellStyle name="Note 5 3 3 5" xfId="3227" xr:uid="{00000000-0005-0000-0000-0000AF830000}"/>
    <cellStyle name="Note 5 3 4" xfId="32795" xr:uid="{00000000-0005-0000-0000-0000B0830000}"/>
    <cellStyle name="Note 5 3 4 2" xfId="33844" xr:uid="{00000000-0005-0000-0000-0000B1830000}"/>
    <cellStyle name="Note 5 3 4 2 2" xfId="20231" xr:uid="{00000000-0005-0000-0000-0000B2830000}"/>
    <cellStyle name="Note 5 3 4 2 2 2" xfId="12757" xr:uid="{00000000-0005-0000-0000-0000B3830000}"/>
    <cellStyle name="Note 5 3 4 2 3" xfId="25067" xr:uid="{00000000-0005-0000-0000-0000B4830000}"/>
    <cellStyle name="Note 5 3 4 3" xfId="29809" xr:uid="{00000000-0005-0000-0000-0000B5830000}"/>
    <cellStyle name="Note 5 3 4 3 2" xfId="20249" xr:uid="{00000000-0005-0000-0000-0000B6830000}"/>
    <cellStyle name="Note 5 3 4 4" xfId="5670" xr:uid="{00000000-0005-0000-0000-0000B7830000}"/>
    <cellStyle name="Note 5 3 5" xfId="18731" xr:uid="{00000000-0005-0000-0000-0000B8830000}"/>
    <cellStyle name="Note 5 3 5 2" xfId="30844" xr:uid="{00000000-0005-0000-0000-0000B9830000}"/>
    <cellStyle name="Note 5 3 5 2 2" xfId="20262" xr:uid="{00000000-0005-0000-0000-0000BA830000}"/>
    <cellStyle name="Note 5 3 5 3" xfId="28503" xr:uid="{00000000-0005-0000-0000-0000BB830000}"/>
    <cellStyle name="Note 5 3 6" xfId="30928" xr:uid="{00000000-0005-0000-0000-0000BC830000}"/>
    <cellStyle name="Note 5 3 6 2" xfId="33381" xr:uid="{00000000-0005-0000-0000-0000BD830000}"/>
    <cellStyle name="Note 5 3 7" xfId="30931" xr:uid="{00000000-0005-0000-0000-0000BE830000}"/>
    <cellStyle name="Note 5 4" xfId="6455" xr:uid="{00000000-0005-0000-0000-0000BF830000}"/>
    <cellStyle name="Note 5 4 2" xfId="4947" xr:uid="{00000000-0005-0000-0000-0000C0830000}"/>
    <cellStyle name="Note 5 4 2 2" xfId="33859" xr:uid="{00000000-0005-0000-0000-0000C1830000}"/>
    <cellStyle name="Note 5 4 2 2 2" xfId="29439" xr:uid="{00000000-0005-0000-0000-0000C2830000}"/>
    <cellStyle name="Note 5 4 2 2 2 2" xfId="29441" xr:uid="{00000000-0005-0000-0000-0000C3830000}"/>
    <cellStyle name="Note 5 4 2 2 2 2 2" xfId="29447" xr:uid="{00000000-0005-0000-0000-0000C4830000}"/>
    <cellStyle name="Note 5 4 2 2 2 3" xfId="27952" xr:uid="{00000000-0005-0000-0000-0000C5830000}"/>
    <cellStyle name="Note 5 4 2 2 3" xfId="12082" xr:uid="{00000000-0005-0000-0000-0000C6830000}"/>
    <cellStyle name="Note 5 4 2 2 3 2" xfId="6930" xr:uid="{00000000-0005-0000-0000-0000C7830000}"/>
    <cellStyle name="Note 5 4 2 2 4" xfId="17940" xr:uid="{00000000-0005-0000-0000-0000C8830000}"/>
    <cellStyle name="Note 5 4 2 3" xfId="26599" xr:uid="{00000000-0005-0000-0000-0000C9830000}"/>
    <cellStyle name="Note 5 4 2 3 2" xfId="11612" xr:uid="{00000000-0005-0000-0000-0000CA830000}"/>
    <cellStyle name="Note 5 4 2 3 2 2" xfId="29459" xr:uid="{00000000-0005-0000-0000-0000CB830000}"/>
    <cellStyle name="Note 5 4 2 3 3" xfId="32974" xr:uid="{00000000-0005-0000-0000-0000CC830000}"/>
    <cellStyle name="Note 5 4 2 4" xfId="26581" xr:uid="{00000000-0005-0000-0000-0000CD830000}"/>
    <cellStyle name="Note 5 4 2 4 2" xfId="33715" xr:uid="{00000000-0005-0000-0000-0000CE830000}"/>
    <cellStyle name="Note 5 4 2 5" xfId="29496" xr:uid="{00000000-0005-0000-0000-0000CF830000}"/>
    <cellStyle name="Note 5 4 3" xfId="27776" xr:uid="{00000000-0005-0000-0000-0000D0830000}"/>
    <cellStyle name="Note 5 4 3 2" xfId="33149" xr:uid="{00000000-0005-0000-0000-0000D1830000}"/>
    <cellStyle name="Note 5 4 3 2 2" xfId="29510" xr:uid="{00000000-0005-0000-0000-0000D2830000}"/>
    <cellStyle name="Note 5 4 3 2 2 2" xfId="12818" xr:uid="{00000000-0005-0000-0000-0000D3830000}"/>
    <cellStyle name="Note 5 4 3 2 3" xfId="33519" xr:uid="{00000000-0005-0000-0000-0000D4830000}"/>
    <cellStyle name="Note 5 4 3 3" xfId="26606" xr:uid="{00000000-0005-0000-0000-0000D5830000}"/>
    <cellStyle name="Note 5 4 3 3 2" xfId="29520" xr:uid="{00000000-0005-0000-0000-0000D6830000}"/>
    <cellStyle name="Note 5 4 3 4" xfId="12737" xr:uid="{00000000-0005-0000-0000-0000D7830000}"/>
    <cellStyle name="Note 5 4 4" xfId="29547" xr:uid="{00000000-0005-0000-0000-0000D8830000}"/>
    <cellStyle name="Note 5 4 4 2" xfId="33648" xr:uid="{00000000-0005-0000-0000-0000D9830000}"/>
    <cellStyle name="Note 5 4 4 2 2" xfId="3590" xr:uid="{00000000-0005-0000-0000-0000DA830000}"/>
    <cellStyle name="Note 5 4 4 3" xfId="5193" xr:uid="{00000000-0005-0000-0000-0000DB830000}"/>
    <cellStyle name="Note 5 4 5" xfId="30852" xr:uid="{00000000-0005-0000-0000-0000DC830000}"/>
    <cellStyle name="Note 5 4 5 2" xfId="29579" xr:uid="{00000000-0005-0000-0000-0000DD830000}"/>
    <cellStyle name="Note 5 4 6" xfId="32618" xr:uid="{00000000-0005-0000-0000-0000DE830000}"/>
    <cellStyle name="Note 5 5" xfId="6459" xr:uid="{00000000-0005-0000-0000-0000DF830000}"/>
    <cellStyle name="Note 5 5 2" xfId="17624" xr:uid="{00000000-0005-0000-0000-0000E0830000}"/>
    <cellStyle name="Note 5 5 2 2" xfId="33163" xr:uid="{00000000-0005-0000-0000-0000E1830000}"/>
    <cellStyle name="Note 5 5 2 2 2" xfId="26204" xr:uid="{00000000-0005-0000-0000-0000E2830000}"/>
    <cellStyle name="Note 5 5 2 2 2 2" xfId="29592" xr:uid="{00000000-0005-0000-0000-0000E3830000}"/>
    <cellStyle name="Note 5 5 2 2 3" xfId="2419" xr:uid="{00000000-0005-0000-0000-0000E4830000}"/>
    <cellStyle name="Note 5 5 2 3" xfId="21328" xr:uid="{00000000-0005-0000-0000-0000E5830000}"/>
    <cellStyle name="Note 5 5 2 3 2" xfId="22240" xr:uid="{00000000-0005-0000-0000-0000E6830000}"/>
    <cellStyle name="Note 5 5 2 4" xfId="3643" xr:uid="{00000000-0005-0000-0000-0000E7830000}"/>
    <cellStyle name="Note 5 5 3" xfId="11998" xr:uid="{00000000-0005-0000-0000-0000E8830000}"/>
    <cellStyle name="Note 5 5 3 2" xfId="21331" xr:uid="{00000000-0005-0000-0000-0000E9830000}"/>
    <cellStyle name="Note 5 5 3 2 2" xfId="22461" xr:uid="{00000000-0005-0000-0000-0000EA830000}"/>
    <cellStyle name="Note 5 5 3 3" xfId="28786" xr:uid="{00000000-0005-0000-0000-0000EB830000}"/>
    <cellStyle name="Note 5 5 4" xfId="12004" xr:uid="{00000000-0005-0000-0000-0000EC830000}"/>
    <cellStyle name="Note 5 5 4 2" xfId="27105" xr:uid="{00000000-0005-0000-0000-0000ED830000}"/>
    <cellStyle name="Note 5 5 5" xfId="20015" xr:uid="{00000000-0005-0000-0000-0000EE830000}"/>
    <cellStyle name="Note 5 6" xfId="20186" xr:uid="{00000000-0005-0000-0000-0000EF830000}"/>
    <cellStyle name="Note 5 6 2" xfId="21473" xr:uid="{00000000-0005-0000-0000-0000F0830000}"/>
    <cellStyle name="Note 5 6 2 2" xfId="30242" xr:uid="{00000000-0005-0000-0000-0000F1830000}"/>
    <cellStyle name="Note 5 6 2 2 2" xfId="28104" xr:uid="{00000000-0005-0000-0000-0000F2830000}"/>
    <cellStyle name="Note 5 6 2 3" xfId="13505" xr:uid="{00000000-0005-0000-0000-0000F3830000}"/>
    <cellStyle name="Note 5 6 3" xfId="12600" xr:uid="{00000000-0005-0000-0000-0000F4830000}"/>
    <cellStyle name="Note 5 6 3 2" xfId="22693" xr:uid="{00000000-0005-0000-0000-0000F5830000}"/>
    <cellStyle name="Note 5 6 4" xfId="27363" xr:uid="{00000000-0005-0000-0000-0000F6830000}"/>
    <cellStyle name="Note 5 7" xfId="20201" xr:uid="{00000000-0005-0000-0000-0000F7830000}"/>
    <cellStyle name="Note 5 7 2" xfId="30061" xr:uid="{00000000-0005-0000-0000-0000F8830000}"/>
    <cellStyle name="Note 5 7 2 2" xfId="29654" xr:uid="{00000000-0005-0000-0000-0000F9830000}"/>
    <cellStyle name="Note 5 7 3" xfId="29660" xr:uid="{00000000-0005-0000-0000-0000FA830000}"/>
    <cellStyle name="Note 5 8" xfId="30426" xr:uid="{00000000-0005-0000-0000-0000FB830000}"/>
    <cellStyle name="Note 5 8 2" xfId="29634" xr:uid="{00000000-0005-0000-0000-0000FC830000}"/>
    <cellStyle name="Note 5 9" xfId="29673" xr:uid="{00000000-0005-0000-0000-0000FD830000}"/>
    <cellStyle name="Note 6" xfId="23765" xr:uid="{00000000-0005-0000-0000-0000FE830000}"/>
    <cellStyle name="Note 6 2" xfId="10957" xr:uid="{00000000-0005-0000-0000-0000FF830000}"/>
    <cellStyle name="Note 6 2 2" xfId="30946" xr:uid="{00000000-0005-0000-0000-000000840000}"/>
    <cellStyle name="Note 6 2 2 2" xfId="33763" xr:uid="{00000000-0005-0000-0000-000001840000}"/>
    <cellStyle name="Note 6 2 2 2 2" xfId="31676" xr:uid="{00000000-0005-0000-0000-000002840000}"/>
    <cellStyle name="Note 6 2 2 2 2 2" xfId="30425" xr:uid="{00000000-0005-0000-0000-000003840000}"/>
    <cellStyle name="Note 6 2 2 2 2 2 2" xfId="9739" xr:uid="{00000000-0005-0000-0000-000004840000}"/>
    <cellStyle name="Note 6 2 2 2 2 2 2 2" xfId="31446" xr:uid="{00000000-0005-0000-0000-000005840000}"/>
    <cellStyle name="Note 6 2 2 2 2 2 3" xfId="8090" xr:uid="{00000000-0005-0000-0000-000006840000}"/>
    <cellStyle name="Note 6 2 2 2 2 3" xfId="30431" xr:uid="{00000000-0005-0000-0000-000007840000}"/>
    <cellStyle name="Note 6 2 2 2 2 3 2" xfId="9744" xr:uid="{00000000-0005-0000-0000-000008840000}"/>
    <cellStyle name="Note 6 2 2 2 2 4" xfId="30422" xr:uid="{00000000-0005-0000-0000-000009840000}"/>
    <cellStyle name="Note 6 2 2 2 3" xfId="27729" xr:uid="{00000000-0005-0000-0000-00000A840000}"/>
    <cellStyle name="Note 6 2 2 2 3 2" xfId="23558" xr:uid="{00000000-0005-0000-0000-00000B840000}"/>
    <cellStyle name="Note 6 2 2 2 3 2 2" xfId="9759" xr:uid="{00000000-0005-0000-0000-00000C840000}"/>
    <cellStyle name="Note 6 2 2 2 3 3" xfId="7017" xr:uid="{00000000-0005-0000-0000-00000D840000}"/>
    <cellStyle name="Note 6 2 2 2 4" xfId="12979" xr:uid="{00000000-0005-0000-0000-00000E840000}"/>
    <cellStyle name="Note 6 2 2 2 4 2" xfId="23366" xr:uid="{00000000-0005-0000-0000-00000F840000}"/>
    <cellStyle name="Note 6 2 2 2 5" xfId="7149" xr:uid="{00000000-0005-0000-0000-000010840000}"/>
    <cellStyle name="Note 6 2 2 3" xfId="31680" xr:uid="{00000000-0005-0000-0000-000011840000}"/>
    <cellStyle name="Note 6 2 2 3 2" xfId="16996" xr:uid="{00000000-0005-0000-0000-000012840000}"/>
    <cellStyle name="Note 6 2 2 3 2 2" xfId="30454" xr:uid="{00000000-0005-0000-0000-000013840000}"/>
    <cellStyle name="Note 6 2 2 3 2 2 2" xfId="12146" xr:uid="{00000000-0005-0000-0000-000014840000}"/>
    <cellStyle name="Note 6 2 2 3 2 3" xfId="25800" xr:uid="{00000000-0005-0000-0000-000015840000}"/>
    <cellStyle name="Note 6 2 2 3 3" xfId="11705" xr:uid="{00000000-0005-0000-0000-000016840000}"/>
    <cellStyle name="Note 6 2 2 3 3 2" xfId="23567" xr:uid="{00000000-0005-0000-0000-000017840000}"/>
    <cellStyle name="Note 6 2 2 3 4" xfId="7157" xr:uid="{00000000-0005-0000-0000-000018840000}"/>
    <cellStyle name="Note 6 2 2 4" xfId="22946" xr:uid="{00000000-0005-0000-0000-000019840000}"/>
    <cellStyle name="Note 6 2 2 4 2" xfId="21729" xr:uid="{00000000-0005-0000-0000-00001A840000}"/>
    <cellStyle name="Note 6 2 2 4 2 2" xfId="33535" xr:uid="{00000000-0005-0000-0000-00001B840000}"/>
    <cellStyle name="Note 6 2 2 4 3" xfId="25665" xr:uid="{00000000-0005-0000-0000-00001C840000}"/>
    <cellStyle name="Note 6 2 2 5" xfId="26103" xr:uid="{00000000-0005-0000-0000-00001D840000}"/>
    <cellStyle name="Note 6 2 2 5 2" xfId="25674" xr:uid="{00000000-0005-0000-0000-00001E840000}"/>
    <cellStyle name="Note 6 2 2 6" xfId="9773" xr:uid="{00000000-0005-0000-0000-00001F840000}"/>
    <cellStyle name="Note 6 2 3" xfId="31692" xr:uid="{00000000-0005-0000-0000-000020840000}"/>
    <cellStyle name="Note 6 2 3 2" xfId="1061" xr:uid="{00000000-0005-0000-0000-000021840000}"/>
    <cellStyle name="Note 6 2 3 2 2" xfId="24414" xr:uid="{00000000-0005-0000-0000-000022840000}"/>
    <cellStyle name="Note 6 2 3 2 2 2" xfId="12910" xr:uid="{00000000-0005-0000-0000-000023840000}"/>
    <cellStyle name="Note 6 2 3 2 2 2 2" xfId="9785" xr:uid="{00000000-0005-0000-0000-000024840000}"/>
    <cellStyle name="Note 6 2 3 2 2 3" xfId="12912" xr:uid="{00000000-0005-0000-0000-000025840000}"/>
    <cellStyle name="Note 6 2 3 2 3" xfId="30368" xr:uid="{00000000-0005-0000-0000-000026840000}"/>
    <cellStyle name="Note 6 2 3 2 3 2" xfId="26159" xr:uid="{00000000-0005-0000-0000-000027840000}"/>
    <cellStyle name="Note 6 2 3 2 4" xfId="12993" xr:uid="{00000000-0005-0000-0000-000028840000}"/>
    <cellStyle name="Note 6 2 3 3" xfId="31701" xr:uid="{00000000-0005-0000-0000-000029840000}"/>
    <cellStyle name="Note 6 2 3 3 2" xfId="15793" xr:uid="{00000000-0005-0000-0000-00002A840000}"/>
    <cellStyle name="Note 6 2 3 3 2 2" xfId="12373" xr:uid="{00000000-0005-0000-0000-00002B840000}"/>
    <cellStyle name="Note 6 2 3 3 3" xfId="155" xr:uid="{00000000-0005-0000-0000-00002C840000}"/>
    <cellStyle name="Note 6 2 3 4" xfId="2383" xr:uid="{00000000-0005-0000-0000-00002D840000}"/>
    <cellStyle name="Note 6 2 3 4 2" xfId="25714" xr:uid="{00000000-0005-0000-0000-00002E840000}"/>
    <cellStyle name="Note 6 2 3 5" xfId="680" xr:uid="{00000000-0005-0000-0000-00002F840000}"/>
    <cellStyle name="Note 6 2 4" xfId="27400" xr:uid="{00000000-0005-0000-0000-000030840000}"/>
    <cellStyle name="Note 6 2 4 2" xfId="26149" xr:uid="{00000000-0005-0000-0000-000031840000}"/>
    <cellStyle name="Note 6 2 4 2 2" xfId="27545" xr:uid="{00000000-0005-0000-0000-000032840000}"/>
    <cellStyle name="Note 6 2 4 2 2 2" xfId="12931" xr:uid="{00000000-0005-0000-0000-000033840000}"/>
    <cellStyle name="Note 6 2 4 2 3" xfId="25016" xr:uid="{00000000-0005-0000-0000-000034840000}"/>
    <cellStyle name="Note 6 2 4 3" xfId="22884" xr:uid="{00000000-0005-0000-0000-000035840000}"/>
    <cellStyle name="Note 6 2 4 3 2" xfId="17501" xr:uid="{00000000-0005-0000-0000-000036840000}"/>
    <cellStyle name="Note 6 2 4 4" xfId="3267" xr:uid="{00000000-0005-0000-0000-000037840000}"/>
    <cellStyle name="Note 6 2 5" xfId="28064" xr:uid="{00000000-0005-0000-0000-000038840000}"/>
    <cellStyle name="Note 6 2 5 2" xfId="22492" xr:uid="{00000000-0005-0000-0000-000039840000}"/>
    <cellStyle name="Note 6 2 5 2 2" xfId="14563" xr:uid="{00000000-0005-0000-0000-00003A840000}"/>
    <cellStyle name="Note 6 2 5 3" xfId="29303" xr:uid="{00000000-0005-0000-0000-00003B840000}"/>
    <cellStyle name="Note 6 2 6" xfId="28413" xr:uid="{00000000-0005-0000-0000-00003C840000}"/>
    <cellStyle name="Note 6 2 6 2" xfId="30635" xr:uid="{00000000-0005-0000-0000-00003D840000}"/>
    <cellStyle name="Note 6 2 7" xfId="30669" xr:uid="{00000000-0005-0000-0000-00003E840000}"/>
    <cellStyle name="Note 6 3" xfId="29700" xr:uid="{00000000-0005-0000-0000-00003F840000}"/>
    <cellStyle name="Note 6 3 2" xfId="33913" xr:uid="{00000000-0005-0000-0000-000040840000}"/>
    <cellStyle name="Note 6 3 2 2" xfId="32864" xr:uid="{00000000-0005-0000-0000-000041840000}"/>
    <cellStyle name="Note 6 3 2 2 2" xfId="32266" xr:uid="{00000000-0005-0000-0000-000042840000}"/>
    <cellStyle name="Note 6 3 2 2 2 2" xfId="9854" xr:uid="{00000000-0005-0000-0000-000043840000}"/>
    <cellStyle name="Note 6 3 2 2 2 2 2" xfId="23330" xr:uid="{00000000-0005-0000-0000-000044840000}"/>
    <cellStyle name="Note 6 3 2 2 2 3" xfId="9870" xr:uid="{00000000-0005-0000-0000-000045840000}"/>
    <cellStyle name="Note 6 3 2 2 3" xfId="24086" xr:uid="{00000000-0005-0000-0000-000046840000}"/>
    <cellStyle name="Note 6 3 2 2 3 2" xfId="10363" xr:uid="{00000000-0005-0000-0000-000047840000}"/>
    <cellStyle name="Note 6 3 2 2 4" xfId="17963" xr:uid="{00000000-0005-0000-0000-000048840000}"/>
    <cellStyle name="Note 6 3 2 3" xfId="28061" xr:uid="{00000000-0005-0000-0000-000049840000}"/>
    <cellStyle name="Note 6 3 2 3 2" xfId="23888" xr:uid="{00000000-0005-0000-0000-00004A840000}"/>
    <cellStyle name="Note 6 3 2 3 2 2" xfId="2172" xr:uid="{00000000-0005-0000-0000-00004B840000}"/>
    <cellStyle name="Note 6 3 2 3 3" xfId="10505" xr:uid="{00000000-0005-0000-0000-00004C840000}"/>
    <cellStyle name="Note 6 3 2 4" xfId="28595" xr:uid="{00000000-0005-0000-0000-00004D840000}"/>
    <cellStyle name="Note 6 3 2 4 2" xfId="25798" xr:uid="{00000000-0005-0000-0000-00004E840000}"/>
    <cellStyle name="Note 6 3 2 5" xfId="31390" xr:uid="{00000000-0005-0000-0000-00004F840000}"/>
    <cellStyle name="Note 6 3 3" xfId="33823" xr:uid="{00000000-0005-0000-0000-000050840000}"/>
    <cellStyle name="Note 6 3 3 2" xfId="33511" xr:uid="{00000000-0005-0000-0000-000051840000}"/>
    <cellStyle name="Note 6 3 3 2 2" xfId="31627" xr:uid="{00000000-0005-0000-0000-000052840000}"/>
    <cellStyle name="Note 6 3 3 2 2 2" xfId="25877" xr:uid="{00000000-0005-0000-0000-000053840000}"/>
    <cellStyle name="Note 6 3 3 2 3" xfId="24174" xr:uid="{00000000-0005-0000-0000-000054840000}"/>
    <cellStyle name="Note 6 3 3 3" xfId="30603" xr:uid="{00000000-0005-0000-0000-000055840000}"/>
    <cellStyle name="Note 6 3 3 3 2" xfId="32577" xr:uid="{00000000-0005-0000-0000-000056840000}"/>
    <cellStyle name="Note 6 3 3 4" xfId="6023" xr:uid="{00000000-0005-0000-0000-000057840000}"/>
    <cellStyle name="Note 6 3 4" xfId="27748" xr:uid="{00000000-0005-0000-0000-000058840000}"/>
    <cellStyle name="Note 6 3 4 2" xfId="28995" xr:uid="{00000000-0005-0000-0000-000059840000}"/>
    <cellStyle name="Note 6 3 4 2 2" xfId="31575" xr:uid="{00000000-0005-0000-0000-00005A840000}"/>
    <cellStyle name="Note 6 3 4 3" xfId="29015" xr:uid="{00000000-0005-0000-0000-00005B840000}"/>
    <cellStyle name="Note 6 3 5" xfId="29117" xr:uid="{00000000-0005-0000-0000-00005C840000}"/>
    <cellStyle name="Note 6 3 5 2" xfId="30458" xr:uid="{00000000-0005-0000-0000-00005D840000}"/>
    <cellStyle name="Note 6 3 6" xfId="29132" xr:uid="{00000000-0005-0000-0000-00005E840000}"/>
    <cellStyle name="Note 6 4" xfId="847" xr:uid="{00000000-0005-0000-0000-00005F840000}"/>
    <cellStyle name="Note 6 4 2" xfId="27785" xr:uid="{00000000-0005-0000-0000-000060840000}"/>
    <cellStyle name="Note 6 4 2 2" xfId="26399" xr:uid="{00000000-0005-0000-0000-000061840000}"/>
    <cellStyle name="Note 6 4 2 2 2" xfId="31550" xr:uid="{00000000-0005-0000-0000-000062840000}"/>
    <cellStyle name="Note 6 4 2 2 2 2" xfId="30819" xr:uid="{00000000-0005-0000-0000-000063840000}"/>
    <cellStyle name="Note 6 4 2 2 3" xfId="20955" xr:uid="{00000000-0005-0000-0000-000064840000}"/>
    <cellStyle name="Note 6 4 2 3" xfId="34018" xr:uid="{00000000-0005-0000-0000-000065840000}"/>
    <cellStyle name="Note 6 4 2 3 2" xfId="2978" xr:uid="{00000000-0005-0000-0000-000066840000}"/>
    <cellStyle name="Note 6 4 2 4" xfId="29705" xr:uid="{00000000-0005-0000-0000-000067840000}"/>
    <cellStyle name="Note 6 4 3" xfId="30922" xr:uid="{00000000-0005-0000-0000-000068840000}"/>
    <cellStyle name="Note 6 4 3 2" xfId="33529" xr:uid="{00000000-0005-0000-0000-000069840000}"/>
    <cellStyle name="Note 6 4 3 2 2" xfId="19863" xr:uid="{00000000-0005-0000-0000-00006A840000}"/>
    <cellStyle name="Note 6 4 3 3" xfId="30795" xr:uid="{00000000-0005-0000-0000-00006B840000}"/>
    <cellStyle name="Note 6 4 4" xfId="19921" xr:uid="{00000000-0005-0000-0000-00006C840000}"/>
    <cellStyle name="Note 6 4 4 2" xfId="29437" xr:uid="{00000000-0005-0000-0000-00006D840000}"/>
    <cellStyle name="Note 6 4 5" xfId="6938" xr:uid="{00000000-0005-0000-0000-00006E840000}"/>
    <cellStyle name="Note 6 5" xfId="29719" xr:uid="{00000000-0005-0000-0000-00006F840000}"/>
    <cellStyle name="Note 6 5 2" xfId="29720" xr:uid="{00000000-0005-0000-0000-000070840000}"/>
    <cellStyle name="Note 6 5 2 2" xfId="33961" xr:uid="{00000000-0005-0000-0000-000071840000}"/>
    <cellStyle name="Note 6 5 2 2 2" xfId="21221" xr:uid="{00000000-0005-0000-0000-000072840000}"/>
    <cellStyle name="Note 6 5 2 3" xfId="30148" xr:uid="{00000000-0005-0000-0000-000073840000}"/>
    <cellStyle name="Note 6 5 3" xfId="17782" xr:uid="{00000000-0005-0000-0000-000074840000}"/>
    <cellStyle name="Note 6 5 3 2" xfId="31171" xr:uid="{00000000-0005-0000-0000-000075840000}"/>
    <cellStyle name="Note 6 5 4" xfId="29081" xr:uid="{00000000-0005-0000-0000-000076840000}"/>
    <cellStyle name="Note 6 6" xfId="19880" xr:uid="{00000000-0005-0000-0000-000077840000}"/>
    <cellStyle name="Note 6 6 2" xfId="33886" xr:uid="{00000000-0005-0000-0000-000078840000}"/>
    <cellStyle name="Note 6 6 2 2" xfId="30273" xr:uid="{00000000-0005-0000-0000-000079840000}"/>
    <cellStyle name="Note 6 6 3" xfId="32368" xr:uid="{00000000-0005-0000-0000-00007A840000}"/>
    <cellStyle name="Note 6 7" xfId="19465" xr:uid="{00000000-0005-0000-0000-00007B840000}"/>
    <cellStyle name="Note 6 7 2" xfId="32610" xr:uid="{00000000-0005-0000-0000-00007C840000}"/>
    <cellStyle name="Note 6 8" xfId="26184" xr:uid="{00000000-0005-0000-0000-00007D840000}"/>
    <cellStyle name="Note 7" xfId="25251" xr:uid="{00000000-0005-0000-0000-00007E840000}"/>
    <cellStyle name="Note 7 2" xfId="6007" xr:uid="{00000000-0005-0000-0000-00007F840000}"/>
    <cellStyle name="Note 7 2 2" xfId="15497" xr:uid="{00000000-0005-0000-0000-000080840000}"/>
    <cellStyle name="Note 7 2 2 2" xfId="21956" xr:uid="{00000000-0005-0000-0000-000081840000}"/>
    <cellStyle name="Note 7 2 2 2 2" xfId="33369" xr:uid="{00000000-0005-0000-0000-000082840000}"/>
    <cellStyle name="Note 7 2 2 2 2 2" xfId="33741" xr:uid="{00000000-0005-0000-0000-000083840000}"/>
    <cellStyle name="Note 7 2 2 2 2 2 2" xfId="10280" xr:uid="{00000000-0005-0000-0000-000084840000}"/>
    <cellStyle name="Note 7 2 2 2 2 3" xfId="33890" xr:uid="{00000000-0005-0000-0000-000085840000}"/>
    <cellStyle name="Note 7 2 2 2 3" xfId="7940" xr:uid="{00000000-0005-0000-0000-000086840000}"/>
    <cellStyle name="Note 7 2 2 2 3 2" xfId="1997" xr:uid="{00000000-0005-0000-0000-000087840000}"/>
    <cellStyle name="Note 7 2 2 2 4" xfId="13681" xr:uid="{00000000-0005-0000-0000-000088840000}"/>
    <cellStyle name="Note 7 2 2 3" xfId="25255" xr:uid="{00000000-0005-0000-0000-000089840000}"/>
    <cellStyle name="Note 7 2 2 3 2" xfId="5136" xr:uid="{00000000-0005-0000-0000-00008A840000}"/>
    <cellStyle name="Note 7 2 2 3 2 2" xfId="33545" xr:uid="{00000000-0005-0000-0000-00008B840000}"/>
    <cellStyle name="Note 7 2 2 3 3" xfId="7971" xr:uid="{00000000-0005-0000-0000-00008C840000}"/>
    <cellStyle name="Note 7 2 2 4" xfId="25263" xr:uid="{00000000-0005-0000-0000-00008D840000}"/>
    <cellStyle name="Note 7 2 2 4 2" xfId="25927" xr:uid="{00000000-0005-0000-0000-00008E840000}"/>
    <cellStyle name="Note 7 2 2 5" xfId="985" xr:uid="{00000000-0005-0000-0000-00008F840000}"/>
    <cellStyle name="Note 7 2 3" xfId="25266" xr:uid="{00000000-0005-0000-0000-000090840000}"/>
    <cellStyle name="Note 7 2 3 2" xfId="25268" xr:uid="{00000000-0005-0000-0000-000091840000}"/>
    <cellStyle name="Note 7 2 3 2 2" xfId="33581" xr:uid="{00000000-0005-0000-0000-000092840000}"/>
    <cellStyle name="Note 7 2 3 2 2 2" xfId="3659" xr:uid="{00000000-0005-0000-0000-000093840000}"/>
    <cellStyle name="Note 7 2 3 2 3" xfId="4543" xr:uid="{00000000-0005-0000-0000-000094840000}"/>
    <cellStyle name="Note 7 2 3 3" xfId="25272" xr:uid="{00000000-0005-0000-0000-000095840000}"/>
    <cellStyle name="Note 7 2 3 3 2" xfId="33596" xr:uid="{00000000-0005-0000-0000-000096840000}"/>
    <cellStyle name="Note 7 2 3 4" xfId="16600" xr:uid="{00000000-0005-0000-0000-000097840000}"/>
    <cellStyle name="Note 7 2 4" xfId="16847" xr:uid="{00000000-0005-0000-0000-000098840000}"/>
    <cellStyle name="Note 7 2 4 2" xfId="25276" xr:uid="{00000000-0005-0000-0000-000099840000}"/>
    <cellStyle name="Note 7 2 4 2 2" xfId="32426" xr:uid="{00000000-0005-0000-0000-00009A840000}"/>
    <cellStyle name="Note 7 2 4 3" xfId="32394" xr:uid="{00000000-0005-0000-0000-00009B840000}"/>
    <cellStyle name="Note 7 2 5" xfId="10626" xr:uid="{00000000-0005-0000-0000-00009C840000}"/>
    <cellStyle name="Note 7 2 5 2" xfId="32439" xr:uid="{00000000-0005-0000-0000-00009D840000}"/>
    <cellStyle name="Note 7 2 6" xfId="33900" xr:uid="{00000000-0005-0000-0000-00009E840000}"/>
    <cellStyle name="Note 7 3" xfId="1017" xr:uid="{00000000-0005-0000-0000-00009F840000}"/>
    <cellStyle name="Note 7 3 2" xfId="20350" xr:uid="{00000000-0005-0000-0000-0000A0840000}"/>
    <cellStyle name="Note 7 3 2 2" xfId="25283" xr:uid="{00000000-0005-0000-0000-0000A1840000}"/>
    <cellStyle name="Note 7 3 2 2 2" xfId="33395" xr:uid="{00000000-0005-0000-0000-0000A2840000}"/>
    <cellStyle name="Note 7 3 2 2 2 2" xfId="33065" xr:uid="{00000000-0005-0000-0000-0000A3840000}"/>
    <cellStyle name="Note 7 3 2 2 3" xfId="9883" xr:uid="{00000000-0005-0000-0000-0000A4840000}"/>
    <cellStyle name="Note 7 3 2 3" xfId="4536" xr:uid="{00000000-0005-0000-0000-0000A5840000}"/>
    <cellStyle name="Note 7 3 2 3 2" xfId="10518" xr:uid="{00000000-0005-0000-0000-0000A6840000}"/>
    <cellStyle name="Note 7 3 2 4" xfId="24696" xr:uid="{00000000-0005-0000-0000-0000A7840000}"/>
    <cellStyle name="Note 7 3 3" xfId="22287" xr:uid="{00000000-0005-0000-0000-0000A8840000}"/>
    <cellStyle name="Note 7 3 3 2" xfId="25291" xr:uid="{00000000-0005-0000-0000-0000A9840000}"/>
    <cellStyle name="Note 7 3 3 2 2" xfId="16596" xr:uid="{00000000-0005-0000-0000-0000AA840000}"/>
    <cellStyle name="Note 7 3 3 3" xfId="27165" xr:uid="{00000000-0005-0000-0000-0000AB840000}"/>
    <cellStyle name="Note 7 3 4" xfId="14592" xr:uid="{00000000-0005-0000-0000-0000AC840000}"/>
    <cellStyle name="Note 7 3 4 2" xfId="33187" xr:uid="{00000000-0005-0000-0000-0000AD840000}"/>
    <cellStyle name="Note 7 3 5" xfId="14597" xr:uid="{00000000-0005-0000-0000-0000AE840000}"/>
    <cellStyle name="Note 7 4" xfId="22295" xr:uid="{00000000-0005-0000-0000-0000AF840000}"/>
    <cellStyle name="Note 7 4 2" xfId="22308" xr:uid="{00000000-0005-0000-0000-0000B0840000}"/>
    <cellStyle name="Note 7 4 2 2" xfId="4028" xr:uid="{00000000-0005-0000-0000-0000B1840000}"/>
    <cellStyle name="Note 7 4 2 2 2" xfId="29806" xr:uid="{00000000-0005-0000-0000-0000B2840000}"/>
    <cellStyle name="Note 7 4 2 3" xfId="33863" xr:uid="{00000000-0005-0000-0000-0000B3840000}"/>
    <cellStyle name="Note 7 4 3" xfId="22320" xr:uid="{00000000-0005-0000-0000-0000B4840000}"/>
    <cellStyle name="Note 7 4 3 2" xfId="32507" xr:uid="{00000000-0005-0000-0000-0000B5840000}"/>
    <cellStyle name="Note 7 4 4" xfId="31403" xr:uid="{00000000-0005-0000-0000-0000B6840000}"/>
    <cellStyle name="Note 7 5" xfId="22324" xr:uid="{00000000-0005-0000-0000-0000B7840000}"/>
    <cellStyle name="Note 7 5 2" xfId="363" xr:uid="{00000000-0005-0000-0000-0000B8840000}"/>
    <cellStyle name="Note 7 5 2 2" xfId="33968" xr:uid="{00000000-0005-0000-0000-0000B9840000}"/>
    <cellStyle name="Note 7 5 3" xfId="31292" xr:uid="{00000000-0005-0000-0000-0000BA840000}"/>
    <cellStyle name="Note 7 6" xfId="22327" xr:uid="{00000000-0005-0000-0000-0000BB840000}"/>
    <cellStyle name="Note 7 6 2" xfId="20181" xr:uid="{00000000-0005-0000-0000-0000BC840000}"/>
    <cellStyle name="Note 7 7" xfId="33105" xr:uid="{00000000-0005-0000-0000-0000BD840000}"/>
    <cellStyle name="Note 8" xfId="10615" xr:uid="{00000000-0005-0000-0000-0000BE840000}"/>
    <cellStyle name="Note 8 2" xfId="11405" xr:uid="{00000000-0005-0000-0000-0000BF840000}"/>
    <cellStyle name="Note 8 2 2" xfId="25293" xr:uid="{00000000-0005-0000-0000-0000C0840000}"/>
    <cellStyle name="Note 8 2 2 2" xfId="25295" xr:uid="{00000000-0005-0000-0000-0000C1840000}"/>
    <cellStyle name="Note 8 2 2 2 2" xfId="17593" xr:uid="{00000000-0005-0000-0000-0000C2840000}"/>
    <cellStyle name="Note 8 2 2 2 2 2" xfId="33212" xr:uid="{00000000-0005-0000-0000-0000C3840000}"/>
    <cellStyle name="Note 8 2 2 2 3" xfId="26039" xr:uid="{00000000-0005-0000-0000-0000C4840000}"/>
    <cellStyle name="Note 8 2 2 3" xfId="25298" xr:uid="{00000000-0005-0000-0000-0000C5840000}"/>
    <cellStyle name="Note 8 2 2 3 2" xfId="31891" xr:uid="{00000000-0005-0000-0000-0000C6840000}"/>
    <cellStyle name="Note 8 2 2 4" xfId="28834" xr:uid="{00000000-0005-0000-0000-0000C7840000}"/>
    <cellStyle name="Note 8 2 3" xfId="25301" xr:uid="{00000000-0005-0000-0000-0000C8840000}"/>
    <cellStyle name="Note 8 2 3 2" xfId="8510" xr:uid="{00000000-0005-0000-0000-0000C9840000}"/>
    <cellStyle name="Note 8 2 3 2 2" xfId="32376" xr:uid="{00000000-0005-0000-0000-0000CA840000}"/>
    <cellStyle name="Note 8 2 3 3" xfId="32221" xr:uid="{00000000-0005-0000-0000-0000CB840000}"/>
    <cellStyle name="Note 8 2 4" xfId="25309" xr:uid="{00000000-0005-0000-0000-0000CC840000}"/>
    <cellStyle name="Note 8 2 4 2" xfId="32387" xr:uid="{00000000-0005-0000-0000-0000CD840000}"/>
    <cellStyle name="Note 8 2 5" xfId="33474" xr:uid="{00000000-0005-0000-0000-0000CE840000}"/>
    <cellStyle name="Note 8 3" xfId="22333" xr:uid="{00000000-0005-0000-0000-0000CF840000}"/>
    <cellStyle name="Note 8 3 2" xfId="22338" xr:uid="{00000000-0005-0000-0000-0000D0840000}"/>
    <cellStyle name="Note 8 3 2 2" xfId="31907" xr:uid="{00000000-0005-0000-0000-0000D1840000}"/>
    <cellStyle name="Note 8 3 2 2 2" xfId="24741" xr:uid="{00000000-0005-0000-0000-0000D2840000}"/>
    <cellStyle name="Note 8 3 2 3" xfId="31915" xr:uid="{00000000-0005-0000-0000-0000D3840000}"/>
    <cellStyle name="Note 8 3 3" xfId="26302" xr:uid="{00000000-0005-0000-0000-0000D4840000}"/>
    <cellStyle name="Note 8 3 3 2" xfId="24744" xr:uid="{00000000-0005-0000-0000-0000D5840000}"/>
    <cellStyle name="Note 8 3 4" xfId="6785" xr:uid="{00000000-0005-0000-0000-0000D6840000}"/>
    <cellStyle name="Note 8 4" xfId="22342" xr:uid="{00000000-0005-0000-0000-0000D7840000}"/>
    <cellStyle name="Note 8 4 2" xfId="17587" xr:uid="{00000000-0005-0000-0000-0000D8840000}"/>
    <cellStyle name="Note 8 4 2 2" xfId="30600" xr:uid="{00000000-0005-0000-0000-0000D9840000}"/>
    <cellStyle name="Note 8 4 3" xfId="99" xr:uid="{00000000-0005-0000-0000-0000DA840000}"/>
    <cellStyle name="Note 8 5" xfId="29349" xr:uid="{00000000-0005-0000-0000-0000DB840000}"/>
    <cellStyle name="Note 8 5 2" xfId="25654" xr:uid="{00000000-0005-0000-0000-0000DC840000}"/>
    <cellStyle name="Note 8 6" xfId="33044" xr:uid="{00000000-0005-0000-0000-0000DD840000}"/>
    <cellStyle name="Note 9" xfId="10621" xr:uid="{00000000-0005-0000-0000-0000DE840000}"/>
    <cellStyle name="Note 9 2" xfId="25314" xr:uid="{00000000-0005-0000-0000-0000DF840000}"/>
    <cellStyle name="Note 9 2 2" xfId="18768" xr:uid="{00000000-0005-0000-0000-0000E0840000}"/>
    <cellStyle name="Note 9 2 2 2" xfId="25317" xr:uid="{00000000-0005-0000-0000-0000E1840000}"/>
    <cellStyle name="Note 9 2 2 2 2" xfId="33876" xr:uid="{00000000-0005-0000-0000-0000E2840000}"/>
    <cellStyle name="Note 9 2 2 3" xfId="33260" xr:uid="{00000000-0005-0000-0000-0000E3840000}"/>
    <cellStyle name="Note 9 2 3" xfId="25325" xr:uid="{00000000-0005-0000-0000-0000E4840000}"/>
    <cellStyle name="Note 9 2 3 2" xfId="465" xr:uid="{00000000-0005-0000-0000-0000E5840000}"/>
    <cellStyle name="Note 9 2 4" xfId="32521" xr:uid="{00000000-0005-0000-0000-0000E6840000}"/>
    <cellStyle name="Note 9 3" xfId="22354" xr:uid="{00000000-0005-0000-0000-0000E7840000}"/>
    <cellStyle name="Note 9 3 2" xfId="22364" xr:uid="{00000000-0005-0000-0000-0000E8840000}"/>
    <cellStyle name="Note 9 3 2 2" xfId="24166" xr:uid="{00000000-0005-0000-0000-0000E9840000}"/>
    <cellStyle name="Note 9 3 3" xfId="11455" xr:uid="{00000000-0005-0000-0000-0000EA840000}"/>
    <cellStyle name="Note 9 4" xfId="22375" xr:uid="{00000000-0005-0000-0000-0000EB840000}"/>
    <cellStyle name="Note 9 4 2" xfId="32468" xr:uid="{00000000-0005-0000-0000-0000EC840000}"/>
    <cellStyle name="Note 9 5" xfId="24634" xr:uid="{00000000-0005-0000-0000-0000ED840000}"/>
    <cellStyle name="Output 2" xfId="26287" xr:uid="{00000000-0005-0000-0000-0000EE840000}"/>
    <cellStyle name="Percent" xfId="1" builtinId="5"/>
    <cellStyle name="Percent 2" xfId="32444" xr:uid="{00000000-0005-0000-0000-0000F0840000}"/>
    <cellStyle name="Percent 3" xfId="21417" xr:uid="{00000000-0005-0000-0000-0000F1840000}"/>
    <cellStyle name="Percent 4" xfId="25094" xr:uid="{00000000-0005-0000-0000-0000F2840000}"/>
    <cellStyle name="Style 1" xfId="18442" xr:uid="{00000000-0005-0000-0000-0000F3840000}"/>
    <cellStyle name="Total 2" xfId="27685" xr:uid="{00000000-0005-0000-0000-0000F4840000}"/>
    <cellStyle name="Warning Text 2" xfId="33286" xr:uid="{00000000-0005-0000-0000-0000F5840000}"/>
  </cellStyles>
  <dxfs count="521">
    <dxf>
      <fill>
        <patternFill patternType="solid">
          <bgColor rgb="FFFF000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167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ont>
        <sz val="10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/>
        <vertical/>
        <horizontal/>
      </border>
    </dxf>
    <dxf>
      <numFmt numFmtId="25" formatCode="hh:mm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/>
        <vertical/>
        <horizontal/>
      </border>
    </dxf>
    <dxf>
      <numFmt numFmtId="25" formatCode="hh:mm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/>
        <vertical/>
        <horizontal/>
      </border>
    </dxf>
    <dxf>
      <numFmt numFmtId="25" formatCode="hh:mm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/>
        <vertical/>
        <horizontal/>
      </border>
    </dxf>
    <dxf>
      <numFmt numFmtId="25" formatCode="hh:mm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/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ont>
        <sz val="10"/>
      </font>
      <numFmt numFmtId="167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7" formatCode="[$-409]d/m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0" formatCode="[$-409]m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25" formatCode="hh:mm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25" formatCode="hh:mm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25" formatCode="hh:mm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25" formatCode="hh:mm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8" formatCode="h:mm;@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8" formatCode="h:mm;@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auto="1"/>
        </right>
        <top style="hair">
          <color indexed="64"/>
        </top>
        <bottom style="hair">
          <color indexed="64"/>
        </bottom>
      </border>
    </dxf>
    <dxf>
      <font>
        <color auto="1"/>
      </font>
      <numFmt numFmtId="167" formatCode="[$-409]d/mmm/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auto="1"/>
        </right>
        <top style="hair">
          <color indexed="64"/>
        </top>
        <bottom style="hair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1" formatCode="0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1" formatCode="0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1" formatCode="0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165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65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65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65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65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2" formatCode="[h]:mm:ss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2" formatCode="[h]:mm:ss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2" formatCode="0.00"/>
      <alignment horizontal="center" textRotation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d/mmm/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top style="dotted">
          <color auto="1"/>
        </top>
      </border>
    </dxf>
    <dxf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 style="dotted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/yy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22" formatCode="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 outline="0">
        <left/>
        <right style="thin">
          <color indexed="64"/>
        </right>
        <top style="thin">
          <color auto="1"/>
        </top>
        <bottom/>
      </border>
    </dxf>
    <dxf>
      <numFmt numFmtId="20" formatCode="dd/mmm/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/>
        <top style="hair">
          <color indexed="64"/>
        </top>
        <bottom style="hair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auto="1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auto="1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2" formatCode="0.00"/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2" formatCode="0.00"/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25" formatCode="hh:mm"/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68" formatCode="h:mm;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8" formatCode="h:mm;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68" formatCode="h:mm;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66" formatCode="0.0%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68" formatCode="h:mm;@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indexed="64"/>
        </top>
        <bottom style="hair">
          <color indexed="64"/>
        </bottom>
      </border>
    </dxf>
    <dxf>
      <numFmt numFmtId="168" formatCode="h:mm;@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indexed="64"/>
        </top>
        <bottom style="hair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indexed="64"/>
        </top>
        <bottom style="hair">
          <color indexed="64"/>
        </bottom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auto="1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auto="1"/>
        </right>
        <top style="hair">
          <color indexed="64"/>
        </top>
        <bottom style="hair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lor auto="1"/>
      </font>
      <numFmt numFmtId="20" formatCode="dd/mmm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hair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0" formatCode="dd/mmm/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d/mmm/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7" formatCode="[$-409]d/mmm/yy;@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border outline="0">
        <top style="dotted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 outline="0"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84C69A-B697-4AB3-A7A0-2D3B23B57AE8}" name="Daily_KPI" displayName="Daily_KPI" ref="A1:AS369" totalsRowShown="0" headerRowDxfId="520" totalsRowDxfId="517" headerRowBorderDxfId="519" tableBorderDxfId="518" totalsRowBorderDxfId="516">
  <autoFilter ref="A1:AS369" xr:uid="{3B203726-2095-49D8-A694-A659B4A14C0A}"/>
  <tableColumns count="45">
    <tableColumn id="1" xr3:uid="{F5BFFC81-B987-4126-BE91-59886E613BF8}" name="Date" dataDxfId="515" totalsRowDxfId="514"/>
    <tableColumn id="2" xr3:uid="{75130F27-9EDF-49D5-A606-A61306970D84}" name="Financial Year" dataDxfId="513" totalsRowDxfId="512">
      <calculatedColumnFormula>YEAR(Daily_KPI[[#This Row],[Date]])+IF(MONTH(Daily_KPI[[#This Row],[Date]])&gt;=4,1,0)</calculatedColumnFormula>
    </tableColumn>
    <tableColumn id="3" xr3:uid="{E239AF18-FA73-463E-A754-CB23A6604A6E}" name="Calendar Year" dataDxfId="511" totalsRowDxfId="510">
      <calculatedColumnFormula>YEAR(Daily_KPI[[#This Row],[Date]])</calculatedColumnFormula>
    </tableColumn>
    <tableColumn id="4" xr3:uid="{4229D431-4335-47D6-85DB-A1EC35FD2101}" name="Month Year" dataDxfId="509" totalsRowDxfId="508">
      <calculatedColumnFormula>Daily_KPI[[#This Row],[Date]]-DAY(Daily_KPI[[#This Row],[Date]])+1</calculatedColumnFormula>
    </tableColumn>
    <tableColumn id="5" xr3:uid="{83D6E9F4-8FD4-4A34-8A56-56806F6AFCA3}" name="Days" dataDxfId="507" totalsRowDxfId="506">
      <calculatedColumnFormula>DAY(EOMONTH(A2,0))</calculatedColumnFormula>
    </tableColumn>
    <tableColumn id="6" xr3:uid="{E8E0F5F5-825D-4CC0-8923-E4122B157B9C}" name="Operating Hours" dataDxfId="505">
      <calculatedColumnFormula>IFERROR(_xlfn.XLOOKUP($A2,'Raw Data'!$A:$A,'Raw Data'!$BR:$BR),"")</calculatedColumnFormula>
    </tableColumn>
    <tableColumn id="7" xr3:uid="{F42F490C-9CDE-4A9C-AA57-36F064AB06D1}" name="GHI-UP (KWh/m2)" dataDxfId="504" totalsRowDxfId="503">
      <calculatedColumnFormula>IFERROR(_xlfn.XLOOKUP($A2,'Raw Data'!$A:$A,'Raw Data'!$AO:$AO),"")</calculatedColumnFormula>
    </tableColumn>
    <tableColumn id="8" xr3:uid="{65A6EF02-8DFB-43CC-BDDA-F12799E308E8}" name="GHI-Down(KWh/m2)" dataDxfId="502" totalsRowDxfId="501"/>
    <tableColumn id="9" xr3:uid="{C13D0CE8-5CA2-46B9-830F-BD300CE81807}" name="POA-UP(KWh/m2)" dataDxfId="500" totalsRowDxfId="499">
      <calculatedColumnFormula>IFERROR(_xlfn.XLOOKUP($A2,'Raw Data'!$A:$A,'Raw Data'!$AR:$AR),"")</calculatedColumnFormula>
    </tableColumn>
    <tableColumn id="10" xr3:uid="{4269EB1D-1E61-4815-A733-AF565D909D5A}" name="POA-Down(KWh/m2)" dataDxfId="498"/>
    <tableColumn id="11" xr3:uid="{5A392DF8-4C62-4861-9BFF-D9F6C132EAD6}" name="Amb_Temp(°C)" dataDxfId="497" totalsRowDxfId="496">
      <calculatedColumnFormula>IFERROR(_xlfn.XLOOKUP($A2,'Raw Data'!$A:$A,'Raw Data'!$AV:$AV),"")</calculatedColumnFormula>
    </tableColumn>
    <tableColumn id="12" xr3:uid="{D01667CB-3CA1-4C37-A667-C4B88C52900B}" name="Mod_Temp(°C)" dataDxfId="495" totalsRowDxfId="494">
      <calculatedColumnFormula>IFERROR(_xlfn.XLOOKUP($A2,'Raw Data'!$A:$A,'Raw Data'!$AW:$AW),"")</calculatedColumnFormula>
    </tableColumn>
    <tableColumn id="13" xr3:uid="{F777F1FE-BC7F-484B-80B3-A936F524D8D1}" name="WS_Avg(m/s)" dataDxfId="493" totalsRowDxfId="492">
      <calculatedColumnFormula>IFERROR(_xlfn.XLOOKUP($A2,'Raw Data'!$A:$A,'Raw Data'!$AX:$AX),"")</calculatedColumnFormula>
    </tableColumn>
    <tableColumn id="14" xr3:uid="{E16102E2-A847-410D-B738-84E7E84FA4A6}" name="WS_Max(m/s)" dataDxfId="491" totalsRowDxfId="490">
      <calculatedColumnFormula>IFERROR(_xlfn.XLOOKUP($A2,'Raw Data'!$A:$A,'Raw Data'!$AY:$AY),"")</calculatedColumnFormula>
    </tableColumn>
    <tableColumn id="15" xr3:uid="{EAA22643-B515-43C4-BDCD-D67B3AF6D3CF}" name="PA(%)" dataDxfId="489">
      <calculatedColumnFormula>IFERROR(1-(SUMIF('Plant BD'!$B:$B,A2,'Plant BD'!$AE:$AE)/(AA2+SUMIF('Plant BD'!$B:$B,A2,'Plant BD'!$AE:$AE))),"")</calculatedColumnFormula>
    </tableColumn>
    <tableColumn id="16" xr3:uid="{97D11C33-0750-4576-A55E-FF3493E6F3A5}" name="MA (%)" dataDxfId="488" totalsRowDxfId="487"/>
    <tableColumn id="17" xr3:uid="{E4332F2B-941F-4C47-BAAD-46501294884C}" name="IGA (%)" dataDxfId="486" totalsRowDxfId="485"/>
    <tableColumn id="18" xr3:uid="{AC6895AE-B1C1-4E3E-88E8-04070A7DD96A}" name="EGA(%)" dataDxfId="484" totalsRowDxfId="483">
      <calculatedColumnFormula>IFERROR(1-(SUMIF('Grid BD'!$B:$B,$A2,'Grid BD'!$AD:$AD)/($AA2+SUMIF('Grid BD'!$B:$B,$A2,'Grid BD'!AD:AD))),"")</calculatedColumnFormula>
    </tableColumn>
    <tableColumn id="19" xr3:uid="{1E18ECF8-DE05-438F-87AE-9D3089DC8EEA}" name="EMA (%)" dataDxfId="482" totalsRowDxfId="481"/>
    <tableColumn id="20" xr3:uid="{504E086A-3A04-4F3B-B96E-5C76A9BCBCFA}" name="TA (%)" dataDxfId="480" totalsRowDxfId="479"/>
    <tableColumn id="21" xr3:uid="{FA46F933-6DF4-4797-A3AD-75282A12D9E9}" name="PR(%)" dataDxfId="478" totalsRowDxfId="477">
      <calculatedColumnFormula>IFERROR(AA2/I2/AB2/1000,"")</calculatedColumnFormula>
    </tableColumn>
    <tableColumn id="22" xr3:uid="{E97A03C9-E281-4035-83FB-E54B3F2FC014}" name="WPR(%)" dataDxfId="476" totalsRowDxfId="475"/>
    <tableColumn id="23" xr3:uid="{417C9520-EF06-4108-8136-2EC768C945AE}" name="CUF(%)" dataDxfId="474">
      <calculatedColumnFormula>IFERROR(AA2/(24*AB2*1000),"")</calculatedColumnFormula>
    </tableColumn>
    <tableColumn id="24" xr3:uid="{9A476C9B-3136-487B-AC85-031952427EAA}" name="Gen_Exp (kWh)" dataDxfId="473" totalsRowDxfId="472">
      <calculatedColumnFormula>IFERROR(_xlfn.XLOOKUP($A2,'Raw Data'!$A:$A,'Raw Data'!$BA:$BA),"")</calculatedColumnFormula>
    </tableColumn>
    <tableColumn id="25" xr3:uid="{D7815EA6-3AA0-4E1C-B095-B024DB753C53}" name="Mtr_Export (kWh)" dataDxfId="471" totalsRowDxfId="470">
      <calculatedColumnFormula>IFERROR(_xlfn.XLOOKUP($A2,'Raw Data'!$A:$A,'Raw Data'!BJ:BJ),"")</calculatedColumnFormula>
    </tableColumn>
    <tableColumn id="26" xr3:uid="{8176FA12-612A-4C80-9912-CC6236181A13}" name="Mtr_Import (kWh)" dataDxfId="469" totalsRowDxfId="468">
      <calculatedColumnFormula>IFERROR(_xlfn.XLOOKUP($A2,'Raw Data'!$A:$A,'Raw Data'!BK:BK),"")</calculatedColumnFormula>
    </tableColumn>
    <tableColumn id="27" xr3:uid="{E66E47EA-C1C4-4AEB-86CC-70A0B2F069FC}" name="Mtr_Net_Exp (KWh)" dataDxfId="467">
      <calculatedColumnFormula>IFERROR(_xlfn.XLOOKUP($A2,'Raw Data'!$A:$A,'Raw Data'!BL:BL),"")</calculatedColumnFormula>
    </tableColumn>
    <tableColumn id="28" xr3:uid="{1E5E3F1A-399B-4CD6-AB36-938F5FDA0A9A}" name="Operational Capacity (MW)" dataDxfId="466" totalsRowDxfId="465">
      <calculatedColumnFormula>IFERROR(_xlfn.XLOOKUP($A2,'Raw Data'!$A:$A,'Raw Data'!$H:$H),"")</calculatedColumnFormula>
    </tableColumn>
    <tableColumn id="29" xr3:uid="{1DB8B270-4DCC-43A0-B8DA-3282EE12D6C0}" name="Bugt_Resource" dataDxfId="464" totalsRowDxfId="463">
      <calculatedColumnFormula>IFERROR(_xlfn.XLOOKUP($D2,'Modelling New'!$D:$D,'Modelling New'!$P:$P),"")</calculatedColumnFormula>
    </tableColumn>
    <tableColumn id="30" xr3:uid="{54D8EDB2-50DD-4E6B-BB0A-3AF2D2683CA7}" name="Bugt_Energy" dataDxfId="462" totalsRowDxfId="461">
      <calculatedColumnFormula>IFERROR(_xlfn.XLOOKUP($D2,'Modelling New'!$D:$D,'Modelling New'!$T:$T)*1000,"")</calculatedColumnFormula>
    </tableColumn>
    <tableColumn id="43" xr3:uid="{1061EE1F-1163-4E19-81C7-2E7A6E2CAFEB}" name="Bugt PR" dataDxfId="460">
      <calculatedColumnFormula>IFERROR(_xlfn.XLOOKUP($D2,'Modelling New'!$D:$D,'Modelling New'!$O:$O),"")</calculatedColumnFormula>
    </tableColumn>
    <tableColumn id="42" xr3:uid="{9ECBFE76-1401-4144-BBA0-90FC358C9EB7}" name="Bugt CUF" dataDxfId="459" totalsRowDxfId="458">
      <calculatedColumnFormula>IFERROR(_xlfn.XLOOKUP($D2,'Modelling New'!$D:$D,'Modelling New'!$W:$W),"")</calculatedColumnFormula>
    </tableColumn>
    <tableColumn id="31" xr3:uid="{22B7D7CD-EC61-4435-87E5-DED41274718E}" name="Bugt_PA" dataDxfId="457" totalsRowDxfId="456">
      <calculatedColumnFormula>IFERROR(_xlfn.XLOOKUP($D2,'Modelling New'!$D:$D,'Modelling New'!AE:AE),"")</calculatedColumnFormula>
    </tableColumn>
    <tableColumn id="32" xr3:uid="{BEB35848-C6D0-409C-B9E2-9B2A8A7B5423}" name="Bugt_EGA" dataDxfId="455" totalsRowDxfId="454"/>
    <tableColumn id="33" xr3:uid="{6C6653AE-2F24-4EE7-8362-B3031B477260}" name="Expected Energy" dataDxfId="453" totalsRowDxfId="452"/>
    <tableColumn id="34" xr3:uid="{54713ED6-80AF-449E-A815-A50EF779B01E}" name="Actual Energy WPR" dataDxfId="451" totalsRowDxfId="450"/>
    <tableColumn id="35" xr3:uid="{3CEF8A30-2AB5-4119-8BD4-ACA1B5C82363}" name="RA (%)" dataDxfId="449" totalsRowDxfId="448"/>
    <tableColumn id="36" xr3:uid="{03D7BB3E-28E9-4B02-9090-1168DD513601}" name="Mod Clean Dry (Num)" dataDxfId="447" totalsRowDxfId="446"/>
    <tableColumn id="37" xr3:uid="{F05C5BE5-FCCF-4742-9660-CF12964DF138}" name="Mod Clean Wet (Num)" dataDxfId="445" totalsRowDxfId="444"/>
    <tableColumn id="38" xr3:uid="{CEE4624F-EB12-4A9A-8500-3F102918F758}" name="Line Loss(%)" dataDxfId="443" totalsRowDxfId="442"/>
    <tableColumn id="39" xr3:uid="{34EEAB2B-5884-4CDD-9079-9B1AC38024BB}" name="Reactive Power (%)" dataDxfId="441"/>
    <tableColumn id="40" xr3:uid="{309FAC4D-7CA6-4C4A-B535-5EE64F7395CE}" name="Bugt Line loss (%) (Wind)" dataDxfId="440" totalsRowDxfId="439"/>
    <tableColumn id="41" xr3:uid="{79BDD337-59C4-4C7E-A599-04D044FE1BC3}" name="Bugt Reactive Power (%) (Wind)" dataDxfId="438" totalsRowDxfId="437"/>
    <tableColumn id="45" xr3:uid="{1549ABC6-51B7-4EDE-A078-30CF8971E99A}" name="Bugt Capacity" dataDxfId="436" totalsRowDxfId="435">
      <calculatedColumnFormula>IFERROR(_xlfn.XLOOKUP($D2,'Modelling New'!$D:$D,'Modelling New'!$N:$N),"")</calculatedColumnFormula>
    </tableColumn>
    <tableColumn id="44" xr3:uid="{BF436216-EE9C-46C2-921C-E10D5BDFDAD7}" name="CC*Bugt" dataDxfId="434" totalsRowDxfId="43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SY_Dev" displayName="SY_Dev" ref="A1:Z43" totalsRowShown="0" headerRowDxfId="432" dataDxfId="430" headerRowBorderDxfId="431" tableBorderDxfId="429" totalsRowBorderDxfId="428">
  <tableColumns count="26">
    <tableColumn id="1" xr3:uid="{00000000-0010-0000-0500-000001000000}" name="Finacial Year" dataDxfId="427"/>
    <tableColumn id="2" xr3:uid="{00000000-0010-0000-0500-000002000000}" name="Start Month" dataDxfId="426"/>
    <tableColumn id="3" xr3:uid="{00000000-0010-0000-0500-000003000000}" name="Calendor Year" dataDxfId="425"/>
    <tableColumn id="4" xr3:uid="{00000000-0010-0000-0500-000004000000}" name="Contrcatual Year" dataDxfId="424"/>
    <tableColumn id="5" xr3:uid="{00000000-0010-0000-0500-000005000000}" name="Operating Year" dataDxfId="423"/>
    <tableColumn id="8" xr3:uid="{00000000-0010-0000-0500-000008000000}" name="Date" dataDxfId="422">
      <calculatedColumnFormula>'Daily Dashboard'!B5-32</calculatedColumnFormula>
    </tableColumn>
    <tableColumn id="10" xr3:uid="{00000000-0010-0000-0500-00000A000000}" name="G1 Inv1" dataDxfId="421">
      <calculatedColumnFormula>IFERROR(Inv_SY!F4/Inv_SY!$P4-1,"")</calculatedColumnFormula>
    </tableColumn>
    <tableColumn id="11" xr3:uid="{00000000-0010-0000-0500-00000B000000}" name="G1 Inv2" dataDxfId="420">
      <calculatedColumnFormula>IFERROR(Inv_SY!G4/Inv_SY!$P4-1,"")</calculatedColumnFormula>
    </tableColumn>
    <tableColumn id="12" xr3:uid="{00000000-0010-0000-0500-00000C000000}" name="G2 Inv3" dataDxfId="419">
      <calculatedColumnFormula>IFERROR(Inv_SY!H4/Inv_SY!$P4-1,"")</calculatedColumnFormula>
    </tableColumn>
    <tableColumn id="13" xr3:uid="{00000000-0010-0000-0500-00000D000000}" name="G2 Inv4" dataDxfId="418">
      <calculatedColumnFormula>IFERROR(Inv_SY!I4/Inv_SY!$P4-1,"")</calculatedColumnFormula>
    </tableColumn>
    <tableColumn id="14" xr3:uid="{00000000-0010-0000-0500-00000E000000}" name="G3 Inv5" dataDxfId="417">
      <calculatedColumnFormula>IFERROR(Inv_SY!J4/Inv_SY!$P4-1,"")</calculatedColumnFormula>
    </tableColumn>
    <tableColumn id="15" xr3:uid="{00000000-0010-0000-0500-00000F000000}" name="G3 Inv6" dataDxfId="416">
      <calculatedColumnFormula>IFERROR(Inv_SY!K4/Inv_SY!$P4-1,"")</calculatedColumnFormula>
    </tableColumn>
    <tableColumn id="16" xr3:uid="{00000000-0010-0000-0500-000010000000}" name="G4 Inv7" dataDxfId="415">
      <calculatedColumnFormula>IFERROR(Inv_SY!L4/Inv_SY!$P4-1,"")</calculatedColumnFormula>
    </tableColumn>
    <tableColumn id="17" xr3:uid="{00000000-0010-0000-0500-000011000000}" name="G4 Inv8" dataDxfId="414">
      <calculatedColumnFormula>IFERROR(Inv_SY!M4/Inv_SY!$P4-1,"")</calculatedColumnFormula>
    </tableColumn>
    <tableColumn id="18" xr3:uid="{00000000-0010-0000-0500-000012000000}" name="G5 Inv9" dataDxfId="413">
      <calculatedColumnFormula>IFERROR(Inv_SY!N4/Inv_SY!$P4-1,"")</calculatedColumnFormula>
    </tableColumn>
    <tableColumn id="19" xr3:uid="{00000000-0010-0000-0500-000013000000}" name="G5 Inv10" dataDxfId="412">
      <calculatedColumnFormula>IFERROR(Inv_SY!O4/Inv_SY!$P4-1,"")</calculatedColumnFormula>
    </tableColumn>
    <tableColumn id="25" xr3:uid="{ADEA967E-3721-4A81-AB05-7ED229564FAE}" name="IS1_Inv1_M1" dataDxfId="411">
      <calculatedColumnFormula>IFERROR(Inv_SY!Q4/Inv_SY!$AA4-1,"")</calculatedColumnFormula>
    </tableColumn>
    <tableColumn id="26" xr3:uid="{160C7547-44B0-436F-B13F-23A3799CEF5A}" name="IS1_Inv1_M2" dataDxfId="410">
      <calculatedColumnFormula>IFERROR(Inv_SY!R4/Inv_SY!$AA4-1,"")</calculatedColumnFormula>
    </tableColumn>
    <tableColumn id="27" xr3:uid="{BD4D6DEE-DD08-4AE0-83C1-AC48E10C3D7F}" name="IS1_Inv1_M3" dataDxfId="409">
      <calculatedColumnFormula>IFERROR(Inv_SY!S4/Inv_SY!$AA4-1,"")</calculatedColumnFormula>
    </tableColumn>
    <tableColumn id="28" xr3:uid="{223B7DB1-EBE1-4531-8707-53605DDC6168}" name="IS1_Inv1_M4" dataDxfId="408">
      <calculatedColumnFormula>IFERROR(Inv_SY!T4/Inv_SY!$AA4-1,"")</calculatedColumnFormula>
    </tableColumn>
    <tableColumn id="29" xr3:uid="{5CD34C30-FBA1-4250-8C7B-E4F9A86D3D4C}" name="IS1_Inv2_M1" dataDxfId="407">
      <calculatedColumnFormula>IFERROR(Inv_SY!U4/Inv_SY!$AA4-1,"")</calculatedColumnFormula>
    </tableColumn>
    <tableColumn id="30" xr3:uid="{A9005520-EBE2-4102-8357-5C69519E94C2}" name="IS1_Inv2_M2" dataDxfId="406">
      <calculatedColumnFormula>IFERROR(Inv_SY!V4/Inv_SY!$AA4-1,"")</calculatedColumnFormula>
    </tableColumn>
    <tableColumn id="31" xr3:uid="{0E478C98-9EA7-4230-ABAC-F381CE7DF0CD}" name="IS1_Inv2_M3" dataDxfId="405">
      <calculatedColumnFormula>IFERROR(Inv_SY!W4/Inv_SY!$AA4-1,"")</calculatedColumnFormula>
    </tableColumn>
    <tableColumn id="32" xr3:uid="{C4DAF98F-3478-4B30-A560-0F280F36975A}" name="IS1_Inv2_M4" dataDxfId="404">
      <calculatedColumnFormula>IFERROR(Inv_SY!X4/Inv_SY!$AA4-1,"")</calculatedColumnFormula>
    </tableColumn>
    <tableColumn id="33" xr3:uid="{9A17E404-1058-44AA-BEB2-3A2BC7A2189D}" name="IS2_Inv1" dataDxfId="403">
      <calculatedColumnFormula>IFERROR(Inv_SY!Y4/Inv_SY!$AA4-1,"")</calculatedColumnFormula>
    </tableColumn>
    <tableColumn id="34" xr3:uid="{A9C89E7B-1EC9-40A5-9541-6C6080762A12}" name="IS1_Inv2" dataDxfId="402">
      <calculatedColumnFormula>IFERROR(Inv_SY!Z4/Inv_SY!$AA4-1,"")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Inv_Sy" displayName="Inv_Sy" ref="A3:AB65" totalsRowShown="0" headerRowDxfId="401" dataDxfId="400">
  <tableColumns count="28">
    <tableColumn id="1" xr3:uid="{00000000-0010-0000-0200-000001000000}" name="Finacial Year" dataDxfId="399"/>
    <tableColumn id="2" xr3:uid="{00000000-0010-0000-0200-000002000000}" name="Start Month" dataDxfId="398"/>
    <tableColumn id="3" xr3:uid="{00000000-0010-0000-0200-000003000000}" name="Calendor Year" dataDxfId="397">
      <calculatedColumnFormula>YEAR(RD[[#This Row],[Month Year]])</calculatedColumnFormula>
    </tableColumn>
    <tableColumn id="4" xr3:uid="{00000000-0010-0000-0200-000004000000}" name="Contrcatual Year" dataDxfId="396"/>
    <tableColumn id="8" xr3:uid="{00000000-0010-0000-0200-000008000000}" name="Date" dataDxfId="395"/>
    <tableColumn id="13" xr3:uid="{5243FB26-6669-4F62-83AB-DE6F49B46F41}" name="G1 Inv1" dataDxfId="394">
      <calculatedColumnFormula>VLOOKUP(Inv_Sy[[#This Row],[Date]],RD[#All],F$1,0)/F$2</calculatedColumnFormula>
    </tableColumn>
    <tableColumn id="14" xr3:uid="{3667C0E2-57F9-430B-A942-C7BF935BD600}" name="G1 Inv2" dataDxfId="393">
      <calculatedColumnFormula>VLOOKUP(Inv_Sy[[#This Row],[Date]],RD[#All],G$1,0)/G$2</calculatedColumnFormula>
    </tableColumn>
    <tableColumn id="15" xr3:uid="{5E1E6FF5-CA93-448D-804B-1DF7CF6EE058}" name="G2 Inv3" dataDxfId="392">
      <calculatedColumnFormula>VLOOKUP(Inv_Sy[[#This Row],[Date]],RD[#All],H$1,0)/H$2</calculatedColumnFormula>
    </tableColumn>
    <tableColumn id="18" xr3:uid="{3F32083E-F86A-4FBF-A83A-D001FD9AB3EF}" name="G2 Inv4" dataDxfId="391">
      <calculatedColumnFormula>VLOOKUP(Inv_Sy[[#This Row],[Date]],RD[#All],I$1,0)/I$2</calculatedColumnFormula>
    </tableColumn>
    <tableColumn id="19" xr3:uid="{B2258F54-F4DE-4898-BD19-CB1247DEC6B7}" name="G3 Inv5" dataDxfId="390">
      <calculatedColumnFormula>VLOOKUP(Inv_Sy[[#This Row],[Date]],RD[#All],J$1,0)/J$2</calculatedColumnFormula>
    </tableColumn>
    <tableColumn id="20" xr3:uid="{7D717CEE-46E0-4E1A-A989-041089399C49}" name="G3 Inv6" dataDxfId="389">
      <calculatedColumnFormula>VLOOKUP(Inv_Sy[[#This Row],[Date]],RD[#All],K$1,0)/K$2</calculatedColumnFormula>
    </tableColumn>
    <tableColumn id="21" xr3:uid="{4241E952-2855-4CEB-B544-1DE7A8A92A73}" name="G4 Inv7" dataDxfId="388">
      <calculatedColumnFormula>VLOOKUP(Inv_Sy[[#This Row],[Date]],RD[#All],L$1,0)/L$2</calculatedColumnFormula>
    </tableColumn>
    <tableColumn id="22" xr3:uid="{EC1071B7-3141-4DE5-924D-D9ABDDE680D7}" name="G4 Inv8" dataDxfId="387">
      <calculatedColumnFormula>VLOOKUP(Inv_Sy[[#This Row],[Date]],RD[#All],M$1,0)/M$2</calculatedColumnFormula>
    </tableColumn>
    <tableColumn id="23" xr3:uid="{E4A31526-7BAB-463B-9DF2-A955F54BEAFC}" name="G5 Inv9" dataDxfId="386">
      <calculatedColumnFormula>VLOOKUP(Inv_Sy[[#This Row],[Date]],RD[#All],N$1,0)/N$2</calculatedColumnFormula>
    </tableColumn>
    <tableColumn id="24" xr3:uid="{A0CC1EDE-FAAE-4FB0-AAEA-4F8DCFCB9202}" name="G5 Inv10" dataDxfId="385">
      <calculatedColumnFormula>VLOOKUP(Inv_Sy[[#This Row],[Date]],RD[#All],O$1,0)/O$2</calculatedColumnFormula>
    </tableColumn>
    <tableColumn id="5" xr3:uid="{866C7418-12C2-4A06-9731-A48C6FC7CC9F}" name="PSEGPL" dataDxfId="384">
      <calculatedColumnFormula>AVERAGEIFS(Inv_Sy[[#This Row],[G1 Inv1]:[G5 Inv10]],Inv_Sy[[#This Row],[G1 Inv1]:[G5 Inv10]],"&lt;&gt;"&amp;0)</calculatedColumnFormula>
    </tableColumn>
    <tableColumn id="10" xr3:uid="{2D74CBD1-4006-4BAC-835D-124796D4B4CC}" name="IS1_Inv1_M1" dataDxfId="383">
      <calculatedColumnFormula>VLOOKUP(Inv_Sy[[#This Row],[Date]],RD[#All],Q$1,0)/Q$2</calculatedColumnFormula>
    </tableColumn>
    <tableColumn id="11" xr3:uid="{544387D4-2037-42D4-B5A9-FEC6FEA5C1D0}" name="IS1_Inv1_M2" dataDxfId="382">
      <calculatedColumnFormula>VLOOKUP(Inv_Sy[[#This Row],[Date]],RD[#All],R$1,0)/R$2</calculatedColumnFormula>
    </tableColumn>
    <tableColumn id="12" xr3:uid="{10674192-C13D-4196-9A78-C20DADC583DC}" name="IS1_Inv1_M3" dataDxfId="381">
      <calculatedColumnFormula>VLOOKUP(Inv_Sy[[#This Row],[Date]],RD[#All],S$1,0)/S$2</calculatedColumnFormula>
    </tableColumn>
    <tableColumn id="25" xr3:uid="{633BA55F-94F4-4EB2-BE5B-88AA8D4CF12F}" name="IS1_Inv1_M4" dataDxfId="380">
      <calculatedColumnFormula>VLOOKUP(Inv_Sy[[#This Row],[Date]],RD[#All],T$1,0)/T$2</calculatedColumnFormula>
    </tableColumn>
    <tableColumn id="26" xr3:uid="{024C0B51-D741-4E3D-825F-F15AF247A13F}" name="IS1_Inv2_M1" dataDxfId="379">
      <calculatedColumnFormula>VLOOKUP(Inv_Sy[[#This Row],[Date]],RD[#All],U$1,0)/U$2</calculatedColumnFormula>
    </tableColumn>
    <tableColumn id="27" xr3:uid="{7EBEA9EB-8754-4BA2-AD76-74EF0FBDA376}" name="IS1_Inv2_M2" dataDxfId="378">
      <calculatedColumnFormula>VLOOKUP(Inv_Sy[[#This Row],[Date]],RD[#All],V$1,0)/V$2</calculatedColumnFormula>
    </tableColumn>
    <tableColumn id="28" xr3:uid="{4AB581EB-D217-420F-81B3-C888E83AAEFC}" name="IS1_Inv2_M3" dataDxfId="377">
      <calculatedColumnFormula>VLOOKUP(Inv_Sy[[#This Row],[Date]],RD[#All],W$1,0)/W$2</calculatedColumnFormula>
    </tableColumn>
    <tableColumn id="29" xr3:uid="{58F3C35E-8B06-49C4-A9F9-774BBB9227E5}" name="IS1_Inv2_M4" dataDxfId="376">
      <calculatedColumnFormula>VLOOKUP(Inv_Sy[[#This Row],[Date]],RD[#All],X$1,0)/X$2</calculatedColumnFormula>
    </tableColumn>
    <tableColumn id="30" xr3:uid="{BDEE44F7-4549-4631-8759-83C7A64C1159}" name="IS2_Inv1" dataDxfId="375">
      <calculatedColumnFormula>VLOOKUP(Inv_Sy[[#This Row],[Date]],RD[#All],Y$1,0)/Y$2</calculatedColumnFormula>
    </tableColumn>
    <tableColumn id="31" xr3:uid="{75E0D4C0-42B0-420A-B2BF-BB0AD0C94AC3}" name="IS1_Inv2" dataDxfId="374">
      <calculatedColumnFormula>VLOOKUP(Inv_Sy[[#This Row],[Date]],RD[#All],Z$1,0)/Z$2</calculatedColumnFormula>
    </tableColumn>
    <tableColumn id="16" xr3:uid="{00000000-0010-0000-0200-000010000000}" name="Avg. SY New" dataDxfId="373">
      <calculatedColumnFormula>IFERROR(AVERAGEIF(Q4:Z4,"&gt;"&amp;0,Q4:Z4),"")</calculatedColumnFormula>
    </tableColumn>
    <tableColumn id="17" xr3:uid="{00000000-0010-0000-0200-000011000000}" name="Max. SY" dataDxfId="372">
      <calculatedColumnFormula>MAX(Inv_Sy[[#This Row],[G1 Inv1]:[IS1_Inv2]])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GA" displayName="GA" ref="A2:AD8" totalsRowShown="0" headerRowDxfId="371" dataDxfId="369" headerRowBorderDxfId="370" tableBorderDxfId="368" totalsRowBorderDxfId="367">
  <autoFilter ref="A2:AD8" xr:uid="{00000000-000C-0000-FFFF-FFFF08000000}"/>
  <tableColumns count="30">
    <tableColumn id="1" xr3:uid="{00000000-0010-0000-0800-000001000000}" name="Sr. No." dataDxfId="366"/>
    <tableColumn id="8" xr3:uid="{00000000-0010-0000-0800-000008000000}" name="Date" dataDxfId="365"/>
    <tableColumn id="2" xr3:uid="{00000000-0010-0000-0800-000002000000}" name="Finacial Year" dataDxfId="364"/>
    <tableColumn id="3" xr3:uid="{00000000-0010-0000-0800-000003000000}" name="Calendor Year" dataDxfId="363"/>
    <tableColumn id="4" xr3:uid="{00000000-0010-0000-0800-000004000000}" name="Contrcatual Year" dataDxfId="362"/>
    <tableColumn id="5" xr3:uid="{00000000-0010-0000-0800-000005000000}" name="Operating Year" dataDxfId="361"/>
    <tableColumn id="6" xr3:uid="{00000000-0010-0000-0800-000006000000}" name="Month Year" dataDxfId="360">
      <calculatedColumnFormula>TEXT(GA[[#This Row],[Date]],"mmm-yy")</calculatedColumnFormula>
    </tableColumn>
    <tableColumn id="7" xr3:uid="{00000000-0010-0000-0800-000007000000}" name="Days" dataDxfId="359">
      <calculatedColumnFormula>DAY(EOMONTH(GA[[#This Row],[Month Year]],0))</calculatedColumnFormula>
    </tableColumn>
    <tableColumn id="26" xr3:uid="{00000000-0010-0000-0800-00001A000000}" name="Sunrise Time (POA&gt;20 W/m2)" dataDxfId="358">
      <calculatedColumnFormula>_xlfn.XLOOKUP(GA[[#This Row],[Date]],RD[Date],RD[Sunrise Time (POA&gt;20 W/m2)],0)</calculatedColumnFormula>
    </tableColumn>
    <tableColumn id="27" xr3:uid="{00000000-0010-0000-0800-00001B000000}" name="Sunset Time (POA&lt;20 W/m2)" dataDxfId="357">
      <calculatedColumnFormula>_xlfn.XLOOKUP(GA[[#This Row],[Date]],RD[Date],RD[Sunset Time (POA&lt;20 W/m2)],0)</calculatedColumnFormula>
    </tableColumn>
    <tableColumn id="28" xr3:uid="{00000000-0010-0000-0800-00001C000000}" name="Total Generation Time" dataDxfId="356">
      <calculatedColumnFormula>IFERROR((GA[[#This Row],[Sunset Time (POA&lt;20 W/m2)]]-GA[[#This Row],[Sunrise Time (POA&gt;20 W/m2)]])*24,"")</calculatedColumnFormula>
    </tableColumn>
    <tableColumn id="9" xr3:uid="{00000000-0010-0000-0800-000009000000}" name="Affceted Equipment" dataDxfId="355"/>
    <tableColumn id="10" xr3:uid="{00000000-0010-0000-0800-00000A000000}" name="DC Capacity Affceted (kW)" dataDxfId="354">
      <calculatedColumnFormula>_xlfn.XLOOKUP(GA[[#This Row],[Affceted Equipment]],'Basic Data'!$A$1:$A$183,'Basic Data'!$B$1:$B$183,0)</calculatedColumnFormula>
    </tableColumn>
    <tableColumn id="11" xr3:uid="{00000000-0010-0000-0800-00000B000000}" name="Affected Equipmenet Location" dataDxfId="353"/>
    <tableColumn id="12" xr3:uid="{00000000-0010-0000-0800-00000C000000}" name="Fault Catergory" dataDxfId="352"/>
    <tableColumn id="30" xr3:uid="{00000000-0010-0000-0800-00001E000000}" name="Plant Equivalent Weightage" dataDxfId="351">
      <calculatedColumnFormula>IFERROR(VLOOKUP(GA[[#This Row],[Affceted Equipment]],'Basic Data'!$A$2:$C$128,3,0),"")</calculatedColumnFormula>
    </tableColumn>
    <tableColumn id="13" xr3:uid="{00000000-0010-0000-0800-00000D000000}" name="Fault Code (As per HMI)" dataDxfId="350"/>
    <tableColumn id="14" xr3:uid="{00000000-0010-0000-0800-00000E000000}" name="Breakdown Description" dataDxfId="349"/>
    <tableColumn id="15" xr3:uid="{00000000-0010-0000-0800-00000F000000}" name="Fault Time" dataDxfId="348"/>
    <tableColumn id="16" xr3:uid="{00000000-0010-0000-0800-000010000000}" name="Acknowledgemnet Time " dataDxfId="347"/>
    <tableColumn id="17" xr3:uid="{00000000-0010-0000-0800-000011000000}" name="Work Start time on Fault" dataDxfId="346"/>
    <tableColumn id="18" xr3:uid="{00000000-0010-0000-0800-000012000000}" name="Work Completiuon time on fualt" dataDxfId="345"/>
    <tableColumn id="19" xr3:uid="{00000000-0010-0000-0800-000013000000}" name="Acknowdlegemnet time " dataDxfId="344"/>
    <tableColumn id="20" xr3:uid="{00000000-0010-0000-0800-000014000000}" name="Response Time" dataDxfId="343"/>
    <tableColumn id="21" xr3:uid="{00000000-0010-0000-0800-000015000000}" name="Resolution Time" dataDxfId="342">
      <calculatedColumnFormula>(GA[[#This Row],[Work Completiuon time on fualt]]-GA[[#This Row],[Fault Time]])*24</calculatedColumnFormula>
    </tableColumn>
    <tableColumn id="22" xr3:uid="{00000000-0010-0000-0800-000016000000}" name="Action taken" dataDxfId="341"/>
    <tableColumn id="23" xr3:uid="{00000000-0010-0000-0800-000017000000}" name="Status" dataDxfId="340"/>
    <tableColumn id="29" xr3:uid="{00000000-0010-0000-0800-00001D000000}" name="Plant Equivalent breakdown" dataDxfId="339">
      <calculatedColumnFormula>IFERROR(GA[[#This Row],[Plant Equivalent Weightage]]*GA[[#This Row],[Resolution Time]],"")</calculatedColumnFormula>
    </tableColumn>
    <tableColumn id="25" xr3:uid="{00000000-0010-0000-0800-000019000000}" name="Lost POA (KWh/m2)" dataDxfId="338">
      <calculatedColumnFormula>5208.07/60000</calculatedColumnFormula>
    </tableColumn>
    <tableColumn id="24" xr3:uid="{00000000-0010-0000-0800-000018000000}" name="Approxuimate Energy Loss (KWh)" dataDxfId="337">
      <calculatedColumnFormula>IFERROR((VLOOKUP(GA[[#This Row],[Date]],Modelling_old[#All],16,0)*GA[[#This Row],[Lost POA (KWh/m2)]]*GA[[#This Row],[DC Capacity Affceted (kW)]])/1000,"")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D605E5D-ABD0-4F8B-9BA1-323020DBB2A2}" name="New_Modelling" displayName="New_Modelling" ref="A1:AP37" totalsRowShown="0" headerRowDxfId="336" dataDxfId="334" headerRowBorderDxfId="335" tableBorderDxfId="333" totalsRowBorderDxfId="332">
  <tableColumns count="42">
    <tableColumn id="1" xr3:uid="{EC5B5718-7B01-4045-A6AA-C35ED3DE200B}" name="Sr. No." dataDxfId="331"/>
    <tableColumn id="2" xr3:uid="{31EF7087-B27B-48C4-9770-8848EA02C6E8}" name="Month Name" dataDxfId="330"/>
    <tableColumn id="3" xr3:uid="{BA614B16-5032-431A-9EBE-821E8046014E}" name="Month Number" dataDxfId="329"/>
    <tableColumn id="4" xr3:uid="{7332CF9A-E25F-42A3-A242-9AB9F745BCE4}" name="Month" dataDxfId="328"/>
    <tableColumn id="5" xr3:uid="{45918747-3FCC-4824-929D-0A195DCD36A3}" name="CY" dataDxfId="327">
      <calculatedColumnFormula>YEAR(D2)</calculatedColumnFormula>
    </tableColumn>
    <tableColumn id="6" xr3:uid="{FD7F684F-D9CD-467B-B16B-D55FD519FA08}" name="FY" dataDxfId="326"/>
    <tableColumn id="7" xr3:uid="{2A8E3070-261F-4EB4-ABAC-8A0F8529647C}" name="No. of Days in Month" dataDxfId="325">
      <calculatedColumnFormula>DAY(EOMONTH(D2,0))</calculatedColumnFormula>
    </tableColumn>
    <tableColumn id="8" xr3:uid="{937FF065-29B4-490E-BD80-9E616E6AB92B}" name="GHI" dataDxfId="324"/>
    <tableColumn id="9" xr3:uid="{544CD010-CEA2-4BF9-B6D2-B423E2F100D7}" name="POA" dataDxfId="323"/>
    <tableColumn id="10" xr3:uid="{EAF7CB94-E97E-4F45-A994-7AB49FEBE1E0}" name="WS" dataDxfId="322"/>
    <tableColumn id="11" xr3:uid="{F6D4A2EC-ED62-43F6-A605-DC9A87BBA50D}" name="Tamb" dataDxfId="321"/>
    <tableColumn id="12" xr3:uid="{2346B11C-C190-4577-B8CF-37F2EBBE8F6C}" name="Tmod" dataDxfId="320"/>
    <tableColumn id="13" xr3:uid="{1EA598CD-E7F3-47EF-9BC9-C93C490FF1CF}" name="Egrid (MWh)" dataDxfId="319"/>
    <tableColumn id="14" xr3:uid="{75350688-8D9A-4BDD-8AE9-131AECAB494D}" name="Bugt_Capacity" dataDxfId="318"/>
    <tableColumn id="15" xr3:uid="{0EE5F242-E538-4111-B034-AE51FDB0A80D}" name="PR" dataDxfId="317">
      <calculatedColumnFormula>IFERROR(M2/I2/N2,"")</calculatedColumnFormula>
    </tableColumn>
    <tableColumn id="16" xr3:uid="{B68E78D0-04B2-4F61-B9C3-7803E20CB861}" name="Daily POA" dataDxfId="316">
      <calculatedColumnFormula>IFERROR(I2/G2,"")</calculatedColumnFormula>
    </tableColumn>
    <tableColumn id="17" xr3:uid="{DA06CB3A-ADF0-4BDE-AC6E-BF3C6D25AB64}" name="Days Operated" dataDxfId="315">
      <calculatedColumnFormula>COUNTIFS('Daily KPI'!$D:$D,D2,'Daily KPI'!$I:$I,"&gt;0")</calculatedColumnFormula>
    </tableColumn>
    <tableColumn id="18" xr3:uid="{1D5F4DD8-6105-43A8-BE24-C38BFDAF1AE2}" name="MTD POA" dataDxfId="314">
      <calculatedColumnFormula>I2/G2*Q2</calculatedColumnFormula>
    </tableColumn>
    <tableColumn id="27" xr3:uid="{3DD36391-6CBE-4023-ABB9-DC7B5374387C}" name="YTD POA" dataDxfId="313">
      <calculatedColumnFormula>SUMIF($F$2:F2,F2,$R$2:R2)</calculatedColumnFormula>
    </tableColumn>
    <tableColumn id="19" xr3:uid="{7E73296D-A802-4116-96A2-BD5E3268DBD7}" name="Daily Energy (MWh)" dataDxfId="312">
      <calculatedColumnFormula>M2/G2</calculatedColumnFormula>
    </tableColumn>
    <tableColumn id="20" xr3:uid="{99545A3D-BC6A-47F1-B87E-CEE9348A000F}" name="MTD Energy (MWh)" dataDxfId="311">
      <calculatedColumnFormula>M2/G2*Q2</calculatedColumnFormula>
    </tableColumn>
    <tableColumn id="28" xr3:uid="{782BD024-DE0B-4477-BC7C-60CC5B0FBE2F}" name="YTD Energy (MWh)" dataDxfId="310">
      <calculatedColumnFormula>SUMIF($F$2:F2,F2,$U$2:U2)</calculatedColumnFormula>
    </tableColumn>
    <tableColumn id="38" xr3:uid="{8BBA1C2B-1AFE-46DE-AA32-1DBA8F15FFA1}" name="Bugt CUF (%)" dataDxfId="309" dataCellStyle="Percent">
      <calculatedColumnFormula>IFERROR(T2/(24*N2),"")</calculatedColumnFormula>
    </tableColumn>
    <tableColumn id="37" xr3:uid="{39148318-A12C-4D09-A1F5-0C5ABC8AFF85}" name="Bugt CUF (%) MTD" dataDxfId="308" dataCellStyle="Percent">
      <calculatedColumnFormula>IFERROR(U2/(24*N2*Q2),"")</calculatedColumnFormula>
    </tableColumn>
    <tableColumn id="36" xr3:uid="{22C342AE-5D72-48BE-99C6-315306CD597E}" name="Bugt CUF (%)YTD" dataDxfId="307" dataCellStyle="Percent">
      <calculatedColumnFormula>IFERROR(V2/(24*N2*SUMIFS($Q:$Q,$F:$F,$F2,$D:$D,"&lt;="&amp;D2)),"")</calculatedColumnFormula>
    </tableColumn>
    <tableColumn id="21" xr3:uid="{82015399-0A73-494C-B400-DDB1DC4C9555}" name="Ave. Cap MTD" dataDxfId="306">
      <calculatedColumnFormula>IFERROR(AVERAGEIF('Daily KPI'!$D:$D,New_Modelling[[#This Row],[Month]],'Daily KPI'!$AB:$AB),"")</calculatedColumnFormula>
    </tableColumn>
    <tableColumn id="29" xr3:uid="{8085297A-0FE0-4B85-A0E4-ADB643ADF59F}" name="Ave. Cap YTD" dataDxfId="305">
      <calculatedColumnFormula>IFERROR(AVERAGEIF($F$2:F2,F2,$N$2:N2),"")</calculatedColumnFormula>
    </tableColumn>
    <tableColumn id="22" xr3:uid="{09C92246-2F2C-4EB0-9161-CB27A47ED760}" name="CC Energy MTD" dataDxfId="304"/>
    <tableColumn id="31" xr3:uid="{3B1D23D6-88AB-46D1-936A-A1A653BA60B1}" name="WS MTD" dataDxfId="303"/>
    <tableColumn id="23" xr3:uid="{69E49E17-3DC1-41DF-B1F4-208DB21CCD3F}" name="WS YTD" dataDxfId="302"/>
    <tableColumn id="24" xr3:uid="{DB036228-9AA5-4BDA-BB3C-8290EC21E46A}" name="Bugt PA" dataDxfId="301"/>
    <tableColumn id="25" xr3:uid="{5B97F361-9B23-49F2-BCE2-236B9C333E57}" name="Bugt EGA" dataDxfId="300"/>
    <tableColumn id="35" xr3:uid="{4EAE26B6-1069-41CF-8A5E-E593C01A345C}" name="Bugt TA" dataDxfId="299" dataCellStyle="Percent"/>
    <tableColumn id="26" xr3:uid="{4DD64B1E-8F4F-4DB4-8906-3D31D52ECC37}" name="Bugt MA" dataDxfId="298" dataCellStyle="Percent"/>
    <tableColumn id="30" xr3:uid="{4EADA98C-F326-40BA-8A12-80D3009511FA}" name="Bugt IGA" dataDxfId="297" dataCellStyle="Percent"/>
    <tableColumn id="32" xr3:uid="{FC57DBD3-E166-4B57-ADB9-A9847E7CCCE8}" name="Corelation" dataDxfId="296" dataCellStyle="Percent"/>
    <tableColumn id="33" xr3:uid="{CFB90692-1444-43A2-B178-345F5EE35BA2}" name="Bugt Line loss" dataDxfId="295" dataCellStyle="Percent"/>
    <tableColumn id="34" xr3:uid="{CA3DD64A-9E12-47A3-A316-4E1D153F241F}" name="Bugt Reactive Power" dataDxfId="294" dataCellStyle="Percent"/>
    <tableColumn id="40" xr3:uid="{CF370385-C25A-4C92-830F-83F80CEC24A7}" name="CC*Bugt (MTD)" dataDxfId="293" dataCellStyle="Percent"/>
    <tableColumn id="41" xr3:uid="{9FE1E158-1120-45D8-9E27-0EE2BA61E72F}" name="CC*Bugt (YTD)" dataDxfId="292" dataCellStyle="Percent"/>
    <tableColumn id="39" xr3:uid="{44064D6F-2590-428C-B0F0-57A3B6692427}" name="E Grid PSEGPL" dataDxfId="291"/>
    <tableColumn id="42" xr3:uid="{5E0E6B6A-60F6-40C5-B7D4-D367851DDAD3}" name="E Grid PSEGPL2" dataDxfId="290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delling_old" displayName="Modelling_old" ref="A17:V748" headerRowDxfId="289" headerRowBorderDxfId="288" tableBorderDxfId="287">
  <tableColumns count="22">
    <tableColumn id="1" xr3:uid="{00000000-0010-0000-0300-000001000000}" name="Date" totalsRowFunction="custom" dataDxfId="286" totalsRowDxfId="285">
      <totalsRowFormula>A383+1</totalsRowFormula>
    </tableColumn>
    <tableColumn id="2" xr3:uid="{00000000-0010-0000-0300-000002000000}" name="Start Month" dataDxfId="284" totalsRowDxfId="283">
      <calculatedColumnFormula>MONTH(Modelling_old[[#This Row],[Date]])</calculatedColumnFormula>
    </tableColumn>
    <tableColumn id="3" xr3:uid="{00000000-0010-0000-0300-000003000000}" name="Finacial Year" dataDxfId="282" totalsRowDxfId="281">
      <calculatedColumnFormula>YEAR(A18)+(MONTH(A18)&gt;=B18)</calculatedColumnFormula>
    </tableColumn>
    <tableColumn id="4" xr3:uid="{00000000-0010-0000-0300-000004000000}" name="Calendor Year" dataDxfId="280" totalsRowDxfId="279">
      <calculatedColumnFormula>YEAR(A18)</calculatedColumnFormula>
    </tableColumn>
    <tableColumn id="5" xr3:uid="{00000000-0010-0000-0300-000005000000}" name="Contrcatual Year" dataDxfId="278" totalsRowDxfId="277"/>
    <tableColumn id="6" xr3:uid="{00000000-0010-0000-0300-000006000000}" name="Operating Year" dataDxfId="276" totalsRowDxfId="275"/>
    <tableColumn id="7" xr3:uid="{00000000-0010-0000-0300-000007000000}" name="Month Year" dataDxfId="274" totalsRowDxfId="273"/>
    <tableColumn id="8" xr3:uid="{00000000-0010-0000-0300-000008000000}" name="Total Days" dataDxfId="272" totalsRowDxfId="271">
      <calculatedColumnFormula>DAY(EOMONTH(G18,0))</calculatedColumnFormula>
    </tableColumn>
    <tableColumn id="9" xr3:uid="{00000000-0010-0000-0300-000009000000}" name="Month" dataDxfId="270" totalsRowDxfId="269">
      <calculatedColumnFormula>MONTH(A18)</calculatedColumnFormula>
    </tableColumn>
    <tableColumn id="10" xr3:uid="{00000000-0010-0000-0300-00000A000000}" name="Target E_Grid daily_x000a_MWh" dataDxfId="268" totalsRowDxfId="267">
      <calculatedColumnFormula>VLOOKUP(I18,$C$2:$L$13,10,0)/H18</calculatedColumnFormula>
    </tableColumn>
    <tableColumn id="11" xr3:uid="{00000000-0010-0000-0300-00000B000000}" name="Target E_Grid MTD_x000a_MWh" dataDxfId="266" totalsRowDxfId="265"/>
    <tableColumn id="12" xr3:uid="{00000000-0010-0000-0300-00000C000000}" name="Target E_Grid YTD_x000a_MWh" dataDxfId="264" totalsRowDxfId="263"/>
    <tableColumn id="13" xr3:uid="{00000000-0010-0000-0300-00000D000000}" name="Target POA Daily (KWh/m2)" dataDxfId="262" totalsRowDxfId="261">
      <calculatedColumnFormula>VLOOKUP(I18,$C$2:$M$13,11,0)</calculatedColumnFormula>
    </tableColumn>
    <tableColumn id="14" xr3:uid="{00000000-0010-0000-0300-00000E000000}" name="Target POA MTD (KWh/m2)" dataDxfId="260" totalsRowDxfId="259"/>
    <tableColumn id="15" xr3:uid="{00000000-0010-0000-0300-00000F000000}" name="Tareget POA YTD (KWh/m2)" dataDxfId="258" totalsRowDxfId="257"/>
    <tableColumn id="16" xr3:uid="{00000000-0010-0000-0300-000010000000}" name="Target PR Daily (%)" dataDxfId="256" totalsRowDxfId="255">
      <calculatedColumnFormula>J18/$Q$1/M18</calculatedColumnFormula>
    </tableColumn>
    <tableColumn id="17" xr3:uid="{00000000-0010-0000-0300-000011000000}" name="Target PR MTD (%)" dataDxfId="254" totalsRowDxfId="253">
      <calculatedColumnFormula>K18/N18/$Q$1</calculatedColumnFormula>
    </tableColumn>
    <tableColumn id="18" xr3:uid="{00000000-0010-0000-0300-000012000000}" name="Target PR YTD (%)" dataDxfId="252" totalsRowDxfId="251">
      <calculatedColumnFormula>L18/O18/$Q$1</calculatedColumnFormula>
    </tableColumn>
    <tableColumn id="19" xr3:uid="{00000000-0010-0000-0300-000013000000}" name="Target CUF Daily (%)" dataDxfId="250" totalsRowDxfId="249">
      <calculatedColumnFormula>J18/(24*$Q$1)</calculatedColumnFormula>
    </tableColumn>
    <tableColumn id="20" xr3:uid="{00000000-0010-0000-0300-000014000000}" name="Target CUF MTD (%)" dataDxfId="248" totalsRowDxfId="247"/>
    <tableColumn id="21" xr3:uid="{00000000-0010-0000-0300-000015000000}" name="Target CUF YTD (%)" dataDxfId="246" totalsRowDxfId="245">
      <calculatedColumnFormula>L18/((COUNT($L$18:L18))*24*$Q$1)</calculatedColumnFormula>
    </tableColumn>
    <tableColumn id="22" xr3:uid="{F08BDE8B-51B1-4600-860A-50A4A622F909}" name="DC Capcity" dataDxfId="244" totalsRowDxfId="243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4D4E92-52AA-4CB7-91AF-41B40F8CF8C0}" name="Modelling_new" displayName="Modelling_new" ref="Y17:AW748" totalsRowShown="0" headerRowDxfId="242" headerRowBorderDxfId="241" tableBorderDxfId="240">
  <tableColumns count="25">
    <tableColumn id="1" xr3:uid="{4556EFA0-FF32-4A21-89E3-29DB7EAC73EB}" name="Date" dataDxfId="239"/>
    <tableColumn id="2" xr3:uid="{BEE5F4E2-1EB0-4129-9C97-6BF50EFB3FB5}" name="Start Month" dataDxfId="238">
      <calculatedColumnFormula>MONTH(Modelling_new[[#This Row],[Date]])</calculatedColumnFormula>
    </tableColumn>
    <tableColumn id="3" xr3:uid="{1235DF36-18D8-4E3A-B16A-CFC268B4C056}" name="Finacial Year" dataDxfId="237">
      <calculatedColumnFormula>YEAR(Y18)+IF(MONTH(Modelling_new[[#This Row],[Date]])&gt;=4,1,0)</calculatedColumnFormula>
    </tableColumn>
    <tableColumn id="4" xr3:uid="{4DF5395E-232E-4EBA-BEA1-54D168D4794F}" name="Calendor Year" dataDxfId="236">
      <calculatedColumnFormula>YEAR(Y18)</calculatedColumnFormula>
    </tableColumn>
    <tableColumn id="5" xr3:uid="{847FBB60-BB44-4D70-86C9-DD04CF12AC0A}" name="Contrcatual Year" dataDxfId="235"/>
    <tableColumn id="6" xr3:uid="{22074E94-EDF1-421F-A5BB-49B0D51AD136}" name="Operating Year" dataDxfId="234"/>
    <tableColumn id="7" xr3:uid="{C59FB8BB-0D35-4998-9E82-0004E497F3D1}" name="Month Year" dataDxfId="233"/>
    <tableColumn id="8" xr3:uid="{BF986D41-67DA-4FA0-97A0-85552C277B58}" name="Total Days" dataDxfId="232">
      <calculatedColumnFormula>DAY(EOMONTH(AE18,0))</calculatedColumnFormula>
    </tableColumn>
    <tableColumn id="9" xr3:uid="{5DAAD46E-4F6E-49C1-BB13-363F75E67325}" name="Month" dataDxfId="231">
      <calculatedColumnFormula>MONTH(Y18)</calculatedColumnFormula>
    </tableColumn>
    <tableColumn id="10" xr3:uid="{AAB86F05-46E9-4FF5-A081-57830863EEE1}" name="Target E_Grid daily_x000a_MWh" dataDxfId="230">
      <calculatedColumnFormula>VLOOKUP(AG18,$C$2:$L$13,10,0)/AF18</calculatedColumnFormula>
    </tableColumn>
    <tableColumn id="11" xr3:uid="{9E4C0A10-DD6A-47DB-AEBE-815FB53312B4}" name="Target E_Grid MTD_x000a_MWh" dataDxfId="229"/>
    <tableColumn id="12" xr3:uid="{FDA23885-7B02-4803-B60A-5F6BFCC4B680}" name="Target E_Grid YTD_x000a_MWh" dataDxfId="228"/>
    <tableColumn id="13" xr3:uid="{0CD99726-A0A8-4B3C-BC26-E331041CE907}" name="Target POA Daily (KWh/m2)" dataDxfId="227">
      <calculatedColumnFormula>VLOOKUP(AG18,$C$2:$M$13,11,0)</calculatedColumnFormula>
    </tableColumn>
    <tableColumn id="14" xr3:uid="{A31C3D57-D3F9-4774-A061-74B38CDD1170}" name="Target POA MTD (KWh/m2)" dataDxfId="226"/>
    <tableColumn id="15" xr3:uid="{421E07E1-DE5C-4D7A-860A-8686B40B0AD8}" name="Tareget POA YTD (KWh/m2)" dataDxfId="225"/>
    <tableColumn id="16" xr3:uid="{3A29ABCE-5519-4C4C-B862-1A60EE4FF092}" name="Target PR Daily (%)" dataDxfId="224">
      <calculatedColumnFormula>AH18/$Q$1/AK18</calculatedColumnFormula>
    </tableColumn>
    <tableColumn id="17" xr3:uid="{BA4DB9E0-CAFA-43B5-A340-A3FB9437B931}" name="Target PR MTD (%)" dataDxfId="223">
      <calculatedColumnFormula>AI18/AL18/$Q$1</calculatedColumnFormula>
    </tableColumn>
    <tableColumn id="18" xr3:uid="{9AB117BE-37EA-47EB-A3E7-196D9A85239D}" name="Target PR YTD (%)" dataDxfId="222">
      <calculatedColumnFormula>AJ18/AM18/$Q$1</calculatedColumnFormula>
    </tableColumn>
    <tableColumn id="19" xr3:uid="{F7FFCB3B-B818-4653-B0F4-28BDCA6026C6}" name="Target CUF Daily (%)" dataDxfId="221">
      <calculatedColumnFormula>AH18/(24*$Q$1)</calculatedColumnFormula>
    </tableColumn>
    <tableColumn id="20" xr3:uid="{FF2899C7-2BA0-4303-B422-64EA996FC4E9}" name="Target CUF MTD (%)" dataDxfId="220"/>
    <tableColumn id="21" xr3:uid="{3DDF0E5C-31D7-4F88-BDEB-36BAAA173F45}" name="Target CUF YTD (%)" dataDxfId="219">
      <calculatedColumnFormula>AJ18/((COUNT($L$18:AJ18))*24*$Q$1)</calculatedColumnFormula>
    </tableColumn>
    <tableColumn id="22" xr3:uid="{634F35D5-27D7-48E2-BC1A-C6DE3FD57A9F}" name="Comisined DC " dataDxfId="218"/>
    <tableColumn id="23" xr3:uid="{35220CB1-86D1-49DF-89D1-8D34E06AAE7D}" name="Factor" dataDxfId="217"/>
    <tableColumn id="24" xr3:uid="{A3C3C395-E0A8-4062-9F32-B642957E7908}" name="MTD DC Capcity" dataDxfId="216"/>
    <tableColumn id="25" xr3:uid="{F0B13FFD-FE46-4DCE-89DD-63248C581B5D}" name="YTD DC Capcity" dataDxfId="215"/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766002-747D-4BEA-A5F2-06AC94CDF382}" name="Modelling" displayName="Modelling" ref="BD17:CB748" totalsRowShown="0" headerRowDxfId="214" headerRowBorderDxfId="213" tableBorderDxfId="212">
  <tableColumns count="25">
    <tableColumn id="1" xr3:uid="{55D8E743-7A6C-468B-A6C7-DC879FE41CE3}" name="Date" dataDxfId="211"/>
    <tableColumn id="2" xr3:uid="{5946BBE5-97AC-421D-BF17-46F38B6A2843}" name="Start Month" dataDxfId="210">
      <calculatedColumnFormula>MONTH(Modelling[[#This Row],[Date]])</calculatedColumnFormula>
    </tableColumn>
    <tableColumn id="3" xr3:uid="{8AF01218-8248-4D66-A297-8138B1AC51F5}" name="Finacial Year" dataDxfId="209">
      <calculatedColumnFormula>YEAR(BD18)+IF(MONTH(Modelling[[#This Row],[Date]])&gt;=4,1,0)</calculatedColumnFormula>
    </tableColumn>
    <tableColumn id="4" xr3:uid="{F8172837-B80A-4771-ADD4-B8B66FDEFC18}" name="Calendor Year" dataDxfId="208">
      <calculatedColumnFormula>YEAR(BD18)</calculatedColumnFormula>
    </tableColumn>
    <tableColumn id="5" xr3:uid="{E8BC47A0-B725-484B-A4CA-87618E0CC663}" name="Contrcatual Year" dataDxfId="207"/>
    <tableColumn id="6" xr3:uid="{CFB9C354-09BD-45DA-9C70-6DDBC6D90E72}" name="Operating Year" dataDxfId="206"/>
    <tableColumn id="7" xr3:uid="{A2BD469B-61C3-4EDF-B095-8721CCD283FC}" name="Month Year" dataDxfId="205"/>
    <tableColumn id="8" xr3:uid="{F436A09C-173C-49CE-A0D9-34419B0266C6}" name="Total Days" dataDxfId="204">
      <calculatedColumnFormula>DAY(EOMONTH(BJ18,0))</calculatedColumnFormula>
    </tableColumn>
    <tableColumn id="9" xr3:uid="{01200C15-122A-47FC-9BD6-A8E3E44DDCCB}" name="Month" dataDxfId="203">
      <calculatedColumnFormula>MONTH(BD18)</calculatedColumnFormula>
    </tableColumn>
    <tableColumn id="10" xr3:uid="{BD502281-0856-4EAE-9F7F-E84A3B1538AB}" name="Target E_Grid daily_x000a_MWh" dataDxfId="202">
      <calculatedColumnFormula>Modelling_old[[#This Row],[Target E_Grid daily
MWh]]+Modelling_new[[#This Row],[Target E_Grid daily
MWh]]</calculatedColumnFormula>
    </tableColumn>
    <tableColumn id="11" xr3:uid="{4C7E9E7B-7037-4F87-A220-5423EBD76D7F}" name="Target E_Grid MTD_x000a_MWh" dataDxfId="201">
      <calculatedColumnFormula>Modelling_old[[#This Row],[Target E_Grid MTD
MWh]]+Modelling_new[[#This Row],[Target E_Grid MTD
MWh]]</calculatedColumnFormula>
    </tableColumn>
    <tableColumn id="12" xr3:uid="{2875DDAE-2784-4F22-9C77-0E51B7603339}" name="Target E_Grid YTD_x000a_MWh" dataDxfId="200">
      <calculatedColumnFormula>Modelling_old[[#This Row],[Target E_Grid YTD
MWh]]+Modelling_new[[#This Row],[Target E_Grid YTD
MWh]]</calculatedColumnFormula>
    </tableColumn>
    <tableColumn id="13" xr3:uid="{CCC34C24-2CE7-4BEB-9087-D98C6A8169DB}" name="Target POA Daily (KWh/m2)" dataDxfId="199">
      <calculatedColumnFormula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calculatedColumnFormula>
    </tableColumn>
    <tableColumn id="14" xr3:uid="{F16941F6-DDD3-4B02-B3E7-E12BD49BFAB7}" name="Target POA MTD (KWh/m2)" dataDxfId="198">
      <calculatedColumnFormula>SUMIFS(Modelling[Target POA Daily (KWh/m2)],Modelling[Date],"&lt;="&amp;Modelling[[#This Row],[Date]],Modelling[Month Year],Modelling[[#This Row],[Month Year]])</calculatedColumnFormula>
    </tableColumn>
    <tableColumn id="15" xr3:uid="{8DC3B1D7-62C9-4F93-8309-20B9F96FAED7}" name="Tareget POA YTD (KWh/m2)" dataDxfId="197">
      <calculatedColumnFormula>SUMIFS(Modelling[Target POA Daily (KWh/m2)],Modelling[Date],"&lt;="&amp;Modelling[[#This Row],[Date]],Modelling[Finacial Year],Modelling[[#This Row],[Finacial Year]])</calculatedColumnFormula>
    </tableColumn>
    <tableColumn id="16" xr3:uid="{507870A5-C6E8-41A7-9723-937CF5CB2C83}" name="Target PR Daily (%)" dataDxfId="196">
      <calculatedColumnFormula>BM18/Modelling[[#This Row],[Comisined DC ]]/BP18</calculatedColumnFormula>
    </tableColumn>
    <tableColumn id="17" xr3:uid="{9730B997-E25C-4312-A293-F4C8051A9BB2}" name="Target PR MTD (%)" dataDxfId="195">
      <calculatedColumnFormula>BN18/BQ18/Modelling[[#This Row],[Comisined DC ]]</calculatedColumnFormula>
    </tableColumn>
    <tableColumn id="18" xr3:uid="{2671FB9E-259C-4678-B714-11B8DAB5DD7E}" name="Target PR YTD (%)" dataDxfId="194">
      <calculatedColumnFormula>BO18/BR18/Modelling[[#This Row],[Comisined DC ]]</calculatedColumnFormula>
    </tableColumn>
    <tableColumn id="19" xr3:uid="{11E867F4-AA9F-4CFF-B650-A6410823962D}" name="Target CUF Daily (%)" dataDxfId="193">
      <calculatedColumnFormula>BM18/(24*Modelling[[#This Row],[Comisined DC ]])</calculatedColumnFormula>
    </tableColumn>
    <tableColumn id="20" xr3:uid="{E384F781-3F33-4EE4-9A65-7FBD63BACAA0}" name="Target CUF MTD (%)" dataDxfId="192">
      <calculatedColumnFormula>BN18/((COUNTIFS(Modelling[Date],"&lt;="&amp;Modelling[[#This Row],[Date]],Modelling[Month Year],Modelling[[#This Row],[Month Year]])*24*Modelling[[#This Row],[MTD DC Capcity]]))</calculatedColumnFormula>
    </tableColumn>
    <tableColumn id="21" xr3:uid="{37EDEB09-BC91-4F10-8F23-B96E927E7005}" name="Target CUF YTD (%)" dataDxfId="191">
      <calculatedColumnFormula>BO18/((COUNTIFS(Modelling[Date],"&lt;="&amp;Modelling[[#This Row],[Date]],Modelling[Finacial Year],Modelling[[#This Row],[Finacial Year]])*24*Modelling[[#This Row],[MTD DC Capcity]]))</calculatedColumnFormula>
    </tableColumn>
    <tableColumn id="22" xr3:uid="{5A0CA7C6-2D38-4123-9F1E-7E159D202133}" name="Comisined DC "/>
    <tableColumn id="23" xr3:uid="{219B7A15-B624-47F5-B1C4-A8BC7FBFCF1B}" name="Factor"/>
    <tableColumn id="24" xr3:uid="{6CF52A45-7525-4669-A740-E2F9D319FED1}" name="MTD DC Capcity">
      <calculatedColumnFormula>AVERAGEIFS(Modelling[[Comisined DC ]],Modelling[Date],"&lt;="&amp;Modelling[[#This Row],[Date]],Modelling[Month Year],Modelling[[#This Row],[Month Year]])</calculatedColumnFormula>
    </tableColumn>
    <tableColumn id="25" xr3:uid="{0F75B0FF-3883-4B7B-806B-DF171455C30A}" name="YTD DC Capcity">
      <calculatedColumnFormula>AVERAGEIFS(Modelling[[Comisined DC ]],Modelling[Date],"&lt;="&amp;Modelling[[#This Row],[Date]],Modelling[Finacial Year],Modelling[[#This Row],[Finacial Year]])</calculatedColumnFormula>
    </tableColumn>
  </tableColumns>
  <tableStyleInfo name="TableStyleMedium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D" displayName="RD" ref="A3:BR135" totalsRowShown="0" headerRowDxfId="190" headerRowBorderDxfId="189" tableBorderDxfId="188" totalsRowBorderDxfId="187">
  <tableColumns count="70">
    <tableColumn id="7" xr3:uid="{00000000-0010-0000-0100-000007000000}" name="Date" dataDxfId="186"/>
    <tableColumn id="1" xr3:uid="{00000000-0010-0000-0100-000001000000}" name="Finacial Year" dataDxfId="185"/>
    <tableColumn id="2" xr3:uid="{00000000-0010-0000-0100-000002000000}" name="Calendor Year" dataDxfId="184"/>
    <tableColumn id="3" xr3:uid="{00000000-0010-0000-0100-000003000000}" name="Contrcatual Year" dataDxfId="183"/>
    <tableColumn id="4" xr3:uid="{00000000-0010-0000-0100-000004000000}" name="Operating Year" dataDxfId="182"/>
    <tableColumn id="5" xr3:uid="{00000000-0010-0000-0100-000005000000}" name="Month Year" dataDxfId="181">
      <calculatedColumnFormula>TEXT(A4,"mmm-yy")</calculatedColumnFormula>
    </tableColumn>
    <tableColumn id="6" xr3:uid="{00000000-0010-0000-0100-000006000000}" name="Days" dataDxfId="180">
      <calculatedColumnFormula>DAY(EOMONTH(RD[[#This Row],[Month Year]],0))</calculatedColumnFormula>
    </tableColumn>
    <tableColumn id="8" xr3:uid="{00000000-0010-0000-0100-000008000000}" name="Plant DC Capcity (MW)" dataDxfId="179">
      <calculatedColumnFormula>Modelling!$Q$1</calculatedColumnFormula>
    </tableColumn>
    <tableColumn id="9" xr3:uid="{00000000-0010-0000-0100-000009000000}" name="Sunrise Time (POA&gt;20 W/m2)" dataDxfId="178"/>
    <tableColumn id="10" xr3:uid="{00000000-0010-0000-0100-00000A000000}" name="Sunset Time (POA&lt;20 W/m2)" dataDxfId="177"/>
    <tableColumn id="11" xr3:uid="{00000000-0010-0000-0100-00000B000000}" name="G1 Inv1" dataDxfId="176"/>
    <tableColumn id="12" xr3:uid="{00000000-0010-0000-0100-00000C000000}" name="G1 Inv2" dataDxfId="175"/>
    <tableColumn id="13" xr3:uid="{00000000-0010-0000-0100-00000D000000}" name="G2 Inv3" dataDxfId="174"/>
    <tableColumn id="14" xr3:uid="{E5B9311C-F9CB-4DDF-B993-A1DC6C78C9B1}" name="G2 Inv4" dataDxfId="173"/>
    <tableColumn id="15" xr3:uid="{2046742D-9B2E-48AF-A75F-6655B50274C0}" name="G3 Inv5" dataDxfId="172"/>
    <tableColumn id="16" xr3:uid="{F2C0FAFB-BF0B-49CB-A9EE-70CF6DCA19AD}" name="G3 Inv6" dataDxfId="171"/>
    <tableColumn id="21" xr3:uid="{838F8445-F9D7-43EF-97D5-619199979C73}" name="G4 Inv7" dataDxfId="170"/>
    <tableColumn id="22" xr3:uid="{C47EA995-4CB4-4DBF-BBC6-BEDFE041E5C9}" name="G4 Inv8" dataDxfId="169"/>
    <tableColumn id="23" xr3:uid="{CEE011DD-1A00-492F-8C72-8FE4D131DBAA}" name="G5 Inv9" dataDxfId="168"/>
    <tableColumn id="24" xr3:uid="{1DD9D605-2E71-4A45-A1D0-59A6C199D1C0}" name="G5 Inv10" dataDxfId="167"/>
    <tableColumn id="31" xr3:uid="{38C9ED46-A6FF-48A3-AFCF-6B1E1590ED87}" name="IS1_Inv1_M1" dataDxfId="166"/>
    <tableColumn id="32" xr3:uid="{4109BEFD-9BD9-4D67-9A61-3554A20FCF18}" name="IS1_Inv1_M2" dataDxfId="165"/>
    <tableColumn id="33" xr3:uid="{1168756B-69F3-44D9-A2A3-07868D81DD40}" name="IS1_Inv1_M3" dataDxfId="164"/>
    <tableColumn id="34" xr3:uid="{3F30554B-1F06-4670-B4B9-7158D595005F}" name="IS1_Inv1_M4" dataDxfId="163"/>
    <tableColumn id="40" xr3:uid="{94581593-3D10-4785-8016-29D2EEB62DA2}" name="IS1_Inv2_M1" dataDxfId="162"/>
    <tableColumn id="41" xr3:uid="{5A110FA6-02DB-4BA1-9E96-E92D4929A5D8}" name="IS1_Inv2_M2" dataDxfId="161"/>
    <tableColumn id="42" xr3:uid="{80805792-7CC9-4581-A1F1-2286735C29D2}" name="IS1_Inv2_M3" dataDxfId="160"/>
    <tableColumn id="43" xr3:uid="{E1C5279C-506A-4042-9DD1-2FFD9B56D2A1}" name="IS1_Inv2_M4" dataDxfId="159"/>
    <tableColumn id="44" xr3:uid="{D92147E6-9878-44C1-BEBD-45F6BA1005F6}" name="IS2_Inv1" dataDxfId="158"/>
    <tableColumn id="45" xr3:uid="{D110B235-41F9-43CE-A070-C629E0A9AB91}" name="IS2_Inv2" dataDxfId="157"/>
    <tableColumn id="46" xr3:uid="{55A54256-2DB9-4ED3-8D40-3807668F8561}" name="PSEGPL_HCCB_33KV_Export Reading" dataDxfId="156"/>
    <tableColumn id="47" xr3:uid="{9011CF92-8B92-48D1-9816-7DEC6FEB1208}" name="PSEGPL_HCCB_33KV_Import Reading" dataDxfId="155"/>
    <tableColumn id="48" xr3:uid="{8414356E-A434-4FB6-843A-D0A303C20362}" name="PSEGPL_PEPSICO_33KV_Export Reading" dataDxfId="154"/>
    <tableColumn id="49" xr3:uid="{9749C11E-7F0B-437F-AF7B-CDC494021D54}" name="PSEGPL_PEPSICO_33KV_Import Reading" dataDxfId="153"/>
    <tableColumn id="51" xr3:uid="{1B0120CD-973F-4CD8-8031-D5D651844935}" name="O2R6_33 kV _Export_Reading" dataDxfId="152"/>
    <tableColumn id="52" xr3:uid="{DABF98AD-8AE9-45BD-BD97-F8DD7F1BAEB6}" name="O2R6_33 kV _Import_Reading" dataDxfId="151"/>
    <tableColumn id="53" xr3:uid="{411D3658-4283-4DD9-B87E-B361870BFA6E}" name="O2R10_33 kV _Export_Reading" dataDxfId="150"/>
    <tableColumn id="50" xr3:uid="{43989613-2D6C-457F-B27C-EE31B5B39B33}" name="O2R10_33 kV _Import_Reading" dataDxfId="149"/>
    <tableColumn id="17" xr3:uid="{00000000-0010-0000-0100-000011000000}" name="33 kV F5 Export Reading_Gss End" dataDxfId="148"/>
    <tableColumn id="18" xr3:uid="{00000000-0010-0000-0100-000012000000}" name="33 kV F5 Import Reading_GSS End2" dataDxfId="147"/>
    <tableColumn id="19" xr3:uid="{00000000-0010-0000-0100-000013000000}" name="GHI(Wh/m2)" dataDxfId="146"/>
    <tableColumn id="20" xr3:uid="{00000000-0010-0000-0100-000014000000}" name="POA(kWh/m2)_PSEGPL" dataDxfId="145"/>
    <tableColumn id="54" xr3:uid="{A78D6279-BD62-4AFB-8BD8-EB29DF37DDBA}" name="POA(kWh/m2)_O2R6" dataDxfId="144"/>
    <tableColumn id="64" xr3:uid="{FEA8F737-825D-4BAB-9A9D-5769574138A8}" name="Average POA" dataDxfId="143">
      <calculatedColumnFormula>IF(RD[[#This Row],[POA(kWh/m2)_O2R6]]="",RD[[#This Row],[POA(kWh/m2)_PSEGPL]],(RD[[#This Row],[POA(kWh/m2)_PSEGPL]]*('Basic Data'!$V$2/'Basic Data'!$V$4))+(RD[[#This Row],[POA(kWh/m2)_O2R6]]*('Basic Data'!$V$3/'Basic Data'!$V$4)))</calculatedColumnFormula>
    </tableColumn>
    <tableColumn id="68" xr3:uid="{FD5F3F77-A1A4-498D-A14F-7D40427289C2}" name="PSEGPL" dataDxfId="142">
      <calculatedColumnFormula>SUM(RD[[#This Row],[G1 Inv1]:[G5 Inv10]])</calculatedColumnFormula>
    </tableColumn>
    <tableColumn id="69" xr3:uid="{6085106E-31B4-4464-8280-F61D9E5FFCFA}" name="O2R6" dataDxfId="141">
      <calculatedColumnFormula>SUM(RD[[#This Row],[IS1_Inv1_M1]:[IS1_Inv2_M4]])</calculatedColumnFormula>
    </tableColumn>
    <tableColumn id="67" xr3:uid="{36170E3C-A98C-400B-9BAA-DEE24CE2E794}" name="O2R10" dataDxfId="140">
      <calculatedColumnFormula>SUM(RD[[#This Row],[IS2_Inv1]:[IS2_Inv2]])</calculatedColumnFormula>
    </tableColumn>
    <tableColumn id="25" xr3:uid="{00000000-0010-0000-0100-000019000000}" name="Avg. Ambient Temp (POA&gt;20W/m2)_O2R6" dataDxfId="139"/>
    <tableColumn id="26" xr3:uid="{00000000-0010-0000-0100-00001A000000}" name="Avg. Module Temp (POA&gt;20W/m2)_O2R6" dataDxfId="138">
      <calculatedColumnFormula>RD[[#This Row],[Inverters Generation ( kWh)]]-RD[[#This Row],[Avg. Wind Speed (m/s)_o2R6]]</calculatedColumnFormula>
    </tableColumn>
    <tableColumn id="27" xr3:uid="{00000000-0010-0000-0100-00001B000000}" name="Avg. Wind Speed (m/s)_o2R6" dataDxfId="137"/>
    <tableColumn id="28" xr3:uid="{00000000-0010-0000-0100-00001C000000}" name="Max. Wind Speed (m/s)_O2R6" dataDxfId="136"/>
    <tableColumn id="29" xr3:uid="{00000000-0010-0000-0100-00001D000000}" name="Rain Fall (mm)_O2R6" dataDxfId="135"/>
    <tableColumn id="37" xr3:uid="{00000000-0010-0000-0100-000025000000}" name="Inverters Generation ( kWh)" dataDxfId="134">
      <calculatedColumnFormula>IFERROR(SUM(RD[[#This Row],[G1 Inv1]:[IS2_Inv2]]),"")</calculatedColumnFormula>
    </tableColumn>
    <tableColumn id="55" xr3:uid="{21D521AE-6B4C-4921-A2D6-53B9B0C976D7}" name="HCCB_Export (KWh)" dataDxfId="133">
      <calculatedColumnFormula>IF((RD[[#This Row],[PSEGPL_HCCB_33KV_Export Reading]]-AE1)*1000&lt;0,0,(RD[[#This Row],[PSEGPL_HCCB_33KV_Export Reading]]-AE1)*1000)</calculatedColumnFormula>
    </tableColumn>
    <tableColumn id="56" xr3:uid="{8C1CBB54-94DE-4520-9A5C-D35C3212B340}" name="HCCB_Import (kWh)" dataDxfId="132"/>
    <tableColumn id="57" xr3:uid="{B32D3F36-17E9-4E44-859D-AA4CF8A65B97}" name="PEPSICO_Export (KWh)2" dataDxfId="131"/>
    <tableColumn id="58" xr3:uid="{00BC5EBF-38D6-4163-95B4-EE36B8275BAC}" name="PEPSICO_Import (KWh)" dataDxfId="130"/>
    <tableColumn id="61" xr3:uid="{0518E954-90DE-4AB0-9F8C-466B85A954D7}" name="O2R6_Export (KWh" dataDxfId="129"/>
    <tableColumn id="62" xr3:uid="{49FA4BC3-0E9A-4282-886A-79960C0CA429}" name="O2R6_Import (KWh)" dataDxfId="128"/>
    <tableColumn id="59" xr3:uid="{C5B3B42D-6322-4691-9908-D0E7AAA2371E}" name="O2R10_Export (KWh)" dataDxfId="127"/>
    <tableColumn id="60" xr3:uid="{9DC47D93-1ACD-4F65-9FE9-50FAE9B25238}" name="O2R10_Export (KWh)2" dataDxfId="126"/>
    <tableColumn id="30" xr3:uid="{00000000-0010-0000-0100-00001E000000}" name="Export  (kWh)" dataDxfId="125">
      <calculatedColumnFormula>(RD[[#This Row],[33 kV F5 Export Reading_Gss End]]-AM3)*1000</calculatedColumnFormula>
    </tableColumn>
    <tableColumn id="35" xr3:uid="{00000000-0010-0000-0100-000023000000}" name="Import (kWh)" dataDxfId="124">
      <calculatedColumnFormula>(RD[[#This Row],[33 kV F5 Import Reading_GSS End2]]-AN3)*1000</calculatedColumnFormula>
    </tableColumn>
    <tableColumn id="36" xr3:uid="{00000000-0010-0000-0100-000024000000}" name="Net Export (kWh)" dataDxfId="123">
      <calculatedColumnFormula>RD[[#This Row],[Export  (kWh)]]-RD[[#This Row],[Import (kWh)]]</calculatedColumnFormula>
    </tableColumn>
    <tableColumn id="63" xr3:uid="{CDDD65FF-F42E-473C-BBDD-30FA9E50F4F7}" name="Line Loss" dataDxfId="122">
      <calculatedColumnFormula>RD[[#This Row],[Inverters Generation ( kWh)]]-RD[[#This Row],[Export  (kWh)]]</calculatedColumnFormula>
    </tableColumn>
    <tableColumn id="38" xr3:uid="{3102AE17-C5A2-4373-BC53-C622BDC590D9}" name="PSEGPL1_Export" dataDxfId="121">
      <calculatedColumnFormula>(((BE4-BE3)*45)-((BD4-BD3)*45))+(((BC4-BC3)*60)-((BB4-BB3)*60))</calculatedColumnFormula>
    </tableColumn>
    <tableColumn id="39" xr3:uid="{4EB35E93-FE99-4B3B-9E1B-154F1E271BC0}" name="PSEGPL1_Import" dataDxfId="120">
      <calculatedColumnFormula>BB3-RD[[#This Row],[HCCB_Export (KWh)]]*60</calculatedColumnFormula>
    </tableColumn>
    <tableColumn id="65" xr3:uid="{AAAC0B56-AAB3-469C-B47A-C8E0BE3FC391}" name="PSEGPL2_Export" dataDxfId="119">
      <calculatedColumnFormula>IF(AND(BG4="",BI4=""),"",(((BG4-BG3)*MF_Cap_O2RE6)+((BI4-BI3)*MF_Cap_O2RE10)))</calculatedColumnFormula>
    </tableColumn>
    <tableColumn id="66" xr3:uid="{46224E64-C385-47E1-9318-128705F7E229}" name="PSEGPL2_Import" dataDxfId="118">
      <calculatedColumnFormula>IF(AND(BF4="",BH4=""),"",(((BF4-BF3)*MF_Cap_O2RE6)+((BH4-BH3)*MF_Cap_O2RE10)))</calculatedColumnFormula>
    </tableColumn>
    <tableColumn id="70" xr3:uid="{68841F97-656E-4F07-B294-5EB4464FD992}" name="Operating Hours" dataDxfId="117">
      <calculatedColumnFormula>IFERROR((J4-I4)*24,"")</calculatedColumnFormula>
    </tableColumn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PA" displayName="PA" ref="A3:AH243" totalsRowShown="0" headerRowDxfId="116" dataDxfId="114" headerRowBorderDxfId="115" tableBorderDxfId="113" totalsRowBorderDxfId="112">
  <autoFilter ref="A3:AH243" xr:uid="{00000000-000C-0000-FFFF-FFFF06000000}"/>
  <tableColumns count="34">
    <tableColumn id="1" xr3:uid="{00000000-0010-0000-0600-000001000000}" name="Sr. No." dataDxfId="111"/>
    <tableColumn id="8" xr3:uid="{00000000-0010-0000-0600-000008000000}" name="Date" dataDxfId="110"/>
    <tableColumn id="2" xr3:uid="{00000000-0010-0000-0600-000002000000}" name="Finacial Year" dataDxfId="109"/>
    <tableColumn id="3" xr3:uid="{00000000-0010-0000-0600-000003000000}" name="Calendor Year" dataDxfId="108">
      <calculatedColumnFormula>YEAR(PA[[#This Row],[Date]])</calculatedColumnFormula>
    </tableColumn>
    <tableColumn id="4" xr3:uid="{00000000-0010-0000-0600-000004000000}" name="Contrcatual Year" dataDxfId="107"/>
    <tableColumn id="5" xr3:uid="{00000000-0010-0000-0600-000005000000}" name="Operating Year" dataDxfId="106"/>
    <tableColumn id="6" xr3:uid="{00000000-0010-0000-0600-000006000000}" name="Month Year" dataDxfId="105">
      <calculatedColumnFormula>PA[[#This Row],[Date]]-DAY(PA[[#This Row],[Date]])+1</calculatedColumnFormula>
    </tableColumn>
    <tableColumn id="7" xr3:uid="{00000000-0010-0000-0600-000007000000}" name="Days" dataDxfId="104">
      <calculatedColumnFormula>DAY(EOMONTH(PA[[#This Row],[Month Year]],0))</calculatedColumnFormula>
    </tableColumn>
    <tableColumn id="26" xr3:uid="{00000000-0010-0000-0600-00001A000000}" name="Sunrise Time (POA&gt;20 W/m2)" dataDxfId="103">
      <calculatedColumnFormula>_xlfn.XLOOKUP(PA[[#This Row],[Date]],RD[Date],RD[Sunrise Time (POA&gt;20 W/m2)],0)</calculatedColumnFormula>
    </tableColumn>
    <tableColumn id="27" xr3:uid="{00000000-0010-0000-0600-00001B000000}" name="Sunset Time (POA&lt;20 W/m2)" dataDxfId="102">
      <calculatedColumnFormula>_xlfn.XLOOKUP(PA[[#This Row],[Date]],RD[Date],RD[Sunset Time (POA&lt;20 W/m2)],0)</calculatedColumnFormula>
    </tableColumn>
    <tableColumn id="28" xr3:uid="{00000000-0010-0000-0600-00001C000000}" name="Total Generation Time" dataDxfId="101">
      <calculatedColumnFormula>IFERROR((PA[[#This Row],[Sunset Time (POA&lt;20 W/m2)]]-PA[[#This Row],[Sunrise Time (POA&gt;20 W/m2)]])*24,"")</calculatedColumnFormula>
    </tableColumn>
    <tableColumn id="9" xr3:uid="{00000000-0010-0000-0600-000009000000}" name="Affceted Equipment" dataDxfId="100"/>
    <tableColumn id="10" xr3:uid="{00000000-0010-0000-0600-00000A000000}" name="DC Capacity Affceted (kW)" dataDxfId="99">
      <calculatedColumnFormula>IFERROR(VLOOKUP(PA[[#This Row],[Affceted Equipment]],'Basic Data'!$A$2:$B$125,2,0),"")</calculatedColumnFormula>
    </tableColumn>
    <tableColumn id="29" xr3:uid="{00000000-0010-0000-0600-00001D000000}" name="Plant Equivalent Weightage" dataDxfId="98">
      <calculatedColumnFormula>IFERROR(VLOOKUP(PA[[#This Row],[Affceted Equipment]],'Basic Data'!$A$1:$C$128,3,0),"")</calculatedColumnFormula>
    </tableColumn>
    <tableColumn id="11" xr3:uid="{00000000-0010-0000-0600-00000B000000}" name="Affected Equipmenet Location" dataDxfId="97"/>
    <tableColumn id="12" xr3:uid="{00000000-0010-0000-0600-00000C000000}" name="Fault Catrgory" dataDxfId="96"/>
    <tableColumn id="13" xr3:uid="{00000000-0010-0000-0600-00000D000000}" name="Fault Code (As per HMI)" dataDxfId="95"/>
    <tableColumn id="14" xr3:uid="{00000000-0010-0000-0600-00000E000000}" name="Breakdown Description" dataDxfId="94"/>
    <tableColumn id="15" xr3:uid="{00000000-0010-0000-0600-00000F000000}" name="Fault Time" dataDxfId="93"/>
    <tableColumn id="16" xr3:uid="{00000000-0010-0000-0600-000010000000}" name="Acknowledgemnet Time " dataDxfId="92"/>
    <tableColumn id="17" xr3:uid="{00000000-0010-0000-0600-000011000000}" name="Work Start time on Fault" dataDxfId="91"/>
    <tableColumn id="18" xr3:uid="{00000000-0010-0000-0600-000012000000}" name="Work Completiuon time on fualt" dataDxfId="90"/>
    <tableColumn id="19" xr3:uid="{00000000-0010-0000-0600-000013000000}" name="Acknowdlegemnet time " dataDxfId="89">
      <calculatedColumnFormula>IF(PA[[#This Row],[Acknowledgemnet Time ]]="NA","",(PA[[#This Row],[Acknowledgemnet Time ]]-PA[[#This Row],[Fault Time]])*24)</calculatedColumnFormula>
    </tableColumn>
    <tableColumn id="20" xr3:uid="{00000000-0010-0000-0600-000014000000}" name="Response Time" dataDxfId="88">
      <calculatedColumnFormula>IF(PA[[#This Row],[Work Start time on Fault]]="NA","",(PA[[#This Row],[Work Start time on Fault]]-PA[[#This Row],[Fault Time]])*24)</calculatedColumnFormula>
    </tableColumn>
    <tableColumn id="21" xr3:uid="{00000000-0010-0000-0600-000015000000}" name="Resolution Time" dataDxfId="87">
      <calculatedColumnFormula>(PA[[#This Row],[Work Completiuon time on fualt]]-PA[[#This Row],[Fault Time]])*24</calculatedColumnFormula>
    </tableColumn>
    <tableColumn id="30" xr3:uid="{00000000-0010-0000-0600-00001E000000}" name="Breakdown Time" dataDxfId="86">
      <calculatedColumnFormula>IFERROR((PA[[#This Row],[Work Completiuon time on fualt]]-PA[[#This Row],[Fault Time]])*24,"")</calculatedColumnFormula>
    </tableColumn>
    <tableColumn id="22" xr3:uid="{00000000-0010-0000-0600-000016000000}" name="Action taken" dataDxfId="85"/>
    <tableColumn id="23" xr3:uid="{00000000-0010-0000-0600-000017000000}" name="Status" dataDxfId="84"/>
    <tableColumn id="31" xr3:uid="{00000000-0010-0000-0600-00001F000000}" name="Plant Equivalent BD (Hrs)" dataDxfId="83">
      <calculatedColumnFormula>IFERROR(AA7 AA9*PA[[#This Row],[Plant Equivalent Weightage]],"")</calculatedColumnFormula>
    </tableColumn>
    <tableColumn id="25" xr3:uid="{00000000-0010-0000-0600-000019000000}" name="Lost PoA(kWh/m2)" dataDxfId="82"/>
    <tableColumn id="24" xr3:uid="{00000000-0010-0000-0600-000018000000}" name="Approxuimate Energy Loss (KWh)" dataDxfId="81">
      <calculatedColumnFormula>IFERROR(((VLOOKUP(PA[[#This Row],[Date]],Modelling_old[#All],16,0))*PA[[#This Row],[Lost PoA(kWh/m2)]]*PA[[#This Row],[DC Capacity Affceted (kW)]])/1000,"")</calculatedColumnFormula>
    </tableColumn>
    <tableColumn id="32" xr3:uid="{A2945BF4-7098-439E-B8E1-68CE179174AD}" name="PTW No." dataDxfId="80"/>
    <tableColumn id="33" xr3:uid="{4F614E22-26A6-4B06-904A-BFB5C8F8E0DB}" name="Job Card No." dataDxfId="79"/>
    <tableColumn id="34" xr3:uid="{A9CFD4FD-5848-4ADF-8854-A5BF91673BDA}" name="Column1" dataDxfId="78"/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Spare" displayName="Spare" ref="A1:N489" totalsRowShown="0" headerRowDxfId="77">
  <autoFilter ref="A1:N489" xr:uid="{00000000-000C-0000-FFFF-FFFF0B000000}">
    <filterColumn colId="8">
      <filters>
        <filter val="05 AMPs \1000 v DC Fuses"/>
      </filters>
    </filterColumn>
  </autoFilter>
  <tableColumns count="14">
    <tableColumn id="1" xr3:uid="{00000000-0010-0000-0B00-000001000000}" name="Sr. No." dataDxfId="76"/>
    <tableColumn id="2" xr3:uid="{00000000-0010-0000-0B00-000002000000}" name="Finacial Year" dataDxfId="75"/>
    <tableColumn id="3" xr3:uid="{00000000-0010-0000-0B00-000003000000}" name="Calendor Year" dataDxfId="74"/>
    <tableColumn id="4" xr3:uid="{00000000-0010-0000-0B00-000004000000}" name="Contrcatual Year" dataDxfId="73"/>
    <tableColumn id="5" xr3:uid="{00000000-0010-0000-0B00-000005000000}" name="Operating Year" dataDxfId="72"/>
    <tableColumn id="6" xr3:uid="{00000000-0010-0000-0B00-000006000000}" name="Month Year" dataDxfId="71"/>
    <tableColumn id="7" xr3:uid="{00000000-0010-0000-0B00-000007000000}" name="Days" dataDxfId="70">
      <calculatedColumnFormula>DAY(EOMONTH(Spare[[#This Row],[Date]], 0))</calculatedColumnFormula>
    </tableColumn>
    <tableColumn id="8" xr3:uid="{00000000-0010-0000-0B00-000008000000}" name="Date" dataDxfId="69"/>
    <tableColumn id="9" xr3:uid="{00000000-0010-0000-0B00-000009000000}" name="Item Consumed"/>
    <tableColumn id="10" xr3:uid="{00000000-0010-0000-0B00-00000A000000}" name="Qty Consumed" dataDxfId="68"/>
    <tableColumn id="25" xr3:uid="{00000000-0010-0000-0B00-000019000000}" name="Place of Consumption"/>
    <tableColumn id="26" xr3:uid="{00000000-0010-0000-0B00-00001A000000}" name="Ownership of Spare/Consumable"/>
    <tableColumn id="23" xr3:uid="{00000000-0010-0000-0B00-000017000000}" name="Remarks for the day"/>
    <tableColumn id="11" xr3:uid="{148F90AA-5324-4BD3-BB0A-6E3249C64447}" name="Column1"/>
  </tableColumns>
  <tableStyleInfo name="TableStyleMedium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EF74C-B051-45A2-8E8F-C62E35F42C23}" name="Mod_CL" displayName="Mod_CL" ref="A2:AL64" totalsRowShown="0" headerRowDxfId="67" headerRowBorderDxfId="66">
  <tableColumns count="38">
    <tableColumn id="1" xr3:uid="{E4959437-5ECC-446C-A9E8-6D25A000C1F0}" name="Sr. No." dataDxfId="65"/>
    <tableColumn id="2" xr3:uid="{F90ED079-A9D4-4109-9DF7-7D8184E237FA}" name="Finacial Year" dataDxfId="64"/>
    <tableColumn id="3" xr3:uid="{70B2D802-D225-4E3E-9A65-D6271A0A41B7}" name="Calendor Year" dataDxfId="63">
      <calculatedColumnFormula>YEAR(Mod_CL[[#This Row],[Date]])</calculatedColumnFormula>
    </tableColumn>
    <tableColumn id="4" xr3:uid="{98FADC50-71A7-4619-BB0A-431F9E65731D}" name="Contrcatual Year" dataDxfId="62"/>
    <tableColumn id="5" xr3:uid="{204B2E08-FE80-4E8D-9226-E543974D021D}" name="Operating Year" dataDxfId="61"/>
    <tableColumn id="6" xr3:uid="{EA7AEB88-F259-4107-A136-3DF186365950}" name="Month Year" dataDxfId="60">
      <calculatedColumnFormula>TEXT(Mod_CL[[#This Row],[Date]],"mmm-yy")</calculatedColumnFormula>
    </tableColumn>
    <tableColumn id="7" xr3:uid="{D5177BB9-35C8-4D00-95C9-56D38F139F6E}" name="Days" dataDxfId="59">
      <calculatedColumnFormula>DAY(EOMONTH(Mod_CL[[#This Row],[Month Year]],0))</calculatedColumnFormula>
    </tableColumn>
    <tableColumn id="8" xr3:uid="{35EDBD33-E8F4-40D8-B2F8-C941C9890D6E}" name="Date" dataDxfId="58"/>
    <tableColumn id="9" xr3:uid="{B44D1D09-1D57-4DED-A175-9E3A7C0E66EE}" name="Cycle Number" dataDxfId="57"/>
    <tableColumn id="10" xr3:uid="{1053A9AB-E000-4294-A26B-7B0D9EBC6FD9}" name="Resources" dataDxfId="56"/>
    <tableColumn id="11" xr3:uid="{39694E26-9C2B-4003-8422-B4295A54FBD5}" name="G1 Inv1" dataDxfId="55"/>
    <tableColumn id="12" xr3:uid="{44C3FECB-D5D9-4BE6-AF48-2B57F4D3399A}" name="G1 Inv2" dataDxfId="54"/>
    <tableColumn id="13" xr3:uid="{F3437B5D-D438-4087-AFAE-3132B4612163}" name="G2 Inv3" dataDxfId="53"/>
    <tableColumn id="14" xr3:uid="{BF143F67-9BFE-488F-9EB9-5D9E6B3CFED6}" name="G2 Inv4" dataDxfId="52"/>
    <tableColumn id="15" xr3:uid="{26D84673-143E-41DA-B576-EAF91D40D359}" name="G3 Inv5" dataDxfId="51"/>
    <tableColumn id="16" xr3:uid="{109BB919-F37A-4408-A051-C7CE5D3418DB}" name="G3 Inv6" dataDxfId="50"/>
    <tableColumn id="25" xr3:uid="{5B50DAE7-9657-4A50-AF82-E1CD66D3148B}" name="G4 Inv7" dataDxfId="49"/>
    <tableColumn id="26" xr3:uid="{B4AD14FD-E8EC-4349-94F1-161618D6A5B4}" name="G4 Inv8" dataDxfId="48"/>
    <tableColumn id="27" xr3:uid="{09D06565-5A7C-483D-99C0-7BC1B3F42A0F}" name="G5 Inv9" dataDxfId="47"/>
    <tableColumn id="28" xr3:uid="{AFDEB03F-0056-4FAD-8E44-A5F1CB276B67}" name="G5 Inv10" dataDxfId="46"/>
    <tableColumn id="29" xr3:uid="{60C676B0-59F0-4E59-88E1-505A9A4FF937}" name="IS1_Inv1 Unit 1" dataDxfId="45"/>
    <tableColumn id="30" xr3:uid="{C9DD5301-0699-486B-A769-4149B392E708}" name="IS1_Inv1 Unit 2" dataDxfId="44"/>
    <tableColumn id="31" xr3:uid="{DCDDC49D-89B5-435B-A28F-CB30BF04A2DD}" name="IS1_Inv1 Unit 3" dataDxfId="43"/>
    <tableColumn id="32" xr3:uid="{2B900020-2F6B-4AA0-A574-173D23E709B0}" name="IS1_Inv1 Unit 4" dataDxfId="42"/>
    <tableColumn id="33" xr3:uid="{5B76AF7D-B865-4D6A-9507-C7F02664F7C9}" name="IS1_Inv2 Unit 1" dataDxfId="41"/>
    <tableColumn id="34" xr3:uid="{3792FE5B-4710-4709-9A83-271901844AE7}" name="IS1_Inv2 Unit 2" dataDxfId="40"/>
    <tableColumn id="35" xr3:uid="{F356A79E-62B9-48B6-A397-D5E75BBF917B}" name="IS1_Inv2 Unit 3" dataDxfId="39"/>
    <tableColumn id="36" xr3:uid="{2EA974D9-4A1A-4C40-9C9A-DCB48CB1502F}" name="IS1_Inv2 Unit 4" dataDxfId="38"/>
    <tableColumn id="40" xr3:uid="{68C6B45E-6E6C-4565-93EA-6C7947FF4405}" name="IS2_Inv1 Unit 1" dataDxfId="37"/>
    <tableColumn id="39" xr3:uid="{F9CDAB44-B542-4EEE-926C-F66ADF1BDC60}" name="IS2_Inv2 Unit 1" dataDxfId="36"/>
    <tableColumn id="17" xr3:uid="{F7AF5899-A193-46B5-B75F-A62273D3F5AA}" name="Total NO. Module cleaned" dataDxfId="35">
      <calculatedColumnFormula>SUM(Mod_CL[[#This Row],[G1 Inv1]:[IS1_Inv2 Unit 4]])</calculatedColumnFormula>
    </tableColumn>
    <tableColumn id="18" xr3:uid="{F44E0C01-EB7E-4CBB-8843-F474B897BEB9}" name="Morning Start Time" dataDxfId="34"/>
    <tableColumn id="19" xr3:uid="{854ED854-4D39-431B-8329-E41F6C17216F}" name="Morning End Time" dataDxfId="33"/>
    <tableColumn id="20" xr3:uid="{F956ED72-A7B5-4DC6-A523-8A19DAABFFBB}" name="Evening Start Time" dataDxfId="32"/>
    <tableColumn id="21" xr3:uid="{8314FB22-A319-459E-B1E0-B70B4F078DE3}" name="Evening End time" dataDxfId="31"/>
    <tableColumn id="22" xr3:uid="{7A238B73-47AB-412A-9BE6-FB885057C984}" name="Brush/MOP Replcemnet" dataDxfId="30"/>
    <tableColumn id="24" xr3:uid="{6D8209FF-0848-4AE8-9325-DBF3AAA8BACE}" name="Water Test Report" dataDxfId="29"/>
    <tableColumn id="23" xr3:uid="{C932AF8D-ACF8-4FB1-969A-0E0A351872E4}" name="Remarks for the day" dataDxfId="28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Grass_Cutting" displayName="Grass_Cutting" ref="A2:V64" totalsRowShown="0" headerRowDxfId="27" dataDxfId="25" headerRowBorderDxfId="26" tableBorderDxfId="24">
  <tableColumns count="22">
    <tableColumn id="1" xr3:uid="{00000000-0010-0000-0A00-000001000000}" name="Sr. No." dataDxfId="23"/>
    <tableColumn id="2" xr3:uid="{00000000-0010-0000-0A00-000002000000}" name="Finacial Year" dataDxfId="22"/>
    <tableColumn id="3" xr3:uid="{00000000-0010-0000-0A00-000003000000}" name="Calendor Year" dataDxfId="21">
      <calculatedColumnFormula>YEAR(Grass_Cutting[[#This Row],[Date]])</calculatedColumnFormula>
    </tableColumn>
    <tableColumn id="4" xr3:uid="{00000000-0010-0000-0A00-000004000000}" name="Contrcatual Year" dataDxfId="20"/>
    <tableColumn id="5" xr3:uid="{00000000-0010-0000-0A00-000005000000}" name="Operating Year" dataDxfId="19"/>
    <tableColumn id="6" xr3:uid="{00000000-0010-0000-0A00-000006000000}" name="Month Year" dataDxfId="18">
      <calculatedColumnFormula>TEXT(Grass_Cutting[[#This Row],[Date]],"mmm-yy")</calculatedColumnFormula>
    </tableColumn>
    <tableColumn id="7" xr3:uid="{00000000-0010-0000-0A00-000007000000}" name="Days" dataDxfId="17">
      <calculatedColumnFormula>DAY(EOMONTH(Grass_Cutting[[#This Row],[Month Year]],0))</calculatedColumnFormula>
    </tableColumn>
    <tableColumn id="8" xr3:uid="{00000000-0010-0000-0A00-000008000000}" name="Date" dataDxfId="16">
      <calculatedColumnFormula>H2+1</calculatedColumnFormula>
    </tableColumn>
    <tableColumn id="9" xr3:uid="{00000000-0010-0000-0A00-000009000000}" name="Cycle Number" dataDxfId="15"/>
    <tableColumn id="10" xr3:uid="{00000000-0010-0000-0A00-00000A000000}" name="Resources" dataDxfId="14"/>
    <tableColumn id="11" xr3:uid="{00000000-0010-0000-0A00-00000B000000}" name="G1 Inv1" dataDxfId="13"/>
    <tableColumn id="12" xr3:uid="{00000000-0010-0000-0A00-00000C000000}" name="G1 Inv2" dataDxfId="12"/>
    <tableColumn id="13" xr3:uid="{00000000-0010-0000-0A00-00000D000000}" name="G2 Inv3"/>
    <tableColumn id="14" xr3:uid="{A5BE651F-39F7-4C80-8A91-B9EE7DA9EBE1}" name="G2 Inv4" dataDxfId="11"/>
    <tableColumn id="15" xr3:uid="{5E899C42-B517-4BFE-AB93-DC2C7C95FF7C}" name="G3 Inv5" dataDxfId="10"/>
    <tableColumn id="16" xr3:uid="{68C6AAE9-4DCC-4E3B-930C-4D1F832B71C1}" name="G3 Inv6" dataDxfId="9"/>
    <tableColumn id="18" xr3:uid="{7BDFDB96-C323-4816-9963-6136A8C18502}" name="G3 Inv7" dataDxfId="8"/>
    <tableColumn id="19" xr3:uid="{C2F2A2C2-00C5-4874-9703-AC5B15359EB3}" name="G3 Inv8" dataDxfId="7"/>
    <tableColumn id="20" xr3:uid="{4B04A8D8-1B9A-4E93-8BCE-3FA76D41B175}" name="G3 Inv9" dataDxfId="6"/>
    <tableColumn id="21" xr3:uid="{24881E97-94E0-45BE-9CC2-F75C38AF78C0}" name="G3 Inv10" dataDxfId="5"/>
    <tableColumn id="17" xr3:uid="{00000000-0010-0000-0A00-000011000000}" name="Total Number of Table cut" dataDxfId="4">
      <calculatedColumnFormula>SUM(Grass_Cutting[[#This Row],[G1 Inv1]:[G3 Inv10]])</calculatedColumnFormula>
    </tableColumn>
    <tableColumn id="23" xr3:uid="{00000000-0010-0000-0A00-000017000000}" name="Remarks for the day" dataDxfId="3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41"/>
  <sheetViews>
    <sheetView tabSelected="1" zoomScaleNormal="100" workbookViewId="0">
      <selection activeCell="B6" sqref="B6:F6"/>
    </sheetView>
  </sheetViews>
  <sheetFormatPr defaultColWidth="8.81640625" defaultRowHeight="14.5" x14ac:dyDescent="0.35"/>
  <cols>
    <col min="1" max="1" width="14.1796875" style="55" customWidth="1"/>
    <col min="2" max="2" width="21.81640625" style="55" customWidth="1"/>
    <col min="3" max="5" width="13.81640625" style="55" customWidth="1"/>
    <col min="6" max="6" width="29.1796875" style="55" customWidth="1"/>
    <col min="7" max="16384" width="8.81640625" style="55"/>
  </cols>
  <sheetData>
    <row r="2" spans="1:6" ht="15" thickBot="1" x14ac:dyDescent="0.4"/>
    <row r="3" spans="1:6" ht="15.5" x14ac:dyDescent="0.35">
      <c r="A3" s="344" t="s">
        <v>0</v>
      </c>
      <c r="B3" s="345"/>
      <c r="C3" s="345"/>
      <c r="D3" s="345"/>
      <c r="E3" s="345"/>
      <c r="F3" s="346"/>
    </row>
    <row r="4" spans="1:6" x14ac:dyDescent="0.35">
      <c r="A4" s="103" t="s">
        <v>1</v>
      </c>
      <c r="B4" s="347">
        <v>45839</v>
      </c>
      <c r="C4" s="347"/>
      <c r="D4" s="347"/>
      <c r="E4" s="347"/>
      <c r="F4" s="348"/>
    </row>
    <row r="5" spans="1:6" x14ac:dyDescent="0.35">
      <c r="A5" s="103" t="s">
        <v>2</v>
      </c>
      <c r="B5" s="349">
        <v>45869</v>
      </c>
      <c r="C5" s="349"/>
      <c r="D5" s="349"/>
      <c r="E5" s="349"/>
      <c r="F5" s="350"/>
    </row>
    <row r="6" spans="1:6" x14ac:dyDescent="0.35">
      <c r="A6" s="103" t="s">
        <v>3</v>
      </c>
      <c r="B6" s="351" t="s">
        <v>4</v>
      </c>
      <c r="C6" s="351"/>
      <c r="D6" s="351"/>
      <c r="E6" s="351"/>
      <c r="F6" s="352"/>
    </row>
    <row r="7" spans="1:6" x14ac:dyDescent="0.35">
      <c r="A7" s="103" t="s">
        <v>5</v>
      </c>
      <c r="B7" s="353">
        <v>45748</v>
      </c>
      <c r="C7" s="353"/>
      <c r="D7" s="353"/>
      <c r="E7" s="353"/>
      <c r="F7" s="354"/>
    </row>
    <row r="8" spans="1:6" ht="15" thickBot="1" x14ac:dyDescent="0.4">
      <c r="A8" s="104" t="s">
        <v>6</v>
      </c>
      <c r="B8" s="342">
        <v>46112</v>
      </c>
      <c r="C8" s="342"/>
      <c r="D8" s="342"/>
      <c r="E8" s="342"/>
      <c r="F8" s="343"/>
    </row>
    <row r="9" spans="1:6" ht="4.5" customHeight="1" thickBot="1" x14ac:dyDescent="0.4">
      <c r="A9" s="286"/>
      <c r="B9" s="57"/>
      <c r="C9" s="57"/>
      <c r="D9" s="57"/>
      <c r="E9" s="57"/>
      <c r="F9" s="287"/>
    </row>
    <row r="10" spans="1:6" ht="15" thickBot="1" x14ac:dyDescent="0.4">
      <c r="A10" s="105" t="s">
        <v>7</v>
      </c>
      <c r="B10" s="106" t="s">
        <v>8</v>
      </c>
      <c r="C10" s="106" t="s">
        <v>9</v>
      </c>
      <c r="D10" s="106" t="s">
        <v>10</v>
      </c>
      <c r="E10" s="106" t="s">
        <v>11</v>
      </c>
      <c r="F10" s="107" t="s">
        <v>12</v>
      </c>
    </row>
    <row r="11" spans="1:6" x14ac:dyDescent="0.35">
      <c r="A11" s="355">
        <v>1</v>
      </c>
      <c r="B11" s="119" t="s">
        <v>13</v>
      </c>
      <c r="C11" s="120">
        <f>_xlfn.XLOOKUP($B$5,'Daily KPI'!$A:$A,'Daily KPI'!$AD:$AD,0)/1000</f>
        <v>77.476763338544359</v>
      </c>
      <c r="D11" s="120">
        <f>_xlfn.XLOOKUP($B$5,'Daily KPI'!$A:$A,'Daily KPI'!$AA:$AA,0)/1000</f>
        <v>88.020400000012046</v>
      </c>
      <c r="E11" s="284">
        <f>-(C11-D11)/C11</f>
        <v>0.13608772756027449</v>
      </c>
      <c r="F11" s="121"/>
    </row>
    <row r="12" spans="1:6" x14ac:dyDescent="0.35">
      <c r="A12" s="356"/>
      <c r="B12" s="108" t="s">
        <v>14</v>
      </c>
      <c r="C12" s="109">
        <f>'Monthly KPI'!$E$4</f>
        <v>2401.779663494875</v>
      </c>
      <c r="D12" s="112">
        <f>'Monthly KPI'!F4</f>
        <v>2199.5125000000066</v>
      </c>
      <c r="E12" s="284">
        <f t="shared" ref="E12:E28" si="0">-(C12-D12)/C12</f>
        <v>-8.4215536741012106E-2</v>
      </c>
      <c r="F12" s="291"/>
    </row>
    <row r="13" spans="1:6" ht="15" thickBot="1" x14ac:dyDescent="0.4">
      <c r="A13" s="357"/>
      <c r="B13" s="117" t="s">
        <v>15</v>
      </c>
      <c r="C13" s="122">
        <f>'Annual KPI'!$E$4</f>
        <v>12466.605824862821</v>
      </c>
      <c r="D13" s="123">
        <f>'Annual KPI'!F4</f>
        <v>11129.463200000006</v>
      </c>
      <c r="E13" s="284">
        <f t="shared" si="0"/>
        <v>-0.10725795325910446</v>
      </c>
      <c r="F13" s="292"/>
    </row>
    <row r="14" spans="1:6" x14ac:dyDescent="0.35">
      <c r="A14" s="355">
        <v>2</v>
      </c>
      <c r="B14" s="119" t="s">
        <v>16</v>
      </c>
      <c r="C14" s="124">
        <f>_xlfn.XLOOKUP($B$5,'Daily KPI'!$A:$A,'Daily KPI'!$AF:$AF,0)</f>
        <v>0.1328307282790816</v>
      </c>
      <c r="D14" s="125">
        <f>_xlfn.XLOOKUP($B$5,'Daily KPI'!$A:$A,'Daily KPI'!$W:$W,0)</f>
        <v>0.1509073602407581</v>
      </c>
      <c r="E14" s="284">
        <f t="shared" si="0"/>
        <v>0.13608772756027443</v>
      </c>
      <c r="F14" s="293"/>
    </row>
    <row r="15" spans="1:6" x14ac:dyDescent="0.35">
      <c r="A15" s="356"/>
      <c r="B15" s="108" t="s">
        <v>17</v>
      </c>
      <c r="C15" s="113">
        <f>'Monthly KPI'!I4</f>
        <v>0.1328307282790816</v>
      </c>
      <c r="D15" s="114">
        <f>'Monthly KPI'!J4</f>
        <v>0.1216443172013592</v>
      </c>
      <c r="E15" s="284">
        <f t="shared" si="0"/>
        <v>-8.4215536741012204E-2</v>
      </c>
      <c r="F15" s="291"/>
    </row>
    <row r="16" spans="1:6" ht="15" thickBot="1" x14ac:dyDescent="0.4">
      <c r="A16" s="357"/>
      <c r="B16" s="117" t="s">
        <v>18</v>
      </c>
      <c r="C16" s="126">
        <f>'Annual KPI'!I4</f>
        <v>0.1751924885549864</v>
      </c>
      <c r="D16" s="118">
        <f>'Annual KPI'!J4</f>
        <v>0.15640170080620949</v>
      </c>
      <c r="E16" s="284">
        <f t="shared" si="0"/>
        <v>-0.10725795325910435</v>
      </c>
      <c r="F16" s="292"/>
    </row>
    <row r="17" spans="1:9" x14ac:dyDescent="0.35">
      <c r="A17" s="355">
        <v>3</v>
      </c>
      <c r="B17" s="119" t="s">
        <v>19</v>
      </c>
      <c r="C17" s="124">
        <f>_xlfn.XLOOKUP($B$5,'Daily KPI'!$A:$A,'Daily KPI'!$AE:$AE)</f>
        <v>0.72347043806469047</v>
      </c>
      <c r="D17" s="125">
        <f>_xlfn.XLOOKUP($B$5,'Daily KPI'!$A:$A,'Daily KPI'!$U:$U,0)</f>
        <v>0.80691685503831723</v>
      </c>
      <c r="E17" s="284">
        <f t="shared" si="0"/>
        <v>0.11534184754922251</v>
      </c>
      <c r="F17" s="294"/>
      <c r="I17" s="55" t="s">
        <v>20</v>
      </c>
    </row>
    <row r="18" spans="1:9" x14ac:dyDescent="0.35">
      <c r="A18" s="356"/>
      <c r="B18" s="108" t="s">
        <v>21</v>
      </c>
      <c r="C18" s="113">
        <f>'Monthly KPI'!$G$4</f>
        <v>0.72347043806469047</v>
      </c>
      <c r="D18" s="114">
        <f>'Monthly KPI'!H4</f>
        <v>0.79732057008357571</v>
      </c>
      <c r="E18" s="284">
        <f t="shared" si="0"/>
        <v>0.10207760833523068</v>
      </c>
      <c r="F18" s="291"/>
    </row>
    <row r="19" spans="1:9" ht="15" thickBot="1" x14ac:dyDescent="0.4">
      <c r="A19" s="357"/>
      <c r="B19" s="117" t="s">
        <v>22</v>
      </c>
      <c r="C19" s="126">
        <f>'Annual KPI'!$G$4</f>
        <v>0.74192017137547039</v>
      </c>
      <c r="D19" s="118">
        <f>'Annual KPI'!H4</f>
        <v>0.76032490761572125</v>
      </c>
      <c r="E19" s="284">
        <f t="shared" si="0"/>
        <v>2.4806895607285755E-2</v>
      </c>
      <c r="F19" s="292"/>
    </row>
    <row r="20" spans="1:9" x14ac:dyDescent="0.35">
      <c r="A20" s="355">
        <v>4</v>
      </c>
      <c r="B20" s="119" t="s">
        <v>23</v>
      </c>
      <c r="C20" s="127">
        <f>_xlfn.XLOOKUP($B$5,'Daily KPI'!$A:$A,'Daily KPI'!$AC:$AC,0)</f>
        <v>4.4064516129032256</v>
      </c>
      <c r="D20" s="128">
        <f>_xlfn.XLOOKUP($B$5,'Daily KPI'!$A:$A,'Daily KPI'!$I:$I,0)</f>
        <v>4.4884136738056011</v>
      </c>
      <c r="E20" s="284">
        <f t="shared" si="0"/>
        <v>1.8600467701124737E-2</v>
      </c>
      <c r="F20" s="294"/>
      <c r="H20" s="55" t="s">
        <v>20</v>
      </c>
    </row>
    <row r="21" spans="1:9" x14ac:dyDescent="0.35">
      <c r="A21" s="356"/>
      <c r="B21" s="108" t="s">
        <v>24</v>
      </c>
      <c r="C21" s="115">
        <f>'Monthly KPI'!$C$4</f>
        <v>136.6</v>
      </c>
      <c r="D21" s="112">
        <f>'Monthly KPI'!D4</f>
        <v>113.50939056836903</v>
      </c>
      <c r="E21" s="284">
        <f t="shared" si="0"/>
        <v>-0.16903813639554149</v>
      </c>
      <c r="F21" s="295"/>
    </row>
    <row r="22" spans="1:9" ht="15" thickBot="1" x14ac:dyDescent="0.4">
      <c r="A22" s="357"/>
      <c r="B22" s="117" t="s">
        <v>25</v>
      </c>
      <c r="C22" s="129">
        <f>'Annual KPI'!$C$4</f>
        <v>691.4</v>
      </c>
      <c r="D22" s="123">
        <f>'Annual KPI'!D4</f>
        <v>602.30064196717433</v>
      </c>
      <c r="E22" s="284">
        <f t="shared" si="0"/>
        <v>-0.12886803302404637</v>
      </c>
      <c r="F22" s="296"/>
    </row>
    <row r="23" spans="1:9" x14ac:dyDescent="0.35">
      <c r="A23" s="355">
        <v>5</v>
      </c>
      <c r="B23" s="119" t="s">
        <v>26</v>
      </c>
      <c r="C23" s="130">
        <f>_xlfn.XLOOKUP($B$5,'Daily KPI'!$A:$A,'Daily KPI'!$AG:$AG)</f>
        <v>0.995</v>
      </c>
      <c r="D23" s="125">
        <f>_xlfn.XLOOKUP($B$5,'Daily KPI'!$A:$A,'Daily KPI'!$O:$O,0)</f>
        <v>0.99937335518893367</v>
      </c>
      <c r="E23" s="284">
        <f t="shared" si="0"/>
        <v>4.3953318481745425E-3</v>
      </c>
      <c r="F23" s="297"/>
    </row>
    <row r="24" spans="1:9" x14ac:dyDescent="0.35">
      <c r="A24" s="356"/>
      <c r="B24" s="108" t="s">
        <v>27</v>
      </c>
      <c r="C24" s="116">
        <f>_xlfn.XLOOKUP($B$4,'Modelling New'!$D:$D,'Modelling New'!$AE:$AE)</f>
        <v>0.995</v>
      </c>
      <c r="D24" s="114">
        <f>'Monthly KPI'!N4</f>
        <v>0.96254935764567784</v>
      </c>
      <c r="E24" s="284">
        <f t="shared" si="0"/>
        <v>-3.2613710908866486E-2</v>
      </c>
      <c r="F24" s="295"/>
    </row>
    <row r="25" spans="1:9" ht="15" thickBot="1" x14ac:dyDescent="0.4">
      <c r="A25" s="357"/>
      <c r="B25" s="117" t="s">
        <v>28</v>
      </c>
      <c r="C25" s="116">
        <f>_xlfn.XLOOKUP($B$4,'Modelling New'!$D:$D,'Modelling New'!$AE:$AE)</f>
        <v>0.995</v>
      </c>
      <c r="D25" s="118">
        <f>'Annual KPI'!N4</f>
        <v>0.9689856588219895</v>
      </c>
      <c r="E25" s="284">
        <f t="shared" si="0"/>
        <v>-2.6145066510563308E-2</v>
      </c>
      <c r="F25" s="292"/>
    </row>
    <row r="26" spans="1:9" x14ac:dyDescent="0.35">
      <c r="A26" s="355">
        <v>6</v>
      </c>
      <c r="B26" s="119" t="s">
        <v>29</v>
      </c>
      <c r="C26" s="130">
        <f>_xlfn.XLOOKUP($B$5,'Daily KPI'!$A:$A,'Daily KPI'!$AH:$AH)</f>
        <v>0.99750000000000005</v>
      </c>
      <c r="D26" s="125">
        <f>_xlfn.XLOOKUP($B$5,'Daily KPI'!$A:$A,'Daily KPI'!$R:$R,0)</f>
        <v>1</v>
      </c>
      <c r="E26" s="284">
        <f t="shared" si="0"/>
        <v>2.5062656641603475E-3</v>
      </c>
      <c r="F26" s="294"/>
    </row>
    <row r="27" spans="1:9" x14ac:dyDescent="0.35">
      <c r="A27" s="356"/>
      <c r="B27" s="108" t="s">
        <v>30</v>
      </c>
      <c r="C27" s="290">
        <f>_xlfn.XLOOKUP($B$4,'Modelling New'!$D:$D,'Modelling New'!$AF:$AF)</f>
        <v>0.995</v>
      </c>
      <c r="D27" s="289">
        <f>'Monthly KPI'!L4</f>
        <v>1</v>
      </c>
      <c r="E27" s="284">
        <f t="shared" si="0"/>
        <v>5.0251256281407079E-3</v>
      </c>
      <c r="F27" s="291"/>
    </row>
    <row r="28" spans="1:9" ht="15" thickBot="1" x14ac:dyDescent="0.4">
      <c r="A28" s="357"/>
      <c r="B28" s="117" t="s">
        <v>31</v>
      </c>
      <c r="C28" s="118">
        <f>_xlfn.XLOOKUP($B$4,'Modelling New'!$D:$D,'Modelling New'!$AF:$AF)</f>
        <v>0.995</v>
      </c>
      <c r="D28" s="118">
        <f>'Annual KPI'!L4</f>
        <v>0.99209933133271022</v>
      </c>
      <c r="E28" s="288">
        <f t="shared" si="0"/>
        <v>-2.9152448917485166E-3</v>
      </c>
      <c r="F28" s="292"/>
    </row>
    <row r="29" spans="1:9" x14ac:dyDescent="0.35">
      <c r="F29" s="298"/>
    </row>
    <row r="30" spans="1:9" ht="15" thickBot="1" x14ac:dyDescent="0.4"/>
    <row r="31" spans="1:9" ht="15.5" x14ac:dyDescent="0.35">
      <c r="A31" s="339" t="s">
        <v>32</v>
      </c>
      <c r="B31" s="340"/>
      <c r="C31" s="340"/>
      <c r="D31" s="340"/>
      <c r="E31" s="340"/>
      <c r="F31" s="341"/>
    </row>
    <row r="32" spans="1:9" x14ac:dyDescent="0.35">
      <c r="A32" s="191" t="s">
        <v>1</v>
      </c>
      <c r="B32" s="192">
        <f>B4</f>
        <v>45839</v>
      </c>
      <c r="C32" s="193"/>
      <c r="D32" s="193"/>
      <c r="E32" s="193"/>
      <c r="F32" s="194"/>
    </row>
    <row r="33" spans="1:6" x14ac:dyDescent="0.35">
      <c r="A33" s="191" t="s">
        <v>2</v>
      </c>
      <c r="B33" s="195">
        <f>B5</f>
        <v>45869</v>
      </c>
      <c r="C33" s="193"/>
      <c r="D33" s="193"/>
      <c r="E33" s="193"/>
      <c r="F33" s="194"/>
    </row>
    <row r="34" spans="1:6" x14ac:dyDescent="0.35">
      <c r="A34" s="191" t="s">
        <v>3</v>
      </c>
      <c r="B34" s="196" t="str">
        <f>B6</f>
        <v>Year_3</v>
      </c>
      <c r="C34" s="193"/>
      <c r="D34" s="193"/>
      <c r="E34" s="193"/>
      <c r="F34" s="194"/>
    </row>
    <row r="35" spans="1:6" x14ac:dyDescent="0.35">
      <c r="A35" s="191" t="s">
        <v>5</v>
      </c>
      <c r="B35" s="195">
        <f>B7</f>
        <v>45748</v>
      </c>
      <c r="C35" s="193"/>
      <c r="D35" s="193"/>
      <c r="E35" s="193"/>
      <c r="F35" s="194"/>
    </row>
    <row r="36" spans="1:6" ht="15" thickBot="1" x14ac:dyDescent="0.4">
      <c r="A36" s="197" t="s">
        <v>6</v>
      </c>
      <c r="B36" s="198">
        <f>B8</f>
        <v>46112</v>
      </c>
      <c r="C36" s="199"/>
      <c r="D36" s="199"/>
      <c r="E36" s="199"/>
      <c r="F36" s="200"/>
    </row>
    <row r="37" spans="1:6" ht="15" thickBot="1" x14ac:dyDescent="0.4">
      <c r="A37" s="201"/>
      <c r="B37" s="202"/>
      <c r="C37" s="202"/>
      <c r="D37" s="203"/>
      <c r="E37" s="201"/>
      <c r="F37" s="202"/>
    </row>
    <row r="38" spans="1:6" ht="15" thickBot="1" x14ac:dyDescent="0.4">
      <c r="A38" s="204" t="s">
        <v>33</v>
      </c>
      <c r="B38" s="205" t="s">
        <v>8</v>
      </c>
      <c r="C38" s="205" t="s">
        <v>9</v>
      </c>
      <c r="D38" s="205" t="s">
        <v>10</v>
      </c>
      <c r="E38" s="206" t="s">
        <v>11</v>
      </c>
      <c r="F38" s="206" t="s">
        <v>12</v>
      </c>
    </row>
    <row r="39" spans="1:6" x14ac:dyDescent="0.35">
      <c r="A39" s="190" t="s">
        <v>34</v>
      </c>
      <c r="B39" s="108" t="s">
        <v>14</v>
      </c>
      <c r="C39" s="115">
        <f>_xlfn.XLOOKUP($B$32,'Modelling New'!$D:$D,'Modelling New'!$U:$U)*1000*_xlfn.XLOOKUP('Daily Dashboard'!A39,'Basic Data'!$AA$2:$AA$3,'Basic Data'!$AC$2:$AC$3)</f>
        <v>1834354.5543264919</v>
      </c>
      <c r="D39" s="115">
        <f>SUMIFS(RD[O2R6],RD[Month Year],$B$32)</f>
        <v>951767.3</v>
      </c>
      <c r="E39" s="110">
        <f>D39/C39-1</f>
        <v>-0.48114321860233056</v>
      </c>
      <c r="F39" s="111"/>
    </row>
    <row r="40" spans="1:6" x14ac:dyDescent="0.35">
      <c r="A40" s="190" t="s">
        <v>35</v>
      </c>
      <c r="B40" s="108" t="s">
        <v>14</v>
      </c>
      <c r="C40" s="115">
        <f>_xlfn.XLOOKUP($B$32,'Modelling New'!$D:$D,'Modelling New'!$U:$U)*1000*_xlfn.XLOOKUP('Daily Dashboard'!A40,'Basic Data'!$AA$2:$AA$3,'Basic Data'!$AC$2:$AC$3)</f>
        <v>567425.10916838329</v>
      </c>
      <c r="D40" s="115">
        <f>SUMIFS(RD[O2R10],RD[Month Year],$B$32)</f>
        <v>286704.82999999996</v>
      </c>
      <c r="E40" s="110">
        <f>D40/C40-1</f>
        <v>-0.49472657207539905</v>
      </c>
      <c r="F40" s="111"/>
    </row>
    <row r="41" spans="1:6" x14ac:dyDescent="0.35">
      <c r="A41" s="190" t="s">
        <v>36</v>
      </c>
      <c r="B41" s="108" t="s">
        <v>14</v>
      </c>
      <c r="C41" s="115">
        <f>_xlfn.XLOOKUP($B$32,'Modelling New'!$D:$D,'Modelling New'!$U:$U)*1000</f>
        <v>2401779.6634948752</v>
      </c>
      <c r="D41" s="115">
        <f>SUMIFS(RD[PSEGPL],RD[Month Year],$B$32)</f>
        <v>984435</v>
      </c>
      <c r="E41" s="110">
        <f>D41/C41-1</f>
        <v>-0.59012268487296216</v>
      </c>
      <c r="F41" s="111"/>
    </row>
  </sheetData>
  <sheetProtection algorithmName="SHA-512" hashValue="nh2OUcTx0JE2YK3Z1itl8gC87gZLHWWCLa0zLK6ciTI8DuT5zGTMEhc+hD+Y+/ibbEVSd7WR0fadiSJuDiIoJA==" saltValue="cnDf1w+QoHAAyiEPgbE3tg==" spinCount="100000" sheet="1" objects="1" scenarios="1"/>
  <protectedRanges>
    <protectedRange sqref="A7:B7" name="Range1"/>
    <protectedRange sqref="B4:B5" name="Range1_1"/>
  </protectedRanges>
  <mergeCells count="13">
    <mergeCell ref="A31:F31"/>
    <mergeCell ref="B8:F8"/>
    <mergeCell ref="A3:F3"/>
    <mergeCell ref="B4:F4"/>
    <mergeCell ref="B5:F5"/>
    <mergeCell ref="B6:F6"/>
    <mergeCell ref="B7:F7"/>
    <mergeCell ref="A26:A28"/>
    <mergeCell ref="A11:A13"/>
    <mergeCell ref="A14:A16"/>
    <mergeCell ref="A17:A19"/>
    <mergeCell ref="A20:A22"/>
    <mergeCell ref="A23:A25"/>
  </mergeCells>
  <conditionalFormatting sqref="E11:E28">
    <cfRule type="dataBar" priority="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{41F04FE3-AAFE-41EB-A824-935A2E1557F1}</x14:id>
        </ext>
      </extLst>
    </cfRule>
    <cfRule type="iconSet" priority="2">
      <iconSet iconSet="3Arrows">
        <cfvo type="percent" val="0"/>
        <cfvo type="num" val="-5.0000000000000001E-3"/>
        <cfvo type="num" val="0"/>
      </iconSet>
    </cfRule>
  </conditionalFormatting>
  <conditionalFormatting sqref="E31:E37">
    <cfRule type="cellIs" dxfId="2" priority="5" operator="greaterThan">
      <formula>0.01</formula>
    </cfRule>
    <cfRule type="cellIs" dxfId="1" priority="6" operator="lessThan">
      <formula>-0.005</formula>
    </cfRule>
    <cfRule type="cellIs" dxfId="0" priority="7" operator="lessThan">
      <formula>-0.01</formula>
    </cfRule>
  </conditionalFormatting>
  <conditionalFormatting sqref="E39:E40">
    <cfRule type="iconSet" priority="8">
      <iconSet iconSet="3Arrows">
        <cfvo type="percent" val="0"/>
        <cfvo type="num" val="-5.0000000000000001E-3"/>
        <cfvo type="num" val="0"/>
      </iconSet>
    </cfRule>
    <cfRule type="dataBar" priority="9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{28217B20-785B-4C09-A043-27845D0DC33B}</x14:id>
        </ext>
      </extLst>
    </cfRule>
  </conditionalFormatting>
  <conditionalFormatting sqref="E41">
    <cfRule type="iconSet" priority="3">
      <iconSet iconSet="3Arrows">
        <cfvo type="percent" val="0"/>
        <cfvo type="num" val="-5.0000000000000001E-3"/>
        <cfvo type="num" val="0"/>
      </iconSet>
    </cfRule>
    <cfRule type="dataBar" priority="4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{DFFB3EC8-EB42-4411-B503-D91F5069ED3A}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15:E16 E17:E18 E23:E24 E26:E27" evalError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F04FE3-AAFE-41EB-A824-935A2E1557F1}">
            <x14:dataBar minLength="0" maxLength="100">
              <x14:cfvo type="autoMin"/>
              <x14:cfvo type="autoMax"/>
              <x14:negativeFillColor rgb="FFDE787A"/>
              <x14:axisColor rgb="FF000000"/>
            </x14:dataBar>
          </x14:cfRule>
          <xm:sqref>E11:E28</xm:sqref>
        </x14:conditionalFormatting>
        <x14:conditionalFormatting xmlns:xm="http://schemas.microsoft.com/office/excel/2006/main">
          <x14:cfRule type="dataBar" id="{28217B20-785B-4C09-A043-27845D0DC33B}">
            <x14:dataBar minLength="0" maxLength="100" border="1" negativeBarBorderColorSameAsPositive="0">
              <x14:cfvo type="autoMin"/>
              <x14:cfvo type="autoMax"/>
              <x14:borderColor theme="4" tint="0.79998168889431442"/>
              <x14:negativeFillColor theme="5" tint="0.79998168889431442"/>
              <x14:negativeBorderColor theme="5" tint="0.79998168889431442"/>
              <x14:axisColor rgb="FF000000"/>
            </x14:dataBar>
          </x14:cfRule>
          <xm:sqref>E39:E40</xm:sqref>
        </x14:conditionalFormatting>
        <x14:conditionalFormatting xmlns:xm="http://schemas.microsoft.com/office/excel/2006/main">
          <x14:cfRule type="dataBar" id="{DFFB3EC8-EB42-4411-B503-D91F5069ED3A}">
            <x14:dataBar minLength="0" maxLength="100" border="1" negativeBarBorderColorSameAsPositive="0">
              <x14:cfvo type="autoMin"/>
              <x14:cfvo type="autoMax"/>
              <x14:borderColor theme="4" tint="0.79998168889431442"/>
              <x14:negativeFillColor theme="5" tint="0.79998168889431442"/>
              <x14:negativeBorderColor theme="5" tint="0.79998168889431442"/>
              <x14:axisColor rgb="FF000000"/>
            </x14:dataBar>
          </x14:cfRule>
          <xm:sqref>E41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1"/>
  <sheetViews>
    <sheetView topLeftCell="A4" zoomScale="85" zoomScaleNormal="85" workbookViewId="0">
      <selection activeCell="D21" sqref="D21"/>
    </sheetView>
  </sheetViews>
  <sheetFormatPr defaultColWidth="8.81640625" defaultRowHeight="14.5" x14ac:dyDescent="0.35"/>
  <cols>
    <col min="1" max="1" width="11" customWidth="1"/>
    <col min="2" max="2" width="12.1796875" style="2" bestFit="1" customWidth="1"/>
    <col min="3" max="3" width="14.1796875" customWidth="1"/>
    <col min="4" max="6" width="10.1796875" customWidth="1"/>
    <col min="8" max="8" width="10.1796875" customWidth="1"/>
    <col min="9" max="9" width="9.81640625" customWidth="1"/>
    <col min="10" max="10" width="10.453125" customWidth="1"/>
    <col min="12" max="12" width="9.453125" customWidth="1"/>
    <col min="13" max="13" width="9" customWidth="1"/>
    <col min="14" max="14" width="9.453125" customWidth="1"/>
  </cols>
  <sheetData>
    <row r="1" spans="1:16" ht="22" customHeight="1" x14ac:dyDescent="0.35">
      <c r="A1" s="58" t="s">
        <v>37</v>
      </c>
      <c r="B1" s="59">
        <f>'Daily Dashboard'!B5</f>
        <v>45869</v>
      </c>
      <c r="C1" s="282">
        <f>'Daily Dashboard'!B4</f>
        <v>45839</v>
      </c>
      <c r="D1" s="92"/>
      <c r="E1" s="92"/>
      <c r="F1" s="92"/>
      <c r="G1" s="92"/>
    </row>
    <row r="2" spans="1:16" ht="21" x14ac:dyDescent="0.35">
      <c r="A2" s="358" t="s">
        <v>38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</row>
    <row r="3" spans="1:16" ht="43.5" x14ac:dyDescent="0.35">
      <c r="A3" s="49" t="s">
        <v>39</v>
      </c>
      <c r="B3" s="49" t="s">
        <v>40</v>
      </c>
      <c r="C3" s="42" t="s">
        <v>41</v>
      </c>
      <c r="D3" s="42" t="s">
        <v>42</v>
      </c>
      <c r="E3" s="42" t="s">
        <v>43</v>
      </c>
      <c r="F3" s="42" t="s">
        <v>44</v>
      </c>
      <c r="G3" s="42" t="s">
        <v>45</v>
      </c>
      <c r="H3" s="42" t="s">
        <v>46</v>
      </c>
      <c r="I3" s="42" t="s">
        <v>47</v>
      </c>
      <c r="J3" s="42" t="s">
        <v>48</v>
      </c>
      <c r="K3" s="42" t="s">
        <v>49</v>
      </c>
      <c r="L3" s="42" t="s">
        <v>50</v>
      </c>
      <c r="M3" s="42" t="s">
        <v>51</v>
      </c>
      <c r="N3" s="42" t="s">
        <v>52</v>
      </c>
    </row>
    <row r="4" spans="1:16" s="11" customFormat="1" ht="18.649999999999999" customHeight="1" x14ac:dyDescent="0.35">
      <c r="A4" s="283">
        <f>YEAR($B$1)+IF(MONTH($B$1)&gt;=4,1,0)</f>
        <v>2026</v>
      </c>
      <c r="B4" s="50">
        <f>$B$1-('Daily Dashboard'!$B$7)+1</f>
        <v>122</v>
      </c>
      <c r="C4" s="50">
        <f>_xlfn.XLOOKUP($C$1,'Modelling New'!$D:$D,'Modelling New'!$S:$S,0)</f>
        <v>691.4</v>
      </c>
      <c r="D4" s="51">
        <f>SUMIFS('Daily KPI'!$I:$I,'Daily KPI'!$B:$B,'Annual KPI'!$A$4,'Daily KPI'!$A:$A,"&lt;="&amp;'Annual KPI'!$B$1)</f>
        <v>602.30064196717433</v>
      </c>
      <c r="E4" s="50">
        <f>_xlfn.XLOOKUP($C$1,'Modelling New'!$D:$D,'Modelling New'!$V:$V,0)</f>
        <v>12466.605824862821</v>
      </c>
      <c r="F4" s="51">
        <f>SUMIFS('Daily KPI'!$AA:$AA,'Daily KPI'!$B:$B,'Annual KPI'!$A$4,'Daily KPI'!$A:$A,"&lt;="&amp;'Annual KPI'!$B$1)/1000</f>
        <v>11129.463200000006</v>
      </c>
      <c r="G4" s="52">
        <f>IFERROR(E4/C4/_xlfn.XLOOKUP($C$1,'Modelling New'!$D:$D,'Modelling New'!$AA:$AA,0),"")</f>
        <v>0.74192017137547039</v>
      </c>
      <c r="H4" s="53">
        <f>IFERROR(F4/D4/_xlfn.XLOOKUP($C$1,'Modelling New'!$D:$D,'Modelling New'!$AA:$AA,0),"")</f>
        <v>0.76032490761572125</v>
      </c>
      <c r="I4" s="52">
        <f>IFERROR(E4/(B4*24*_xlfn.XLOOKUP($C$1,'Modelling New'!$D:$D,'Modelling New'!$AA:$AA,0)),"")</f>
        <v>0.1751924885549864</v>
      </c>
      <c r="J4" s="53">
        <f>IFERROR(F4/(B4*24*_xlfn.XLOOKUP($C$1,'Modelling New'!$D:$D,'Modelling New'!$AA:$AA,0)),"")</f>
        <v>0.15640170080620949</v>
      </c>
      <c r="K4" s="52">
        <f>_xlfn.XLOOKUP($C$1,'Modelling New'!$D:$D,'Modelling New'!$AF:$AF)</f>
        <v>0.995</v>
      </c>
      <c r="L4" s="54">
        <f>AVERAGEIFS('Daily KPI'!$R:$R,'Daily KPI'!$B:$B,'Annual KPI'!$A$4,'Daily KPI'!$A:$A,"&lt;="&amp;'Annual KPI'!$B$1)</f>
        <v>0.99209933133271022</v>
      </c>
      <c r="M4" s="52">
        <f>_xlfn.XLOOKUP($C$1,'Modelling New'!$D:$D,'Modelling New'!$AE:$AE)</f>
        <v>0.995</v>
      </c>
      <c r="N4" s="54">
        <f>AVERAGEIFS('Daily KPI'!$O:$O,'Daily KPI'!$B:$B,'Annual KPI'!$A$4,'Daily KPI'!$A:$A,"&lt;="&amp;'Annual KPI'!$B$1)</f>
        <v>0.9689856588219895</v>
      </c>
      <c r="P4" s="208"/>
    </row>
    <row r="5" spans="1:16" x14ac:dyDescent="0.35">
      <c r="C5" s="185"/>
      <c r="E5" s="185"/>
      <c r="G5" s="207"/>
      <c r="L5" s="207"/>
      <c r="M5" s="23"/>
      <c r="N5" s="23"/>
    </row>
    <row r="8" spans="1:16" ht="21" x14ac:dyDescent="0.35">
      <c r="A8" s="358" t="s">
        <v>53</v>
      </c>
      <c r="B8" s="358"/>
      <c r="C8" s="358"/>
      <c r="D8" s="358"/>
      <c r="E8" s="358"/>
      <c r="F8" s="358"/>
      <c r="G8" s="358"/>
      <c r="H8" s="358"/>
      <c r="I8" s="358"/>
      <c r="J8" s="358"/>
      <c r="K8" s="358"/>
      <c r="L8" s="358"/>
      <c r="M8" s="358"/>
      <c r="N8" s="358"/>
    </row>
    <row r="9" spans="1:16" ht="52" customHeight="1" x14ac:dyDescent="0.35">
      <c r="A9" s="49" t="s">
        <v>39</v>
      </c>
      <c r="B9" s="49" t="s">
        <v>40</v>
      </c>
      <c r="C9" s="42" t="s">
        <v>41</v>
      </c>
      <c r="D9" s="42" t="s">
        <v>42</v>
      </c>
      <c r="E9" s="42" t="s">
        <v>43</v>
      </c>
      <c r="F9" s="42" t="s">
        <v>44</v>
      </c>
      <c r="G9" s="42" t="s">
        <v>45</v>
      </c>
      <c r="H9" s="42" t="s">
        <v>46</v>
      </c>
      <c r="I9" s="42" t="s">
        <v>47</v>
      </c>
      <c r="J9" s="42" t="s">
        <v>48</v>
      </c>
      <c r="K9" s="42" t="s">
        <v>49</v>
      </c>
      <c r="L9" s="42" t="s">
        <v>50</v>
      </c>
      <c r="M9" s="42" t="s">
        <v>51</v>
      </c>
      <c r="N9" s="42" t="s">
        <v>52</v>
      </c>
    </row>
    <row r="10" spans="1:16" x14ac:dyDescent="0.35">
      <c r="A10" s="47">
        <v>45748</v>
      </c>
      <c r="B10" s="43">
        <f>_xlfn.XLOOKUP($A10,'Modelling New'!D:D,'Modelling New'!$Q:$Q)</f>
        <v>30</v>
      </c>
      <c r="C10" s="43">
        <f>_xlfn.XLOOKUP($A10,'Modelling New'!$D:$D,'Modelling New'!R:R)</f>
        <v>198.7</v>
      </c>
      <c r="D10" s="44">
        <f>SUMIF('Daily KPI'!$D:$D,$A10,'Daily KPI'!$I:$I)</f>
        <v>193.36262214427509</v>
      </c>
      <c r="E10" s="43">
        <f>_xlfn.XLOOKUP($A10,'Modelling New'!$D:$D,'Modelling New'!$U:$U)</f>
        <v>3614.9982047307058</v>
      </c>
      <c r="F10" s="44">
        <f>SUMIF('Daily KPI'!$D:$D,A10,'Daily KPI'!$AA:$AA)/1000</f>
        <v>3484.3116000000027</v>
      </c>
      <c r="G10" s="45">
        <f>IFERROR(E10/C10/_xlfn.XLOOKUP($A10,'Modelling New'!$D:$D,'Modelling New'!$AA:$AA),"")</f>
        <v>0.74859779740027077</v>
      </c>
      <c r="H10" s="46">
        <f>IFERROR(F10/D10/_xlfn.XLOOKUP($A10,'Modelling New'!$D:$D,'Modelling New'!$AA:$AA),"")</f>
        <v>0.74145156482301056</v>
      </c>
      <c r="I10" s="45">
        <f>IFERROR(E10/(B10*24*_xlfn.XLOOKUP($A10,'Modelling New'!$D:$D,'Modelling New'!$AA:$AA)),"")</f>
        <v>0.20659219769921361</v>
      </c>
      <c r="J10" s="46">
        <f>IFERROR(F10/(B10*24*_xlfn.XLOOKUP($A10,'Modelling New'!$D:$D,'Modelling New'!$AA:$AA)),"")</f>
        <v>0.19912363717660178</v>
      </c>
      <c r="K10" s="45">
        <v>0.995</v>
      </c>
      <c r="L10" s="46">
        <f>IFERROR(AVERAGEIF('Daily KPI'!$D:$D,A10,'Daily KPI'!$R:$R),"")</f>
        <v>0.99127858770930599</v>
      </c>
      <c r="M10" s="45">
        <v>0.995</v>
      </c>
      <c r="N10" s="46">
        <f>IFERROR(AVERAGEIF('Daily KPI'!$D:$D,$A10,'Daily KPI'!$O:$O),"")</f>
        <v>0.99854271290872021</v>
      </c>
    </row>
    <row r="11" spans="1:16" x14ac:dyDescent="0.35">
      <c r="A11" s="47">
        <v>45778</v>
      </c>
      <c r="B11" s="43">
        <f>_xlfn.XLOOKUP($A11,'Modelling New'!D:D,'Modelling New'!$Q:$Q)</f>
        <v>31</v>
      </c>
      <c r="C11" s="43">
        <f>_xlfn.XLOOKUP($A11,'Modelling New'!$D:$D,'Modelling New'!R:R)</f>
        <v>202.4</v>
      </c>
      <c r="D11" s="44">
        <f>SUMIF('Daily KPI'!$D:$D,$A11,'Daily KPI'!$I:$I)</f>
        <v>155.78805730230641</v>
      </c>
      <c r="E11" s="43">
        <f>_xlfn.XLOOKUP($A11,'Modelling New'!$D:$D,'Modelling New'!$U:$U)</f>
        <v>3717.077236564397</v>
      </c>
      <c r="F11" s="44">
        <f>SUMIF('Daily KPI'!$D:$D,A11,'Daily KPI'!$AA:$AA)/1000</f>
        <v>2819.3511999999978</v>
      </c>
      <c r="G11" s="45">
        <f>IFERROR(E11/C11/_xlfn.XLOOKUP($A11,'Modelling New'!$D:$D,'Modelling New'!$AA:$AA),"")</f>
        <v>0.75566516656343796</v>
      </c>
      <c r="H11" s="46">
        <f>IFERROR(F11/D11/_xlfn.XLOOKUP($A11,'Modelling New'!$D:$D,'Modelling New'!$AA:$AA),"")</f>
        <v>0.74465196996969552</v>
      </c>
      <c r="I11" s="45">
        <f>IFERROR(E11/(B11*24*_xlfn.XLOOKUP($A11,'Modelling New'!$D:$D,'Modelling New'!$AA:$AA)),"")</f>
        <v>0.20557342703284925</v>
      </c>
      <c r="J11" s="46">
        <f>IFERROR(F11/(B11*24*_xlfn.XLOOKUP($A11,'Modelling New'!$D:$D,'Modelling New'!$AA:$AA)),"")</f>
        <v>0.15592457495687403</v>
      </c>
      <c r="K11" s="45">
        <v>0.995</v>
      </c>
      <c r="L11" s="46">
        <f>IFERROR(AVERAGEIF('Daily KPI'!$D:$D,A11,'Daily KPI'!$R:$R),"")</f>
        <v>0.98732248979316417</v>
      </c>
      <c r="M11" s="45">
        <v>0.995</v>
      </c>
      <c r="N11" s="46">
        <f>IFERROR(AVERAGEIF('Daily KPI'!$D:$D,$A11,'Daily KPI'!$O:$O),"")</f>
        <v>0.97654466434671872</v>
      </c>
    </row>
    <row r="12" spans="1:16" x14ac:dyDescent="0.35">
      <c r="A12" s="47">
        <v>45809</v>
      </c>
      <c r="B12" s="43">
        <f>_xlfn.XLOOKUP($A12,'Modelling New'!D:D,'Modelling New'!$Q:$Q)</f>
        <v>30</v>
      </c>
      <c r="C12" s="43">
        <f>_xlfn.XLOOKUP($A12,'Modelling New'!$D:$D,'Modelling New'!R:R)</f>
        <v>153.69999999999999</v>
      </c>
      <c r="D12" s="44">
        <f>SUMIF('Daily KPI'!$D:$D,$A12,'Daily KPI'!$I:$I)</f>
        <v>139.64057195222404</v>
      </c>
      <c r="E12" s="43">
        <f>_xlfn.XLOOKUP($A12,'Modelling New'!$D:$D,'Modelling New'!$U:$U)</f>
        <v>2732.7507200728442</v>
      </c>
      <c r="F12" s="44">
        <f>SUMIF('Daily KPI'!$D:$D,A12,'Daily KPI'!$AA:$AA)/1000</f>
        <v>2626.2878999999944</v>
      </c>
      <c r="G12" s="45">
        <f>IFERROR(E12/C12/_xlfn.XLOOKUP($A12,'Modelling New'!$D:$D,'Modelling New'!$AA:$AA),"")</f>
        <v>0.73158446710143066</v>
      </c>
      <c r="H12" s="46">
        <f>IFERROR(F12/D12/_xlfn.XLOOKUP($A12,'Modelling New'!$D:$D,'Modelling New'!$AA:$AA),"")</f>
        <v>0.77387183335710541</v>
      </c>
      <c r="I12" s="45">
        <f>IFERROR(E12/(B12*24*_xlfn.XLOOKUP($A12,'Modelling New'!$D:$D,'Modelling New'!$AA:$AA)),"")</f>
        <v>0.15617296193540262</v>
      </c>
      <c r="J12" s="46">
        <f>IFERROR(F12/(B12*24*_xlfn.XLOOKUP($A12,'Modelling New'!$D:$D,'Modelling New'!$AA:$AA)),"")</f>
        <v>0.15008875753847556</v>
      </c>
      <c r="K12" s="45">
        <v>0.995</v>
      </c>
      <c r="L12" s="46">
        <f>IFERROR(AVERAGEIF('Daily KPI'!$D:$D,A12,'Daily KPI'!$R:$R),"")</f>
        <v>0.98969212025744591</v>
      </c>
      <c r="M12" s="45">
        <v>0.995</v>
      </c>
      <c r="N12" s="46">
        <f>IFERROR(AVERAGEIF('Daily KPI'!$D:$D,$A12,'Daily KPI'!$O:$O),"")</f>
        <v>0.93826847690856086</v>
      </c>
    </row>
    <row r="13" spans="1:16" x14ac:dyDescent="0.35">
      <c r="A13" s="47">
        <v>45839</v>
      </c>
      <c r="B13" s="43">
        <f>_xlfn.XLOOKUP($A13,'Modelling New'!D:D,'Modelling New'!$Q:$Q)</f>
        <v>31</v>
      </c>
      <c r="C13" s="43">
        <f>_xlfn.XLOOKUP($A13,'Modelling New'!$D:$D,'Modelling New'!R:R)</f>
        <v>136.6</v>
      </c>
      <c r="D13" s="44">
        <f>SUMIF('Daily KPI'!$D:$D,$A13,'Daily KPI'!$I:$I)</f>
        <v>113.50939056836903</v>
      </c>
      <c r="E13" s="43">
        <f>_xlfn.XLOOKUP($A13,'Modelling New'!$D:$D,'Modelling New'!$U:$U)</f>
        <v>2401.779663494875</v>
      </c>
      <c r="F13" s="44">
        <f>SUMIF('Daily KPI'!$D:$D,A13,'Daily KPI'!$AA:$AA)/1000</f>
        <v>2199.5125000000066</v>
      </c>
      <c r="G13" s="45">
        <f>IFERROR(E13/C13/_xlfn.XLOOKUP($A13,'Modelling New'!$D:$D,'Modelling New'!$AA:$AA),"")</f>
        <v>0.72347043806469047</v>
      </c>
      <c r="H13" s="46">
        <f>IFERROR(F13/D13/_xlfn.XLOOKUP($A13,'Modelling New'!$D:$D,'Modelling New'!$AA:$AA),"")</f>
        <v>0.79732057008357571</v>
      </c>
      <c r="I13" s="45">
        <f>IFERROR(E13/(B13*24*_xlfn.XLOOKUP($A13,'Modelling New'!$D:$D,'Modelling New'!$AA:$AA)),"")</f>
        <v>0.1328307282790816</v>
      </c>
      <c r="J13" s="46">
        <f>IFERROR(F13/(B13*24*_xlfn.XLOOKUP($A13,'Modelling New'!$D:$D,'Modelling New'!$AA:$AA)),"")</f>
        <v>0.1216443172013592</v>
      </c>
      <c r="K13" s="45">
        <v>0.995</v>
      </c>
      <c r="L13" s="46">
        <f>IFERROR(AVERAGEIF('Daily KPI'!$D:$D,A13,'Daily KPI'!$R:$R),"")</f>
        <v>1</v>
      </c>
      <c r="M13" s="45">
        <v>0.995</v>
      </c>
      <c r="N13" s="46">
        <f>IFERROR(AVERAGEIF('Daily KPI'!$D:$D,$A13,'Daily KPI'!$O:$O),"")</f>
        <v>0.96254935764567784</v>
      </c>
    </row>
    <row r="14" spans="1:16" x14ac:dyDescent="0.35">
      <c r="A14" s="47">
        <v>45870</v>
      </c>
      <c r="B14" s="43">
        <f>_xlfn.XLOOKUP($A14,'Modelling New'!D:D,'Modelling New'!$Q:$Q)</f>
        <v>3</v>
      </c>
      <c r="C14" s="43">
        <f>_xlfn.XLOOKUP($A14,'Modelling New'!$D:$D,'Modelling New'!R:R)</f>
        <v>12.522580645161291</v>
      </c>
      <c r="D14" s="44">
        <f>SUMIF('Daily KPI'!$D:$D,$A14,'Daily KPI'!$I:$I)</f>
        <v>15.697650988467874</v>
      </c>
      <c r="E14" s="43">
        <f>_xlfn.XLOOKUP($A14,'Modelling New'!$D:$D,'Modelling New'!$U:$U)</f>
        <v>234.20163956606399</v>
      </c>
      <c r="F14" s="44">
        <f>SUMIF('Daily KPI'!$D:$D,A14,'Daily KPI'!$AA:$AA)/1000</f>
        <v>303.21729999997501</v>
      </c>
      <c r="G14" s="45">
        <f>IFERROR(E14/C14/_xlfn.XLOOKUP($A14,'Modelling New'!$D:$D,'Modelling New'!$AA:$AA),"")</f>
        <v>0.76954570740685357</v>
      </c>
      <c r="H14" s="46">
        <f>IFERROR(F14/D14/_xlfn.XLOOKUP($A14,'Modelling New'!$D:$D,'Modelling New'!$AA:$AA),"")</f>
        <v>0.7947995880351153</v>
      </c>
      <c r="I14" s="45">
        <f>IFERROR(E14/(B14*24*_xlfn.XLOOKUP($A14,'Modelling New'!$D:$D,'Modelling New'!$AA:$AA)),"")</f>
        <v>0.13384303029361136</v>
      </c>
      <c r="J14" s="46">
        <f>IFERROR(F14/(B14*24*_xlfn.XLOOKUP($A14,'Modelling New'!$D:$D,'Modelling New'!$AA:$AA)),"")</f>
        <v>0.17328453526046231</v>
      </c>
      <c r="K14" s="45">
        <v>0.995</v>
      </c>
      <c r="L14" s="46">
        <f>IFERROR(AVERAGEIF('Daily KPI'!$D:$D,A14,'Daily KPI'!$R:$R),"")</f>
        <v>1</v>
      </c>
      <c r="M14" s="45">
        <v>0.995</v>
      </c>
      <c r="N14" s="46">
        <f>IFERROR(AVERAGEIF('Daily KPI'!$D:$D,$A14,'Daily KPI'!$O:$O),"")</f>
        <v>0.98953902431270191</v>
      </c>
    </row>
    <row r="15" spans="1:16" x14ac:dyDescent="0.35">
      <c r="A15" s="47">
        <v>45901</v>
      </c>
      <c r="B15" s="43">
        <f>_xlfn.XLOOKUP($A15,'Modelling New'!D:D,'Modelling New'!$Q:$Q)</f>
        <v>0</v>
      </c>
      <c r="C15" s="43">
        <f>_xlfn.XLOOKUP($A15,'Modelling New'!$D:$D,'Modelling New'!R:R)</f>
        <v>0</v>
      </c>
      <c r="D15" s="44">
        <f>SUMIF('Daily KPI'!$D:$D,$A15,'Daily KPI'!$I:$I)</f>
        <v>0</v>
      </c>
      <c r="E15" s="43">
        <f>_xlfn.XLOOKUP($A15,'Modelling New'!$D:$D,'Modelling New'!$U:$U)</f>
        <v>0</v>
      </c>
      <c r="F15" s="44">
        <f>SUMIF('Daily KPI'!$D:$D,A15,'Daily KPI'!$AA:$AA)/1000</f>
        <v>0</v>
      </c>
      <c r="G15" s="45" t="str">
        <f>IFERROR(E15/C15/_xlfn.XLOOKUP($A15,'Modelling New'!$D:$D,'Modelling New'!$AA:$AA),"")</f>
        <v/>
      </c>
      <c r="H15" s="46" t="str">
        <f>IFERROR(F15/D15/_xlfn.XLOOKUP($A15,'Modelling New'!$D:$D,'Modelling New'!$AA:$AA),"")</f>
        <v/>
      </c>
      <c r="I15" s="45" t="str">
        <f>IFERROR(E15/(B15*24*_xlfn.XLOOKUP($A15,'Modelling New'!$D:$D,'Modelling New'!$AA:$AA)),"")</f>
        <v/>
      </c>
      <c r="J15" s="46" t="str">
        <f>IFERROR(F15/(B15*24*_xlfn.XLOOKUP($A15,'Modelling New'!$D:$D,'Modelling New'!$AA:$AA)),"")</f>
        <v/>
      </c>
      <c r="K15" s="45">
        <v>0.995</v>
      </c>
      <c r="L15" s="46" t="str">
        <f>IFERROR(AVERAGEIF('Daily KPI'!$D:$D,A15,'Daily KPI'!$R:$R),"")</f>
        <v/>
      </c>
      <c r="M15" s="45">
        <v>0.995</v>
      </c>
      <c r="N15" s="46" t="str">
        <f>IFERROR(AVERAGEIF('Daily KPI'!$D:$D,$A15,'Daily KPI'!$O:$O),"")</f>
        <v/>
      </c>
    </row>
    <row r="16" spans="1:16" x14ac:dyDescent="0.35">
      <c r="A16" s="47">
        <v>45931</v>
      </c>
      <c r="B16" s="43">
        <f>_xlfn.XLOOKUP($A16,'Modelling New'!D:D,'Modelling New'!$Q:$Q)</f>
        <v>0</v>
      </c>
      <c r="C16" s="43">
        <f>_xlfn.XLOOKUP($A16,'Modelling New'!$D:$D,'Modelling New'!R:R)</f>
        <v>0</v>
      </c>
      <c r="D16" s="44">
        <f>SUMIF('Daily KPI'!$D:$D,$A16,'Daily KPI'!$I:$I)</f>
        <v>0</v>
      </c>
      <c r="E16" s="43">
        <f>_xlfn.XLOOKUP($A16,'Modelling New'!$D:$D,'Modelling New'!$U:$U)</f>
        <v>0</v>
      </c>
      <c r="F16" s="44">
        <f>SUMIF('Daily KPI'!$D:$D,A16,'Daily KPI'!$AA:$AA)/1000</f>
        <v>0</v>
      </c>
      <c r="G16" s="45" t="str">
        <f>IFERROR(E16/C16/_xlfn.XLOOKUP($A16,'Modelling New'!$D:$D,'Modelling New'!$AA:$AA),"")</f>
        <v/>
      </c>
      <c r="H16" s="46" t="str">
        <f>IFERROR(F16/D16/_xlfn.XLOOKUP($A16,'Modelling New'!$D:$D,'Modelling New'!$AA:$AA),"")</f>
        <v/>
      </c>
      <c r="I16" s="45" t="str">
        <f>IFERROR(E16/(B16*24*_xlfn.XLOOKUP($A16,'Modelling New'!$D:$D,'Modelling New'!$AA:$AA)),"")</f>
        <v/>
      </c>
      <c r="J16" s="46" t="str">
        <f>IFERROR(F16/(B16*24*_xlfn.XLOOKUP($A16,'Modelling New'!$D:$D,'Modelling New'!$AA:$AA)),"")</f>
        <v/>
      </c>
      <c r="K16" s="45">
        <v>0.995</v>
      </c>
      <c r="L16" s="46" t="str">
        <f>IFERROR(AVERAGEIF('Daily KPI'!$D:$D,A16,'Daily KPI'!$R:$R),"")</f>
        <v/>
      </c>
      <c r="M16" s="45">
        <v>0.995</v>
      </c>
      <c r="N16" s="46" t="str">
        <f>IFERROR(AVERAGEIF('Daily KPI'!$D:$D,$A16,'Daily KPI'!$O:$O),"")</f>
        <v/>
      </c>
    </row>
    <row r="17" spans="1:14" x14ac:dyDescent="0.35">
      <c r="A17" s="47">
        <v>45962</v>
      </c>
      <c r="B17" s="43">
        <f>_xlfn.XLOOKUP($A17,'Modelling New'!D:D,'Modelling New'!$Q:$Q)</f>
        <v>0</v>
      </c>
      <c r="C17" s="43">
        <f>_xlfn.XLOOKUP($A17,'Modelling New'!$D:$D,'Modelling New'!R:R)</f>
        <v>0</v>
      </c>
      <c r="D17" s="44">
        <f>SUMIF('Daily KPI'!$D:$D,$A17,'Daily KPI'!$I:$I)</f>
        <v>0</v>
      </c>
      <c r="E17" s="43">
        <f>_xlfn.XLOOKUP($A17,'Modelling New'!$D:$D,'Modelling New'!$U:$U)</f>
        <v>0</v>
      </c>
      <c r="F17" s="44">
        <f>SUMIF('Daily KPI'!$D:$D,A17,'Daily KPI'!$AA:$AA)/1000</f>
        <v>0</v>
      </c>
      <c r="G17" s="45" t="str">
        <f>IFERROR(E17/C17/_xlfn.XLOOKUP($A17,'Modelling New'!$D:$D,'Modelling New'!$AA:$AA),"")</f>
        <v/>
      </c>
      <c r="H17" s="46" t="str">
        <f>IFERROR(F17/D17/_xlfn.XLOOKUP($A17,'Modelling New'!$D:$D,'Modelling New'!$AA:$AA),"")</f>
        <v/>
      </c>
      <c r="I17" s="45" t="str">
        <f>IFERROR(E17/(B17*24*_xlfn.XLOOKUP($A17,'Modelling New'!$D:$D,'Modelling New'!$AA:$AA)),"")</f>
        <v/>
      </c>
      <c r="J17" s="46" t="str">
        <f>IFERROR(F17/(B17*24*_xlfn.XLOOKUP($A17,'Modelling New'!$D:$D,'Modelling New'!$AA:$AA)),"")</f>
        <v/>
      </c>
      <c r="K17" s="45">
        <v>0.995</v>
      </c>
      <c r="L17" s="46" t="str">
        <f>IFERROR(AVERAGEIF('Daily KPI'!$D:$D,A17,'Daily KPI'!$R:$R),"")</f>
        <v/>
      </c>
      <c r="M17" s="45">
        <v>0.995</v>
      </c>
      <c r="N17" s="46" t="str">
        <f>IFERROR(AVERAGEIF('Daily KPI'!$D:$D,$A17,'Daily KPI'!$O:$O),"")</f>
        <v/>
      </c>
    </row>
    <row r="18" spans="1:14" x14ac:dyDescent="0.35">
      <c r="A18" s="47">
        <v>45992</v>
      </c>
      <c r="B18" s="43">
        <f>_xlfn.XLOOKUP($A18,'Modelling New'!D:D,'Modelling New'!$Q:$Q)</f>
        <v>0</v>
      </c>
      <c r="C18" s="43">
        <f>_xlfn.XLOOKUP($A18,'Modelling New'!$D:$D,'Modelling New'!R:R)</f>
        <v>0</v>
      </c>
      <c r="D18" s="44">
        <f>SUMIF('Daily KPI'!$D:$D,$A18,'Daily KPI'!$I:$I)</f>
        <v>0</v>
      </c>
      <c r="E18" s="43">
        <f>_xlfn.XLOOKUP($A18,'Modelling New'!$D:$D,'Modelling New'!$U:$U)</f>
        <v>0</v>
      </c>
      <c r="F18" s="44">
        <f>SUMIF('Daily KPI'!$D:$D,A18,'Daily KPI'!$AA:$AA)/1000</f>
        <v>0</v>
      </c>
      <c r="G18" s="45" t="str">
        <f>IFERROR(E18/C18/_xlfn.XLOOKUP($A18,'Modelling New'!$D:$D,'Modelling New'!$AA:$AA),"")</f>
        <v/>
      </c>
      <c r="H18" s="46" t="str">
        <f>IFERROR(F18/D18/_xlfn.XLOOKUP($A18,'Modelling New'!$D:$D,'Modelling New'!$AA:$AA),"")</f>
        <v/>
      </c>
      <c r="I18" s="45" t="str">
        <f>IFERROR(E18/(B18*24*_xlfn.XLOOKUP($A18,'Modelling New'!$D:$D,'Modelling New'!$AA:$AA)),"")</f>
        <v/>
      </c>
      <c r="J18" s="46" t="str">
        <f>IFERROR(F18/(B18*24*_xlfn.XLOOKUP($A18,'Modelling New'!$D:$D,'Modelling New'!$AA:$AA)),"")</f>
        <v/>
      </c>
      <c r="K18" s="45">
        <v>0.995</v>
      </c>
      <c r="L18" s="46" t="str">
        <f>IFERROR(AVERAGEIF('Daily KPI'!$D:$D,A18,'Daily KPI'!$R:$R),"")</f>
        <v/>
      </c>
      <c r="M18" s="45">
        <v>0.995</v>
      </c>
      <c r="N18" s="46" t="str">
        <f>IFERROR(AVERAGEIF('Daily KPI'!$D:$D,$A18,'Daily KPI'!$O:$O),"")</f>
        <v/>
      </c>
    </row>
    <row r="19" spans="1:14" x14ac:dyDescent="0.35">
      <c r="A19" s="47">
        <v>46023</v>
      </c>
      <c r="B19" s="43">
        <f>_xlfn.XLOOKUP($A19,'Modelling New'!D:D,'Modelling New'!$Q:$Q)</f>
        <v>0</v>
      </c>
      <c r="C19" s="43">
        <f>_xlfn.XLOOKUP($A19,'Modelling New'!$D:$D,'Modelling New'!R:R)</f>
        <v>0</v>
      </c>
      <c r="D19" s="44">
        <f>SUMIF('Daily KPI'!$D:$D,$A19,'Daily KPI'!$I:$I)</f>
        <v>0</v>
      </c>
      <c r="E19" s="43">
        <f>_xlfn.XLOOKUP($A19,'Modelling New'!$D:$D,'Modelling New'!$U:$U)</f>
        <v>0</v>
      </c>
      <c r="F19" s="44">
        <f>SUMIF('Daily KPI'!$D:$D,A19,'Daily KPI'!$AA:$AA)/1000</f>
        <v>0</v>
      </c>
      <c r="G19" s="45" t="str">
        <f>IFERROR(E19/C19/_xlfn.XLOOKUP($A19,'Modelling New'!$D:$D,'Modelling New'!$AA:$AA),"")</f>
        <v/>
      </c>
      <c r="H19" s="46" t="str">
        <f>IFERROR(F19/D19/_xlfn.XLOOKUP($A19,'Modelling New'!$D:$D,'Modelling New'!$AA:$AA),"")</f>
        <v/>
      </c>
      <c r="I19" s="45" t="str">
        <f>IFERROR(E19/(B19*24*_xlfn.XLOOKUP($A19,'Modelling New'!$D:$D,'Modelling New'!$AA:$AA)),"")</f>
        <v/>
      </c>
      <c r="J19" s="46" t="str">
        <f>IFERROR(F19/(B19*24*_xlfn.XLOOKUP($A19,'Modelling New'!$D:$D,'Modelling New'!$AA:$AA)),"")</f>
        <v/>
      </c>
      <c r="K19" s="45">
        <v>0.995</v>
      </c>
      <c r="L19" s="46" t="str">
        <f>IFERROR(AVERAGEIF('Daily KPI'!$D:$D,A19,'Daily KPI'!$R:$R),"")</f>
        <v/>
      </c>
      <c r="M19" s="45">
        <v>0.995</v>
      </c>
      <c r="N19" s="46" t="str">
        <f>IFERROR(AVERAGEIF('Daily KPI'!$D:$D,$A19,'Daily KPI'!$O:$O),"")</f>
        <v/>
      </c>
    </row>
    <row r="20" spans="1:14" x14ac:dyDescent="0.35">
      <c r="A20" s="47">
        <v>46054</v>
      </c>
      <c r="B20" s="43">
        <f>_xlfn.XLOOKUP($A20,'Modelling New'!D:D,'Modelling New'!$Q:$Q)</f>
        <v>0</v>
      </c>
      <c r="C20" s="43">
        <f>_xlfn.XLOOKUP($A20,'Modelling New'!$D:$D,'Modelling New'!R:R)</f>
        <v>0</v>
      </c>
      <c r="D20" s="44">
        <f>SUMIF('Daily KPI'!$D:$D,$A20,'Daily KPI'!$I:$I)</f>
        <v>0</v>
      </c>
      <c r="E20" s="43">
        <f>_xlfn.XLOOKUP($A20,'Modelling New'!$D:$D,'Modelling New'!$U:$U)</f>
        <v>0</v>
      </c>
      <c r="F20" s="44">
        <f>SUMIF('Daily KPI'!$D:$D,A20,'Daily KPI'!$AA:$AA)/1000</f>
        <v>0</v>
      </c>
      <c r="G20" s="45" t="str">
        <f>IFERROR(E20/C20/_xlfn.XLOOKUP($A20,'Modelling New'!$D:$D,'Modelling New'!$AA:$AA),"")</f>
        <v/>
      </c>
      <c r="H20" s="46" t="str">
        <f>IFERROR(F20/D20/_xlfn.XLOOKUP($A20,'Modelling New'!$D:$D,'Modelling New'!$AA:$AA),"")</f>
        <v/>
      </c>
      <c r="I20" s="45" t="str">
        <f>IFERROR(E20/(B20*24*_xlfn.XLOOKUP($A20,'Modelling New'!$D:$D,'Modelling New'!$AA:$AA)),"")</f>
        <v/>
      </c>
      <c r="J20" s="46" t="str">
        <f>IFERROR(F20/(B20*24*_xlfn.XLOOKUP($A20,'Modelling New'!$D:$D,'Modelling New'!$AA:$AA)),"")</f>
        <v/>
      </c>
      <c r="K20" s="45">
        <v>0.995</v>
      </c>
      <c r="L20" s="46" t="str">
        <f>IFERROR(AVERAGEIF('Daily KPI'!$D:$D,A20,'Daily KPI'!$R:$R),"")</f>
        <v/>
      </c>
      <c r="M20" s="45">
        <v>0.995</v>
      </c>
      <c r="N20" s="46" t="str">
        <f>IFERROR(AVERAGEIF('Daily KPI'!$D:$D,$A20,'Daily KPI'!$O:$O),"")</f>
        <v/>
      </c>
    </row>
    <row r="21" spans="1:14" x14ac:dyDescent="0.35">
      <c r="A21" s="47">
        <v>46082</v>
      </c>
      <c r="B21" s="43">
        <f>_xlfn.XLOOKUP($A21,'Modelling New'!D:D,'Modelling New'!$Q:$Q)</f>
        <v>0</v>
      </c>
      <c r="C21" s="43">
        <f>_xlfn.XLOOKUP($A21,'Modelling New'!$D:$D,'Modelling New'!R:R)</f>
        <v>0</v>
      </c>
      <c r="D21" s="44">
        <f>SUMIF('Daily KPI'!$D:$D,$A21,'Daily KPI'!$I:$I)</f>
        <v>0</v>
      </c>
      <c r="E21" s="43">
        <f>_xlfn.XLOOKUP($A21,'Modelling New'!$D:$D,'Modelling New'!$U:$U)</f>
        <v>0</v>
      </c>
      <c r="F21" s="44">
        <f>SUMIF('Daily KPI'!$D:$D,A21,'Daily KPI'!$AA:$AA)/1000</f>
        <v>0</v>
      </c>
      <c r="G21" s="45" t="str">
        <f>IFERROR(E21/C21/_xlfn.XLOOKUP($A21,'Modelling New'!$D:$D,'Modelling New'!$AA:$AA),"")</f>
        <v/>
      </c>
      <c r="H21" s="46" t="str">
        <f>IFERROR(F21/D21/_xlfn.XLOOKUP($A21,'Modelling New'!$D:$D,'Modelling New'!$AA:$AA),"")</f>
        <v/>
      </c>
      <c r="I21" s="45" t="str">
        <f>IFERROR(E21/(B21*24*_xlfn.XLOOKUP($A21,'Modelling New'!$D:$D,'Modelling New'!$AA:$AA)),"")</f>
        <v/>
      </c>
      <c r="J21" s="46" t="str">
        <f>IFERROR(F21/(B21*24*_xlfn.XLOOKUP($A21,'Modelling New'!$D:$D,'Modelling New'!$AA:$AA)),"")</f>
        <v/>
      </c>
      <c r="K21" s="45">
        <v>0.995</v>
      </c>
      <c r="L21" s="46" t="str">
        <f>IFERROR(AVERAGEIF('Daily KPI'!$D:$D,A21,'Daily KPI'!$R:$R),"")</f>
        <v/>
      </c>
      <c r="M21" s="45">
        <v>0.995</v>
      </c>
      <c r="N21" s="46" t="str">
        <f>IFERROR(AVERAGEIF('Daily KPI'!$D:$D,$A21,'Daily KPI'!$O:$O),"")</f>
        <v/>
      </c>
    </row>
  </sheetData>
  <sheetProtection algorithmName="SHA-512" hashValue="rkaHgkGculMbOpzH8OcLVDtUIuzVfqXzhTQH8S2QgfmDiVL5V9dur3dowGuTQWii0Pd6vrQTjNEC6Y/RUJEOXw==" saltValue="LTDCGWRchd43nhXTpnLXcA==" spinCount="100000" sheet="1" objects="1" scenarios="1"/>
  <mergeCells count="2">
    <mergeCell ref="A2:N2"/>
    <mergeCell ref="A8:N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4253-DAA4-4097-BEA7-E5130BD9DC72}">
  <dimension ref="A1:A15"/>
  <sheetViews>
    <sheetView workbookViewId="0">
      <selection activeCell="P13" sqref="P13"/>
    </sheetView>
  </sheetViews>
  <sheetFormatPr defaultColWidth="8.81640625" defaultRowHeight="14.5" x14ac:dyDescent="0.35"/>
  <sheetData>
    <row r="1" spans="1:1" x14ac:dyDescent="0.35">
      <c r="A1" t="s">
        <v>54</v>
      </c>
    </row>
    <row r="2" spans="1:1" x14ac:dyDescent="0.35">
      <c r="A2" t="s">
        <v>55</v>
      </c>
    </row>
    <row r="3" spans="1:1" x14ac:dyDescent="0.35">
      <c r="A3" t="s">
        <v>56</v>
      </c>
    </row>
    <row r="4" spans="1:1" x14ac:dyDescent="0.35">
      <c r="A4" t="s">
        <v>57</v>
      </c>
    </row>
    <row r="5" spans="1:1" x14ac:dyDescent="0.35">
      <c r="A5" t="s">
        <v>58</v>
      </c>
    </row>
    <row r="6" spans="1:1" x14ac:dyDescent="0.35">
      <c r="A6" t="s">
        <v>59</v>
      </c>
    </row>
    <row r="7" spans="1:1" x14ac:dyDescent="0.35">
      <c r="A7" t="s">
        <v>60</v>
      </c>
    </row>
    <row r="8" spans="1:1" x14ac:dyDescent="0.35">
      <c r="A8" t="s">
        <v>61</v>
      </c>
    </row>
    <row r="9" spans="1:1" x14ac:dyDescent="0.35">
      <c r="A9" t="s">
        <v>62</v>
      </c>
    </row>
    <row r="10" spans="1:1" x14ac:dyDescent="0.35">
      <c r="A10" t="s">
        <v>63</v>
      </c>
    </row>
    <row r="11" spans="1:1" x14ac:dyDescent="0.35">
      <c r="A11" t="s">
        <v>64</v>
      </c>
    </row>
    <row r="12" spans="1:1" x14ac:dyDescent="0.35">
      <c r="A12" t="s">
        <v>65</v>
      </c>
    </row>
    <row r="13" spans="1:1" x14ac:dyDescent="0.35">
      <c r="A13" t="s">
        <v>66</v>
      </c>
    </row>
    <row r="14" spans="1:1" x14ac:dyDescent="0.35">
      <c r="A14" t="s">
        <v>67</v>
      </c>
    </row>
    <row r="15" spans="1:1" x14ac:dyDescent="0.35">
      <c r="A15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12"/>
  <sheetViews>
    <sheetView zoomScale="85" zoomScaleNormal="85" workbookViewId="0">
      <selection activeCell="B6" sqref="B6"/>
    </sheetView>
  </sheetViews>
  <sheetFormatPr defaultColWidth="8.81640625" defaultRowHeight="14.5" x14ac:dyDescent="0.35"/>
  <cols>
    <col min="2" max="2" width="10.453125" customWidth="1"/>
    <col min="3" max="3" width="13.453125" customWidth="1"/>
    <col min="4" max="4" width="12" customWidth="1"/>
    <col min="5" max="5" width="12.453125" customWidth="1"/>
    <col min="6" max="6" width="13.81640625" customWidth="1"/>
    <col min="7" max="7" width="9.453125" bestFit="1" customWidth="1"/>
    <col min="8" max="8" width="12.453125" customWidth="1"/>
    <col min="9" max="9" width="10.1796875" customWidth="1"/>
    <col min="10" max="10" width="11.1796875" customWidth="1"/>
    <col min="12" max="12" width="9.1796875" customWidth="1"/>
    <col min="14" max="14" width="9.453125" customWidth="1"/>
  </cols>
  <sheetData>
    <row r="1" spans="1:14" x14ac:dyDescent="0.35">
      <c r="A1" s="58" t="s">
        <v>37</v>
      </c>
      <c r="B1" s="59">
        <f>'Daily Dashboard'!B5</f>
        <v>45869</v>
      </c>
      <c r="C1" s="92"/>
      <c r="D1" s="92"/>
      <c r="E1" s="92"/>
      <c r="F1" s="92"/>
    </row>
    <row r="2" spans="1:14" ht="20.5" customHeight="1" x14ac:dyDescent="0.35">
      <c r="A2" s="358" t="s">
        <v>69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</row>
    <row r="3" spans="1:14" ht="43.5" x14ac:dyDescent="0.35">
      <c r="A3" s="41"/>
      <c r="B3" s="41" t="s">
        <v>40</v>
      </c>
      <c r="C3" s="42" t="s">
        <v>41</v>
      </c>
      <c r="D3" s="42" t="s">
        <v>42</v>
      </c>
      <c r="E3" s="42" t="s">
        <v>43</v>
      </c>
      <c r="F3" s="42" t="s">
        <v>44</v>
      </c>
      <c r="G3" s="42" t="s">
        <v>45</v>
      </c>
      <c r="H3" s="42" t="s">
        <v>46</v>
      </c>
      <c r="I3" s="42" t="s">
        <v>47</v>
      </c>
      <c r="J3" s="42" t="s">
        <v>48</v>
      </c>
      <c r="K3" s="42" t="s">
        <v>49</v>
      </c>
      <c r="L3" s="42" t="s">
        <v>50</v>
      </c>
      <c r="M3" s="42" t="s">
        <v>51</v>
      </c>
      <c r="N3" s="42" t="s">
        <v>52</v>
      </c>
    </row>
    <row r="4" spans="1:14" x14ac:dyDescent="0.35">
      <c r="A4" s="47">
        <f>'Daily Dashboard'!B4</f>
        <v>45839</v>
      </c>
      <c r="B4" s="43">
        <f>DAY(B1)</f>
        <v>31</v>
      </c>
      <c r="C4" s="43">
        <f>_xlfn.XLOOKUP($A$4,'Modelling New'!$D:$D,'Modelling New'!$R:$R,0)</f>
        <v>136.6</v>
      </c>
      <c r="D4" s="44">
        <f>SUMIF('Daily KPI'!$D:$D,$A$4,'Daily KPI'!$I:$I)</f>
        <v>113.50939056836903</v>
      </c>
      <c r="E4" s="43">
        <f>_xlfn.XLOOKUP($A$4,'Modelling New'!$D:$D,'Modelling New'!$U:$U,0)</f>
        <v>2401.779663494875</v>
      </c>
      <c r="F4" s="44">
        <f>SUMIF('Daily KPI'!$D:$D,'Monthly KPI'!$A$4,'Daily KPI'!$AA:$AA)/1000</f>
        <v>2199.5125000000066</v>
      </c>
      <c r="G4" s="45">
        <f>IFERROR(E4/C4/_xlfn.XLOOKUP($A$4,'Modelling New'!$D:$D,'Modelling New'!$N:$N,0),"")</f>
        <v>0.72347043806469047</v>
      </c>
      <c r="H4" s="46">
        <f>IFERROR(F4/D4/_xlfn.XLOOKUP($B$1,'Daily KPI'!$A:$A,'Daily KPI'!$AR:$AR,0),"")</f>
        <v>0.79732057008357571</v>
      </c>
      <c r="I4" s="45">
        <f>IFERROR(E4/(B4*24*_xlfn.XLOOKUP($A$4,'Modelling New'!$D:$D,'Modelling New'!$N:$N,0)),"")</f>
        <v>0.1328307282790816</v>
      </c>
      <c r="J4" s="46">
        <f>IFERROR(F4/(B4*24*_xlfn.XLOOKUP($A$4,'Modelling New'!$D:$D,'Modelling New'!$N:$N,0)),"")</f>
        <v>0.1216443172013592</v>
      </c>
      <c r="K4" s="45">
        <f>_xlfn.XLOOKUP($A$4,'Modelling New'!$D:$D,'Modelling New'!$AF:$AF)</f>
        <v>0.995</v>
      </c>
      <c r="L4" s="46">
        <f>IFERROR(AVERAGEIF('Daily KPI'!$D:$D,'Monthly KPI'!$A$4,'Daily KPI'!$R:$R),"")</f>
        <v>1</v>
      </c>
      <c r="M4" s="45">
        <f>_xlfn.XLOOKUP($A$4,'Modelling New'!$D:$D,'Modelling New'!$AE:$AE)</f>
        <v>0.995</v>
      </c>
      <c r="N4" s="46">
        <f>AVERAGEIF('Daily KPI'!$D:$D,$A$4,'Daily KPI'!$O:$O)</f>
        <v>0.96254935764567784</v>
      </c>
    </row>
    <row r="5" spans="1:14" x14ac:dyDescent="0.35">
      <c r="C5" s="209"/>
      <c r="D5" s="210"/>
      <c r="G5" s="207"/>
      <c r="J5" s="207"/>
      <c r="L5" s="207"/>
      <c r="M5" s="207"/>
    </row>
    <row r="6" spans="1:14" x14ac:dyDescent="0.35">
      <c r="A6" s="58" t="s">
        <v>70</v>
      </c>
      <c r="B6" s="59">
        <f>B7-6</f>
        <v>45863</v>
      </c>
      <c r="D6" s="98"/>
      <c r="F6" s="98"/>
    </row>
    <row r="7" spans="1:14" x14ac:dyDescent="0.35">
      <c r="A7" s="58" t="s">
        <v>71</v>
      </c>
      <c r="B7" s="59">
        <f>B1</f>
        <v>45869</v>
      </c>
    </row>
    <row r="8" spans="1:14" ht="21" x14ac:dyDescent="0.35">
      <c r="A8" s="358" t="s">
        <v>69</v>
      </c>
      <c r="B8" s="358"/>
      <c r="C8" s="358"/>
      <c r="D8" s="358"/>
      <c r="E8" s="358"/>
      <c r="F8" s="358"/>
      <c r="G8" s="358"/>
      <c r="H8" s="358"/>
      <c r="I8" s="358"/>
      <c r="J8" s="358"/>
      <c r="K8" s="358"/>
      <c r="L8" s="358"/>
      <c r="M8" s="358"/>
      <c r="N8" s="358"/>
    </row>
    <row r="9" spans="1:14" ht="43.5" x14ac:dyDescent="0.35">
      <c r="A9" s="41" t="s">
        <v>39</v>
      </c>
      <c r="B9" s="41" t="s">
        <v>40</v>
      </c>
      <c r="C9" s="42" t="s">
        <v>41</v>
      </c>
      <c r="D9" s="42" t="s">
        <v>42</v>
      </c>
      <c r="E9" s="42" t="s">
        <v>43</v>
      </c>
      <c r="F9" s="42" t="s">
        <v>44</v>
      </c>
      <c r="G9" s="42" t="s">
        <v>45</v>
      </c>
      <c r="H9" s="42" t="s">
        <v>46</v>
      </c>
      <c r="I9" s="42" t="s">
        <v>47</v>
      </c>
      <c r="J9" s="42" t="s">
        <v>48</v>
      </c>
      <c r="K9" s="42" t="s">
        <v>49</v>
      </c>
      <c r="L9" s="42" t="s">
        <v>50</v>
      </c>
      <c r="M9" s="42" t="s">
        <v>51</v>
      </c>
      <c r="N9" s="42" t="s">
        <v>52</v>
      </c>
    </row>
    <row r="10" spans="1:14" x14ac:dyDescent="0.35">
      <c r="A10" s="47">
        <f>A4</f>
        <v>45839</v>
      </c>
      <c r="B10" s="43">
        <f>(B7-B6)+1</f>
        <v>7</v>
      </c>
      <c r="C10" s="43">
        <f>SUMIFS('Daily KPI'!$AC:$AC,'Daily KPI'!$A:$A,"&gt;="&amp;$B$6,'Daily KPI'!$A:$A,"&lt;="&amp;$B$7)</f>
        <v>30.845161290322579</v>
      </c>
      <c r="D10" s="44">
        <f>SUMIFS('Daily KPI'!$I:$I,'Daily KPI'!$A:$A,"&gt;="&amp;$B$6,'Daily KPI'!$A:$A,"&lt;="&amp;$B$7)</f>
        <v>20.775785543657328</v>
      </c>
      <c r="E10" s="43">
        <f>SUMIFS('Daily KPI'!$AD:$AD,'Daily KPI'!$A:$A,"&gt;="&amp;$B$6,'Daily KPI'!$A:$A,"&lt;="&amp;$B$7)/1000</f>
        <v>542.33734336981047</v>
      </c>
      <c r="F10" s="44">
        <f>SUMIFS('Daily KPI'!$AA:$AA,'Daily KPI'!$A:$A,"&gt;="&amp;$B$6,'Daily KPI'!$A:$A,"&lt;="&amp;$B$7)/1000</f>
        <v>408.09230000001486</v>
      </c>
      <c r="G10" s="45">
        <f>IFERROR(E10/C10/_xlfn.XLOOKUP($A$4,'Modelling New'!$D:$D,'Modelling New'!$N:$N,0),"")</f>
        <v>0.72347043806469047</v>
      </c>
      <c r="H10" s="46">
        <f>IFERROR(F10/D10/_xlfn.XLOOKUP($A$4,'Modelling New'!$D:$D,'Modelling New'!$N:$N,0),"")</f>
        <v>0.80823801411623308</v>
      </c>
      <c r="I10" s="45">
        <f>IFERROR(E10/(B10*24*_xlfn.XLOOKUP($A$4,'Modelling New'!$D:$D,'Modelling New'!$N:$N,0)),"")</f>
        <v>0.1328307282790816</v>
      </c>
      <c r="J10" s="46">
        <f>IFERROR(F10/(B10*24*_xlfn.XLOOKUP($A$4,'Modelling New'!$D:$D,'Modelling New'!$N:$N,0)),"")</f>
        <v>9.9951069342323479E-2</v>
      </c>
      <c r="K10" s="45">
        <f>_xlfn.XLOOKUP($A$10,'Modelling New'!$D:$D,'Modelling New'!$AF:$AF)</f>
        <v>0.995</v>
      </c>
      <c r="L10" s="46">
        <f>AVERAGEIFS('Daily KPI'!$R:$R,'Daily KPI'!$A:$A,"&gt;="&amp;$B$6,'Daily KPI'!$A:$A,"&lt;="&amp;$B$7)</f>
        <v>1</v>
      </c>
      <c r="M10" s="45">
        <f>_xlfn.XLOOKUP($A$10,'Modelling New'!$D:$D,'Modelling New'!$AE:$AE)</f>
        <v>0.995</v>
      </c>
      <c r="N10" s="46">
        <f>AVERAGEIFS('Daily KPI'!$O:$O,'Daily KPI'!$A:$A,"&gt;="&amp;$B$6,'Daily KPI'!$A:$A,"&lt;="&amp;$B$7)</f>
        <v>0.96085377255486015</v>
      </c>
    </row>
    <row r="11" spans="1:14" x14ac:dyDescent="0.35">
      <c r="D11" s="133"/>
      <c r="E11" s="132"/>
      <c r="F11" s="133"/>
      <c r="H11" s="133"/>
    </row>
    <row r="12" spans="1:14" x14ac:dyDescent="0.35">
      <c r="D12" s="184"/>
      <c r="E12" s="184"/>
      <c r="F12" s="184"/>
    </row>
  </sheetData>
  <sheetProtection algorithmName="SHA-512" hashValue="HLAZGxPTdyZjNghxDVXs9BpiP5AFEzDHEvSLqYkbLdW2oMhVpuTaqh9SxHHM4hWQ1eq4KlR0O4KBinhX9rsd/g==" saltValue="QYGRfJ/40qbwKSBntl01YQ==" spinCount="100000" sheet="1" objects="1" scenarios="1"/>
  <mergeCells count="2">
    <mergeCell ref="A2:N2"/>
    <mergeCell ref="A8:N8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8EFB-01A3-4093-9AE1-B5F3D16AE6F7}">
  <dimension ref="A1:AS369"/>
  <sheetViews>
    <sheetView workbookViewId="0">
      <pane xSplit="1" ySplit="1" topLeftCell="O116" activePane="bottomRight" state="frozen"/>
      <selection pane="topRight" activeCell="AB39" sqref="AB39"/>
      <selection pane="bottomLeft" activeCell="AB39" sqref="AB39"/>
      <selection pane="bottomRight" activeCell="AA116" sqref="AA116"/>
    </sheetView>
  </sheetViews>
  <sheetFormatPr defaultColWidth="8.54296875" defaultRowHeight="14.5" x14ac:dyDescent="0.35"/>
  <cols>
    <col min="1" max="1" width="9.54296875" bestFit="1" customWidth="1"/>
    <col min="2" max="5" width="9" customWidth="1"/>
    <col min="6" max="9" width="10.453125" customWidth="1"/>
    <col min="10" max="12" width="11.453125" customWidth="1"/>
    <col min="13" max="13" width="15.1796875" bestFit="1" customWidth="1"/>
    <col min="14" max="39" width="11.453125" customWidth="1"/>
    <col min="40" max="40" width="11.453125" style="209" customWidth="1"/>
    <col min="41" max="45" width="11.453125" customWidth="1"/>
  </cols>
  <sheetData>
    <row r="1" spans="1:45" ht="58" x14ac:dyDescent="0.35">
      <c r="A1" s="222" t="s">
        <v>72</v>
      </c>
      <c r="B1" s="223" t="s">
        <v>73</v>
      </c>
      <c r="C1" s="223" t="s">
        <v>74</v>
      </c>
      <c r="D1" s="223" t="s">
        <v>75</v>
      </c>
      <c r="E1" s="223" t="s">
        <v>40</v>
      </c>
      <c r="F1" s="224" t="s">
        <v>76</v>
      </c>
      <c r="G1" s="224" t="s">
        <v>77</v>
      </c>
      <c r="H1" s="224" t="s">
        <v>78</v>
      </c>
      <c r="I1" s="224" t="s">
        <v>79</v>
      </c>
      <c r="J1" s="224" t="s">
        <v>80</v>
      </c>
      <c r="K1" s="224" t="s">
        <v>81</v>
      </c>
      <c r="L1" s="224" t="s">
        <v>82</v>
      </c>
      <c r="M1" s="224" t="s">
        <v>83</v>
      </c>
      <c r="N1" s="224" t="s">
        <v>84</v>
      </c>
      <c r="O1" s="224" t="s">
        <v>85</v>
      </c>
      <c r="P1" s="224" t="s">
        <v>86</v>
      </c>
      <c r="Q1" s="224" t="s">
        <v>87</v>
      </c>
      <c r="R1" s="224" t="s">
        <v>88</v>
      </c>
      <c r="S1" s="224" t="s">
        <v>89</v>
      </c>
      <c r="T1" s="224" t="s">
        <v>90</v>
      </c>
      <c r="U1" s="224" t="s">
        <v>91</v>
      </c>
      <c r="V1" s="224" t="s">
        <v>92</v>
      </c>
      <c r="W1" s="224" t="s">
        <v>93</v>
      </c>
      <c r="X1" s="224" t="s">
        <v>94</v>
      </c>
      <c r="Y1" s="224" t="s">
        <v>95</v>
      </c>
      <c r="Z1" s="224" t="s">
        <v>96</v>
      </c>
      <c r="AA1" s="224" t="s">
        <v>97</v>
      </c>
      <c r="AB1" s="224" t="s">
        <v>98</v>
      </c>
      <c r="AC1" s="224" t="s">
        <v>99</v>
      </c>
      <c r="AD1" s="224" t="s">
        <v>100</v>
      </c>
      <c r="AE1" s="224" t="s">
        <v>101</v>
      </c>
      <c r="AF1" s="224" t="s">
        <v>102</v>
      </c>
      <c r="AG1" s="224" t="s">
        <v>103</v>
      </c>
      <c r="AH1" s="224" t="s">
        <v>104</v>
      </c>
      <c r="AI1" s="224" t="s">
        <v>105</v>
      </c>
      <c r="AJ1" s="224" t="s">
        <v>106</v>
      </c>
      <c r="AK1" s="224" t="s">
        <v>107</v>
      </c>
      <c r="AL1" s="224" t="s">
        <v>108</v>
      </c>
      <c r="AM1" s="224" t="s">
        <v>109</v>
      </c>
      <c r="AN1" s="225" t="s">
        <v>110</v>
      </c>
      <c r="AO1" s="224" t="s">
        <v>111</v>
      </c>
      <c r="AP1" s="224" t="s">
        <v>112</v>
      </c>
      <c r="AQ1" s="224" t="s">
        <v>113</v>
      </c>
      <c r="AR1" s="224" t="s">
        <v>114</v>
      </c>
      <c r="AS1" s="224" t="s">
        <v>115</v>
      </c>
    </row>
    <row r="2" spans="1:45" x14ac:dyDescent="0.35">
      <c r="A2" s="226">
        <v>45745</v>
      </c>
      <c r="B2" s="227">
        <f>YEAR(Daily_KPI[[#This Row],[Date]])+IF(MONTH(Daily_KPI[[#This Row],[Date]])&gt;=4,1,0)</f>
        <v>2025</v>
      </c>
      <c r="C2" s="6">
        <f>YEAR(Daily_KPI[[#This Row],[Date]])</f>
        <v>2025</v>
      </c>
      <c r="D2" s="228">
        <f>Daily_KPI[[#This Row],[Date]]-DAY(Daily_KPI[[#This Row],[Date]])+1</f>
        <v>45717</v>
      </c>
      <c r="E2" s="6">
        <f t="shared" ref="E2:E52" si="0">DAY(EOMONTH(A2,0))</f>
        <v>31</v>
      </c>
      <c r="F2" s="229">
        <f>IFERROR(_xlfn.XLOOKUP($A2,'Raw Data'!$A:$A,'Raw Data'!$BR:$BR),"")</f>
        <v>11.533333333333331</v>
      </c>
      <c r="G2" s="230">
        <f>IFERROR(_xlfn.XLOOKUP($A2,'Raw Data'!$A:$A,'Raw Data'!$AO:$AO),"")</f>
        <v>0</v>
      </c>
      <c r="H2" s="230"/>
      <c r="I2" s="230">
        <f>IFERROR(_xlfn.XLOOKUP($A2,'Raw Data'!$A:$A,'Raw Data'!$AR:$AR),"")</f>
        <v>6.1564010255354198</v>
      </c>
      <c r="J2" s="230"/>
      <c r="K2" s="230">
        <f>IFERROR(_xlfn.XLOOKUP($A2,'Raw Data'!$A:$A,'Raw Data'!$AV:$AV),"")</f>
        <v>0</v>
      </c>
      <c r="L2" s="230">
        <f>IFERROR(_xlfn.XLOOKUP($A2,'Raw Data'!$A:$A,'Raw Data'!$AW:$AW),"")</f>
        <v>0</v>
      </c>
      <c r="M2" s="230">
        <f>IFERROR(_xlfn.XLOOKUP($A2,'Raw Data'!$A:$A,'Raw Data'!$AX:$AX),"")</f>
        <v>0</v>
      </c>
      <c r="N2" s="230">
        <f>IFERROR(_xlfn.XLOOKUP($A2,'Raw Data'!$A:$A,'Raw Data'!$AY:$AY),"")</f>
        <v>0</v>
      </c>
      <c r="O2" s="231" t="str">
        <f>IFERROR(1-(SUMIF('Plant BD'!$B:$B,A2,'Plant BD'!$AE:$AE)/(AA2+SUMIF('Plant BD'!$B:$B,A2,'Plant BD'!$AE:$AE))),"")</f>
        <v/>
      </c>
      <c r="P2" s="231"/>
      <c r="Q2" s="232"/>
      <c r="R2" s="231" t="str">
        <f>IFERROR(1-(SUMIF('Grid BD'!$B:$B,$A2,'Grid BD'!$AD:$AD)/($AA2+SUMIF('Grid BD'!$B:$B,$A2,'Grid BD'!AD:AD))),"")</f>
        <v/>
      </c>
      <c r="S2" s="6"/>
      <c r="T2" s="232"/>
      <c r="U2" s="233" t="str">
        <f t="shared" ref="U2:U17" si="1">IFERROR(AA2/I2/AB2/1000,"")</f>
        <v/>
      </c>
      <c r="V2" s="233"/>
      <c r="W2" s="234" t="str">
        <f t="shared" ref="W2:W42" si="2">IFERROR(AA2/(24*AR2*1000),"")</f>
        <v/>
      </c>
      <c r="X2" s="227">
        <f>IFERROR(_xlfn.XLOOKUP($A2,'Raw Data'!$A:$A,'Raw Data'!$BA:$BA),"")</f>
        <v>114708</v>
      </c>
      <c r="Y2" s="227" t="str">
        <f>IFERROR(_xlfn.XLOOKUP($A2,'Raw Data'!$A:$A,'Raw Data'!BJ:BJ),"")</f>
        <v/>
      </c>
      <c r="Z2" s="227" t="str">
        <f>IFERROR(_xlfn.XLOOKUP($A2,'Raw Data'!$A:$A,'Raw Data'!BK:BK),"")</f>
        <v/>
      </c>
      <c r="AA2" s="227" t="str">
        <f>IFERROR(_xlfn.XLOOKUP($A2,'Raw Data'!$A:$A,'Raw Data'!BL:BL),"")</f>
        <v/>
      </c>
      <c r="AB2" s="227">
        <f>IFERROR(_xlfn.XLOOKUP($A2,'Raw Data'!$A:$A,'Raw Data'!$H:$H),"")</f>
        <v>24.303100000000001</v>
      </c>
      <c r="AC2" s="145">
        <f>IFERROR(_xlfn.XLOOKUP($D2,'Modelling New'!$D:$D,'Modelling New'!$P:$P),"")</f>
        <v>6.9</v>
      </c>
      <c r="AD2" s="227">
        <f>IFERROR(_xlfn.XLOOKUP($D2,'Modelling New'!$D:$D,'Modelling New'!$T:$T)*1000,"")</f>
        <v>129014.28979703547</v>
      </c>
      <c r="AE2" s="234">
        <f>IFERROR(_xlfn.XLOOKUP($D2,'Modelling New'!$D:$D,'Modelling New'!$O:$O),"")</f>
        <v>0.76935547971207985</v>
      </c>
      <c r="AF2" s="234">
        <f>IFERROR(_xlfn.XLOOKUP($D2,'Modelling New'!$D:$D,'Modelling New'!$W:$W),"")</f>
        <v>0.22118970041722297</v>
      </c>
      <c r="AG2" s="234">
        <f>IFERROR(_xlfn.XLOOKUP($D2,'Modelling New'!$D:$D,'Modelling New'!AE:AE),"")</f>
        <v>0.995</v>
      </c>
      <c r="AH2" s="234">
        <v>0.99750000000000005</v>
      </c>
      <c r="AI2" s="6"/>
      <c r="AJ2" s="6"/>
      <c r="AK2" s="6"/>
      <c r="AL2" s="6"/>
      <c r="AM2" s="6"/>
      <c r="AN2" s="231"/>
      <c r="AO2" s="234"/>
      <c r="AP2" s="234"/>
      <c r="AQ2" s="234"/>
      <c r="AR2" s="227">
        <f>IFERROR(_xlfn.XLOOKUP($D2,'Modelling New'!$D:$D,'Modelling New'!$N:$N),"")</f>
        <v>24.303100000000001</v>
      </c>
      <c r="AS2" s="227"/>
    </row>
    <row r="3" spans="1:45" x14ac:dyDescent="0.35">
      <c r="A3" s="226">
        <f t="shared" ref="A3:A19" si="3">A2+1</f>
        <v>45746</v>
      </c>
      <c r="B3" s="227">
        <f>YEAR(Daily_KPI[[#This Row],[Date]])+IF(MONTH(Daily_KPI[[#This Row],[Date]])&gt;=4,1,0)</f>
        <v>2025</v>
      </c>
      <c r="C3" s="6">
        <f>YEAR(Daily_KPI[[#This Row],[Date]])</f>
        <v>2025</v>
      </c>
      <c r="D3" s="228">
        <f>Daily_KPI[[#This Row],[Date]]-DAY(Daily_KPI[[#This Row],[Date]])+1</f>
        <v>45717</v>
      </c>
      <c r="E3" s="6">
        <f t="shared" si="0"/>
        <v>31</v>
      </c>
      <c r="F3" s="229">
        <f>IFERROR(_xlfn.XLOOKUP($A3,'Raw Data'!$A:$A,'Raw Data'!$BR:$BR),"")</f>
        <v>11.549999999999999</v>
      </c>
      <c r="G3" s="230">
        <f>IFERROR(_xlfn.XLOOKUP($A3,'Raw Data'!$A:$A,'Raw Data'!$AO:$AO),"")</f>
        <v>0</v>
      </c>
      <c r="H3" s="230"/>
      <c r="I3" s="230">
        <f>IFERROR(_xlfn.XLOOKUP($A3,'Raw Data'!$A:$A,'Raw Data'!$AR:$AR),"")</f>
        <v>5.1168364909390442</v>
      </c>
      <c r="J3" s="230"/>
      <c r="K3" s="230">
        <f>IFERROR(_xlfn.XLOOKUP($A3,'Raw Data'!$A:$A,'Raw Data'!$AV:$AV),"")</f>
        <v>0</v>
      </c>
      <c r="L3" s="230">
        <f>IFERROR(_xlfn.XLOOKUP($A3,'Raw Data'!$A:$A,'Raw Data'!$AW:$AW),"")</f>
        <v>0</v>
      </c>
      <c r="M3" s="230">
        <f>IFERROR(_xlfn.XLOOKUP($A3,'Raw Data'!$A:$A,'Raw Data'!$AX:$AX),"")</f>
        <v>0</v>
      </c>
      <c r="N3" s="230">
        <f>IFERROR(_xlfn.XLOOKUP($A3,'Raw Data'!$A:$A,'Raw Data'!$AY:$AY),"")</f>
        <v>0</v>
      </c>
      <c r="O3" s="231">
        <f>IFERROR(1-(SUMIF('Plant BD'!$B:$B,A3,'Plant BD'!$AE:$AE)/(AA3+SUMIF('Plant BD'!$B:$B,A3,'Plant BD'!$AE:$AE))),"")</f>
        <v>1</v>
      </c>
      <c r="P3" s="231"/>
      <c r="Q3" s="232"/>
      <c r="R3" s="231">
        <f>IFERROR(1-(SUMIF('Grid BD'!$B:$B,$A3,'Grid BD'!$AD:$AD)/($AA3+SUMIF('Grid BD'!$B:$B,$A3,'Grid BD'!AD:AD))),"")</f>
        <v>1</v>
      </c>
      <c r="S3" s="6"/>
      <c r="T3" s="232"/>
      <c r="U3" s="233">
        <f t="shared" si="1"/>
        <v>0.73891663531825558</v>
      </c>
      <c r="V3" s="233"/>
      <c r="W3" s="234">
        <f t="shared" si="2"/>
        <v>0.15753815013993117</v>
      </c>
      <c r="X3" s="227">
        <f>IFERROR(_xlfn.XLOOKUP($A3,'Raw Data'!$A:$A,'Raw Data'!$BA:$BA),"")</f>
        <v>93388</v>
      </c>
      <c r="Y3" s="227">
        <f>IFERROR(_xlfn.XLOOKUP($A3,'Raw Data'!$A:$A,'Raw Data'!BJ:BJ),"")</f>
        <v>92817.679999978282</v>
      </c>
      <c r="Z3" s="227">
        <f>IFERROR(_xlfn.XLOOKUP($A3,'Raw Data'!$A:$A,'Raw Data'!BK:BK),"")</f>
        <v>929.71</v>
      </c>
      <c r="AA3" s="227">
        <f>IFERROR(_xlfn.XLOOKUP($A3,'Raw Data'!$A:$A,'Raw Data'!BL:BL),"")</f>
        <v>91887.969999978275</v>
      </c>
      <c r="AB3" s="227">
        <f>IFERROR(_xlfn.XLOOKUP($A3,'Raw Data'!$A:$A,'Raw Data'!$H:$H),"")</f>
        <v>24.303100000000001</v>
      </c>
      <c r="AC3" s="145">
        <f>IFERROR(_xlfn.XLOOKUP($D3,'Modelling New'!$D:$D,'Modelling New'!$P:$P),"")</f>
        <v>6.9</v>
      </c>
      <c r="AD3" s="227">
        <f>IFERROR(_xlfn.XLOOKUP($D3,'Modelling New'!$D:$D,'Modelling New'!$T:$T)*1000,"")</f>
        <v>129014.28979703547</v>
      </c>
      <c r="AE3" s="234">
        <f>IFERROR(_xlfn.XLOOKUP($D3,'Modelling New'!$D:$D,'Modelling New'!$O:$O),"")</f>
        <v>0.76935547971207985</v>
      </c>
      <c r="AF3" s="234">
        <f>IFERROR(_xlfn.XLOOKUP($D3,'Modelling New'!$D:$D,'Modelling New'!$W:$W),"")</f>
        <v>0.22118970041722297</v>
      </c>
      <c r="AG3" s="234">
        <f>IFERROR(_xlfn.XLOOKUP($D3,'Modelling New'!$D:$D,'Modelling New'!AE:AE),"")</f>
        <v>0.995</v>
      </c>
      <c r="AH3" s="234">
        <v>0.99750000000000005</v>
      </c>
      <c r="AI3" s="6"/>
      <c r="AJ3" s="6"/>
      <c r="AK3" s="6"/>
      <c r="AL3" s="6"/>
      <c r="AM3" s="6"/>
      <c r="AN3" s="231"/>
      <c r="AO3" s="234"/>
      <c r="AP3" s="234"/>
      <c r="AQ3" s="234"/>
      <c r="AR3" s="227">
        <f>IFERROR(_xlfn.XLOOKUP($D3,'Modelling New'!$D:$D,'Modelling New'!$N:$N),"")</f>
        <v>24.303100000000001</v>
      </c>
      <c r="AS3" s="227"/>
    </row>
    <row r="4" spans="1:45" x14ac:dyDescent="0.35">
      <c r="A4" s="226">
        <f t="shared" si="3"/>
        <v>45747</v>
      </c>
      <c r="B4" s="227">
        <f>YEAR(Daily_KPI[[#This Row],[Date]])+IF(MONTH(Daily_KPI[[#This Row],[Date]])&gt;=4,1,0)</f>
        <v>2025</v>
      </c>
      <c r="C4" s="6">
        <f>YEAR(Daily_KPI[[#This Row],[Date]])</f>
        <v>2025</v>
      </c>
      <c r="D4" s="228">
        <f>Daily_KPI[[#This Row],[Date]]-DAY(Daily_KPI[[#This Row],[Date]])+1</f>
        <v>45717</v>
      </c>
      <c r="E4" s="6">
        <f t="shared" si="0"/>
        <v>31</v>
      </c>
      <c r="F4" s="229">
        <f>IFERROR(_xlfn.XLOOKUP($A4,'Raw Data'!$A:$A,'Raw Data'!$BR:$BR),"")</f>
        <v>10.799999999999999</v>
      </c>
      <c r="G4" s="230">
        <f>IFERROR(_xlfn.XLOOKUP($A4,'Raw Data'!$A:$A,'Raw Data'!$AO:$AO),"")</f>
        <v>0</v>
      </c>
      <c r="H4" s="230"/>
      <c r="I4" s="230">
        <f>IFERROR(_xlfn.XLOOKUP($A4,'Raw Data'!$A:$A,'Raw Data'!$AR:$AR),"")</f>
        <v>4.7331787479406913</v>
      </c>
      <c r="J4" s="230"/>
      <c r="K4" s="230">
        <f>IFERROR(_xlfn.XLOOKUP($A4,'Raw Data'!$A:$A,'Raw Data'!$AV:$AV),"")</f>
        <v>0</v>
      </c>
      <c r="L4" s="230">
        <f>IFERROR(_xlfn.XLOOKUP($A4,'Raw Data'!$A:$A,'Raw Data'!$AW:$AW),"")</f>
        <v>0</v>
      </c>
      <c r="M4" s="230">
        <f>IFERROR(_xlfn.XLOOKUP($A4,'Raw Data'!$A:$A,'Raw Data'!$AX:$AX),"")</f>
        <v>0</v>
      </c>
      <c r="N4" s="230">
        <f>IFERROR(_xlfn.XLOOKUP($A4,'Raw Data'!$A:$A,'Raw Data'!$AY:$AY),"")</f>
        <v>0</v>
      </c>
      <c r="O4" s="231">
        <f>IFERROR(1-(SUMIF('Plant BD'!$B:$B,A4,'Plant BD'!$AE:$AE)/(AA4+SUMIF('Plant BD'!$B:$B,A4,'Plant BD'!$AE:$AE))),"")</f>
        <v>1</v>
      </c>
      <c r="P4" s="231"/>
      <c r="Q4" s="232"/>
      <c r="R4" s="231">
        <f>IFERROR(1-(SUMIF('Grid BD'!$B:$B,$A4,'Grid BD'!$AD:$AD)/($AA4+SUMIF('Grid BD'!$B:$B,$A4,'Grid BD'!AD:AD))),"")</f>
        <v>1</v>
      </c>
      <c r="S4" s="6"/>
      <c r="T4" s="232"/>
      <c r="U4" s="233">
        <f t="shared" si="1"/>
        <v>0.75533232888385071</v>
      </c>
      <c r="V4" s="233"/>
      <c r="W4" s="234">
        <f t="shared" si="2"/>
        <v>0.14896345527939961</v>
      </c>
      <c r="X4" s="227">
        <f>IFERROR(_xlfn.XLOOKUP($A4,'Raw Data'!$A:$A,'Raw Data'!$BA:$BA),"")</f>
        <v>88492</v>
      </c>
      <c r="Y4" s="227">
        <f>IFERROR(_xlfn.XLOOKUP($A4,'Raw Data'!$A:$A,'Raw Data'!BJ:BJ),"")</f>
        <v>87966.570000018692</v>
      </c>
      <c r="Z4" s="227">
        <f>IFERROR(_xlfn.XLOOKUP($A4,'Raw Data'!$A:$A,'Raw Data'!BK:BK),"")</f>
        <v>1080.0000000000409</v>
      </c>
      <c r="AA4" s="227">
        <f>IFERROR(_xlfn.XLOOKUP($A4,'Raw Data'!$A:$A,'Raw Data'!BL:BL),"")</f>
        <v>86886.570000018648</v>
      </c>
      <c r="AB4" s="227">
        <f>IFERROR(_xlfn.XLOOKUP($A4,'Raw Data'!$A:$A,'Raw Data'!$H:$H),"")</f>
        <v>24.303100000000001</v>
      </c>
      <c r="AC4" s="145">
        <f>IFERROR(_xlfn.XLOOKUP($D4,'Modelling New'!$D:$D,'Modelling New'!$P:$P),"")</f>
        <v>6.9</v>
      </c>
      <c r="AD4" s="227">
        <f>IFERROR(_xlfn.XLOOKUP($D4,'Modelling New'!$D:$D,'Modelling New'!$T:$T)*1000,"")</f>
        <v>129014.28979703547</v>
      </c>
      <c r="AE4" s="234">
        <f>IFERROR(_xlfn.XLOOKUP($D4,'Modelling New'!$D:$D,'Modelling New'!$O:$O),"")</f>
        <v>0.76935547971207985</v>
      </c>
      <c r="AF4" s="234">
        <f>IFERROR(_xlfn.XLOOKUP($D4,'Modelling New'!$D:$D,'Modelling New'!$W:$W),"")</f>
        <v>0.22118970041722297</v>
      </c>
      <c r="AG4" s="234">
        <f>IFERROR(_xlfn.XLOOKUP($D4,'Modelling New'!$D:$D,'Modelling New'!AE:AE),"")</f>
        <v>0.995</v>
      </c>
      <c r="AH4" s="234">
        <v>0.99750000000000005</v>
      </c>
      <c r="AI4" s="6"/>
      <c r="AJ4" s="6"/>
      <c r="AK4" s="6"/>
      <c r="AL4" s="6"/>
      <c r="AM4" s="6"/>
      <c r="AN4" s="231"/>
      <c r="AO4" s="234"/>
      <c r="AP4" s="234"/>
      <c r="AQ4" s="234"/>
      <c r="AR4" s="227">
        <f>IFERROR(_xlfn.XLOOKUP($D4,'Modelling New'!$D:$D,'Modelling New'!$N:$N),"")</f>
        <v>24.303100000000001</v>
      </c>
      <c r="AS4" s="227"/>
    </row>
    <row r="5" spans="1:45" x14ac:dyDescent="0.35">
      <c r="A5" s="226">
        <f t="shared" si="3"/>
        <v>45748</v>
      </c>
      <c r="B5" s="227">
        <f>YEAR(Daily_KPI[[#This Row],[Date]])+IF(MONTH(Daily_KPI[[#This Row],[Date]])&gt;=4,1,0)</f>
        <v>2026</v>
      </c>
      <c r="C5" s="6">
        <f>YEAR(Daily_KPI[[#This Row],[Date]])</f>
        <v>2025</v>
      </c>
      <c r="D5" s="228">
        <f>Daily_KPI[[#This Row],[Date]]-DAY(Daily_KPI[[#This Row],[Date]])+1</f>
        <v>45748</v>
      </c>
      <c r="E5" s="6">
        <f t="shared" si="0"/>
        <v>30</v>
      </c>
      <c r="F5" s="229">
        <f>IFERROR(_xlfn.XLOOKUP($A5,'Raw Data'!$A:$A,'Raw Data'!$BR:$BR),"")</f>
        <v>10.766666666666666</v>
      </c>
      <c r="G5" s="230">
        <f>IFERROR(_xlfn.XLOOKUP($A5,'Raw Data'!$A:$A,'Raw Data'!$AO:$AO),"")</f>
        <v>0</v>
      </c>
      <c r="H5" s="230"/>
      <c r="I5" s="230">
        <f>IFERROR(_xlfn.XLOOKUP($A5,'Raw Data'!$A:$A,'Raw Data'!$AR:$AR),"")</f>
        <v>2.8415893739703457</v>
      </c>
      <c r="J5" s="230"/>
      <c r="K5" s="230">
        <f>IFERROR(_xlfn.XLOOKUP($A5,'Raw Data'!$A:$A,'Raw Data'!$AV:$AV),"")</f>
        <v>0</v>
      </c>
      <c r="L5" s="230">
        <f>IFERROR(_xlfn.XLOOKUP($A5,'Raw Data'!$A:$A,'Raw Data'!$AW:$AW),"")</f>
        <v>0</v>
      </c>
      <c r="M5" s="230">
        <f>IFERROR(_xlfn.XLOOKUP($A5,'Raw Data'!$A:$A,'Raw Data'!$AX:$AX),"")</f>
        <v>0</v>
      </c>
      <c r="N5" s="230">
        <f>IFERROR(_xlfn.XLOOKUP($A5,'Raw Data'!$A:$A,'Raw Data'!$AY:$AY),"")</f>
        <v>0</v>
      </c>
      <c r="O5" s="231">
        <f>IFERROR(1-(SUMIF('Plant BD'!$B:$B,A5,'Plant BD'!$AE:$AE)/(AA5+SUMIF('Plant BD'!$B:$B,A5,'Plant BD'!$AE:$AE))),"")</f>
        <v>1</v>
      </c>
      <c r="P5" s="231"/>
      <c r="Q5" s="232"/>
      <c r="R5" s="231">
        <f>IFERROR(1-(SUMIF('Grid BD'!$B:$B,$A5,'Grid BD'!$AD:$AD)/($AA5+SUMIF('Grid BD'!$B:$B,$A5,'Grid BD'!AD:AD))),"")</f>
        <v>1</v>
      </c>
      <c r="S5" s="6"/>
      <c r="T5" s="232"/>
      <c r="U5" s="233">
        <f t="shared" si="1"/>
        <v>0.98076612128432272</v>
      </c>
      <c r="V5" s="233"/>
      <c r="W5" s="234">
        <f t="shared" si="2"/>
        <v>0.11612227452465178</v>
      </c>
      <c r="X5" s="227">
        <f>IFERROR(_xlfn.XLOOKUP($A5,'Raw Data'!$A:$A,'Raw Data'!$BA:$BA),"")</f>
        <v>69057</v>
      </c>
      <c r="Y5" s="227">
        <f>IFERROR(_xlfn.XLOOKUP($A5,'Raw Data'!$A:$A,'Raw Data'!BJ:BJ),"")</f>
        <v>68717.680000001565</v>
      </c>
      <c r="Z5" s="227">
        <f>IFERROR(_xlfn.XLOOKUP($A5,'Raw Data'!$A:$A,'Raw Data'!BK:BK),"")</f>
        <v>986.53000000001612</v>
      </c>
      <c r="AA5" s="227">
        <f>IFERROR(_xlfn.XLOOKUP($A5,'Raw Data'!$A:$A,'Raw Data'!BL:BL),"")</f>
        <v>67731.150000001551</v>
      </c>
      <c r="AB5" s="227">
        <f>IFERROR(_xlfn.XLOOKUP($A5,'Raw Data'!$A:$A,'Raw Data'!$H:$H),"")</f>
        <v>24.303100000000001</v>
      </c>
      <c r="AC5" s="145">
        <f>IFERROR(_xlfn.XLOOKUP($D5,'Modelling New'!$D:$D,'Modelling New'!$P:$P),"")</f>
        <v>6.6233333333333331</v>
      </c>
      <c r="AD5" s="227">
        <f>IFERROR(_xlfn.XLOOKUP($D5,'Modelling New'!$D:$D,'Modelling New'!$T:$T)*1000,"")</f>
        <v>120499.94015769019</v>
      </c>
      <c r="AE5" s="234">
        <f>IFERROR(_xlfn.XLOOKUP($D5,'Modelling New'!$D:$D,'Modelling New'!$O:$O),"")</f>
        <v>0.74859779740027077</v>
      </c>
      <c r="AF5" s="234">
        <f>IFERROR(_xlfn.XLOOKUP($D5,'Modelling New'!$D:$D,'Modelling New'!$W:$W),"")</f>
        <v>0.20659219769921358</v>
      </c>
      <c r="AG5" s="234">
        <f>IFERROR(_xlfn.XLOOKUP($D5,'Modelling New'!$D:$D,'Modelling New'!AE:AE),"")</f>
        <v>0.995</v>
      </c>
      <c r="AH5" s="234">
        <v>0.99750000000000005</v>
      </c>
      <c r="AI5" s="6"/>
      <c r="AJ5" s="6"/>
      <c r="AK5" s="6"/>
      <c r="AL5" s="6"/>
      <c r="AM5" s="6"/>
      <c r="AN5" s="231"/>
      <c r="AO5" s="234"/>
      <c r="AP5" s="234"/>
      <c r="AQ5" s="234"/>
      <c r="AR5" s="227">
        <f>IFERROR(_xlfn.XLOOKUP($D5,'Modelling New'!$D:$D,'Modelling New'!$N:$N),"")</f>
        <v>24.303100000000001</v>
      </c>
      <c r="AS5" s="227"/>
    </row>
    <row r="6" spans="1:45" x14ac:dyDescent="0.35">
      <c r="A6" s="226">
        <f t="shared" si="3"/>
        <v>45749</v>
      </c>
      <c r="B6" s="227">
        <f>YEAR(Daily_KPI[[#This Row],[Date]])+IF(MONTH(Daily_KPI[[#This Row],[Date]])&gt;=4,1,0)</f>
        <v>2026</v>
      </c>
      <c r="C6" s="6">
        <f>YEAR(Daily_KPI[[#This Row],[Date]])</f>
        <v>2025</v>
      </c>
      <c r="D6" s="228">
        <f>Daily_KPI[[#This Row],[Date]]-DAY(Daily_KPI[[#This Row],[Date]])+1</f>
        <v>45748</v>
      </c>
      <c r="E6" s="6">
        <f t="shared" si="0"/>
        <v>30</v>
      </c>
      <c r="F6" s="229">
        <f>IFERROR(_xlfn.XLOOKUP($A6,'Raw Data'!$A:$A,'Raw Data'!$BR:$BR),"")</f>
        <v>10.95</v>
      </c>
      <c r="G6" s="230">
        <f>IFERROR(_xlfn.XLOOKUP($A6,'Raw Data'!$A:$A,'Raw Data'!$AO:$AO),"")</f>
        <v>0</v>
      </c>
      <c r="H6" s="230"/>
      <c r="I6" s="230">
        <f>IFERROR(_xlfn.XLOOKUP($A6,'Raw Data'!$A:$A,'Raw Data'!$AR:$AR),"")</f>
        <v>2.7152775947281711</v>
      </c>
      <c r="J6" s="230"/>
      <c r="K6" s="230">
        <f>IFERROR(_xlfn.XLOOKUP($A6,'Raw Data'!$A:$A,'Raw Data'!$AV:$AV),"")</f>
        <v>0</v>
      </c>
      <c r="L6" s="230">
        <f>IFERROR(_xlfn.XLOOKUP($A6,'Raw Data'!$A:$A,'Raw Data'!$AW:$AW),"")</f>
        <v>0</v>
      </c>
      <c r="M6" s="230">
        <f>IFERROR(_xlfn.XLOOKUP($A6,'Raw Data'!$A:$A,'Raw Data'!$AX:$AX),"")</f>
        <v>0</v>
      </c>
      <c r="N6" s="230">
        <f>IFERROR(_xlfn.XLOOKUP($A6,'Raw Data'!$A:$A,'Raw Data'!$AY:$AY),"")</f>
        <v>0</v>
      </c>
      <c r="O6" s="231">
        <f>IFERROR(1-(SUMIF('Plant BD'!$B:$B,A6,'Plant BD'!$AE:$AE)/(AA6+SUMIF('Plant BD'!$B:$B,A6,'Plant BD'!$AE:$AE))),"")</f>
        <v>1</v>
      </c>
      <c r="P6" s="231"/>
      <c r="Q6" s="232"/>
      <c r="R6" s="231">
        <f>IFERROR(1-(SUMIF('Grid BD'!$B:$B,$A6,'Grid BD'!$AD:$AD)/($AA6+SUMIF('Grid BD'!$B:$B,$A6,'Grid BD'!AD:AD))),"")</f>
        <v>1</v>
      </c>
      <c r="S6" s="6"/>
      <c r="T6" s="232"/>
      <c r="U6" s="233">
        <f t="shared" si="1"/>
        <v>0.76670265867439791</v>
      </c>
      <c r="V6" s="233"/>
      <c r="W6" s="234">
        <f t="shared" si="2"/>
        <v>8.6742106288213022E-2</v>
      </c>
      <c r="X6" s="227">
        <f>IFERROR(_xlfn.XLOOKUP($A6,'Raw Data'!$A:$A,'Raw Data'!$BA:$BA),"")</f>
        <v>51978</v>
      </c>
      <c r="Y6" s="227">
        <f>IFERROR(_xlfn.XLOOKUP($A6,'Raw Data'!$A:$A,'Raw Data'!BJ:BJ),"")</f>
        <v>51509.179999993648</v>
      </c>
      <c r="Z6" s="227">
        <f>IFERROR(_xlfn.XLOOKUP($A6,'Raw Data'!$A:$A,'Raw Data'!BK:BK),"")</f>
        <v>914.72999999996318</v>
      </c>
      <c r="AA6" s="227">
        <f>IFERROR(_xlfn.XLOOKUP($A6,'Raw Data'!$A:$A,'Raw Data'!BL:BL),"")</f>
        <v>50594.449999993682</v>
      </c>
      <c r="AB6" s="227">
        <f>IFERROR(_xlfn.XLOOKUP($A6,'Raw Data'!$A:$A,'Raw Data'!$H:$H),"")</f>
        <v>24.303100000000001</v>
      </c>
      <c r="AC6" s="145">
        <f>IFERROR(_xlfn.XLOOKUP($D6,'Modelling New'!$D:$D,'Modelling New'!$P:$P),"")</f>
        <v>6.6233333333333331</v>
      </c>
      <c r="AD6" s="227">
        <f>IFERROR(_xlfn.XLOOKUP($D6,'Modelling New'!$D:$D,'Modelling New'!$T:$T)*1000,"")</f>
        <v>120499.94015769019</v>
      </c>
      <c r="AE6" s="234">
        <f>IFERROR(_xlfn.XLOOKUP($D6,'Modelling New'!$D:$D,'Modelling New'!$O:$O),"")</f>
        <v>0.74859779740027077</v>
      </c>
      <c r="AF6" s="234">
        <f>IFERROR(_xlfn.XLOOKUP($D6,'Modelling New'!$D:$D,'Modelling New'!$W:$W),"")</f>
        <v>0.20659219769921358</v>
      </c>
      <c r="AG6" s="234">
        <f>IFERROR(_xlfn.XLOOKUP($D6,'Modelling New'!$D:$D,'Modelling New'!AE:AE),"")</f>
        <v>0.995</v>
      </c>
      <c r="AH6" s="234">
        <v>0.99750000000000005</v>
      </c>
      <c r="AI6" s="6"/>
      <c r="AJ6" s="6"/>
      <c r="AK6" s="6"/>
      <c r="AL6" s="6"/>
      <c r="AM6" s="6"/>
      <c r="AN6" s="231"/>
      <c r="AO6" s="234"/>
      <c r="AP6" s="234"/>
      <c r="AQ6" s="234"/>
      <c r="AR6" s="227">
        <f>IFERROR(_xlfn.XLOOKUP($D6,'Modelling New'!$D:$D,'Modelling New'!$N:$N),"")</f>
        <v>24.303100000000001</v>
      </c>
      <c r="AS6" s="227"/>
    </row>
    <row r="7" spans="1:45" x14ac:dyDescent="0.35">
      <c r="A7" s="226">
        <f t="shared" si="3"/>
        <v>45750</v>
      </c>
      <c r="B7" s="227">
        <f>YEAR(Daily_KPI[[#This Row],[Date]])+IF(MONTH(Daily_KPI[[#This Row],[Date]])&gt;=4,1,0)</f>
        <v>2026</v>
      </c>
      <c r="C7" s="6">
        <f>YEAR(Daily_KPI[[#This Row],[Date]])</f>
        <v>2025</v>
      </c>
      <c r="D7" s="228">
        <f>Daily_KPI[[#This Row],[Date]]-DAY(Daily_KPI[[#This Row],[Date]])+1</f>
        <v>45748</v>
      </c>
      <c r="E7" s="6">
        <f t="shared" si="0"/>
        <v>30</v>
      </c>
      <c r="F7" s="229">
        <f>IFERROR(_xlfn.XLOOKUP($A7,'Raw Data'!$A:$A,'Raw Data'!$BR:$BR),"")</f>
        <v>11.483333333333333</v>
      </c>
      <c r="G7" s="230">
        <f>IFERROR(_xlfn.XLOOKUP($A7,'Raw Data'!$A:$A,'Raw Data'!$AO:$AO),"")</f>
        <v>0</v>
      </c>
      <c r="H7" s="230"/>
      <c r="I7" s="230">
        <f>IFERROR(_xlfn.XLOOKUP($A7,'Raw Data'!$A:$A,'Raw Data'!$AR:$AR),"")</f>
        <v>6.1</v>
      </c>
      <c r="J7" s="230"/>
      <c r="K7" s="230">
        <f>IFERROR(_xlfn.XLOOKUP($A7,'Raw Data'!$A:$A,'Raw Data'!$AV:$AV),"")</f>
        <v>0</v>
      </c>
      <c r="L7" s="230">
        <f>IFERROR(_xlfn.XLOOKUP($A7,'Raw Data'!$A:$A,'Raw Data'!$AW:$AW),"")</f>
        <v>0</v>
      </c>
      <c r="M7" s="230">
        <f>IFERROR(_xlfn.XLOOKUP($A7,'Raw Data'!$A:$A,'Raw Data'!$AX:$AX),"")</f>
        <v>0</v>
      </c>
      <c r="N7" s="230">
        <f>IFERROR(_xlfn.XLOOKUP($A7,'Raw Data'!$A:$A,'Raw Data'!$AY:$AY),"")</f>
        <v>0</v>
      </c>
      <c r="O7" s="231">
        <f>IFERROR(1-(SUMIF('Plant BD'!$B:$B,A7,'Plant BD'!$AE:$AE)/(AA7+SUMIF('Plant BD'!$B:$B,A7,'Plant BD'!$AE:$AE))),"")</f>
        <v>1</v>
      </c>
      <c r="P7" s="231"/>
      <c r="Q7" s="232"/>
      <c r="R7" s="231">
        <f>IFERROR(1-(SUMIF('Grid BD'!$B:$B,$A7,'Grid BD'!$AD:$AD)/($AA7+SUMIF('Grid BD'!$B:$B,$A7,'Grid BD'!AD:AD))),"")</f>
        <v>1</v>
      </c>
      <c r="S7" s="6"/>
      <c r="T7" s="232"/>
      <c r="U7" s="233">
        <f t="shared" si="1"/>
        <v>0.75662755294448791</v>
      </c>
      <c r="V7" s="233"/>
      <c r="W7" s="234">
        <f t="shared" si="2"/>
        <v>0.19230950304005734</v>
      </c>
      <c r="X7" s="227">
        <f>IFERROR(_xlfn.XLOOKUP($A7,'Raw Data'!$A:$A,'Raw Data'!$BA:$BA),"")</f>
        <v>113949.2</v>
      </c>
      <c r="Y7" s="227">
        <f>IFERROR(_xlfn.XLOOKUP($A7,'Raw Data'!$A:$A,'Raw Data'!BJ:BJ),"")</f>
        <v>112987.23999998765</v>
      </c>
      <c r="Z7" s="227">
        <f>IFERROR(_xlfn.XLOOKUP($A7,'Raw Data'!$A:$A,'Raw Data'!BK:BK),"")</f>
        <v>818.03000000002157</v>
      </c>
      <c r="AA7" s="227">
        <f>IFERROR(_xlfn.XLOOKUP($A7,'Raw Data'!$A:$A,'Raw Data'!BL:BL),"")</f>
        <v>112169.20999998762</v>
      </c>
      <c r="AB7" s="227">
        <f>IFERROR(_xlfn.XLOOKUP($A7,'Raw Data'!$A:$A,'Raw Data'!$H:$H),"")</f>
        <v>24.303100000000001</v>
      </c>
      <c r="AC7" s="145">
        <f>IFERROR(_xlfn.XLOOKUP($D7,'Modelling New'!$D:$D,'Modelling New'!$P:$P),"")</f>
        <v>6.6233333333333331</v>
      </c>
      <c r="AD7" s="227">
        <f>IFERROR(_xlfn.XLOOKUP($D7,'Modelling New'!$D:$D,'Modelling New'!$T:$T)*1000,"")</f>
        <v>120499.94015769019</v>
      </c>
      <c r="AE7" s="234">
        <f>IFERROR(_xlfn.XLOOKUP($D7,'Modelling New'!$D:$D,'Modelling New'!$O:$O),"")</f>
        <v>0.74859779740027077</v>
      </c>
      <c r="AF7" s="234">
        <f>IFERROR(_xlfn.XLOOKUP($D7,'Modelling New'!$D:$D,'Modelling New'!$W:$W),"")</f>
        <v>0.20659219769921358</v>
      </c>
      <c r="AG7" s="234">
        <f>IFERROR(_xlfn.XLOOKUP($D7,'Modelling New'!$D:$D,'Modelling New'!AE:AE),"")</f>
        <v>0.995</v>
      </c>
      <c r="AH7" s="234">
        <v>0.99750000000000005</v>
      </c>
      <c r="AI7" s="6"/>
      <c r="AJ7" s="6"/>
      <c r="AK7" s="6"/>
      <c r="AL7" s="6"/>
      <c r="AM7" s="6"/>
      <c r="AN7" s="231"/>
      <c r="AO7" s="234"/>
      <c r="AP7" s="234"/>
      <c r="AQ7" s="234"/>
      <c r="AR7" s="227">
        <f>IFERROR(_xlfn.XLOOKUP($D7,'Modelling New'!$D:$D,'Modelling New'!$N:$N),"")</f>
        <v>24.303100000000001</v>
      </c>
      <c r="AS7" s="227"/>
    </row>
    <row r="8" spans="1:45" x14ac:dyDescent="0.35">
      <c r="A8" s="226">
        <f t="shared" si="3"/>
        <v>45751</v>
      </c>
      <c r="B8" s="227">
        <f>YEAR(Daily_KPI[[#This Row],[Date]])+IF(MONTH(Daily_KPI[[#This Row],[Date]])&gt;=4,1,0)</f>
        <v>2026</v>
      </c>
      <c r="C8" s="6">
        <f>YEAR(Daily_KPI[[#This Row],[Date]])</f>
        <v>2025</v>
      </c>
      <c r="D8" s="228">
        <f>Daily_KPI[[#This Row],[Date]]-DAY(Daily_KPI[[#This Row],[Date]])+1</f>
        <v>45748</v>
      </c>
      <c r="E8" s="6">
        <f t="shared" si="0"/>
        <v>30</v>
      </c>
      <c r="F8" s="229">
        <f>IFERROR(_xlfn.XLOOKUP($A8,'Raw Data'!$A:$A,'Raw Data'!$BR:$BR),"")</f>
        <v>11.766666666666667</v>
      </c>
      <c r="G8" s="230">
        <f>IFERROR(_xlfn.XLOOKUP($A8,'Raw Data'!$A:$A,'Raw Data'!$AO:$AO),"")</f>
        <v>0</v>
      </c>
      <c r="H8" s="230"/>
      <c r="I8" s="230">
        <f>IFERROR(_xlfn.XLOOKUP($A8,'Raw Data'!$A:$A,'Raw Data'!$AR:$AR),"")</f>
        <v>6.63895057660626</v>
      </c>
      <c r="J8" s="230"/>
      <c r="K8" s="230">
        <f>IFERROR(_xlfn.XLOOKUP($A8,'Raw Data'!$A:$A,'Raw Data'!$AV:$AV),"")</f>
        <v>0</v>
      </c>
      <c r="L8" s="230">
        <f>IFERROR(_xlfn.XLOOKUP($A8,'Raw Data'!$A:$A,'Raw Data'!$AW:$AW),"")</f>
        <v>0</v>
      </c>
      <c r="M8" s="230">
        <f>IFERROR(_xlfn.XLOOKUP($A8,'Raw Data'!$A:$A,'Raw Data'!$AX:$AX),"")</f>
        <v>0</v>
      </c>
      <c r="N8" s="230">
        <f>IFERROR(_xlfn.XLOOKUP($A8,'Raw Data'!$A:$A,'Raw Data'!$AY:$AY),"")</f>
        <v>0</v>
      </c>
      <c r="O8" s="231">
        <f>IFERROR(1-(SUMIF('Plant BD'!$B:$B,A8,'Plant BD'!$AE:$AE)/(AA8+SUMIF('Plant BD'!$B:$B,A8,'Plant BD'!$AE:$AE))),"")</f>
        <v>1</v>
      </c>
      <c r="P8" s="231"/>
      <c r="Q8" s="232"/>
      <c r="R8" s="231">
        <f>IFERROR(1-(SUMIF('Grid BD'!$B:$B,$A8,'Grid BD'!$AD:$AD)/($AA8+SUMIF('Grid BD'!$B:$B,$A8,'Grid BD'!AD:AD))),"")</f>
        <v>1</v>
      </c>
      <c r="S8" s="6"/>
      <c r="T8" s="232"/>
      <c r="U8" s="233">
        <f t="shared" si="1"/>
        <v>0.76827544809419557</v>
      </c>
      <c r="V8" s="233"/>
      <c r="W8" s="234">
        <f t="shared" si="2"/>
        <v>0.2125226137132247</v>
      </c>
      <c r="X8" s="227">
        <f>IFERROR(_xlfn.XLOOKUP($A8,'Raw Data'!$A:$A,'Raw Data'!$BA:$BA),"")</f>
        <v>126119.5</v>
      </c>
      <c r="Y8" s="227">
        <f>IFERROR(_xlfn.XLOOKUP($A8,'Raw Data'!$A:$A,'Raw Data'!BJ:BJ),"")</f>
        <v>124940.59000001289</v>
      </c>
      <c r="Z8" s="227">
        <f>IFERROR(_xlfn.XLOOKUP($A8,'Raw Data'!$A:$A,'Raw Data'!BK:BK),"")</f>
        <v>981.58999999998287</v>
      </c>
      <c r="AA8" s="227">
        <f>IFERROR(_xlfn.XLOOKUP($A8,'Raw Data'!$A:$A,'Raw Data'!BL:BL),"")</f>
        <v>123959.00000001291</v>
      </c>
      <c r="AB8" s="227">
        <f>IFERROR(_xlfn.XLOOKUP($A8,'Raw Data'!$A:$A,'Raw Data'!$H:$H),"")</f>
        <v>24.303100000000001</v>
      </c>
      <c r="AC8" s="145">
        <f>IFERROR(_xlfn.XLOOKUP($D8,'Modelling New'!$D:$D,'Modelling New'!$P:$P),"")</f>
        <v>6.6233333333333331</v>
      </c>
      <c r="AD8" s="227">
        <f>IFERROR(_xlfn.XLOOKUP($D8,'Modelling New'!$D:$D,'Modelling New'!$T:$T)*1000,"")</f>
        <v>120499.94015769019</v>
      </c>
      <c r="AE8" s="234">
        <f>IFERROR(_xlfn.XLOOKUP($D8,'Modelling New'!$D:$D,'Modelling New'!$O:$O),"")</f>
        <v>0.74859779740027077</v>
      </c>
      <c r="AF8" s="234">
        <f>IFERROR(_xlfn.XLOOKUP($D8,'Modelling New'!$D:$D,'Modelling New'!$W:$W),"")</f>
        <v>0.20659219769921358</v>
      </c>
      <c r="AG8" s="234">
        <f>IFERROR(_xlfn.XLOOKUP($D8,'Modelling New'!$D:$D,'Modelling New'!AE:AE),"")</f>
        <v>0.995</v>
      </c>
      <c r="AH8" s="234">
        <v>0.99750000000000005</v>
      </c>
      <c r="AI8" s="6"/>
      <c r="AJ8" s="6"/>
      <c r="AK8" s="6"/>
      <c r="AL8" s="6"/>
      <c r="AM8" s="6"/>
      <c r="AN8" s="231"/>
      <c r="AO8" s="234"/>
      <c r="AP8" s="234"/>
      <c r="AQ8" s="234"/>
      <c r="AR8" s="227">
        <f>IFERROR(_xlfn.XLOOKUP($D8,'Modelling New'!$D:$D,'Modelling New'!$N:$N),"")</f>
        <v>24.303100000000001</v>
      </c>
      <c r="AS8" s="227"/>
    </row>
    <row r="9" spans="1:45" x14ac:dyDescent="0.35">
      <c r="A9" s="226">
        <f t="shared" si="3"/>
        <v>45752</v>
      </c>
      <c r="B9" s="227">
        <f>YEAR(Daily_KPI[[#This Row],[Date]])+IF(MONTH(Daily_KPI[[#This Row],[Date]])&gt;=4,1,0)</f>
        <v>2026</v>
      </c>
      <c r="C9" s="6">
        <f>YEAR(Daily_KPI[[#This Row],[Date]])</f>
        <v>2025</v>
      </c>
      <c r="D9" s="228">
        <f>Daily_KPI[[#This Row],[Date]]-DAY(Daily_KPI[[#This Row],[Date]])+1</f>
        <v>45748</v>
      </c>
      <c r="E9" s="6">
        <f t="shared" si="0"/>
        <v>30</v>
      </c>
      <c r="F9" s="229">
        <f>IFERROR(_xlfn.XLOOKUP($A9,'Raw Data'!$A:$A,'Raw Data'!$BR:$BR),"")</f>
        <v>11.749999999999998</v>
      </c>
      <c r="G9" s="230">
        <f>IFERROR(_xlfn.XLOOKUP($A9,'Raw Data'!$A:$A,'Raw Data'!$AO:$AO),"")</f>
        <v>0</v>
      </c>
      <c r="H9" s="230"/>
      <c r="I9" s="230">
        <f>IFERROR(_xlfn.XLOOKUP($A9,'Raw Data'!$A:$A,'Raw Data'!$AR:$AR),"")</f>
        <v>6.7642129324546953</v>
      </c>
      <c r="J9" s="230"/>
      <c r="K9" s="230">
        <f>IFERROR(_xlfn.XLOOKUP($A9,'Raw Data'!$A:$A,'Raw Data'!$AV:$AV),"")</f>
        <v>0</v>
      </c>
      <c r="L9" s="230">
        <f>IFERROR(_xlfn.XLOOKUP($A9,'Raw Data'!$A:$A,'Raw Data'!$AW:$AW),"")</f>
        <v>0</v>
      </c>
      <c r="M9" s="230">
        <f>IFERROR(_xlfn.XLOOKUP($A9,'Raw Data'!$A:$A,'Raw Data'!$AX:$AX),"")</f>
        <v>0</v>
      </c>
      <c r="N9" s="230">
        <f>IFERROR(_xlfn.XLOOKUP($A9,'Raw Data'!$A:$A,'Raw Data'!$AY:$AY),"")</f>
        <v>0</v>
      </c>
      <c r="O9" s="231">
        <f>IFERROR(1-(SUMIF('Plant BD'!$B:$B,A9,'Plant BD'!$AE:$AE)/(AA9+SUMIF('Plant BD'!$B:$B,A9,'Plant BD'!$AE:$AE))),"")</f>
        <v>1</v>
      </c>
      <c r="P9" s="231"/>
      <c r="Q9" s="232"/>
      <c r="R9" s="231">
        <f>IFERROR(1-(SUMIF('Grid BD'!$B:$B,$A9,'Grid BD'!$AD:$AD)/($AA9+SUMIF('Grid BD'!$B:$B,$A9,'Grid BD'!AD:AD))),"")</f>
        <v>1</v>
      </c>
      <c r="S9" s="6"/>
      <c r="T9" s="232"/>
      <c r="U9" s="233">
        <f t="shared" si="1"/>
        <v>0.75722229338213964</v>
      </c>
      <c r="V9" s="233"/>
      <c r="W9" s="234">
        <f t="shared" si="2"/>
        <v>0.21341720123493635</v>
      </c>
      <c r="X9" s="227">
        <f>IFERROR(_xlfn.XLOOKUP($A9,'Raw Data'!$A:$A,'Raw Data'!$BA:$BA),"")</f>
        <v>126571</v>
      </c>
      <c r="Y9" s="227">
        <f>IFERROR(_xlfn.XLOOKUP($A9,'Raw Data'!$A:$A,'Raw Data'!BJ:BJ),"")</f>
        <v>125301.06999998679</v>
      </c>
      <c r="Z9" s="227">
        <f>IFERROR(_xlfn.XLOOKUP($A9,'Raw Data'!$A:$A,'Raw Data'!BK:BK),"")</f>
        <v>820.28000000002521</v>
      </c>
      <c r="AA9" s="227">
        <f>IFERROR(_xlfn.XLOOKUP($A9,'Raw Data'!$A:$A,'Raw Data'!BL:BL),"")</f>
        <v>124480.78999998677</v>
      </c>
      <c r="AB9" s="227">
        <f>IFERROR(_xlfn.XLOOKUP($A9,'Raw Data'!$A:$A,'Raw Data'!$H:$H),"")</f>
        <v>24.303100000000001</v>
      </c>
      <c r="AC9" s="145">
        <f>IFERROR(_xlfn.XLOOKUP($D9,'Modelling New'!$D:$D,'Modelling New'!$P:$P),"")</f>
        <v>6.6233333333333331</v>
      </c>
      <c r="AD9" s="227">
        <f>IFERROR(_xlfn.XLOOKUP($D9,'Modelling New'!$D:$D,'Modelling New'!$T:$T)*1000,"")</f>
        <v>120499.94015769019</v>
      </c>
      <c r="AE9" s="234">
        <f>IFERROR(_xlfn.XLOOKUP($D9,'Modelling New'!$D:$D,'Modelling New'!$O:$O),"")</f>
        <v>0.74859779740027077</v>
      </c>
      <c r="AF9" s="234">
        <f>IFERROR(_xlfn.XLOOKUP($D9,'Modelling New'!$D:$D,'Modelling New'!$W:$W),"")</f>
        <v>0.20659219769921358</v>
      </c>
      <c r="AG9" s="234">
        <f>IFERROR(_xlfn.XLOOKUP($D9,'Modelling New'!$D:$D,'Modelling New'!AE:AE),"")</f>
        <v>0.995</v>
      </c>
      <c r="AH9" s="234">
        <v>0.99750000000000005</v>
      </c>
      <c r="AI9" s="6"/>
      <c r="AJ9" s="6"/>
      <c r="AK9" s="6"/>
      <c r="AL9" s="6"/>
      <c r="AM9" s="6"/>
      <c r="AN9" s="231"/>
      <c r="AO9" s="234"/>
      <c r="AP9" s="234"/>
      <c r="AQ9" s="234"/>
      <c r="AR9" s="227">
        <f>IFERROR(_xlfn.XLOOKUP($D9,'Modelling New'!$D:$D,'Modelling New'!$N:$N),"")</f>
        <v>24.303100000000001</v>
      </c>
      <c r="AS9" s="227"/>
    </row>
    <row r="10" spans="1:45" x14ac:dyDescent="0.35">
      <c r="A10" s="226">
        <f t="shared" si="3"/>
        <v>45753</v>
      </c>
      <c r="B10" s="227">
        <f>YEAR(Daily_KPI[[#This Row],[Date]])+IF(MONTH(Daily_KPI[[#This Row],[Date]])&gt;=4,1,0)</f>
        <v>2026</v>
      </c>
      <c r="C10" s="6">
        <f>YEAR(Daily_KPI[[#This Row],[Date]])</f>
        <v>2025</v>
      </c>
      <c r="D10" s="228">
        <f>Daily_KPI[[#This Row],[Date]]-DAY(Daily_KPI[[#This Row],[Date]])+1</f>
        <v>45748</v>
      </c>
      <c r="E10" s="6">
        <f t="shared" si="0"/>
        <v>30</v>
      </c>
      <c r="F10" s="229">
        <f>IFERROR(_xlfn.XLOOKUP($A10,'Raw Data'!$A:$A,'Raw Data'!$BR:$BR),"")</f>
        <v>11.8</v>
      </c>
      <c r="G10" s="230">
        <f>IFERROR(_xlfn.XLOOKUP($A10,'Raw Data'!$A:$A,'Raw Data'!$AO:$AO),"")</f>
        <v>0</v>
      </c>
      <c r="H10" s="230"/>
      <c r="I10" s="230">
        <f>IFERROR(_xlfn.XLOOKUP($A10,'Raw Data'!$A:$A,'Raw Data'!$AR:$AR),"")</f>
        <v>6.9511528418451398</v>
      </c>
      <c r="J10" s="230"/>
      <c r="K10" s="230">
        <f>IFERROR(_xlfn.XLOOKUP($A10,'Raw Data'!$A:$A,'Raw Data'!$AV:$AV),"")</f>
        <v>0</v>
      </c>
      <c r="L10" s="230">
        <f>IFERROR(_xlfn.XLOOKUP($A10,'Raw Data'!$A:$A,'Raw Data'!$AW:$AW),"")</f>
        <v>0</v>
      </c>
      <c r="M10" s="230">
        <f>IFERROR(_xlfn.XLOOKUP($A10,'Raw Data'!$A:$A,'Raw Data'!$AX:$AX),"")</f>
        <v>0</v>
      </c>
      <c r="N10" s="230">
        <f>IFERROR(_xlfn.XLOOKUP($A10,'Raw Data'!$A:$A,'Raw Data'!$AY:$AY),"")</f>
        <v>0</v>
      </c>
      <c r="O10" s="231">
        <f>IFERROR(1-(SUMIF('Plant BD'!$B:$B,A10,'Plant BD'!$AE:$AE)/(AA10+SUMIF('Plant BD'!$B:$B,A10,'Plant BD'!$AE:$AE))),"")</f>
        <v>1</v>
      </c>
      <c r="P10" s="231"/>
      <c r="Q10" s="232"/>
      <c r="R10" s="231">
        <f>IFERROR(1-(SUMIF('Grid BD'!$B:$B,$A10,'Grid BD'!$AD:$AD)/($AA10+SUMIF('Grid BD'!$B:$B,$A10,'Grid BD'!AD:AD))),"")</f>
        <v>1</v>
      </c>
      <c r="S10" s="6"/>
      <c r="T10" s="232"/>
      <c r="U10" s="233">
        <f t="shared" si="1"/>
        <v>0.75143977658116035</v>
      </c>
      <c r="V10" s="233"/>
      <c r="W10" s="234">
        <f t="shared" si="2"/>
        <v>0.21764053076906706</v>
      </c>
      <c r="X10" s="227">
        <f>IFERROR(_xlfn.XLOOKUP($A10,'Raw Data'!$A:$A,'Raw Data'!$BA:$BA),"")</f>
        <v>129103</v>
      </c>
      <c r="Y10" s="227">
        <f>IFERROR(_xlfn.XLOOKUP($A10,'Raw Data'!$A:$A,'Raw Data'!BJ:BJ),"")</f>
        <v>127602.03000000911</v>
      </c>
      <c r="Z10" s="227">
        <f>IFERROR(_xlfn.XLOOKUP($A10,'Raw Data'!$A:$A,'Raw Data'!BK:BK),"")</f>
        <v>657.87999999997737</v>
      </c>
      <c r="AA10" s="227">
        <f>IFERROR(_xlfn.XLOOKUP($A10,'Raw Data'!$A:$A,'Raw Data'!BL:BL),"")</f>
        <v>126944.15000000913</v>
      </c>
      <c r="AB10" s="227">
        <f>IFERROR(_xlfn.XLOOKUP($A10,'Raw Data'!$A:$A,'Raw Data'!$H:$H),"")</f>
        <v>24.303100000000001</v>
      </c>
      <c r="AC10" s="145">
        <f>IFERROR(_xlfn.XLOOKUP($D10,'Modelling New'!$D:$D,'Modelling New'!$P:$P),"")</f>
        <v>6.6233333333333331</v>
      </c>
      <c r="AD10" s="227">
        <f>IFERROR(_xlfn.XLOOKUP($D10,'Modelling New'!$D:$D,'Modelling New'!$T:$T)*1000,"")</f>
        <v>120499.94015769019</v>
      </c>
      <c r="AE10" s="234">
        <f>IFERROR(_xlfn.XLOOKUP($D10,'Modelling New'!$D:$D,'Modelling New'!$O:$O),"")</f>
        <v>0.74859779740027077</v>
      </c>
      <c r="AF10" s="234">
        <f>IFERROR(_xlfn.XLOOKUP($D10,'Modelling New'!$D:$D,'Modelling New'!$W:$W),"")</f>
        <v>0.20659219769921358</v>
      </c>
      <c r="AG10" s="234">
        <f>IFERROR(_xlfn.XLOOKUP($D10,'Modelling New'!$D:$D,'Modelling New'!AE:AE),"")</f>
        <v>0.995</v>
      </c>
      <c r="AH10" s="234">
        <v>0.99750000000000005</v>
      </c>
      <c r="AI10" s="6"/>
      <c r="AJ10" s="6"/>
      <c r="AK10" s="6"/>
      <c r="AL10" s="6"/>
      <c r="AM10" s="6"/>
      <c r="AN10" s="231"/>
      <c r="AO10" s="234"/>
      <c r="AP10" s="234"/>
      <c r="AQ10" s="234"/>
      <c r="AR10" s="227">
        <f>IFERROR(_xlfn.XLOOKUP($D10,'Modelling New'!$D:$D,'Modelling New'!$N:$N),"")</f>
        <v>24.303100000000001</v>
      </c>
      <c r="AS10" s="227"/>
    </row>
    <row r="11" spans="1:45" x14ac:dyDescent="0.35">
      <c r="A11" s="226">
        <f t="shared" si="3"/>
        <v>45754</v>
      </c>
      <c r="B11" s="227">
        <f>YEAR(Daily_KPI[[#This Row],[Date]])+IF(MONTH(Daily_KPI[[#This Row],[Date]])&gt;=4,1,0)</f>
        <v>2026</v>
      </c>
      <c r="C11" s="6">
        <f>YEAR(Daily_KPI[[#This Row],[Date]])</f>
        <v>2025</v>
      </c>
      <c r="D11" s="228">
        <f>Daily_KPI[[#This Row],[Date]]-DAY(Daily_KPI[[#This Row],[Date]])+1</f>
        <v>45748</v>
      </c>
      <c r="E11" s="6">
        <f t="shared" si="0"/>
        <v>30</v>
      </c>
      <c r="F11" s="229">
        <f>IFERROR(_xlfn.XLOOKUP($A11,'Raw Data'!$A:$A,'Raw Data'!$BR:$BR),"")</f>
        <v>11.883333333333333</v>
      </c>
      <c r="G11" s="230">
        <f>IFERROR(_xlfn.XLOOKUP($A11,'Raw Data'!$A:$A,'Raw Data'!$AO:$AO),"")</f>
        <v>0</v>
      </c>
      <c r="H11" s="230"/>
      <c r="I11" s="230">
        <f>IFERROR(_xlfn.XLOOKUP($A11,'Raw Data'!$A:$A,'Raw Data'!$AR:$AR),"")</f>
        <v>6.9981049423393742</v>
      </c>
      <c r="J11" s="230"/>
      <c r="K11" s="230">
        <f>IFERROR(_xlfn.XLOOKUP($A11,'Raw Data'!$A:$A,'Raw Data'!$AV:$AV),"")</f>
        <v>0</v>
      </c>
      <c r="L11" s="230">
        <f>IFERROR(_xlfn.XLOOKUP($A11,'Raw Data'!$A:$A,'Raw Data'!$AW:$AW),"")</f>
        <v>0</v>
      </c>
      <c r="M11" s="230">
        <f>IFERROR(_xlfn.XLOOKUP($A11,'Raw Data'!$A:$A,'Raw Data'!$AX:$AX),"")</f>
        <v>0</v>
      </c>
      <c r="N11" s="230">
        <f>IFERROR(_xlfn.XLOOKUP($A11,'Raw Data'!$A:$A,'Raw Data'!$AY:$AY),"")</f>
        <v>0</v>
      </c>
      <c r="O11" s="231">
        <f>IFERROR(1-(SUMIF('Plant BD'!$B:$B,A11,'Plant BD'!$AE:$AE)/(AA11+SUMIF('Plant BD'!$B:$B,A11,'Plant BD'!$AE:$AE))),"")</f>
        <v>1</v>
      </c>
      <c r="P11" s="231"/>
      <c r="Q11" s="232"/>
      <c r="R11" s="231">
        <f>IFERROR(1-(SUMIF('Grid BD'!$B:$B,$A11,'Grid BD'!$AD:$AD)/($AA11+SUMIF('Grid BD'!$B:$B,$A11,'Grid BD'!AD:AD))),"")</f>
        <v>1</v>
      </c>
      <c r="S11" s="6"/>
      <c r="T11" s="232"/>
      <c r="U11" s="233">
        <f t="shared" si="1"/>
        <v>0.7432114138188366</v>
      </c>
      <c r="V11" s="233"/>
      <c r="W11" s="234">
        <f t="shared" si="2"/>
        <v>0.21671131117702641</v>
      </c>
      <c r="X11" s="227">
        <f>IFERROR(_xlfn.XLOOKUP($A11,'Raw Data'!$A:$A,'Raw Data'!$BA:$BA),"")</f>
        <v>128983</v>
      </c>
      <c r="Y11" s="227">
        <f>IFERROR(_xlfn.XLOOKUP($A11,'Raw Data'!$A:$A,'Raw Data'!BJ:BJ),"")</f>
        <v>127518.11999999336</v>
      </c>
      <c r="Z11" s="227">
        <f>IFERROR(_xlfn.XLOOKUP($A11,'Raw Data'!$A:$A,'Raw Data'!BK:BK),"")</f>
        <v>1115.9599999999728</v>
      </c>
      <c r="AA11" s="227">
        <f>IFERROR(_xlfn.XLOOKUP($A11,'Raw Data'!$A:$A,'Raw Data'!BL:BL),"")</f>
        <v>126402.15999999338</v>
      </c>
      <c r="AB11" s="227">
        <f>IFERROR(_xlfn.XLOOKUP($A11,'Raw Data'!$A:$A,'Raw Data'!$H:$H),"")</f>
        <v>24.303100000000001</v>
      </c>
      <c r="AC11" s="145">
        <f>IFERROR(_xlfn.XLOOKUP($D11,'Modelling New'!$D:$D,'Modelling New'!$P:$P),"")</f>
        <v>6.6233333333333331</v>
      </c>
      <c r="AD11" s="227">
        <f>IFERROR(_xlfn.XLOOKUP($D11,'Modelling New'!$D:$D,'Modelling New'!$T:$T)*1000,"")</f>
        <v>120499.94015769019</v>
      </c>
      <c r="AE11" s="234">
        <f>IFERROR(_xlfn.XLOOKUP($D11,'Modelling New'!$D:$D,'Modelling New'!$O:$O),"")</f>
        <v>0.74859779740027077</v>
      </c>
      <c r="AF11" s="234">
        <f>IFERROR(_xlfn.XLOOKUP($D11,'Modelling New'!$D:$D,'Modelling New'!$W:$W),"")</f>
        <v>0.20659219769921358</v>
      </c>
      <c r="AG11" s="234">
        <f>IFERROR(_xlfn.XLOOKUP($D11,'Modelling New'!$D:$D,'Modelling New'!AE:AE),"")</f>
        <v>0.995</v>
      </c>
      <c r="AH11" s="234">
        <v>0.99750000000000005</v>
      </c>
      <c r="AI11" s="6"/>
      <c r="AJ11" s="6"/>
      <c r="AK11" s="6"/>
      <c r="AL11" s="6"/>
      <c r="AM11" s="6"/>
      <c r="AN11" s="231"/>
      <c r="AO11" s="234"/>
      <c r="AP11" s="234"/>
      <c r="AQ11" s="234"/>
      <c r="AR11" s="227">
        <f>IFERROR(_xlfn.XLOOKUP($D11,'Modelling New'!$D:$D,'Modelling New'!$N:$N),"")</f>
        <v>24.303100000000001</v>
      </c>
      <c r="AS11" s="227"/>
    </row>
    <row r="12" spans="1:45" x14ac:dyDescent="0.35">
      <c r="A12" s="226">
        <f t="shared" si="3"/>
        <v>45755</v>
      </c>
      <c r="B12" s="227">
        <f>YEAR(Daily_KPI[[#This Row],[Date]])+IF(MONTH(Daily_KPI[[#This Row],[Date]])&gt;=4,1,0)</f>
        <v>2026</v>
      </c>
      <c r="C12" s="6">
        <f>YEAR(Daily_KPI[[#This Row],[Date]])</f>
        <v>2025</v>
      </c>
      <c r="D12" s="228">
        <f>Daily_KPI[[#This Row],[Date]]-DAY(Daily_KPI[[#This Row],[Date]])+1</f>
        <v>45748</v>
      </c>
      <c r="E12" s="6">
        <f t="shared" si="0"/>
        <v>30</v>
      </c>
      <c r="F12" s="229">
        <f>IFERROR(_xlfn.XLOOKUP($A12,'Raw Data'!$A:$A,'Raw Data'!$BR:$BR),"")</f>
        <v>11.883333333333333</v>
      </c>
      <c r="G12" s="230">
        <f>IFERROR(_xlfn.XLOOKUP($A12,'Raw Data'!$A:$A,'Raw Data'!$AO:$AO),"")</f>
        <v>0</v>
      </c>
      <c r="H12" s="230"/>
      <c r="I12" s="230">
        <f>IFERROR(_xlfn.XLOOKUP($A12,'Raw Data'!$A:$A,'Raw Data'!$AR:$AR),"")</f>
        <v>6.8258023064250413</v>
      </c>
      <c r="J12" s="230"/>
      <c r="K12" s="230">
        <f>IFERROR(_xlfn.XLOOKUP($A12,'Raw Data'!$A:$A,'Raw Data'!$AV:$AV),"")</f>
        <v>0</v>
      </c>
      <c r="L12" s="230">
        <f>IFERROR(_xlfn.XLOOKUP($A12,'Raw Data'!$A:$A,'Raw Data'!$AW:$AW),"")</f>
        <v>0</v>
      </c>
      <c r="M12" s="230">
        <f>IFERROR(_xlfn.XLOOKUP($A12,'Raw Data'!$A:$A,'Raw Data'!$AX:$AX),"")</f>
        <v>0</v>
      </c>
      <c r="N12" s="230">
        <f>IFERROR(_xlfn.XLOOKUP($A12,'Raw Data'!$A:$A,'Raw Data'!$AY:$AY),"")</f>
        <v>0</v>
      </c>
      <c r="O12" s="231">
        <f>IFERROR(1-(SUMIF('Plant BD'!$B:$B,A12,'Plant BD'!$AE:$AE)/(AA12+SUMIF('Plant BD'!$B:$B,A12,'Plant BD'!$AE:$AE))),"")</f>
        <v>1</v>
      </c>
      <c r="P12" s="231"/>
      <c r="Q12" s="232"/>
      <c r="R12" s="231">
        <f>IFERROR(1-(SUMIF('Grid BD'!$B:$B,$A12,'Grid BD'!$AD:$AD)/($AA12+SUMIF('Grid BD'!$B:$B,$A12,'Grid BD'!AD:AD))),"")</f>
        <v>1</v>
      </c>
      <c r="S12" s="6"/>
      <c r="T12" s="232"/>
      <c r="U12" s="233">
        <f t="shared" si="1"/>
        <v>0.74961270878836639</v>
      </c>
      <c r="V12" s="233"/>
      <c r="W12" s="234">
        <f t="shared" si="2"/>
        <v>0.21319617319054809</v>
      </c>
      <c r="X12" s="227">
        <f>IFERROR(_xlfn.XLOOKUP($A12,'Raw Data'!$A:$A,'Raw Data'!$BA:$BA),"")</f>
        <v>126836</v>
      </c>
      <c r="Y12" s="227">
        <f>IFERROR(_xlfn.XLOOKUP($A12,'Raw Data'!$A:$A,'Raw Data'!BJ:BJ),"")</f>
        <v>125388.02000001306</v>
      </c>
      <c r="Z12" s="227">
        <f>IFERROR(_xlfn.XLOOKUP($A12,'Raw Data'!$A:$A,'Raw Data'!BK:BK),"")</f>
        <v>1036.1500000000206</v>
      </c>
      <c r="AA12" s="227">
        <f>IFERROR(_xlfn.XLOOKUP($A12,'Raw Data'!$A:$A,'Raw Data'!BL:BL),"")</f>
        <v>124351.87000001303</v>
      </c>
      <c r="AB12" s="227">
        <f>IFERROR(_xlfn.XLOOKUP($A12,'Raw Data'!$A:$A,'Raw Data'!$H:$H),"")</f>
        <v>24.303100000000001</v>
      </c>
      <c r="AC12" s="145">
        <f>IFERROR(_xlfn.XLOOKUP($D12,'Modelling New'!$D:$D,'Modelling New'!$P:$P),"")</f>
        <v>6.6233333333333331</v>
      </c>
      <c r="AD12" s="227">
        <f>IFERROR(_xlfn.XLOOKUP($D12,'Modelling New'!$D:$D,'Modelling New'!$T:$T)*1000,"")</f>
        <v>120499.94015769019</v>
      </c>
      <c r="AE12" s="234">
        <f>IFERROR(_xlfn.XLOOKUP($D12,'Modelling New'!$D:$D,'Modelling New'!$O:$O),"")</f>
        <v>0.74859779740027077</v>
      </c>
      <c r="AF12" s="234">
        <f>IFERROR(_xlfn.XLOOKUP($D12,'Modelling New'!$D:$D,'Modelling New'!$W:$W),"")</f>
        <v>0.20659219769921358</v>
      </c>
      <c r="AG12" s="234">
        <f>IFERROR(_xlfn.XLOOKUP($D12,'Modelling New'!$D:$D,'Modelling New'!AE:AE),"")</f>
        <v>0.995</v>
      </c>
      <c r="AH12" s="234">
        <v>0.99750000000000005</v>
      </c>
      <c r="AI12" s="6"/>
      <c r="AJ12" s="6"/>
      <c r="AK12" s="6"/>
      <c r="AL12" s="6"/>
      <c r="AM12" s="6"/>
      <c r="AN12" s="231"/>
      <c r="AO12" s="234"/>
      <c r="AP12" s="234"/>
      <c r="AQ12" s="234"/>
      <c r="AR12" s="227">
        <f>IFERROR(_xlfn.XLOOKUP($D12,'Modelling New'!$D:$D,'Modelling New'!$N:$N),"")</f>
        <v>24.303100000000001</v>
      </c>
      <c r="AS12" s="227"/>
    </row>
    <row r="13" spans="1:45" x14ac:dyDescent="0.35">
      <c r="A13" s="226">
        <f t="shared" si="3"/>
        <v>45756</v>
      </c>
      <c r="B13" s="227">
        <f>YEAR(Daily_KPI[[#This Row],[Date]])+IF(MONTH(Daily_KPI[[#This Row],[Date]])&gt;=4,1,0)</f>
        <v>2026</v>
      </c>
      <c r="C13" s="6">
        <f>YEAR(Daily_KPI[[#This Row],[Date]])</f>
        <v>2025</v>
      </c>
      <c r="D13" s="228">
        <f>Daily_KPI[[#This Row],[Date]]-DAY(Daily_KPI[[#This Row],[Date]])+1</f>
        <v>45748</v>
      </c>
      <c r="E13" s="6">
        <f t="shared" si="0"/>
        <v>30</v>
      </c>
      <c r="F13" s="229">
        <f>IFERROR(_xlfn.XLOOKUP($A13,'Raw Data'!$A:$A,'Raw Data'!$BR:$BR),"")</f>
        <v>11.916666666666668</v>
      </c>
      <c r="G13" s="230">
        <f>IFERROR(_xlfn.XLOOKUP($A13,'Raw Data'!$A:$A,'Raw Data'!$AO:$AO),"")</f>
        <v>0</v>
      </c>
      <c r="H13" s="230"/>
      <c r="I13" s="230">
        <f>IFERROR(_xlfn.XLOOKUP($A13,'Raw Data'!$A:$A,'Raw Data'!$AR:$AR),"")</f>
        <v>6.6833014688220755</v>
      </c>
      <c r="J13" s="230"/>
      <c r="K13" s="230">
        <f>IFERROR(_xlfn.XLOOKUP($A13,'Raw Data'!$A:$A,'Raw Data'!$AV:$AV),"")</f>
        <v>0</v>
      </c>
      <c r="L13" s="230">
        <f>IFERROR(_xlfn.XLOOKUP($A13,'Raw Data'!$A:$A,'Raw Data'!$AW:$AW),"")</f>
        <v>0</v>
      </c>
      <c r="M13" s="230">
        <f>IFERROR(_xlfn.XLOOKUP($A13,'Raw Data'!$A:$A,'Raw Data'!$AX:$AX),"")</f>
        <v>0</v>
      </c>
      <c r="N13" s="230">
        <f>IFERROR(_xlfn.XLOOKUP($A13,'Raw Data'!$A:$A,'Raw Data'!$AY:$AY),"")</f>
        <v>0</v>
      </c>
      <c r="O13" s="231">
        <f>IFERROR(1-(SUMIF('Plant BD'!$B:$B,A13,'Plant BD'!$AE:$AE)/(AA13+SUMIF('Plant BD'!$B:$B,A13,'Plant BD'!$AE:$AE))),"")</f>
        <v>1</v>
      </c>
      <c r="P13" s="231"/>
      <c r="Q13" s="232"/>
      <c r="R13" s="231">
        <f>IFERROR(1-(SUMIF('Grid BD'!$B:$B,$A13,'Grid BD'!$AD:$AD)/($AA13+SUMIF('Grid BD'!$B:$B,$A13,'Grid BD'!AD:AD))),"")</f>
        <v>1</v>
      </c>
      <c r="S13" s="6"/>
      <c r="T13" s="232"/>
      <c r="U13" s="233">
        <f t="shared" si="1"/>
        <v>0.74128835811173732</v>
      </c>
      <c r="V13" s="233"/>
      <c r="W13" s="234">
        <f t="shared" si="2"/>
        <v>0.20642723219120326</v>
      </c>
      <c r="X13" s="227">
        <f>IFERROR(_xlfn.XLOOKUP($A13,'Raw Data'!$A:$A,'Raw Data'!$BA:$BA),"")</f>
        <v>122236</v>
      </c>
      <c r="Y13" s="227">
        <f>IFERROR(_xlfn.XLOOKUP($A13,'Raw Data'!$A:$A,'Raw Data'!BJ:BJ),"")</f>
        <v>121028.96999998484</v>
      </c>
      <c r="Z13" s="227">
        <f>IFERROR(_xlfn.XLOOKUP($A13,'Raw Data'!$A:$A,'Raw Data'!BK:BK),"")</f>
        <v>625.25000000005093</v>
      </c>
      <c r="AA13" s="227">
        <f>IFERROR(_xlfn.XLOOKUP($A13,'Raw Data'!$A:$A,'Raw Data'!BL:BL),"")</f>
        <v>120403.71999998478</v>
      </c>
      <c r="AB13" s="227">
        <f>IFERROR(_xlfn.XLOOKUP($A13,'Raw Data'!$A:$A,'Raw Data'!$H:$H),"")</f>
        <v>24.303100000000001</v>
      </c>
      <c r="AC13" s="145">
        <f>IFERROR(_xlfn.XLOOKUP($D13,'Modelling New'!$D:$D,'Modelling New'!$P:$P),"")</f>
        <v>6.6233333333333331</v>
      </c>
      <c r="AD13" s="227">
        <f>IFERROR(_xlfn.XLOOKUP($D13,'Modelling New'!$D:$D,'Modelling New'!$T:$T)*1000,"")</f>
        <v>120499.94015769019</v>
      </c>
      <c r="AE13" s="234">
        <f>IFERROR(_xlfn.XLOOKUP($D13,'Modelling New'!$D:$D,'Modelling New'!$O:$O),"")</f>
        <v>0.74859779740027077</v>
      </c>
      <c r="AF13" s="234">
        <f>IFERROR(_xlfn.XLOOKUP($D13,'Modelling New'!$D:$D,'Modelling New'!$W:$W),"")</f>
        <v>0.20659219769921358</v>
      </c>
      <c r="AG13" s="234">
        <f>IFERROR(_xlfn.XLOOKUP($D13,'Modelling New'!$D:$D,'Modelling New'!AE:AE),"")</f>
        <v>0.995</v>
      </c>
      <c r="AH13" s="234">
        <v>0.99750000000000005</v>
      </c>
      <c r="AI13" s="6"/>
      <c r="AJ13" s="6"/>
      <c r="AK13" s="6"/>
      <c r="AL13" s="6"/>
      <c r="AM13" s="6"/>
      <c r="AN13" s="231"/>
      <c r="AO13" s="234"/>
      <c r="AP13" s="234"/>
      <c r="AQ13" s="234"/>
      <c r="AR13" s="227">
        <f>IFERROR(_xlfn.XLOOKUP($D13,'Modelling New'!$D:$D,'Modelling New'!$N:$N),"")</f>
        <v>24.303100000000001</v>
      </c>
      <c r="AS13" s="227"/>
    </row>
    <row r="14" spans="1:45" x14ac:dyDescent="0.35">
      <c r="A14" s="226">
        <f t="shared" si="3"/>
        <v>45757</v>
      </c>
      <c r="B14" s="227">
        <f>YEAR(Daily_KPI[[#This Row],[Date]])+IF(MONTH(Daily_KPI[[#This Row],[Date]])&gt;=4,1,0)</f>
        <v>2026</v>
      </c>
      <c r="C14" s="6">
        <f>YEAR(Daily_KPI[[#This Row],[Date]])</f>
        <v>2025</v>
      </c>
      <c r="D14" s="228">
        <f>Daily_KPI[[#This Row],[Date]]-DAY(Daily_KPI[[#This Row],[Date]])+1</f>
        <v>45748</v>
      </c>
      <c r="E14" s="6">
        <f t="shared" si="0"/>
        <v>30</v>
      </c>
      <c r="F14" s="229">
        <f>IFERROR(_xlfn.XLOOKUP($A14,'Raw Data'!$A:$A,'Raw Data'!$BR:$BR),"")</f>
        <v>11.866666666666667</v>
      </c>
      <c r="G14" s="230">
        <f>IFERROR(_xlfn.XLOOKUP($A14,'Raw Data'!$A:$A,'Raw Data'!$AO:$AO),"")</f>
        <v>0</v>
      </c>
      <c r="H14" s="230"/>
      <c r="I14" s="230">
        <f>IFERROR(_xlfn.XLOOKUP($A14,'Raw Data'!$A:$A,'Raw Data'!$AR:$AR),"")</f>
        <v>6.3952928336079076</v>
      </c>
      <c r="J14" s="230"/>
      <c r="K14" s="230">
        <f>IFERROR(_xlfn.XLOOKUP($A14,'Raw Data'!$A:$A,'Raw Data'!$AV:$AV),"")</f>
        <v>0</v>
      </c>
      <c r="L14" s="230">
        <f>IFERROR(_xlfn.XLOOKUP($A14,'Raw Data'!$A:$A,'Raw Data'!$AW:$AW),"")</f>
        <v>0</v>
      </c>
      <c r="M14" s="230">
        <f>IFERROR(_xlfn.XLOOKUP($A14,'Raw Data'!$A:$A,'Raw Data'!$AX:$AX),"")</f>
        <v>0</v>
      </c>
      <c r="N14" s="230">
        <f>IFERROR(_xlfn.XLOOKUP($A14,'Raw Data'!$A:$A,'Raw Data'!$AY:$AY),"")</f>
        <v>0</v>
      </c>
      <c r="O14" s="231">
        <f>IFERROR(1-(SUMIF('Plant BD'!$B:$B,A14,'Plant BD'!$AE:$AE)/(AA14+SUMIF('Plant BD'!$B:$B,A14,'Plant BD'!$AE:$AE))),"")</f>
        <v>1</v>
      </c>
      <c r="P14" s="231"/>
      <c r="Q14" s="232"/>
      <c r="R14" s="231">
        <f>IFERROR(1-(SUMIF('Grid BD'!$B:$B,$A14,'Grid BD'!$AD:$AD)/($AA14+SUMIF('Grid BD'!$B:$B,$A14,'Grid BD'!AD:AD))),"")</f>
        <v>1</v>
      </c>
      <c r="S14" s="6"/>
      <c r="T14" s="232"/>
      <c r="U14" s="233">
        <f t="shared" si="1"/>
        <v>0.76035955914662723</v>
      </c>
      <c r="V14" s="233"/>
      <c r="W14" s="234">
        <f t="shared" si="2"/>
        <v>0.20261341831565388</v>
      </c>
      <c r="X14" s="227">
        <f>IFERROR(_xlfn.XLOOKUP($A14,'Raw Data'!$A:$A,'Raw Data'!$BA:$BA),"")</f>
        <v>120303</v>
      </c>
      <c r="Y14" s="227">
        <f>IFERROR(_xlfn.XLOOKUP($A14,'Raw Data'!$A:$A,'Raw Data'!BJ:BJ),"")</f>
        <v>119078.44000001205</v>
      </c>
      <c r="Z14" s="227">
        <f>IFERROR(_xlfn.XLOOKUP($A14,'Raw Data'!$A:$A,'Raw Data'!BK:BK),"")</f>
        <v>899.2200000000139</v>
      </c>
      <c r="AA14" s="227">
        <f>IFERROR(_xlfn.XLOOKUP($A14,'Raw Data'!$A:$A,'Raw Data'!BL:BL),"")</f>
        <v>118179.22000001204</v>
      </c>
      <c r="AB14" s="227">
        <f>IFERROR(_xlfn.XLOOKUP($A14,'Raw Data'!$A:$A,'Raw Data'!$H:$H),"")</f>
        <v>24.303100000000001</v>
      </c>
      <c r="AC14" s="145">
        <f>IFERROR(_xlfn.XLOOKUP($D14,'Modelling New'!$D:$D,'Modelling New'!$P:$P),"")</f>
        <v>6.6233333333333331</v>
      </c>
      <c r="AD14" s="227">
        <f>IFERROR(_xlfn.XLOOKUP($D14,'Modelling New'!$D:$D,'Modelling New'!$T:$T)*1000,"")</f>
        <v>120499.94015769019</v>
      </c>
      <c r="AE14" s="234">
        <f>IFERROR(_xlfn.XLOOKUP($D14,'Modelling New'!$D:$D,'Modelling New'!$O:$O),"")</f>
        <v>0.74859779740027077</v>
      </c>
      <c r="AF14" s="234">
        <f>IFERROR(_xlfn.XLOOKUP($D14,'Modelling New'!$D:$D,'Modelling New'!$W:$W),"")</f>
        <v>0.20659219769921358</v>
      </c>
      <c r="AG14" s="234">
        <f>IFERROR(_xlfn.XLOOKUP($D14,'Modelling New'!$D:$D,'Modelling New'!AE:AE),"")</f>
        <v>0.995</v>
      </c>
      <c r="AH14" s="234">
        <v>0.99750000000000005</v>
      </c>
      <c r="AI14" s="6"/>
      <c r="AJ14" s="6"/>
      <c r="AK14" s="6"/>
      <c r="AL14" s="6"/>
      <c r="AM14" s="6"/>
      <c r="AN14" s="231"/>
      <c r="AO14" s="234"/>
      <c r="AP14" s="234"/>
      <c r="AQ14" s="234"/>
      <c r="AR14" s="227">
        <f>IFERROR(_xlfn.XLOOKUP($D14,'Modelling New'!$D:$D,'Modelling New'!$N:$N),"")</f>
        <v>24.303100000000001</v>
      </c>
      <c r="AS14" s="227"/>
    </row>
    <row r="15" spans="1:45" x14ac:dyDescent="0.35">
      <c r="A15" s="226">
        <f t="shared" si="3"/>
        <v>45758</v>
      </c>
      <c r="B15" s="227">
        <f>YEAR(Daily_KPI[[#This Row],[Date]])+IF(MONTH(Daily_KPI[[#This Row],[Date]])&gt;=4,1,0)</f>
        <v>2026</v>
      </c>
      <c r="C15" s="6">
        <f>YEAR(Daily_KPI[[#This Row],[Date]])</f>
        <v>2025</v>
      </c>
      <c r="D15" s="228">
        <f>Daily_KPI[[#This Row],[Date]]-DAY(Daily_KPI[[#This Row],[Date]])+1</f>
        <v>45748</v>
      </c>
      <c r="E15" s="6">
        <f t="shared" si="0"/>
        <v>30</v>
      </c>
      <c r="F15" s="229">
        <f>IFERROR(_xlfn.XLOOKUP($A15,'Raw Data'!$A:$A,'Raw Data'!$BR:$BR),"")</f>
        <v>11.933333333333335</v>
      </c>
      <c r="G15" s="230">
        <f>IFERROR(_xlfn.XLOOKUP($A15,'Raw Data'!$A:$A,'Raw Data'!$AO:$AO),"")</f>
        <v>0</v>
      </c>
      <c r="H15" s="230"/>
      <c r="I15" s="230">
        <f>IFERROR(_xlfn.XLOOKUP($A15,'Raw Data'!$A:$A,'Raw Data'!$AR:$AR),"")</f>
        <v>6.6715741350906086</v>
      </c>
      <c r="J15" s="230"/>
      <c r="K15" s="230">
        <f>IFERROR(_xlfn.XLOOKUP($A15,'Raw Data'!$A:$A,'Raw Data'!$AV:$AV),"")</f>
        <v>0</v>
      </c>
      <c r="L15" s="230">
        <f>IFERROR(_xlfn.XLOOKUP($A15,'Raw Data'!$A:$A,'Raw Data'!$AW:$AW),"")</f>
        <v>0</v>
      </c>
      <c r="M15" s="230">
        <f>IFERROR(_xlfn.XLOOKUP($A15,'Raw Data'!$A:$A,'Raw Data'!$AX:$AX),"")</f>
        <v>0</v>
      </c>
      <c r="N15" s="230">
        <f>IFERROR(_xlfn.XLOOKUP($A15,'Raw Data'!$A:$A,'Raw Data'!$AY:$AY),"")</f>
        <v>0</v>
      </c>
      <c r="O15" s="231">
        <f>IFERROR(1-(SUMIF('Plant BD'!$B:$B,A15,'Plant BD'!$AE:$AE)/(AA15+SUMIF('Plant BD'!$B:$B,A15,'Plant BD'!$AE:$AE))),"")</f>
        <v>1</v>
      </c>
      <c r="P15" s="231"/>
      <c r="Q15" s="232"/>
      <c r="R15" s="231">
        <f>IFERROR(1-(SUMIF('Grid BD'!$B:$B,$A15,'Grid BD'!$AD:$AD)/($AA15+SUMIF('Grid BD'!$B:$B,$A15,'Grid BD'!AD:AD))),"")</f>
        <v>1</v>
      </c>
      <c r="S15" s="6"/>
      <c r="T15" s="232"/>
      <c r="U15" s="233">
        <f t="shared" si="1"/>
        <v>0.74229529705616071</v>
      </c>
      <c r="V15" s="233"/>
      <c r="W15" s="234">
        <f t="shared" si="2"/>
        <v>0.20634492101830343</v>
      </c>
      <c r="X15" s="227">
        <f>IFERROR(_xlfn.XLOOKUP($A15,'Raw Data'!$A:$A,'Raw Data'!$BA:$BA),"")</f>
        <v>122443</v>
      </c>
      <c r="Y15" s="227">
        <f>IFERROR(_xlfn.XLOOKUP($A15,'Raw Data'!$A:$A,'Raw Data'!BJ:BJ),"")</f>
        <v>121199.22999999835</v>
      </c>
      <c r="Z15" s="227">
        <f>IFERROR(_xlfn.XLOOKUP($A15,'Raw Data'!$A:$A,'Raw Data'!BK:BK),"")</f>
        <v>843.52000000001226</v>
      </c>
      <c r="AA15" s="227">
        <f>IFERROR(_xlfn.XLOOKUP($A15,'Raw Data'!$A:$A,'Raw Data'!BL:BL),"")</f>
        <v>120355.70999999833</v>
      </c>
      <c r="AB15" s="227">
        <f>IFERROR(_xlfn.XLOOKUP($A15,'Raw Data'!$A:$A,'Raw Data'!$H:$H),"")</f>
        <v>24.303100000000001</v>
      </c>
      <c r="AC15" s="145">
        <f>IFERROR(_xlfn.XLOOKUP($D15,'Modelling New'!$D:$D,'Modelling New'!$P:$P),"")</f>
        <v>6.6233333333333331</v>
      </c>
      <c r="AD15" s="227">
        <f>IFERROR(_xlfn.XLOOKUP($D15,'Modelling New'!$D:$D,'Modelling New'!$T:$T)*1000,"")</f>
        <v>120499.94015769019</v>
      </c>
      <c r="AE15" s="234">
        <f>IFERROR(_xlfn.XLOOKUP($D15,'Modelling New'!$D:$D,'Modelling New'!$O:$O),"")</f>
        <v>0.74859779740027077</v>
      </c>
      <c r="AF15" s="234">
        <f>IFERROR(_xlfn.XLOOKUP($D15,'Modelling New'!$D:$D,'Modelling New'!$W:$W),"")</f>
        <v>0.20659219769921358</v>
      </c>
      <c r="AG15" s="234">
        <f>IFERROR(_xlfn.XLOOKUP($D15,'Modelling New'!$D:$D,'Modelling New'!AE:AE),"")</f>
        <v>0.995</v>
      </c>
      <c r="AH15" s="234">
        <v>0.99750000000000005</v>
      </c>
      <c r="AI15" s="6"/>
      <c r="AJ15" s="6"/>
      <c r="AK15" s="6"/>
      <c r="AL15" s="6"/>
      <c r="AM15" s="6"/>
      <c r="AN15" s="231"/>
      <c r="AO15" s="234"/>
      <c r="AP15" s="234"/>
      <c r="AQ15" s="234"/>
      <c r="AR15" s="227">
        <f>IFERROR(_xlfn.XLOOKUP($D15,'Modelling New'!$D:$D,'Modelling New'!$N:$N),"")</f>
        <v>24.303100000000001</v>
      </c>
      <c r="AS15" s="227"/>
    </row>
    <row r="16" spans="1:45" x14ac:dyDescent="0.35">
      <c r="A16" s="226">
        <f t="shared" si="3"/>
        <v>45759</v>
      </c>
      <c r="B16" s="227">
        <f>YEAR(Daily_KPI[[#This Row],[Date]])+IF(MONTH(Daily_KPI[[#This Row],[Date]])&gt;=4,1,0)</f>
        <v>2026</v>
      </c>
      <c r="C16" s="6">
        <f>YEAR(Daily_KPI[[#This Row],[Date]])</f>
        <v>2025</v>
      </c>
      <c r="D16" s="228">
        <f>Daily_KPI[[#This Row],[Date]]-DAY(Daily_KPI[[#This Row],[Date]])+1</f>
        <v>45748</v>
      </c>
      <c r="E16" s="6">
        <f t="shared" si="0"/>
        <v>30</v>
      </c>
      <c r="F16" s="229">
        <f>IFERROR(_xlfn.XLOOKUP($A16,'Raw Data'!$A:$A,'Raw Data'!$BR:$BR),"")</f>
        <v>11.950000000000001</v>
      </c>
      <c r="G16" s="230">
        <f>IFERROR(_xlfn.XLOOKUP($A16,'Raw Data'!$A:$A,'Raw Data'!$AO:$AO),"")</f>
        <v>0</v>
      </c>
      <c r="H16" s="230"/>
      <c r="I16" s="230">
        <f>IFERROR(_xlfn.XLOOKUP($A16,'Raw Data'!$A:$A,'Raw Data'!$AR:$AR),"")</f>
        <v>6.8142129324546943</v>
      </c>
      <c r="J16" s="230"/>
      <c r="K16" s="230">
        <f>IFERROR(_xlfn.XLOOKUP($A16,'Raw Data'!$A:$A,'Raw Data'!$AV:$AV),"")</f>
        <v>0</v>
      </c>
      <c r="L16" s="230">
        <f>IFERROR(_xlfn.XLOOKUP($A16,'Raw Data'!$A:$A,'Raw Data'!$AW:$AW),"")</f>
        <v>0</v>
      </c>
      <c r="M16" s="230">
        <f>IFERROR(_xlfn.XLOOKUP($A16,'Raw Data'!$A:$A,'Raw Data'!$AX:$AX),"")</f>
        <v>0</v>
      </c>
      <c r="N16" s="230">
        <f>IFERROR(_xlfn.XLOOKUP($A16,'Raw Data'!$A:$A,'Raw Data'!$AY:$AY),"")</f>
        <v>0</v>
      </c>
      <c r="O16" s="231">
        <f>IFERROR(1-(SUMIF('Plant BD'!$B:$B,A16,'Plant BD'!$AE:$AE)/(AA16+SUMIF('Plant BD'!$B:$B,A16,'Plant BD'!$AE:$AE))),"")</f>
        <v>1</v>
      </c>
      <c r="P16" s="231"/>
      <c r="Q16" s="232"/>
      <c r="R16" s="231">
        <f>IFERROR(1-(SUMIF('Grid BD'!$B:$B,$A16,'Grid BD'!$AD:$AD)/($AA16+SUMIF('Grid BD'!$B:$B,$A16,'Grid BD'!AD:AD))),"")</f>
        <v>1</v>
      </c>
      <c r="S16" s="6"/>
      <c r="T16" s="232"/>
      <c r="U16" s="233">
        <f t="shared" si="1"/>
        <v>0.76034981282940239</v>
      </c>
      <c r="V16" s="233"/>
      <c r="W16" s="234">
        <f t="shared" si="2"/>
        <v>0.21588273032381747</v>
      </c>
      <c r="X16" s="227">
        <f>IFERROR(_xlfn.XLOOKUP($A16,'Raw Data'!$A:$A,'Raw Data'!$BA:$BA),"")</f>
        <v>128279</v>
      </c>
      <c r="Y16" s="227">
        <f>IFERROR(_xlfn.XLOOKUP($A16,'Raw Data'!$A:$A,'Raw Data'!BJ:BJ),"")</f>
        <v>126860.12999998638</v>
      </c>
      <c r="Z16" s="227">
        <f>IFERROR(_xlfn.XLOOKUP($A16,'Raw Data'!$A:$A,'Raw Data'!BK:BK),"")</f>
        <v>941.25999999994292</v>
      </c>
      <c r="AA16" s="227">
        <f>IFERROR(_xlfn.XLOOKUP($A16,'Raw Data'!$A:$A,'Raw Data'!BL:BL),"")</f>
        <v>125918.86999998645</v>
      </c>
      <c r="AB16" s="227">
        <f>IFERROR(_xlfn.XLOOKUP($A16,'Raw Data'!$A:$A,'Raw Data'!$H:$H),"")</f>
        <v>24.303100000000001</v>
      </c>
      <c r="AC16" s="145">
        <f>IFERROR(_xlfn.XLOOKUP($D16,'Modelling New'!$D:$D,'Modelling New'!$P:$P),"")</f>
        <v>6.6233333333333331</v>
      </c>
      <c r="AD16" s="227">
        <f>IFERROR(_xlfn.XLOOKUP($D16,'Modelling New'!$D:$D,'Modelling New'!$T:$T)*1000,"")</f>
        <v>120499.94015769019</v>
      </c>
      <c r="AE16" s="234">
        <f>IFERROR(_xlfn.XLOOKUP($D16,'Modelling New'!$D:$D,'Modelling New'!$O:$O),"")</f>
        <v>0.74859779740027077</v>
      </c>
      <c r="AF16" s="234">
        <f>IFERROR(_xlfn.XLOOKUP($D16,'Modelling New'!$D:$D,'Modelling New'!$W:$W),"")</f>
        <v>0.20659219769921358</v>
      </c>
      <c r="AG16" s="234">
        <f>IFERROR(_xlfn.XLOOKUP($D16,'Modelling New'!$D:$D,'Modelling New'!AE:AE),"")</f>
        <v>0.995</v>
      </c>
      <c r="AH16" s="234">
        <v>0.99750000000000005</v>
      </c>
      <c r="AI16" s="6"/>
      <c r="AJ16" s="6"/>
      <c r="AK16" s="6"/>
      <c r="AL16" s="6"/>
      <c r="AM16" s="6"/>
      <c r="AN16" s="231"/>
      <c r="AO16" s="234"/>
      <c r="AP16" s="234"/>
      <c r="AQ16" s="234"/>
      <c r="AR16" s="227">
        <f>IFERROR(_xlfn.XLOOKUP($D16,'Modelling New'!$D:$D,'Modelling New'!$N:$N),"")</f>
        <v>24.303100000000001</v>
      </c>
      <c r="AS16" s="227"/>
    </row>
    <row r="17" spans="1:45" x14ac:dyDescent="0.35">
      <c r="A17" s="226">
        <f t="shared" si="3"/>
        <v>45760</v>
      </c>
      <c r="B17" s="227">
        <f>YEAR(Daily_KPI[[#This Row],[Date]])+IF(MONTH(Daily_KPI[[#This Row],[Date]])&gt;=4,1,0)</f>
        <v>2026</v>
      </c>
      <c r="C17" s="6">
        <f>YEAR(Daily_KPI[[#This Row],[Date]])</f>
        <v>2025</v>
      </c>
      <c r="D17" s="228">
        <f>Daily_KPI[[#This Row],[Date]]-DAY(Daily_KPI[[#This Row],[Date]])+1</f>
        <v>45748</v>
      </c>
      <c r="E17" s="6">
        <f t="shared" si="0"/>
        <v>30</v>
      </c>
      <c r="F17" s="229">
        <f>IFERROR(_xlfn.XLOOKUP($A17,'Raw Data'!$A:$A,'Raw Data'!$BR:$BR),"")</f>
        <v>11.966666666666669</v>
      </c>
      <c r="G17" s="230">
        <f>IFERROR(_xlfn.XLOOKUP($A17,'Raw Data'!$A:$A,'Raw Data'!$AO:$AO),"")</f>
        <v>0</v>
      </c>
      <c r="H17" s="230"/>
      <c r="I17" s="230">
        <f>IFERROR(_xlfn.XLOOKUP($A17,'Raw Data'!$A:$A,'Raw Data'!$AR:$AR),"")</f>
        <v>6.887580230642504</v>
      </c>
      <c r="J17" s="230"/>
      <c r="K17" s="230">
        <f>IFERROR(_xlfn.XLOOKUP($A17,'Raw Data'!$A:$A,'Raw Data'!$AV:$AV),"")</f>
        <v>0</v>
      </c>
      <c r="L17" s="230">
        <f>IFERROR(_xlfn.XLOOKUP($A17,'Raw Data'!$A:$A,'Raw Data'!$AW:$AW),"")</f>
        <v>0</v>
      </c>
      <c r="M17" s="230">
        <f>IFERROR(_xlfn.XLOOKUP($A17,'Raw Data'!$A:$A,'Raw Data'!$AX:$AX),"")</f>
        <v>0</v>
      </c>
      <c r="N17" s="230">
        <f>IFERROR(_xlfn.XLOOKUP($A17,'Raw Data'!$A:$A,'Raw Data'!$AY:$AY),"")</f>
        <v>0</v>
      </c>
      <c r="O17" s="231">
        <f>IFERROR(1-(SUMIF('Plant BD'!$B:$B,A17,'Plant BD'!$AE:$AE)/(AA17+SUMIF('Plant BD'!$B:$B,A17,'Plant BD'!$AE:$AE))),"")</f>
        <v>0.95827513970889833</v>
      </c>
      <c r="P17" s="231"/>
      <c r="Q17" s="232"/>
      <c r="R17" s="231">
        <f>IFERROR(1-(SUMIF('Grid BD'!$B:$B,$A17,'Grid BD'!$AD:$AD)/($AA17+SUMIF('Grid BD'!$B:$B,$A17,'Grid BD'!AD:AD))),"")</f>
        <v>0.73835763127918008</v>
      </c>
      <c r="S17" s="6"/>
      <c r="T17" s="232"/>
      <c r="U17" s="233">
        <f t="shared" si="1"/>
        <v>0.54089756142618695</v>
      </c>
      <c r="V17" s="233"/>
      <c r="W17" s="234">
        <f t="shared" si="2"/>
        <v>0.1552281396200727</v>
      </c>
      <c r="X17" s="227">
        <f>IFERROR(_xlfn.XLOOKUP($A17,'Raw Data'!$A:$A,'Raw Data'!$BA:$BA),"")</f>
        <v>92166</v>
      </c>
      <c r="Y17" s="227">
        <f>IFERROR(_xlfn.XLOOKUP($A17,'Raw Data'!$A:$A,'Raw Data'!BJ:BJ),"")</f>
        <v>91351.40000001411</v>
      </c>
      <c r="Z17" s="227">
        <f>IFERROR(_xlfn.XLOOKUP($A17,'Raw Data'!$A:$A,'Raw Data'!BK:BK),"")</f>
        <v>810.79999999997199</v>
      </c>
      <c r="AA17" s="227">
        <f>IFERROR(_xlfn.XLOOKUP($A17,'Raw Data'!$A:$A,'Raw Data'!BL:BL),"")</f>
        <v>90540.600000014136</v>
      </c>
      <c r="AB17" s="227">
        <f>IFERROR(_xlfn.XLOOKUP($A17,'Raw Data'!$A:$A,'Raw Data'!$H:$H),"")</f>
        <v>24.303100000000001</v>
      </c>
      <c r="AC17" s="145">
        <f>IFERROR(_xlfn.XLOOKUP($D17,'Modelling New'!$D:$D,'Modelling New'!$P:$P),"")</f>
        <v>6.6233333333333331</v>
      </c>
      <c r="AD17" s="227">
        <f>IFERROR(_xlfn.XLOOKUP($D17,'Modelling New'!$D:$D,'Modelling New'!$T:$T)*1000,"")</f>
        <v>120499.94015769019</v>
      </c>
      <c r="AE17" s="234">
        <f>IFERROR(_xlfn.XLOOKUP($D17,'Modelling New'!$D:$D,'Modelling New'!$O:$O),"")</f>
        <v>0.74859779740027077</v>
      </c>
      <c r="AF17" s="234">
        <f>IFERROR(_xlfn.XLOOKUP($D17,'Modelling New'!$D:$D,'Modelling New'!$W:$W),"")</f>
        <v>0.20659219769921358</v>
      </c>
      <c r="AG17" s="234">
        <f>IFERROR(_xlfn.XLOOKUP($D17,'Modelling New'!$D:$D,'Modelling New'!AE:AE),"")</f>
        <v>0.995</v>
      </c>
      <c r="AH17" s="234">
        <v>0.99750000000000005</v>
      </c>
      <c r="AI17" s="6"/>
      <c r="AJ17" s="6"/>
      <c r="AK17" s="6"/>
      <c r="AL17" s="6"/>
      <c r="AM17" s="6"/>
      <c r="AN17" s="231"/>
      <c r="AO17" s="234"/>
      <c r="AP17" s="234"/>
      <c r="AQ17" s="234"/>
      <c r="AR17" s="227">
        <f>IFERROR(_xlfn.XLOOKUP($D17,'Modelling New'!$D:$D,'Modelling New'!$N:$N),"")</f>
        <v>24.303100000000001</v>
      </c>
      <c r="AS17" s="227"/>
    </row>
    <row r="18" spans="1:45" x14ac:dyDescent="0.35">
      <c r="A18" s="226">
        <f t="shared" si="3"/>
        <v>45761</v>
      </c>
      <c r="B18" s="227">
        <f>YEAR(Daily_KPI[[#This Row],[Date]])+IF(MONTH(Daily_KPI[[#This Row],[Date]])&gt;=4,1,0)</f>
        <v>2026</v>
      </c>
      <c r="C18" s="6">
        <f>YEAR(Daily_KPI[[#This Row],[Date]])</f>
        <v>2025</v>
      </c>
      <c r="D18" s="228">
        <f>Daily_KPI[[#This Row],[Date]]-DAY(Daily_KPI[[#This Row],[Date]])+1</f>
        <v>45748</v>
      </c>
      <c r="E18" s="6">
        <f t="shared" si="0"/>
        <v>30</v>
      </c>
      <c r="F18" s="229">
        <f>IFERROR(_xlfn.XLOOKUP($A18,'Raw Data'!$A:$A,'Raw Data'!$BR:$BR),"")</f>
        <v>11.983333333333334</v>
      </c>
      <c r="G18" s="230">
        <f>IFERROR(_xlfn.XLOOKUP($A18,'Raw Data'!$A:$A,'Raw Data'!$AO:$AO),"")</f>
        <v>0</v>
      </c>
      <c r="H18" s="230"/>
      <c r="I18" s="230">
        <f>IFERROR(_xlfn.XLOOKUP($A18,'Raw Data'!$A:$A,'Raw Data'!$AR:$AR),"")</f>
        <v>6.9981049423393742</v>
      </c>
      <c r="J18" s="230"/>
      <c r="K18" s="230">
        <f>IFERROR(_xlfn.XLOOKUP($A18,'Raw Data'!$A:$A,'Raw Data'!$AV:$AV),"")</f>
        <v>0</v>
      </c>
      <c r="L18" s="230">
        <f>IFERROR(_xlfn.XLOOKUP($A18,'Raw Data'!$A:$A,'Raw Data'!$AW:$AW),"")</f>
        <v>0</v>
      </c>
      <c r="M18" s="230">
        <f>IFERROR(_xlfn.XLOOKUP($A18,'Raw Data'!$A:$A,'Raw Data'!$AX:$AX),"")</f>
        <v>0</v>
      </c>
      <c r="N18" s="230">
        <f>IFERROR(_xlfn.XLOOKUP($A18,'Raw Data'!$A:$A,'Raw Data'!$AY:$AY),"")</f>
        <v>0</v>
      </c>
      <c r="O18" s="231">
        <f>IFERROR(1-(SUMIF('Plant BD'!$B:$B,A18,'Plant BD'!$AE:$AE)/(AA18+SUMIF('Plant BD'!$B:$B,A18,'Plant BD'!$AE:$AE))),"")</f>
        <v>1</v>
      </c>
      <c r="P18" s="231"/>
      <c r="Q18" s="232"/>
      <c r="R18" s="231">
        <f>IFERROR(1-(SUMIF('Grid BD'!$B:$B,$A18,'Grid BD'!$AD:$AD)/($AA18+SUMIF('Grid BD'!$B:$B,$A18,'Grid BD'!AD:AD))),"")</f>
        <v>1</v>
      </c>
      <c r="S18" s="6"/>
      <c r="T18" s="232"/>
      <c r="U18" s="233">
        <f t="shared" ref="U18:U81" si="4">IFERROR(AA18/I18/AB18/1000,"")</f>
        <v>0.74391839335459942</v>
      </c>
      <c r="V18" s="233"/>
      <c r="W18" s="234">
        <f t="shared" si="2"/>
        <v>0.2169174577179995</v>
      </c>
      <c r="X18" s="227">
        <f>IFERROR(_xlfn.XLOOKUP($A18,'Raw Data'!$A:$A,'Raw Data'!$BA:$BA),"")</f>
        <v>128904</v>
      </c>
      <c r="Y18" s="227">
        <f>IFERROR(_xlfn.XLOOKUP($A18,'Raw Data'!$A:$A,'Raw Data'!BJ:BJ),"")</f>
        <v>127440.99999999162</v>
      </c>
      <c r="Z18" s="227">
        <f>IFERROR(_xlfn.XLOOKUP($A18,'Raw Data'!$A:$A,'Raw Data'!BK:BK),"")</f>
        <v>918.60000000008313</v>
      </c>
      <c r="AA18" s="227">
        <f>IFERROR(_xlfn.XLOOKUP($A18,'Raw Data'!$A:$A,'Raw Data'!BL:BL),"")</f>
        <v>126522.39999999154</v>
      </c>
      <c r="AB18" s="227">
        <f>IFERROR(_xlfn.XLOOKUP($A18,'Raw Data'!$A:$A,'Raw Data'!$H:$H),"")</f>
        <v>24.303100000000001</v>
      </c>
      <c r="AC18" s="145">
        <f>IFERROR(_xlfn.XLOOKUP($D18,'Modelling New'!$D:$D,'Modelling New'!$P:$P),"")</f>
        <v>6.6233333333333331</v>
      </c>
      <c r="AD18" s="227">
        <f>IFERROR(_xlfn.XLOOKUP($D18,'Modelling New'!$D:$D,'Modelling New'!$T:$T)*1000,"")</f>
        <v>120499.94015769019</v>
      </c>
      <c r="AE18" s="234">
        <f>IFERROR(_xlfn.XLOOKUP($D18,'Modelling New'!$D:$D,'Modelling New'!$O:$O),"")</f>
        <v>0.74859779740027077</v>
      </c>
      <c r="AF18" s="234">
        <f>IFERROR(_xlfn.XLOOKUP($D18,'Modelling New'!$D:$D,'Modelling New'!$W:$W),"")</f>
        <v>0.20659219769921358</v>
      </c>
      <c r="AG18" s="234">
        <f>IFERROR(_xlfn.XLOOKUP($D18,'Modelling New'!$D:$D,'Modelling New'!AE:AE),"")</f>
        <v>0.995</v>
      </c>
      <c r="AH18" s="234">
        <v>0.99750000000000005</v>
      </c>
      <c r="AI18" s="6"/>
      <c r="AJ18" s="6"/>
      <c r="AK18" s="6"/>
      <c r="AL18" s="6"/>
      <c r="AM18" s="6"/>
      <c r="AN18" s="231"/>
      <c r="AO18" s="234"/>
      <c r="AP18" s="234"/>
      <c r="AQ18" s="234"/>
      <c r="AR18" s="227">
        <f>IFERROR(_xlfn.XLOOKUP($D18,'Modelling New'!$D:$D,'Modelling New'!$N:$N),"")</f>
        <v>24.303100000000001</v>
      </c>
      <c r="AS18" s="227"/>
    </row>
    <row r="19" spans="1:45" x14ac:dyDescent="0.35">
      <c r="A19" s="226">
        <f t="shared" si="3"/>
        <v>45762</v>
      </c>
      <c r="B19" s="227">
        <f>YEAR(Daily_KPI[[#This Row],[Date]])+IF(MONTH(Daily_KPI[[#This Row],[Date]])&gt;=4,1,0)</f>
        <v>2026</v>
      </c>
      <c r="C19" s="6">
        <f>YEAR(Daily_KPI[[#This Row],[Date]])</f>
        <v>2025</v>
      </c>
      <c r="D19" s="228">
        <f>Daily_KPI[[#This Row],[Date]]-DAY(Daily_KPI[[#This Row],[Date]])+1</f>
        <v>45748</v>
      </c>
      <c r="E19" s="6">
        <f t="shared" si="0"/>
        <v>30</v>
      </c>
      <c r="F19" s="229">
        <f>IFERROR(_xlfn.XLOOKUP($A19,'Raw Data'!$A:$A,'Raw Data'!$BR:$BR),"")</f>
        <v>11.983333333333334</v>
      </c>
      <c r="G19" s="230">
        <f>IFERROR(_xlfn.XLOOKUP($A19,'Raw Data'!$A:$A,'Raw Data'!$AO:$AO),"")</f>
        <v>0</v>
      </c>
      <c r="H19" s="230"/>
      <c r="I19" s="230">
        <f>IFERROR(_xlfn.XLOOKUP($A19,'Raw Data'!$A:$A,'Raw Data'!$AR:$AR),"")</f>
        <v>6.8779163920922564</v>
      </c>
      <c r="J19" s="230"/>
      <c r="K19" s="230">
        <f>IFERROR(_xlfn.XLOOKUP($A19,'Raw Data'!$A:$A,'Raw Data'!$AV:$AV),"")</f>
        <v>0</v>
      </c>
      <c r="L19" s="230">
        <f>IFERROR(_xlfn.XLOOKUP($A19,'Raw Data'!$A:$A,'Raw Data'!$AW:$AW),"")</f>
        <v>0</v>
      </c>
      <c r="M19" s="230">
        <f>IFERROR(_xlfn.XLOOKUP($A19,'Raw Data'!$A:$A,'Raw Data'!$AX:$AX),"")</f>
        <v>0</v>
      </c>
      <c r="N19" s="230">
        <f>IFERROR(_xlfn.XLOOKUP($A19,'Raw Data'!$A:$A,'Raw Data'!$AY:$AY),"")</f>
        <v>0</v>
      </c>
      <c r="O19" s="231">
        <f>IFERROR(1-(SUMIF('Plant BD'!$B:$B,A19,'Plant BD'!$AE:$AE)/(AA19+SUMIF('Plant BD'!$B:$B,A19,'Plant BD'!$AE:$AE))),"")</f>
        <v>1</v>
      </c>
      <c r="P19" s="231"/>
      <c r="Q19" s="232"/>
      <c r="R19" s="231">
        <f>IFERROR(1-(SUMIF('Grid BD'!$B:$B,$A19,'Grid BD'!$AD:$AD)/($AA19+SUMIF('Grid BD'!$B:$B,$A19,'Grid BD'!AD:AD))),"")</f>
        <v>1</v>
      </c>
      <c r="S19" s="6"/>
      <c r="T19" s="232"/>
      <c r="U19" s="233">
        <f t="shared" si="4"/>
        <v>0.74599881162766579</v>
      </c>
      <c r="V19" s="233"/>
      <c r="W19" s="234">
        <f t="shared" si="2"/>
        <v>0.21378822729063607</v>
      </c>
      <c r="X19" s="227">
        <f>IFERROR(_xlfn.XLOOKUP($A19,'Raw Data'!$A:$A,'Raw Data'!$BA:$BA),"")</f>
        <v>127279</v>
      </c>
      <c r="Y19" s="227">
        <f>IFERROR(_xlfn.XLOOKUP($A19,'Raw Data'!$A:$A,'Raw Data'!BJ:BJ),"")</f>
        <v>125822.50000000931</v>
      </c>
      <c r="Z19" s="227">
        <f>IFERROR(_xlfn.XLOOKUP($A19,'Raw Data'!$A:$A,'Raw Data'!BK:BK),"")</f>
        <v>1125.2999999999247</v>
      </c>
      <c r="AA19" s="227">
        <f>IFERROR(_xlfn.XLOOKUP($A19,'Raw Data'!$A:$A,'Raw Data'!BL:BL),"")</f>
        <v>124697.20000000938</v>
      </c>
      <c r="AB19" s="227">
        <f>IFERROR(_xlfn.XLOOKUP($A19,'Raw Data'!$A:$A,'Raw Data'!$H:$H),"")</f>
        <v>24.303100000000001</v>
      </c>
      <c r="AC19" s="145">
        <f>IFERROR(_xlfn.XLOOKUP($D19,'Modelling New'!$D:$D,'Modelling New'!$P:$P),"")</f>
        <v>6.6233333333333331</v>
      </c>
      <c r="AD19" s="227">
        <f>IFERROR(_xlfn.XLOOKUP($D19,'Modelling New'!$D:$D,'Modelling New'!$T:$T)*1000,"")</f>
        <v>120499.94015769019</v>
      </c>
      <c r="AE19" s="234">
        <f>IFERROR(_xlfn.XLOOKUP($D19,'Modelling New'!$D:$D,'Modelling New'!$O:$O),"")</f>
        <v>0.74859779740027077</v>
      </c>
      <c r="AF19" s="234">
        <f>IFERROR(_xlfn.XLOOKUP($D19,'Modelling New'!$D:$D,'Modelling New'!$W:$W),"")</f>
        <v>0.20659219769921358</v>
      </c>
      <c r="AG19" s="234">
        <f>IFERROR(_xlfn.XLOOKUP($D19,'Modelling New'!$D:$D,'Modelling New'!AE:AE),"")</f>
        <v>0.995</v>
      </c>
      <c r="AH19" s="234">
        <v>0.99750000000000005</v>
      </c>
      <c r="AI19" s="6"/>
      <c r="AJ19" s="6"/>
      <c r="AK19" s="6"/>
      <c r="AL19" s="6"/>
      <c r="AM19" s="6"/>
      <c r="AN19" s="231"/>
      <c r="AO19" s="234"/>
      <c r="AP19" s="234"/>
      <c r="AQ19" s="234"/>
      <c r="AR19" s="227">
        <f>IFERROR(_xlfn.XLOOKUP($D19,'Modelling New'!$D:$D,'Modelling New'!$N:$N),"")</f>
        <v>24.303100000000001</v>
      </c>
      <c r="AS19" s="227"/>
    </row>
    <row r="20" spans="1:45" x14ac:dyDescent="0.35">
      <c r="A20" s="226">
        <f t="shared" ref="A20:A83" si="5">A19+1</f>
        <v>45763</v>
      </c>
      <c r="B20" s="227">
        <f>YEAR(Daily_KPI[[#This Row],[Date]])+IF(MONTH(Daily_KPI[[#This Row],[Date]])&gt;=4,1,0)</f>
        <v>2026</v>
      </c>
      <c r="C20" s="6">
        <f>YEAR(Daily_KPI[[#This Row],[Date]])</f>
        <v>2025</v>
      </c>
      <c r="D20" s="228">
        <f>Daily_KPI[[#This Row],[Date]]-DAY(Daily_KPI[[#This Row],[Date]])+1</f>
        <v>45748</v>
      </c>
      <c r="E20" s="6">
        <f t="shared" si="0"/>
        <v>30</v>
      </c>
      <c r="F20" s="229">
        <f>IFERROR(_xlfn.XLOOKUP($A20,'Raw Data'!$A:$A,'Raw Data'!$BR:$BR),"")</f>
        <v>11.933333333333334</v>
      </c>
      <c r="G20" s="230">
        <f>IFERROR(_xlfn.XLOOKUP($A20,'Raw Data'!$A:$A,'Raw Data'!$AO:$AO),"")</f>
        <v>0</v>
      </c>
      <c r="H20" s="230"/>
      <c r="I20" s="230">
        <f>IFERROR(_xlfn.XLOOKUP($A20,'Raw Data'!$A:$A,'Raw Data'!$AR:$AR),"")</f>
        <v>6.3957361202635914</v>
      </c>
      <c r="J20" s="230"/>
      <c r="K20" s="230">
        <f>IFERROR(_xlfn.XLOOKUP($A20,'Raw Data'!$A:$A,'Raw Data'!$AV:$AV),"")</f>
        <v>0</v>
      </c>
      <c r="L20" s="230">
        <f>IFERROR(_xlfn.XLOOKUP($A20,'Raw Data'!$A:$A,'Raw Data'!$AW:$AW),"")</f>
        <v>0</v>
      </c>
      <c r="M20" s="230">
        <f>IFERROR(_xlfn.XLOOKUP($A20,'Raw Data'!$A:$A,'Raw Data'!$AX:$AX),"")</f>
        <v>0</v>
      </c>
      <c r="N20" s="230">
        <f>IFERROR(_xlfn.XLOOKUP($A20,'Raw Data'!$A:$A,'Raw Data'!$AY:$AY),"")</f>
        <v>0</v>
      </c>
      <c r="O20" s="231">
        <f>IFERROR(1-(SUMIF('Plant BD'!$B:$B,A20,'Plant BD'!$AE:$AE)/(AA20+SUMIF('Plant BD'!$B:$B,A20,'Plant BD'!$AE:$AE))),"")</f>
        <v>1</v>
      </c>
      <c r="P20" s="231"/>
      <c r="Q20" s="232"/>
      <c r="R20" s="231">
        <f>IFERROR(1-(SUMIF('Grid BD'!$B:$B,$A20,'Grid BD'!$AD:$AD)/($AA20+SUMIF('Grid BD'!$B:$B,$A20,'Grid BD'!AD:AD))),"")</f>
        <v>1</v>
      </c>
      <c r="S20" s="6"/>
      <c r="T20" s="232"/>
      <c r="U20" s="233">
        <f t="shared" si="4"/>
        <v>0.7304788035532348</v>
      </c>
      <c r="V20" s="233"/>
      <c r="W20" s="234">
        <f t="shared" si="2"/>
        <v>0.19466456954051484</v>
      </c>
      <c r="X20" s="227">
        <f>IFERROR(_xlfn.XLOOKUP($A20,'Raw Data'!$A:$A,'Raw Data'!$BA:$BA),"")</f>
        <v>115488</v>
      </c>
      <c r="Y20" s="227">
        <f>IFERROR(_xlfn.XLOOKUP($A20,'Raw Data'!$A:$A,'Raw Data'!BJ:BJ),"")</f>
        <v>114250.78000000212</v>
      </c>
      <c r="Z20" s="227">
        <f>IFERROR(_xlfn.XLOOKUP($A20,'Raw Data'!$A:$A,'Raw Data'!BK:BK),"")</f>
        <v>707.92000000005828</v>
      </c>
      <c r="AA20" s="227">
        <f>IFERROR(_xlfn.XLOOKUP($A20,'Raw Data'!$A:$A,'Raw Data'!BL:BL),"")</f>
        <v>113542.86000000207</v>
      </c>
      <c r="AB20" s="227">
        <f>IFERROR(_xlfn.XLOOKUP($A20,'Raw Data'!$A:$A,'Raw Data'!$H:$H),"")</f>
        <v>24.303100000000001</v>
      </c>
      <c r="AC20" s="145">
        <f>IFERROR(_xlfn.XLOOKUP($D20,'Modelling New'!$D:$D,'Modelling New'!$P:$P),"")</f>
        <v>6.6233333333333331</v>
      </c>
      <c r="AD20" s="227">
        <f>IFERROR(_xlfn.XLOOKUP($D20,'Modelling New'!$D:$D,'Modelling New'!$T:$T)*1000,"")</f>
        <v>120499.94015769019</v>
      </c>
      <c r="AE20" s="234">
        <f>IFERROR(_xlfn.XLOOKUP($D20,'Modelling New'!$D:$D,'Modelling New'!$O:$O),"")</f>
        <v>0.74859779740027077</v>
      </c>
      <c r="AF20" s="234">
        <f>IFERROR(_xlfn.XLOOKUP($D20,'Modelling New'!$D:$D,'Modelling New'!$W:$W),"")</f>
        <v>0.20659219769921358</v>
      </c>
      <c r="AG20" s="234">
        <f>IFERROR(_xlfn.XLOOKUP($D20,'Modelling New'!$D:$D,'Modelling New'!AE:AE),"")</f>
        <v>0.995</v>
      </c>
      <c r="AH20" s="234">
        <v>0.99750000000000005</v>
      </c>
      <c r="AI20" s="6"/>
      <c r="AJ20" s="6"/>
      <c r="AK20" s="6"/>
      <c r="AL20" s="6"/>
      <c r="AM20" s="6"/>
      <c r="AN20" s="231"/>
      <c r="AO20" s="234"/>
      <c r="AP20" s="234"/>
      <c r="AQ20" s="234"/>
      <c r="AR20" s="227">
        <f>IFERROR(_xlfn.XLOOKUP($D20,'Modelling New'!$D:$D,'Modelling New'!$N:$N),"")</f>
        <v>24.303100000000001</v>
      </c>
      <c r="AS20" s="227"/>
    </row>
    <row r="21" spans="1:45" x14ac:dyDescent="0.35">
      <c r="A21" s="226">
        <f t="shared" si="5"/>
        <v>45764</v>
      </c>
      <c r="B21" s="227">
        <f>YEAR(Daily_KPI[[#This Row],[Date]])+IF(MONTH(Daily_KPI[[#This Row],[Date]])&gt;=4,1,0)</f>
        <v>2026</v>
      </c>
      <c r="C21" s="6">
        <f>YEAR(Daily_KPI[[#This Row],[Date]])</f>
        <v>2025</v>
      </c>
      <c r="D21" s="228">
        <f>Daily_KPI[[#This Row],[Date]]-DAY(Daily_KPI[[#This Row],[Date]])+1</f>
        <v>45748</v>
      </c>
      <c r="E21" s="6">
        <f t="shared" si="0"/>
        <v>30</v>
      </c>
      <c r="F21" s="229">
        <f>IFERROR(_xlfn.XLOOKUP($A21,'Raw Data'!$A:$A,'Raw Data'!$BR:$BR),"")</f>
        <v>11.933333333333335</v>
      </c>
      <c r="G21" s="230">
        <f>IFERROR(_xlfn.XLOOKUP($A21,'Raw Data'!$A:$A,'Raw Data'!$AO:$AO),"")</f>
        <v>0</v>
      </c>
      <c r="H21" s="230"/>
      <c r="I21" s="230">
        <f>IFERROR(_xlfn.XLOOKUP($A21,'Raw Data'!$A:$A,'Raw Data'!$AR:$AR),"")</f>
        <v>6.1189505766062595</v>
      </c>
      <c r="J21" s="230"/>
      <c r="K21" s="230">
        <f>IFERROR(_xlfn.XLOOKUP($A21,'Raw Data'!$A:$A,'Raw Data'!$AV:$AV),"")</f>
        <v>0</v>
      </c>
      <c r="L21" s="230">
        <f>IFERROR(_xlfn.XLOOKUP($A21,'Raw Data'!$A:$A,'Raw Data'!$AW:$AW),"")</f>
        <v>0</v>
      </c>
      <c r="M21" s="230">
        <f>IFERROR(_xlfn.XLOOKUP($A21,'Raw Data'!$A:$A,'Raw Data'!$AX:$AX),"")</f>
        <v>0</v>
      </c>
      <c r="N21" s="230">
        <f>IFERROR(_xlfn.XLOOKUP($A21,'Raw Data'!$A:$A,'Raw Data'!$AY:$AY),"")</f>
        <v>0</v>
      </c>
      <c r="O21" s="231">
        <f>IFERROR(1-(SUMIF('Plant BD'!$B:$B,A21,'Plant BD'!$AE:$AE)/(AA21+SUMIF('Plant BD'!$B:$B,A21,'Plant BD'!$AE:$AE))),"")</f>
        <v>1</v>
      </c>
      <c r="P21" s="231"/>
      <c r="Q21" s="232"/>
      <c r="R21" s="231">
        <f>IFERROR(1-(SUMIF('Grid BD'!$B:$B,$A21,'Grid BD'!$AD:$AD)/($AA21+SUMIF('Grid BD'!$B:$B,$A21,'Grid BD'!AD:AD))),"")</f>
        <v>1</v>
      </c>
      <c r="S21" s="6"/>
      <c r="T21" s="232"/>
      <c r="U21" s="233">
        <f t="shared" si="4"/>
        <v>0.74605095205030159</v>
      </c>
      <c r="V21" s="233"/>
      <c r="W21" s="234">
        <f t="shared" si="2"/>
        <v>0.19021037096774338</v>
      </c>
      <c r="X21" s="227">
        <f>IFERROR(_xlfn.XLOOKUP($A21,'Raw Data'!$A:$A,'Raw Data'!$BA:$BA),"")</f>
        <v>113012</v>
      </c>
      <c r="Y21" s="227">
        <f>IFERROR(_xlfn.XLOOKUP($A21,'Raw Data'!$A:$A,'Raw Data'!BJ:BJ),"")</f>
        <v>111836.01999998791</v>
      </c>
      <c r="Z21" s="227">
        <f>IFERROR(_xlfn.XLOOKUP($A21,'Raw Data'!$A:$A,'Raw Data'!BK:BK),"")</f>
        <v>891.179999999963</v>
      </c>
      <c r="AA21" s="227">
        <f>IFERROR(_xlfn.XLOOKUP($A21,'Raw Data'!$A:$A,'Raw Data'!BL:BL),"")</f>
        <v>110944.83999998795</v>
      </c>
      <c r="AB21" s="227">
        <f>IFERROR(_xlfn.XLOOKUP($A21,'Raw Data'!$A:$A,'Raw Data'!$H:$H),"")</f>
        <v>24.303100000000001</v>
      </c>
      <c r="AC21" s="145">
        <f>IFERROR(_xlfn.XLOOKUP($D21,'Modelling New'!$D:$D,'Modelling New'!$P:$P),"")</f>
        <v>6.6233333333333331</v>
      </c>
      <c r="AD21" s="227">
        <f>IFERROR(_xlfn.XLOOKUP($D21,'Modelling New'!$D:$D,'Modelling New'!$T:$T)*1000,"")</f>
        <v>120499.94015769019</v>
      </c>
      <c r="AE21" s="234">
        <f>IFERROR(_xlfn.XLOOKUP($D21,'Modelling New'!$D:$D,'Modelling New'!$O:$O),"")</f>
        <v>0.74859779740027077</v>
      </c>
      <c r="AF21" s="234">
        <f>IFERROR(_xlfn.XLOOKUP($D21,'Modelling New'!$D:$D,'Modelling New'!$W:$W),"")</f>
        <v>0.20659219769921358</v>
      </c>
      <c r="AG21" s="234">
        <f>IFERROR(_xlfn.XLOOKUP($D21,'Modelling New'!$D:$D,'Modelling New'!AE:AE),"")</f>
        <v>0.995</v>
      </c>
      <c r="AH21" s="234">
        <v>0.99750000000000005</v>
      </c>
      <c r="AI21" s="6"/>
      <c r="AJ21" s="6"/>
      <c r="AK21" s="6"/>
      <c r="AL21" s="6"/>
      <c r="AM21" s="6"/>
      <c r="AN21" s="231"/>
      <c r="AO21" s="234"/>
      <c r="AP21" s="234"/>
      <c r="AQ21" s="234"/>
      <c r="AR21" s="227">
        <f>IFERROR(_xlfn.XLOOKUP($D21,'Modelling New'!$D:$D,'Modelling New'!$N:$N),"")</f>
        <v>24.303100000000001</v>
      </c>
      <c r="AS21" s="227"/>
    </row>
    <row r="22" spans="1:45" x14ac:dyDescent="0.35">
      <c r="A22" s="226">
        <f t="shared" si="5"/>
        <v>45765</v>
      </c>
      <c r="B22" s="227">
        <f>YEAR(Daily_KPI[[#This Row],[Date]])+IF(MONTH(Daily_KPI[[#This Row],[Date]])&gt;=4,1,0)</f>
        <v>2026</v>
      </c>
      <c r="C22" s="6">
        <f>YEAR(Daily_KPI[[#This Row],[Date]])</f>
        <v>2025</v>
      </c>
      <c r="D22" s="228">
        <f>Daily_KPI[[#This Row],[Date]]-DAY(Daily_KPI[[#This Row],[Date]])+1</f>
        <v>45748</v>
      </c>
      <c r="E22" s="6">
        <f t="shared" si="0"/>
        <v>30</v>
      </c>
      <c r="F22" s="229">
        <f>IFERROR(_xlfn.XLOOKUP($A22,'Raw Data'!$A:$A,'Raw Data'!$BR:$BR),"")</f>
        <v>11.950000000000001</v>
      </c>
      <c r="G22" s="230">
        <f>IFERROR(_xlfn.XLOOKUP($A22,'Raw Data'!$A:$A,'Raw Data'!$AO:$AO),"")</f>
        <v>0</v>
      </c>
      <c r="H22" s="230"/>
      <c r="I22" s="230">
        <f>IFERROR(_xlfn.XLOOKUP($A22,'Raw Data'!$A:$A,'Raw Data'!$AR:$AR),"")</f>
        <v>6.6937034596375611</v>
      </c>
      <c r="J22" s="230"/>
      <c r="K22" s="230">
        <f>IFERROR(_xlfn.XLOOKUP($A22,'Raw Data'!$A:$A,'Raw Data'!$AV:$AV),"")</f>
        <v>0</v>
      </c>
      <c r="L22" s="230">
        <f>IFERROR(_xlfn.XLOOKUP($A22,'Raw Data'!$A:$A,'Raw Data'!$AW:$AW),"")</f>
        <v>0</v>
      </c>
      <c r="M22" s="230">
        <f>IFERROR(_xlfn.XLOOKUP($A22,'Raw Data'!$A:$A,'Raw Data'!$AX:$AX),"")</f>
        <v>0</v>
      </c>
      <c r="N22" s="230">
        <f>IFERROR(_xlfn.XLOOKUP($A22,'Raw Data'!$A:$A,'Raw Data'!$AY:$AY),"")</f>
        <v>0</v>
      </c>
      <c r="O22" s="231">
        <f>IFERROR(1-(SUMIF('Plant BD'!$B:$B,A22,'Plant BD'!$AE:$AE)/(AA22+SUMIF('Plant BD'!$B:$B,A22,'Plant BD'!$AE:$AE))),"")</f>
        <v>1</v>
      </c>
      <c r="P22" s="231"/>
      <c r="Q22" s="232"/>
      <c r="R22" s="231">
        <f>IFERROR(1-(SUMIF('Grid BD'!$B:$B,$A22,'Grid BD'!$AD:$AD)/($AA22+SUMIF('Grid BD'!$B:$B,$A22,'Grid BD'!AD:AD))),"")</f>
        <v>1</v>
      </c>
      <c r="S22" s="6"/>
      <c r="T22" s="232"/>
      <c r="U22" s="233">
        <f t="shared" si="4"/>
        <v>0.74743106585607499</v>
      </c>
      <c r="V22" s="233"/>
      <c r="W22" s="234">
        <f t="shared" si="2"/>
        <v>0.20846174630672495</v>
      </c>
      <c r="X22" s="227">
        <f>IFERROR(_xlfn.XLOOKUP($A22,'Raw Data'!$A:$A,'Raw Data'!$BA:$BA),"")</f>
        <v>123983</v>
      </c>
      <c r="Y22" s="227">
        <f>IFERROR(_xlfn.XLOOKUP($A22,'Raw Data'!$A:$A,'Raw Data'!BJ:BJ),"")</f>
        <v>122555.30000000726</v>
      </c>
      <c r="Z22" s="227">
        <f>IFERROR(_xlfn.XLOOKUP($A22,'Raw Data'!$A:$A,'Raw Data'!BK:BK),"")</f>
        <v>964.90000000005693</v>
      </c>
      <c r="AA22" s="227">
        <f>IFERROR(_xlfn.XLOOKUP($A22,'Raw Data'!$A:$A,'Raw Data'!BL:BL),"")</f>
        <v>121590.40000000721</v>
      </c>
      <c r="AB22" s="227">
        <f>IFERROR(_xlfn.XLOOKUP($A22,'Raw Data'!$A:$A,'Raw Data'!$H:$H),"")</f>
        <v>24.303100000000001</v>
      </c>
      <c r="AC22" s="145">
        <f>IFERROR(_xlfn.XLOOKUP($D22,'Modelling New'!$D:$D,'Modelling New'!$P:$P),"")</f>
        <v>6.6233333333333331</v>
      </c>
      <c r="AD22" s="227">
        <f>IFERROR(_xlfn.XLOOKUP($D22,'Modelling New'!$D:$D,'Modelling New'!$T:$T)*1000,"")</f>
        <v>120499.94015769019</v>
      </c>
      <c r="AE22" s="234">
        <f>IFERROR(_xlfn.XLOOKUP($D22,'Modelling New'!$D:$D,'Modelling New'!$O:$O),"")</f>
        <v>0.74859779740027077</v>
      </c>
      <c r="AF22" s="234">
        <f>IFERROR(_xlfn.XLOOKUP($D22,'Modelling New'!$D:$D,'Modelling New'!$W:$W),"")</f>
        <v>0.20659219769921358</v>
      </c>
      <c r="AG22" s="234">
        <f>IFERROR(_xlfn.XLOOKUP($D22,'Modelling New'!$D:$D,'Modelling New'!AE:AE),"")</f>
        <v>0.995</v>
      </c>
      <c r="AH22" s="234">
        <v>0.99750000000000005</v>
      </c>
      <c r="AI22" s="6"/>
      <c r="AJ22" s="6"/>
      <c r="AK22" s="6"/>
      <c r="AL22" s="6"/>
      <c r="AM22" s="6"/>
      <c r="AN22" s="231"/>
      <c r="AO22" s="234"/>
      <c r="AP22" s="234"/>
      <c r="AQ22" s="234"/>
      <c r="AR22" s="227">
        <f>IFERROR(_xlfn.XLOOKUP($D22,'Modelling New'!$D:$D,'Modelling New'!$N:$N),"")</f>
        <v>24.303100000000001</v>
      </c>
      <c r="AS22" s="227"/>
    </row>
    <row r="23" spans="1:45" x14ac:dyDescent="0.35">
      <c r="A23" s="226">
        <f t="shared" si="5"/>
        <v>45766</v>
      </c>
      <c r="B23" s="227">
        <f>YEAR(Daily_KPI[[#This Row],[Date]])+IF(MONTH(Daily_KPI[[#This Row],[Date]])&gt;=4,1,0)</f>
        <v>2026</v>
      </c>
      <c r="C23" s="6">
        <f>YEAR(Daily_KPI[[#This Row],[Date]])</f>
        <v>2025</v>
      </c>
      <c r="D23" s="228">
        <f>Daily_KPI[[#This Row],[Date]]-DAY(Daily_KPI[[#This Row],[Date]])+1</f>
        <v>45748</v>
      </c>
      <c r="E23" s="6">
        <f t="shared" si="0"/>
        <v>30</v>
      </c>
      <c r="F23" s="229">
        <f>IFERROR(_xlfn.XLOOKUP($A23,'Raw Data'!$A:$A,'Raw Data'!$BR:$BR),"")</f>
        <v>12.050000000000002</v>
      </c>
      <c r="G23" s="230">
        <f>IFERROR(_xlfn.XLOOKUP($A23,'Raw Data'!$A:$A,'Raw Data'!$AO:$AO),"")</f>
        <v>0</v>
      </c>
      <c r="H23" s="230"/>
      <c r="I23" s="230">
        <f>IFERROR(_xlfn.XLOOKUP($A23,'Raw Data'!$A:$A,'Raw Data'!$AR:$AR),"")</f>
        <v>6.882638797364085</v>
      </c>
      <c r="J23" s="230"/>
      <c r="K23" s="230">
        <f>IFERROR(_xlfn.XLOOKUP($A23,'Raw Data'!$A:$A,'Raw Data'!$AV:$AV),"")</f>
        <v>0</v>
      </c>
      <c r="L23" s="230">
        <f>IFERROR(_xlfn.XLOOKUP($A23,'Raw Data'!$A:$A,'Raw Data'!$AW:$AW),"")</f>
        <v>0</v>
      </c>
      <c r="M23" s="230">
        <f>IFERROR(_xlfn.XLOOKUP($A23,'Raw Data'!$A:$A,'Raw Data'!$AX:$AX),"")</f>
        <v>0</v>
      </c>
      <c r="N23" s="230">
        <f>IFERROR(_xlfn.XLOOKUP($A23,'Raw Data'!$A:$A,'Raw Data'!$AY:$AY),"")</f>
        <v>0</v>
      </c>
      <c r="O23" s="231">
        <f>IFERROR(1-(SUMIF('Plant BD'!$B:$B,A23,'Plant BD'!$AE:$AE)/(AA23+SUMIF('Plant BD'!$B:$B,A23,'Plant BD'!$AE:$AE))),"")</f>
        <v>1</v>
      </c>
      <c r="P23" s="231"/>
      <c r="Q23" s="232"/>
      <c r="R23" s="231">
        <f>IFERROR(1-(SUMIF('Grid BD'!$B:$B,$A23,'Grid BD'!$AD:$AD)/($AA23+SUMIF('Grid BD'!$B:$B,$A23,'Grid BD'!AD:AD))),"")</f>
        <v>1</v>
      </c>
      <c r="S23" s="6"/>
      <c r="T23" s="232"/>
      <c r="U23" s="233">
        <f t="shared" si="4"/>
        <v>0.7443403044220861</v>
      </c>
      <c r="V23" s="233"/>
      <c r="W23" s="234">
        <f t="shared" si="2"/>
        <v>0.21345939406905184</v>
      </c>
      <c r="X23" s="227">
        <f>IFERROR(_xlfn.XLOOKUP($A23,'Raw Data'!$A:$A,'Raw Data'!$BA:$BA),"")</f>
        <v>126935</v>
      </c>
      <c r="Y23" s="227">
        <f>IFERROR(_xlfn.XLOOKUP($A23,'Raw Data'!$A:$A,'Raw Data'!BJ:BJ),"")</f>
        <v>125476.49999998976</v>
      </c>
      <c r="Z23" s="227">
        <f>IFERROR(_xlfn.XLOOKUP($A23,'Raw Data'!$A:$A,'Raw Data'!BK:BK),"")</f>
        <v>971.09999999997854</v>
      </c>
      <c r="AA23" s="227">
        <f>IFERROR(_xlfn.XLOOKUP($A23,'Raw Data'!$A:$A,'Raw Data'!BL:BL),"")</f>
        <v>124505.39999998978</v>
      </c>
      <c r="AB23" s="227">
        <f>IFERROR(_xlfn.XLOOKUP($A23,'Raw Data'!$A:$A,'Raw Data'!$H:$H),"")</f>
        <v>24.303100000000001</v>
      </c>
      <c r="AC23" s="145">
        <f>IFERROR(_xlfn.XLOOKUP($D23,'Modelling New'!$D:$D,'Modelling New'!$P:$P),"")</f>
        <v>6.6233333333333331</v>
      </c>
      <c r="AD23" s="227">
        <f>IFERROR(_xlfn.XLOOKUP($D23,'Modelling New'!$D:$D,'Modelling New'!$T:$T)*1000,"")</f>
        <v>120499.94015769019</v>
      </c>
      <c r="AE23" s="234">
        <f>IFERROR(_xlfn.XLOOKUP($D23,'Modelling New'!$D:$D,'Modelling New'!$O:$O),"")</f>
        <v>0.74859779740027077</v>
      </c>
      <c r="AF23" s="234">
        <f>IFERROR(_xlfn.XLOOKUP($D23,'Modelling New'!$D:$D,'Modelling New'!$W:$W),"")</f>
        <v>0.20659219769921358</v>
      </c>
      <c r="AG23" s="234">
        <f>IFERROR(_xlfn.XLOOKUP($D23,'Modelling New'!$D:$D,'Modelling New'!AE:AE),"")</f>
        <v>0.995</v>
      </c>
      <c r="AH23" s="234">
        <v>0.99750000000000005</v>
      </c>
      <c r="AI23" s="6"/>
      <c r="AJ23" s="6"/>
      <c r="AK23" s="6"/>
      <c r="AL23" s="6"/>
      <c r="AM23" s="6"/>
      <c r="AN23" s="231"/>
      <c r="AO23" s="234"/>
      <c r="AP23" s="234"/>
      <c r="AQ23" s="234"/>
      <c r="AR23" s="227">
        <f>IFERROR(_xlfn.XLOOKUP($D23,'Modelling New'!$D:$D,'Modelling New'!$N:$N),"")</f>
        <v>24.303100000000001</v>
      </c>
      <c r="AS23" s="227"/>
    </row>
    <row r="24" spans="1:45" x14ac:dyDescent="0.35">
      <c r="A24" s="226">
        <f t="shared" si="5"/>
        <v>45767</v>
      </c>
      <c r="B24" s="227">
        <f>YEAR(Daily_KPI[[#This Row],[Date]])+IF(MONTH(Daily_KPI[[#This Row],[Date]])&gt;=4,1,0)</f>
        <v>2026</v>
      </c>
      <c r="C24" s="6">
        <f>YEAR(Daily_KPI[[#This Row],[Date]])</f>
        <v>2025</v>
      </c>
      <c r="D24" s="228">
        <f>Daily_KPI[[#This Row],[Date]]-DAY(Daily_KPI[[#This Row],[Date]])+1</f>
        <v>45748</v>
      </c>
      <c r="E24" s="6">
        <f t="shared" si="0"/>
        <v>30</v>
      </c>
      <c r="F24" s="229">
        <f>IFERROR(_xlfn.XLOOKUP($A24,'Raw Data'!$A:$A,'Raw Data'!$BR:$BR),"")</f>
        <v>11.950000000000001</v>
      </c>
      <c r="G24" s="230">
        <f>IFERROR(_xlfn.XLOOKUP($A24,'Raw Data'!$A:$A,'Raw Data'!$AO:$AO),"")</f>
        <v>0</v>
      </c>
      <c r="H24" s="230"/>
      <c r="I24" s="230">
        <f>IFERROR(_xlfn.XLOOKUP($A24,'Raw Data'!$A:$A,'Raw Data'!$AR:$AR),"")</f>
        <v>7.0947528830313011</v>
      </c>
      <c r="J24" s="230"/>
      <c r="K24" s="230">
        <f>IFERROR(_xlfn.XLOOKUP($A24,'Raw Data'!$A:$A,'Raw Data'!$AV:$AV),"")</f>
        <v>0</v>
      </c>
      <c r="L24" s="230">
        <f>IFERROR(_xlfn.XLOOKUP($A24,'Raw Data'!$A:$A,'Raw Data'!$AW:$AW),"")</f>
        <v>0</v>
      </c>
      <c r="M24" s="230">
        <f>IFERROR(_xlfn.XLOOKUP($A24,'Raw Data'!$A:$A,'Raw Data'!$AX:$AX),"")</f>
        <v>0</v>
      </c>
      <c r="N24" s="230">
        <f>IFERROR(_xlfn.XLOOKUP($A24,'Raw Data'!$A:$A,'Raw Data'!$AY:$AY),"")</f>
        <v>0</v>
      </c>
      <c r="O24" s="231">
        <f>IFERROR(1-(SUMIF('Plant BD'!$B:$B,A24,'Plant BD'!$AE:$AE)/(AA24+SUMIF('Plant BD'!$B:$B,A24,'Plant BD'!$AE:$AE))),"")</f>
        <v>1</v>
      </c>
      <c r="P24" s="231"/>
      <c r="Q24" s="232"/>
      <c r="R24" s="231">
        <f>IFERROR(1-(SUMIF('Grid BD'!$B:$B,$A24,'Grid BD'!$AD:$AD)/($AA24+SUMIF('Grid BD'!$B:$B,$A24,'Grid BD'!AD:AD))),"")</f>
        <v>1</v>
      </c>
      <c r="S24" s="6"/>
      <c r="T24" s="232"/>
      <c r="U24" s="233">
        <f t="shared" si="4"/>
        <v>0.73894317966641254</v>
      </c>
      <c r="V24" s="233"/>
      <c r="W24" s="234">
        <f t="shared" si="2"/>
        <v>0.21844246893060823</v>
      </c>
      <c r="X24" s="227">
        <f>IFERROR(_xlfn.XLOOKUP($A24,'Raw Data'!$A:$A,'Raw Data'!$BA:$BA),"")</f>
        <v>129867</v>
      </c>
      <c r="Y24" s="227">
        <f>IFERROR(_xlfn.XLOOKUP($A24,'Raw Data'!$A:$A,'Raw Data'!BJ:BJ),"")</f>
        <v>128399.30000001914</v>
      </c>
      <c r="Z24" s="227">
        <f>IFERROR(_xlfn.XLOOKUP($A24,'Raw Data'!$A:$A,'Raw Data'!BK:BK),"")</f>
        <v>987.39999999997963</v>
      </c>
      <c r="AA24" s="227">
        <f>IFERROR(_xlfn.XLOOKUP($A24,'Raw Data'!$A:$A,'Raw Data'!BL:BL),"")</f>
        <v>127411.90000001916</v>
      </c>
      <c r="AB24" s="227">
        <f>IFERROR(_xlfn.XLOOKUP($A24,'Raw Data'!$A:$A,'Raw Data'!$H:$H),"")</f>
        <v>24.303100000000001</v>
      </c>
      <c r="AC24" s="145">
        <f>IFERROR(_xlfn.XLOOKUP($D24,'Modelling New'!$D:$D,'Modelling New'!$P:$P),"")</f>
        <v>6.6233333333333331</v>
      </c>
      <c r="AD24" s="227">
        <f>IFERROR(_xlfn.XLOOKUP($D24,'Modelling New'!$D:$D,'Modelling New'!$T:$T)*1000,"")</f>
        <v>120499.94015769019</v>
      </c>
      <c r="AE24" s="234">
        <f>IFERROR(_xlfn.XLOOKUP($D24,'Modelling New'!$D:$D,'Modelling New'!$O:$O),"")</f>
        <v>0.74859779740027077</v>
      </c>
      <c r="AF24" s="234">
        <f>IFERROR(_xlfn.XLOOKUP($D24,'Modelling New'!$D:$D,'Modelling New'!$W:$W),"")</f>
        <v>0.20659219769921358</v>
      </c>
      <c r="AG24" s="234">
        <f>IFERROR(_xlfn.XLOOKUP($D24,'Modelling New'!$D:$D,'Modelling New'!AE:AE),"")</f>
        <v>0.995</v>
      </c>
      <c r="AH24" s="234">
        <v>0.99750000000000005</v>
      </c>
      <c r="AI24" s="6"/>
      <c r="AJ24" s="6"/>
      <c r="AK24" s="6"/>
      <c r="AL24" s="6"/>
      <c r="AM24" s="6"/>
      <c r="AN24" s="231"/>
      <c r="AO24" s="234"/>
      <c r="AP24" s="234"/>
      <c r="AQ24" s="234"/>
      <c r="AR24" s="227">
        <f>IFERROR(_xlfn.XLOOKUP($D24,'Modelling New'!$D:$D,'Modelling New'!$N:$N),"")</f>
        <v>24.303100000000001</v>
      </c>
      <c r="AS24" s="227"/>
    </row>
    <row r="25" spans="1:45" x14ac:dyDescent="0.35">
      <c r="A25" s="226">
        <f t="shared" si="5"/>
        <v>45768</v>
      </c>
      <c r="B25" s="227">
        <f>YEAR(Daily_KPI[[#This Row],[Date]])+IF(MONTH(Daily_KPI[[#This Row],[Date]])&gt;=4,1,0)</f>
        <v>2026</v>
      </c>
      <c r="C25" s="6">
        <f>YEAR(Daily_KPI[[#This Row],[Date]])</f>
        <v>2025</v>
      </c>
      <c r="D25" s="228">
        <f>Daily_KPI[[#This Row],[Date]]-DAY(Daily_KPI[[#This Row],[Date]])+1</f>
        <v>45748</v>
      </c>
      <c r="E25" s="6">
        <f t="shared" si="0"/>
        <v>30</v>
      </c>
      <c r="F25" s="229">
        <f>IFERROR(_xlfn.XLOOKUP($A25,'Raw Data'!$A:$A,'Raw Data'!$BR:$BR),"")</f>
        <v>12.150000000000002</v>
      </c>
      <c r="G25" s="230">
        <f>IFERROR(_xlfn.XLOOKUP($A25,'Raw Data'!$A:$A,'Raw Data'!$AO:$AO),"")</f>
        <v>0</v>
      </c>
      <c r="H25" s="230"/>
      <c r="I25" s="230">
        <f>IFERROR(_xlfn.XLOOKUP($A25,'Raw Data'!$A:$A,'Raw Data'!$AR:$AR),"")</f>
        <v>6.9852775947281707</v>
      </c>
      <c r="J25" s="230"/>
      <c r="K25" s="230">
        <f>IFERROR(_xlfn.XLOOKUP($A25,'Raw Data'!$A:$A,'Raw Data'!$AV:$AV),"")</f>
        <v>0</v>
      </c>
      <c r="L25" s="230">
        <f>IFERROR(_xlfn.XLOOKUP($A25,'Raw Data'!$A:$A,'Raw Data'!$AW:$AW),"")</f>
        <v>0</v>
      </c>
      <c r="M25" s="230">
        <f>IFERROR(_xlfn.XLOOKUP($A25,'Raw Data'!$A:$A,'Raw Data'!$AX:$AX),"")</f>
        <v>0</v>
      </c>
      <c r="N25" s="230">
        <f>IFERROR(_xlfn.XLOOKUP($A25,'Raw Data'!$A:$A,'Raw Data'!$AY:$AY),"")</f>
        <v>0</v>
      </c>
      <c r="O25" s="231">
        <f>IFERROR(1-(SUMIF('Plant BD'!$B:$B,A25,'Plant BD'!$AE:$AE)/(AA25+SUMIF('Plant BD'!$B:$B,A25,'Plant BD'!$AE:$AE))),"")</f>
        <v>1</v>
      </c>
      <c r="P25" s="231"/>
      <c r="Q25" s="232"/>
      <c r="R25" s="231">
        <f>IFERROR(1-(SUMIF('Grid BD'!$B:$B,$A25,'Grid BD'!$AD:$AD)/($AA25+SUMIF('Grid BD'!$B:$B,$A25,'Grid BD'!AD:AD))),"")</f>
        <v>1</v>
      </c>
      <c r="S25" s="6"/>
      <c r="T25" s="232"/>
      <c r="U25" s="233">
        <f t="shared" si="4"/>
        <v>0.7371378724483052</v>
      </c>
      <c r="V25" s="233"/>
      <c r="W25" s="234">
        <f t="shared" si="2"/>
        <v>0.21454636102661409</v>
      </c>
      <c r="X25" s="227">
        <f>IFERROR(_xlfn.XLOOKUP($A25,'Raw Data'!$A:$A,'Raw Data'!$BA:$BA),"")</f>
        <v>127429</v>
      </c>
      <c r="Y25" s="227">
        <f>IFERROR(_xlfn.XLOOKUP($A25,'Raw Data'!$A:$A,'Raw Data'!BJ:BJ),"")</f>
        <v>125960.39999998175</v>
      </c>
      <c r="Z25" s="227">
        <f>IFERROR(_xlfn.XLOOKUP($A25,'Raw Data'!$A:$A,'Raw Data'!BK:BK),"")</f>
        <v>821.00000000002638</v>
      </c>
      <c r="AA25" s="227">
        <f>IFERROR(_xlfn.XLOOKUP($A25,'Raw Data'!$A:$A,'Raw Data'!BL:BL),"")</f>
        <v>125139.39999998172</v>
      </c>
      <c r="AB25" s="227">
        <f>IFERROR(_xlfn.XLOOKUP($A25,'Raw Data'!$A:$A,'Raw Data'!$H:$H),"")</f>
        <v>24.303100000000001</v>
      </c>
      <c r="AC25" s="145">
        <f>IFERROR(_xlfn.XLOOKUP($D25,'Modelling New'!$D:$D,'Modelling New'!$P:$P),"")</f>
        <v>6.6233333333333331</v>
      </c>
      <c r="AD25" s="227">
        <f>IFERROR(_xlfn.XLOOKUP($D25,'Modelling New'!$D:$D,'Modelling New'!$T:$T)*1000,"")</f>
        <v>120499.94015769019</v>
      </c>
      <c r="AE25" s="234">
        <f>IFERROR(_xlfn.XLOOKUP($D25,'Modelling New'!$D:$D,'Modelling New'!$O:$O),"")</f>
        <v>0.74859779740027077</v>
      </c>
      <c r="AF25" s="234">
        <f>IFERROR(_xlfn.XLOOKUP($D25,'Modelling New'!$D:$D,'Modelling New'!$W:$W),"")</f>
        <v>0.20659219769921358</v>
      </c>
      <c r="AG25" s="234">
        <f>IFERROR(_xlfn.XLOOKUP($D25,'Modelling New'!$D:$D,'Modelling New'!AE:AE),"")</f>
        <v>0.995</v>
      </c>
      <c r="AH25" s="234">
        <v>0.99750000000000005</v>
      </c>
      <c r="AI25" s="6"/>
      <c r="AJ25" s="6"/>
      <c r="AK25" s="6"/>
      <c r="AL25" s="6"/>
      <c r="AM25" s="6"/>
      <c r="AN25" s="231"/>
      <c r="AO25" s="234"/>
      <c r="AP25" s="234"/>
      <c r="AQ25" s="234"/>
      <c r="AR25" s="227">
        <f>IFERROR(_xlfn.XLOOKUP($D25,'Modelling New'!$D:$D,'Modelling New'!$N:$N),"")</f>
        <v>24.303100000000001</v>
      </c>
      <c r="AS25" s="227"/>
    </row>
    <row r="26" spans="1:45" x14ac:dyDescent="0.35">
      <c r="A26" s="226">
        <f t="shared" si="5"/>
        <v>45769</v>
      </c>
      <c r="B26" s="227">
        <f>YEAR(Daily_KPI[[#This Row],[Date]])+IF(MONTH(Daily_KPI[[#This Row],[Date]])&gt;=4,1,0)</f>
        <v>2026</v>
      </c>
      <c r="C26" s="6">
        <f>YEAR(Daily_KPI[[#This Row],[Date]])</f>
        <v>2025</v>
      </c>
      <c r="D26" s="228">
        <f>Daily_KPI[[#This Row],[Date]]-DAY(Daily_KPI[[#This Row],[Date]])+1</f>
        <v>45748</v>
      </c>
      <c r="E26" s="6">
        <f t="shared" si="0"/>
        <v>30</v>
      </c>
      <c r="F26" s="229">
        <f>IFERROR(_xlfn.XLOOKUP($A26,'Raw Data'!$A:$A,'Raw Data'!$BR:$BR),"")</f>
        <v>12.083333333333336</v>
      </c>
      <c r="G26" s="230">
        <f>IFERROR(_xlfn.XLOOKUP($A26,'Raw Data'!$A:$A,'Raw Data'!$AO:$AO),"")</f>
        <v>0</v>
      </c>
      <c r="H26" s="230"/>
      <c r="I26" s="230">
        <f>IFERROR(_xlfn.XLOOKUP($A26,'Raw Data'!$A:$A,'Raw Data'!$AR:$AR),"")</f>
        <v>6.8710646622734757</v>
      </c>
      <c r="J26" s="230"/>
      <c r="K26" s="230">
        <f>IFERROR(_xlfn.XLOOKUP($A26,'Raw Data'!$A:$A,'Raw Data'!$AV:$AV),"")</f>
        <v>0</v>
      </c>
      <c r="L26" s="230">
        <f>IFERROR(_xlfn.XLOOKUP($A26,'Raw Data'!$A:$A,'Raw Data'!$AW:$AW),"")</f>
        <v>0</v>
      </c>
      <c r="M26" s="230">
        <f>IFERROR(_xlfn.XLOOKUP($A26,'Raw Data'!$A:$A,'Raw Data'!$AX:$AX),"")</f>
        <v>0</v>
      </c>
      <c r="N26" s="230">
        <f>IFERROR(_xlfn.XLOOKUP($A26,'Raw Data'!$A:$A,'Raw Data'!$AY:$AY),"")</f>
        <v>0</v>
      </c>
      <c r="O26" s="231">
        <f>IFERROR(1-(SUMIF('Plant BD'!$B:$B,A26,'Plant BD'!$AE:$AE)/(AA26+SUMIF('Plant BD'!$B:$B,A26,'Plant BD'!$AE:$AE))),"")</f>
        <v>1</v>
      </c>
      <c r="P26" s="231"/>
      <c r="Q26" s="232"/>
      <c r="R26" s="231">
        <f>IFERROR(1-(SUMIF('Grid BD'!$B:$B,$A26,'Grid BD'!$AD:$AD)/($AA26+SUMIF('Grid BD'!$B:$B,$A26,'Grid BD'!AD:AD))),"")</f>
        <v>1</v>
      </c>
      <c r="S26" s="6"/>
      <c r="T26" s="232"/>
      <c r="U26" s="233">
        <f t="shared" si="4"/>
        <v>0.72848093873379127</v>
      </c>
      <c r="V26" s="233"/>
      <c r="W26" s="234">
        <f t="shared" si="2"/>
        <v>0.20855998480306509</v>
      </c>
      <c r="X26" s="227">
        <f>IFERROR(_xlfn.XLOOKUP($A26,'Raw Data'!$A:$A,'Raw Data'!$BA:$BA),"")</f>
        <v>124065</v>
      </c>
      <c r="Y26" s="227">
        <f>IFERROR(_xlfn.XLOOKUP($A26,'Raw Data'!$A:$A,'Raw Data'!BJ:BJ),"")</f>
        <v>122641.9000000169</v>
      </c>
      <c r="Z26" s="227">
        <f>IFERROR(_xlfn.XLOOKUP($A26,'Raw Data'!$A:$A,'Raw Data'!BK:BK),"")</f>
        <v>994.19999999997799</v>
      </c>
      <c r="AA26" s="227">
        <f>IFERROR(_xlfn.XLOOKUP($A26,'Raw Data'!$A:$A,'Raw Data'!BL:BL),"")</f>
        <v>121647.70000001692</v>
      </c>
      <c r="AB26" s="227">
        <f>IFERROR(_xlfn.XLOOKUP($A26,'Raw Data'!$A:$A,'Raw Data'!$H:$H),"")</f>
        <v>24.303100000000001</v>
      </c>
      <c r="AC26" s="145">
        <f>IFERROR(_xlfn.XLOOKUP($D26,'Modelling New'!$D:$D,'Modelling New'!$P:$P),"")</f>
        <v>6.6233333333333331</v>
      </c>
      <c r="AD26" s="227">
        <f>IFERROR(_xlfn.XLOOKUP($D26,'Modelling New'!$D:$D,'Modelling New'!$T:$T)*1000,"")</f>
        <v>120499.94015769019</v>
      </c>
      <c r="AE26" s="234">
        <f>IFERROR(_xlfn.XLOOKUP($D26,'Modelling New'!$D:$D,'Modelling New'!$O:$O),"")</f>
        <v>0.74859779740027077</v>
      </c>
      <c r="AF26" s="234">
        <f>IFERROR(_xlfn.XLOOKUP($D26,'Modelling New'!$D:$D,'Modelling New'!$W:$W),"")</f>
        <v>0.20659219769921358</v>
      </c>
      <c r="AG26" s="234">
        <f>IFERROR(_xlfn.XLOOKUP($D26,'Modelling New'!$D:$D,'Modelling New'!AE:AE),"")</f>
        <v>0.995</v>
      </c>
      <c r="AH26" s="234">
        <v>0.99750000000000005</v>
      </c>
      <c r="AI26" s="6"/>
      <c r="AJ26" s="6"/>
      <c r="AK26" s="6"/>
      <c r="AL26" s="6"/>
      <c r="AM26" s="6"/>
      <c r="AN26" s="231"/>
      <c r="AO26" s="234"/>
      <c r="AP26" s="234"/>
      <c r="AQ26" s="234"/>
      <c r="AR26" s="227">
        <f>IFERROR(_xlfn.XLOOKUP($D26,'Modelling New'!$D:$D,'Modelling New'!$N:$N),"")</f>
        <v>24.303100000000001</v>
      </c>
      <c r="AS26" s="227"/>
    </row>
    <row r="27" spans="1:45" x14ac:dyDescent="0.35">
      <c r="A27" s="226">
        <f t="shared" si="5"/>
        <v>45770</v>
      </c>
      <c r="B27" s="227">
        <f>YEAR(Daily_KPI[[#This Row],[Date]])+IF(MONTH(Daily_KPI[[#This Row],[Date]])&gt;=4,1,0)</f>
        <v>2026</v>
      </c>
      <c r="C27" s="6">
        <f>YEAR(Daily_KPI[[#This Row],[Date]])</f>
        <v>2025</v>
      </c>
      <c r="D27" s="228">
        <f>Daily_KPI[[#This Row],[Date]]-DAY(Daily_KPI[[#This Row],[Date]])+1</f>
        <v>45748</v>
      </c>
      <c r="E27" s="6">
        <f t="shared" si="0"/>
        <v>30</v>
      </c>
      <c r="F27" s="229">
        <f>IFERROR(_xlfn.XLOOKUP($A27,'Raw Data'!$A:$A,'Raw Data'!$BR:$BR),"")</f>
        <v>12.066666666666666</v>
      </c>
      <c r="G27" s="230">
        <f>IFERROR(_xlfn.XLOOKUP($A27,'Raw Data'!$A:$A,'Raw Data'!$AO:$AO),"")</f>
        <v>0</v>
      </c>
      <c r="H27" s="230"/>
      <c r="I27" s="230">
        <f>IFERROR(_xlfn.XLOOKUP($A27,'Raw Data'!$A:$A,'Raw Data'!$AR:$AR),"")</f>
        <v>6.7994905271828667</v>
      </c>
      <c r="J27" s="230"/>
      <c r="K27" s="230">
        <f>IFERROR(_xlfn.XLOOKUP($A27,'Raw Data'!$A:$A,'Raw Data'!$AV:$AV),"")</f>
        <v>0</v>
      </c>
      <c r="L27" s="230">
        <f>IFERROR(_xlfn.XLOOKUP($A27,'Raw Data'!$A:$A,'Raw Data'!$AW:$AW),"")</f>
        <v>0</v>
      </c>
      <c r="M27" s="230">
        <f>IFERROR(_xlfn.XLOOKUP($A27,'Raw Data'!$A:$A,'Raw Data'!$AX:$AX),"")</f>
        <v>0</v>
      </c>
      <c r="N27" s="230">
        <f>IFERROR(_xlfn.XLOOKUP($A27,'Raw Data'!$A:$A,'Raw Data'!$AY:$AY),"")</f>
        <v>0</v>
      </c>
      <c r="O27" s="231">
        <f>IFERROR(1-(SUMIF('Plant BD'!$B:$B,A27,'Plant BD'!$AE:$AE)/(AA27+SUMIF('Plant BD'!$B:$B,A27,'Plant BD'!$AE:$AE))),"")</f>
        <v>0.99962513184925517</v>
      </c>
      <c r="P27" s="231"/>
      <c r="Q27" s="232"/>
      <c r="R27" s="231">
        <f>IFERROR(1-(SUMIF('Grid BD'!$B:$B,$A27,'Grid BD'!$AD:$AD)/($AA27+SUMIF('Grid BD'!$B:$B,$A27,'Grid BD'!AD:AD))),"")</f>
        <v>1</v>
      </c>
      <c r="S27" s="6"/>
      <c r="T27" s="232"/>
      <c r="U27" s="233">
        <f t="shared" si="4"/>
        <v>0.73137520170299064</v>
      </c>
      <c r="V27" s="233"/>
      <c r="W27" s="234">
        <f t="shared" si="2"/>
        <v>0.20720744815816433</v>
      </c>
      <c r="X27" s="227">
        <f>IFERROR(_xlfn.XLOOKUP($A27,'Raw Data'!$A:$A,'Raw Data'!$BA:$BA),"")</f>
        <v>123397</v>
      </c>
      <c r="Y27" s="227">
        <f>IFERROR(_xlfn.XLOOKUP($A27,'Raw Data'!$A:$A,'Raw Data'!BJ:BJ),"")</f>
        <v>121851.9999999844</v>
      </c>
      <c r="Z27" s="227">
        <f>IFERROR(_xlfn.XLOOKUP($A27,'Raw Data'!$A:$A,'Raw Data'!BK:BK),"")</f>
        <v>993.20000000000164</v>
      </c>
      <c r="AA27" s="227">
        <f>IFERROR(_xlfn.XLOOKUP($A27,'Raw Data'!$A:$A,'Raw Data'!BL:BL),"")</f>
        <v>120858.7999999844</v>
      </c>
      <c r="AB27" s="227">
        <f>IFERROR(_xlfn.XLOOKUP($A27,'Raw Data'!$A:$A,'Raw Data'!$H:$H),"")</f>
        <v>24.303100000000001</v>
      </c>
      <c r="AC27" s="145">
        <f>IFERROR(_xlfn.XLOOKUP($D27,'Modelling New'!$D:$D,'Modelling New'!$P:$P),"")</f>
        <v>6.6233333333333331</v>
      </c>
      <c r="AD27" s="227">
        <f>IFERROR(_xlfn.XLOOKUP($D27,'Modelling New'!$D:$D,'Modelling New'!$T:$T)*1000,"")</f>
        <v>120499.94015769019</v>
      </c>
      <c r="AE27" s="234">
        <f>IFERROR(_xlfn.XLOOKUP($D27,'Modelling New'!$D:$D,'Modelling New'!$O:$O),"")</f>
        <v>0.74859779740027077</v>
      </c>
      <c r="AF27" s="234">
        <f>IFERROR(_xlfn.XLOOKUP($D27,'Modelling New'!$D:$D,'Modelling New'!$W:$W),"")</f>
        <v>0.20659219769921358</v>
      </c>
      <c r="AG27" s="234">
        <f>IFERROR(_xlfn.XLOOKUP($D27,'Modelling New'!$D:$D,'Modelling New'!AE:AE),"")</f>
        <v>0.995</v>
      </c>
      <c r="AH27" s="234">
        <v>0.99750000000000005</v>
      </c>
      <c r="AI27" s="6"/>
      <c r="AJ27" s="6"/>
      <c r="AK27" s="6"/>
      <c r="AL27" s="6"/>
      <c r="AM27" s="6"/>
      <c r="AN27" s="231"/>
      <c r="AO27" s="234"/>
      <c r="AP27" s="234"/>
      <c r="AQ27" s="234"/>
      <c r="AR27" s="227">
        <f>IFERROR(_xlfn.XLOOKUP($D27,'Modelling New'!$D:$D,'Modelling New'!$N:$N),"")</f>
        <v>24.303100000000001</v>
      </c>
      <c r="AS27" s="227"/>
    </row>
    <row r="28" spans="1:45" x14ac:dyDescent="0.35">
      <c r="A28" s="226">
        <f t="shared" si="5"/>
        <v>45771</v>
      </c>
      <c r="B28" s="227">
        <f>YEAR(Daily_KPI[[#This Row],[Date]])+IF(MONTH(Daily_KPI[[#This Row],[Date]])&gt;=4,1,0)</f>
        <v>2026</v>
      </c>
      <c r="C28" s="6">
        <f>YEAR(Daily_KPI[[#This Row],[Date]])</f>
        <v>2025</v>
      </c>
      <c r="D28" s="228">
        <f>Daily_KPI[[#This Row],[Date]]-DAY(Daily_KPI[[#This Row],[Date]])+1</f>
        <v>45748</v>
      </c>
      <c r="E28" s="6">
        <f t="shared" si="0"/>
        <v>30</v>
      </c>
      <c r="F28" s="229">
        <f>IFERROR(_xlfn.XLOOKUP($A28,'Raw Data'!$A:$A,'Raw Data'!$BR:$BR),"")</f>
        <v>12.150000000000002</v>
      </c>
      <c r="G28" s="230">
        <f>IFERROR(_xlfn.XLOOKUP($A28,'Raw Data'!$A:$A,'Raw Data'!$AO:$AO),"")</f>
        <v>0</v>
      </c>
      <c r="H28" s="230"/>
      <c r="I28" s="230">
        <f>IFERROR(_xlfn.XLOOKUP($A28,'Raw Data'!$A:$A,'Raw Data'!$AR:$AR),"")</f>
        <v>6.5423712108731458</v>
      </c>
      <c r="J28" s="230"/>
      <c r="K28" s="230">
        <f>IFERROR(_xlfn.XLOOKUP($A28,'Raw Data'!$A:$A,'Raw Data'!$AV:$AV),"")</f>
        <v>0</v>
      </c>
      <c r="L28" s="230">
        <f>IFERROR(_xlfn.XLOOKUP($A28,'Raw Data'!$A:$A,'Raw Data'!$AW:$AW),"")</f>
        <v>0</v>
      </c>
      <c r="M28" s="230">
        <f>IFERROR(_xlfn.XLOOKUP($A28,'Raw Data'!$A:$A,'Raw Data'!$AX:$AX),"")</f>
        <v>0</v>
      </c>
      <c r="N28" s="230">
        <f>IFERROR(_xlfn.XLOOKUP($A28,'Raw Data'!$A:$A,'Raw Data'!$AY:$AY),"")</f>
        <v>0</v>
      </c>
      <c r="O28" s="231">
        <f>IFERROR(1-(SUMIF('Plant BD'!$B:$B,A28,'Plant BD'!$AE:$AE)/(AA28+SUMIF('Plant BD'!$B:$B,A28,'Plant BD'!$AE:$AE))),"")</f>
        <v>1</v>
      </c>
      <c r="P28" s="231"/>
      <c r="Q28" s="232"/>
      <c r="R28" s="231">
        <f>IFERROR(1-(SUMIF('Grid BD'!$B:$B,$A28,'Grid BD'!$AD:$AD)/($AA28+SUMIF('Grid BD'!$B:$B,$A28,'Grid BD'!AD:AD))),"")</f>
        <v>1</v>
      </c>
      <c r="S28" s="6"/>
      <c r="T28" s="232"/>
      <c r="U28" s="233">
        <f t="shared" si="4"/>
        <v>0.75754637993721485</v>
      </c>
      <c r="V28" s="233"/>
      <c r="W28" s="234">
        <f t="shared" si="2"/>
        <v>0.20650623445843352</v>
      </c>
      <c r="X28" s="227">
        <f>IFERROR(_xlfn.XLOOKUP($A28,'Raw Data'!$A:$A,'Raw Data'!$BA:$BA),"")</f>
        <v>122817</v>
      </c>
      <c r="Y28" s="227">
        <f>IFERROR(_xlfn.XLOOKUP($A28,'Raw Data'!$A:$A,'Raw Data'!BJ:BJ),"")</f>
        <v>121416.10000000219</v>
      </c>
      <c r="Z28" s="227">
        <f>IFERROR(_xlfn.XLOOKUP($A28,'Raw Data'!$A:$A,'Raw Data'!BK:BK),"")</f>
        <v>966.30000000004657</v>
      </c>
      <c r="AA28" s="227">
        <f>IFERROR(_xlfn.XLOOKUP($A28,'Raw Data'!$A:$A,'Raw Data'!BL:BL),"")</f>
        <v>120449.80000000214</v>
      </c>
      <c r="AB28" s="227">
        <f>IFERROR(_xlfn.XLOOKUP($A28,'Raw Data'!$A:$A,'Raw Data'!$H:$H),"")</f>
        <v>24.303100000000001</v>
      </c>
      <c r="AC28" s="145">
        <f>IFERROR(_xlfn.XLOOKUP($D28,'Modelling New'!$D:$D,'Modelling New'!$P:$P),"")</f>
        <v>6.6233333333333331</v>
      </c>
      <c r="AD28" s="227">
        <f>IFERROR(_xlfn.XLOOKUP($D28,'Modelling New'!$D:$D,'Modelling New'!$T:$T)*1000,"")</f>
        <v>120499.94015769019</v>
      </c>
      <c r="AE28" s="234">
        <f>IFERROR(_xlfn.XLOOKUP($D28,'Modelling New'!$D:$D,'Modelling New'!$O:$O),"")</f>
        <v>0.74859779740027077</v>
      </c>
      <c r="AF28" s="234">
        <f>IFERROR(_xlfn.XLOOKUP($D28,'Modelling New'!$D:$D,'Modelling New'!$W:$W),"")</f>
        <v>0.20659219769921358</v>
      </c>
      <c r="AG28" s="234">
        <f>IFERROR(_xlfn.XLOOKUP($D28,'Modelling New'!$D:$D,'Modelling New'!AE:AE),"")</f>
        <v>0.995</v>
      </c>
      <c r="AH28" s="234">
        <v>0.99750000000000005</v>
      </c>
      <c r="AI28" s="6"/>
      <c r="AJ28" s="6"/>
      <c r="AK28" s="6"/>
      <c r="AL28" s="6"/>
      <c r="AM28" s="6"/>
      <c r="AN28" s="231"/>
      <c r="AO28" s="234"/>
      <c r="AP28" s="234"/>
      <c r="AQ28" s="234"/>
      <c r="AR28" s="227">
        <f>IFERROR(_xlfn.XLOOKUP($D28,'Modelling New'!$D:$D,'Modelling New'!$N:$N),"")</f>
        <v>24.303100000000001</v>
      </c>
      <c r="AS28" s="227"/>
    </row>
    <row r="29" spans="1:45" x14ac:dyDescent="0.35">
      <c r="A29" s="226">
        <f t="shared" si="5"/>
        <v>45772</v>
      </c>
      <c r="B29" s="227">
        <f>YEAR(Daily_KPI[[#This Row],[Date]])+IF(MONTH(Daily_KPI[[#This Row],[Date]])&gt;=4,1,0)</f>
        <v>2026</v>
      </c>
      <c r="C29" s="6">
        <f>YEAR(Daily_KPI[[#This Row],[Date]])</f>
        <v>2025</v>
      </c>
      <c r="D29" s="228">
        <f>Daily_KPI[[#This Row],[Date]]-DAY(Daily_KPI[[#This Row],[Date]])+1</f>
        <v>45748</v>
      </c>
      <c r="E29" s="6">
        <f t="shared" si="0"/>
        <v>30</v>
      </c>
      <c r="F29" s="229">
        <f>IFERROR(_xlfn.XLOOKUP($A29,'Raw Data'!$A:$A,'Raw Data'!$BR:$BR),"")</f>
        <v>12.033333333333333</v>
      </c>
      <c r="G29" s="230">
        <f>IFERROR(_xlfn.XLOOKUP($A29,'Raw Data'!$A:$A,'Raw Data'!$AO:$AO),"")</f>
        <v>0</v>
      </c>
      <c r="H29" s="230"/>
      <c r="I29" s="230">
        <f>IFERROR(_xlfn.XLOOKUP($A29,'Raw Data'!$A:$A,'Raw Data'!$AR:$AR),"")</f>
        <v>6.2895771828665561</v>
      </c>
      <c r="J29" s="230"/>
      <c r="K29" s="230">
        <f>IFERROR(_xlfn.XLOOKUP($A29,'Raw Data'!$A:$A,'Raw Data'!$AV:$AV),"")</f>
        <v>0</v>
      </c>
      <c r="L29" s="230">
        <f>IFERROR(_xlfn.XLOOKUP($A29,'Raw Data'!$A:$A,'Raw Data'!$AW:$AW),"")</f>
        <v>0</v>
      </c>
      <c r="M29" s="230">
        <f>IFERROR(_xlfn.XLOOKUP($A29,'Raw Data'!$A:$A,'Raw Data'!$AX:$AX),"")</f>
        <v>0</v>
      </c>
      <c r="N29" s="230">
        <f>IFERROR(_xlfn.XLOOKUP($A29,'Raw Data'!$A:$A,'Raw Data'!$AY:$AY),"")</f>
        <v>0</v>
      </c>
      <c r="O29" s="231">
        <f>IFERROR(1-(SUMIF('Plant BD'!$B:$B,A29,'Plant BD'!$AE:$AE)/(AA29+SUMIF('Plant BD'!$B:$B,A29,'Plant BD'!$AE:$AE))),"")</f>
        <v>0.99926271532780986</v>
      </c>
      <c r="P29" s="231"/>
      <c r="Q29" s="232"/>
      <c r="R29" s="231">
        <f>IFERROR(1-(SUMIF('Grid BD'!$B:$B,$A29,'Grid BD'!$AD:$AD)/($AA29+SUMIF('Grid BD'!$B:$B,$A29,'Grid BD'!AD:AD))),"")</f>
        <v>1</v>
      </c>
      <c r="S29" s="6"/>
      <c r="T29" s="232"/>
      <c r="U29" s="233">
        <f t="shared" si="4"/>
        <v>0.75063087111061966</v>
      </c>
      <c r="V29" s="233"/>
      <c r="W29" s="234">
        <f t="shared" si="2"/>
        <v>0.19671461665385834</v>
      </c>
      <c r="X29" s="227">
        <f>IFERROR(_xlfn.XLOOKUP($A29,'Raw Data'!$A:$A,'Raw Data'!$BA:$BA),"")</f>
        <v>116766</v>
      </c>
      <c r="Y29" s="227">
        <f>IFERROR(_xlfn.XLOOKUP($A29,'Raw Data'!$A:$A,'Raw Data'!BJ:BJ),"")</f>
        <v>115519.80000000913</v>
      </c>
      <c r="Z29" s="227">
        <f>IFERROR(_xlfn.XLOOKUP($A29,'Raw Data'!$A:$A,'Raw Data'!BK:BK),"")</f>
        <v>781.19999999989886</v>
      </c>
      <c r="AA29" s="227">
        <f>IFERROR(_xlfn.XLOOKUP($A29,'Raw Data'!$A:$A,'Raw Data'!BL:BL),"")</f>
        <v>114738.60000000923</v>
      </c>
      <c r="AB29" s="227">
        <f>IFERROR(_xlfn.XLOOKUP($A29,'Raw Data'!$A:$A,'Raw Data'!$H:$H),"")</f>
        <v>24.303100000000001</v>
      </c>
      <c r="AC29" s="145">
        <f>IFERROR(_xlfn.XLOOKUP($D29,'Modelling New'!$D:$D,'Modelling New'!$P:$P),"")</f>
        <v>6.6233333333333331</v>
      </c>
      <c r="AD29" s="227">
        <f>IFERROR(_xlfn.XLOOKUP($D29,'Modelling New'!$D:$D,'Modelling New'!$T:$T)*1000,"")</f>
        <v>120499.94015769019</v>
      </c>
      <c r="AE29" s="234">
        <f>IFERROR(_xlfn.XLOOKUP($D29,'Modelling New'!$D:$D,'Modelling New'!$O:$O),"")</f>
        <v>0.74859779740027077</v>
      </c>
      <c r="AF29" s="234">
        <f>IFERROR(_xlfn.XLOOKUP($D29,'Modelling New'!$D:$D,'Modelling New'!$W:$W),"")</f>
        <v>0.20659219769921358</v>
      </c>
      <c r="AG29" s="234">
        <f>IFERROR(_xlfn.XLOOKUP($D29,'Modelling New'!$D:$D,'Modelling New'!AE:AE),"")</f>
        <v>0.995</v>
      </c>
      <c r="AH29" s="234">
        <v>0.99750000000000005</v>
      </c>
      <c r="AI29" s="6"/>
      <c r="AJ29" s="6"/>
      <c r="AK29" s="6"/>
      <c r="AL29" s="6"/>
      <c r="AM29" s="6"/>
      <c r="AN29" s="231"/>
      <c r="AO29" s="234"/>
      <c r="AP29" s="234"/>
      <c r="AQ29" s="234"/>
      <c r="AR29" s="227">
        <f>IFERROR(_xlfn.XLOOKUP($D29,'Modelling New'!$D:$D,'Modelling New'!$N:$N),"")</f>
        <v>24.303100000000001</v>
      </c>
      <c r="AS29" s="227"/>
    </row>
    <row r="30" spans="1:45" x14ac:dyDescent="0.35">
      <c r="A30" s="226">
        <f t="shared" si="5"/>
        <v>45773</v>
      </c>
      <c r="B30" s="227">
        <f>YEAR(Daily_KPI[[#This Row],[Date]])+IF(MONTH(Daily_KPI[[#This Row],[Date]])&gt;=4,1,0)</f>
        <v>2026</v>
      </c>
      <c r="C30" s="6">
        <f>YEAR(Daily_KPI[[#This Row],[Date]])</f>
        <v>2025</v>
      </c>
      <c r="D30" s="228">
        <f>Daily_KPI[[#This Row],[Date]]-DAY(Daily_KPI[[#This Row],[Date]])+1</f>
        <v>45748</v>
      </c>
      <c r="E30" s="6">
        <f t="shared" si="0"/>
        <v>30</v>
      </c>
      <c r="F30" s="229">
        <f>IFERROR(_xlfn.XLOOKUP($A30,'Raw Data'!$A:$A,'Raw Data'!$BR:$BR),"")</f>
        <v>11.983333333333334</v>
      </c>
      <c r="G30" s="230">
        <f>IFERROR(_xlfn.XLOOKUP($A30,'Raw Data'!$A:$A,'Raw Data'!$AO:$AO),"")</f>
        <v>0</v>
      </c>
      <c r="H30" s="230"/>
      <c r="I30" s="230">
        <f>IFERROR(_xlfn.XLOOKUP($A30,'Raw Data'!$A:$A,'Raw Data'!$AR:$AR),"")</f>
        <v>5.9606418451400325</v>
      </c>
      <c r="J30" s="230"/>
      <c r="K30" s="230">
        <f>IFERROR(_xlfn.XLOOKUP($A30,'Raw Data'!$A:$A,'Raw Data'!$AV:$AV),"")</f>
        <v>0</v>
      </c>
      <c r="L30" s="230">
        <f>IFERROR(_xlfn.XLOOKUP($A30,'Raw Data'!$A:$A,'Raw Data'!$AW:$AW),"")</f>
        <v>0</v>
      </c>
      <c r="M30" s="230">
        <f>IFERROR(_xlfn.XLOOKUP($A30,'Raw Data'!$A:$A,'Raw Data'!$AX:$AX),"")</f>
        <v>0</v>
      </c>
      <c r="N30" s="230">
        <f>IFERROR(_xlfn.XLOOKUP($A30,'Raw Data'!$A:$A,'Raw Data'!$AY:$AY),"")</f>
        <v>0</v>
      </c>
      <c r="O30" s="231">
        <f>IFERROR(1-(SUMIF('Plant BD'!$B:$B,A30,'Plant BD'!$AE:$AE)/(AA30+SUMIF('Plant BD'!$B:$B,A30,'Plant BD'!$AE:$AE))),"")</f>
        <v>0.99911840037563926</v>
      </c>
      <c r="P30" s="231"/>
      <c r="Q30" s="232"/>
      <c r="R30" s="231">
        <f>IFERROR(1-(SUMIF('Grid BD'!$B:$B,$A30,'Grid BD'!$AD:$AD)/($AA30+SUMIF('Grid BD'!$B:$B,$A30,'Grid BD'!AD:AD))),"")</f>
        <v>1</v>
      </c>
      <c r="S30" s="6"/>
      <c r="T30" s="232"/>
      <c r="U30" s="233">
        <f t="shared" si="4"/>
        <v>0.75675569420916955</v>
      </c>
      <c r="V30" s="233"/>
      <c r="W30" s="234">
        <f t="shared" si="2"/>
        <v>0.18794790239379877</v>
      </c>
      <c r="X30" s="227">
        <f>IFERROR(_xlfn.XLOOKUP($A30,'Raw Data'!$A:$A,'Raw Data'!$BA:$BA),"")</f>
        <v>111571</v>
      </c>
      <c r="Y30" s="227">
        <f>IFERROR(_xlfn.XLOOKUP($A30,'Raw Data'!$A:$A,'Raw Data'!BJ:BJ),"")</f>
        <v>110508.00000000163</v>
      </c>
      <c r="Z30" s="227">
        <f>IFERROR(_xlfn.XLOOKUP($A30,'Raw Data'!$A:$A,'Raw Data'!BK:BK),"")</f>
        <v>882.8000000000884</v>
      </c>
      <c r="AA30" s="227">
        <f>IFERROR(_xlfn.XLOOKUP($A30,'Raw Data'!$A:$A,'Raw Data'!BL:BL),"")</f>
        <v>109625.20000000154</v>
      </c>
      <c r="AB30" s="227">
        <f>IFERROR(_xlfn.XLOOKUP($A30,'Raw Data'!$A:$A,'Raw Data'!$H:$H),"")</f>
        <v>24.303100000000001</v>
      </c>
      <c r="AC30" s="145">
        <f>IFERROR(_xlfn.XLOOKUP($D30,'Modelling New'!$D:$D,'Modelling New'!$P:$P),"")</f>
        <v>6.6233333333333331</v>
      </c>
      <c r="AD30" s="227">
        <f>IFERROR(_xlfn.XLOOKUP($D30,'Modelling New'!$D:$D,'Modelling New'!$T:$T)*1000,"")</f>
        <v>120499.94015769019</v>
      </c>
      <c r="AE30" s="234">
        <f>IFERROR(_xlfn.XLOOKUP($D30,'Modelling New'!$D:$D,'Modelling New'!$O:$O),"")</f>
        <v>0.74859779740027077</v>
      </c>
      <c r="AF30" s="234">
        <f>IFERROR(_xlfn.XLOOKUP($D30,'Modelling New'!$D:$D,'Modelling New'!$W:$W),"")</f>
        <v>0.20659219769921358</v>
      </c>
      <c r="AG30" s="234">
        <f>IFERROR(_xlfn.XLOOKUP($D30,'Modelling New'!$D:$D,'Modelling New'!AE:AE),"")</f>
        <v>0.995</v>
      </c>
      <c r="AH30" s="234">
        <v>0.99750000000000005</v>
      </c>
      <c r="AI30" s="6"/>
      <c r="AJ30" s="6"/>
      <c r="AK30" s="6"/>
      <c r="AL30" s="6"/>
      <c r="AM30" s="6"/>
      <c r="AN30" s="231"/>
      <c r="AO30" s="234"/>
      <c r="AP30" s="234"/>
      <c r="AQ30" s="234"/>
      <c r="AR30" s="227">
        <f>IFERROR(_xlfn.XLOOKUP($D30,'Modelling New'!$D:$D,'Modelling New'!$N:$N),"")</f>
        <v>24.303100000000001</v>
      </c>
      <c r="AS30" s="227"/>
    </row>
    <row r="31" spans="1:45" x14ac:dyDescent="0.35">
      <c r="A31" s="226">
        <f t="shared" si="5"/>
        <v>45774</v>
      </c>
      <c r="B31" s="227">
        <f>YEAR(Daily_KPI[[#This Row],[Date]])+IF(MONTH(Daily_KPI[[#This Row],[Date]])&gt;=4,1,0)</f>
        <v>2026</v>
      </c>
      <c r="C31" s="6">
        <f>YEAR(Daily_KPI[[#This Row],[Date]])</f>
        <v>2025</v>
      </c>
      <c r="D31" s="228">
        <f>Daily_KPI[[#This Row],[Date]]-DAY(Daily_KPI[[#This Row],[Date]])+1</f>
        <v>45748</v>
      </c>
      <c r="E31" s="6">
        <f t="shared" si="0"/>
        <v>30</v>
      </c>
      <c r="F31" s="229">
        <f>IFERROR(_xlfn.XLOOKUP($A31,'Raw Data'!$A:$A,'Raw Data'!$BR:$BR),"")</f>
        <v>12.116666666666669</v>
      </c>
      <c r="G31" s="230">
        <f>IFERROR(_xlfn.XLOOKUP($A31,'Raw Data'!$A:$A,'Raw Data'!$AO:$AO),"")</f>
        <v>0</v>
      </c>
      <c r="H31" s="230"/>
      <c r="I31" s="230">
        <f>IFERROR(_xlfn.XLOOKUP($A31,'Raw Data'!$A:$A,'Raw Data'!$AR:$AR),"")</f>
        <v>7.1502547364085665</v>
      </c>
      <c r="J31" s="230"/>
      <c r="K31" s="230">
        <f>IFERROR(_xlfn.XLOOKUP($A31,'Raw Data'!$A:$A,'Raw Data'!$AV:$AV),"")</f>
        <v>0</v>
      </c>
      <c r="L31" s="230">
        <f>IFERROR(_xlfn.XLOOKUP($A31,'Raw Data'!$A:$A,'Raw Data'!$AW:$AW),"")</f>
        <v>0</v>
      </c>
      <c r="M31" s="230">
        <f>IFERROR(_xlfn.XLOOKUP($A31,'Raw Data'!$A:$A,'Raw Data'!$AX:$AX),"")</f>
        <v>0</v>
      </c>
      <c r="N31" s="230">
        <f>IFERROR(_xlfn.XLOOKUP($A31,'Raw Data'!$A:$A,'Raw Data'!$AY:$AY),"")</f>
        <v>0</v>
      </c>
      <c r="O31" s="231">
        <f>IFERROR(1-(SUMIF('Plant BD'!$B:$B,A31,'Plant BD'!$AE:$AE)/(AA31+SUMIF('Plant BD'!$B:$B,A31,'Plant BD'!$AE:$AE))),"")</f>
        <v>1</v>
      </c>
      <c r="P31" s="231"/>
      <c r="Q31" s="232"/>
      <c r="R31" s="231">
        <f>IFERROR(1-(SUMIF('Grid BD'!$B:$B,$A31,'Grid BD'!$AD:$AD)/($AA31+SUMIF('Grid BD'!$B:$B,$A31,'Grid BD'!AD:AD))),"")</f>
        <v>1</v>
      </c>
      <c r="S31" s="6"/>
      <c r="T31" s="232"/>
      <c r="U31" s="233">
        <f t="shared" si="4"/>
        <v>0.70986026236412481</v>
      </c>
      <c r="V31" s="233"/>
      <c r="W31" s="234">
        <f t="shared" si="2"/>
        <v>0.21148673763155465</v>
      </c>
      <c r="X31" s="227">
        <f>IFERROR(_xlfn.XLOOKUP($A31,'Raw Data'!$A:$A,'Raw Data'!$BA:$BA),"")</f>
        <v>125565</v>
      </c>
      <c r="Y31" s="227">
        <f>IFERROR(_xlfn.XLOOKUP($A31,'Raw Data'!$A:$A,'Raw Data'!BJ:BJ),"")</f>
        <v>124093.80000000237</v>
      </c>
      <c r="Z31" s="227">
        <f>IFERROR(_xlfn.XLOOKUP($A31,'Raw Data'!$A:$A,'Raw Data'!BK:BK),"")</f>
        <v>738.99999999991905</v>
      </c>
      <c r="AA31" s="227">
        <f>IFERROR(_xlfn.XLOOKUP($A31,'Raw Data'!$A:$A,'Raw Data'!BL:BL),"")</f>
        <v>123354.80000000246</v>
      </c>
      <c r="AB31" s="227">
        <f>IFERROR(_xlfn.XLOOKUP($A31,'Raw Data'!$A:$A,'Raw Data'!$H:$H),"")</f>
        <v>24.303100000000001</v>
      </c>
      <c r="AC31" s="145">
        <f>IFERROR(_xlfn.XLOOKUP($D31,'Modelling New'!$D:$D,'Modelling New'!$P:$P),"")</f>
        <v>6.6233333333333331</v>
      </c>
      <c r="AD31" s="227">
        <f>IFERROR(_xlfn.XLOOKUP($D31,'Modelling New'!$D:$D,'Modelling New'!$T:$T)*1000,"")</f>
        <v>120499.94015769019</v>
      </c>
      <c r="AE31" s="234">
        <f>IFERROR(_xlfn.XLOOKUP($D31,'Modelling New'!$D:$D,'Modelling New'!$O:$O),"")</f>
        <v>0.74859779740027077</v>
      </c>
      <c r="AF31" s="234">
        <f>IFERROR(_xlfn.XLOOKUP($D31,'Modelling New'!$D:$D,'Modelling New'!$W:$W),"")</f>
        <v>0.20659219769921358</v>
      </c>
      <c r="AG31" s="234">
        <f>IFERROR(_xlfn.XLOOKUP($D31,'Modelling New'!$D:$D,'Modelling New'!AE:AE),"")</f>
        <v>0.995</v>
      </c>
      <c r="AH31" s="234">
        <v>0.99750000000000005</v>
      </c>
      <c r="AI31" s="6"/>
      <c r="AJ31" s="6"/>
      <c r="AK31" s="6"/>
      <c r="AL31" s="6"/>
      <c r="AM31" s="6"/>
      <c r="AN31" s="231"/>
      <c r="AO31" s="234"/>
      <c r="AP31" s="234"/>
      <c r="AQ31" s="234"/>
      <c r="AR31" s="227">
        <f>IFERROR(_xlfn.XLOOKUP($D31,'Modelling New'!$D:$D,'Modelling New'!$N:$N),"")</f>
        <v>24.303100000000001</v>
      </c>
      <c r="AS31" s="227"/>
    </row>
    <row r="32" spans="1:45" x14ac:dyDescent="0.35">
      <c r="A32" s="226">
        <f t="shared" si="5"/>
        <v>45775</v>
      </c>
      <c r="B32" s="227">
        <f>YEAR(Daily_KPI[[#This Row],[Date]])+IF(MONTH(Daily_KPI[[#This Row],[Date]])&gt;=4,1,0)</f>
        <v>2026</v>
      </c>
      <c r="C32" s="6">
        <f>YEAR(Daily_KPI[[#This Row],[Date]])</f>
        <v>2025</v>
      </c>
      <c r="D32" s="228">
        <f>Daily_KPI[[#This Row],[Date]]-DAY(Daily_KPI[[#This Row],[Date]])+1</f>
        <v>45748</v>
      </c>
      <c r="E32" s="6">
        <f t="shared" si="0"/>
        <v>30</v>
      </c>
      <c r="F32" s="229">
        <f>IFERROR(_xlfn.XLOOKUP($A32,'Raw Data'!$A:$A,'Raw Data'!$BR:$BR),"")</f>
        <v>12.2</v>
      </c>
      <c r="G32" s="230">
        <f>IFERROR(_xlfn.XLOOKUP($A32,'Raw Data'!$A:$A,'Raw Data'!$AO:$AO),"")</f>
        <v>0</v>
      </c>
      <c r="H32" s="230"/>
      <c r="I32" s="230">
        <f>IFERROR(_xlfn.XLOOKUP($A32,'Raw Data'!$A:$A,'Raw Data'!$AR:$AR),"")</f>
        <v>6.9611156095551898</v>
      </c>
      <c r="J32" s="230"/>
      <c r="K32" s="230">
        <f>IFERROR(_xlfn.XLOOKUP($A32,'Raw Data'!$A:$A,'Raw Data'!$AV:$AV),"")</f>
        <v>0</v>
      </c>
      <c r="L32" s="230">
        <f>IFERROR(_xlfn.XLOOKUP($A32,'Raw Data'!$A:$A,'Raw Data'!$AW:$AW),"")</f>
        <v>0</v>
      </c>
      <c r="M32" s="230">
        <f>IFERROR(_xlfn.XLOOKUP($A32,'Raw Data'!$A:$A,'Raw Data'!$AX:$AX),"")</f>
        <v>0</v>
      </c>
      <c r="N32" s="230">
        <f>IFERROR(_xlfn.XLOOKUP($A32,'Raw Data'!$A:$A,'Raw Data'!$AY:$AY),"")</f>
        <v>0</v>
      </c>
      <c r="O32" s="231">
        <f>IFERROR(1-(SUMIF('Plant BD'!$B:$B,A32,'Plant BD'!$AE:$AE)/(AA32+SUMIF('Plant BD'!$B:$B,A32,'Plant BD'!$AE:$AE))),"")</f>
        <v>1</v>
      </c>
      <c r="P32" s="231"/>
      <c r="Q32" s="232"/>
      <c r="R32" s="231">
        <f>IFERROR(1-(SUMIF('Grid BD'!$B:$B,$A32,'Grid BD'!$AD:$AD)/($AA32+SUMIF('Grid BD'!$B:$B,$A32,'Grid BD'!AD:AD))),"")</f>
        <v>1</v>
      </c>
      <c r="S32" s="6"/>
      <c r="T32" s="232"/>
      <c r="U32" s="233">
        <f t="shared" si="4"/>
        <v>0.72956741792821633</v>
      </c>
      <c r="V32" s="233"/>
      <c r="W32" s="234">
        <f t="shared" si="2"/>
        <v>0.21160846421512422</v>
      </c>
      <c r="X32" s="227">
        <f>IFERROR(_xlfn.XLOOKUP($A32,'Raw Data'!$A:$A,'Raw Data'!$BA:$BA),"")</f>
        <v>125912</v>
      </c>
      <c r="Y32" s="227">
        <f>IFERROR(_xlfn.XLOOKUP($A32,'Raw Data'!$A:$A,'Raw Data'!BJ:BJ),"")</f>
        <v>124347.99999999814</v>
      </c>
      <c r="Z32" s="227">
        <f>IFERROR(_xlfn.XLOOKUP($A32,'Raw Data'!$A:$A,'Raw Data'!BK:BK),"")</f>
        <v>922.20000000008895</v>
      </c>
      <c r="AA32" s="227">
        <f>IFERROR(_xlfn.XLOOKUP($A32,'Raw Data'!$A:$A,'Raw Data'!BL:BL),"")</f>
        <v>123425.79999999805</v>
      </c>
      <c r="AB32" s="227">
        <f>IFERROR(_xlfn.XLOOKUP($A32,'Raw Data'!$A:$A,'Raw Data'!$H:$H),"")</f>
        <v>24.303100000000001</v>
      </c>
      <c r="AC32" s="145">
        <f>IFERROR(_xlfn.XLOOKUP($D32,'Modelling New'!$D:$D,'Modelling New'!$P:$P),"")</f>
        <v>6.6233333333333331</v>
      </c>
      <c r="AD32" s="227">
        <f>IFERROR(_xlfn.XLOOKUP($D32,'Modelling New'!$D:$D,'Modelling New'!$T:$T)*1000,"")</f>
        <v>120499.94015769019</v>
      </c>
      <c r="AE32" s="234">
        <f>IFERROR(_xlfn.XLOOKUP($D32,'Modelling New'!$D:$D,'Modelling New'!$O:$O),"")</f>
        <v>0.74859779740027077</v>
      </c>
      <c r="AF32" s="234">
        <f>IFERROR(_xlfn.XLOOKUP($D32,'Modelling New'!$D:$D,'Modelling New'!$W:$W),"")</f>
        <v>0.20659219769921358</v>
      </c>
      <c r="AG32" s="234">
        <f>IFERROR(_xlfn.XLOOKUP($D32,'Modelling New'!$D:$D,'Modelling New'!AE:AE),"")</f>
        <v>0.995</v>
      </c>
      <c r="AH32" s="234">
        <v>0.99750000000000005</v>
      </c>
      <c r="AI32" s="6"/>
      <c r="AJ32" s="6"/>
      <c r="AK32" s="6"/>
      <c r="AL32" s="6"/>
      <c r="AM32" s="6"/>
      <c r="AN32" s="231"/>
      <c r="AO32" s="234"/>
      <c r="AP32" s="234"/>
      <c r="AQ32" s="234"/>
      <c r="AR32" s="227">
        <f>IFERROR(_xlfn.XLOOKUP($D32,'Modelling New'!$D:$D,'Modelling New'!$N:$N),"")</f>
        <v>24.303100000000001</v>
      </c>
      <c r="AS32" s="227"/>
    </row>
    <row r="33" spans="1:45" x14ac:dyDescent="0.35">
      <c r="A33" s="226">
        <f t="shared" si="5"/>
        <v>45776</v>
      </c>
      <c r="B33" s="227">
        <f>YEAR(Daily_KPI[[#This Row],[Date]])+IF(MONTH(Daily_KPI[[#This Row],[Date]])&gt;=4,1,0)</f>
        <v>2026</v>
      </c>
      <c r="C33" s="6">
        <f>YEAR(Daily_KPI[[#This Row],[Date]])</f>
        <v>2025</v>
      </c>
      <c r="D33" s="228">
        <f>Daily_KPI[[#This Row],[Date]]-DAY(Daily_KPI[[#This Row],[Date]])+1</f>
        <v>45748</v>
      </c>
      <c r="E33" s="6">
        <f t="shared" si="0"/>
        <v>30</v>
      </c>
      <c r="F33" s="229">
        <f>IFERROR(_xlfn.XLOOKUP($A33,'Raw Data'!$A:$A,'Raw Data'!$BR:$BR),"")</f>
        <v>12.183333333333335</v>
      </c>
      <c r="G33" s="230">
        <f>IFERROR(_xlfn.XLOOKUP($A33,'Raw Data'!$A:$A,'Raw Data'!$AO:$AO),"")</f>
        <v>0</v>
      </c>
      <c r="H33" s="230"/>
      <c r="I33" s="230">
        <f>IFERROR(_xlfn.XLOOKUP($A33,'Raw Data'!$A:$A,'Raw Data'!$AR:$AR),"")</f>
        <v>7.0776973640856671</v>
      </c>
      <c r="J33" s="230"/>
      <c r="K33" s="230">
        <f>IFERROR(_xlfn.XLOOKUP($A33,'Raw Data'!$A:$A,'Raw Data'!$AV:$AV),"")</f>
        <v>0</v>
      </c>
      <c r="L33" s="230">
        <f>IFERROR(_xlfn.XLOOKUP($A33,'Raw Data'!$A:$A,'Raw Data'!$AW:$AW),"")</f>
        <v>0</v>
      </c>
      <c r="M33" s="230">
        <f>IFERROR(_xlfn.XLOOKUP($A33,'Raw Data'!$A:$A,'Raw Data'!$AX:$AX),"")</f>
        <v>0</v>
      </c>
      <c r="N33" s="230">
        <f>IFERROR(_xlfn.XLOOKUP($A33,'Raw Data'!$A:$A,'Raw Data'!$AY:$AY),"")</f>
        <v>0</v>
      </c>
      <c r="O33" s="231">
        <f>IFERROR(1-(SUMIF('Plant BD'!$B:$B,A33,'Plant BD'!$AE:$AE)/(AA33+SUMIF('Plant BD'!$B:$B,A33,'Plant BD'!$AE:$AE))),"")</f>
        <v>1</v>
      </c>
      <c r="P33" s="231"/>
      <c r="Q33" s="232"/>
      <c r="R33" s="231">
        <f>IFERROR(1-(SUMIF('Grid BD'!$B:$B,$A33,'Grid BD'!$AD:$AD)/($AA33+SUMIF('Grid BD'!$B:$B,$A33,'Grid BD'!AD:AD))),"")</f>
        <v>1</v>
      </c>
      <c r="S33" s="6"/>
      <c r="T33" s="232"/>
      <c r="U33" s="233">
        <f t="shared" si="4"/>
        <v>0.72883965824101982</v>
      </c>
      <c r="V33" s="233"/>
      <c r="W33" s="234">
        <f t="shared" si="2"/>
        <v>0.21493777199889852</v>
      </c>
      <c r="X33" s="227">
        <f>IFERROR(_xlfn.XLOOKUP($A33,'Raw Data'!$A:$A,'Raw Data'!$BA:$BA),"")</f>
        <v>127893</v>
      </c>
      <c r="Y33" s="227">
        <f>IFERROR(_xlfn.XLOOKUP($A33,'Raw Data'!$A:$A,'Raw Data'!BJ:BJ),"")</f>
        <v>126236.39999999432</v>
      </c>
      <c r="Z33" s="227">
        <f>IFERROR(_xlfn.XLOOKUP($A33,'Raw Data'!$A:$A,'Raw Data'!BK:BK),"")</f>
        <v>868.69999999998981</v>
      </c>
      <c r="AA33" s="227">
        <f>IFERROR(_xlfn.XLOOKUP($A33,'Raw Data'!$A:$A,'Raw Data'!BL:BL),"")</f>
        <v>125367.69999999434</v>
      </c>
      <c r="AB33" s="227">
        <f>IFERROR(_xlfn.XLOOKUP($A33,'Raw Data'!$A:$A,'Raw Data'!$H:$H),"")</f>
        <v>24.303100000000001</v>
      </c>
      <c r="AC33" s="145">
        <f>IFERROR(_xlfn.XLOOKUP($D33,'Modelling New'!$D:$D,'Modelling New'!$P:$P),"")</f>
        <v>6.6233333333333331</v>
      </c>
      <c r="AD33" s="227">
        <f>IFERROR(_xlfn.XLOOKUP($D33,'Modelling New'!$D:$D,'Modelling New'!$T:$T)*1000,"")</f>
        <v>120499.94015769019</v>
      </c>
      <c r="AE33" s="234">
        <f>IFERROR(_xlfn.XLOOKUP($D33,'Modelling New'!$D:$D,'Modelling New'!$O:$O),"")</f>
        <v>0.74859779740027077</v>
      </c>
      <c r="AF33" s="234">
        <f>IFERROR(_xlfn.XLOOKUP($D33,'Modelling New'!$D:$D,'Modelling New'!$W:$W),"")</f>
        <v>0.20659219769921358</v>
      </c>
      <c r="AG33" s="234">
        <f>IFERROR(_xlfn.XLOOKUP($D33,'Modelling New'!$D:$D,'Modelling New'!AE:AE),"")</f>
        <v>0.995</v>
      </c>
      <c r="AH33" s="234">
        <v>0.99750000000000005</v>
      </c>
      <c r="AI33" s="6"/>
      <c r="AJ33" s="6"/>
      <c r="AK33" s="6"/>
      <c r="AL33" s="6"/>
      <c r="AM33" s="6"/>
      <c r="AN33" s="231"/>
      <c r="AO33" s="234"/>
      <c r="AP33" s="234"/>
      <c r="AQ33" s="234"/>
      <c r="AR33" s="227">
        <f>IFERROR(_xlfn.XLOOKUP($D33,'Modelling New'!$D:$D,'Modelling New'!$N:$N),"")</f>
        <v>24.303100000000001</v>
      </c>
      <c r="AS33" s="227"/>
    </row>
    <row r="34" spans="1:45" x14ac:dyDescent="0.35">
      <c r="A34" s="226">
        <f t="shared" si="5"/>
        <v>45777</v>
      </c>
      <c r="B34" s="227">
        <f>YEAR(Daily_KPI[[#This Row],[Date]])+IF(MONTH(Daily_KPI[[#This Row],[Date]])&gt;=4,1,0)</f>
        <v>2026</v>
      </c>
      <c r="C34" s="6">
        <f>YEAR(Daily_KPI[[#This Row],[Date]])</f>
        <v>2025</v>
      </c>
      <c r="D34" s="228">
        <f>Daily_KPI[[#This Row],[Date]]-DAY(Daily_KPI[[#This Row],[Date]])+1</f>
        <v>45748</v>
      </c>
      <c r="E34" s="6">
        <f t="shared" si="0"/>
        <v>30</v>
      </c>
      <c r="F34" s="229">
        <f>IFERROR(_xlfn.XLOOKUP($A34,'Raw Data'!$A:$A,'Raw Data'!$BR:$BR),"")</f>
        <v>12.283333333333335</v>
      </c>
      <c r="G34" s="230">
        <f>IFERROR(_xlfn.XLOOKUP($A34,'Raw Data'!$A:$A,'Raw Data'!$AO:$AO),"")</f>
        <v>0</v>
      </c>
      <c r="H34" s="230"/>
      <c r="I34" s="230">
        <f>IFERROR(_xlfn.XLOOKUP($A34,'Raw Data'!$A:$A,'Raw Data'!$AR:$AR),"")</f>
        <v>6.3762760708401975</v>
      </c>
      <c r="J34" s="230"/>
      <c r="K34" s="230">
        <f>IFERROR(_xlfn.XLOOKUP($A34,'Raw Data'!$A:$A,'Raw Data'!$AV:$AV),"")</f>
        <v>0</v>
      </c>
      <c r="L34" s="230">
        <f>IFERROR(_xlfn.XLOOKUP($A34,'Raw Data'!$A:$A,'Raw Data'!$AW:$AW),"")</f>
        <v>0</v>
      </c>
      <c r="M34" s="230">
        <f>IFERROR(_xlfn.XLOOKUP($A34,'Raw Data'!$A:$A,'Raw Data'!$AX:$AX),"")</f>
        <v>0</v>
      </c>
      <c r="N34" s="230">
        <f>IFERROR(_xlfn.XLOOKUP($A34,'Raw Data'!$A:$A,'Raw Data'!$AY:$AY),"")</f>
        <v>0</v>
      </c>
      <c r="O34" s="231">
        <f>IFERROR(1-(SUMIF('Plant BD'!$B:$B,A34,'Plant BD'!$AE:$AE)/(AA34+SUMIF('Plant BD'!$B:$B,A34,'Plant BD'!$AE:$AE))),"")</f>
        <v>1</v>
      </c>
      <c r="P34" s="231"/>
      <c r="Q34" s="232"/>
      <c r="R34" s="231">
        <f>IFERROR(1-(SUMIF('Grid BD'!$B:$B,$A34,'Grid BD'!$AD:$AD)/($AA34+SUMIF('Grid BD'!$B:$B,$A34,'Grid BD'!AD:AD))),"")</f>
        <v>1</v>
      </c>
      <c r="S34" s="6"/>
      <c r="T34" s="232"/>
      <c r="U34" s="233">
        <f t="shared" si="4"/>
        <v>0.76442563579927203</v>
      </c>
      <c r="V34" s="233"/>
      <c r="W34" s="234">
        <f t="shared" si="2"/>
        <v>0.20309120372848757</v>
      </c>
      <c r="X34" s="227">
        <f>IFERROR(_xlfn.XLOOKUP($A34,'Raw Data'!$A:$A,'Raw Data'!$BA:$BA),"")</f>
        <v>120825</v>
      </c>
      <c r="Y34" s="227">
        <f>IFERROR(_xlfn.XLOOKUP($A34,'Raw Data'!$A:$A,'Raw Data'!BJ:BJ),"")</f>
        <v>119527.20000001136</v>
      </c>
      <c r="Z34" s="227">
        <f>IFERROR(_xlfn.XLOOKUP($A34,'Raw Data'!$A:$A,'Raw Data'!BK:BK),"")</f>
        <v>1069.2999999999984</v>
      </c>
      <c r="AA34" s="227">
        <f>IFERROR(_xlfn.XLOOKUP($A34,'Raw Data'!$A:$A,'Raw Data'!BL:BL),"")</f>
        <v>118457.90000001136</v>
      </c>
      <c r="AB34" s="227">
        <f>IFERROR(_xlfn.XLOOKUP($A34,'Raw Data'!$A:$A,'Raw Data'!$H:$H),"")</f>
        <v>24.303100000000001</v>
      </c>
      <c r="AC34" s="145">
        <f>IFERROR(_xlfn.XLOOKUP($D34,'Modelling New'!$D:$D,'Modelling New'!$P:$P),"")</f>
        <v>6.6233333333333331</v>
      </c>
      <c r="AD34" s="227">
        <f>IFERROR(_xlfn.XLOOKUP($D34,'Modelling New'!$D:$D,'Modelling New'!$T:$T)*1000,"")</f>
        <v>120499.94015769019</v>
      </c>
      <c r="AE34" s="234">
        <f>IFERROR(_xlfn.XLOOKUP($D34,'Modelling New'!$D:$D,'Modelling New'!$O:$O),"")</f>
        <v>0.74859779740027077</v>
      </c>
      <c r="AF34" s="234">
        <f>IFERROR(_xlfn.XLOOKUP($D34,'Modelling New'!$D:$D,'Modelling New'!$W:$W),"")</f>
        <v>0.20659219769921358</v>
      </c>
      <c r="AG34" s="234">
        <f>IFERROR(_xlfn.XLOOKUP($D34,'Modelling New'!$D:$D,'Modelling New'!AE:AE),"")</f>
        <v>0.995</v>
      </c>
      <c r="AH34" s="234">
        <v>0.99750000000000005</v>
      </c>
      <c r="AI34" s="6"/>
      <c r="AJ34" s="6"/>
      <c r="AK34" s="6"/>
      <c r="AL34" s="6"/>
      <c r="AM34" s="6"/>
      <c r="AN34" s="231"/>
      <c r="AO34" s="234"/>
      <c r="AP34" s="234"/>
      <c r="AQ34" s="234"/>
      <c r="AR34" s="227">
        <f>IFERROR(_xlfn.XLOOKUP($D34,'Modelling New'!$D:$D,'Modelling New'!$N:$N),"")</f>
        <v>24.303100000000001</v>
      </c>
      <c r="AS34" s="227"/>
    </row>
    <row r="35" spans="1:45" x14ac:dyDescent="0.35">
      <c r="A35" s="226">
        <f t="shared" si="5"/>
        <v>45778</v>
      </c>
      <c r="B35" s="227">
        <f>YEAR(Daily_KPI[[#This Row],[Date]])+IF(MONTH(Daily_KPI[[#This Row],[Date]])&gt;=4,1,0)</f>
        <v>2026</v>
      </c>
      <c r="C35" s="6">
        <f>YEAR(Daily_KPI[[#This Row],[Date]])</f>
        <v>2025</v>
      </c>
      <c r="D35" s="228">
        <f>Daily_KPI[[#This Row],[Date]]-DAY(Daily_KPI[[#This Row],[Date]])+1</f>
        <v>45778</v>
      </c>
      <c r="E35" s="6">
        <f t="shared" si="0"/>
        <v>31</v>
      </c>
      <c r="F35" s="229">
        <f>IFERROR(_xlfn.XLOOKUP($A35,'Raw Data'!$A:$A,'Raw Data'!$BR:$BR),"")</f>
        <v>12.266666666666666</v>
      </c>
      <c r="G35" s="230">
        <f>IFERROR(_xlfn.XLOOKUP($A35,'Raw Data'!$A:$A,'Raw Data'!$AO:$AO),"")</f>
        <v>0</v>
      </c>
      <c r="H35" s="230"/>
      <c r="I35" s="230">
        <f>IFERROR(_xlfn.XLOOKUP($A35,'Raw Data'!$A:$A,'Raw Data'!$AR:$AR),"")</f>
        <v>6.869952100494233</v>
      </c>
      <c r="J35" s="230"/>
      <c r="K35" s="230">
        <f>IFERROR(_xlfn.XLOOKUP($A35,'Raw Data'!$A:$A,'Raw Data'!$AV:$AV),"")</f>
        <v>0</v>
      </c>
      <c r="L35" s="230">
        <f>IFERROR(_xlfn.XLOOKUP($A35,'Raw Data'!$A:$A,'Raw Data'!$AW:$AW),"")</f>
        <v>0</v>
      </c>
      <c r="M35" s="230">
        <f>IFERROR(_xlfn.XLOOKUP($A35,'Raw Data'!$A:$A,'Raw Data'!$AX:$AX),"")</f>
        <v>0</v>
      </c>
      <c r="N35" s="230">
        <f>IFERROR(_xlfn.XLOOKUP($A35,'Raw Data'!$A:$A,'Raw Data'!$AY:$AY),"")</f>
        <v>0</v>
      </c>
      <c r="O35" s="231">
        <f>IFERROR(1-(SUMIF('Plant BD'!$B:$B,A35,'Plant BD'!$AE:$AE)/(AA35+SUMIF('Plant BD'!$B:$B,A35,'Plant BD'!$AE:$AE))),"")</f>
        <v>1</v>
      </c>
      <c r="P35" s="231"/>
      <c r="Q35" s="232"/>
      <c r="R35" s="231">
        <f>IFERROR(1-(SUMIF('Grid BD'!$B:$B,$A35,'Grid BD'!$AD:$AD)/($AA35+SUMIF('Grid BD'!$B:$B,$A35,'Grid BD'!AD:AD))),"")</f>
        <v>1</v>
      </c>
      <c r="S35" s="6"/>
      <c r="T35" s="232"/>
      <c r="U35" s="233">
        <f t="shared" si="4"/>
        <v>0.7312396477200036</v>
      </c>
      <c r="V35" s="233"/>
      <c r="W35" s="234">
        <f t="shared" si="2"/>
        <v>0.20931588974244589</v>
      </c>
      <c r="X35" s="227">
        <f>IFERROR(_xlfn.XLOOKUP($A35,'Raw Data'!$A:$A,'Raw Data'!$BA:$BA),"")</f>
        <v>124372</v>
      </c>
      <c r="Y35" s="227">
        <f>IFERROR(_xlfn.XLOOKUP($A35,'Raw Data'!$A:$A,'Raw Data'!BJ:BJ),"")</f>
        <v>122931.7999999912</v>
      </c>
      <c r="Z35" s="227">
        <f>IFERROR(_xlfn.XLOOKUP($A35,'Raw Data'!$A:$A,'Raw Data'!BK:BK),"")</f>
        <v>843.19999999991069</v>
      </c>
      <c r="AA35" s="227">
        <f>IFERROR(_xlfn.XLOOKUP($A35,'Raw Data'!$A:$A,'Raw Data'!BL:BL),"")</f>
        <v>122088.59999999129</v>
      </c>
      <c r="AB35" s="227">
        <f>IFERROR(_xlfn.XLOOKUP($A35,'Raw Data'!$A:$A,'Raw Data'!$H:$H),"")</f>
        <v>24.303100000000001</v>
      </c>
      <c r="AC35" s="145">
        <f>IFERROR(_xlfn.XLOOKUP($D35,'Modelling New'!$D:$D,'Modelling New'!$P:$P),"")</f>
        <v>6.5290322580645164</v>
      </c>
      <c r="AD35" s="227">
        <f>IFERROR(_xlfn.XLOOKUP($D35,'Modelling New'!$D:$D,'Modelling New'!$T:$T)*1000,"")</f>
        <v>119905.71730852894</v>
      </c>
      <c r="AE35" s="234">
        <f>IFERROR(_xlfn.XLOOKUP($D35,'Modelling New'!$D:$D,'Modelling New'!$O:$O),"")</f>
        <v>0.75566516656343796</v>
      </c>
      <c r="AF35" s="234">
        <f>IFERROR(_xlfn.XLOOKUP($D35,'Modelling New'!$D:$D,'Modelling New'!$W:$W),"")</f>
        <v>0.20557342703284925</v>
      </c>
      <c r="AG35" s="234">
        <f>IFERROR(_xlfn.XLOOKUP($D35,'Modelling New'!$D:$D,'Modelling New'!AE:AE),"")</f>
        <v>0.995</v>
      </c>
      <c r="AH35" s="234">
        <v>0.99750000000000005</v>
      </c>
      <c r="AI35" s="6"/>
      <c r="AJ35" s="6"/>
      <c r="AK35" s="6"/>
      <c r="AL35" s="6"/>
      <c r="AM35" s="6"/>
      <c r="AN35" s="231"/>
      <c r="AO35" s="234"/>
      <c r="AP35" s="234"/>
      <c r="AQ35" s="234"/>
      <c r="AR35" s="227">
        <f>IFERROR(_xlfn.XLOOKUP($D35,'Modelling New'!$D:$D,'Modelling New'!$N:$N),"")</f>
        <v>24.303100000000001</v>
      </c>
      <c r="AS35" s="227"/>
    </row>
    <row r="36" spans="1:45" x14ac:dyDescent="0.35">
      <c r="A36" s="226">
        <f t="shared" si="5"/>
        <v>45779</v>
      </c>
      <c r="B36" s="227">
        <f>YEAR(Daily_KPI[[#This Row],[Date]])+IF(MONTH(Daily_KPI[[#This Row],[Date]])&gt;=4,1,0)</f>
        <v>2026</v>
      </c>
      <c r="C36" s="6">
        <f>YEAR(Daily_KPI[[#This Row],[Date]])</f>
        <v>2025</v>
      </c>
      <c r="D36" s="228">
        <f>Daily_KPI[[#This Row],[Date]]-DAY(Daily_KPI[[#This Row],[Date]])+1</f>
        <v>45778</v>
      </c>
      <c r="E36" s="6">
        <f t="shared" si="0"/>
        <v>31</v>
      </c>
      <c r="F36" s="229">
        <f>IFERROR(_xlfn.XLOOKUP($A36,'Raw Data'!$A:$A,'Raw Data'!$BR:$BR),"")</f>
        <v>12.266666666666666</v>
      </c>
      <c r="G36" s="230">
        <f>IFERROR(_xlfn.XLOOKUP($A36,'Raw Data'!$A:$A,'Raw Data'!$AO:$AO),"")</f>
        <v>0</v>
      </c>
      <c r="H36" s="230"/>
      <c r="I36" s="230">
        <f>IFERROR(_xlfn.XLOOKUP($A36,'Raw Data'!$A:$A,'Raw Data'!$AR:$AR),"")</f>
        <v>6.6161217051070835</v>
      </c>
      <c r="J36" s="230"/>
      <c r="K36" s="230">
        <f>IFERROR(_xlfn.XLOOKUP($A36,'Raw Data'!$A:$A,'Raw Data'!$AV:$AV),"")</f>
        <v>0</v>
      </c>
      <c r="L36" s="230">
        <f>IFERROR(_xlfn.XLOOKUP($A36,'Raw Data'!$A:$A,'Raw Data'!$AW:$AW),"")</f>
        <v>0</v>
      </c>
      <c r="M36" s="230">
        <f>IFERROR(_xlfn.XLOOKUP($A36,'Raw Data'!$A:$A,'Raw Data'!$AX:$AX),"")</f>
        <v>0</v>
      </c>
      <c r="N36" s="230">
        <f>IFERROR(_xlfn.XLOOKUP($A36,'Raw Data'!$A:$A,'Raw Data'!$AY:$AY),"")</f>
        <v>0</v>
      </c>
      <c r="O36" s="231">
        <f>IFERROR(1-(SUMIF('Plant BD'!$B:$B,A36,'Plant BD'!$AE:$AE)/(AA36+SUMIF('Plant BD'!$B:$B,A36,'Plant BD'!$AE:$AE))),"")</f>
        <v>1</v>
      </c>
      <c r="P36" s="231"/>
      <c r="Q36" s="232"/>
      <c r="R36" s="231">
        <f>IFERROR(1-(SUMIF('Grid BD'!$B:$B,$A36,'Grid BD'!$AD:$AD)/($AA36+SUMIF('Grid BD'!$B:$B,$A36,'Grid BD'!AD:AD))),"")</f>
        <v>1</v>
      </c>
      <c r="S36" s="6"/>
      <c r="T36" s="232"/>
      <c r="U36" s="233">
        <f t="shared" si="4"/>
        <v>0.74017178758655577</v>
      </c>
      <c r="V36" s="233"/>
      <c r="W36" s="234">
        <f t="shared" si="2"/>
        <v>0.20404444288997173</v>
      </c>
      <c r="X36" s="227">
        <f>IFERROR(_xlfn.XLOOKUP($A36,'Raw Data'!$A:$A,'Raw Data'!$BA:$BA),"")</f>
        <v>121250</v>
      </c>
      <c r="Y36" s="227">
        <f>IFERROR(_xlfn.XLOOKUP($A36,'Raw Data'!$A:$A,'Raw Data'!BJ:BJ),"")</f>
        <v>119887.49999998254</v>
      </c>
      <c r="Z36" s="227">
        <f>IFERROR(_xlfn.XLOOKUP($A36,'Raw Data'!$A:$A,'Raw Data'!BK:BK),"")</f>
        <v>873.60000000001037</v>
      </c>
      <c r="AA36" s="227">
        <f>IFERROR(_xlfn.XLOOKUP($A36,'Raw Data'!$A:$A,'Raw Data'!BL:BL),"")</f>
        <v>119013.89999998253</v>
      </c>
      <c r="AB36" s="227">
        <f>IFERROR(_xlfn.XLOOKUP($A36,'Raw Data'!$A:$A,'Raw Data'!$H:$H),"")</f>
        <v>24.303100000000001</v>
      </c>
      <c r="AC36" s="145">
        <f>IFERROR(_xlfn.XLOOKUP($D36,'Modelling New'!$D:$D,'Modelling New'!$P:$P),"")</f>
        <v>6.5290322580645164</v>
      </c>
      <c r="AD36" s="227">
        <f>IFERROR(_xlfn.XLOOKUP($D36,'Modelling New'!$D:$D,'Modelling New'!$T:$T)*1000,"")</f>
        <v>119905.71730852894</v>
      </c>
      <c r="AE36" s="234">
        <f>IFERROR(_xlfn.XLOOKUP($D36,'Modelling New'!$D:$D,'Modelling New'!$O:$O),"")</f>
        <v>0.75566516656343796</v>
      </c>
      <c r="AF36" s="234">
        <f>IFERROR(_xlfn.XLOOKUP($D36,'Modelling New'!$D:$D,'Modelling New'!$W:$W),"")</f>
        <v>0.20557342703284925</v>
      </c>
      <c r="AG36" s="234">
        <f>IFERROR(_xlfn.XLOOKUP($D36,'Modelling New'!$D:$D,'Modelling New'!AE:AE),"")</f>
        <v>0.995</v>
      </c>
      <c r="AH36" s="234">
        <v>0.99750000000000005</v>
      </c>
      <c r="AI36" s="6"/>
      <c r="AJ36" s="6"/>
      <c r="AK36" s="6"/>
      <c r="AL36" s="6"/>
      <c r="AM36" s="6"/>
      <c r="AN36" s="231"/>
      <c r="AO36" s="234"/>
      <c r="AP36" s="234"/>
      <c r="AQ36" s="234"/>
      <c r="AR36" s="227">
        <f>IFERROR(_xlfn.XLOOKUP($D36,'Modelling New'!$D:$D,'Modelling New'!$N:$N),"")</f>
        <v>24.303100000000001</v>
      </c>
      <c r="AS36" s="227"/>
    </row>
    <row r="37" spans="1:45" x14ac:dyDescent="0.35">
      <c r="A37" s="226">
        <f t="shared" si="5"/>
        <v>45780</v>
      </c>
      <c r="B37" s="227">
        <f>YEAR(Daily_KPI[[#This Row],[Date]])+IF(MONTH(Daily_KPI[[#This Row],[Date]])&gt;=4,1,0)</f>
        <v>2026</v>
      </c>
      <c r="C37" s="6">
        <f>YEAR(Daily_KPI[[#This Row],[Date]])</f>
        <v>2025</v>
      </c>
      <c r="D37" s="228">
        <f>Daily_KPI[[#This Row],[Date]]-DAY(Daily_KPI[[#This Row],[Date]])+1</f>
        <v>45778</v>
      </c>
      <c r="E37" s="6">
        <f t="shared" si="0"/>
        <v>31</v>
      </c>
      <c r="F37" s="229">
        <f>IFERROR(_xlfn.XLOOKUP($A37,'Raw Data'!$A:$A,'Raw Data'!$BR:$BR),"")</f>
        <v>12.216666666666669</v>
      </c>
      <c r="G37" s="230">
        <f>IFERROR(_xlfn.XLOOKUP($A37,'Raw Data'!$A:$A,'Raw Data'!$AO:$AO),"")</f>
        <v>0</v>
      </c>
      <c r="H37" s="230"/>
      <c r="I37" s="230">
        <f>IFERROR(_xlfn.XLOOKUP($A37,'Raw Data'!$A:$A,'Raw Data'!$AR:$AR),"")</f>
        <v>7.0763270181219102</v>
      </c>
      <c r="J37" s="230"/>
      <c r="K37" s="230">
        <f>IFERROR(_xlfn.XLOOKUP($A37,'Raw Data'!$A:$A,'Raw Data'!$AV:$AV),"")</f>
        <v>0</v>
      </c>
      <c r="L37" s="230">
        <f>IFERROR(_xlfn.XLOOKUP($A37,'Raw Data'!$A:$A,'Raw Data'!$AW:$AW),"")</f>
        <v>0</v>
      </c>
      <c r="M37" s="230">
        <f>IFERROR(_xlfn.XLOOKUP($A37,'Raw Data'!$A:$A,'Raw Data'!$AX:$AX),"")</f>
        <v>0</v>
      </c>
      <c r="N37" s="230">
        <f>IFERROR(_xlfn.XLOOKUP($A37,'Raw Data'!$A:$A,'Raw Data'!$AY:$AY),"")</f>
        <v>0</v>
      </c>
      <c r="O37" s="231">
        <f>IFERROR(1-(SUMIF('Plant BD'!$B:$B,A37,'Plant BD'!$AE:$AE)/(AA37+SUMIF('Plant BD'!$B:$B,A37,'Plant BD'!$AE:$AE))),"")</f>
        <v>1</v>
      </c>
      <c r="P37" s="231"/>
      <c r="Q37" s="232"/>
      <c r="R37" s="231">
        <f>IFERROR(1-(SUMIF('Grid BD'!$B:$B,$A37,'Grid BD'!$AD:$AD)/($AA37+SUMIF('Grid BD'!$B:$B,$A37,'Grid BD'!AD:AD))),"")</f>
        <v>1</v>
      </c>
      <c r="S37" s="6"/>
      <c r="T37" s="232"/>
      <c r="U37" s="233">
        <f t="shared" si="4"/>
        <v>0.72066513742995475</v>
      </c>
      <c r="V37" s="233"/>
      <c r="W37" s="234">
        <f t="shared" si="2"/>
        <v>0.21248592429225532</v>
      </c>
      <c r="X37" s="227">
        <f>IFERROR(_xlfn.XLOOKUP($A37,'Raw Data'!$A:$A,'Raw Data'!$BA:$BA),"")</f>
        <v>126347</v>
      </c>
      <c r="Y37" s="227">
        <f>IFERROR(_xlfn.XLOOKUP($A37,'Raw Data'!$A:$A,'Raw Data'!BJ:BJ),"")</f>
        <v>124902.80000001076</v>
      </c>
      <c r="Z37" s="227">
        <f>IFERROR(_xlfn.XLOOKUP($A37,'Raw Data'!$A:$A,'Raw Data'!BK:BK),"")</f>
        <v>965.20000000009532</v>
      </c>
      <c r="AA37" s="227">
        <f>IFERROR(_xlfn.XLOOKUP($A37,'Raw Data'!$A:$A,'Raw Data'!BL:BL),"")</f>
        <v>123937.60000001066</v>
      </c>
      <c r="AB37" s="227">
        <f>IFERROR(_xlfn.XLOOKUP($A37,'Raw Data'!$A:$A,'Raw Data'!$H:$H),"")</f>
        <v>24.303100000000001</v>
      </c>
      <c r="AC37" s="145">
        <f>IFERROR(_xlfn.XLOOKUP($D37,'Modelling New'!$D:$D,'Modelling New'!$P:$P),"")</f>
        <v>6.5290322580645164</v>
      </c>
      <c r="AD37" s="227">
        <f>IFERROR(_xlfn.XLOOKUP($D37,'Modelling New'!$D:$D,'Modelling New'!$T:$T)*1000,"")</f>
        <v>119905.71730852894</v>
      </c>
      <c r="AE37" s="234">
        <f>IFERROR(_xlfn.XLOOKUP($D37,'Modelling New'!$D:$D,'Modelling New'!$O:$O),"")</f>
        <v>0.75566516656343796</v>
      </c>
      <c r="AF37" s="234">
        <f>IFERROR(_xlfn.XLOOKUP($D37,'Modelling New'!$D:$D,'Modelling New'!$W:$W),"")</f>
        <v>0.20557342703284925</v>
      </c>
      <c r="AG37" s="234">
        <f>IFERROR(_xlfn.XLOOKUP($D37,'Modelling New'!$D:$D,'Modelling New'!AE:AE),"")</f>
        <v>0.995</v>
      </c>
      <c r="AH37" s="234">
        <v>0.99750000000000005</v>
      </c>
      <c r="AI37" s="6"/>
      <c r="AJ37" s="6"/>
      <c r="AK37" s="6"/>
      <c r="AL37" s="6"/>
      <c r="AM37" s="6"/>
      <c r="AN37" s="231"/>
      <c r="AO37" s="234"/>
      <c r="AP37" s="234"/>
      <c r="AQ37" s="234"/>
      <c r="AR37" s="227">
        <f>IFERROR(_xlfn.XLOOKUP($D37,'Modelling New'!$D:$D,'Modelling New'!$N:$N),"")</f>
        <v>24.303100000000001</v>
      </c>
      <c r="AS37" s="227"/>
    </row>
    <row r="38" spans="1:45" x14ac:dyDescent="0.35">
      <c r="A38" s="226">
        <f t="shared" si="5"/>
        <v>45781</v>
      </c>
      <c r="B38" s="227">
        <f>YEAR(Daily_KPI[[#This Row],[Date]])+IF(MONTH(Daily_KPI[[#This Row],[Date]])&gt;=4,1,0)</f>
        <v>2026</v>
      </c>
      <c r="C38" s="6">
        <f>YEAR(Daily_KPI[[#This Row],[Date]])</f>
        <v>2025</v>
      </c>
      <c r="D38" s="228">
        <f>Daily_KPI[[#This Row],[Date]]-DAY(Daily_KPI[[#This Row],[Date]])+1</f>
        <v>45778</v>
      </c>
      <c r="E38" s="6">
        <f t="shared" si="0"/>
        <v>31</v>
      </c>
      <c r="F38" s="229">
        <f>IFERROR(_xlfn.XLOOKUP($A38,'Raw Data'!$A:$A,'Raw Data'!$BR:$BR),"")</f>
        <v>12.216666666666669</v>
      </c>
      <c r="G38" s="230">
        <f>IFERROR(_xlfn.XLOOKUP($A38,'Raw Data'!$A:$A,'Raw Data'!$AO:$AO),"")</f>
        <v>0</v>
      </c>
      <c r="H38" s="230"/>
      <c r="I38" s="230">
        <f>IFERROR(_xlfn.XLOOKUP($A38,'Raw Data'!$A:$A,'Raw Data'!$AR:$AR),"")</f>
        <v>7.209745263591433</v>
      </c>
      <c r="J38" s="230"/>
      <c r="K38" s="230">
        <f>IFERROR(_xlfn.XLOOKUP($A38,'Raw Data'!$A:$A,'Raw Data'!$AV:$AV),"")</f>
        <v>0</v>
      </c>
      <c r="L38" s="230">
        <f>IFERROR(_xlfn.XLOOKUP($A38,'Raw Data'!$A:$A,'Raw Data'!$AW:$AW),"")</f>
        <v>0</v>
      </c>
      <c r="M38" s="230">
        <f>IFERROR(_xlfn.XLOOKUP($A38,'Raw Data'!$A:$A,'Raw Data'!$AX:$AX),"")</f>
        <v>0</v>
      </c>
      <c r="N38" s="230">
        <f>IFERROR(_xlfn.XLOOKUP($A38,'Raw Data'!$A:$A,'Raw Data'!$AY:$AY),"")</f>
        <v>0</v>
      </c>
      <c r="O38" s="231">
        <f>IFERROR(1-(SUMIF('Plant BD'!$B:$B,A38,'Plant BD'!$AE:$AE)/(AA38+SUMIF('Plant BD'!$B:$B,A38,'Plant BD'!$AE:$AE))),"")</f>
        <v>1</v>
      </c>
      <c r="P38" s="231"/>
      <c r="Q38" s="232"/>
      <c r="R38" s="231">
        <f>IFERROR(1-(SUMIF('Grid BD'!$B:$B,$A38,'Grid BD'!$AD:$AD)/($AA38+SUMIF('Grid BD'!$B:$B,$A38,'Grid BD'!AD:AD))),"")</f>
        <v>1</v>
      </c>
      <c r="S38" s="6"/>
      <c r="T38" s="232"/>
      <c r="U38" s="233">
        <f t="shared" si="4"/>
        <v>0.73306024247151025</v>
      </c>
      <c r="V38" s="233"/>
      <c r="W38" s="234">
        <f t="shared" si="2"/>
        <v>0.22021573379525664</v>
      </c>
      <c r="X38" s="227">
        <f>IFERROR(_xlfn.XLOOKUP($A38,'Raw Data'!$A:$A,'Raw Data'!$BA:$BA),"")</f>
        <v>130843</v>
      </c>
      <c r="Y38" s="227">
        <f>IFERROR(_xlfn.XLOOKUP($A38,'Raw Data'!$A:$A,'Raw Data'!BJ:BJ),"")</f>
        <v>129382.09999998799</v>
      </c>
      <c r="Z38" s="227">
        <f>IFERROR(_xlfn.XLOOKUP($A38,'Raw Data'!$A:$A,'Raw Data'!BK:BK),"")</f>
        <v>935.89999999994689</v>
      </c>
      <c r="AA38" s="227">
        <f>IFERROR(_xlfn.XLOOKUP($A38,'Raw Data'!$A:$A,'Raw Data'!BL:BL),"")</f>
        <v>128446.19999998804</v>
      </c>
      <c r="AB38" s="227">
        <f>IFERROR(_xlfn.XLOOKUP($A38,'Raw Data'!$A:$A,'Raw Data'!$H:$H),"")</f>
        <v>24.303100000000001</v>
      </c>
      <c r="AC38" s="145">
        <f>IFERROR(_xlfn.XLOOKUP($D38,'Modelling New'!$D:$D,'Modelling New'!$P:$P),"")</f>
        <v>6.5290322580645164</v>
      </c>
      <c r="AD38" s="227">
        <f>IFERROR(_xlfn.XLOOKUP($D38,'Modelling New'!$D:$D,'Modelling New'!$T:$T)*1000,"")</f>
        <v>119905.71730852894</v>
      </c>
      <c r="AE38" s="234">
        <f>IFERROR(_xlfn.XLOOKUP($D38,'Modelling New'!$D:$D,'Modelling New'!$O:$O),"")</f>
        <v>0.75566516656343796</v>
      </c>
      <c r="AF38" s="234">
        <f>IFERROR(_xlfn.XLOOKUP($D38,'Modelling New'!$D:$D,'Modelling New'!$W:$W),"")</f>
        <v>0.20557342703284925</v>
      </c>
      <c r="AG38" s="234">
        <f>IFERROR(_xlfn.XLOOKUP($D38,'Modelling New'!$D:$D,'Modelling New'!AE:AE),"")</f>
        <v>0.995</v>
      </c>
      <c r="AH38" s="234">
        <v>0.99750000000000005</v>
      </c>
      <c r="AI38" s="6"/>
      <c r="AJ38" s="6"/>
      <c r="AK38" s="6"/>
      <c r="AL38" s="6"/>
      <c r="AM38" s="6"/>
      <c r="AN38" s="231"/>
      <c r="AO38" s="234"/>
      <c r="AP38" s="234"/>
      <c r="AQ38" s="234"/>
      <c r="AR38" s="227">
        <f>IFERROR(_xlfn.XLOOKUP($D38,'Modelling New'!$D:$D,'Modelling New'!$N:$N),"")</f>
        <v>24.303100000000001</v>
      </c>
      <c r="AS38" s="227"/>
    </row>
    <row r="39" spans="1:45" x14ac:dyDescent="0.35">
      <c r="A39" s="226">
        <f t="shared" si="5"/>
        <v>45782</v>
      </c>
      <c r="B39" s="227">
        <f>YEAR(Daily_KPI[[#This Row],[Date]])+IF(MONTH(Daily_KPI[[#This Row],[Date]])&gt;=4,1,0)</f>
        <v>2026</v>
      </c>
      <c r="C39" s="6">
        <f>YEAR(Daily_KPI[[#This Row],[Date]])</f>
        <v>2025</v>
      </c>
      <c r="D39" s="228">
        <f>Daily_KPI[[#This Row],[Date]]-DAY(Daily_KPI[[#This Row],[Date]])+1</f>
        <v>45778</v>
      </c>
      <c r="E39" s="6">
        <f t="shared" si="0"/>
        <v>31</v>
      </c>
      <c r="F39" s="229">
        <f>IFERROR(_xlfn.XLOOKUP($A39,'Raw Data'!$A:$A,'Raw Data'!$BR:$BR),"")</f>
        <v>12.183333333333335</v>
      </c>
      <c r="G39" s="230">
        <f>IFERROR(_xlfn.XLOOKUP($A39,'Raw Data'!$A:$A,'Raw Data'!$AO:$AO),"")</f>
        <v>0</v>
      </c>
      <c r="H39" s="230"/>
      <c r="I39" s="230">
        <f>IFERROR(_xlfn.XLOOKUP($A39,'Raw Data'!$A:$A,'Raw Data'!$AR:$AR),"")</f>
        <v>6.6333300658978587</v>
      </c>
      <c r="J39" s="230"/>
      <c r="K39" s="230">
        <f>IFERROR(_xlfn.XLOOKUP($A39,'Raw Data'!$A:$A,'Raw Data'!$AV:$AV),"")</f>
        <v>0</v>
      </c>
      <c r="L39" s="230">
        <f>IFERROR(_xlfn.XLOOKUP($A39,'Raw Data'!$A:$A,'Raw Data'!$AW:$AW),"")</f>
        <v>0</v>
      </c>
      <c r="M39" s="230">
        <f>IFERROR(_xlfn.XLOOKUP($A39,'Raw Data'!$A:$A,'Raw Data'!$AX:$AX),"")</f>
        <v>0</v>
      </c>
      <c r="N39" s="230">
        <f>IFERROR(_xlfn.XLOOKUP($A39,'Raw Data'!$A:$A,'Raw Data'!$AY:$AY),"")</f>
        <v>0</v>
      </c>
      <c r="O39" s="231">
        <f>IFERROR(1-(SUMIF('Plant BD'!$B:$B,A39,'Plant BD'!$AE:$AE)/(AA39+SUMIF('Plant BD'!$B:$B,A39,'Plant BD'!$AE:$AE))),"")</f>
        <v>1</v>
      </c>
      <c r="P39" s="231"/>
      <c r="Q39" s="232"/>
      <c r="R39" s="231">
        <f>IFERROR(1-(SUMIF('Grid BD'!$B:$B,$A39,'Grid BD'!$AD:$AD)/($AA39+SUMIF('Grid BD'!$B:$B,$A39,'Grid BD'!AD:AD))),"")</f>
        <v>1</v>
      </c>
      <c r="S39" s="6"/>
      <c r="T39" s="232"/>
      <c r="U39" s="233">
        <f t="shared" si="4"/>
        <v>0.7485530535131153</v>
      </c>
      <c r="V39" s="233"/>
      <c r="W39" s="234">
        <f t="shared" si="2"/>
        <v>0.2068916448245082</v>
      </c>
      <c r="X39" s="227">
        <f>IFERROR(_xlfn.XLOOKUP($A39,'Raw Data'!$A:$A,'Raw Data'!$BA:$BA),"")</f>
        <v>122986</v>
      </c>
      <c r="Y39" s="227">
        <f>IFERROR(_xlfn.XLOOKUP($A39,'Raw Data'!$A:$A,'Raw Data'!BJ:BJ),"")</f>
        <v>121645.20000002813</v>
      </c>
      <c r="Z39" s="227">
        <f>IFERROR(_xlfn.XLOOKUP($A39,'Raw Data'!$A:$A,'Raw Data'!BK:BK),"")</f>
        <v>970.59999999999036</v>
      </c>
      <c r="AA39" s="227">
        <f>IFERROR(_xlfn.XLOOKUP($A39,'Raw Data'!$A:$A,'Raw Data'!BL:BL),"")</f>
        <v>120674.60000002813</v>
      </c>
      <c r="AB39" s="227">
        <f>IFERROR(_xlfn.XLOOKUP($A39,'Raw Data'!$A:$A,'Raw Data'!$H:$H),"")</f>
        <v>24.303100000000001</v>
      </c>
      <c r="AC39" s="145">
        <f>IFERROR(_xlfn.XLOOKUP($D39,'Modelling New'!$D:$D,'Modelling New'!$P:$P),"")</f>
        <v>6.5290322580645164</v>
      </c>
      <c r="AD39" s="227">
        <f>IFERROR(_xlfn.XLOOKUP($D39,'Modelling New'!$D:$D,'Modelling New'!$T:$T)*1000,"")</f>
        <v>119905.71730852894</v>
      </c>
      <c r="AE39" s="234">
        <f>IFERROR(_xlfn.XLOOKUP($D39,'Modelling New'!$D:$D,'Modelling New'!$O:$O),"")</f>
        <v>0.75566516656343796</v>
      </c>
      <c r="AF39" s="234">
        <f>IFERROR(_xlfn.XLOOKUP($D39,'Modelling New'!$D:$D,'Modelling New'!$W:$W),"")</f>
        <v>0.20557342703284925</v>
      </c>
      <c r="AG39" s="234">
        <f>IFERROR(_xlfn.XLOOKUP($D39,'Modelling New'!$D:$D,'Modelling New'!AE:AE),"")</f>
        <v>0.995</v>
      </c>
      <c r="AH39" s="234">
        <v>0.99750000000000005</v>
      </c>
      <c r="AI39" s="6"/>
      <c r="AJ39" s="6"/>
      <c r="AK39" s="6"/>
      <c r="AL39" s="6"/>
      <c r="AM39" s="6"/>
      <c r="AN39" s="231"/>
      <c r="AO39" s="234"/>
      <c r="AP39" s="234"/>
      <c r="AQ39" s="234"/>
      <c r="AR39" s="227">
        <f>IFERROR(_xlfn.XLOOKUP($D39,'Modelling New'!$D:$D,'Modelling New'!$N:$N),"")</f>
        <v>24.303100000000001</v>
      </c>
      <c r="AS39" s="227"/>
    </row>
    <row r="40" spans="1:45" x14ac:dyDescent="0.35">
      <c r="A40" s="226">
        <f t="shared" si="5"/>
        <v>45783</v>
      </c>
      <c r="B40" s="227">
        <f>YEAR(Daily_KPI[[#This Row],[Date]])+IF(MONTH(Daily_KPI[[#This Row],[Date]])&gt;=4,1,0)</f>
        <v>2026</v>
      </c>
      <c r="C40" s="6">
        <f>YEAR(Daily_KPI[[#This Row],[Date]])</f>
        <v>2025</v>
      </c>
      <c r="D40" s="228">
        <f>Daily_KPI[[#This Row],[Date]]-DAY(Daily_KPI[[#This Row],[Date]])+1</f>
        <v>45778</v>
      </c>
      <c r="E40" s="6">
        <f t="shared" si="0"/>
        <v>31</v>
      </c>
      <c r="F40" s="229">
        <f>IFERROR(_xlfn.XLOOKUP($A40,'Raw Data'!$A:$A,'Raw Data'!$BR:$BR),"")</f>
        <v>11.833333333333332</v>
      </c>
      <c r="G40" s="230">
        <f>IFERROR(_xlfn.XLOOKUP($A40,'Raw Data'!$A:$A,'Raw Data'!$AO:$AO),"")</f>
        <v>0</v>
      </c>
      <c r="H40" s="230"/>
      <c r="I40" s="230">
        <f>IFERROR(_xlfn.XLOOKUP($A40,'Raw Data'!$A:$A,'Raw Data'!$AR:$AR),"")</f>
        <v>6.239742215815486</v>
      </c>
      <c r="J40" s="230"/>
      <c r="K40" s="230">
        <f>IFERROR(_xlfn.XLOOKUP($A40,'Raw Data'!$A:$A,'Raw Data'!$AV:$AV),"")</f>
        <v>0</v>
      </c>
      <c r="L40" s="230">
        <f>IFERROR(_xlfn.XLOOKUP($A40,'Raw Data'!$A:$A,'Raw Data'!$AW:$AW),"")</f>
        <v>0</v>
      </c>
      <c r="M40" s="230">
        <f>IFERROR(_xlfn.XLOOKUP($A40,'Raw Data'!$A:$A,'Raw Data'!$AX:$AX),"")</f>
        <v>0</v>
      </c>
      <c r="N40" s="230">
        <f>IFERROR(_xlfn.XLOOKUP($A40,'Raw Data'!$A:$A,'Raw Data'!$AY:$AY),"")</f>
        <v>0</v>
      </c>
      <c r="O40" s="231">
        <f>IFERROR(1-(SUMIF('Plant BD'!$B:$B,A40,'Plant BD'!$AE:$AE)/(AA40+SUMIF('Plant BD'!$B:$B,A40,'Plant BD'!$AE:$AE))),"")</f>
        <v>1</v>
      </c>
      <c r="P40" s="231"/>
      <c r="Q40" s="232"/>
      <c r="R40" s="231">
        <f>IFERROR(1-(SUMIF('Grid BD'!$B:$B,$A40,'Grid BD'!$AD:$AD)/($AA40+SUMIF('Grid BD'!$B:$B,$A40,'Grid BD'!AD:AD))),"")</f>
        <v>1</v>
      </c>
      <c r="S40" s="6"/>
      <c r="T40" s="232"/>
      <c r="U40" s="233">
        <f t="shared" si="4"/>
        <v>0.76442309061314673</v>
      </c>
      <c r="V40" s="233"/>
      <c r="W40" s="234">
        <f t="shared" si="2"/>
        <v>0.19874179288512492</v>
      </c>
      <c r="X40" s="227">
        <f>IFERROR(_xlfn.XLOOKUP($A40,'Raw Data'!$A:$A,'Raw Data'!$BA:$BA),"")</f>
        <v>117943</v>
      </c>
      <c r="Y40" s="227">
        <f>IFERROR(_xlfn.XLOOKUP($A40,'Raw Data'!$A:$A,'Raw Data'!BJ:BJ),"")</f>
        <v>116797.69999999553</v>
      </c>
      <c r="Z40" s="227">
        <f>IFERROR(_xlfn.XLOOKUP($A40,'Raw Data'!$A:$A,'Raw Data'!BK:BK),"")</f>
        <v>876.70000000002801</v>
      </c>
      <c r="AA40" s="227">
        <f>IFERROR(_xlfn.XLOOKUP($A40,'Raw Data'!$A:$A,'Raw Data'!BL:BL),"")</f>
        <v>115920.9999999955</v>
      </c>
      <c r="AB40" s="227">
        <f>IFERROR(_xlfn.XLOOKUP($A40,'Raw Data'!$A:$A,'Raw Data'!$H:$H),"")</f>
        <v>24.303100000000001</v>
      </c>
      <c r="AC40" s="145">
        <f>IFERROR(_xlfn.XLOOKUP($D40,'Modelling New'!$D:$D,'Modelling New'!$P:$P),"")</f>
        <v>6.5290322580645164</v>
      </c>
      <c r="AD40" s="227">
        <f>IFERROR(_xlfn.XLOOKUP($D40,'Modelling New'!$D:$D,'Modelling New'!$T:$T)*1000,"")</f>
        <v>119905.71730852894</v>
      </c>
      <c r="AE40" s="234">
        <f>IFERROR(_xlfn.XLOOKUP($D40,'Modelling New'!$D:$D,'Modelling New'!$O:$O),"")</f>
        <v>0.75566516656343796</v>
      </c>
      <c r="AF40" s="234">
        <f>IFERROR(_xlfn.XLOOKUP($D40,'Modelling New'!$D:$D,'Modelling New'!$W:$W),"")</f>
        <v>0.20557342703284925</v>
      </c>
      <c r="AG40" s="234">
        <f>IFERROR(_xlfn.XLOOKUP($D40,'Modelling New'!$D:$D,'Modelling New'!AE:AE),"")</f>
        <v>0.995</v>
      </c>
      <c r="AH40" s="234">
        <v>0.99750000000000005</v>
      </c>
      <c r="AI40" s="6"/>
      <c r="AJ40" s="6"/>
      <c r="AK40" s="6"/>
      <c r="AL40" s="6"/>
      <c r="AM40" s="6"/>
      <c r="AN40" s="231"/>
      <c r="AO40" s="234"/>
      <c r="AP40" s="234"/>
      <c r="AQ40" s="234"/>
      <c r="AR40" s="227">
        <f>IFERROR(_xlfn.XLOOKUP($D40,'Modelling New'!$D:$D,'Modelling New'!$N:$N),"")</f>
        <v>24.303100000000001</v>
      </c>
      <c r="AS40" s="227"/>
    </row>
    <row r="41" spans="1:45" x14ac:dyDescent="0.35">
      <c r="A41" s="226">
        <f t="shared" si="5"/>
        <v>45784</v>
      </c>
      <c r="B41" s="227">
        <f>YEAR(Daily_KPI[[#This Row],[Date]])+IF(MONTH(Daily_KPI[[#This Row],[Date]])&gt;=4,1,0)</f>
        <v>2026</v>
      </c>
      <c r="C41" s="6">
        <f>YEAR(Daily_KPI[[#This Row],[Date]])</f>
        <v>2025</v>
      </c>
      <c r="D41" s="228">
        <f>Daily_KPI[[#This Row],[Date]]-DAY(Daily_KPI[[#This Row],[Date]])+1</f>
        <v>45778</v>
      </c>
      <c r="E41" s="6">
        <f t="shared" si="0"/>
        <v>31</v>
      </c>
      <c r="F41" s="229">
        <f>IFERROR(_xlfn.XLOOKUP($A41,'Raw Data'!$A:$A,'Raw Data'!$BR:$BR),"")</f>
        <v>12.233333333333333</v>
      </c>
      <c r="G41" s="230">
        <f>IFERROR(_xlfn.XLOOKUP($A41,'Raw Data'!$A:$A,'Raw Data'!$AO:$AO),"")</f>
        <v>0</v>
      </c>
      <c r="H41" s="230"/>
      <c r="I41" s="230">
        <f>IFERROR(_xlfn.XLOOKUP($A41,'Raw Data'!$A:$A,'Raw Data'!$AR:$AR),"")</f>
        <v>4.834533855024711</v>
      </c>
      <c r="J41" s="230"/>
      <c r="K41" s="230">
        <f>IFERROR(_xlfn.XLOOKUP($A41,'Raw Data'!$A:$A,'Raw Data'!$AV:$AV),"")</f>
        <v>0</v>
      </c>
      <c r="L41" s="230">
        <f>IFERROR(_xlfn.XLOOKUP($A41,'Raw Data'!$A:$A,'Raw Data'!$AW:$AW),"")</f>
        <v>0</v>
      </c>
      <c r="M41" s="230">
        <f>IFERROR(_xlfn.XLOOKUP($A41,'Raw Data'!$A:$A,'Raw Data'!$AX:$AX),"")</f>
        <v>0</v>
      </c>
      <c r="N41" s="230">
        <f>IFERROR(_xlfn.XLOOKUP($A41,'Raw Data'!$A:$A,'Raw Data'!$AY:$AY),"")</f>
        <v>0</v>
      </c>
      <c r="O41" s="231">
        <f>IFERROR(1-(SUMIF('Plant BD'!$B:$B,A41,'Plant BD'!$AE:$AE)/(AA41+SUMIF('Plant BD'!$B:$B,A41,'Plant BD'!$AE:$AE))),"")</f>
        <v>0.9856035408337438</v>
      </c>
      <c r="P41" s="231"/>
      <c r="Q41" s="232"/>
      <c r="R41" s="231">
        <f>IFERROR(1-(SUMIF('Grid BD'!$B:$B,$A41,'Grid BD'!$AD:$AD)/($AA41+SUMIF('Grid BD'!$B:$B,$A41,'Grid BD'!AD:AD))),"")</f>
        <v>1</v>
      </c>
      <c r="S41" s="6"/>
      <c r="T41" s="232"/>
      <c r="U41" s="233">
        <f t="shared" si="4"/>
        <v>0.79111251326839849</v>
      </c>
      <c r="V41" s="233"/>
      <c r="W41" s="234">
        <f t="shared" si="2"/>
        <v>0.15936084285540661</v>
      </c>
      <c r="X41" s="227">
        <f>IFERROR(_xlfn.XLOOKUP($A41,'Raw Data'!$A:$A,'Raw Data'!$BA:$BA),"")</f>
        <v>94125</v>
      </c>
      <c r="Y41" s="227">
        <f>IFERROR(_xlfn.XLOOKUP($A41,'Raw Data'!$A:$A,'Raw Data'!BJ:BJ),"")</f>
        <v>93623.999999981606</v>
      </c>
      <c r="Z41" s="227">
        <f>IFERROR(_xlfn.XLOOKUP($A41,'Raw Data'!$A:$A,'Raw Data'!BK:BK),"")</f>
        <v>672.90000000002692</v>
      </c>
      <c r="AA41" s="227">
        <f>IFERROR(_xlfn.XLOOKUP($A41,'Raw Data'!$A:$A,'Raw Data'!BL:BL),"")</f>
        <v>92951.099999981583</v>
      </c>
      <c r="AB41" s="227">
        <f>IFERROR(_xlfn.XLOOKUP($A41,'Raw Data'!$A:$A,'Raw Data'!$H:$H),"")</f>
        <v>24.303100000000001</v>
      </c>
      <c r="AC41" s="145">
        <f>IFERROR(_xlfn.XLOOKUP($D41,'Modelling New'!$D:$D,'Modelling New'!$P:$P),"")</f>
        <v>6.5290322580645164</v>
      </c>
      <c r="AD41" s="227">
        <f>IFERROR(_xlfn.XLOOKUP($D41,'Modelling New'!$D:$D,'Modelling New'!$T:$T)*1000,"")</f>
        <v>119905.71730852894</v>
      </c>
      <c r="AE41" s="234">
        <f>IFERROR(_xlfn.XLOOKUP($D41,'Modelling New'!$D:$D,'Modelling New'!$O:$O),"")</f>
        <v>0.75566516656343796</v>
      </c>
      <c r="AF41" s="234">
        <f>IFERROR(_xlfn.XLOOKUP($D41,'Modelling New'!$D:$D,'Modelling New'!$W:$W),"")</f>
        <v>0.20557342703284925</v>
      </c>
      <c r="AG41" s="234">
        <f>IFERROR(_xlfn.XLOOKUP($D41,'Modelling New'!$D:$D,'Modelling New'!AE:AE),"")</f>
        <v>0.995</v>
      </c>
      <c r="AH41" s="234">
        <v>0.99750000000000005</v>
      </c>
      <c r="AI41" s="6"/>
      <c r="AJ41" s="6"/>
      <c r="AK41" s="6"/>
      <c r="AL41" s="6"/>
      <c r="AM41" s="6"/>
      <c r="AN41" s="231"/>
      <c r="AO41" s="234"/>
      <c r="AP41" s="234"/>
      <c r="AQ41" s="234"/>
      <c r="AR41" s="227">
        <f>IFERROR(_xlfn.XLOOKUP($D41,'Modelling New'!$D:$D,'Modelling New'!$N:$N),"")</f>
        <v>24.303100000000001</v>
      </c>
      <c r="AS41" s="227"/>
    </row>
    <row r="42" spans="1:45" x14ac:dyDescent="0.35">
      <c r="A42" s="226">
        <f t="shared" si="5"/>
        <v>45785</v>
      </c>
      <c r="B42" s="227">
        <f>YEAR(Daily_KPI[[#This Row],[Date]])+IF(MONTH(Daily_KPI[[#This Row],[Date]])&gt;=4,1,0)</f>
        <v>2026</v>
      </c>
      <c r="C42" s="6">
        <f>YEAR(Daily_KPI[[#This Row],[Date]])</f>
        <v>2025</v>
      </c>
      <c r="D42" s="228">
        <f>Daily_KPI[[#This Row],[Date]]-DAY(Daily_KPI[[#This Row],[Date]])+1</f>
        <v>45778</v>
      </c>
      <c r="E42" s="6">
        <f t="shared" si="0"/>
        <v>31</v>
      </c>
      <c r="F42" s="229">
        <f>IFERROR(_xlfn.XLOOKUP($A42,'Raw Data'!$A:$A,'Raw Data'!$BR:$BR),"")</f>
        <v>12.2</v>
      </c>
      <c r="G42" s="230">
        <f>IFERROR(_xlfn.XLOOKUP($A42,'Raw Data'!$A:$A,'Raw Data'!$AO:$AO),"")</f>
        <v>0</v>
      </c>
      <c r="H42" s="230"/>
      <c r="I42" s="230">
        <f>IFERROR(_xlfn.XLOOKUP($A42,'Raw Data'!$A:$A,'Raw Data'!$AR:$AR),"")</f>
        <v>5.801373393739703</v>
      </c>
      <c r="J42" s="230"/>
      <c r="K42" s="230">
        <f>IFERROR(_xlfn.XLOOKUP($A42,'Raw Data'!$A:$A,'Raw Data'!$AV:$AV),"")</f>
        <v>0</v>
      </c>
      <c r="L42" s="230">
        <f>IFERROR(_xlfn.XLOOKUP($A42,'Raw Data'!$A:$A,'Raw Data'!$AW:$AW),"")</f>
        <v>0</v>
      </c>
      <c r="M42" s="230">
        <f>IFERROR(_xlfn.XLOOKUP($A42,'Raw Data'!$A:$A,'Raw Data'!$AX:$AX),"")</f>
        <v>0</v>
      </c>
      <c r="N42" s="230">
        <f>IFERROR(_xlfn.XLOOKUP($A42,'Raw Data'!$A:$A,'Raw Data'!$AY:$AY),"")</f>
        <v>0</v>
      </c>
      <c r="O42" s="231">
        <f>IFERROR(1-(SUMIF('Plant BD'!$B:$B,A42,'Plant BD'!$AE:$AE)/(AA42+SUMIF('Plant BD'!$B:$B,A42,'Plant BD'!$AE:$AE))),"")</f>
        <v>0.97975672305080319</v>
      </c>
      <c r="P42" s="231"/>
      <c r="Q42" s="232"/>
      <c r="R42" s="231">
        <f>IFERROR(1-(SUMIF('Grid BD'!$B:$B,$A42,'Grid BD'!$AD:$AD)/($AA42+SUMIF('Grid BD'!$B:$B,$A42,'Grid BD'!AD:AD))),"")</f>
        <v>1</v>
      </c>
      <c r="S42" s="6"/>
      <c r="T42" s="232"/>
      <c r="U42" s="233">
        <f t="shared" si="4"/>
        <v>0.73928644763474338</v>
      </c>
      <c r="V42" s="233"/>
      <c r="W42" s="234">
        <f t="shared" si="2"/>
        <v>0.17870319698585585</v>
      </c>
      <c r="X42" s="227">
        <f>IFERROR(_xlfn.XLOOKUP($A42,'Raw Data'!$A:$A,'Raw Data'!$BA:$BA),"")</f>
        <v>105822</v>
      </c>
      <c r="Y42" s="227">
        <f>IFERROR(_xlfn.XLOOKUP($A42,'Raw Data'!$A:$A,'Raw Data'!BJ:BJ),"")</f>
        <v>104921.10000000685</v>
      </c>
      <c r="Z42" s="227">
        <f>IFERROR(_xlfn.XLOOKUP($A42,'Raw Data'!$A:$A,'Raw Data'!BK:BK),"")</f>
        <v>688.09999999996307</v>
      </c>
      <c r="AA42" s="227">
        <f>IFERROR(_xlfn.XLOOKUP($A42,'Raw Data'!$A:$A,'Raw Data'!BL:BL),"")</f>
        <v>104233.00000000688</v>
      </c>
      <c r="AB42" s="227">
        <f>IFERROR(_xlfn.XLOOKUP($A42,'Raw Data'!$A:$A,'Raw Data'!$H:$H),"")</f>
        <v>24.303100000000001</v>
      </c>
      <c r="AC42" s="145">
        <f>IFERROR(_xlfn.XLOOKUP($D42,'Modelling New'!$D:$D,'Modelling New'!$P:$P),"")</f>
        <v>6.5290322580645164</v>
      </c>
      <c r="AD42" s="227">
        <f>IFERROR(_xlfn.XLOOKUP($D42,'Modelling New'!$D:$D,'Modelling New'!$T:$T)*1000,"")</f>
        <v>119905.71730852894</v>
      </c>
      <c r="AE42" s="234">
        <f>IFERROR(_xlfn.XLOOKUP($D42,'Modelling New'!$D:$D,'Modelling New'!$O:$O),"")</f>
        <v>0.75566516656343796</v>
      </c>
      <c r="AF42" s="234">
        <f>IFERROR(_xlfn.XLOOKUP($D42,'Modelling New'!$D:$D,'Modelling New'!$W:$W),"")</f>
        <v>0.20557342703284925</v>
      </c>
      <c r="AG42" s="234">
        <f>IFERROR(_xlfn.XLOOKUP($D42,'Modelling New'!$D:$D,'Modelling New'!AE:AE),"")</f>
        <v>0.995</v>
      </c>
      <c r="AH42" s="234">
        <v>0.99750000000000005</v>
      </c>
      <c r="AI42" s="6"/>
      <c r="AJ42" s="6"/>
      <c r="AK42" s="6"/>
      <c r="AL42" s="6"/>
      <c r="AM42" s="6"/>
      <c r="AN42" s="231"/>
      <c r="AO42" s="234"/>
      <c r="AP42" s="234"/>
      <c r="AQ42" s="234"/>
      <c r="AR42" s="227">
        <f>IFERROR(_xlfn.XLOOKUP($D42,'Modelling New'!$D:$D,'Modelling New'!$N:$N),"")</f>
        <v>24.303100000000001</v>
      </c>
      <c r="AS42" s="227"/>
    </row>
    <row r="43" spans="1:45" x14ac:dyDescent="0.35">
      <c r="A43" s="226">
        <f t="shared" si="5"/>
        <v>45786</v>
      </c>
      <c r="B43" s="227">
        <f>YEAR(Daily_KPI[[#This Row],[Date]])+IF(MONTH(Daily_KPI[[#This Row],[Date]])&gt;=4,1,0)</f>
        <v>2026</v>
      </c>
      <c r="C43" s="6">
        <f>YEAR(Daily_KPI[[#This Row],[Date]])</f>
        <v>2025</v>
      </c>
      <c r="D43" s="228">
        <f>Daily_KPI[[#This Row],[Date]]-DAY(Daily_KPI[[#This Row],[Date]])+1</f>
        <v>45778</v>
      </c>
      <c r="E43" s="6">
        <f t="shared" si="0"/>
        <v>31</v>
      </c>
      <c r="F43" s="229">
        <f>IFERROR(_xlfn.XLOOKUP($A43,'Raw Data'!$A:$A,'Raw Data'!$BR:$BR),"")</f>
        <v>12.299999999999999</v>
      </c>
      <c r="G43" s="230">
        <f>IFERROR(_xlfn.XLOOKUP($A43,'Raw Data'!$A:$A,'Raw Data'!$AO:$AO),"")</f>
        <v>0</v>
      </c>
      <c r="H43" s="230"/>
      <c r="I43" s="230">
        <f>IFERROR(_xlfn.XLOOKUP($A43,'Raw Data'!$A:$A,'Raw Data'!$AR:$AR),"")</f>
        <v>5.4124768121911035</v>
      </c>
      <c r="J43" s="230"/>
      <c r="K43" s="230">
        <f>IFERROR(_xlfn.XLOOKUP($A43,'Raw Data'!$A:$A,'Raw Data'!$AV:$AV),"")</f>
        <v>0</v>
      </c>
      <c r="L43" s="230">
        <f>IFERROR(_xlfn.XLOOKUP($A43,'Raw Data'!$A:$A,'Raw Data'!$AW:$AW),"")</f>
        <v>0</v>
      </c>
      <c r="M43" s="230">
        <f>IFERROR(_xlfn.XLOOKUP($A43,'Raw Data'!$A:$A,'Raw Data'!$AX:$AX),"")</f>
        <v>0</v>
      </c>
      <c r="N43" s="230">
        <f>IFERROR(_xlfn.XLOOKUP($A43,'Raw Data'!$A:$A,'Raw Data'!$AY:$AY),"")</f>
        <v>0</v>
      </c>
      <c r="O43" s="231">
        <f>IFERROR(1-(SUMIF('Plant BD'!$B:$B,A43,'Plant BD'!$AE:$AE)/(AA43+SUMIF('Plant BD'!$B:$B,A43,'Plant BD'!$AE:$AE))),"")</f>
        <v>0.99038083557564949</v>
      </c>
      <c r="P43" s="231"/>
      <c r="Q43" s="232"/>
      <c r="R43" s="231">
        <f>IFERROR(1-(SUMIF('Grid BD'!$B:$B,$A43,'Grid BD'!$AD:$AD)/($AA43+SUMIF('Grid BD'!$B:$B,$A43,'Grid BD'!AD:AD))),"")</f>
        <v>1</v>
      </c>
      <c r="S43" s="6"/>
      <c r="T43" s="232"/>
      <c r="U43" s="233">
        <f t="shared" si="4"/>
        <v>0.75545481434527861</v>
      </c>
      <c r="V43" s="233"/>
      <c r="W43" s="234">
        <f t="shared" ref="W43:W106" si="6">IFERROR(AA43/(24*AR43*1000),"")</f>
        <v>0.17037006938758145</v>
      </c>
      <c r="X43" s="227">
        <f>IFERROR(_xlfn.XLOOKUP($A43,'Raw Data'!$A:$A,'Raw Data'!$BA:$BA),"")</f>
        <v>100732</v>
      </c>
      <c r="Y43" s="227">
        <f>IFERROR(_xlfn.XLOOKUP($A43,'Raw Data'!$A:$A,'Raw Data'!BJ:BJ),"")</f>
        <v>100096.19999999995</v>
      </c>
      <c r="Z43" s="227">
        <f>IFERROR(_xlfn.XLOOKUP($A43,'Raw Data'!$A:$A,'Raw Data'!BK:BK),"")</f>
        <v>723.700000000008</v>
      </c>
      <c r="AA43" s="227">
        <f>IFERROR(_xlfn.XLOOKUP($A43,'Raw Data'!$A:$A,'Raw Data'!BL:BL),"")</f>
        <v>99372.499999999942</v>
      </c>
      <c r="AB43" s="227">
        <f>IFERROR(_xlfn.XLOOKUP($A43,'Raw Data'!$A:$A,'Raw Data'!$H:$H),"")</f>
        <v>24.303100000000001</v>
      </c>
      <c r="AC43" s="145">
        <f>IFERROR(_xlfn.XLOOKUP($D43,'Modelling New'!$D:$D,'Modelling New'!$P:$P),"")</f>
        <v>6.5290322580645164</v>
      </c>
      <c r="AD43" s="227">
        <f>IFERROR(_xlfn.XLOOKUP($D43,'Modelling New'!$D:$D,'Modelling New'!$T:$T)*1000,"")</f>
        <v>119905.71730852894</v>
      </c>
      <c r="AE43" s="234">
        <f>IFERROR(_xlfn.XLOOKUP($D43,'Modelling New'!$D:$D,'Modelling New'!$O:$O),"")</f>
        <v>0.75566516656343796</v>
      </c>
      <c r="AF43" s="234">
        <f>IFERROR(_xlfn.XLOOKUP($D43,'Modelling New'!$D:$D,'Modelling New'!$W:$W),"")</f>
        <v>0.20557342703284925</v>
      </c>
      <c r="AG43" s="234">
        <f>IFERROR(_xlfn.XLOOKUP($D43,'Modelling New'!$D:$D,'Modelling New'!AE:AE),"")</f>
        <v>0.995</v>
      </c>
      <c r="AH43" s="234">
        <v>0.99750000000000005</v>
      </c>
      <c r="AI43" s="6"/>
      <c r="AJ43" s="6"/>
      <c r="AK43" s="6"/>
      <c r="AL43" s="6"/>
      <c r="AM43" s="6"/>
      <c r="AN43" s="231"/>
      <c r="AO43" s="234"/>
      <c r="AP43" s="234"/>
      <c r="AQ43" s="234"/>
      <c r="AR43" s="227">
        <f>IFERROR(_xlfn.XLOOKUP($D43,'Modelling New'!$D:$D,'Modelling New'!$N:$N),"")</f>
        <v>24.303100000000001</v>
      </c>
      <c r="AS43" s="227"/>
    </row>
    <row r="44" spans="1:45" x14ac:dyDescent="0.35">
      <c r="A44" s="226">
        <f t="shared" si="5"/>
        <v>45787</v>
      </c>
      <c r="B44" s="227">
        <f>YEAR(Daily_KPI[[#This Row],[Date]])+IF(MONTH(Daily_KPI[[#This Row],[Date]])&gt;=4,1,0)</f>
        <v>2026</v>
      </c>
      <c r="C44" s="6">
        <f>YEAR(Daily_KPI[[#This Row],[Date]])</f>
        <v>2025</v>
      </c>
      <c r="D44" s="228">
        <f>Daily_KPI[[#This Row],[Date]]-DAY(Daily_KPI[[#This Row],[Date]])+1</f>
        <v>45778</v>
      </c>
      <c r="E44" s="6">
        <f t="shared" si="0"/>
        <v>31</v>
      </c>
      <c r="F44" s="229">
        <f>IFERROR(_xlfn.XLOOKUP($A44,'Raw Data'!$A:$A,'Raw Data'!$BR:$BR),"")</f>
        <v>12.266666666666666</v>
      </c>
      <c r="G44" s="230">
        <f>IFERROR(_xlfn.XLOOKUP($A44,'Raw Data'!$A:$A,'Raw Data'!$AO:$AO),"")</f>
        <v>0</v>
      </c>
      <c r="H44" s="230"/>
      <c r="I44" s="230">
        <f>IFERROR(_xlfn.XLOOKUP($A44,'Raw Data'!$A:$A,'Raw Data'!$AR:$AR),"")</f>
        <v>5.2717004118616142</v>
      </c>
      <c r="J44" s="230"/>
      <c r="K44" s="230">
        <f>IFERROR(_xlfn.XLOOKUP($A44,'Raw Data'!$A:$A,'Raw Data'!$AV:$AV),"")</f>
        <v>0</v>
      </c>
      <c r="L44" s="230">
        <f>IFERROR(_xlfn.XLOOKUP($A44,'Raw Data'!$A:$A,'Raw Data'!$AW:$AW),"")</f>
        <v>0</v>
      </c>
      <c r="M44" s="230">
        <f>IFERROR(_xlfn.XLOOKUP($A44,'Raw Data'!$A:$A,'Raw Data'!$AX:$AX),"")</f>
        <v>0</v>
      </c>
      <c r="N44" s="230">
        <f>IFERROR(_xlfn.XLOOKUP($A44,'Raw Data'!$A:$A,'Raw Data'!$AY:$AY),"")</f>
        <v>0</v>
      </c>
      <c r="O44" s="231">
        <f>IFERROR(1-(SUMIF('Plant BD'!$B:$B,A44,'Plant BD'!$AE:$AE)/(AA44+SUMIF('Plant BD'!$B:$B,A44,'Plant BD'!$AE:$AE))),"")</f>
        <v>1</v>
      </c>
      <c r="P44" s="231"/>
      <c r="Q44" s="232"/>
      <c r="R44" s="231">
        <f>IFERROR(1-(SUMIF('Grid BD'!$B:$B,$A44,'Grid BD'!$AD:$AD)/($AA44+SUMIF('Grid BD'!$B:$B,$A44,'Grid BD'!AD:AD))),"")</f>
        <v>1</v>
      </c>
      <c r="S44" s="6"/>
      <c r="T44" s="232"/>
      <c r="U44" s="233">
        <f t="shared" si="4"/>
        <v>0.79555154718702925</v>
      </c>
      <c r="V44" s="233"/>
      <c r="W44" s="234">
        <f t="shared" si="6"/>
        <v>0.17474622579012525</v>
      </c>
      <c r="X44" s="227">
        <f>IFERROR(_xlfn.XLOOKUP($A44,'Raw Data'!$A:$A,'Raw Data'!$BA:$BA),"")</f>
        <v>103959</v>
      </c>
      <c r="Y44" s="227">
        <f>IFERROR(_xlfn.XLOOKUP($A44,'Raw Data'!$A:$A,'Raw Data'!BJ:BJ),"")</f>
        <v>102976.09999999986</v>
      </c>
      <c r="Z44" s="227">
        <f>IFERROR(_xlfn.XLOOKUP($A44,'Raw Data'!$A:$A,'Raw Data'!BK:BK),"")</f>
        <v>1051.1000000000195</v>
      </c>
      <c r="AA44" s="227">
        <f>IFERROR(_xlfn.XLOOKUP($A44,'Raw Data'!$A:$A,'Raw Data'!BL:BL),"")</f>
        <v>101924.99999999984</v>
      </c>
      <c r="AB44" s="227">
        <f>IFERROR(_xlfn.XLOOKUP($A44,'Raw Data'!$A:$A,'Raw Data'!$H:$H),"")</f>
        <v>24.303100000000001</v>
      </c>
      <c r="AC44" s="145">
        <f>IFERROR(_xlfn.XLOOKUP($D44,'Modelling New'!$D:$D,'Modelling New'!$P:$P),"")</f>
        <v>6.5290322580645164</v>
      </c>
      <c r="AD44" s="227">
        <f>IFERROR(_xlfn.XLOOKUP($D44,'Modelling New'!$D:$D,'Modelling New'!$T:$T)*1000,"")</f>
        <v>119905.71730852894</v>
      </c>
      <c r="AE44" s="234">
        <f>IFERROR(_xlfn.XLOOKUP($D44,'Modelling New'!$D:$D,'Modelling New'!$O:$O),"")</f>
        <v>0.75566516656343796</v>
      </c>
      <c r="AF44" s="234">
        <f>IFERROR(_xlfn.XLOOKUP($D44,'Modelling New'!$D:$D,'Modelling New'!$W:$W),"")</f>
        <v>0.20557342703284925</v>
      </c>
      <c r="AG44" s="234">
        <f>IFERROR(_xlfn.XLOOKUP($D44,'Modelling New'!$D:$D,'Modelling New'!AE:AE),"")</f>
        <v>0.995</v>
      </c>
      <c r="AH44" s="234">
        <v>0.99750000000000005</v>
      </c>
      <c r="AI44" s="6"/>
      <c r="AJ44" s="6"/>
      <c r="AK44" s="6"/>
      <c r="AL44" s="6"/>
      <c r="AM44" s="6"/>
      <c r="AN44" s="231"/>
      <c r="AO44" s="234"/>
      <c r="AP44" s="234"/>
      <c r="AQ44" s="234"/>
      <c r="AR44" s="227">
        <f>IFERROR(_xlfn.XLOOKUP($D44,'Modelling New'!$D:$D,'Modelling New'!$N:$N),"")</f>
        <v>24.303100000000001</v>
      </c>
      <c r="AS44" s="227"/>
    </row>
    <row r="45" spans="1:45" x14ac:dyDescent="0.35">
      <c r="A45" s="226">
        <f t="shared" si="5"/>
        <v>45788</v>
      </c>
      <c r="B45" s="227">
        <f>YEAR(Daily_KPI[[#This Row],[Date]])+IF(MONTH(Daily_KPI[[#This Row],[Date]])&gt;=4,1,0)</f>
        <v>2026</v>
      </c>
      <c r="C45" s="6">
        <f>YEAR(Daily_KPI[[#This Row],[Date]])</f>
        <v>2025</v>
      </c>
      <c r="D45" s="228">
        <f>Daily_KPI[[#This Row],[Date]]-DAY(Daily_KPI[[#This Row],[Date]])+1</f>
        <v>45778</v>
      </c>
      <c r="E45" s="6">
        <f t="shared" si="0"/>
        <v>31</v>
      </c>
      <c r="F45" s="229">
        <f>IFERROR(_xlfn.XLOOKUP($A45,'Raw Data'!$A:$A,'Raw Data'!$BR:$BR),"")</f>
        <v>11.566666666666666</v>
      </c>
      <c r="G45" s="230">
        <f>IFERROR(_xlfn.XLOOKUP($A45,'Raw Data'!$A:$A,'Raw Data'!$AO:$AO),"")</f>
        <v>0</v>
      </c>
      <c r="H45" s="230"/>
      <c r="I45" s="230">
        <f>IFERROR(_xlfn.XLOOKUP($A45,'Raw Data'!$A:$A,'Raw Data'!$AR:$AR),"")</f>
        <v>5.4253947281713337</v>
      </c>
      <c r="J45" s="230"/>
      <c r="K45" s="230">
        <f>IFERROR(_xlfn.XLOOKUP($A45,'Raw Data'!$A:$A,'Raw Data'!$AV:$AV),"")</f>
        <v>0</v>
      </c>
      <c r="L45" s="230">
        <f>IFERROR(_xlfn.XLOOKUP($A45,'Raw Data'!$A:$A,'Raw Data'!$AW:$AW),"")</f>
        <v>0</v>
      </c>
      <c r="M45" s="230">
        <f>IFERROR(_xlfn.XLOOKUP($A45,'Raw Data'!$A:$A,'Raw Data'!$AX:$AX),"")</f>
        <v>0</v>
      </c>
      <c r="N45" s="230">
        <f>IFERROR(_xlfn.XLOOKUP($A45,'Raw Data'!$A:$A,'Raw Data'!$AY:$AY),"")</f>
        <v>0</v>
      </c>
      <c r="O45" s="231">
        <f>IFERROR(1-(SUMIF('Plant BD'!$B:$B,A45,'Plant BD'!$AE:$AE)/(AA45+SUMIF('Plant BD'!$B:$B,A45,'Plant BD'!$AE:$AE))),"")</f>
        <v>1</v>
      </c>
      <c r="P45" s="231"/>
      <c r="Q45" s="232"/>
      <c r="R45" s="231">
        <f>IFERROR(1-(SUMIF('Grid BD'!$B:$B,$A45,'Grid BD'!$AD:$AD)/($AA45+SUMIF('Grid BD'!$B:$B,$A45,'Grid BD'!AD:AD))),"")</f>
        <v>1</v>
      </c>
      <c r="S45" s="6"/>
      <c r="T45" s="232"/>
      <c r="U45" s="233">
        <f t="shared" si="4"/>
        <v>0.78862659069016039</v>
      </c>
      <c r="V45" s="233"/>
      <c r="W45" s="234">
        <f t="shared" si="6"/>
        <v>0.17827543948442201</v>
      </c>
      <c r="X45" s="227">
        <f>IFERROR(_xlfn.XLOOKUP($A45,'Raw Data'!$A:$A,'Raw Data'!$BA:$BA),"")</f>
        <v>105738</v>
      </c>
      <c r="Y45" s="227">
        <f>IFERROR(_xlfn.XLOOKUP($A45,'Raw Data'!$A:$A,'Raw Data'!BJ:BJ),"")</f>
        <v>104934.70000001253</v>
      </c>
      <c r="Z45" s="227">
        <f>IFERROR(_xlfn.XLOOKUP($A45,'Raw Data'!$A:$A,'Raw Data'!BK:BK),"")</f>
        <v>951.19999999997162</v>
      </c>
      <c r="AA45" s="227">
        <f>IFERROR(_xlfn.XLOOKUP($A45,'Raw Data'!$A:$A,'Raw Data'!BL:BL),"")</f>
        <v>103983.50000001256</v>
      </c>
      <c r="AB45" s="227">
        <f>IFERROR(_xlfn.XLOOKUP($A45,'Raw Data'!$A:$A,'Raw Data'!$H:$H),"")</f>
        <v>24.303100000000001</v>
      </c>
      <c r="AC45" s="145">
        <f>IFERROR(_xlfn.XLOOKUP($D45,'Modelling New'!$D:$D,'Modelling New'!$P:$P),"")</f>
        <v>6.5290322580645164</v>
      </c>
      <c r="AD45" s="227">
        <f>IFERROR(_xlfn.XLOOKUP($D45,'Modelling New'!$D:$D,'Modelling New'!$T:$T)*1000,"")</f>
        <v>119905.71730852894</v>
      </c>
      <c r="AE45" s="234">
        <f>IFERROR(_xlfn.XLOOKUP($D45,'Modelling New'!$D:$D,'Modelling New'!$O:$O),"")</f>
        <v>0.75566516656343796</v>
      </c>
      <c r="AF45" s="234">
        <f>IFERROR(_xlfn.XLOOKUP($D45,'Modelling New'!$D:$D,'Modelling New'!$W:$W),"")</f>
        <v>0.20557342703284925</v>
      </c>
      <c r="AG45" s="234">
        <f>IFERROR(_xlfn.XLOOKUP($D45,'Modelling New'!$D:$D,'Modelling New'!AE:AE),"")</f>
        <v>0.995</v>
      </c>
      <c r="AH45" s="234">
        <v>0.99750000000000005</v>
      </c>
      <c r="AI45" s="6"/>
      <c r="AJ45" s="6"/>
      <c r="AK45" s="6"/>
      <c r="AL45" s="6"/>
      <c r="AM45" s="6"/>
      <c r="AN45" s="231"/>
      <c r="AO45" s="234"/>
      <c r="AP45" s="234"/>
      <c r="AQ45" s="234"/>
      <c r="AR45" s="227">
        <f>IFERROR(_xlfn.XLOOKUP($D45,'Modelling New'!$D:$D,'Modelling New'!$N:$N),"")</f>
        <v>24.303100000000001</v>
      </c>
      <c r="AS45" s="227"/>
    </row>
    <row r="46" spans="1:45" x14ac:dyDescent="0.35">
      <c r="A46" s="226">
        <f t="shared" si="5"/>
        <v>45789</v>
      </c>
      <c r="B46" s="227">
        <f>YEAR(Daily_KPI[[#This Row],[Date]])+IF(MONTH(Daily_KPI[[#This Row],[Date]])&gt;=4,1,0)</f>
        <v>2026</v>
      </c>
      <c r="C46" s="6">
        <f>YEAR(Daily_KPI[[#This Row],[Date]])</f>
        <v>2025</v>
      </c>
      <c r="D46" s="228">
        <f>Daily_KPI[[#This Row],[Date]]-DAY(Daily_KPI[[#This Row],[Date]])+1</f>
        <v>45778</v>
      </c>
      <c r="E46" s="6">
        <f t="shared" si="0"/>
        <v>31</v>
      </c>
      <c r="F46" s="229">
        <f>IFERROR(_xlfn.XLOOKUP($A46,'Raw Data'!$A:$A,'Raw Data'!$BR:$BR),"")</f>
        <v>9.35</v>
      </c>
      <c r="G46" s="230" t="str">
        <f>IFERROR(_xlfn.XLOOKUP($A46,'Raw Data'!$A:$A,'Raw Data'!$AO:$AO),"")</f>
        <v> </v>
      </c>
      <c r="H46" s="230"/>
      <c r="I46" s="230">
        <f>IFERROR(_xlfn.XLOOKUP($A46,'Raw Data'!$A:$A,'Raw Data'!$AR:$AR),"")</f>
        <v>4.9710646622734753</v>
      </c>
      <c r="J46" s="230"/>
      <c r="K46" s="230">
        <f>IFERROR(_xlfn.XLOOKUP($A46,'Raw Data'!$A:$A,'Raw Data'!$AV:$AV),"")</f>
        <v>0</v>
      </c>
      <c r="L46" s="230">
        <f>IFERROR(_xlfn.XLOOKUP($A46,'Raw Data'!$A:$A,'Raw Data'!$AW:$AW),"")</f>
        <v>0</v>
      </c>
      <c r="M46" s="230">
        <f>IFERROR(_xlfn.XLOOKUP($A46,'Raw Data'!$A:$A,'Raw Data'!$AX:$AX),"")</f>
        <v>0</v>
      </c>
      <c r="N46" s="230">
        <f>IFERROR(_xlfn.XLOOKUP($A46,'Raw Data'!$A:$A,'Raw Data'!$AY:$AY),"")</f>
        <v>0</v>
      </c>
      <c r="O46" s="231">
        <f>IFERROR(1-(SUMIF('Plant BD'!$B:$B,A46,'Plant BD'!$AE:$AE)/(AA46+SUMIF('Plant BD'!$B:$B,A46,'Plant BD'!$AE:$AE))),"")</f>
        <v>1</v>
      </c>
      <c r="P46" s="231"/>
      <c r="Q46" s="232"/>
      <c r="R46" s="231">
        <f>IFERROR(1-(SUMIF('Grid BD'!$B:$B,$A46,'Grid BD'!$AD:$AD)/($AA46+SUMIF('Grid BD'!$B:$B,$A46,'Grid BD'!AD:AD))),"")</f>
        <v>1</v>
      </c>
      <c r="S46" s="6"/>
      <c r="T46" s="232"/>
      <c r="U46" s="233">
        <f t="shared" si="4"/>
        <v>0.77506995782854571</v>
      </c>
      <c r="V46" s="233"/>
      <c r="W46" s="234">
        <f t="shared" si="6"/>
        <v>0.16053845325630317</v>
      </c>
      <c r="X46" s="227">
        <f>IFERROR(_xlfn.XLOOKUP($A46,'Raw Data'!$A:$A,'Raw Data'!$BA:$BA),"")</f>
        <v>97970</v>
      </c>
      <c r="Y46" s="227">
        <f>IFERROR(_xlfn.XLOOKUP($A46,'Raw Data'!$A:$A,'Raw Data'!BJ:BJ),"")</f>
        <v>94463.199999998324</v>
      </c>
      <c r="Z46" s="227">
        <f>IFERROR(_xlfn.XLOOKUP($A46,'Raw Data'!$A:$A,'Raw Data'!BK:BK),"")</f>
        <v>825.23000000003321</v>
      </c>
      <c r="AA46" s="227">
        <f>IFERROR(_xlfn.XLOOKUP($A46,'Raw Data'!$A:$A,'Raw Data'!BL:BL),"")</f>
        <v>93637.969999998284</v>
      </c>
      <c r="AB46" s="227">
        <f>IFERROR(_xlfn.XLOOKUP($A46,'Raw Data'!$A:$A,'Raw Data'!$H:$H),"")</f>
        <v>24.303100000000001</v>
      </c>
      <c r="AC46" s="145">
        <f>IFERROR(_xlfn.XLOOKUP($D46,'Modelling New'!$D:$D,'Modelling New'!$P:$P),"")</f>
        <v>6.5290322580645164</v>
      </c>
      <c r="AD46" s="227">
        <f>IFERROR(_xlfn.XLOOKUP($D46,'Modelling New'!$D:$D,'Modelling New'!$T:$T)*1000,"")</f>
        <v>119905.71730852894</v>
      </c>
      <c r="AE46" s="234">
        <f>IFERROR(_xlfn.XLOOKUP($D46,'Modelling New'!$D:$D,'Modelling New'!$O:$O),"")</f>
        <v>0.75566516656343796</v>
      </c>
      <c r="AF46" s="234">
        <f>IFERROR(_xlfn.XLOOKUP($D46,'Modelling New'!$D:$D,'Modelling New'!$W:$W),"")</f>
        <v>0.20557342703284925</v>
      </c>
      <c r="AG46" s="234">
        <f>IFERROR(_xlfn.XLOOKUP($D46,'Modelling New'!$D:$D,'Modelling New'!AE:AE),"")</f>
        <v>0.995</v>
      </c>
      <c r="AH46" s="234">
        <v>0.99750000000000005</v>
      </c>
      <c r="AI46" s="6"/>
      <c r="AJ46" s="6"/>
      <c r="AK46" s="6"/>
      <c r="AL46" s="6"/>
      <c r="AM46" s="6"/>
      <c r="AN46" s="231"/>
      <c r="AO46" s="234"/>
      <c r="AP46" s="234"/>
      <c r="AQ46" s="234"/>
      <c r="AR46" s="227">
        <f>IFERROR(_xlfn.XLOOKUP($D46,'Modelling New'!$D:$D,'Modelling New'!$N:$N),"")</f>
        <v>24.303100000000001</v>
      </c>
      <c r="AS46" s="227"/>
    </row>
    <row r="47" spans="1:45" x14ac:dyDescent="0.35">
      <c r="A47" s="226">
        <f t="shared" si="5"/>
        <v>45790</v>
      </c>
      <c r="B47" s="227">
        <f>YEAR(Daily_KPI[[#This Row],[Date]])+IF(MONTH(Daily_KPI[[#This Row],[Date]])&gt;=4,1,0)</f>
        <v>2026</v>
      </c>
      <c r="C47" s="6">
        <f>YEAR(Daily_KPI[[#This Row],[Date]])</f>
        <v>2025</v>
      </c>
      <c r="D47" s="228">
        <f>Daily_KPI[[#This Row],[Date]]-DAY(Daily_KPI[[#This Row],[Date]])+1</f>
        <v>45778</v>
      </c>
      <c r="E47" s="6">
        <f t="shared" si="0"/>
        <v>31</v>
      </c>
      <c r="F47" s="229">
        <f>IFERROR(_xlfn.XLOOKUP($A47,'Raw Data'!$A:$A,'Raw Data'!$BR:$BR),"")</f>
        <v>12.033333333333333</v>
      </c>
      <c r="G47" s="230">
        <f>IFERROR(_xlfn.XLOOKUP($A47,'Raw Data'!$A:$A,'Raw Data'!$AO:$AO),"")</f>
        <v>0</v>
      </c>
      <c r="H47" s="230"/>
      <c r="I47" s="230">
        <f>IFERROR(_xlfn.XLOOKUP($A47,'Raw Data'!$A:$A,'Raw Data'!$AR:$AR),"")</f>
        <v>5.5796205107084011</v>
      </c>
      <c r="J47" s="230"/>
      <c r="K47" s="230">
        <f>IFERROR(_xlfn.XLOOKUP($A47,'Raw Data'!$A:$A,'Raw Data'!$AV:$AV),"")</f>
        <v>0</v>
      </c>
      <c r="L47" s="230">
        <f>IFERROR(_xlfn.XLOOKUP($A47,'Raw Data'!$A:$A,'Raw Data'!$AW:$AW),"")</f>
        <v>0</v>
      </c>
      <c r="M47" s="230">
        <f>IFERROR(_xlfn.XLOOKUP($A47,'Raw Data'!$A:$A,'Raw Data'!$AX:$AX),"")</f>
        <v>0</v>
      </c>
      <c r="N47" s="230">
        <f>IFERROR(_xlfn.XLOOKUP($A47,'Raw Data'!$A:$A,'Raw Data'!$AY:$AY),"")</f>
        <v>0</v>
      </c>
      <c r="O47" s="231">
        <f>IFERROR(1-(SUMIF('Plant BD'!$B:$B,A47,'Plant BD'!$AE:$AE)/(AA47+SUMIF('Plant BD'!$B:$B,A47,'Plant BD'!$AE:$AE))),"")</f>
        <v>0.93479711059516091</v>
      </c>
      <c r="P47" s="231"/>
      <c r="Q47" s="232"/>
      <c r="R47" s="231">
        <f>IFERROR(1-(SUMIF('Grid BD'!$B:$B,$A47,'Grid BD'!$AD:$AD)/($AA47+SUMIF('Grid BD'!$B:$B,$A47,'Grid BD'!AD:AD))),"")</f>
        <v>1</v>
      </c>
      <c r="S47" s="6"/>
      <c r="T47" s="232"/>
      <c r="U47" s="233">
        <f t="shared" si="4"/>
        <v>0.66152143944199193</v>
      </c>
      <c r="V47" s="233"/>
      <c r="W47" s="234">
        <f t="shared" si="6"/>
        <v>0.15379327465766182</v>
      </c>
      <c r="X47" s="227">
        <f>IFERROR(_xlfn.XLOOKUP($A47,'Raw Data'!$A:$A,'Raw Data'!$BA:$BA),"")</f>
        <v>86301</v>
      </c>
      <c r="Y47" s="227">
        <f>IFERROR(_xlfn.XLOOKUP($A47,'Raw Data'!$A:$A,'Raw Data'!BJ:BJ),"")</f>
        <v>89742.89999998291</v>
      </c>
      <c r="Z47" s="227">
        <f>IFERROR(_xlfn.XLOOKUP($A47,'Raw Data'!$A:$A,'Raw Data'!BK:BK),"")</f>
        <v>39.220000000000255</v>
      </c>
      <c r="AA47" s="227">
        <f>IFERROR(_xlfn.XLOOKUP($A47,'Raw Data'!$A:$A,'Raw Data'!BL:BL),"")</f>
        <v>89703.679999982909</v>
      </c>
      <c r="AB47" s="227">
        <f>IFERROR(_xlfn.XLOOKUP($A47,'Raw Data'!$A:$A,'Raw Data'!$H:$H),"")</f>
        <v>24.303100000000001</v>
      </c>
      <c r="AC47" s="145">
        <f>IFERROR(_xlfn.XLOOKUP($D47,'Modelling New'!$D:$D,'Modelling New'!$P:$P),"")</f>
        <v>6.5290322580645164</v>
      </c>
      <c r="AD47" s="227">
        <f>IFERROR(_xlfn.XLOOKUP($D47,'Modelling New'!$D:$D,'Modelling New'!$T:$T)*1000,"")</f>
        <v>119905.71730852894</v>
      </c>
      <c r="AE47" s="234">
        <f>IFERROR(_xlfn.XLOOKUP($D47,'Modelling New'!$D:$D,'Modelling New'!$O:$O),"")</f>
        <v>0.75566516656343796</v>
      </c>
      <c r="AF47" s="234">
        <f>IFERROR(_xlfn.XLOOKUP($D47,'Modelling New'!$D:$D,'Modelling New'!$W:$W),"")</f>
        <v>0.20557342703284925</v>
      </c>
      <c r="AG47" s="234">
        <f>IFERROR(_xlfn.XLOOKUP($D47,'Modelling New'!$D:$D,'Modelling New'!AE:AE),"")</f>
        <v>0.995</v>
      </c>
      <c r="AH47" s="234">
        <v>0.99750000000000005</v>
      </c>
      <c r="AI47" s="6"/>
      <c r="AJ47" s="6"/>
      <c r="AK47" s="6"/>
      <c r="AL47" s="6"/>
      <c r="AM47" s="6"/>
      <c r="AN47" s="231"/>
      <c r="AO47" s="234"/>
      <c r="AP47" s="234"/>
      <c r="AQ47" s="234"/>
      <c r="AR47" s="227">
        <f>IFERROR(_xlfn.XLOOKUP($D47,'Modelling New'!$D:$D,'Modelling New'!$N:$N),"")</f>
        <v>24.303100000000001</v>
      </c>
      <c r="AS47" s="227"/>
    </row>
    <row r="48" spans="1:45" x14ac:dyDescent="0.35">
      <c r="A48" s="226">
        <f t="shared" si="5"/>
        <v>45791</v>
      </c>
      <c r="B48" s="227">
        <f>YEAR(Daily_KPI[[#This Row],[Date]])+IF(MONTH(Daily_KPI[[#This Row],[Date]])&gt;=4,1,0)</f>
        <v>2026</v>
      </c>
      <c r="C48" s="6">
        <f>YEAR(Daily_KPI[[#This Row],[Date]])</f>
        <v>2025</v>
      </c>
      <c r="D48" s="228">
        <f>Daily_KPI[[#This Row],[Date]]-DAY(Daily_KPI[[#This Row],[Date]])+1</f>
        <v>45778</v>
      </c>
      <c r="E48" s="6">
        <f t="shared" si="0"/>
        <v>31</v>
      </c>
      <c r="F48" s="229">
        <f>IFERROR(_xlfn.XLOOKUP($A48,'Raw Data'!$A:$A,'Raw Data'!$BR:$BR),"")</f>
        <v>11.966666666666669</v>
      </c>
      <c r="G48" s="230">
        <f>IFERROR(_xlfn.XLOOKUP($A48,'Raw Data'!$A:$A,'Raw Data'!$AO:$AO),"")</f>
        <v>0</v>
      </c>
      <c r="H48" s="230"/>
      <c r="I48" s="230">
        <f>IFERROR(_xlfn.XLOOKUP($A48,'Raw Data'!$A:$A,'Raw Data'!$AR:$AR),"")</f>
        <v>4.1340076194398687</v>
      </c>
      <c r="J48" s="230"/>
      <c r="K48" s="230">
        <f>IFERROR(_xlfn.XLOOKUP($A48,'Raw Data'!$A:$A,'Raw Data'!$AV:$AV),"")</f>
        <v>0</v>
      </c>
      <c r="L48" s="230">
        <f>IFERROR(_xlfn.XLOOKUP($A48,'Raw Data'!$A:$A,'Raw Data'!$AW:$AW),"")</f>
        <v>0</v>
      </c>
      <c r="M48" s="230">
        <f>IFERROR(_xlfn.XLOOKUP($A48,'Raw Data'!$A:$A,'Raw Data'!$AX:$AX),"")</f>
        <v>0</v>
      </c>
      <c r="N48" s="230">
        <f>IFERROR(_xlfn.XLOOKUP($A48,'Raw Data'!$A:$A,'Raw Data'!$AY:$AY),"")</f>
        <v>0</v>
      </c>
      <c r="O48" s="231">
        <f>IFERROR(1-(SUMIF('Plant BD'!$B:$B,A48,'Plant BD'!$AE:$AE)/(AA48+SUMIF('Plant BD'!$B:$B,A48,'Plant BD'!$AE:$AE))),"")</f>
        <v>0.99861798931201351</v>
      </c>
      <c r="P48" s="231"/>
      <c r="Q48" s="232"/>
      <c r="R48" s="231">
        <f>IFERROR(1-(SUMIF('Grid BD'!$B:$B,$A48,'Grid BD'!$AD:$AD)/($AA48+SUMIF('Grid BD'!$B:$B,$A48,'Grid BD'!AD:AD))),"")</f>
        <v>1</v>
      </c>
      <c r="S48" s="6"/>
      <c r="T48" s="232"/>
      <c r="U48" s="233">
        <f t="shared" si="4"/>
        <v>0.72500377809728933</v>
      </c>
      <c r="V48" s="233"/>
      <c r="W48" s="234">
        <f t="shared" si="6"/>
        <v>0.1248821309490369</v>
      </c>
      <c r="X48" s="227">
        <f>IFERROR(_xlfn.XLOOKUP($A48,'Raw Data'!$A:$A,'Raw Data'!$BA:$BA),"")</f>
        <v>77760</v>
      </c>
      <c r="Y48" s="227">
        <f>IFERROR(_xlfn.XLOOKUP($A48,'Raw Data'!$A:$A,'Raw Data'!BJ:BJ),"")</f>
        <v>73777.400000020862</v>
      </c>
      <c r="Z48" s="227">
        <f>IFERROR(_xlfn.XLOOKUP($A48,'Raw Data'!$A:$A,'Raw Data'!BK:BK),"")</f>
        <v>936.84999999993579</v>
      </c>
      <c r="AA48" s="227">
        <f>IFERROR(_xlfn.XLOOKUP($A48,'Raw Data'!$A:$A,'Raw Data'!BL:BL),"")</f>
        <v>72840.550000020929</v>
      </c>
      <c r="AB48" s="227">
        <f>IFERROR(_xlfn.XLOOKUP($A48,'Raw Data'!$A:$A,'Raw Data'!$H:$H),"")</f>
        <v>24.303100000000001</v>
      </c>
      <c r="AC48" s="145">
        <f>IFERROR(_xlfn.XLOOKUP($D48,'Modelling New'!$D:$D,'Modelling New'!$P:$P),"")</f>
        <v>6.5290322580645164</v>
      </c>
      <c r="AD48" s="227">
        <f>IFERROR(_xlfn.XLOOKUP($D48,'Modelling New'!$D:$D,'Modelling New'!$T:$T)*1000,"")</f>
        <v>119905.71730852894</v>
      </c>
      <c r="AE48" s="234">
        <f>IFERROR(_xlfn.XLOOKUP($D48,'Modelling New'!$D:$D,'Modelling New'!$O:$O),"")</f>
        <v>0.75566516656343796</v>
      </c>
      <c r="AF48" s="234">
        <f>IFERROR(_xlfn.XLOOKUP($D48,'Modelling New'!$D:$D,'Modelling New'!$W:$W),"")</f>
        <v>0.20557342703284925</v>
      </c>
      <c r="AG48" s="234">
        <f>IFERROR(_xlfn.XLOOKUP($D48,'Modelling New'!$D:$D,'Modelling New'!AE:AE),"")</f>
        <v>0.995</v>
      </c>
      <c r="AH48" s="234">
        <v>0.99750000000000005</v>
      </c>
      <c r="AI48" s="6"/>
      <c r="AJ48" s="6"/>
      <c r="AK48" s="6"/>
      <c r="AL48" s="6"/>
      <c r="AM48" s="6"/>
      <c r="AN48" s="231"/>
      <c r="AO48" s="234"/>
      <c r="AP48" s="234"/>
      <c r="AQ48" s="234"/>
      <c r="AR48" s="227">
        <f>IFERROR(_xlfn.XLOOKUP($D48,'Modelling New'!$D:$D,'Modelling New'!$N:$N),"")</f>
        <v>24.303100000000001</v>
      </c>
      <c r="AS48" s="227"/>
    </row>
    <row r="49" spans="1:45" x14ac:dyDescent="0.35">
      <c r="A49" s="226">
        <f t="shared" si="5"/>
        <v>45792</v>
      </c>
      <c r="B49" s="227">
        <f>YEAR(Daily_KPI[[#This Row],[Date]])+IF(MONTH(Daily_KPI[[#This Row],[Date]])&gt;=4,1,0)</f>
        <v>2026</v>
      </c>
      <c r="C49" s="6">
        <f>YEAR(Daily_KPI[[#This Row],[Date]])</f>
        <v>2025</v>
      </c>
      <c r="D49" s="228">
        <f>Daily_KPI[[#This Row],[Date]]-DAY(Daily_KPI[[#This Row],[Date]])+1</f>
        <v>45778</v>
      </c>
      <c r="E49" s="6">
        <f t="shared" si="0"/>
        <v>31</v>
      </c>
      <c r="F49" s="229">
        <f>IFERROR(_xlfn.XLOOKUP($A49,'Raw Data'!$A:$A,'Raw Data'!$BR:$BR),"")</f>
        <v>11.866666666666665</v>
      </c>
      <c r="G49" s="230">
        <f>IFERROR(_xlfn.XLOOKUP($A49,'Raw Data'!$A:$A,'Raw Data'!$AO:$AO),"")</f>
        <v>0</v>
      </c>
      <c r="H49" s="230"/>
      <c r="I49" s="230">
        <f>IFERROR(_xlfn.XLOOKUP($A49,'Raw Data'!$A:$A,'Raw Data'!$AR:$AR),"")</f>
        <v>2.950250164744646</v>
      </c>
      <c r="J49" s="230"/>
      <c r="K49" s="230">
        <f>IFERROR(_xlfn.XLOOKUP($A49,'Raw Data'!$A:$A,'Raw Data'!$AV:$AV),"")</f>
        <v>0</v>
      </c>
      <c r="L49" s="230">
        <f>IFERROR(_xlfn.XLOOKUP($A49,'Raw Data'!$A:$A,'Raw Data'!$AW:$AW),"")</f>
        <v>0</v>
      </c>
      <c r="M49" s="230">
        <f>IFERROR(_xlfn.XLOOKUP($A49,'Raw Data'!$A:$A,'Raw Data'!$AX:$AX),"")</f>
        <v>0</v>
      </c>
      <c r="N49" s="230">
        <f>IFERROR(_xlfn.XLOOKUP($A49,'Raw Data'!$A:$A,'Raw Data'!$AY:$AY),"")</f>
        <v>0</v>
      </c>
      <c r="O49" s="231">
        <f>IFERROR(1-(SUMIF('Plant BD'!$B:$B,A49,'Plant BD'!$AE:$AE)/(AA49+SUMIF('Plant BD'!$B:$B,A49,'Plant BD'!$AE:$AE))),"")</f>
        <v>1</v>
      </c>
      <c r="P49" s="231"/>
      <c r="Q49" s="232"/>
      <c r="R49" s="231">
        <f>IFERROR(1-(SUMIF('Grid BD'!$B:$B,$A49,'Grid BD'!$AD:$AD)/($AA49+SUMIF('Grid BD'!$B:$B,$A49,'Grid BD'!AD:AD))),"")</f>
        <v>1</v>
      </c>
      <c r="S49" s="6"/>
      <c r="T49" s="232"/>
      <c r="U49" s="233">
        <f t="shared" si="4"/>
        <v>0.78602542982059864</v>
      </c>
      <c r="V49" s="233"/>
      <c r="W49" s="234">
        <f t="shared" si="6"/>
        <v>9.6623818909237588E-2</v>
      </c>
      <c r="X49" s="227">
        <f>IFERROR(_xlfn.XLOOKUP($A49,'Raw Data'!$A:$A,'Raw Data'!$BA:$BA),"")</f>
        <v>57323</v>
      </c>
      <c r="Y49" s="227">
        <f>IFERROR(_xlfn.XLOOKUP($A49,'Raw Data'!$A:$A,'Raw Data'!BJ:BJ),"")</f>
        <v>57520.099999994272</v>
      </c>
      <c r="Z49" s="227">
        <f>IFERROR(_xlfn.XLOOKUP($A49,'Raw Data'!$A:$A,'Raw Data'!BK:BK),"")</f>
        <v>1161.9000000000597</v>
      </c>
      <c r="AA49" s="227">
        <f>IFERROR(_xlfn.XLOOKUP($A49,'Raw Data'!$A:$A,'Raw Data'!BL:BL),"")</f>
        <v>56358.199999994213</v>
      </c>
      <c r="AB49" s="227">
        <f>IFERROR(_xlfn.XLOOKUP($A49,'Raw Data'!$A:$A,'Raw Data'!$H:$H),"")</f>
        <v>24.303100000000001</v>
      </c>
      <c r="AC49" s="145">
        <f>IFERROR(_xlfn.XLOOKUP($D49,'Modelling New'!$D:$D,'Modelling New'!$P:$P),"")</f>
        <v>6.5290322580645164</v>
      </c>
      <c r="AD49" s="227">
        <f>IFERROR(_xlfn.XLOOKUP($D49,'Modelling New'!$D:$D,'Modelling New'!$T:$T)*1000,"")</f>
        <v>119905.71730852894</v>
      </c>
      <c r="AE49" s="234">
        <f>IFERROR(_xlfn.XLOOKUP($D49,'Modelling New'!$D:$D,'Modelling New'!$O:$O),"")</f>
        <v>0.75566516656343796</v>
      </c>
      <c r="AF49" s="234">
        <f>IFERROR(_xlfn.XLOOKUP($D49,'Modelling New'!$D:$D,'Modelling New'!$W:$W),"")</f>
        <v>0.20557342703284925</v>
      </c>
      <c r="AG49" s="234">
        <f>IFERROR(_xlfn.XLOOKUP($D49,'Modelling New'!$D:$D,'Modelling New'!AE:AE),"")</f>
        <v>0.995</v>
      </c>
      <c r="AH49" s="234">
        <v>0.99750000000000005</v>
      </c>
      <c r="AI49" s="6"/>
      <c r="AJ49" s="6"/>
      <c r="AK49" s="6"/>
      <c r="AL49" s="6"/>
      <c r="AM49" s="6"/>
      <c r="AN49" s="231"/>
      <c r="AO49" s="234"/>
      <c r="AP49" s="234"/>
      <c r="AQ49" s="234"/>
      <c r="AR49" s="227">
        <f>IFERROR(_xlfn.XLOOKUP($D49,'Modelling New'!$D:$D,'Modelling New'!$N:$N),"")</f>
        <v>24.303100000000001</v>
      </c>
      <c r="AS49" s="227"/>
    </row>
    <row r="50" spans="1:45" x14ac:dyDescent="0.35">
      <c r="A50" s="226">
        <f t="shared" si="5"/>
        <v>45793</v>
      </c>
      <c r="B50" s="227">
        <f>YEAR(Daily_KPI[[#This Row],[Date]])+IF(MONTH(Daily_KPI[[#This Row],[Date]])&gt;=4,1,0)</f>
        <v>2026</v>
      </c>
      <c r="C50" s="6">
        <f>YEAR(Daily_KPI[[#This Row],[Date]])</f>
        <v>2025</v>
      </c>
      <c r="D50" s="228">
        <f>Daily_KPI[[#This Row],[Date]]-DAY(Daily_KPI[[#This Row],[Date]])+1</f>
        <v>45778</v>
      </c>
      <c r="E50" s="6">
        <f t="shared" si="0"/>
        <v>31</v>
      </c>
      <c r="F50" s="229">
        <f>IFERROR(_xlfn.XLOOKUP($A50,'Raw Data'!$A:$A,'Raw Data'!$BR:$BR),"")</f>
        <v>12.183333333333335</v>
      </c>
      <c r="G50" s="230">
        <f>IFERROR(_xlfn.XLOOKUP($A50,'Raw Data'!$A:$A,'Raw Data'!$AO:$AO),"")</f>
        <v>0</v>
      </c>
      <c r="H50" s="230"/>
      <c r="I50" s="230">
        <f>IFERROR(_xlfn.XLOOKUP($A50,'Raw Data'!$A:$A,'Raw Data'!$AR:$AR),"")</f>
        <v>5.1041757001647436</v>
      </c>
      <c r="J50" s="230"/>
      <c r="K50" s="230">
        <f>IFERROR(_xlfn.XLOOKUP($A50,'Raw Data'!$A:$A,'Raw Data'!$AV:$AV),"")</f>
        <v>0</v>
      </c>
      <c r="L50" s="230">
        <f>IFERROR(_xlfn.XLOOKUP($A50,'Raw Data'!$A:$A,'Raw Data'!$AW:$AW),"")</f>
        <v>0</v>
      </c>
      <c r="M50" s="230">
        <f>IFERROR(_xlfn.XLOOKUP($A50,'Raw Data'!$A:$A,'Raw Data'!$AX:$AX),"")</f>
        <v>0</v>
      </c>
      <c r="N50" s="230">
        <f>IFERROR(_xlfn.XLOOKUP($A50,'Raw Data'!$A:$A,'Raw Data'!$AY:$AY),"")</f>
        <v>0</v>
      </c>
      <c r="O50" s="231">
        <f>IFERROR(1-(SUMIF('Plant BD'!$B:$B,A50,'Plant BD'!$AE:$AE)/(AA50+SUMIF('Plant BD'!$B:$B,A50,'Plant BD'!$AE:$AE))),"")</f>
        <v>1</v>
      </c>
      <c r="P50" s="231"/>
      <c r="Q50" s="232"/>
      <c r="R50" s="231">
        <f>IFERROR(1-(SUMIF('Grid BD'!$B:$B,$A50,'Grid BD'!$AD:$AD)/($AA50+SUMIF('Grid BD'!$B:$B,$A50,'Grid BD'!AD:AD))),"")</f>
        <v>1</v>
      </c>
      <c r="S50" s="6"/>
      <c r="T50" s="232"/>
      <c r="U50" s="233">
        <f t="shared" si="4"/>
        <v>0.80946200444838545</v>
      </c>
      <c r="V50" s="233"/>
      <c r="W50" s="234">
        <f t="shared" si="6"/>
        <v>0.17215151222133726</v>
      </c>
      <c r="X50" s="227">
        <f>IFERROR(_xlfn.XLOOKUP($A50,'Raw Data'!$A:$A,'Raw Data'!$BA:$BA),"")</f>
        <v>101460</v>
      </c>
      <c r="Y50" s="227">
        <f>IFERROR(_xlfn.XLOOKUP($A50,'Raw Data'!$A:$A,'Raw Data'!BJ:BJ),"")</f>
        <v>100809.16999999317</v>
      </c>
      <c r="Z50" s="227">
        <f>IFERROR(_xlfn.XLOOKUP($A50,'Raw Data'!$A:$A,'Raw Data'!BK:BK),"")</f>
        <v>397.60000000001128</v>
      </c>
      <c r="AA50" s="227">
        <f>IFERROR(_xlfn.XLOOKUP($A50,'Raw Data'!$A:$A,'Raw Data'!BL:BL),"")</f>
        <v>100411.56999999317</v>
      </c>
      <c r="AB50" s="227">
        <f>IFERROR(_xlfn.XLOOKUP($A50,'Raw Data'!$A:$A,'Raw Data'!$H:$H),"")</f>
        <v>24.303100000000001</v>
      </c>
      <c r="AC50" s="145">
        <f>IFERROR(_xlfn.XLOOKUP($D50,'Modelling New'!$D:$D,'Modelling New'!$P:$P),"")</f>
        <v>6.5290322580645164</v>
      </c>
      <c r="AD50" s="227">
        <f>IFERROR(_xlfn.XLOOKUP($D50,'Modelling New'!$D:$D,'Modelling New'!$T:$T)*1000,"")</f>
        <v>119905.71730852894</v>
      </c>
      <c r="AE50" s="234">
        <f>IFERROR(_xlfn.XLOOKUP($D50,'Modelling New'!$D:$D,'Modelling New'!$O:$O),"")</f>
        <v>0.75566516656343796</v>
      </c>
      <c r="AF50" s="234">
        <f>IFERROR(_xlfn.XLOOKUP($D50,'Modelling New'!$D:$D,'Modelling New'!$W:$W),"")</f>
        <v>0.20557342703284925</v>
      </c>
      <c r="AG50" s="234">
        <f>IFERROR(_xlfn.XLOOKUP($D50,'Modelling New'!$D:$D,'Modelling New'!AE:AE),"")</f>
        <v>0.995</v>
      </c>
      <c r="AH50" s="234">
        <v>0.99750000000000005</v>
      </c>
      <c r="AI50" s="6"/>
      <c r="AJ50" s="6"/>
      <c r="AK50" s="6"/>
      <c r="AL50" s="6"/>
      <c r="AM50" s="6"/>
      <c r="AN50" s="231"/>
      <c r="AO50" s="234"/>
      <c r="AP50" s="234"/>
      <c r="AQ50" s="234"/>
      <c r="AR50" s="227">
        <f>IFERROR(_xlfn.XLOOKUP($D50,'Modelling New'!$D:$D,'Modelling New'!$N:$N),"")</f>
        <v>24.303100000000001</v>
      </c>
      <c r="AS50" s="227"/>
    </row>
    <row r="51" spans="1:45" x14ac:dyDescent="0.35">
      <c r="A51" s="226">
        <f t="shared" si="5"/>
        <v>45794</v>
      </c>
      <c r="B51" s="227">
        <f>YEAR(Daily_KPI[[#This Row],[Date]])+IF(MONTH(Daily_KPI[[#This Row],[Date]])&gt;=4,1,0)</f>
        <v>2026</v>
      </c>
      <c r="C51" s="6">
        <f>YEAR(Daily_KPI[[#This Row],[Date]])</f>
        <v>2025</v>
      </c>
      <c r="D51" s="228">
        <f>Daily_KPI[[#This Row],[Date]]-DAY(Daily_KPI[[#This Row],[Date]])+1</f>
        <v>45778</v>
      </c>
      <c r="E51" s="6">
        <f t="shared" si="0"/>
        <v>31</v>
      </c>
      <c r="F51" s="229">
        <f>IFERROR(_xlfn.XLOOKUP($A51,'Raw Data'!$A:$A,'Raw Data'!$BR:$BR),"")</f>
        <v>12.066666666666666</v>
      </c>
      <c r="G51" s="230">
        <f>IFERROR(_xlfn.XLOOKUP($A51,'Raw Data'!$A:$A,'Raw Data'!$AO:$AO),"")</f>
        <v>0</v>
      </c>
      <c r="H51" s="230"/>
      <c r="I51" s="230">
        <f>IFERROR(_xlfn.XLOOKUP($A51,'Raw Data'!$A:$A,'Raw Data'!$AR:$AR),"")</f>
        <v>5.9176464168039535</v>
      </c>
      <c r="J51" s="230"/>
      <c r="K51" s="230">
        <f>IFERROR(_xlfn.XLOOKUP($A51,'Raw Data'!$A:$A,'Raw Data'!$AV:$AV),"")</f>
        <v>0</v>
      </c>
      <c r="L51" s="230">
        <f>IFERROR(_xlfn.XLOOKUP($A51,'Raw Data'!$A:$A,'Raw Data'!$AW:$AW),"")</f>
        <v>0</v>
      </c>
      <c r="M51" s="230">
        <f>IFERROR(_xlfn.XLOOKUP($A51,'Raw Data'!$A:$A,'Raw Data'!$AX:$AX),"")</f>
        <v>0</v>
      </c>
      <c r="N51" s="230">
        <f>IFERROR(_xlfn.XLOOKUP($A51,'Raw Data'!$A:$A,'Raw Data'!$AY:$AY),"")</f>
        <v>0</v>
      </c>
      <c r="O51" s="231">
        <f>IFERROR(1-(SUMIF('Plant BD'!$B:$B,A51,'Plant BD'!$AE:$AE)/(AA51+SUMIF('Plant BD'!$B:$B,A51,'Plant BD'!$AE:$AE))),"")</f>
        <v>1</v>
      </c>
      <c r="P51" s="231"/>
      <c r="Q51" s="232"/>
      <c r="R51" s="231">
        <f>IFERROR(1-(SUMIF('Grid BD'!$B:$B,$A51,'Grid BD'!$AD:$AD)/($AA51+SUMIF('Grid BD'!$B:$B,$A51,'Grid BD'!AD:AD))),"")</f>
        <v>0.60699718358808696</v>
      </c>
      <c r="S51" s="6"/>
      <c r="T51" s="232"/>
      <c r="U51" s="233">
        <f t="shared" si="4"/>
        <v>0.39104403731190818</v>
      </c>
      <c r="V51" s="233"/>
      <c r="W51" s="234">
        <f t="shared" si="6"/>
        <v>9.6419181092140191E-2</v>
      </c>
      <c r="X51" s="227">
        <f>IFERROR(_xlfn.XLOOKUP($A51,'Raw Data'!$A:$A,'Raw Data'!$BA:$BA),"")</f>
        <v>57391</v>
      </c>
      <c r="Y51" s="227">
        <f>IFERROR(_xlfn.XLOOKUP($A51,'Raw Data'!$A:$A,'Raw Data'!BJ:BJ),"")</f>
        <v>57249.340000009397</v>
      </c>
      <c r="Z51" s="227">
        <f>IFERROR(_xlfn.XLOOKUP($A51,'Raw Data'!$A:$A,'Raw Data'!BK:BK),"")</f>
        <v>1010.4999999999791</v>
      </c>
      <c r="AA51" s="227">
        <f>IFERROR(_xlfn.XLOOKUP($A51,'Raw Data'!$A:$A,'Raw Data'!BL:BL),"")</f>
        <v>56238.840000009419</v>
      </c>
      <c r="AB51" s="227">
        <f>IFERROR(_xlfn.XLOOKUP($A51,'Raw Data'!$A:$A,'Raw Data'!$H:$H),"")</f>
        <v>24.303100000000001</v>
      </c>
      <c r="AC51" s="145">
        <f>IFERROR(_xlfn.XLOOKUP($D51,'Modelling New'!$D:$D,'Modelling New'!$P:$P),"")</f>
        <v>6.5290322580645164</v>
      </c>
      <c r="AD51" s="227">
        <f>IFERROR(_xlfn.XLOOKUP($D51,'Modelling New'!$D:$D,'Modelling New'!$T:$T)*1000,"")</f>
        <v>119905.71730852894</v>
      </c>
      <c r="AE51" s="234">
        <f>IFERROR(_xlfn.XLOOKUP($D51,'Modelling New'!$D:$D,'Modelling New'!$O:$O),"")</f>
        <v>0.75566516656343796</v>
      </c>
      <c r="AF51" s="234">
        <f>IFERROR(_xlfn.XLOOKUP($D51,'Modelling New'!$D:$D,'Modelling New'!$W:$W),"")</f>
        <v>0.20557342703284925</v>
      </c>
      <c r="AG51" s="234">
        <f>IFERROR(_xlfn.XLOOKUP($D51,'Modelling New'!$D:$D,'Modelling New'!AE:AE),"")</f>
        <v>0.995</v>
      </c>
      <c r="AH51" s="234">
        <v>0.99750000000000005</v>
      </c>
      <c r="AI51" s="6"/>
      <c r="AJ51" s="6"/>
      <c r="AK51" s="6"/>
      <c r="AL51" s="6"/>
      <c r="AM51" s="6"/>
      <c r="AN51" s="231"/>
      <c r="AO51" s="234"/>
      <c r="AP51" s="234"/>
      <c r="AQ51" s="234"/>
      <c r="AR51" s="227">
        <f>IFERROR(_xlfn.XLOOKUP($D51,'Modelling New'!$D:$D,'Modelling New'!$N:$N),"")</f>
        <v>24.303100000000001</v>
      </c>
      <c r="AS51" s="227"/>
    </row>
    <row r="52" spans="1:45" x14ac:dyDescent="0.35">
      <c r="A52" s="226">
        <f t="shared" si="5"/>
        <v>45795</v>
      </c>
      <c r="B52" s="227">
        <f>YEAR(Daily_KPI[[#This Row],[Date]])+IF(MONTH(Daily_KPI[[#This Row],[Date]])&gt;=4,1,0)</f>
        <v>2026</v>
      </c>
      <c r="C52" s="6">
        <f>YEAR(Daily_KPI[[#This Row],[Date]])</f>
        <v>2025</v>
      </c>
      <c r="D52" s="228">
        <f>Daily_KPI[[#This Row],[Date]]-DAY(Daily_KPI[[#This Row],[Date]])+1</f>
        <v>45778</v>
      </c>
      <c r="E52" s="6">
        <f t="shared" si="0"/>
        <v>31</v>
      </c>
      <c r="F52" s="229">
        <f>IFERROR(_xlfn.XLOOKUP($A52,'Raw Data'!$A:$A,'Raw Data'!$BR:$BR),"")</f>
        <v>12.350000000000001</v>
      </c>
      <c r="G52" s="230">
        <f>IFERROR(_xlfn.XLOOKUP($A52,'Raw Data'!$A:$A,'Raw Data'!$AO:$AO),"")</f>
        <v>0</v>
      </c>
      <c r="H52" s="230"/>
      <c r="I52" s="230">
        <f>IFERROR(_xlfn.XLOOKUP($A52,'Raw Data'!$A:$A,'Raw Data'!$AR:$AR),"")</f>
        <v>4.0948038303130145</v>
      </c>
      <c r="J52" s="230"/>
      <c r="K52" s="230">
        <f>IFERROR(_xlfn.XLOOKUP($A52,'Raw Data'!$A:$A,'Raw Data'!$AV:$AV),"")</f>
        <v>0</v>
      </c>
      <c r="L52" s="230">
        <f>IFERROR(_xlfn.XLOOKUP($A52,'Raw Data'!$A:$A,'Raw Data'!$AW:$AW),"")</f>
        <v>0</v>
      </c>
      <c r="M52" s="230">
        <f>IFERROR(_xlfn.XLOOKUP($A52,'Raw Data'!$A:$A,'Raw Data'!$AX:$AX),"")</f>
        <v>0</v>
      </c>
      <c r="N52" s="230">
        <f>IFERROR(_xlfn.XLOOKUP($A52,'Raw Data'!$A:$A,'Raw Data'!$AY:$AY),"")</f>
        <v>0</v>
      </c>
      <c r="O52" s="231">
        <f>IFERROR(1-(SUMIF('Plant BD'!$B:$B,A52,'Plant BD'!$AE:$AE)/(AA52+SUMIF('Plant BD'!$B:$B,A52,'Plant BD'!$AE:$AE))),"")</f>
        <v>1</v>
      </c>
      <c r="P52" s="231"/>
      <c r="Q52" s="232"/>
      <c r="R52" s="231">
        <f>IFERROR(1-(SUMIF('Grid BD'!$B:$B,$A52,'Grid BD'!$AD:$AD)/($AA52+SUMIF('Grid BD'!$B:$B,$A52,'Grid BD'!AD:AD))),"")</f>
        <v>1</v>
      </c>
      <c r="S52" s="6"/>
      <c r="T52" s="232"/>
      <c r="U52" s="233">
        <f t="shared" si="4"/>
        <v>0.79973419890966868</v>
      </c>
      <c r="V52" s="233"/>
      <c r="W52" s="234">
        <f t="shared" si="6"/>
        <v>0.13644811087198422</v>
      </c>
      <c r="X52" s="227">
        <f>IFERROR(_xlfn.XLOOKUP($A52,'Raw Data'!$A:$A,'Raw Data'!$BA:$BA),"")</f>
        <v>80550</v>
      </c>
      <c r="Y52" s="227">
        <f>IFERROR(_xlfn.XLOOKUP($A52,'Raw Data'!$A:$A,'Raw Data'!BJ:BJ),"")</f>
        <v>80391.089999990072</v>
      </c>
      <c r="Z52" s="227">
        <f>IFERROR(_xlfn.XLOOKUP($A52,'Raw Data'!$A:$A,'Raw Data'!BK:BK),"")</f>
        <v>804.3999999999869</v>
      </c>
      <c r="AA52" s="227">
        <f>IFERROR(_xlfn.XLOOKUP($A52,'Raw Data'!$A:$A,'Raw Data'!BL:BL),"")</f>
        <v>79586.689999990078</v>
      </c>
      <c r="AB52" s="227">
        <f>IFERROR(_xlfn.XLOOKUP($A52,'Raw Data'!$A:$A,'Raw Data'!$H:$H),"")</f>
        <v>24.303100000000001</v>
      </c>
      <c r="AC52" s="145">
        <f>IFERROR(_xlfn.XLOOKUP($D52,'Modelling New'!$D:$D,'Modelling New'!$P:$P),"")</f>
        <v>6.5290322580645164</v>
      </c>
      <c r="AD52" s="227">
        <f>IFERROR(_xlfn.XLOOKUP($D52,'Modelling New'!$D:$D,'Modelling New'!$T:$T)*1000,"")</f>
        <v>119905.71730852894</v>
      </c>
      <c r="AE52" s="234">
        <f>IFERROR(_xlfn.XLOOKUP($D52,'Modelling New'!$D:$D,'Modelling New'!$O:$O),"")</f>
        <v>0.75566516656343796</v>
      </c>
      <c r="AF52" s="234">
        <f>IFERROR(_xlfn.XLOOKUP($D52,'Modelling New'!$D:$D,'Modelling New'!$W:$W),"")</f>
        <v>0.20557342703284925</v>
      </c>
      <c r="AG52" s="234">
        <f>IFERROR(_xlfn.XLOOKUP($D52,'Modelling New'!$D:$D,'Modelling New'!AE:AE),"")</f>
        <v>0.995</v>
      </c>
      <c r="AH52" s="234">
        <v>0.99750000000000005</v>
      </c>
      <c r="AI52" s="6"/>
      <c r="AJ52" s="6"/>
      <c r="AK52" s="6"/>
      <c r="AL52" s="6"/>
      <c r="AM52" s="6"/>
      <c r="AN52" s="231"/>
      <c r="AO52" s="234"/>
      <c r="AP52" s="234"/>
      <c r="AQ52" s="234"/>
      <c r="AR52" s="227">
        <f>IFERROR(_xlfn.XLOOKUP($D52,'Modelling New'!$D:$D,'Modelling New'!$N:$N),"")</f>
        <v>24.303100000000001</v>
      </c>
      <c r="AS52" s="227"/>
    </row>
    <row r="53" spans="1:45" x14ac:dyDescent="0.35">
      <c r="A53" s="226">
        <f t="shared" si="5"/>
        <v>45796</v>
      </c>
      <c r="B53" s="227">
        <f>YEAR(Daily_KPI[[#This Row],[Date]])+IF(MONTH(Daily_KPI[[#This Row],[Date]])&gt;=4,1,0)</f>
        <v>2026</v>
      </c>
      <c r="C53" s="6">
        <f>YEAR(Daily_KPI[[#This Row],[Date]])</f>
        <v>2025</v>
      </c>
      <c r="D53" s="228">
        <f>Daily_KPI[[#This Row],[Date]]-DAY(Daily_KPI[[#This Row],[Date]])+1</f>
        <v>45778</v>
      </c>
      <c r="E53" s="6">
        <f t="shared" ref="E53:E116" si="7">DAY(EOMONTH(A53,0))</f>
        <v>31</v>
      </c>
      <c r="F53" s="229">
        <f>IFERROR(_xlfn.XLOOKUP($A53,'Raw Data'!$A:$A,'Raw Data'!$BR:$BR),"")</f>
        <v>11.966666666666669</v>
      </c>
      <c r="G53" s="230">
        <f>IFERROR(_xlfn.XLOOKUP($A53,'Raw Data'!$A:$A,'Raw Data'!$AO:$AO),"")</f>
        <v>0</v>
      </c>
      <c r="H53" s="230"/>
      <c r="I53" s="230">
        <f>IFERROR(_xlfn.XLOOKUP($A53,'Raw Data'!$A:$A,'Raw Data'!$AR:$AR),"")</f>
        <v>5.5233331136738055</v>
      </c>
      <c r="J53" s="230"/>
      <c r="K53" s="230">
        <f>IFERROR(_xlfn.XLOOKUP($A53,'Raw Data'!$A:$A,'Raw Data'!$AV:$AV),"")</f>
        <v>0</v>
      </c>
      <c r="L53" s="230">
        <f>IFERROR(_xlfn.XLOOKUP($A53,'Raw Data'!$A:$A,'Raw Data'!$AW:$AW),"")</f>
        <v>0</v>
      </c>
      <c r="M53" s="230">
        <f>IFERROR(_xlfn.XLOOKUP($A53,'Raw Data'!$A:$A,'Raw Data'!$AX:$AX),"")</f>
        <v>0</v>
      </c>
      <c r="N53" s="230">
        <f>IFERROR(_xlfn.XLOOKUP($A53,'Raw Data'!$A:$A,'Raw Data'!$AY:$AY),"")</f>
        <v>0</v>
      </c>
      <c r="O53" s="231">
        <f>IFERROR(1-(SUMIF('Plant BD'!$B:$B,A53,'Plant BD'!$AE:$AE)/(AA53+SUMIF('Plant BD'!$B:$B,A53,'Plant BD'!$AE:$AE))),"")</f>
        <v>1</v>
      </c>
      <c r="P53" s="231"/>
      <c r="Q53" s="232"/>
      <c r="R53" s="231">
        <f>IFERROR(1-(SUMIF('Grid BD'!$B:$B,$A53,'Grid BD'!$AD:$AD)/($AA53+SUMIF('Grid BD'!$B:$B,$A53,'Grid BD'!AD:AD))),"")</f>
        <v>1</v>
      </c>
      <c r="S53" s="6"/>
      <c r="T53" s="232"/>
      <c r="U53" s="233">
        <f t="shared" si="4"/>
        <v>0.79688012552016441</v>
      </c>
      <c r="V53" s="233"/>
      <c r="W53" s="234">
        <f t="shared" si="6"/>
        <v>0.18339309937141926</v>
      </c>
      <c r="X53" s="227">
        <f>IFERROR(_xlfn.XLOOKUP($A53,'Raw Data'!$A:$A,'Raw Data'!$BA:$BA),"")</f>
        <v>108689</v>
      </c>
      <c r="Y53" s="227">
        <f>IFERROR(_xlfn.XLOOKUP($A53,'Raw Data'!$A:$A,'Raw Data'!BJ:BJ),"")</f>
        <v>107894.10000000498</v>
      </c>
      <c r="Z53" s="227">
        <f>IFERROR(_xlfn.XLOOKUP($A53,'Raw Data'!$A:$A,'Raw Data'!BK:BK),"")</f>
        <v>925.60000000003129</v>
      </c>
      <c r="AA53" s="227">
        <f>IFERROR(_xlfn.XLOOKUP($A53,'Raw Data'!$A:$A,'Raw Data'!BL:BL),"")</f>
        <v>106968.50000000495</v>
      </c>
      <c r="AB53" s="227">
        <f>IFERROR(_xlfn.XLOOKUP($A53,'Raw Data'!$A:$A,'Raw Data'!$H:$H),"")</f>
        <v>24.303100000000001</v>
      </c>
      <c r="AC53" s="145">
        <f>IFERROR(_xlfn.XLOOKUP($D53,'Modelling New'!$D:$D,'Modelling New'!$P:$P),"")</f>
        <v>6.5290322580645164</v>
      </c>
      <c r="AD53" s="227">
        <f>IFERROR(_xlfn.XLOOKUP($D53,'Modelling New'!$D:$D,'Modelling New'!$T:$T)*1000,"")</f>
        <v>119905.71730852894</v>
      </c>
      <c r="AE53" s="234">
        <f>IFERROR(_xlfn.XLOOKUP($D53,'Modelling New'!$D:$D,'Modelling New'!$O:$O),"")</f>
        <v>0.75566516656343796</v>
      </c>
      <c r="AF53" s="234">
        <f>IFERROR(_xlfn.XLOOKUP($D53,'Modelling New'!$D:$D,'Modelling New'!$W:$W),"")</f>
        <v>0.20557342703284925</v>
      </c>
      <c r="AG53" s="234">
        <f>IFERROR(_xlfn.XLOOKUP($D53,'Modelling New'!$D:$D,'Modelling New'!AE:AE),"")</f>
        <v>0.995</v>
      </c>
      <c r="AH53" s="234">
        <v>0.99750000000000005</v>
      </c>
      <c r="AI53" s="6"/>
      <c r="AJ53" s="6"/>
      <c r="AK53" s="6"/>
      <c r="AL53" s="6"/>
      <c r="AM53" s="6"/>
      <c r="AN53" s="231"/>
      <c r="AO53" s="234"/>
      <c r="AP53" s="234"/>
      <c r="AQ53" s="234"/>
      <c r="AR53" s="227">
        <f>IFERROR(_xlfn.XLOOKUP($D53,'Modelling New'!$D:$D,'Modelling New'!$N:$N),"")</f>
        <v>24.303100000000001</v>
      </c>
      <c r="AS53" s="227"/>
    </row>
    <row r="54" spans="1:45" x14ac:dyDescent="0.35">
      <c r="A54" s="226">
        <f t="shared" si="5"/>
        <v>45797</v>
      </c>
      <c r="B54" s="227">
        <f>YEAR(Daily_KPI[[#This Row],[Date]])+IF(MONTH(Daily_KPI[[#This Row],[Date]])&gt;=4,1,0)</f>
        <v>2026</v>
      </c>
      <c r="C54" s="6">
        <f>YEAR(Daily_KPI[[#This Row],[Date]])</f>
        <v>2025</v>
      </c>
      <c r="D54" s="228">
        <f>Daily_KPI[[#This Row],[Date]]-DAY(Daily_KPI[[#This Row],[Date]])+1</f>
        <v>45778</v>
      </c>
      <c r="E54" s="6">
        <f t="shared" si="7"/>
        <v>31</v>
      </c>
      <c r="F54" s="229">
        <f>IFERROR(_xlfn.XLOOKUP($A54,'Raw Data'!$A:$A,'Raw Data'!$BR:$BR),"")</f>
        <v>11.766666666666667</v>
      </c>
      <c r="G54" s="230">
        <f>IFERROR(_xlfn.XLOOKUP($A54,'Raw Data'!$A:$A,'Raw Data'!$AO:$AO),"")</f>
        <v>0</v>
      </c>
      <c r="H54" s="230"/>
      <c r="I54" s="230">
        <f>IFERROR(_xlfn.XLOOKUP($A54,'Raw Data'!$A:$A,'Raw Data'!$AR:$AR),"")</f>
        <v>5.3220045716639204</v>
      </c>
      <c r="J54" s="230"/>
      <c r="K54" s="230">
        <f>IFERROR(_xlfn.XLOOKUP($A54,'Raw Data'!$A:$A,'Raw Data'!$AV:$AV),"")</f>
        <v>0</v>
      </c>
      <c r="L54" s="230">
        <f>IFERROR(_xlfn.XLOOKUP($A54,'Raw Data'!$A:$A,'Raw Data'!$AW:$AW),"")</f>
        <v>0</v>
      </c>
      <c r="M54" s="230">
        <f>IFERROR(_xlfn.XLOOKUP($A54,'Raw Data'!$A:$A,'Raw Data'!$AX:$AX),"")</f>
        <v>0</v>
      </c>
      <c r="N54" s="230">
        <f>IFERROR(_xlfn.XLOOKUP($A54,'Raw Data'!$A:$A,'Raw Data'!$AY:$AY),"")</f>
        <v>0</v>
      </c>
      <c r="O54" s="231">
        <f>IFERROR(1-(SUMIF('Plant BD'!$B:$B,A54,'Plant BD'!$AE:$AE)/(AA54+SUMIF('Plant BD'!$B:$B,A54,'Plant BD'!$AE:$AE))),"")</f>
        <v>0.966229703119735</v>
      </c>
      <c r="P54" s="231"/>
      <c r="Q54" s="232"/>
      <c r="R54" s="231">
        <f>IFERROR(1-(SUMIF('Grid BD'!$B:$B,$A54,'Grid BD'!$AD:$AD)/($AA54+SUMIF('Grid BD'!$B:$B,$A54,'Grid BD'!AD:AD))),"")</f>
        <v>1</v>
      </c>
      <c r="S54" s="6"/>
      <c r="T54" s="232"/>
      <c r="U54" s="233">
        <f t="shared" si="4"/>
        <v>0.87866118316133601</v>
      </c>
      <c r="V54" s="233"/>
      <c r="W54" s="234">
        <f t="shared" si="6"/>
        <v>0.19484328473867746</v>
      </c>
      <c r="X54" s="227">
        <f>IFERROR(_xlfn.XLOOKUP($A54,'Raw Data'!$A:$A,'Raw Data'!$BA:$BA),"")</f>
        <v>115639</v>
      </c>
      <c r="Y54" s="227">
        <f>IFERROR(_xlfn.XLOOKUP($A54,'Raw Data'!$A:$A,'Raw Data'!BJ:BJ),"")</f>
        <v>114643.59999998123</v>
      </c>
      <c r="Z54" s="227">
        <f>IFERROR(_xlfn.XLOOKUP($A54,'Raw Data'!$A:$A,'Raw Data'!BK:BK),"")</f>
        <v>996.49999999996908</v>
      </c>
      <c r="AA54" s="227">
        <f>IFERROR(_xlfn.XLOOKUP($A54,'Raw Data'!$A:$A,'Raw Data'!BL:BL),"")</f>
        <v>113647.09999998126</v>
      </c>
      <c r="AB54" s="227">
        <f>IFERROR(_xlfn.XLOOKUP($A54,'Raw Data'!$A:$A,'Raw Data'!$H:$H),"")</f>
        <v>24.303100000000001</v>
      </c>
      <c r="AC54" s="145">
        <f>IFERROR(_xlfn.XLOOKUP($D54,'Modelling New'!$D:$D,'Modelling New'!$P:$P),"")</f>
        <v>6.5290322580645164</v>
      </c>
      <c r="AD54" s="227">
        <f>IFERROR(_xlfn.XLOOKUP($D54,'Modelling New'!$D:$D,'Modelling New'!$T:$T)*1000,"")</f>
        <v>119905.71730852894</v>
      </c>
      <c r="AE54" s="234">
        <f>IFERROR(_xlfn.XLOOKUP($D54,'Modelling New'!$D:$D,'Modelling New'!$O:$O),"")</f>
        <v>0.75566516656343796</v>
      </c>
      <c r="AF54" s="234">
        <f>IFERROR(_xlfn.XLOOKUP($D54,'Modelling New'!$D:$D,'Modelling New'!$W:$W),"")</f>
        <v>0.20557342703284925</v>
      </c>
      <c r="AG54" s="234">
        <f>IFERROR(_xlfn.XLOOKUP($D54,'Modelling New'!$D:$D,'Modelling New'!AE:AE),"")</f>
        <v>0.995</v>
      </c>
      <c r="AH54" s="234">
        <v>0.99750000000000005</v>
      </c>
      <c r="AI54" s="6"/>
      <c r="AJ54" s="6"/>
      <c r="AK54" s="6"/>
      <c r="AL54" s="6"/>
      <c r="AM54" s="6"/>
      <c r="AN54" s="231"/>
      <c r="AO54" s="234"/>
      <c r="AP54" s="234"/>
      <c r="AQ54" s="234"/>
      <c r="AR54" s="227">
        <f>IFERROR(_xlfn.XLOOKUP($D54,'Modelling New'!$D:$D,'Modelling New'!$N:$N),"")</f>
        <v>24.303100000000001</v>
      </c>
      <c r="AS54" s="227"/>
    </row>
    <row r="55" spans="1:45" x14ac:dyDescent="0.35">
      <c r="A55" s="226">
        <f t="shared" si="5"/>
        <v>45798</v>
      </c>
      <c r="B55" s="227">
        <f>YEAR(Daily_KPI[[#This Row],[Date]])+IF(MONTH(Daily_KPI[[#This Row],[Date]])&gt;=4,1,0)</f>
        <v>2026</v>
      </c>
      <c r="C55" s="6">
        <f>YEAR(Daily_KPI[[#This Row],[Date]])</f>
        <v>2025</v>
      </c>
      <c r="D55" s="228">
        <f>Daily_KPI[[#This Row],[Date]]-DAY(Daily_KPI[[#This Row],[Date]])+1</f>
        <v>45778</v>
      </c>
      <c r="E55" s="6">
        <f t="shared" si="7"/>
        <v>31</v>
      </c>
      <c r="F55" s="229">
        <f>IFERROR(_xlfn.XLOOKUP($A55,'Raw Data'!$A:$A,'Raw Data'!$BR:$BR),"")</f>
        <v>12.450000000000001</v>
      </c>
      <c r="G55" s="230">
        <f>IFERROR(_xlfn.XLOOKUP($A55,'Raw Data'!$A:$A,'Raw Data'!$AO:$AO),"")</f>
        <v>0</v>
      </c>
      <c r="H55" s="230"/>
      <c r="I55" s="230">
        <f>IFERROR(_xlfn.XLOOKUP($A55,'Raw Data'!$A:$A,'Raw Data'!$AR:$AR),"")</f>
        <v>3.9326729818780888</v>
      </c>
      <c r="J55" s="230"/>
      <c r="K55" s="230">
        <f>IFERROR(_xlfn.XLOOKUP($A55,'Raw Data'!$A:$A,'Raw Data'!$AV:$AV),"")</f>
        <v>0</v>
      </c>
      <c r="L55" s="230">
        <f>IFERROR(_xlfn.XLOOKUP($A55,'Raw Data'!$A:$A,'Raw Data'!$AW:$AW),"")</f>
        <v>0</v>
      </c>
      <c r="M55" s="230">
        <f>IFERROR(_xlfn.XLOOKUP($A55,'Raw Data'!$A:$A,'Raw Data'!$AX:$AX),"")</f>
        <v>0</v>
      </c>
      <c r="N55" s="230">
        <f>IFERROR(_xlfn.XLOOKUP($A55,'Raw Data'!$A:$A,'Raw Data'!$AY:$AY),"")</f>
        <v>0</v>
      </c>
      <c r="O55" s="231">
        <f>IFERROR(1-(SUMIF('Plant BD'!$B:$B,A55,'Plant BD'!$AE:$AE)/(AA55+SUMIF('Plant BD'!$B:$B,A55,'Plant BD'!$AE:$AE))),"")</f>
        <v>0.95098175352254077</v>
      </c>
      <c r="P55" s="231"/>
      <c r="Q55" s="232"/>
      <c r="R55" s="231">
        <f>IFERROR(1-(SUMIF('Grid BD'!$B:$B,$A55,'Grid BD'!$AD:$AD)/($AA55+SUMIF('Grid BD'!$B:$B,$A55,'Grid BD'!AD:AD))),"")</f>
        <v>1</v>
      </c>
      <c r="S55" s="6"/>
      <c r="T55" s="232"/>
      <c r="U55" s="233">
        <f t="shared" si="4"/>
        <v>0.72333635326917656</v>
      </c>
      <c r="V55" s="233"/>
      <c r="W55" s="234">
        <f t="shared" si="6"/>
        <v>0.11852688888799648</v>
      </c>
      <c r="X55" s="227">
        <f>IFERROR(_xlfn.XLOOKUP($A55,'Raw Data'!$A:$A,'Raw Data'!$BA:$BA),"")</f>
        <v>70070</v>
      </c>
      <c r="Y55" s="227">
        <f>IFERROR(_xlfn.XLOOKUP($A55,'Raw Data'!$A:$A,'Raw Data'!BJ:BJ),"")</f>
        <v>70232.500000012806</v>
      </c>
      <c r="Z55" s="227">
        <f>IFERROR(_xlfn.XLOOKUP($A55,'Raw Data'!$A:$A,'Raw Data'!BK:BK),"")</f>
        <v>1098.7999999999829</v>
      </c>
      <c r="AA55" s="227">
        <f>IFERROR(_xlfn.XLOOKUP($A55,'Raw Data'!$A:$A,'Raw Data'!BL:BL),"")</f>
        <v>69133.700000012817</v>
      </c>
      <c r="AB55" s="227">
        <f>IFERROR(_xlfn.XLOOKUP($A55,'Raw Data'!$A:$A,'Raw Data'!$H:$H),"")</f>
        <v>24.303100000000001</v>
      </c>
      <c r="AC55" s="145">
        <f>IFERROR(_xlfn.XLOOKUP($D55,'Modelling New'!$D:$D,'Modelling New'!$P:$P),"")</f>
        <v>6.5290322580645164</v>
      </c>
      <c r="AD55" s="227">
        <f>IFERROR(_xlfn.XLOOKUP($D55,'Modelling New'!$D:$D,'Modelling New'!$T:$T)*1000,"")</f>
        <v>119905.71730852894</v>
      </c>
      <c r="AE55" s="234">
        <f>IFERROR(_xlfn.XLOOKUP($D55,'Modelling New'!$D:$D,'Modelling New'!$O:$O),"")</f>
        <v>0.75566516656343796</v>
      </c>
      <c r="AF55" s="234">
        <f>IFERROR(_xlfn.XLOOKUP($D55,'Modelling New'!$D:$D,'Modelling New'!$W:$W),"")</f>
        <v>0.20557342703284925</v>
      </c>
      <c r="AG55" s="234">
        <f>IFERROR(_xlfn.XLOOKUP($D55,'Modelling New'!$D:$D,'Modelling New'!AE:AE),"")</f>
        <v>0.995</v>
      </c>
      <c r="AH55" s="234">
        <v>0.99750000000000005</v>
      </c>
      <c r="AI55" s="6"/>
      <c r="AJ55" s="6"/>
      <c r="AK55" s="6"/>
      <c r="AL55" s="6"/>
      <c r="AM55" s="6"/>
      <c r="AN55" s="231"/>
      <c r="AO55" s="234"/>
      <c r="AP55" s="234"/>
      <c r="AQ55" s="234"/>
      <c r="AR55" s="227">
        <f>IFERROR(_xlfn.XLOOKUP($D55,'Modelling New'!$D:$D,'Modelling New'!$N:$N),"")</f>
        <v>24.303100000000001</v>
      </c>
      <c r="AS55" s="227"/>
    </row>
    <row r="56" spans="1:45" x14ac:dyDescent="0.35">
      <c r="A56" s="226">
        <f t="shared" si="5"/>
        <v>45799</v>
      </c>
      <c r="B56" s="227">
        <f>YEAR(Daily_KPI[[#This Row],[Date]])+IF(MONTH(Daily_KPI[[#This Row],[Date]])&gt;=4,1,0)</f>
        <v>2026</v>
      </c>
      <c r="C56" s="6">
        <f>YEAR(Daily_KPI[[#This Row],[Date]])</f>
        <v>2025</v>
      </c>
      <c r="D56" s="228">
        <f>Daily_KPI[[#This Row],[Date]]-DAY(Daily_KPI[[#This Row],[Date]])+1</f>
        <v>45778</v>
      </c>
      <c r="E56" s="6">
        <f t="shared" si="7"/>
        <v>31</v>
      </c>
      <c r="F56" s="229">
        <f>IFERROR(_xlfn.XLOOKUP($A56,'Raw Data'!$A:$A,'Raw Data'!$BR:$BR),"")</f>
        <v>11.766666666666666</v>
      </c>
      <c r="G56" s="230">
        <f>IFERROR(_xlfn.XLOOKUP($A56,'Raw Data'!$A:$A,'Raw Data'!$AO:$AO),"")</f>
        <v>0</v>
      </c>
      <c r="H56" s="230"/>
      <c r="I56" s="230">
        <f>IFERROR(_xlfn.XLOOKUP($A56,'Raw Data'!$A:$A,'Raw Data'!$AR:$AR),"")</f>
        <v>4.1059923805601315</v>
      </c>
      <c r="J56" s="230"/>
      <c r="K56" s="230">
        <f>IFERROR(_xlfn.XLOOKUP($A56,'Raw Data'!$A:$A,'Raw Data'!$AV:$AV),"")</f>
        <v>0</v>
      </c>
      <c r="L56" s="230">
        <f>IFERROR(_xlfn.XLOOKUP($A56,'Raw Data'!$A:$A,'Raw Data'!$AW:$AW),"")</f>
        <v>0</v>
      </c>
      <c r="M56" s="230">
        <f>IFERROR(_xlfn.XLOOKUP($A56,'Raw Data'!$A:$A,'Raw Data'!$AX:$AX),"")</f>
        <v>0</v>
      </c>
      <c r="N56" s="230">
        <f>IFERROR(_xlfn.XLOOKUP($A56,'Raw Data'!$A:$A,'Raw Data'!$AY:$AY),"")</f>
        <v>0</v>
      </c>
      <c r="O56" s="231">
        <f>IFERROR(1-(SUMIF('Plant BD'!$B:$B,A56,'Plant BD'!$AE:$AE)/(AA56+SUMIF('Plant BD'!$B:$B,A56,'Plant BD'!$AE:$AE))),"")</f>
        <v>0.95026652861855632</v>
      </c>
      <c r="P56" s="231"/>
      <c r="Q56" s="232"/>
      <c r="R56" s="231">
        <f>IFERROR(1-(SUMIF('Grid BD'!$B:$B,$A56,'Grid BD'!$AD:$AD)/($AA56+SUMIF('Grid BD'!$B:$B,$A56,'Grid BD'!AD:AD))),"")</f>
        <v>1</v>
      </c>
      <c r="S56" s="6"/>
      <c r="T56" s="232"/>
      <c r="U56" s="233">
        <f t="shared" si="4"/>
        <v>0.71715891400202325</v>
      </c>
      <c r="V56" s="233"/>
      <c r="W56" s="234">
        <f t="shared" si="6"/>
        <v>0.12269370985596192</v>
      </c>
      <c r="X56" s="227">
        <f>IFERROR(_xlfn.XLOOKUP($A56,'Raw Data'!$A:$A,'Raw Data'!$BA:$BA),"")</f>
        <v>72181</v>
      </c>
      <c r="Y56" s="227">
        <f>IFERROR(_xlfn.XLOOKUP($A56,'Raw Data'!$A:$A,'Raw Data'!BJ:BJ),"")</f>
        <v>72211.000000010245</v>
      </c>
      <c r="Z56" s="227">
        <f>IFERROR(_xlfn.XLOOKUP($A56,'Raw Data'!$A:$A,'Raw Data'!BK:BK),"")</f>
        <v>646.89999999995962</v>
      </c>
      <c r="AA56" s="227">
        <f>IFERROR(_xlfn.XLOOKUP($A56,'Raw Data'!$A:$A,'Raw Data'!BL:BL),"")</f>
        <v>71564.100000010279</v>
      </c>
      <c r="AB56" s="227">
        <f>IFERROR(_xlfn.XLOOKUP($A56,'Raw Data'!$A:$A,'Raw Data'!$H:$H),"")</f>
        <v>24.303100000000001</v>
      </c>
      <c r="AC56" s="145">
        <f>IFERROR(_xlfn.XLOOKUP($D56,'Modelling New'!$D:$D,'Modelling New'!$P:$P),"")</f>
        <v>6.5290322580645164</v>
      </c>
      <c r="AD56" s="227">
        <f>IFERROR(_xlfn.XLOOKUP($D56,'Modelling New'!$D:$D,'Modelling New'!$T:$T)*1000,"")</f>
        <v>119905.71730852894</v>
      </c>
      <c r="AE56" s="234">
        <f>IFERROR(_xlfn.XLOOKUP($D56,'Modelling New'!$D:$D,'Modelling New'!$O:$O),"")</f>
        <v>0.75566516656343796</v>
      </c>
      <c r="AF56" s="234">
        <f>IFERROR(_xlfn.XLOOKUP($D56,'Modelling New'!$D:$D,'Modelling New'!$W:$W),"")</f>
        <v>0.20557342703284925</v>
      </c>
      <c r="AG56" s="234">
        <f>IFERROR(_xlfn.XLOOKUP($D56,'Modelling New'!$D:$D,'Modelling New'!AE:AE),"")</f>
        <v>0.995</v>
      </c>
      <c r="AH56" s="234">
        <v>0.99750000000000005</v>
      </c>
      <c r="AI56" s="6"/>
      <c r="AJ56" s="6"/>
      <c r="AK56" s="6"/>
      <c r="AL56" s="6"/>
      <c r="AM56" s="6"/>
      <c r="AN56" s="231"/>
      <c r="AO56" s="234"/>
      <c r="AP56" s="234"/>
      <c r="AQ56" s="234"/>
      <c r="AR56" s="227">
        <f>IFERROR(_xlfn.XLOOKUP($D56,'Modelling New'!$D:$D,'Modelling New'!$N:$N),"")</f>
        <v>24.303100000000001</v>
      </c>
      <c r="AS56" s="227"/>
    </row>
    <row r="57" spans="1:45" x14ac:dyDescent="0.35">
      <c r="A57" s="226">
        <f t="shared" si="5"/>
        <v>45800</v>
      </c>
      <c r="B57" s="227">
        <f>YEAR(Daily_KPI[[#This Row],[Date]])+IF(MONTH(Daily_KPI[[#This Row],[Date]])&gt;=4,1,0)</f>
        <v>2026</v>
      </c>
      <c r="C57" s="6">
        <f>YEAR(Daily_KPI[[#This Row],[Date]])</f>
        <v>2025</v>
      </c>
      <c r="D57" s="228">
        <f>Daily_KPI[[#This Row],[Date]]-DAY(Daily_KPI[[#This Row],[Date]])+1</f>
        <v>45778</v>
      </c>
      <c r="E57" s="6">
        <f t="shared" si="7"/>
        <v>31</v>
      </c>
      <c r="F57" s="229">
        <f>IFERROR(_xlfn.XLOOKUP($A57,'Raw Data'!$A:$A,'Raw Data'!$BR:$BR),"")</f>
        <v>12.2</v>
      </c>
      <c r="G57" s="230">
        <f>IFERROR(_xlfn.XLOOKUP($A57,'Raw Data'!$A:$A,'Raw Data'!$AO:$AO),"")</f>
        <v>0</v>
      </c>
      <c r="H57" s="230"/>
      <c r="I57" s="230">
        <f>IFERROR(_xlfn.XLOOKUP($A57,'Raw Data'!$A:$A,'Raw Data'!$AR:$AR),"")</f>
        <v>2.1767361202635911</v>
      </c>
      <c r="J57" s="230"/>
      <c r="K57" s="230">
        <f>IFERROR(_xlfn.XLOOKUP($A57,'Raw Data'!$A:$A,'Raw Data'!$AV:$AV),"")</f>
        <v>0</v>
      </c>
      <c r="L57" s="230">
        <f>IFERROR(_xlfn.XLOOKUP($A57,'Raw Data'!$A:$A,'Raw Data'!$AW:$AW),"")</f>
        <v>0</v>
      </c>
      <c r="M57" s="230">
        <f>IFERROR(_xlfn.XLOOKUP($A57,'Raw Data'!$A:$A,'Raw Data'!$AX:$AX),"")</f>
        <v>0</v>
      </c>
      <c r="N57" s="230">
        <f>IFERROR(_xlfn.XLOOKUP($A57,'Raw Data'!$A:$A,'Raw Data'!$AY:$AY),"")</f>
        <v>0</v>
      </c>
      <c r="O57" s="231">
        <f>IFERROR(1-(SUMIF('Plant BD'!$B:$B,A57,'Plant BD'!$AE:$AE)/(AA57+SUMIF('Plant BD'!$B:$B,A57,'Plant BD'!$AE:$AE))),"")</f>
        <v>0.95608955329760725</v>
      </c>
      <c r="P57" s="231"/>
      <c r="Q57" s="232"/>
      <c r="R57" s="231">
        <f>IFERROR(1-(SUMIF('Grid BD'!$B:$B,$A57,'Grid BD'!$AD:$AD)/($AA57+SUMIF('Grid BD'!$B:$B,$A57,'Grid BD'!AD:AD))),"")</f>
        <v>1</v>
      </c>
      <c r="S57" s="6"/>
      <c r="T57" s="232"/>
      <c r="U57" s="233">
        <f t="shared" si="4"/>
        <v>0.82551256881902335</v>
      </c>
      <c r="V57" s="233"/>
      <c r="W57" s="234">
        <f t="shared" si="6"/>
        <v>7.4871792761664654E-2</v>
      </c>
      <c r="X57" s="227">
        <f>IFERROR(_xlfn.XLOOKUP($A57,'Raw Data'!$A:$A,'Raw Data'!$BA:$BA),"")</f>
        <v>43937</v>
      </c>
      <c r="Y57" s="227">
        <f>IFERROR(_xlfn.XLOOKUP($A57,'Raw Data'!$A:$A,'Raw Data'!BJ:BJ),"")</f>
        <v>44573.199999984354</v>
      </c>
      <c r="Z57" s="227">
        <f>IFERROR(_xlfn.XLOOKUP($A57,'Raw Data'!$A:$A,'Raw Data'!BK:BK),"")</f>
        <v>902.40000000005693</v>
      </c>
      <c r="AA57" s="227">
        <f>IFERROR(_xlfn.XLOOKUP($A57,'Raw Data'!$A:$A,'Raw Data'!BL:BL),"")</f>
        <v>43670.799999984294</v>
      </c>
      <c r="AB57" s="227">
        <f>IFERROR(_xlfn.XLOOKUP($A57,'Raw Data'!$A:$A,'Raw Data'!$H:$H),"")</f>
        <v>24.303100000000001</v>
      </c>
      <c r="AC57" s="145">
        <f>IFERROR(_xlfn.XLOOKUP($D57,'Modelling New'!$D:$D,'Modelling New'!$P:$P),"")</f>
        <v>6.5290322580645164</v>
      </c>
      <c r="AD57" s="227">
        <f>IFERROR(_xlfn.XLOOKUP($D57,'Modelling New'!$D:$D,'Modelling New'!$T:$T)*1000,"")</f>
        <v>119905.71730852894</v>
      </c>
      <c r="AE57" s="234">
        <f>IFERROR(_xlfn.XLOOKUP($D57,'Modelling New'!$D:$D,'Modelling New'!$O:$O),"")</f>
        <v>0.75566516656343796</v>
      </c>
      <c r="AF57" s="234">
        <f>IFERROR(_xlfn.XLOOKUP($D57,'Modelling New'!$D:$D,'Modelling New'!$W:$W),"")</f>
        <v>0.20557342703284925</v>
      </c>
      <c r="AG57" s="234">
        <f>IFERROR(_xlfn.XLOOKUP($D57,'Modelling New'!$D:$D,'Modelling New'!AE:AE),"")</f>
        <v>0.995</v>
      </c>
      <c r="AH57" s="234">
        <v>0.99750000000000005</v>
      </c>
      <c r="AI57" s="6"/>
      <c r="AJ57" s="6"/>
      <c r="AK57" s="6"/>
      <c r="AL57" s="6"/>
      <c r="AM57" s="6"/>
      <c r="AN57" s="231"/>
      <c r="AO57" s="234"/>
      <c r="AP57" s="234"/>
      <c r="AQ57" s="234"/>
      <c r="AR57" s="227">
        <f>IFERROR(_xlfn.XLOOKUP($D57,'Modelling New'!$D:$D,'Modelling New'!$N:$N),"")</f>
        <v>24.303100000000001</v>
      </c>
      <c r="AS57" s="227"/>
    </row>
    <row r="58" spans="1:45" x14ac:dyDescent="0.35">
      <c r="A58" s="226">
        <f t="shared" si="5"/>
        <v>45801</v>
      </c>
      <c r="B58" s="227">
        <f>YEAR(Daily_KPI[[#This Row],[Date]])+IF(MONTH(Daily_KPI[[#This Row],[Date]])&gt;=4,1,0)</f>
        <v>2026</v>
      </c>
      <c r="C58" s="6">
        <f>YEAR(Daily_KPI[[#This Row],[Date]])</f>
        <v>2025</v>
      </c>
      <c r="D58" s="228">
        <f>Daily_KPI[[#This Row],[Date]]-DAY(Daily_KPI[[#This Row],[Date]])+1</f>
        <v>45778</v>
      </c>
      <c r="E58" s="6">
        <f t="shared" si="7"/>
        <v>31</v>
      </c>
      <c r="F58" s="229">
        <f>IFERROR(_xlfn.XLOOKUP($A58,'Raw Data'!$A:$A,'Raw Data'!$BR:$BR),"")</f>
        <v>11.366666666666667</v>
      </c>
      <c r="G58" s="230">
        <f>IFERROR(_xlfn.XLOOKUP($A58,'Raw Data'!$A:$A,'Raw Data'!$AO:$AO),"")</f>
        <v>0</v>
      </c>
      <c r="H58" s="230"/>
      <c r="I58" s="230">
        <f>IFERROR(_xlfn.XLOOKUP($A58,'Raw Data'!$A:$A,'Raw Data'!$AR:$AR),"")</f>
        <v>2.9523102553542007</v>
      </c>
      <c r="J58" s="230"/>
      <c r="K58" s="230">
        <f>IFERROR(_xlfn.XLOOKUP($A58,'Raw Data'!$A:$A,'Raw Data'!$AV:$AV),"")</f>
        <v>0</v>
      </c>
      <c r="L58" s="230">
        <f>IFERROR(_xlfn.XLOOKUP($A58,'Raw Data'!$A:$A,'Raw Data'!$AW:$AW),"")</f>
        <v>0</v>
      </c>
      <c r="M58" s="230">
        <f>IFERROR(_xlfn.XLOOKUP($A58,'Raw Data'!$A:$A,'Raw Data'!$AX:$AX),"")</f>
        <v>0</v>
      </c>
      <c r="N58" s="230">
        <f>IFERROR(_xlfn.XLOOKUP($A58,'Raw Data'!$A:$A,'Raw Data'!$AY:$AY),"")</f>
        <v>0</v>
      </c>
      <c r="O58" s="231">
        <f>IFERROR(1-(SUMIF('Plant BD'!$B:$B,A58,'Plant BD'!$AE:$AE)/(AA58+SUMIF('Plant BD'!$B:$B,A58,'Plant BD'!$AE:$AE))),"")</f>
        <v>0.95268126623551763</v>
      </c>
      <c r="P58" s="231"/>
      <c r="Q58" s="232"/>
      <c r="R58" s="231">
        <f>IFERROR(1-(SUMIF('Grid BD'!$B:$B,$A58,'Grid BD'!$AD:$AD)/($AA58+SUMIF('Grid BD'!$B:$B,$A58,'Grid BD'!AD:AD))),"")</f>
        <v>1</v>
      </c>
      <c r="S58" s="6"/>
      <c r="T58" s="232"/>
      <c r="U58" s="233">
        <f t="shared" si="4"/>
        <v>0.75557741950885005</v>
      </c>
      <c r="V58" s="233"/>
      <c r="W58" s="234">
        <f t="shared" si="6"/>
        <v>9.2945790180418375E-2</v>
      </c>
      <c r="X58" s="227">
        <f>IFERROR(_xlfn.XLOOKUP($A58,'Raw Data'!$A:$A,'Raw Data'!$BA:$BA),"")</f>
        <v>54835</v>
      </c>
      <c r="Y58" s="227">
        <f>IFERROR(_xlfn.XLOOKUP($A58,'Raw Data'!$A:$A,'Raw Data'!BJ:BJ),"")</f>
        <v>55067.600000009406</v>
      </c>
      <c r="Z58" s="227">
        <f>IFERROR(_xlfn.XLOOKUP($A58,'Raw Data'!$A:$A,'Raw Data'!BK:BK),"")</f>
        <v>854.69999999997981</v>
      </c>
      <c r="AA58" s="227">
        <f>IFERROR(_xlfn.XLOOKUP($A58,'Raw Data'!$A:$A,'Raw Data'!BL:BL),"")</f>
        <v>54212.900000009424</v>
      </c>
      <c r="AB58" s="227">
        <f>IFERROR(_xlfn.XLOOKUP($A58,'Raw Data'!$A:$A,'Raw Data'!$H:$H),"")</f>
        <v>24.303100000000001</v>
      </c>
      <c r="AC58" s="145">
        <f>IFERROR(_xlfn.XLOOKUP($D58,'Modelling New'!$D:$D,'Modelling New'!$P:$P),"")</f>
        <v>6.5290322580645164</v>
      </c>
      <c r="AD58" s="227">
        <f>IFERROR(_xlfn.XLOOKUP($D58,'Modelling New'!$D:$D,'Modelling New'!$T:$T)*1000,"")</f>
        <v>119905.71730852894</v>
      </c>
      <c r="AE58" s="234">
        <f>IFERROR(_xlfn.XLOOKUP($D58,'Modelling New'!$D:$D,'Modelling New'!$O:$O),"")</f>
        <v>0.75566516656343796</v>
      </c>
      <c r="AF58" s="234">
        <f>IFERROR(_xlfn.XLOOKUP($D58,'Modelling New'!$D:$D,'Modelling New'!$W:$W),"")</f>
        <v>0.20557342703284925</v>
      </c>
      <c r="AG58" s="234">
        <f>IFERROR(_xlfn.XLOOKUP($D58,'Modelling New'!$D:$D,'Modelling New'!AE:AE),"")</f>
        <v>0.995</v>
      </c>
      <c r="AH58" s="234">
        <v>0.99750000000000005</v>
      </c>
      <c r="AI58" s="6"/>
      <c r="AJ58" s="6"/>
      <c r="AK58" s="6"/>
      <c r="AL58" s="6"/>
      <c r="AM58" s="6"/>
      <c r="AN58" s="231"/>
      <c r="AO58" s="234"/>
      <c r="AP58" s="234"/>
      <c r="AQ58" s="234"/>
      <c r="AR58" s="227">
        <f>IFERROR(_xlfn.XLOOKUP($D58,'Modelling New'!$D:$D,'Modelling New'!$N:$N),"")</f>
        <v>24.303100000000001</v>
      </c>
      <c r="AS58" s="227"/>
    </row>
    <row r="59" spans="1:45" x14ac:dyDescent="0.35">
      <c r="A59" s="226">
        <f t="shared" si="5"/>
        <v>45802</v>
      </c>
      <c r="B59" s="227">
        <f>YEAR(Daily_KPI[[#This Row],[Date]])+IF(MONTH(Daily_KPI[[#This Row],[Date]])&gt;=4,1,0)</f>
        <v>2026</v>
      </c>
      <c r="C59" s="6">
        <f>YEAR(Daily_KPI[[#This Row],[Date]])</f>
        <v>2025</v>
      </c>
      <c r="D59" s="228">
        <f>Daily_KPI[[#This Row],[Date]]-DAY(Daily_KPI[[#This Row],[Date]])+1</f>
        <v>45778</v>
      </c>
      <c r="E59" s="6">
        <f t="shared" si="7"/>
        <v>31</v>
      </c>
      <c r="F59" s="229">
        <f>IFERROR(_xlfn.XLOOKUP($A59,'Raw Data'!$A:$A,'Raw Data'!$BR:$BR),"")</f>
        <v>11.850000000000001</v>
      </c>
      <c r="G59" s="230">
        <f>IFERROR(_xlfn.XLOOKUP($A59,'Raw Data'!$A:$A,'Raw Data'!$AO:$AO),"")</f>
        <v>0</v>
      </c>
      <c r="H59" s="230"/>
      <c r="I59" s="230">
        <f>IFERROR(_xlfn.XLOOKUP($A59,'Raw Data'!$A:$A,'Raw Data'!$AR:$AR),"")</f>
        <v>3.6574287602965398</v>
      </c>
      <c r="J59" s="230"/>
      <c r="K59" s="230">
        <f>IFERROR(_xlfn.XLOOKUP($A59,'Raw Data'!$A:$A,'Raw Data'!$AV:$AV),"")</f>
        <v>0</v>
      </c>
      <c r="L59" s="230">
        <f>IFERROR(_xlfn.XLOOKUP($A59,'Raw Data'!$A:$A,'Raw Data'!$AW:$AW),"")</f>
        <v>0</v>
      </c>
      <c r="M59" s="230">
        <f>IFERROR(_xlfn.XLOOKUP($A59,'Raw Data'!$A:$A,'Raw Data'!$AX:$AX),"")</f>
        <v>0</v>
      </c>
      <c r="N59" s="230">
        <f>IFERROR(_xlfn.XLOOKUP($A59,'Raw Data'!$A:$A,'Raw Data'!$AY:$AY),"")</f>
        <v>0</v>
      </c>
      <c r="O59" s="231">
        <f>IFERROR(1-(SUMIF('Plant BD'!$B:$B,A59,'Plant BD'!$AE:$AE)/(AA59+SUMIF('Plant BD'!$B:$B,A59,'Plant BD'!$AE:$AE))),"")</f>
        <v>0.95194053605630247</v>
      </c>
      <c r="P59" s="231"/>
      <c r="Q59" s="232"/>
      <c r="R59" s="231">
        <f>IFERROR(1-(SUMIF('Grid BD'!$B:$B,$A59,'Grid BD'!$AD:$AD)/($AA59+SUMIF('Grid BD'!$B:$B,$A59,'Grid BD'!AD:AD))),"")</f>
        <v>1</v>
      </c>
      <c r="S59" s="6"/>
      <c r="T59" s="232"/>
      <c r="U59" s="233">
        <f t="shared" si="4"/>
        <v>0.76301606741449768</v>
      </c>
      <c r="V59" s="233"/>
      <c r="W59" s="234">
        <f t="shared" si="6"/>
        <v>0.11627820456375615</v>
      </c>
      <c r="X59" s="227">
        <f>IFERROR(_xlfn.XLOOKUP($A59,'Raw Data'!$A:$A,'Raw Data'!$BA:$BA),"")</f>
        <v>68758</v>
      </c>
      <c r="Y59" s="227">
        <f>IFERROR(_xlfn.XLOOKUP($A59,'Raw Data'!$A:$A,'Raw Data'!BJ:BJ),"")</f>
        <v>68916.100000002189</v>
      </c>
      <c r="Z59" s="227">
        <f>IFERROR(_xlfn.XLOOKUP($A59,'Raw Data'!$A:$A,'Raw Data'!BK:BK),"")</f>
        <v>1094.0000000000509</v>
      </c>
      <c r="AA59" s="227">
        <f>IFERROR(_xlfn.XLOOKUP($A59,'Raw Data'!$A:$A,'Raw Data'!BL:BL),"")</f>
        <v>67822.10000000213</v>
      </c>
      <c r="AB59" s="227">
        <f>IFERROR(_xlfn.XLOOKUP($A59,'Raw Data'!$A:$A,'Raw Data'!$H:$H),"")</f>
        <v>24.303100000000001</v>
      </c>
      <c r="AC59" s="145">
        <f>IFERROR(_xlfn.XLOOKUP($D59,'Modelling New'!$D:$D,'Modelling New'!$P:$P),"")</f>
        <v>6.5290322580645164</v>
      </c>
      <c r="AD59" s="227">
        <f>IFERROR(_xlfn.XLOOKUP($D59,'Modelling New'!$D:$D,'Modelling New'!$T:$T)*1000,"")</f>
        <v>119905.71730852894</v>
      </c>
      <c r="AE59" s="234">
        <f>IFERROR(_xlfn.XLOOKUP($D59,'Modelling New'!$D:$D,'Modelling New'!$O:$O),"")</f>
        <v>0.75566516656343796</v>
      </c>
      <c r="AF59" s="234">
        <f>IFERROR(_xlfn.XLOOKUP($D59,'Modelling New'!$D:$D,'Modelling New'!$W:$W),"")</f>
        <v>0.20557342703284925</v>
      </c>
      <c r="AG59" s="234">
        <f>IFERROR(_xlfn.XLOOKUP($D59,'Modelling New'!$D:$D,'Modelling New'!AE:AE),"")</f>
        <v>0.995</v>
      </c>
      <c r="AH59" s="234">
        <v>0.99750000000000005</v>
      </c>
      <c r="AI59" s="6"/>
      <c r="AJ59" s="6"/>
      <c r="AK59" s="6"/>
      <c r="AL59" s="6"/>
      <c r="AM59" s="6"/>
      <c r="AN59" s="231"/>
      <c r="AO59" s="234"/>
      <c r="AP59" s="234"/>
      <c r="AQ59" s="234"/>
      <c r="AR59" s="227">
        <f>IFERROR(_xlfn.XLOOKUP($D59,'Modelling New'!$D:$D,'Modelling New'!$N:$N),"")</f>
        <v>24.303100000000001</v>
      </c>
      <c r="AS59" s="227"/>
    </row>
    <row r="60" spans="1:45" x14ac:dyDescent="0.35">
      <c r="A60" s="226">
        <f t="shared" si="5"/>
        <v>45803</v>
      </c>
      <c r="B60" s="227">
        <f>YEAR(Daily_KPI[[#This Row],[Date]])+IF(MONTH(Daily_KPI[[#This Row],[Date]])&gt;=4,1,0)</f>
        <v>2026</v>
      </c>
      <c r="C60" s="6">
        <f>YEAR(Daily_KPI[[#This Row],[Date]])</f>
        <v>2025</v>
      </c>
      <c r="D60" s="228">
        <f>Daily_KPI[[#This Row],[Date]]-DAY(Daily_KPI[[#This Row],[Date]])+1</f>
        <v>45778</v>
      </c>
      <c r="E60" s="6">
        <f t="shared" si="7"/>
        <v>31</v>
      </c>
      <c r="F60" s="229">
        <f>IFERROR(_xlfn.XLOOKUP($A60,'Raw Data'!$A:$A,'Raw Data'!$BR:$BR),"")</f>
        <v>12.133333333333333</v>
      </c>
      <c r="G60" s="230">
        <f>IFERROR(_xlfn.XLOOKUP($A60,'Raw Data'!$A:$A,'Raw Data'!$AO:$AO),"")</f>
        <v>0</v>
      </c>
      <c r="H60" s="230"/>
      <c r="I60" s="230">
        <f>IFERROR(_xlfn.XLOOKUP($A60,'Raw Data'!$A:$A,'Raw Data'!$AR:$AR),"")</f>
        <v>5.9795353789126846</v>
      </c>
      <c r="J60" s="230"/>
      <c r="K60" s="230">
        <f>IFERROR(_xlfn.XLOOKUP($A60,'Raw Data'!$A:$A,'Raw Data'!$AV:$AV),"")</f>
        <v>0</v>
      </c>
      <c r="L60" s="230">
        <f>IFERROR(_xlfn.XLOOKUP($A60,'Raw Data'!$A:$A,'Raw Data'!$AW:$AW),"")</f>
        <v>0</v>
      </c>
      <c r="M60" s="230">
        <f>IFERROR(_xlfn.XLOOKUP($A60,'Raw Data'!$A:$A,'Raw Data'!$AX:$AX),"")</f>
        <v>0</v>
      </c>
      <c r="N60" s="230">
        <f>IFERROR(_xlfn.XLOOKUP($A60,'Raw Data'!$A:$A,'Raw Data'!$AY:$AY),"")</f>
        <v>0</v>
      </c>
      <c r="O60" s="231">
        <f>IFERROR(1-(SUMIF('Plant BD'!$B:$B,A60,'Plant BD'!$AE:$AE)/(AA60+SUMIF('Plant BD'!$B:$B,A60,'Plant BD'!$AE:$AE))),"")</f>
        <v>0.95020219016167884</v>
      </c>
      <c r="P60" s="231"/>
      <c r="Q60" s="232"/>
      <c r="R60" s="231">
        <f>IFERROR(1-(SUMIF('Grid BD'!$B:$B,$A60,'Grid BD'!$AD:$AD)/($AA60+SUMIF('Grid BD'!$B:$B,$A60,'Grid BD'!AD:AD))),"")</f>
        <v>1</v>
      </c>
      <c r="S60" s="6"/>
      <c r="T60" s="232"/>
      <c r="U60" s="233">
        <f t="shared" si="4"/>
        <v>0.73222121839164345</v>
      </c>
      <c r="V60" s="233"/>
      <c r="W60" s="234">
        <f t="shared" si="6"/>
        <v>0.18243094502347429</v>
      </c>
      <c r="X60" s="227">
        <f>IFERROR(_xlfn.XLOOKUP($A60,'Raw Data'!$A:$A,'Raw Data'!$BA:$BA),"")</f>
        <v>107809</v>
      </c>
      <c r="Y60" s="227">
        <f>IFERROR(_xlfn.XLOOKUP($A60,'Raw Data'!$A:$A,'Raw Data'!BJ:BJ),"")</f>
        <v>107129.89999999991</v>
      </c>
      <c r="Z60" s="227">
        <f>IFERROR(_xlfn.XLOOKUP($A60,'Raw Data'!$A:$A,'Raw Data'!BK:BK),"")</f>
        <v>722.59999999994307</v>
      </c>
      <c r="AA60" s="227">
        <f>IFERROR(_xlfn.XLOOKUP($A60,'Raw Data'!$A:$A,'Raw Data'!BL:BL),"")</f>
        <v>106407.29999999996</v>
      </c>
      <c r="AB60" s="227">
        <f>IFERROR(_xlfn.XLOOKUP($A60,'Raw Data'!$A:$A,'Raw Data'!$H:$H),"")</f>
        <v>24.303100000000001</v>
      </c>
      <c r="AC60" s="145">
        <f>IFERROR(_xlfn.XLOOKUP($D60,'Modelling New'!$D:$D,'Modelling New'!$P:$P),"")</f>
        <v>6.5290322580645164</v>
      </c>
      <c r="AD60" s="227">
        <f>IFERROR(_xlfn.XLOOKUP($D60,'Modelling New'!$D:$D,'Modelling New'!$T:$T)*1000,"")</f>
        <v>119905.71730852894</v>
      </c>
      <c r="AE60" s="234">
        <f>IFERROR(_xlfn.XLOOKUP($D60,'Modelling New'!$D:$D,'Modelling New'!$O:$O),"")</f>
        <v>0.75566516656343796</v>
      </c>
      <c r="AF60" s="234">
        <f>IFERROR(_xlfn.XLOOKUP($D60,'Modelling New'!$D:$D,'Modelling New'!$W:$W),"")</f>
        <v>0.20557342703284925</v>
      </c>
      <c r="AG60" s="234">
        <f>IFERROR(_xlfn.XLOOKUP($D60,'Modelling New'!$D:$D,'Modelling New'!AE:AE),"")</f>
        <v>0.995</v>
      </c>
      <c r="AH60" s="234">
        <v>0.99750000000000005</v>
      </c>
      <c r="AI60" s="6"/>
      <c r="AJ60" s="6"/>
      <c r="AK60" s="6"/>
      <c r="AL60" s="6"/>
      <c r="AM60" s="6"/>
      <c r="AN60" s="231"/>
      <c r="AO60" s="234"/>
      <c r="AP60" s="234"/>
      <c r="AQ60" s="234"/>
      <c r="AR60" s="227">
        <f>IFERROR(_xlfn.XLOOKUP($D60,'Modelling New'!$D:$D,'Modelling New'!$N:$N),"")</f>
        <v>24.303100000000001</v>
      </c>
      <c r="AS60" s="227"/>
    </row>
    <row r="61" spans="1:45" x14ac:dyDescent="0.35">
      <c r="A61" s="226">
        <f t="shared" si="5"/>
        <v>45804</v>
      </c>
      <c r="B61" s="227">
        <f>YEAR(Daily_KPI[[#This Row],[Date]])+IF(MONTH(Daily_KPI[[#This Row],[Date]])&gt;=4,1,0)</f>
        <v>2026</v>
      </c>
      <c r="C61" s="6">
        <f>YEAR(Daily_KPI[[#This Row],[Date]])</f>
        <v>2025</v>
      </c>
      <c r="D61" s="228">
        <f>Daily_KPI[[#This Row],[Date]]-DAY(Daily_KPI[[#This Row],[Date]])+1</f>
        <v>45778</v>
      </c>
      <c r="E61" s="6">
        <f t="shared" si="7"/>
        <v>31</v>
      </c>
      <c r="F61" s="229">
        <f>IFERROR(_xlfn.XLOOKUP($A61,'Raw Data'!$A:$A,'Raw Data'!$BR:$BR),"")</f>
        <v>8.3833333333333346</v>
      </c>
      <c r="G61" s="230">
        <f>IFERROR(_xlfn.XLOOKUP($A61,'Raw Data'!$A:$A,'Raw Data'!$AO:$AO),"")</f>
        <v>0</v>
      </c>
      <c r="H61" s="230"/>
      <c r="I61" s="230">
        <f>IFERROR(_xlfn.XLOOKUP($A61,'Raw Data'!$A:$A,'Raw Data'!$AR:$AR),"")</f>
        <v>1.1514752883031298</v>
      </c>
      <c r="J61" s="230"/>
      <c r="K61" s="230">
        <f>IFERROR(_xlfn.XLOOKUP($A61,'Raw Data'!$A:$A,'Raw Data'!$AV:$AV),"")</f>
        <v>0</v>
      </c>
      <c r="L61" s="230">
        <f>IFERROR(_xlfn.XLOOKUP($A61,'Raw Data'!$A:$A,'Raw Data'!$AW:$AW),"")</f>
        <v>0</v>
      </c>
      <c r="M61" s="230">
        <f>IFERROR(_xlfn.XLOOKUP($A61,'Raw Data'!$A:$A,'Raw Data'!$AX:$AX),"")</f>
        <v>0</v>
      </c>
      <c r="N61" s="230">
        <f>IFERROR(_xlfn.XLOOKUP($A61,'Raw Data'!$A:$A,'Raw Data'!$AY:$AY),"")</f>
        <v>0</v>
      </c>
      <c r="O61" s="231">
        <f>IFERROR(1-(SUMIF('Plant BD'!$B:$B,A61,'Plant BD'!$AE:$AE)/(AA61+SUMIF('Plant BD'!$B:$B,A61,'Plant BD'!$AE:$AE))),"")</f>
        <v>0.95513657191098666</v>
      </c>
      <c r="P61" s="231"/>
      <c r="Q61" s="232"/>
      <c r="R61" s="231">
        <f>IFERROR(1-(SUMIF('Grid BD'!$B:$B,$A61,'Grid BD'!$AD:$AD)/($AA61+SUMIF('Grid BD'!$B:$B,$A61,'Grid BD'!AD:AD))),"")</f>
        <v>1</v>
      </c>
      <c r="S61" s="6"/>
      <c r="T61" s="232"/>
      <c r="U61" s="233">
        <f t="shared" si="4"/>
        <v>0.81632568235068981</v>
      </c>
      <c r="V61" s="233"/>
      <c r="W61" s="234">
        <f t="shared" si="6"/>
        <v>3.9165785434750404E-2</v>
      </c>
      <c r="X61" s="227">
        <f>IFERROR(_xlfn.XLOOKUP($A61,'Raw Data'!$A:$A,'Raw Data'!$BA:$BA),"")</f>
        <v>23285</v>
      </c>
      <c r="Y61" s="227">
        <f>IFERROR(_xlfn.XLOOKUP($A61,'Raw Data'!$A:$A,'Raw Data'!BJ:BJ),"")</f>
        <v>23843.999999982771</v>
      </c>
      <c r="Z61" s="227">
        <f>IFERROR(_xlfn.XLOOKUP($A61,'Raw Data'!$A:$A,'Raw Data'!BK:BK),"")</f>
        <v>999.59999999998672</v>
      </c>
      <c r="AA61" s="227">
        <f>IFERROR(_xlfn.XLOOKUP($A61,'Raw Data'!$A:$A,'Raw Data'!BL:BL),"")</f>
        <v>22844.399999982783</v>
      </c>
      <c r="AB61" s="227">
        <f>IFERROR(_xlfn.XLOOKUP($A61,'Raw Data'!$A:$A,'Raw Data'!$H:$H),"")</f>
        <v>24.303100000000001</v>
      </c>
      <c r="AC61" s="145">
        <f>IFERROR(_xlfn.XLOOKUP($D61,'Modelling New'!$D:$D,'Modelling New'!$P:$P),"")</f>
        <v>6.5290322580645164</v>
      </c>
      <c r="AD61" s="227">
        <f>IFERROR(_xlfn.XLOOKUP($D61,'Modelling New'!$D:$D,'Modelling New'!$T:$T)*1000,"")</f>
        <v>119905.71730852894</v>
      </c>
      <c r="AE61" s="234">
        <f>IFERROR(_xlfn.XLOOKUP($D61,'Modelling New'!$D:$D,'Modelling New'!$O:$O),"")</f>
        <v>0.75566516656343796</v>
      </c>
      <c r="AF61" s="234">
        <f>IFERROR(_xlfn.XLOOKUP($D61,'Modelling New'!$D:$D,'Modelling New'!$W:$W),"")</f>
        <v>0.20557342703284925</v>
      </c>
      <c r="AG61" s="234">
        <f>IFERROR(_xlfn.XLOOKUP($D61,'Modelling New'!$D:$D,'Modelling New'!AE:AE),"")</f>
        <v>0.995</v>
      </c>
      <c r="AH61" s="234">
        <v>0.99750000000000005</v>
      </c>
      <c r="AI61" s="6"/>
      <c r="AJ61" s="6"/>
      <c r="AK61" s="6"/>
      <c r="AL61" s="6"/>
      <c r="AM61" s="6"/>
      <c r="AN61" s="231"/>
      <c r="AO61" s="234"/>
      <c r="AP61" s="234"/>
      <c r="AQ61" s="234"/>
      <c r="AR61" s="227">
        <f>IFERROR(_xlfn.XLOOKUP($D61,'Modelling New'!$D:$D,'Modelling New'!$N:$N),"")</f>
        <v>24.303100000000001</v>
      </c>
      <c r="AS61" s="227"/>
    </row>
    <row r="62" spans="1:45" x14ac:dyDescent="0.35">
      <c r="A62" s="226">
        <f t="shared" si="5"/>
        <v>45805</v>
      </c>
      <c r="B62" s="227">
        <f>YEAR(Daily_KPI[[#This Row],[Date]])+IF(MONTH(Daily_KPI[[#This Row],[Date]])&gt;=4,1,0)</f>
        <v>2026</v>
      </c>
      <c r="C62" s="6">
        <f>YEAR(Daily_KPI[[#This Row],[Date]])</f>
        <v>2025</v>
      </c>
      <c r="D62" s="228">
        <f>Daily_KPI[[#This Row],[Date]]-DAY(Daily_KPI[[#This Row],[Date]])+1</f>
        <v>45778</v>
      </c>
      <c r="E62" s="6">
        <f t="shared" si="7"/>
        <v>31</v>
      </c>
      <c r="F62" s="229">
        <f>IFERROR(_xlfn.XLOOKUP($A62,'Raw Data'!$A:$A,'Raw Data'!$BR:$BR),"")</f>
        <v>11.866666666666667</v>
      </c>
      <c r="G62" s="230">
        <f>IFERROR(_xlfn.XLOOKUP($A62,'Raw Data'!$A:$A,'Raw Data'!$AO:$AO),"")</f>
        <v>0</v>
      </c>
      <c r="H62" s="230"/>
      <c r="I62" s="230">
        <f>IFERROR(_xlfn.XLOOKUP($A62,'Raw Data'!$A:$A,'Raw Data'!$AR:$AR),"")</f>
        <v>4.3215308072487639</v>
      </c>
      <c r="J62" s="230"/>
      <c r="K62" s="230">
        <f>IFERROR(_xlfn.XLOOKUP($A62,'Raw Data'!$A:$A,'Raw Data'!$AV:$AV),"")</f>
        <v>0</v>
      </c>
      <c r="L62" s="230">
        <f>IFERROR(_xlfn.XLOOKUP($A62,'Raw Data'!$A:$A,'Raw Data'!$AW:$AW),"")</f>
        <v>0</v>
      </c>
      <c r="M62" s="230">
        <f>IFERROR(_xlfn.XLOOKUP($A62,'Raw Data'!$A:$A,'Raw Data'!$AX:$AX),"")</f>
        <v>0</v>
      </c>
      <c r="N62" s="230">
        <f>IFERROR(_xlfn.XLOOKUP($A62,'Raw Data'!$A:$A,'Raw Data'!$AY:$AY),"")</f>
        <v>0</v>
      </c>
      <c r="O62" s="231">
        <f>IFERROR(1-(SUMIF('Plant BD'!$B:$B,A62,'Plant BD'!$AE:$AE)/(AA62+SUMIF('Plant BD'!$B:$B,A62,'Plant BD'!$AE:$AE))),"")</f>
        <v>0.94100853159902031</v>
      </c>
      <c r="P62" s="231"/>
      <c r="Q62" s="232"/>
      <c r="R62" s="231">
        <f>IFERROR(1-(SUMIF('Grid BD'!$B:$B,$A62,'Grid BD'!$AD:$AD)/($AA62+SUMIF('Grid BD'!$B:$B,$A62,'Grid BD'!AD:AD))),"")</f>
        <v>1</v>
      </c>
      <c r="S62" s="6"/>
      <c r="T62" s="232"/>
      <c r="U62" s="233">
        <f t="shared" si="4"/>
        <v>0.73486815157853591</v>
      </c>
      <c r="V62" s="233"/>
      <c r="W62" s="234">
        <f t="shared" si="6"/>
        <v>0.13232313984635821</v>
      </c>
      <c r="X62" s="227">
        <f>IFERROR(_xlfn.XLOOKUP($A62,'Raw Data'!$A:$A,'Raw Data'!$BA:$BA),"")</f>
        <v>78140</v>
      </c>
      <c r="Y62" s="227">
        <f>IFERROR(_xlfn.XLOOKUP($A62,'Raw Data'!$A:$A,'Raw Data'!BJ:BJ),"")</f>
        <v>78273.300000000745</v>
      </c>
      <c r="Z62" s="227">
        <f>IFERROR(_xlfn.XLOOKUP($A62,'Raw Data'!$A:$A,'Raw Data'!BK:BK),"")</f>
        <v>1092.6000000000613</v>
      </c>
      <c r="AA62" s="227">
        <f>IFERROR(_xlfn.XLOOKUP($A62,'Raw Data'!$A:$A,'Raw Data'!BL:BL),"")</f>
        <v>77180.700000000681</v>
      </c>
      <c r="AB62" s="227">
        <f>IFERROR(_xlfn.XLOOKUP($A62,'Raw Data'!$A:$A,'Raw Data'!$H:$H),"")</f>
        <v>24.303100000000001</v>
      </c>
      <c r="AC62" s="145">
        <f>IFERROR(_xlfn.XLOOKUP($D62,'Modelling New'!$D:$D,'Modelling New'!$P:$P),"")</f>
        <v>6.5290322580645164</v>
      </c>
      <c r="AD62" s="227">
        <f>IFERROR(_xlfn.XLOOKUP($D62,'Modelling New'!$D:$D,'Modelling New'!$T:$T)*1000,"")</f>
        <v>119905.71730852894</v>
      </c>
      <c r="AE62" s="234">
        <f>IFERROR(_xlfn.XLOOKUP($D62,'Modelling New'!$D:$D,'Modelling New'!$O:$O),"")</f>
        <v>0.75566516656343796</v>
      </c>
      <c r="AF62" s="234">
        <f>IFERROR(_xlfn.XLOOKUP($D62,'Modelling New'!$D:$D,'Modelling New'!$W:$W),"")</f>
        <v>0.20557342703284925</v>
      </c>
      <c r="AG62" s="234">
        <f>IFERROR(_xlfn.XLOOKUP($D62,'Modelling New'!$D:$D,'Modelling New'!AE:AE),"")</f>
        <v>0.995</v>
      </c>
      <c r="AH62" s="234">
        <v>0.99750000000000005</v>
      </c>
      <c r="AI62" s="6"/>
      <c r="AJ62" s="6"/>
      <c r="AK62" s="6"/>
      <c r="AL62" s="6"/>
      <c r="AM62" s="6"/>
      <c r="AN62" s="231"/>
      <c r="AO62" s="234"/>
      <c r="AP62" s="234"/>
      <c r="AQ62" s="234"/>
      <c r="AR62" s="227">
        <f>IFERROR(_xlfn.XLOOKUP($D62,'Modelling New'!$D:$D,'Modelling New'!$N:$N),"")</f>
        <v>24.303100000000001</v>
      </c>
      <c r="AS62" s="227"/>
    </row>
    <row r="63" spans="1:45" x14ac:dyDescent="0.35">
      <c r="A63" s="226">
        <f t="shared" si="5"/>
        <v>45806</v>
      </c>
      <c r="B63" s="227">
        <f>YEAR(Daily_KPI[[#This Row],[Date]])+IF(MONTH(Daily_KPI[[#This Row],[Date]])&gt;=4,1,0)</f>
        <v>2026</v>
      </c>
      <c r="C63" s="6">
        <f>YEAR(Daily_KPI[[#This Row],[Date]])</f>
        <v>2025</v>
      </c>
      <c r="D63" s="228">
        <f>Daily_KPI[[#This Row],[Date]]-DAY(Daily_KPI[[#This Row],[Date]])+1</f>
        <v>45778</v>
      </c>
      <c r="E63" s="6">
        <f t="shared" si="7"/>
        <v>31</v>
      </c>
      <c r="F63" s="229">
        <f>IFERROR(_xlfn.XLOOKUP($A63,'Raw Data'!$A:$A,'Raw Data'!$BR:$BR),"")</f>
        <v>11.866666666666667</v>
      </c>
      <c r="G63" s="230">
        <f>IFERROR(_xlfn.XLOOKUP($A63,'Raw Data'!$A:$A,'Raw Data'!$AO:$AO),"")</f>
        <v>0</v>
      </c>
      <c r="H63" s="230"/>
      <c r="I63" s="230">
        <f>IFERROR(_xlfn.XLOOKUP($A63,'Raw Data'!$A:$A,'Raw Data'!$AR:$AR),"")</f>
        <v>5.2967977347611201</v>
      </c>
      <c r="J63" s="230"/>
      <c r="K63" s="230">
        <f>IFERROR(_xlfn.XLOOKUP($A63,'Raw Data'!$A:$A,'Raw Data'!$AV:$AV),"")</f>
        <v>0</v>
      </c>
      <c r="L63" s="230">
        <f>IFERROR(_xlfn.XLOOKUP($A63,'Raw Data'!$A:$A,'Raw Data'!$AW:$AW),"")</f>
        <v>0</v>
      </c>
      <c r="M63" s="230">
        <f>IFERROR(_xlfn.XLOOKUP($A63,'Raw Data'!$A:$A,'Raw Data'!$AX:$AX),"")</f>
        <v>0</v>
      </c>
      <c r="N63" s="230">
        <f>IFERROR(_xlfn.XLOOKUP($A63,'Raw Data'!$A:$A,'Raw Data'!$AY:$AY),"")</f>
        <v>0</v>
      </c>
      <c r="O63" s="231">
        <f>IFERROR(1-(SUMIF('Plant BD'!$B:$B,A63,'Plant BD'!$AE:$AE)/(AA63+SUMIF('Plant BD'!$B:$B,A63,'Plant BD'!$AE:$AE))),"")</f>
        <v>0.92993779041975366</v>
      </c>
      <c r="P63" s="231"/>
      <c r="Q63" s="232"/>
      <c r="R63" s="231">
        <f>IFERROR(1-(SUMIF('Grid BD'!$B:$B,$A63,'Grid BD'!$AD:$AD)/($AA63+SUMIF('Grid BD'!$B:$B,$A63,'Grid BD'!AD:AD))),"")</f>
        <v>1</v>
      </c>
      <c r="S63" s="6"/>
      <c r="T63" s="232"/>
      <c r="U63" s="233">
        <f t="shared" si="4"/>
        <v>0.75931142094633697</v>
      </c>
      <c r="V63" s="233"/>
      <c r="W63" s="234">
        <f t="shared" si="6"/>
        <v>0.16757995893528352</v>
      </c>
      <c r="X63" s="227">
        <f>IFERROR(_xlfn.XLOOKUP($A63,'Raw Data'!$A:$A,'Raw Data'!$BA:$BA),"")</f>
        <v>98903</v>
      </c>
      <c r="Y63" s="227">
        <f>IFERROR(_xlfn.XLOOKUP($A63,'Raw Data'!$A:$A,'Raw Data'!BJ:BJ),"")</f>
        <v>98449.800000002142</v>
      </c>
      <c r="Z63" s="227">
        <f>IFERROR(_xlfn.XLOOKUP($A63,'Raw Data'!$A:$A,'Raw Data'!BK:BK),"")</f>
        <v>704.70000000000255</v>
      </c>
      <c r="AA63" s="227">
        <f>IFERROR(_xlfn.XLOOKUP($A63,'Raw Data'!$A:$A,'Raw Data'!BL:BL),"")</f>
        <v>97745.100000002145</v>
      </c>
      <c r="AB63" s="227">
        <f>IFERROR(_xlfn.XLOOKUP($A63,'Raw Data'!$A:$A,'Raw Data'!$H:$H),"")</f>
        <v>24.303100000000001</v>
      </c>
      <c r="AC63" s="145">
        <f>IFERROR(_xlfn.XLOOKUP($D63,'Modelling New'!$D:$D,'Modelling New'!$P:$P),"")</f>
        <v>6.5290322580645164</v>
      </c>
      <c r="AD63" s="227">
        <f>IFERROR(_xlfn.XLOOKUP($D63,'Modelling New'!$D:$D,'Modelling New'!$T:$T)*1000,"")</f>
        <v>119905.71730852894</v>
      </c>
      <c r="AE63" s="234">
        <f>IFERROR(_xlfn.XLOOKUP($D63,'Modelling New'!$D:$D,'Modelling New'!$O:$O),"")</f>
        <v>0.75566516656343796</v>
      </c>
      <c r="AF63" s="234">
        <f>IFERROR(_xlfn.XLOOKUP($D63,'Modelling New'!$D:$D,'Modelling New'!$W:$W),"")</f>
        <v>0.20557342703284925</v>
      </c>
      <c r="AG63" s="234">
        <f>IFERROR(_xlfn.XLOOKUP($D63,'Modelling New'!$D:$D,'Modelling New'!AE:AE),"")</f>
        <v>0.995</v>
      </c>
      <c r="AH63" s="234">
        <v>0.99750000000000005</v>
      </c>
      <c r="AI63" s="6"/>
      <c r="AJ63" s="6"/>
      <c r="AK63" s="6"/>
      <c r="AL63" s="6"/>
      <c r="AM63" s="6"/>
      <c r="AN63" s="231"/>
      <c r="AO63" s="234"/>
      <c r="AP63" s="234"/>
      <c r="AQ63" s="234"/>
      <c r="AR63" s="227">
        <f>IFERROR(_xlfn.XLOOKUP($D63,'Modelling New'!$D:$D,'Modelling New'!$N:$N),"")</f>
        <v>24.303100000000001</v>
      </c>
      <c r="AS63" s="227"/>
    </row>
    <row r="64" spans="1:45" x14ac:dyDescent="0.35">
      <c r="A64" s="226">
        <f t="shared" si="5"/>
        <v>45807</v>
      </c>
      <c r="B64" s="227">
        <f>YEAR(Daily_KPI[[#This Row],[Date]])+IF(MONTH(Daily_KPI[[#This Row],[Date]])&gt;=4,1,0)</f>
        <v>2026</v>
      </c>
      <c r="C64" s="6">
        <f>YEAR(Daily_KPI[[#This Row],[Date]])</f>
        <v>2025</v>
      </c>
      <c r="D64" s="228">
        <f>Daily_KPI[[#This Row],[Date]]-DAY(Daily_KPI[[#This Row],[Date]])+1</f>
        <v>45778</v>
      </c>
      <c r="E64" s="6">
        <f t="shared" si="7"/>
        <v>31</v>
      </c>
      <c r="F64" s="229">
        <f>IFERROR(_xlfn.XLOOKUP($A64,'Raw Data'!$A:$A,'Raw Data'!$BR:$BR),"")</f>
        <v>12.466666666666665</v>
      </c>
      <c r="G64" s="230">
        <f>IFERROR(_xlfn.XLOOKUP($A64,'Raw Data'!$A:$A,'Raw Data'!$AO:$AO),"")</f>
        <v>0</v>
      </c>
      <c r="H64" s="230"/>
      <c r="I64" s="230">
        <f>IFERROR(_xlfn.XLOOKUP($A64,'Raw Data'!$A:$A,'Raw Data'!$AR:$AR),"")</f>
        <v>4.9358996293245472</v>
      </c>
      <c r="J64" s="230"/>
      <c r="K64" s="230">
        <f>IFERROR(_xlfn.XLOOKUP($A64,'Raw Data'!$A:$A,'Raw Data'!$AV:$AV),"")</f>
        <v>0</v>
      </c>
      <c r="L64" s="230">
        <f>IFERROR(_xlfn.XLOOKUP($A64,'Raw Data'!$A:$A,'Raw Data'!$AW:$AW),"")</f>
        <v>0</v>
      </c>
      <c r="M64" s="230">
        <f>IFERROR(_xlfn.XLOOKUP($A64,'Raw Data'!$A:$A,'Raw Data'!$AX:$AX),"")</f>
        <v>0</v>
      </c>
      <c r="N64" s="230">
        <f>IFERROR(_xlfn.XLOOKUP($A64,'Raw Data'!$A:$A,'Raw Data'!$AY:$AY),"")</f>
        <v>0</v>
      </c>
      <c r="O64" s="231">
        <f>IFERROR(1-(SUMIF('Plant BD'!$B:$B,A64,'Plant BD'!$AE:$AE)/(AA64+SUMIF('Plant BD'!$B:$B,A64,'Plant BD'!$AE:$AE))),"")</f>
        <v>0.95287742654970664</v>
      </c>
      <c r="P64" s="231"/>
      <c r="Q64" s="232"/>
      <c r="R64" s="231">
        <f>IFERROR(1-(SUMIF('Grid BD'!$B:$B,$A64,'Grid BD'!$AD:$AD)/($AA64+SUMIF('Grid BD'!$B:$B,$A64,'Grid BD'!AD:AD))),"")</f>
        <v>1</v>
      </c>
      <c r="S64" s="6"/>
      <c r="T64" s="232"/>
      <c r="U64" s="233">
        <f t="shared" si="4"/>
        <v>0.77332534025528221</v>
      </c>
      <c r="V64" s="233"/>
      <c r="W64" s="234">
        <f t="shared" si="6"/>
        <v>0.15904401084638861</v>
      </c>
      <c r="X64" s="227">
        <f>IFERROR(_xlfn.XLOOKUP($A64,'Raw Data'!$A:$A,'Raw Data'!$BA:$BA),"")</f>
        <v>93954</v>
      </c>
      <c r="Y64" s="227">
        <f>IFERROR(_xlfn.XLOOKUP($A64,'Raw Data'!$A:$A,'Raw Data'!BJ:BJ),"")</f>
        <v>93748.600000020815</v>
      </c>
      <c r="Z64" s="227">
        <f>IFERROR(_xlfn.XLOOKUP($A64,'Raw Data'!$A:$A,'Raw Data'!BK:BK),"")</f>
        <v>982.30000000000928</v>
      </c>
      <c r="AA64" s="227">
        <f>IFERROR(_xlfn.XLOOKUP($A64,'Raw Data'!$A:$A,'Raw Data'!BL:BL),"")</f>
        <v>92766.300000020812</v>
      </c>
      <c r="AB64" s="227">
        <f>IFERROR(_xlfn.XLOOKUP($A64,'Raw Data'!$A:$A,'Raw Data'!$H:$H),"")</f>
        <v>24.303100000000001</v>
      </c>
      <c r="AC64" s="145">
        <f>IFERROR(_xlfn.XLOOKUP($D64,'Modelling New'!$D:$D,'Modelling New'!$P:$P),"")</f>
        <v>6.5290322580645164</v>
      </c>
      <c r="AD64" s="227">
        <f>IFERROR(_xlfn.XLOOKUP($D64,'Modelling New'!$D:$D,'Modelling New'!$T:$T)*1000,"")</f>
        <v>119905.71730852894</v>
      </c>
      <c r="AE64" s="234">
        <f>IFERROR(_xlfn.XLOOKUP($D64,'Modelling New'!$D:$D,'Modelling New'!$O:$O),"")</f>
        <v>0.75566516656343796</v>
      </c>
      <c r="AF64" s="234">
        <f>IFERROR(_xlfn.XLOOKUP($D64,'Modelling New'!$D:$D,'Modelling New'!$W:$W),"")</f>
        <v>0.20557342703284925</v>
      </c>
      <c r="AG64" s="234">
        <f>IFERROR(_xlfn.XLOOKUP($D64,'Modelling New'!$D:$D,'Modelling New'!AE:AE),"")</f>
        <v>0.995</v>
      </c>
      <c r="AH64" s="234">
        <v>0.99750000000000005</v>
      </c>
      <c r="AI64" s="6"/>
      <c r="AJ64" s="6"/>
      <c r="AK64" s="6"/>
      <c r="AL64" s="6"/>
      <c r="AM64" s="6"/>
      <c r="AN64" s="231"/>
      <c r="AO64" s="234"/>
      <c r="AP64" s="234"/>
      <c r="AQ64" s="234"/>
      <c r="AR64" s="227">
        <f>IFERROR(_xlfn.XLOOKUP($D64,'Modelling New'!$D:$D,'Modelling New'!$N:$N),"")</f>
        <v>24.303100000000001</v>
      </c>
      <c r="AS64" s="227"/>
    </row>
    <row r="65" spans="1:45" x14ac:dyDescent="0.35">
      <c r="A65" s="226">
        <f t="shared" si="5"/>
        <v>45808</v>
      </c>
      <c r="B65" s="227">
        <f>YEAR(Daily_KPI[[#This Row],[Date]])+IF(MONTH(Daily_KPI[[#This Row],[Date]])&gt;=4,1,0)</f>
        <v>2026</v>
      </c>
      <c r="C65" s="6">
        <f>YEAR(Daily_KPI[[#This Row],[Date]])</f>
        <v>2025</v>
      </c>
      <c r="D65" s="228">
        <f>Daily_KPI[[#This Row],[Date]]-DAY(Daily_KPI[[#This Row],[Date]])+1</f>
        <v>45778</v>
      </c>
      <c r="E65" s="6">
        <f t="shared" si="7"/>
        <v>31</v>
      </c>
      <c r="F65" s="229">
        <f>IFERROR(_xlfn.XLOOKUP($A65,'Raw Data'!$A:$A,'Raw Data'!$BR:$BR),"")</f>
        <v>12.483333333333334</v>
      </c>
      <c r="G65" s="230">
        <f>IFERROR(_xlfn.XLOOKUP($A65,'Raw Data'!$A:$A,'Raw Data'!$AO:$AO),"")</f>
        <v>0</v>
      </c>
      <c r="H65" s="230"/>
      <c r="I65" s="230">
        <f>IFERROR(_xlfn.XLOOKUP($A65,'Raw Data'!$A:$A,'Raw Data'!$AR:$AR),"")</f>
        <v>6.2900738056013186</v>
      </c>
      <c r="J65" s="230"/>
      <c r="K65" s="230">
        <f>IFERROR(_xlfn.XLOOKUP($A65,'Raw Data'!$A:$A,'Raw Data'!$AV:$AV),"")</f>
        <v>0</v>
      </c>
      <c r="L65" s="230">
        <f>IFERROR(_xlfn.XLOOKUP($A65,'Raw Data'!$A:$A,'Raw Data'!$AW:$AW),"")</f>
        <v>0</v>
      </c>
      <c r="M65" s="230">
        <f>IFERROR(_xlfn.XLOOKUP($A65,'Raw Data'!$A:$A,'Raw Data'!$AX:$AX),"")</f>
        <v>0</v>
      </c>
      <c r="N65" s="230">
        <f>IFERROR(_xlfn.XLOOKUP($A65,'Raw Data'!$A:$A,'Raw Data'!$AY:$AY),"")</f>
        <v>0</v>
      </c>
      <c r="O65" s="231">
        <f>IFERROR(1-(SUMIF('Plant BD'!$B:$B,A65,'Plant BD'!$AE:$AE)/(AA65+SUMIF('Plant BD'!$B:$B,A65,'Plant BD'!$AE:$AE))),"")</f>
        <v>0.92637654388950574</v>
      </c>
      <c r="P65" s="231"/>
      <c r="Q65" s="232"/>
      <c r="R65" s="231">
        <f>IFERROR(1-(SUMIF('Grid BD'!$B:$B,$A65,'Grid BD'!$AD:$AD)/($AA65+SUMIF('Grid BD'!$B:$B,$A65,'Grid BD'!AD:AD))),"")</f>
        <v>1</v>
      </c>
      <c r="S65" s="6"/>
      <c r="T65" s="232"/>
      <c r="U65" s="233">
        <f t="shared" si="4"/>
        <v>0.74615669464030276</v>
      </c>
      <c r="V65" s="233"/>
      <c r="W65" s="234">
        <f t="shared" si="6"/>
        <v>0.19555752832629295</v>
      </c>
      <c r="X65" s="227">
        <f>IFERROR(_xlfn.XLOOKUP($A65,'Raw Data'!$A:$A,'Raw Data'!$BA:$BA),"")</f>
        <v>115632</v>
      </c>
      <c r="Y65" s="227">
        <f>IFERROR(_xlfn.XLOOKUP($A65,'Raw Data'!$A:$A,'Raw Data'!BJ:BJ),"")</f>
        <v>114830.30000000144</v>
      </c>
      <c r="Z65" s="227">
        <f>IFERROR(_xlfn.XLOOKUP($A65,'Raw Data'!$A:$A,'Raw Data'!BK:BK),"")</f>
        <v>766.59999999992579</v>
      </c>
      <c r="AA65" s="227">
        <f>IFERROR(_xlfn.XLOOKUP($A65,'Raw Data'!$A:$A,'Raw Data'!BL:BL),"")</f>
        <v>114063.70000000153</v>
      </c>
      <c r="AB65" s="227">
        <f>IFERROR(_xlfn.XLOOKUP($A65,'Raw Data'!$A:$A,'Raw Data'!$H:$H),"")</f>
        <v>24.303100000000001</v>
      </c>
      <c r="AC65" s="145">
        <f>IFERROR(_xlfn.XLOOKUP($D65,'Modelling New'!$D:$D,'Modelling New'!$P:$P),"")</f>
        <v>6.5290322580645164</v>
      </c>
      <c r="AD65" s="227">
        <f>IFERROR(_xlfn.XLOOKUP($D65,'Modelling New'!$D:$D,'Modelling New'!$T:$T)*1000,"")</f>
        <v>119905.71730852894</v>
      </c>
      <c r="AE65" s="234">
        <f>IFERROR(_xlfn.XLOOKUP($D65,'Modelling New'!$D:$D,'Modelling New'!$O:$O),"")</f>
        <v>0.75566516656343796</v>
      </c>
      <c r="AF65" s="234">
        <f>IFERROR(_xlfn.XLOOKUP($D65,'Modelling New'!$D:$D,'Modelling New'!$W:$W),"")</f>
        <v>0.20557342703284925</v>
      </c>
      <c r="AG65" s="234">
        <f>IFERROR(_xlfn.XLOOKUP($D65,'Modelling New'!$D:$D,'Modelling New'!AE:AE),"")</f>
        <v>0.995</v>
      </c>
      <c r="AH65" s="234">
        <v>0.99750000000000005</v>
      </c>
      <c r="AI65" s="6"/>
      <c r="AJ65" s="6"/>
      <c r="AK65" s="6"/>
      <c r="AL65" s="6"/>
      <c r="AM65" s="6"/>
      <c r="AN65" s="231"/>
      <c r="AO65" s="234"/>
      <c r="AP65" s="234"/>
      <c r="AQ65" s="234"/>
      <c r="AR65" s="227">
        <f>IFERROR(_xlfn.XLOOKUP($D65,'Modelling New'!$D:$D,'Modelling New'!$N:$N),"")</f>
        <v>24.303100000000001</v>
      </c>
      <c r="AS65" s="227"/>
    </row>
    <row r="66" spans="1:45" x14ac:dyDescent="0.35">
      <c r="A66" s="226">
        <f t="shared" si="5"/>
        <v>45809</v>
      </c>
      <c r="B66" s="227">
        <f>YEAR(Daily_KPI[[#This Row],[Date]])+IF(MONTH(Daily_KPI[[#This Row],[Date]])&gt;=4,1,0)</f>
        <v>2026</v>
      </c>
      <c r="C66" s="6">
        <f>YEAR(Daily_KPI[[#This Row],[Date]])</f>
        <v>2025</v>
      </c>
      <c r="D66" s="228">
        <f>Daily_KPI[[#This Row],[Date]]-DAY(Daily_KPI[[#This Row],[Date]])+1</f>
        <v>45809</v>
      </c>
      <c r="E66" s="6">
        <f t="shared" si="7"/>
        <v>30</v>
      </c>
      <c r="F66" s="229">
        <f>IFERROR(_xlfn.XLOOKUP($A66,'Raw Data'!$A:$A,'Raw Data'!$BR:$BR),"")</f>
        <v>12.5</v>
      </c>
      <c r="G66" s="230">
        <f>IFERROR(_xlfn.XLOOKUP($A66,'Raw Data'!$A:$A,'Raw Data'!$AO:$AO),"")</f>
        <v>0</v>
      </c>
      <c r="H66" s="230"/>
      <c r="I66" s="230">
        <f>IFERROR(_xlfn.XLOOKUP($A66,'Raw Data'!$A:$A,'Raw Data'!$AR:$AR),"")</f>
        <v>5.7892144563426688</v>
      </c>
      <c r="J66" s="230"/>
      <c r="K66" s="230">
        <f>IFERROR(_xlfn.XLOOKUP($A66,'Raw Data'!$A:$A,'Raw Data'!$AV:$AV),"")</f>
        <v>0</v>
      </c>
      <c r="L66" s="230">
        <f>IFERROR(_xlfn.XLOOKUP($A66,'Raw Data'!$A:$A,'Raw Data'!$AW:$AW),"")</f>
        <v>0</v>
      </c>
      <c r="M66" s="230">
        <f>IFERROR(_xlfn.XLOOKUP($A66,'Raw Data'!$A:$A,'Raw Data'!$AX:$AX),"")</f>
        <v>0</v>
      </c>
      <c r="N66" s="230">
        <f>IFERROR(_xlfn.XLOOKUP($A66,'Raw Data'!$A:$A,'Raw Data'!$AY:$AY),"")</f>
        <v>0</v>
      </c>
      <c r="O66" s="231">
        <f>IFERROR(1-(SUMIF('Plant BD'!$B:$B,A66,'Plant BD'!$AE:$AE)/(AA66+SUMIF('Plant BD'!$B:$B,A66,'Plant BD'!$AE:$AE))),"")</f>
        <v>0.95456124358814143</v>
      </c>
      <c r="P66" s="231"/>
      <c r="Q66" s="232"/>
      <c r="R66" s="231">
        <f>IFERROR(1-(SUMIF('Grid BD'!$B:$B,$A66,'Grid BD'!$AD:$AD)/($AA66+SUMIF('Grid BD'!$B:$B,$A66,'Grid BD'!AD:AD))),"")</f>
        <v>1</v>
      </c>
      <c r="S66" s="6"/>
      <c r="T66" s="232"/>
      <c r="U66" s="233">
        <f t="shared" si="4"/>
        <v>0.78584900569541583</v>
      </c>
      <c r="V66" s="233"/>
      <c r="W66" s="234">
        <f t="shared" si="6"/>
        <v>0.1895603510114339</v>
      </c>
      <c r="X66" s="227">
        <f>IFERROR(_xlfn.XLOOKUP($A66,'Raw Data'!$A:$A,'Raw Data'!$BA:$BA),"")</f>
        <v>112002</v>
      </c>
      <c r="Y66" s="227">
        <f>IFERROR(_xlfn.XLOOKUP($A66,'Raw Data'!$A:$A,'Raw Data'!BJ:BJ),"")</f>
        <v>111396.09999998356</v>
      </c>
      <c r="Z66" s="227">
        <f>IFERROR(_xlfn.XLOOKUP($A66,'Raw Data'!$A:$A,'Raw Data'!BK:BK),"")</f>
        <v>830.40000000005421</v>
      </c>
      <c r="AA66" s="227">
        <f>IFERROR(_xlfn.XLOOKUP($A66,'Raw Data'!$A:$A,'Raw Data'!BL:BL),"")</f>
        <v>110565.69999998351</v>
      </c>
      <c r="AB66" s="227">
        <f>IFERROR(_xlfn.XLOOKUP($A66,'Raw Data'!$A:$A,'Raw Data'!$H:$H),"")</f>
        <v>24.303100000000001</v>
      </c>
      <c r="AC66" s="145">
        <f>IFERROR(_xlfn.XLOOKUP($D66,'Modelling New'!$D:$D,'Modelling New'!$P:$P),"")</f>
        <v>5.1233333333333331</v>
      </c>
      <c r="AD66" s="227">
        <f>IFERROR(_xlfn.XLOOKUP($D66,'Modelling New'!$D:$D,'Modelling New'!$T:$T)*1000,"")</f>
        <v>91091.690669094809</v>
      </c>
      <c r="AE66" s="234">
        <f>IFERROR(_xlfn.XLOOKUP($D66,'Modelling New'!$D:$D,'Modelling New'!$O:$O),"")</f>
        <v>0.73158446710143066</v>
      </c>
      <c r="AF66" s="234">
        <f>IFERROR(_xlfn.XLOOKUP($D66,'Modelling New'!$D:$D,'Modelling New'!$W:$W),"")</f>
        <v>0.15617296193540262</v>
      </c>
      <c r="AG66" s="234">
        <f>IFERROR(_xlfn.XLOOKUP($D66,'Modelling New'!$D:$D,'Modelling New'!AE:AE),"")</f>
        <v>0.995</v>
      </c>
      <c r="AH66" s="234">
        <v>0.99750000000000005</v>
      </c>
      <c r="AI66" s="6"/>
      <c r="AJ66" s="6"/>
      <c r="AK66" s="6"/>
      <c r="AL66" s="6"/>
      <c r="AM66" s="6"/>
      <c r="AN66" s="231"/>
      <c r="AO66" s="234"/>
      <c r="AP66" s="234"/>
      <c r="AQ66" s="234"/>
      <c r="AR66" s="227">
        <f>IFERROR(_xlfn.XLOOKUP($D66,'Modelling New'!$D:$D,'Modelling New'!$N:$N),"")</f>
        <v>24.303100000000001</v>
      </c>
      <c r="AS66" s="227"/>
    </row>
    <row r="67" spans="1:45" x14ac:dyDescent="0.35">
      <c r="A67" s="226">
        <f t="shared" si="5"/>
        <v>45810</v>
      </c>
      <c r="B67" s="227">
        <f>YEAR(Daily_KPI[[#This Row],[Date]])+IF(MONTH(Daily_KPI[[#This Row],[Date]])&gt;=4,1,0)</f>
        <v>2026</v>
      </c>
      <c r="C67" s="6">
        <f>YEAR(Daily_KPI[[#This Row],[Date]])</f>
        <v>2025</v>
      </c>
      <c r="D67" s="228">
        <f>Daily_KPI[[#This Row],[Date]]-DAY(Daily_KPI[[#This Row],[Date]])+1</f>
        <v>45809</v>
      </c>
      <c r="E67" s="6">
        <f t="shared" si="7"/>
        <v>30</v>
      </c>
      <c r="F67" s="229">
        <f>IFERROR(_xlfn.XLOOKUP($A67,'Raw Data'!$A:$A,'Raw Data'!$BR:$BR),"")</f>
        <v>12.666666666666668</v>
      </c>
      <c r="G67" s="230">
        <f>IFERROR(_xlfn.XLOOKUP($A67,'Raw Data'!$A:$A,'Raw Data'!$AO:$AO),"")</f>
        <v>0</v>
      </c>
      <c r="H67" s="230"/>
      <c r="I67" s="230">
        <f>IFERROR(_xlfn.XLOOKUP($A67,'Raw Data'!$A:$A,'Raw Data'!$AR:$AR),"")</f>
        <v>5.8831293245469514</v>
      </c>
      <c r="J67" s="230"/>
      <c r="K67" s="230">
        <f>IFERROR(_xlfn.XLOOKUP($A67,'Raw Data'!$A:$A,'Raw Data'!$AV:$AV),"")</f>
        <v>0</v>
      </c>
      <c r="L67" s="230">
        <f>IFERROR(_xlfn.XLOOKUP($A67,'Raw Data'!$A:$A,'Raw Data'!$AW:$AW),"")</f>
        <v>0</v>
      </c>
      <c r="M67" s="230">
        <f>IFERROR(_xlfn.XLOOKUP($A67,'Raw Data'!$A:$A,'Raw Data'!$AX:$AX),"")</f>
        <v>0</v>
      </c>
      <c r="N67" s="230">
        <f>IFERROR(_xlfn.XLOOKUP($A67,'Raw Data'!$A:$A,'Raw Data'!$AY:$AY),"")</f>
        <v>0</v>
      </c>
      <c r="O67" s="231">
        <f>IFERROR(1-(SUMIF('Plant BD'!$B:$B,A67,'Plant BD'!$AE:$AE)/(AA67+SUMIF('Plant BD'!$B:$B,A67,'Plant BD'!$AE:$AE))),"")</f>
        <v>0.95329229557642503</v>
      </c>
      <c r="P67" s="231"/>
      <c r="Q67" s="232"/>
      <c r="R67" s="231">
        <f>IFERROR(1-(SUMIF('Grid BD'!$B:$B,$A67,'Grid BD'!$AD:$AD)/($AA67+SUMIF('Grid BD'!$B:$B,$A67,'Grid BD'!AD:AD))),"")</f>
        <v>1</v>
      </c>
      <c r="S67" s="6"/>
      <c r="T67" s="232"/>
      <c r="U67" s="233">
        <f t="shared" si="4"/>
        <v>0.77092478506837003</v>
      </c>
      <c r="V67" s="233"/>
      <c r="W67" s="234">
        <f t="shared" si="6"/>
        <v>0.18897709208565766</v>
      </c>
      <c r="X67" s="227">
        <f>IFERROR(_xlfn.XLOOKUP($A67,'Raw Data'!$A:$A,'Raw Data'!$BA:$BA),"")</f>
        <v>111865</v>
      </c>
      <c r="Y67" s="227">
        <f>IFERROR(_xlfn.XLOOKUP($A67,'Raw Data'!$A:$A,'Raw Data'!BJ:BJ),"")</f>
        <v>111147.20000000671</v>
      </c>
      <c r="Z67" s="227">
        <f>IFERROR(_xlfn.XLOOKUP($A67,'Raw Data'!$A:$A,'Raw Data'!BK:BK),"")</f>
        <v>921.69999999998709</v>
      </c>
      <c r="AA67" s="227">
        <f>IFERROR(_xlfn.XLOOKUP($A67,'Raw Data'!$A:$A,'Raw Data'!BL:BL),"")</f>
        <v>110225.50000000672</v>
      </c>
      <c r="AB67" s="227">
        <f>IFERROR(_xlfn.XLOOKUP($A67,'Raw Data'!$A:$A,'Raw Data'!$H:$H),"")</f>
        <v>24.303100000000001</v>
      </c>
      <c r="AC67" s="145">
        <f>IFERROR(_xlfn.XLOOKUP($D67,'Modelling New'!$D:$D,'Modelling New'!$P:$P),"")</f>
        <v>5.1233333333333331</v>
      </c>
      <c r="AD67" s="227">
        <f>IFERROR(_xlfn.XLOOKUP($D67,'Modelling New'!$D:$D,'Modelling New'!$T:$T)*1000,"")</f>
        <v>91091.690669094809</v>
      </c>
      <c r="AE67" s="234">
        <f>IFERROR(_xlfn.XLOOKUP($D67,'Modelling New'!$D:$D,'Modelling New'!$O:$O),"")</f>
        <v>0.73158446710143066</v>
      </c>
      <c r="AF67" s="234">
        <f>IFERROR(_xlfn.XLOOKUP($D67,'Modelling New'!$D:$D,'Modelling New'!$W:$W),"")</f>
        <v>0.15617296193540262</v>
      </c>
      <c r="AG67" s="234">
        <f>IFERROR(_xlfn.XLOOKUP($D67,'Modelling New'!$D:$D,'Modelling New'!AE:AE),"")</f>
        <v>0.995</v>
      </c>
      <c r="AH67" s="234">
        <v>0.99750000000000005</v>
      </c>
      <c r="AI67" s="6"/>
      <c r="AJ67" s="6"/>
      <c r="AK67" s="6"/>
      <c r="AL67" s="6"/>
      <c r="AM67" s="6"/>
      <c r="AN67" s="231"/>
      <c r="AO67" s="234"/>
      <c r="AP67" s="234"/>
      <c r="AQ67" s="234"/>
      <c r="AR67" s="227">
        <f>IFERROR(_xlfn.XLOOKUP($D67,'Modelling New'!$D:$D,'Modelling New'!$N:$N),"")</f>
        <v>24.303100000000001</v>
      </c>
      <c r="AS67" s="227"/>
    </row>
    <row r="68" spans="1:45" x14ac:dyDescent="0.35">
      <c r="A68" s="226">
        <f t="shared" si="5"/>
        <v>45811</v>
      </c>
      <c r="B68" s="227">
        <f>YEAR(Daily_KPI[[#This Row],[Date]])+IF(MONTH(Daily_KPI[[#This Row],[Date]])&gt;=4,1,0)</f>
        <v>2026</v>
      </c>
      <c r="C68" s="6">
        <f>YEAR(Daily_KPI[[#This Row],[Date]])</f>
        <v>2025</v>
      </c>
      <c r="D68" s="228">
        <f>Daily_KPI[[#This Row],[Date]]-DAY(Daily_KPI[[#This Row],[Date]])+1</f>
        <v>45809</v>
      </c>
      <c r="E68" s="6">
        <f t="shared" si="7"/>
        <v>30</v>
      </c>
      <c r="F68" s="229">
        <f>IFERROR(_xlfn.XLOOKUP($A68,'Raw Data'!$A:$A,'Raw Data'!$BR:$BR),"")</f>
        <v>12.666666666666668</v>
      </c>
      <c r="G68" s="230">
        <f>IFERROR(_xlfn.XLOOKUP($A68,'Raw Data'!$A:$A,'Raw Data'!$AO:$AO),"")</f>
        <v>0</v>
      </c>
      <c r="H68" s="230"/>
      <c r="I68" s="230">
        <f>IFERROR(_xlfn.XLOOKUP($A68,'Raw Data'!$A:$A,'Raw Data'!$AR:$AR),"")</f>
        <v>5.7742175041186155</v>
      </c>
      <c r="J68" s="230"/>
      <c r="K68" s="230">
        <f>IFERROR(_xlfn.XLOOKUP($A68,'Raw Data'!$A:$A,'Raw Data'!$AV:$AV),"")</f>
        <v>0</v>
      </c>
      <c r="L68" s="230">
        <f>IFERROR(_xlfn.XLOOKUP($A68,'Raw Data'!$A:$A,'Raw Data'!$AW:$AW),"")</f>
        <v>0</v>
      </c>
      <c r="M68" s="230">
        <f>IFERROR(_xlfn.XLOOKUP($A68,'Raw Data'!$A:$A,'Raw Data'!$AX:$AX),"")</f>
        <v>0</v>
      </c>
      <c r="N68" s="230">
        <f>IFERROR(_xlfn.XLOOKUP($A68,'Raw Data'!$A:$A,'Raw Data'!$AY:$AY),"")</f>
        <v>0</v>
      </c>
      <c r="O68" s="231">
        <f>IFERROR(1-(SUMIF('Plant BD'!$B:$B,A68,'Plant BD'!$AE:$AE)/(AA68+SUMIF('Plant BD'!$B:$B,A68,'Plant BD'!$AE:$AE))),"")</f>
        <v>0.95392537529760912</v>
      </c>
      <c r="P68" s="231"/>
      <c r="Q68" s="232"/>
      <c r="R68" s="231">
        <f>IFERROR(1-(SUMIF('Grid BD'!$B:$B,$A68,'Grid BD'!$AD:$AD)/($AA68+SUMIF('Grid BD'!$B:$B,$A68,'Grid BD'!AD:AD))),"")</f>
        <v>1</v>
      </c>
      <c r="S68" s="6"/>
      <c r="T68" s="232"/>
      <c r="U68" s="233">
        <f t="shared" si="4"/>
        <v>0.76763797117987564</v>
      </c>
      <c r="V68" s="233"/>
      <c r="W68" s="234">
        <f t="shared" si="6"/>
        <v>0.18468785875053914</v>
      </c>
      <c r="X68" s="227">
        <f>IFERROR(_xlfn.XLOOKUP($A68,'Raw Data'!$A:$A,'Raw Data'!$BA:$BA),"")</f>
        <v>109625</v>
      </c>
      <c r="Y68" s="227">
        <f>IFERROR(_xlfn.XLOOKUP($A68,'Raw Data'!$A:$A,'Raw Data'!BJ:BJ),"")</f>
        <v>108994.60000000545</v>
      </c>
      <c r="Z68" s="227">
        <f>IFERROR(_xlfn.XLOOKUP($A68,'Raw Data'!$A:$A,'Raw Data'!BK:BK),"")</f>
        <v>1270.8999999999833</v>
      </c>
      <c r="AA68" s="227">
        <f>IFERROR(_xlfn.XLOOKUP($A68,'Raw Data'!$A:$A,'Raw Data'!BL:BL),"")</f>
        <v>107723.70000000547</v>
      </c>
      <c r="AB68" s="227">
        <f>IFERROR(_xlfn.XLOOKUP($A68,'Raw Data'!$A:$A,'Raw Data'!$H:$H),"")</f>
        <v>24.303100000000001</v>
      </c>
      <c r="AC68" s="145">
        <f>IFERROR(_xlfn.XLOOKUP($D68,'Modelling New'!$D:$D,'Modelling New'!$P:$P),"")</f>
        <v>5.1233333333333331</v>
      </c>
      <c r="AD68" s="227">
        <f>IFERROR(_xlfn.XLOOKUP($D68,'Modelling New'!$D:$D,'Modelling New'!$T:$T)*1000,"")</f>
        <v>91091.690669094809</v>
      </c>
      <c r="AE68" s="234">
        <f>IFERROR(_xlfn.XLOOKUP($D68,'Modelling New'!$D:$D,'Modelling New'!$O:$O),"")</f>
        <v>0.73158446710143066</v>
      </c>
      <c r="AF68" s="234">
        <f>IFERROR(_xlfn.XLOOKUP($D68,'Modelling New'!$D:$D,'Modelling New'!$W:$W),"")</f>
        <v>0.15617296193540262</v>
      </c>
      <c r="AG68" s="234">
        <f>IFERROR(_xlfn.XLOOKUP($D68,'Modelling New'!$D:$D,'Modelling New'!AE:AE),"")</f>
        <v>0.995</v>
      </c>
      <c r="AH68" s="234">
        <v>0.99750000000000005</v>
      </c>
      <c r="AI68" s="6"/>
      <c r="AJ68" s="6"/>
      <c r="AK68" s="6"/>
      <c r="AL68" s="6"/>
      <c r="AM68" s="6"/>
      <c r="AN68" s="231"/>
      <c r="AO68" s="234"/>
      <c r="AP68" s="234"/>
      <c r="AQ68" s="234"/>
      <c r="AR68" s="227">
        <f>IFERROR(_xlfn.XLOOKUP($D68,'Modelling New'!$D:$D,'Modelling New'!$N:$N),"")</f>
        <v>24.303100000000001</v>
      </c>
      <c r="AS68" s="227"/>
    </row>
    <row r="69" spans="1:45" x14ac:dyDescent="0.35">
      <c r="A69" s="226">
        <f t="shared" si="5"/>
        <v>45812</v>
      </c>
      <c r="B69" s="227">
        <f>YEAR(Daily_KPI[[#This Row],[Date]])+IF(MONTH(Daily_KPI[[#This Row],[Date]])&gt;=4,1,0)</f>
        <v>2026</v>
      </c>
      <c r="C69" s="6">
        <f>YEAR(Daily_KPI[[#This Row],[Date]])</f>
        <v>2025</v>
      </c>
      <c r="D69" s="228">
        <f>Daily_KPI[[#This Row],[Date]]-DAY(Daily_KPI[[#This Row],[Date]])+1</f>
        <v>45809</v>
      </c>
      <c r="E69" s="6">
        <f t="shared" si="7"/>
        <v>30</v>
      </c>
      <c r="F69" s="229">
        <f>IFERROR(_xlfn.XLOOKUP($A69,'Raw Data'!$A:$A,'Raw Data'!$BR:$BR),"")</f>
        <v>11.850000000000001</v>
      </c>
      <c r="G69" s="230">
        <f>IFERROR(_xlfn.XLOOKUP($A69,'Raw Data'!$A:$A,'Raw Data'!$AO:$AO),"")</f>
        <v>0</v>
      </c>
      <c r="H69" s="230"/>
      <c r="I69" s="230">
        <f>IFERROR(_xlfn.XLOOKUP($A69,'Raw Data'!$A:$A,'Raw Data'!$AR:$AR),"")</f>
        <v>4.2089954283360793</v>
      </c>
      <c r="J69" s="230"/>
      <c r="K69" s="230">
        <f>IFERROR(_xlfn.XLOOKUP($A69,'Raw Data'!$A:$A,'Raw Data'!$AV:$AV),"")</f>
        <v>0</v>
      </c>
      <c r="L69" s="230">
        <f>IFERROR(_xlfn.XLOOKUP($A69,'Raw Data'!$A:$A,'Raw Data'!$AW:$AW),"")</f>
        <v>0</v>
      </c>
      <c r="M69" s="230">
        <f>IFERROR(_xlfn.XLOOKUP($A69,'Raw Data'!$A:$A,'Raw Data'!$AX:$AX),"")</f>
        <v>0</v>
      </c>
      <c r="N69" s="230">
        <f>IFERROR(_xlfn.XLOOKUP($A69,'Raw Data'!$A:$A,'Raw Data'!$AY:$AY),"")</f>
        <v>0</v>
      </c>
      <c r="O69" s="231">
        <f>IFERROR(1-(SUMIF('Plant BD'!$B:$B,A69,'Plant BD'!$AE:$AE)/(AA69+SUMIF('Plant BD'!$B:$B,A69,'Plant BD'!$AE:$AE))),"")</f>
        <v>0.95749980075325147</v>
      </c>
      <c r="P69" s="231"/>
      <c r="Q69" s="232"/>
      <c r="R69" s="231">
        <f>IFERROR(1-(SUMIF('Grid BD'!$B:$B,$A69,'Grid BD'!$AD:$AD)/($AA69+SUMIF('Grid BD'!$B:$B,$A69,'Grid BD'!AD:AD))),"")</f>
        <v>1</v>
      </c>
      <c r="S69" s="6"/>
      <c r="T69" s="232"/>
      <c r="U69" s="233">
        <f t="shared" si="4"/>
        <v>0.8228404846934797</v>
      </c>
      <c r="V69" s="233"/>
      <c r="W69" s="234">
        <f t="shared" si="6"/>
        <v>0.14430549326352915</v>
      </c>
      <c r="X69" s="227">
        <f>IFERROR(_xlfn.XLOOKUP($A69,'Raw Data'!$A:$A,'Raw Data'!$BA:$BA),"")</f>
        <v>84614</v>
      </c>
      <c r="Y69" s="227">
        <f>IFERROR(_xlfn.XLOOKUP($A69,'Raw Data'!$A:$A,'Raw Data'!BJ:BJ),"")</f>
        <v>84481.999999989057</v>
      </c>
      <c r="Z69" s="227">
        <f>IFERROR(_xlfn.XLOOKUP($A69,'Raw Data'!$A:$A,'Raw Data'!BK:BK),"")</f>
        <v>312.3000000000502</v>
      </c>
      <c r="AA69" s="227">
        <f>IFERROR(_xlfn.XLOOKUP($A69,'Raw Data'!$A:$A,'Raw Data'!BL:BL),"")</f>
        <v>84169.69999998901</v>
      </c>
      <c r="AB69" s="227">
        <f>IFERROR(_xlfn.XLOOKUP($A69,'Raw Data'!$A:$A,'Raw Data'!$H:$H),"")</f>
        <v>24.303100000000001</v>
      </c>
      <c r="AC69" s="145">
        <f>IFERROR(_xlfn.XLOOKUP($D69,'Modelling New'!$D:$D,'Modelling New'!$P:$P),"")</f>
        <v>5.1233333333333331</v>
      </c>
      <c r="AD69" s="227">
        <f>IFERROR(_xlfn.XLOOKUP($D69,'Modelling New'!$D:$D,'Modelling New'!$T:$T)*1000,"")</f>
        <v>91091.690669094809</v>
      </c>
      <c r="AE69" s="234">
        <f>IFERROR(_xlfn.XLOOKUP($D69,'Modelling New'!$D:$D,'Modelling New'!$O:$O),"")</f>
        <v>0.73158446710143066</v>
      </c>
      <c r="AF69" s="234">
        <f>IFERROR(_xlfn.XLOOKUP($D69,'Modelling New'!$D:$D,'Modelling New'!$W:$W),"")</f>
        <v>0.15617296193540262</v>
      </c>
      <c r="AG69" s="234">
        <f>IFERROR(_xlfn.XLOOKUP($D69,'Modelling New'!$D:$D,'Modelling New'!AE:AE),"")</f>
        <v>0.995</v>
      </c>
      <c r="AH69" s="234">
        <v>0.99750000000000005</v>
      </c>
      <c r="AI69" s="6"/>
      <c r="AJ69" s="6"/>
      <c r="AK69" s="6"/>
      <c r="AL69" s="6"/>
      <c r="AM69" s="6"/>
      <c r="AN69" s="231"/>
      <c r="AO69" s="234"/>
      <c r="AP69" s="234"/>
      <c r="AQ69" s="234"/>
      <c r="AR69" s="227">
        <f>IFERROR(_xlfn.XLOOKUP($D69,'Modelling New'!$D:$D,'Modelling New'!$N:$N),"")</f>
        <v>24.303100000000001</v>
      </c>
      <c r="AS69" s="227"/>
    </row>
    <row r="70" spans="1:45" x14ac:dyDescent="0.35">
      <c r="A70" s="226">
        <f t="shared" si="5"/>
        <v>45813</v>
      </c>
      <c r="B70" s="227">
        <f>YEAR(Daily_KPI[[#This Row],[Date]])+IF(MONTH(Daily_KPI[[#This Row],[Date]])&gt;=4,1,0)</f>
        <v>2026</v>
      </c>
      <c r="C70" s="6">
        <f>YEAR(Daily_KPI[[#This Row],[Date]])</f>
        <v>2025</v>
      </c>
      <c r="D70" s="228">
        <f>Daily_KPI[[#This Row],[Date]]-DAY(Daily_KPI[[#This Row],[Date]])+1</f>
        <v>45809</v>
      </c>
      <c r="E70" s="6">
        <f t="shared" si="7"/>
        <v>30</v>
      </c>
      <c r="F70" s="229">
        <f>IFERROR(_xlfn.XLOOKUP($A70,'Raw Data'!$A:$A,'Raw Data'!$BR:$BR),"")</f>
        <v>12.533333333333335</v>
      </c>
      <c r="G70" s="230">
        <f>IFERROR(_xlfn.XLOOKUP($A70,'Raw Data'!$A:$A,'Raw Data'!$AO:$AO),"")</f>
        <v>0</v>
      </c>
      <c r="H70" s="230"/>
      <c r="I70" s="230">
        <f>IFERROR(_xlfn.XLOOKUP($A70,'Raw Data'!$A:$A,'Raw Data'!$AR:$AR),"")</f>
        <v>6.1621018945634258</v>
      </c>
      <c r="J70" s="230"/>
      <c r="K70" s="230">
        <f>IFERROR(_xlfn.XLOOKUP($A70,'Raw Data'!$A:$A,'Raw Data'!$AV:$AV),"")</f>
        <v>0</v>
      </c>
      <c r="L70" s="230">
        <f>IFERROR(_xlfn.XLOOKUP($A70,'Raw Data'!$A:$A,'Raw Data'!$AW:$AW),"")</f>
        <v>0</v>
      </c>
      <c r="M70" s="230">
        <f>IFERROR(_xlfn.XLOOKUP($A70,'Raw Data'!$A:$A,'Raw Data'!$AX:$AX),"")</f>
        <v>0</v>
      </c>
      <c r="N70" s="230">
        <f>IFERROR(_xlfn.XLOOKUP($A70,'Raw Data'!$A:$A,'Raw Data'!$AY:$AY),"")</f>
        <v>0</v>
      </c>
      <c r="O70" s="231">
        <f>IFERROR(1-(SUMIF('Plant BD'!$B:$B,A70,'Plant BD'!$AE:$AE)/(AA70+SUMIF('Plant BD'!$B:$B,A70,'Plant BD'!$AE:$AE))),"")</f>
        <v>0.95380201314293311</v>
      </c>
      <c r="P70" s="231"/>
      <c r="Q70" s="232"/>
      <c r="R70" s="231">
        <f>IFERROR(1-(SUMIF('Grid BD'!$B:$B,$A70,'Grid BD'!$AD:$AD)/($AA70+SUMIF('Grid BD'!$B:$B,$A70,'Grid BD'!AD:AD))),"")</f>
        <v>1</v>
      </c>
      <c r="S70" s="6"/>
      <c r="T70" s="232"/>
      <c r="U70" s="233">
        <f t="shared" si="4"/>
        <v>0.76413836696690662</v>
      </c>
      <c r="V70" s="233"/>
      <c r="W70" s="234">
        <f t="shared" si="6"/>
        <v>0.19619576994980739</v>
      </c>
      <c r="X70" s="227">
        <f>IFERROR(_xlfn.XLOOKUP($A70,'Raw Data'!$A:$A,'Raw Data'!$BA:$BA),"")</f>
        <v>116129</v>
      </c>
      <c r="Y70" s="227">
        <f>IFERROR(_xlfn.XLOOKUP($A70,'Raw Data'!$A:$A,'Raw Data'!BJ:BJ),"")</f>
        <v>115321.82000001194</v>
      </c>
      <c r="Z70" s="227">
        <f>IFERROR(_xlfn.XLOOKUP($A70,'Raw Data'!$A:$A,'Raw Data'!BK:BK),"")</f>
        <v>885.85000000000491</v>
      </c>
      <c r="AA70" s="227">
        <f>IFERROR(_xlfn.XLOOKUP($A70,'Raw Data'!$A:$A,'Raw Data'!BL:BL),"")</f>
        <v>114435.97000001193</v>
      </c>
      <c r="AB70" s="227">
        <f>IFERROR(_xlfn.XLOOKUP($A70,'Raw Data'!$A:$A,'Raw Data'!$H:$H),"")</f>
        <v>24.303100000000001</v>
      </c>
      <c r="AC70" s="145">
        <f>IFERROR(_xlfn.XLOOKUP($D70,'Modelling New'!$D:$D,'Modelling New'!$P:$P),"")</f>
        <v>5.1233333333333331</v>
      </c>
      <c r="AD70" s="227">
        <f>IFERROR(_xlfn.XLOOKUP($D70,'Modelling New'!$D:$D,'Modelling New'!$T:$T)*1000,"")</f>
        <v>91091.690669094809</v>
      </c>
      <c r="AE70" s="234">
        <f>IFERROR(_xlfn.XLOOKUP($D70,'Modelling New'!$D:$D,'Modelling New'!$O:$O),"")</f>
        <v>0.73158446710143066</v>
      </c>
      <c r="AF70" s="234">
        <f>IFERROR(_xlfn.XLOOKUP($D70,'Modelling New'!$D:$D,'Modelling New'!$W:$W),"")</f>
        <v>0.15617296193540262</v>
      </c>
      <c r="AG70" s="234">
        <f>IFERROR(_xlfn.XLOOKUP($D70,'Modelling New'!$D:$D,'Modelling New'!AE:AE),"")</f>
        <v>0.995</v>
      </c>
      <c r="AH70" s="234">
        <v>0.99750000000000005</v>
      </c>
      <c r="AI70" s="6"/>
      <c r="AJ70" s="6"/>
      <c r="AK70" s="6"/>
      <c r="AL70" s="6"/>
      <c r="AM70" s="6"/>
      <c r="AN70" s="231"/>
      <c r="AO70" s="234"/>
      <c r="AP70" s="234"/>
      <c r="AQ70" s="234"/>
      <c r="AR70" s="227">
        <f>IFERROR(_xlfn.XLOOKUP($D70,'Modelling New'!$D:$D,'Modelling New'!$N:$N),"")</f>
        <v>24.303100000000001</v>
      </c>
      <c r="AS70" s="227"/>
    </row>
    <row r="71" spans="1:45" x14ac:dyDescent="0.35">
      <c r="A71" s="226">
        <f t="shared" si="5"/>
        <v>45814</v>
      </c>
      <c r="B71" s="227">
        <f>YEAR(Daily_KPI[[#This Row],[Date]])+IF(MONTH(Daily_KPI[[#This Row],[Date]])&gt;=4,1,0)</f>
        <v>2026</v>
      </c>
      <c r="C71" s="6">
        <f>YEAR(Daily_KPI[[#This Row],[Date]])</f>
        <v>2025</v>
      </c>
      <c r="D71" s="228">
        <f>Daily_KPI[[#This Row],[Date]]-DAY(Daily_KPI[[#This Row],[Date]])+1</f>
        <v>45809</v>
      </c>
      <c r="E71" s="6">
        <f t="shared" si="7"/>
        <v>30</v>
      </c>
      <c r="F71" s="229">
        <f>IFERROR(_xlfn.XLOOKUP($A71,'Raw Data'!$A:$A,'Raw Data'!$BR:$BR),"")</f>
        <v>12.483333333333334</v>
      </c>
      <c r="G71" s="230">
        <f>IFERROR(_xlfn.XLOOKUP($A71,'Raw Data'!$A:$A,'Raw Data'!$AO:$AO),"")</f>
        <v>0</v>
      </c>
      <c r="H71" s="230"/>
      <c r="I71" s="230">
        <f>IFERROR(_xlfn.XLOOKUP($A71,'Raw Data'!$A:$A,'Raw Data'!$AR:$AR),"")</f>
        <v>6.4685247116968689</v>
      </c>
      <c r="J71" s="230"/>
      <c r="K71" s="230">
        <f>IFERROR(_xlfn.XLOOKUP($A71,'Raw Data'!$A:$A,'Raw Data'!$AV:$AV),"")</f>
        <v>0</v>
      </c>
      <c r="L71" s="230">
        <f>IFERROR(_xlfn.XLOOKUP($A71,'Raw Data'!$A:$A,'Raw Data'!$AW:$AW),"")</f>
        <v>0</v>
      </c>
      <c r="M71" s="230">
        <f>IFERROR(_xlfn.XLOOKUP($A71,'Raw Data'!$A:$A,'Raw Data'!$AX:$AX),"")</f>
        <v>0</v>
      </c>
      <c r="N71" s="230">
        <f>IFERROR(_xlfn.XLOOKUP($A71,'Raw Data'!$A:$A,'Raw Data'!$AY:$AY),"")</f>
        <v>0</v>
      </c>
      <c r="O71" s="231">
        <f>IFERROR(1-(SUMIF('Plant BD'!$B:$B,A71,'Plant BD'!$AE:$AE)/(AA71+SUMIF('Plant BD'!$B:$B,A71,'Plant BD'!$AE:$AE))),"")</f>
        <v>0.95442609798491018</v>
      </c>
      <c r="P71" s="231"/>
      <c r="Q71" s="232"/>
      <c r="R71" s="231">
        <f>IFERROR(1-(SUMIF('Grid BD'!$B:$B,$A71,'Grid BD'!$AD:$AD)/($AA71+SUMIF('Grid BD'!$B:$B,$A71,'Grid BD'!AD:AD))),"")</f>
        <v>1</v>
      </c>
      <c r="S71" s="6"/>
      <c r="T71" s="232"/>
      <c r="U71" s="233">
        <f t="shared" si="4"/>
        <v>0.76911786476221222</v>
      </c>
      <c r="V71" s="233"/>
      <c r="W71" s="234">
        <f t="shared" si="6"/>
        <v>0.20729407976757916</v>
      </c>
      <c r="X71" s="227">
        <f>IFERROR(_xlfn.XLOOKUP($A71,'Raw Data'!$A:$A,'Raw Data'!$BA:$BA),"")</f>
        <v>122687</v>
      </c>
      <c r="Y71" s="227">
        <f>IFERROR(_xlfn.XLOOKUP($A71,'Raw Data'!$A:$A,'Raw Data'!BJ:BJ),"")</f>
        <v>121679.37999998685</v>
      </c>
      <c r="Z71" s="227">
        <f>IFERROR(_xlfn.XLOOKUP($A71,'Raw Data'!$A:$A,'Raw Data'!BK:BK),"")</f>
        <v>770.04999999996926</v>
      </c>
      <c r="AA71" s="227">
        <f>IFERROR(_xlfn.XLOOKUP($A71,'Raw Data'!$A:$A,'Raw Data'!BL:BL),"")</f>
        <v>120909.32999998688</v>
      </c>
      <c r="AB71" s="227">
        <f>IFERROR(_xlfn.XLOOKUP($A71,'Raw Data'!$A:$A,'Raw Data'!$H:$H),"")</f>
        <v>24.303100000000001</v>
      </c>
      <c r="AC71" s="145">
        <f>IFERROR(_xlfn.XLOOKUP($D71,'Modelling New'!$D:$D,'Modelling New'!$P:$P),"")</f>
        <v>5.1233333333333331</v>
      </c>
      <c r="AD71" s="227">
        <f>IFERROR(_xlfn.XLOOKUP($D71,'Modelling New'!$D:$D,'Modelling New'!$T:$T)*1000,"")</f>
        <v>91091.690669094809</v>
      </c>
      <c r="AE71" s="234">
        <f>IFERROR(_xlfn.XLOOKUP($D71,'Modelling New'!$D:$D,'Modelling New'!$O:$O),"")</f>
        <v>0.73158446710143066</v>
      </c>
      <c r="AF71" s="234">
        <f>IFERROR(_xlfn.XLOOKUP($D71,'Modelling New'!$D:$D,'Modelling New'!$W:$W),"")</f>
        <v>0.15617296193540262</v>
      </c>
      <c r="AG71" s="234">
        <f>IFERROR(_xlfn.XLOOKUP($D71,'Modelling New'!$D:$D,'Modelling New'!AE:AE),"")</f>
        <v>0.995</v>
      </c>
      <c r="AH71" s="234">
        <v>0.99750000000000005</v>
      </c>
      <c r="AI71" s="6"/>
      <c r="AJ71" s="6"/>
      <c r="AK71" s="6"/>
      <c r="AL71" s="6"/>
      <c r="AM71" s="6"/>
      <c r="AN71" s="231"/>
      <c r="AO71" s="234"/>
      <c r="AP71" s="234"/>
      <c r="AQ71" s="234"/>
      <c r="AR71" s="227">
        <f>IFERROR(_xlfn.XLOOKUP($D71,'Modelling New'!$D:$D,'Modelling New'!$N:$N),"")</f>
        <v>24.303100000000001</v>
      </c>
      <c r="AS71" s="227"/>
    </row>
    <row r="72" spans="1:45" x14ac:dyDescent="0.35">
      <c r="A72" s="226">
        <f t="shared" si="5"/>
        <v>45815</v>
      </c>
      <c r="B72" s="227">
        <f>YEAR(Daily_KPI[[#This Row],[Date]])+IF(MONTH(Daily_KPI[[#This Row],[Date]])&gt;=4,1,0)</f>
        <v>2026</v>
      </c>
      <c r="C72" s="6">
        <f>YEAR(Daily_KPI[[#This Row],[Date]])</f>
        <v>2025</v>
      </c>
      <c r="D72" s="228">
        <f>Daily_KPI[[#This Row],[Date]]-DAY(Daily_KPI[[#This Row],[Date]])+1</f>
        <v>45809</v>
      </c>
      <c r="E72" s="6">
        <f t="shared" si="7"/>
        <v>30</v>
      </c>
      <c r="F72" s="229">
        <f>IFERROR(_xlfn.XLOOKUP($A72,'Raw Data'!$A:$A,'Raw Data'!$BR:$BR),"")</f>
        <v>12.433333333333334</v>
      </c>
      <c r="G72" s="230">
        <f>IFERROR(_xlfn.XLOOKUP($A72,'Raw Data'!$A:$A,'Raw Data'!$AO:$AO),"")</f>
        <v>0</v>
      </c>
      <c r="H72" s="230"/>
      <c r="I72" s="230">
        <f>IFERROR(_xlfn.XLOOKUP($A72,'Raw Data'!$A:$A,'Raw Data'!$AR:$AR),"")</f>
        <v>6.2376357495881383</v>
      </c>
      <c r="J72" s="230"/>
      <c r="K72" s="230">
        <f>IFERROR(_xlfn.XLOOKUP($A72,'Raw Data'!$A:$A,'Raw Data'!$AV:$AV),"")</f>
        <v>0</v>
      </c>
      <c r="L72" s="230">
        <f>IFERROR(_xlfn.XLOOKUP($A72,'Raw Data'!$A:$A,'Raw Data'!$AW:$AW),"")</f>
        <v>0</v>
      </c>
      <c r="M72" s="230">
        <f>IFERROR(_xlfn.XLOOKUP($A72,'Raw Data'!$A:$A,'Raw Data'!$AX:$AX),"")</f>
        <v>0</v>
      </c>
      <c r="N72" s="230">
        <f>IFERROR(_xlfn.XLOOKUP($A72,'Raw Data'!$A:$A,'Raw Data'!$AY:$AY),"")</f>
        <v>0</v>
      </c>
      <c r="O72" s="231">
        <f>IFERROR(1-(SUMIF('Plant BD'!$B:$B,A72,'Plant BD'!$AE:$AE)/(AA72+SUMIF('Plant BD'!$B:$B,A72,'Plant BD'!$AE:$AE))),"")</f>
        <v>0.93357351021657387</v>
      </c>
      <c r="P72" s="231"/>
      <c r="Q72" s="232"/>
      <c r="R72" s="231">
        <f>IFERROR(1-(SUMIF('Grid BD'!$B:$B,$A72,'Grid BD'!$AD:$AD)/($AA72+SUMIF('Grid BD'!$B:$B,$A72,'Grid BD'!AD:AD))),"")</f>
        <v>1</v>
      </c>
      <c r="S72" s="6"/>
      <c r="T72" s="232"/>
      <c r="U72" s="233">
        <f t="shared" si="4"/>
        <v>0.76195289609493289</v>
      </c>
      <c r="V72" s="233"/>
      <c r="W72" s="234">
        <f t="shared" si="6"/>
        <v>0.19803269267433204</v>
      </c>
      <c r="X72" s="227">
        <f>IFERROR(_xlfn.XLOOKUP($A72,'Raw Data'!$A:$A,'Raw Data'!$BA:$BA),"")</f>
        <v>117491</v>
      </c>
      <c r="Y72" s="227">
        <f>IFERROR(_xlfn.XLOOKUP($A72,'Raw Data'!$A:$A,'Raw Data'!BJ:BJ),"")</f>
        <v>116494.60000000545</v>
      </c>
      <c r="Z72" s="227">
        <f>IFERROR(_xlfn.XLOOKUP($A72,'Raw Data'!$A:$A,'Raw Data'!BK:BK),"")</f>
        <v>987.20000000002983</v>
      </c>
      <c r="AA72" s="227">
        <f>IFERROR(_xlfn.XLOOKUP($A72,'Raw Data'!$A:$A,'Raw Data'!BL:BL),"")</f>
        <v>115507.40000000542</v>
      </c>
      <c r="AB72" s="227">
        <f>IFERROR(_xlfn.XLOOKUP($A72,'Raw Data'!$A:$A,'Raw Data'!$H:$H),"")</f>
        <v>24.303100000000001</v>
      </c>
      <c r="AC72" s="145">
        <f>IFERROR(_xlfn.XLOOKUP($D72,'Modelling New'!$D:$D,'Modelling New'!$P:$P),"")</f>
        <v>5.1233333333333331</v>
      </c>
      <c r="AD72" s="227">
        <f>IFERROR(_xlfn.XLOOKUP($D72,'Modelling New'!$D:$D,'Modelling New'!$T:$T)*1000,"")</f>
        <v>91091.690669094809</v>
      </c>
      <c r="AE72" s="234">
        <f>IFERROR(_xlfn.XLOOKUP($D72,'Modelling New'!$D:$D,'Modelling New'!$O:$O),"")</f>
        <v>0.73158446710143066</v>
      </c>
      <c r="AF72" s="234">
        <f>IFERROR(_xlfn.XLOOKUP($D72,'Modelling New'!$D:$D,'Modelling New'!$W:$W),"")</f>
        <v>0.15617296193540262</v>
      </c>
      <c r="AG72" s="234">
        <f>IFERROR(_xlfn.XLOOKUP($D72,'Modelling New'!$D:$D,'Modelling New'!AE:AE),"")</f>
        <v>0.995</v>
      </c>
      <c r="AH72" s="234">
        <v>0.99750000000000005</v>
      </c>
      <c r="AI72" s="6"/>
      <c r="AJ72" s="6"/>
      <c r="AK72" s="6"/>
      <c r="AL72" s="6"/>
      <c r="AM72" s="6"/>
      <c r="AN72" s="231"/>
      <c r="AO72" s="234"/>
      <c r="AP72" s="234"/>
      <c r="AQ72" s="234"/>
      <c r="AR72" s="227">
        <f>IFERROR(_xlfn.XLOOKUP($D72,'Modelling New'!$D:$D,'Modelling New'!$N:$N),"")</f>
        <v>24.303100000000001</v>
      </c>
      <c r="AS72" s="227"/>
    </row>
    <row r="73" spans="1:45" x14ac:dyDescent="0.35">
      <c r="A73" s="226">
        <f t="shared" si="5"/>
        <v>45816</v>
      </c>
      <c r="B73" s="227">
        <f>YEAR(Daily_KPI[[#This Row],[Date]])+IF(MONTH(Daily_KPI[[#This Row],[Date]])&gt;=4,1,0)</f>
        <v>2026</v>
      </c>
      <c r="C73" s="6">
        <f>YEAR(Daily_KPI[[#This Row],[Date]])</f>
        <v>2025</v>
      </c>
      <c r="D73" s="228">
        <f>Daily_KPI[[#This Row],[Date]]-DAY(Daily_KPI[[#This Row],[Date]])+1</f>
        <v>45809</v>
      </c>
      <c r="E73" s="6">
        <f t="shared" si="7"/>
        <v>30</v>
      </c>
      <c r="F73" s="229">
        <f>IFERROR(_xlfn.XLOOKUP($A73,'Raw Data'!$A:$A,'Raw Data'!$BR:$BR),"")</f>
        <v>12.266666666666666</v>
      </c>
      <c r="G73" s="230">
        <f>IFERROR(_xlfn.XLOOKUP($A73,'Raw Data'!$A:$A,'Raw Data'!$AO:$AO),"")</f>
        <v>0</v>
      </c>
      <c r="H73" s="230"/>
      <c r="I73" s="230">
        <f>IFERROR(_xlfn.XLOOKUP($A73,'Raw Data'!$A:$A,'Raw Data'!$AR:$AR),"")</f>
        <v>6.7246372734761106</v>
      </c>
      <c r="J73" s="230"/>
      <c r="K73" s="230">
        <f>IFERROR(_xlfn.XLOOKUP($A73,'Raw Data'!$A:$A,'Raw Data'!$AV:$AV),"")</f>
        <v>0</v>
      </c>
      <c r="L73" s="230">
        <f>IFERROR(_xlfn.XLOOKUP($A73,'Raw Data'!$A:$A,'Raw Data'!$AW:$AW),"")</f>
        <v>0</v>
      </c>
      <c r="M73" s="230">
        <f>IFERROR(_xlfn.XLOOKUP($A73,'Raw Data'!$A:$A,'Raw Data'!$AX:$AX),"")</f>
        <v>0</v>
      </c>
      <c r="N73" s="230">
        <f>IFERROR(_xlfn.XLOOKUP($A73,'Raw Data'!$A:$A,'Raw Data'!$AY:$AY),"")</f>
        <v>0</v>
      </c>
      <c r="O73" s="231">
        <f>IFERROR(1-(SUMIF('Plant BD'!$B:$B,A73,'Plant BD'!$AE:$AE)/(AA73+SUMIF('Plant BD'!$B:$B,A73,'Plant BD'!$AE:$AE))),"")</f>
        <v>0.95411071268398095</v>
      </c>
      <c r="P73" s="231"/>
      <c r="Q73" s="232"/>
      <c r="R73" s="231">
        <f>IFERROR(1-(SUMIF('Grid BD'!$B:$B,$A73,'Grid BD'!$AD:$AD)/($AA73+SUMIF('Grid BD'!$B:$B,$A73,'Grid BD'!AD:AD))),"")</f>
        <v>1</v>
      </c>
      <c r="S73" s="6"/>
      <c r="T73" s="232"/>
      <c r="U73" s="233">
        <f t="shared" si="4"/>
        <v>0.76907336372298407</v>
      </c>
      <c r="V73" s="233"/>
      <c r="W73" s="234">
        <f t="shared" si="6"/>
        <v>0.21548914198871782</v>
      </c>
      <c r="X73" s="227">
        <f>IFERROR(_xlfn.XLOOKUP($A73,'Raw Data'!$A:$A,'Raw Data'!$BA:$BA),"")</f>
        <v>127583</v>
      </c>
      <c r="Y73" s="227">
        <f>IFERROR(_xlfn.XLOOKUP($A73,'Raw Data'!$A:$A,'Raw Data'!BJ:BJ),"")</f>
        <v>126520.49999998417</v>
      </c>
      <c r="Z73" s="227">
        <f>IFERROR(_xlfn.XLOOKUP($A73,'Raw Data'!$A:$A,'Raw Data'!BK:BK),"")</f>
        <v>831.19999999996708</v>
      </c>
      <c r="AA73" s="227">
        <f>IFERROR(_xlfn.XLOOKUP($A73,'Raw Data'!$A:$A,'Raw Data'!BL:BL),"")</f>
        <v>125689.2999999842</v>
      </c>
      <c r="AB73" s="227">
        <f>IFERROR(_xlfn.XLOOKUP($A73,'Raw Data'!$A:$A,'Raw Data'!$H:$H),"")</f>
        <v>24.303100000000001</v>
      </c>
      <c r="AC73" s="145">
        <f>IFERROR(_xlfn.XLOOKUP($D73,'Modelling New'!$D:$D,'Modelling New'!$P:$P),"")</f>
        <v>5.1233333333333331</v>
      </c>
      <c r="AD73" s="227">
        <f>IFERROR(_xlfn.XLOOKUP($D73,'Modelling New'!$D:$D,'Modelling New'!$T:$T)*1000,"")</f>
        <v>91091.690669094809</v>
      </c>
      <c r="AE73" s="234">
        <f>IFERROR(_xlfn.XLOOKUP($D73,'Modelling New'!$D:$D,'Modelling New'!$O:$O),"")</f>
        <v>0.73158446710143066</v>
      </c>
      <c r="AF73" s="234">
        <f>IFERROR(_xlfn.XLOOKUP($D73,'Modelling New'!$D:$D,'Modelling New'!$W:$W),"")</f>
        <v>0.15617296193540262</v>
      </c>
      <c r="AG73" s="234">
        <f>IFERROR(_xlfn.XLOOKUP($D73,'Modelling New'!$D:$D,'Modelling New'!AE:AE),"")</f>
        <v>0.995</v>
      </c>
      <c r="AH73" s="234">
        <v>0.99750000000000005</v>
      </c>
      <c r="AI73" s="6"/>
      <c r="AJ73" s="6"/>
      <c r="AK73" s="6"/>
      <c r="AL73" s="6"/>
      <c r="AM73" s="6"/>
      <c r="AN73" s="231"/>
      <c r="AO73" s="234"/>
      <c r="AP73" s="234"/>
      <c r="AQ73" s="234"/>
      <c r="AR73" s="227">
        <f>IFERROR(_xlfn.XLOOKUP($D73,'Modelling New'!$D:$D,'Modelling New'!$N:$N),"")</f>
        <v>24.303100000000001</v>
      </c>
      <c r="AS73" s="227"/>
    </row>
    <row r="74" spans="1:45" x14ac:dyDescent="0.35">
      <c r="A74" s="226">
        <f t="shared" si="5"/>
        <v>45817</v>
      </c>
      <c r="B74" s="227">
        <f>YEAR(Daily_KPI[[#This Row],[Date]])+IF(MONTH(Daily_KPI[[#This Row],[Date]])&gt;=4,1,0)</f>
        <v>2026</v>
      </c>
      <c r="C74" s="6">
        <f>YEAR(Daily_KPI[[#This Row],[Date]])</f>
        <v>2025</v>
      </c>
      <c r="D74" s="228">
        <f>Daily_KPI[[#This Row],[Date]]-DAY(Daily_KPI[[#This Row],[Date]])+1</f>
        <v>45809</v>
      </c>
      <c r="E74" s="6">
        <f t="shared" si="7"/>
        <v>30</v>
      </c>
      <c r="F74" s="229">
        <f>IFERROR(_xlfn.XLOOKUP($A74,'Raw Data'!$A:$A,'Raw Data'!$BR:$BR),"")</f>
        <v>12.616666666666667</v>
      </c>
      <c r="G74" s="230">
        <f>IFERROR(_xlfn.XLOOKUP($A74,'Raw Data'!$A:$A,'Raw Data'!$AO:$AO),"")</f>
        <v>0</v>
      </c>
      <c r="H74" s="230"/>
      <c r="I74" s="230">
        <f>IFERROR(_xlfn.XLOOKUP($A74,'Raw Data'!$A:$A,'Raw Data'!$AR:$AR),"")</f>
        <v>6.0332562602965396</v>
      </c>
      <c r="J74" s="230"/>
      <c r="K74" s="230">
        <f>IFERROR(_xlfn.XLOOKUP($A74,'Raw Data'!$A:$A,'Raw Data'!$AV:$AV),"")</f>
        <v>0</v>
      </c>
      <c r="L74" s="230">
        <f>IFERROR(_xlfn.XLOOKUP($A74,'Raw Data'!$A:$A,'Raw Data'!$AW:$AW),"")</f>
        <v>0</v>
      </c>
      <c r="M74" s="230">
        <f>IFERROR(_xlfn.XLOOKUP($A74,'Raw Data'!$A:$A,'Raw Data'!$AX:$AX),"")</f>
        <v>0</v>
      </c>
      <c r="N74" s="230">
        <f>IFERROR(_xlfn.XLOOKUP($A74,'Raw Data'!$A:$A,'Raw Data'!$AY:$AY),"")</f>
        <v>0</v>
      </c>
      <c r="O74" s="231">
        <f>IFERROR(1-(SUMIF('Plant BD'!$B:$B,A74,'Plant BD'!$AE:$AE)/(AA74+SUMIF('Plant BD'!$B:$B,A74,'Plant BD'!$AE:$AE))),"")</f>
        <v>0.93419402238519789</v>
      </c>
      <c r="P74" s="231"/>
      <c r="Q74" s="232"/>
      <c r="R74" s="231">
        <f>IFERROR(1-(SUMIF('Grid BD'!$B:$B,$A74,'Grid BD'!$AD:$AD)/($AA74+SUMIF('Grid BD'!$B:$B,$A74,'Grid BD'!AD:AD))),"")</f>
        <v>1</v>
      </c>
      <c r="S74" s="6"/>
      <c r="T74" s="232"/>
      <c r="U74" s="233">
        <f t="shared" si="4"/>
        <v>0.77190715935479193</v>
      </c>
      <c r="V74" s="233"/>
      <c r="W74" s="234">
        <f t="shared" si="6"/>
        <v>0.19404640423104236</v>
      </c>
      <c r="X74" s="227">
        <f>IFERROR(_xlfn.XLOOKUP($A74,'Raw Data'!$A:$A,'Raw Data'!$BA:$BA),"")</f>
        <v>114801</v>
      </c>
      <c r="Y74" s="227">
        <f>IFERROR(_xlfn.XLOOKUP($A74,'Raw Data'!$A:$A,'Raw Data'!BJ:BJ),"")</f>
        <v>114082.50000001863</v>
      </c>
      <c r="Z74" s="227">
        <f>IFERROR(_xlfn.XLOOKUP($A74,'Raw Data'!$A:$A,'Raw Data'!BK:BK),"")</f>
        <v>900.19999999992706</v>
      </c>
      <c r="AA74" s="227">
        <f>IFERROR(_xlfn.XLOOKUP($A74,'Raw Data'!$A:$A,'Raw Data'!BL:BL),"")</f>
        <v>113182.3000000187</v>
      </c>
      <c r="AB74" s="227">
        <f>IFERROR(_xlfn.XLOOKUP($A74,'Raw Data'!$A:$A,'Raw Data'!$H:$H),"")</f>
        <v>24.303100000000001</v>
      </c>
      <c r="AC74" s="145">
        <f>IFERROR(_xlfn.XLOOKUP($D74,'Modelling New'!$D:$D,'Modelling New'!$P:$P),"")</f>
        <v>5.1233333333333331</v>
      </c>
      <c r="AD74" s="227">
        <f>IFERROR(_xlfn.XLOOKUP($D74,'Modelling New'!$D:$D,'Modelling New'!$T:$T)*1000,"")</f>
        <v>91091.690669094809</v>
      </c>
      <c r="AE74" s="234">
        <f>IFERROR(_xlfn.XLOOKUP($D74,'Modelling New'!$D:$D,'Modelling New'!$O:$O),"")</f>
        <v>0.73158446710143066</v>
      </c>
      <c r="AF74" s="234">
        <f>IFERROR(_xlfn.XLOOKUP($D74,'Modelling New'!$D:$D,'Modelling New'!$W:$W),"")</f>
        <v>0.15617296193540262</v>
      </c>
      <c r="AG74" s="234">
        <f>IFERROR(_xlfn.XLOOKUP($D74,'Modelling New'!$D:$D,'Modelling New'!AE:AE),"")</f>
        <v>0.995</v>
      </c>
      <c r="AH74" s="234">
        <v>0.99750000000000005</v>
      </c>
      <c r="AI74" s="6"/>
      <c r="AJ74" s="6"/>
      <c r="AK74" s="6"/>
      <c r="AL74" s="6"/>
      <c r="AM74" s="6"/>
      <c r="AN74" s="231"/>
      <c r="AO74" s="234"/>
      <c r="AP74" s="234"/>
      <c r="AQ74" s="234"/>
      <c r="AR74" s="227">
        <f>IFERROR(_xlfn.XLOOKUP($D74,'Modelling New'!$D:$D,'Modelling New'!$N:$N),"")</f>
        <v>24.303100000000001</v>
      </c>
      <c r="AS74" s="227"/>
    </row>
    <row r="75" spans="1:45" x14ac:dyDescent="0.35">
      <c r="A75" s="226">
        <f t="shared" si="5"/>
        <v>45818</v>
      </c>
      <c r="B75" s="227">
        <f>YEAR(Daily_KPI[[#This Row],[Date]])+IF(MONTH(Daily_KPI[[#This Row],[Date]])&gt;=4,1,0)</f>
        <v>2026</v>
      </c>
      <c r="C75" s="6">
        <f>YEAR(Daily_KPI[[#This Row],[Date]])</f>
        <v>2025</v>
      </c>
      <c r="D75" s="228">
        <f>Daily_KPI[[#This Row],[Date]]-DAY(Daily_KPI[[#This Row],[Date]])+1</f>
        <v>45809</v>
      </c>
      <c r="E75" s="6">
        <f t="shared" si="7"/>
        <v>30</v>
      </c>
      <c r="F75" s="229">
        <f>IFERROR(_xlfn.XLOOKUP($A75,'Raw Data'!$A:$A,'Raw Data'!$BR:$BR),"")</f>
        <v>12.366666666666665</v>
      </c>
      <c r="G75" s="230">
        <f>IFERROR(_xlfn.XLOOKUP($A75,'Raw Data'!$A:$A,'Raw Data'!$AO:$AO),"")</f>
        <v>0</v>
      </c>
      <c r="H75" s="230"/>
      <c r="I75" s="230">
        <f>IFERROR(_xlfn.XLOOKUP($A75,'Raw Data'!$A:$A,'Raw Data'!$AR:$AR),"")</f>
        <v>2.2898965815485992</v>
      </c>
      <c r="J75" s="230"/>
      <c r="K75" s="230">
        <f>IFERROR(_xlfn.XLOOKUP($A75,'Raw Data'!$A:$A,'Raw Data'!$AV:$AV),"")</f>
        <v>0</v>
      </c>
      <c r="L75" s="230">
        <f>IFERROR(_xlfn.XLOOKUP($A75,'Raw Data'!$A:$A,'Raw Data'!$AW:$AW),"")</f>
        <v>0</v>
      </c>
      <c r="M75" s="230">
        <f>IFERROR(_xlfn.XLOOKUP($A75,'Raw Data'!$A:$A,'Raw Data'!$AX:$AX),"")</f>
        <v>0</v>
      </c>
      <c r="N75" s="230">
        <f>IFERROR(_xlfn.XLOOKUP($A75,'Raw Data'!$A:$A,'Raw Data'!$AY:$AY),"")</f>
        <v>0</v>
      </c>
      <c r="O75" s="231">
        <f>IFERROR(1-(SUMIF('Plant BD'!$B:$B,A75,'Plant BD'!$AE:$AE)/(AA75+SUMIF('Plant BD'!$B:$B,A75,'Plant BD'!$AE:$AE))),"")</f>
        <v>0.95593850583558915</v>
      </c>
      <c r="P75" s="231"/>
      <c r="Q75" s="232"/>
      <c r="R75" s="231">
        <f>IFERROR(1-(SUMIF('Grid BD'!$B:$B,$A75,'Grid BD'!$AD:$AD)/($AA75+SUMIF('Grid BD'!$B:$B,$A75,'Grid BD'!AD:AD))),"")</f>
        <v>1</v>
      </c>
      <c r="S75" s="6"/>
      <c r="T75" s="232"/>
      <c r="U75" s="233">
        <f t="shared" si="4"/>
        <v>0.80229519985379227</v>
      </c>
      <c r="V75" s="233"/>
      <c r="W75" s="234">
        <f t="shared" si="6"/>
        <v>7.6548876480752051E-2</v>
      </c>
      <c r="X75" s="227">
        <f>IFERROR(_xlfn.XLOOKUP($A75,'Raw Data'!$A:$A,'Raw Data'!$BA:$BA),"")</f>
        <v>45003</v>
      </c>
      <c r="Y75" s="227">
        <f>IFERROR(_xlfn.XLOOKUP($A75,'Raw Data'!$A:$A,'Raw Data'!BJ:BJ),"")</f>
        <v>45582.399999984773</v>
      </c>
      <c r="Z75" s="227">
        <f>IFERROR(_xlfn.XLOOKUP($A75,'Raw Data'!$A:$A,'Raw Data'!BK:BK),"")</f>
        <v>933.400000000006</v>
      </c>
      <c r="AA75" s="227">
        <f>IFERROR(_xlfn.XLOOKUP($A75,'Raw Data'!$A:$A,'Raw Data'!BL:BL),"")</f>
        <v>44648.999999984764</v>
      </c>
      <c r="AB75" s="227">
        <f>IFERROR(_xlfn.XLOOKUP($A75,'Raw Data'!$A:$A,'Raw Data'!$H:$H),"")</f>
        <v>24.303100000000001</v>
      </c>
      <c r="AC75" s="145">
        <f>IFERROR(_xlfn.XLOOKUP($D75,'Modelling New'!$D:$D,'Modelling New'!$P:$P),"")</f>
        <v>5.1233333333333331</v>
      </c>
      <c r="AD75" s="227">
        <f>IFERROR(_xlfn.XLOOKUP($D75,'Modelling New'!$D:$D,'Modelling New'!$T:$T)*1000,"")</f>
        <v>91091.690669094809</v>
      </c>
      <c r="AE75" s="234">
        <f>IFERROR(_xlfn.XLOOKUP($D75,'Modelling New'!$D:$D,'Modelling New'!$O:$O),"")</f>
        <v>0.73158446710143066</v>
      </c>
      <c r="AF75" s="234">
        <f>IFERROR(_xlfn.XLOOKUP($D75,'Modelling New'!$D:$D,'Modelling New'!$W:$W),"")</f>
        <v>0.15617296193540262</v>
      </c>
      <c r="AG75" s="234">
        <f>IFERROR(_xlfn.XLOOKUP($D75,'Modelling New'!$D:$D,'Modelling New'!AE:AE),"")</f>
        <v>0.995</v>
      </c>
      <c r="AH75" s="234">
        <v>0.99750000000000005</v>
      </c>
      <c r="AI75" s="6"/>
      <c r="AJ75" s="6"/>
      <c r="AK75" s="6"/>
      <c r="AL75" s="6"/>
      <c r="AM75" s="6"/>
      <c r="AN75" s="231"/>
      <c r="AO75" s="234"/>
      <c r="AP75" s="234"/>
      <c r="AQ75" s="234"/>
      <c r="AR75" s="227">
        <f>IFERROR(_xlfn.XLOOKUP($D75,'Modelling New'!$D:$D,'Modelling New'!$N:$N),"")</f>
        <v>24.303100000000001</v>
      </c>
      <c r="AS75" s="227"/>
    </row>
    <row r="76" spans="1:45" x14ac:dyDescent="0.35">
      <c r="A76" s="226">
        <f t="shared" si="5"/>
        <v>45819</v>
      </c>
      <c r="B76" s="227">
        <f>YEAR(Daily_KPI[[#This Row],[Date]])+IF(MONTH(Daily_KPI[[#This Row],[Date]])&gt;=4,1,0)</f>
        <v>2026</v>
      </c>
      <c r="C76" s="6">
        <f>YEAR(Daily_KPI[[#This Row],[Date]])</f>
        <v>2025</v>
      </c>
      <c r="D76" s="228">
        <f>Daily_KPI[[#This Row],[Date]]-DAY(Daily_KPI[[#This Row],[Date]])+1</f>
        <v>45809</v>
      </c>
      <c r="E76" s="6">
        <f t="shared" si="7"/>
        <v>30</v>
      </c>
      <c r="F76" s="229">
        <f>IFERROR(_xlfn.XLOOKUP($A76,'Raw Data'!$A:$A,'Raw Data'!$BR:$BR),"")</f>
        <v>11.633333333333333</v>
      </c>
      <c r="G76" s="230">
        <f>IFERROR(_xlfn.XLOOKUP($A76,'Raw Data'!$A:$A,'Raw Data'!$AO:$AO),"")</f>
        <v>0</v>
      </c>
      <c r="H76" s="230"/>
      <c r="I76" s="230">
        <f>IFERROR(_xlfn.XLOOKUP($A76,'Raw Data'!$A:$A,'Raw Data'!$AR:$AR),"")</f>
        <v>1.7171079901153212</v>
      </c>
      <c r="J76" s="230"/>
      <c r="K76" s="230">
        <f>IFERROR(_xlfn.XLOOKUP($A76,'Raw Data'!$A:$A,'Raw Data'!$AV:$AV),"")</f>
        <v>0</v>
      </c>
      <c r="L76" s="230">
        <f>IFERROR(_xlfn.XLOOKUP($A76,'Raw Data'!$A:$A,'Raw Data'!$AW:$AW),"")</f>
        <v>0</v>
      </c>
      <c r="M76" s="230">
        <f>IFERROR(_xlfn.XLOOKUP($A76,'Raw Data'!$A:$A,'Raw Data'!$AX:$AX),"")</f>
        <v>0</v>
      </c>
      <c r="N76" s="230">
        <f>IFERROR(_xlfn.XLOOKUP($A76,'Raw Data'!$A:$A,'Raw Data'!$AY:$AY),"")</f>
        <v>0</v>
      </c>
      <c r="O76" s="231">
        <f>IFERROR(1-(SUMIF('Plant BD'!$B:$B,A76,'Plant BD'!$AE:$AE)/(AA76+SUMIF('Plant BD'!$B:$B,A76,'Plant BD'!$AE:$AE))),"")</f>
        <v>0.95566329446302056</v>
      </c>
      <c r="P76" s="231"/>
      <c r="Q76" s="232"/>
      <c r="R76" s="231">
        <f>IFERROR(1-(SUMIF('Grid BD'!$B:$B,$A76,'Grid BD'!$AD:$AD)/($AA76+SUMIF('Grid BD'!$B:$B,$A76,'Grid BD'!AD:AD))),"")</f>
        <v>1</v>
      </c>
      <c r="S76" s="6"/>
      <c r="T76" s="232"/>
      <c r="U76" s="233">
        <f t="shared" si="4"/>
        <v>0.80115650690793361</v>
      </c>
      <c r="V76" s="233"/>
      <c r="W76" s="234">
        <f t="shared" si="6"/>
        <v>5.7319676639353882E-2</v>
      </c>
      <c r="X76" s="227">
        <f>IFERROR(_xlfn.XLOOKUP($A76,'Raw Data'!$A:$A,'Raw Data'!$BA:$BA),"")</f>
        <v>33831</v>
      </c>
      <c r="Y76" s="227">
        <f>IFERROR(_xlfn.XLOOKUP($A76,'Raw Data'!$A:$A,'Raw Data'!BJ:BJ),"")</f>
        <v>34366.700000013225</v>
      </c>
      <c r="Z76" s="227">
        <f>IFERROR(_xlfn.XLOOKUP($A76,'Raw Data'!$A:$A,'Raw Data'!BK:BK),"")</f>
        <v>933.60000000006949</v>
      </c>
      <c r="AA76" s="227">
        <f>IFERROR(_xlfn.XLOOKUP($A76,'Raw Data'!$A:$A,'Raw Data'!BL:BL),"")</f>
        <v>33433.100000013153</v>
      </c>
      <c r="AB76" s="227">
        <f>IFERROR(_xlfn.XLOOKUP($A76,'Raw Data'!$A:$A,'Raw Data'!$H:$H),"")</f>
        <v>24.303100000000001</v>
      </c>
      <c r="AC76" s="145">
        <f>IFERROR(_xlfn.XLOOKUP($D76,'Modelling New'!$D:$D,'Modelling New'!$P:$P),"")</f>
        <v>5.1233333333333331</v>
      </c>
      <c r="AD76" s="227">
        <f>IFERROR(_xlfn.XLOOKUP($D76,'Modelling New'!$D:$D,'Modelling New'!$T:$T)*1000,"")</f>
        <v>91091.690669094809</v>
      </c>
      <c r="AE76" s="234">
        <f>IFERROR(_xlfn.XLOOKUP($D76,'Modelling New'!$D:$D,'Modelling New'!$O:$O),"")</f>
        <v>0.73158446710143066</v>
      </c>
      <c r="AF76" s="234">
        <f>IFERROR(_xlfn.XLOOKUP($D76,'Modelling New'!$D:$D,'Modelling New'!$W:$W),"")</f>
        <v>0.15617296193540262</v>
      </c>
      <c r="AG76" s="234">
        <f>IFERROR(_xlfn.XLOOKUP($D76,'Modelling New'!$D:$D,'Modelling New'!AE:AE),"")</f>
        <v>0.995</v>
      </c>
      <c r="AH76" s="234">
        <v>0.99750000000000005</v>
      </c>
      <c r="AI76" s="6"/>
      <c r="AJ76" s="6"/>
      <c r="AK76" s="6"/>
      <c r="AL76" s="6"/>
      <c r="AM76" s="6"/>
      <c r="AN76" s="231"/>
      <c r="AO76" s="234"/>
      <c r="AP76" s="234"/>
      <c r="AQ76" s="234"/>
      <c r="AR76" s="227">
        <f>IFERROR(_xlfn.XLOOKUP($D76,'Modelling New'!$D:$D,'Modelling New'!$N:$N),"")</f>
        <v>24.303100000000001</v>
      </c>
      <c r="AS76" s="227"/>
    </row>
    <row r="77" spans="1:45" x14ac:dyDescent="0.35">
      <c r="A77" s="226">
        <f t="shared" si="5"/>
        <v>45820</v>
      </c>
      <c r="B77" s="227">
        <f>YEAR(Daily_KPI[[#This Row],[Date]])+IF(MONTH(Daily_KPI[[#This Row],[Date]])&gt;=4,1,0)</f>
        <v>2026</v>
      </c>
      <c r="C77" s="6">
        <f>YEAR(Daily_KPI[[#This Row],[Date]])</f>
        <v>2025</v>
      </c>
      <c r="D77" s="228">
        <f>Daily_KPI[[#This Row],[Date]]-DAY(Daily_KPI[[#This Row],[Date]])+1</f>
        <v>45809</v>
      </c>
      <c r="E77" s="6">
        <f t="shared" si="7"/>
        <v>30</v>
      </c>
      <c r="F77" s="229">
        <f>IFERROR(_xlfn.XLOOKUP($A77,'Raw Data'!$A:$A,'Raw Data'!$BR:$BR),"")</f>
        <v>11.100000000000001</v>
      </c>
      <c r="G77" s="230">
        <f>IFERROR(_xlfn.XLOOKUP($A77,'Raw Data'!$A:$A,'Raw Data'!$AO:$AO),"")</f>
        <v>0</v>
      </c>
      <c r="H77" s="230"/>
      <c r="I77" s="230">
        <f>IFERROR(_xlfn.XLOOKUP($A77,'Raw Data'!$A:$A,'Raw Data'!$AR:$AR),"")</f>
        <v>4.1717452635914327</v>
      </c>
      <c r="J77" s="230"/>
      <c r="K77" s="230">
        <f>IFERROR(_xlfn.XLOOKUP($A77,'Raw Data'!$A:$A,'Raw Data'!$AV:$AV),"")</f>
        <v>0</v>
      </c>
      <c r="L77" s="230">
        <f>IFERROR(_xlfn.XLOOKUP($A77,'Raw Data'!$A:$A,'Raw Data'!$AW:$AW),"")</f>
        <v>0</v>
      </c>
      <c r="M77" s="230">
        <f>IFERROR(_xlfn.XLOOKUP($A77,'Raw Data'!$A:$A,'Raw Data'!$AX:$AX),"")</f>
        <v>0</v>
      </c>
      <c r="N77" s="230">
        <f>IFERROR(_xlfn.XLOOKUP($A77,'Raw Data'!$A:$A,'Raw Data'!$AY:$AY),"")</f>
        <v>0</v>
      </c>
      <c r="O77" s="231">
        <f>IFERROR(1-(SUMIF('Plant BD'!$B:$B,A77,'Plant BD'!$AE:$AE)/(AA77+SUMIF('Plant BD'!$B:$B,A77,'Plant BD'!$AE:$AE))),"")</f>
        <v>0.79504453539294206</v>
      </c>
      <c r="P77" s="231"/>
      <c r="Q77" s="232"/>
      <c r="R77" s="231">
        <f>IFERROR(1-(SUMIF('Grid BD'!$B:$B,$A77,'Grid BD'!$AD:$AD)/($AA77+SUMIF('Grid BD'!$B:$B,$A77,'Grid BD'!AD:AD))),"")</f>
        <v>0.92558780112281924</v>
      </c>
      <c r="S77" s="6"/>
      <c r="T77" s="232"/>
      <c r="U77" s="233">
        <f t="shared" si="4"/>
        <v>0.63025944659378774</v>
      </c>
      <c r="V77" s="233"/>
      <c r="W77" s="234">
        <f t="shared" si="6"/>
        <v>0.10955341088172464</v>
      </c>
      <c r="X77" s="227">
        <f>IFERROR(_xlfn.XLOOKUP($A77,'Raw Data'!$A:$A,'Raw Data'!$BA:$BA),"")</f>
        <v>64607</v>
      </c>
      <c r="Y77" s="227">
        <f>IFERROR(_xlfn.XLOOKUP($A77,'Raw Data'!$A:$A,'Raw Data'!BJ:BJ),"")</f>
        <v>64830.699999991339</v>
      </c>
      <c r="Z77" s="227">
        <f>IFERROR(_xlfn.XLOOKUP($A77,'Raw Data'!$A:$A,'Raw Data'!BK:BK),"")</f>
        <v>930.99999999992633</v>
      </c>
      <c r="AA77" s="227">
        <f>IFERROR(_xlfn.XLOOKUP($A77,'Raw Data'!$A:$A,'Raw Data'!BL:BL),"")</f>
        <v>63899.699999991411</v>
      </c>
      <c r="AB77" s="227">
        <f>IFERROR(_xlfn.XLOOKUP($A77,'Raw Data'!$A:$A,'Raw Data'!$H:$H),"")</f>
        <v>24.303100000000001</v>
      </c>
      <c r="AC77" s="145">
        <f>IFERROR(_xlfn.XLOOKUP($D77,'Modelling New'!$D:$D,'Modelling New'!$P:$P),"")</f>
        <v>5.1233333333333331</v>
      </c>
      <c r="AD77" s="227">
        <f>IFERROR(_xlfn.XLOOKUP($D77,'Modelling New'!$D:$D,'Modelling New'!$T:$T)*1000,"")</f>
        <v>91091.690669094809</v>
      </c>
      <c r="AE77" s="234">
        <f>IFERROR(_xlfn.XLOOKUP($D77,'Modelling New'!$D:$D,'Modelling New'!$O:$O),"")</f>
        <v>0.73158446710143066</v>
      </c>
      <c r="AF77" s="234">
        <f>IFERROR(_xlfn.XLOOKUP($D77,'Modelling New'!$D:$D,'Modelling New'!$W:$W),"")</f>
        <v>0.15617296193540262</v>
      </c>
      <c r="AG77" s="234">
        <f>IFERROR(_xlfn.XLOOKUP($D77,'Modelling New'!$D:$D,'Modelling New'!AE:AE),"")</f>
        <v>0.995</v>
      </c>
      <c r="AH77" s="234">
        <v>0.99750000000000005</v>
      </c>
      <c r="AI77" s="6"/>
      <c r="AJ77" s="6"/>
      <c r="AK77" s="6"/>
      <c r="AL77" s="6"/>
      <c r="AM77" s="6"/>
      <c r="AN77" s="231"/>
      <c r="AO77" s="234"/>
      <c r="AP77" s="234"/>
      <c r="AQ77" s="234"/>
      <c r="AR77" s="227">
        <f>IFERROR(_xlfn.XLOOKUP($D77,'Modelling New'!$D:$D,'Modelling New'!$N:$N),"")</f>
        <v>24.303100000000001</v>
      </c>
      <c r="AS77" s="227"/>
    </row>
    <row r="78" spans="1:45" x14ac:dyDescent="0.35">
      <c r="A78" s="226">
        <f t="shared" si="5"/>
        <v>45821</v>
      </c>
      <c r="B78" s="227">
        <f>YEAR(Daily_KPI[[#This Row],[Date]])+IF(MONTH(Daily_KPI[[#This Row],[Date]])&gt;=4,1,0)</f>
        <v>2026</v>
      </c>
      <c r="C78" s="6">
        <f>YEAR(Daily_KPI[[#This Row],[Date]])</f>
        <v>2025</v>
      </c>
      <c r="D78" s="228">
        <f>Daily_KPI[[#This Row],[Date]]-DAY(Daily_KPI[[#This Row],[Date]])+1</f>
        <v>45809</v>
      </c>
      <c r="E78" s="6">
        <f t="shared" si="7"/>
        <v>30</v>
      </c>
      <c r="F78" s="229">
        <f>IFERROR(_xlfn.XLOOKUP($A78,'Raw Data'!$A:$A,'Raw Data'!$BR:$BR),"")</f>
        <v>12.350000000000001</v>
      </c>
      <c r="G78" s="230">
        <f>IFERROR(_xlfn.XLOOKUP($A78,'Raw Data'!$A:$A,'Raw Data'!$AO:$AO),"")</f>
        <v>0</v>
      </c>
      <c r="H78" s="230"/>
      <c r="I78" s="230">
        <f>IFERROR(_xlfn.XLOOKUP($A78,'Raw Data'!$A:$A,'Raw Data'!$AR:$AR),"")</f>
        <v>4.3687764003294891</v>
      </c>
      <c r="J78" s="230"/>
      <c r="K78" s="230">
        <f>IFERROR(_xlfn.XLOOKUP($A78,'Raw Data'!$A:$A,'Raw Data'!$AV:$AV),"")</f>
        <v>0</v>
      </c>
      <c r="L78" s="230">
        <f>IFERROR(_xlfn.XLOOKUP($A78,'Raw Data'!$A:$A,'Raw Data'!$AW:$AW),"")</f>
        <v>0</v>
      </c>
      <c r="M78" s="230">
        <f>IFERROR(_xlfn.XLOOKUP($A78,'Raw Data'!$A:$A,'Raw Data'!$AX:$AX),"")</f>
        <v>0</v>
      </c>
      <c r="N78" s="230">
        <f>IFERROR(_xlfn.XLOOKUP($A78,'Raw Data'!$A:$A,'Raw Data'!$AY:$AY),"")</f>
        <v>0</v>
      </c>
      <c r="O78" s="231">
        <f>IFERROR(1-(SUMIF('Plant BD'!$B:$B,A78,'Plant BD'!$AE:$AE)/(AA78+SUMIF('Plant BD'!$B:$B,A78,'Plant BD'!$AE:$AE))),"")</f>
        <v>0.91158859698180872</v>
      </c>
      <c r="P78" s="231"/>
      <c r="Q78" s="232"/>
      <c r="R78" s="231">
        <f>IFERROR(1-(SUMIF('Grid BD'!$B:$B,$A78,'Grid BD'!$AD:$AD)/($AA78+SUMIF('Grid BD'!$B:$B,$A78,'Grid BD'!AD:AD))),"")</f>
        <v>0.97001969726637727</v>
      </c>
      <c r="S78" s="6"/>
      <c r="T78" s="232"/>
      <c r="U78" s="233">
        <f t="shared" si="4"/>
        <v>0.70454847234316587</v>
      </c>
      <c r="V78" s="233"/>
      <c r="W78" s="234">
        <f t="shared" si="6"/>
        <v>0.12825061411920902</v>
      </c>
      <c r="X78" s="227">
        <f>IFERROR(_xlfn.XLOOKUP($A78,'Raw Data'!$A:$A,'Raw Data'!$BA:$BA),"")</f>
        <v>75838</v>
      </c>
      <c r="Y78" s="227">
        <f>IFERROR(_xlfn.XLOOKUP($A78,'Raw Data'!$A:$A,'Raw Data'!BJ:BJ),"")</f>
        <v>75770.500000013271</v>
      </c>
      <c r="Z78" s="227">
        <f>IFERROR(_xlfn.XLOOKUP($A78,'Raw Data'!$A:$A,'Raw Data'!BK:BK),"")</f>
        <v>965.20000000009532</v>
      </c>
      <c r="AA78" s="227">
        <f>IFERROR(_xlfn.XLOOKUP($A78,'Raw Data'!$A:$A,'Raw Data'!BL:BL),"")</f>
        <v>74805.300000013172</v>
      </c>
      <c r="AB78" s="227">
        <f>IFERROR(_xlfn.XLOOKUP($A78,'Raw Data'!$A:$A,'Raw Data'!$H:$H),"")</f>
        <v>24.303100000000001</v>
      </c>
      <c r="AC78" s="145">
        <f>IFERROR(_xlfn.XLOOKUP($D78,'Modelling New'!$D:$D,'Modelling New'!$P:$P),"")</f>
        <v>5.1233333333333331</v>
      </c>
      <c r="AD78" s="227">
        <f>IFERROR(_xlfn.XLOOKUP($D78,'Modelling New'!$D:$D,'Modelling New'!$T:$T)*1000,"")</f>
        <v>91091.690669094809</v>
      </c>
      <c r="AE78" s="234">
        <f>IFERROR(_xlfn.XLOOKUP($D78,'Modelling New'!$D:$D,'Modelling New'!$O:$O),"")</f>
        <v>0.73158446710143066</v>
      </c>
      <c r="AF78" s="234">
        <f>IFERROR(_xlfn.XLOOKUP($D78,'Modelling New'!$D:$D,'Modelling New'!$W:$W),"")</f>
        <v>0.15617296193540262</v>
      </c>
      <c r="AG78" s="234">
        <f>IFERROR(_xlfn.XLOOKUP($D78,'Modelling New'!$D:$D,'Modelling New'!AE:AE),"")</f>
        <v>0.995</v>
      </c>
      <c r="AH78" s="234">
        <v>0.99750000000000005</v>
      </c>
      <c r="AI78" s="6"/>
      <c r="AJ78" s="6"/>
      <c r="AK78" s="6"/>
      <c r="AL78" s="6"/>
      <c r="AM78" s="6"/>
      <c r="AN78" s="231"/>
      <c r="AO78" s="234"/>
      <c r="AP78" s="234"/>
      <c r="AQ78" s="234"/>
      <c r="AR78" s="227">
        <f>IFERROR(_xlfn.XLOOKUP($D78,'Modelling New'!$D:$D,'Modelling New'!$N:$N),"")</f>
        <v>24.303100000000001</v>
      </c>
      <c r="AS78" s="227"/>
    </row>
    <row r="79" spans="1:45" x14ac:dyDescent="0.35">
      <c r="A79" s="226">
        <f t="shared" si="5"/>
        <v>45822</v>
      </c>
      <c r="B79" s="227">
        <f>YEAR(Daily_KPI[[#This Row],[Date]])+IF(MONTH(Daily_KPI[[#This Row],[Date]])&gt;=4,1,0)</f>
        <v>2026</v>
      </c>
      <c r="C79" s="6">
        <f>YEAR(Daily_KPI[[#This Row],[Date]])</f>
        <v>2025</v>
      </c>
      <c r="D79" s="228">
        <f>Daily_KPI[[#This Row],[Date]]-DAY(Daily_KPI[[#This Row],[Date]])+1</f>
        <v>45809</v>
      </c>
      <c r="E79" s="6">
        <f t="shared" si="7"/>
        <v>30</v>
      </c>
      <c r="F79" s="229">
        <f>IFERROR(_xlfn.XLOOKUP($A79,'Raw Data'!$A:$A,'Raw Data'!$BR:$BR),"")</f>
        <v>12.450000000000001</v>
      </c>
      <c r="G79" s="230">
        <f>IFERROR(_xlfn.XLOOKUP($A79,'Raw Data'!$A:$A,'Raw Data'!$AO:$AO),"")</f>
        <v>0</v>
      </c>
      <c r="H79" s="230"/>
      <c r="I79" s="230">
        <f>IFERROR(_xlfn.XLOOKUP($A79,'Raw Data'!$A:$A,'Raw Data'!$AR:$AR),"")</f>
        <v>5.3531399917627676</v>
      </c>
      <c r="J79" s="230"/>
      <c r="K79" s="230">
        <f>IFERROR(_xlfn.XLOOKUP($A79,'Raw Data'!$A:$A,'Raw Data'!$AV:$AV),"")</f>
        <v>0</v>
      </c>
      <c r="L79" s="230">
        <f>IFERROR(_xlfn.XLOOKUP($A79,'Raw Data'!$A:$A,'Raw Data'!$AW:$AW),"")</f>
        <v>0</v>
      </c>
      <c r="M79" s="230">
        <f>IFERROR(_xlfn.XLOOKUP($A79,'Raw Data'!$A:$A,'Raw Data'!$AX:$AX),"")</f>
        <v>0</v>
      </c>
      <c r="N79" s="230">
        <f>IFERROR(_xlfn.XLOOKUP($A79,'Raw Data'!$A:$A,'Raw Data'!$AY:$AY),"")</f>
        <v>0</v>
      </c>
      <c r="O79" s="231">
        <f>IFERROR(1-(SUMIF('Plant BD'!$B:$B,A79,'Plant BD'!$AE:$AE)/(AA79+SUMIF('Plant BD'!$B:$B,A79,'Plant BD'!$AE:$AE))),"")</f>
        <v>0.86182058310895027</v>
      </c>
      <c r="P79" s="231"/>
      <c r="Q79" s="232"/>
      <c r="R79" s="231">
        <f>IFERROR(1-(SUMIF('Grid BD'!$B:$B,$A79,'Grid BD'!$AD:$AD)/($AA79+SUMIF('Grid BD'!$B:$B,$A79,'Grid BD'!AD:AD))),"")</f>
        <v>0.94052756246834746</v>
      </c>
      <c r="S79" s="6"/>
      <c r="T79" s="232"/>
      <c r="U79" s="233">
        <f t="shared" si="4"/>
        <v>0.66753577355042304</v>
      </c>
      <c r="V79" s="233"/>
      <c r="W79" s="234">
        <f t="shared" si="6"/>
        <v>0.14889218522187767</v>
      </c>
      <c r="X79" s="227">
        <f>IFERROR(_xlfn.XLOOKUP($A79,'Raw Data'!$A:$A,'Raw Data'!$BA:$BA),"")</f>
        <v>88061</v>
      </c>
      <c r="Y79" s="227">
        <f>IFERROR(_xlfn.XLOOKUP($A79,'Raw Data'!$A:$A,'Raw Data'!BJ:BJ),"")</f>
        <v>87669.299999979557</v>
      </c>
      <c r="Z79" s="227">
        <f>IFERROR(_xlfn.XLOOKUP($A79,'Raw Data'!$A:$A,'Raw Data'!BK:BK),"")</f>
        <v>824.29999999999382</v>
      </c>
      <c r="AA79" s="227">
        <f>IFERROR(_xlfn.XLOOKUP($A79,'Raw Data'!$A:$A,'Raw Data'!BL:BL),"")</f>
        <v>86844.999999979569</v>
      </c>
      <c r="AB79" s="227">
        <f>IFERROR(_xlfn.XLOOKUP($A79,'Raw Data'!$A:$A,'Raw Data'!$H:$H),"")</f>
        <v>24.303100000000001</v>
      </c>
      <c r="AC79" s="145">
        <f>IFERROR(_xlfn.XLOOKUP($D79,'Modelling New'!$D:$D,'Modelling New'!$P:$P),"")</f>
        <v>5.1233333333333331</v>
      </c>
      <c r="AD79" s="227">
        <f>IFERROR(_xlfn.XLOOKUP($D79,'Modelling New'!$D:$D,'Modelling New'!$T:$T)*1000,"")</f>
        <v>91091.690669094809</v>
      </c>
      <c r="AE79" s="234">
        <f>IFERROR(_xlfn.XLOOKUP($D79,'Modelling New'!$D:$D,'Modelling New'!$O:$O),"")</f>
        <v>0.73158446710143066</v>
      </c>
      <c r="AF79" s="234">
        <f>IFERROR(_xlfn.XLOOKUP($D79,'Modelling New'!$D:$D,'Modelling New'!$W:$W),"")</f>
        <v>0.15617296193540262</v>
      </c>
      <c r="AG79" s="234">
        <f>IFERROR(_xlfn.XLOOKUP($D79,'Modelling New'!$D:$D,'Modelling New'!AE:AE),"")</f>
        <v>0.995</v>
      </c>
      <c r="AH79" s="234">
        <v>0.99750000000000005</v>
      </c>
      <c r="AI79" s="6"/>
      <c r="AJ79" s="6"/>
      <c r="AK79" s="6"/>
      <c r="AL79" s="6"/>
      <c r="AM79" s="6"/>
      <c r="AN79" s="231"/>
      <c r="AO79" s="234"/>
      <c r="AP79" s="234"/>
      <c r="AQ79" s="234"/>
      <c r="AR79" s="227">
        <f>IFERROR(_xlfn.XLOOKUP($D79,'Modelling New'!$D:$D,'Modelling New'!$N:$N),"")</f>
        <v>24.303100000000001</v>
      </c>
      <c r="AS79" s="227"/>
    </row>
    <row r="80" spans="1:45" x14ac:dyDescent="0.35">
      <c r="A80" s="226">
        <f t="shared" si="5"/>
        <v>45823</v>
      </c>
      <c r="B80" s="227">
        <f>YEAR(Daily_KPI[[#This Row],[Date]])+IF(MONTH(Daily_KPI[[#This Row],[Date]])&gt;=4,1,0)</f>
        <v>2026</v>
      </c>
      <c r="C80" s="6">
        <f>YEAR(Daily_KPI[[#This Row],[Date]])</f>
        <v>2025</v>
      </c>
      <c r="D80" s="228">
        <f>Daily_KPI[[#This Row],[Date]]-DAY(Daily_KPI[[#This Row],[Date]])+1</f>
        <v>45809</v>
      </c>
      <c r="E80" s="6">
        <f t="shared" si="7"/>
        <v>30</v>
      </c>
      <c r="F80" s="229">
        <f>IFERROR(_xlfn.XLOOKUP($A80,'Raw Data'!$A:$A,'Raw Data'!$BR:$BR),"")</f>
        <v>12.483333333333334</v>
      </c>
      <c r="G80" s="230">
        <f>IFERROR(_xlfn.XLOOKUP($A80,'Raw Data'!$A:$A,'Raw Data'!$AO:$AO),"")</f>
        <v>0</v>
      </c>
      <c r="H80" s="230"/>
      <c r="I80" s="230">
        <f>IFERROR(_xlfn.XLOOKUP($A80,'Raw Data'!$A:$A,'Raw Data'!$AR:$AR),"")</f>
        <v>4.702844110378912</v>
      </c>
      <c r="J80" s="230"/>
      <c r="K80" s="230">
        <f>IFERROR(_xlfn.XLOOKUP($A80,'Raw Data'!$A:$A,'Raw Data'!$AV:$AV),"")</f>
        <v>0</v>
      </c>
      <c r="L80" s="230">
        <f>IFERROR(_xlfn.XLOOKUP($A80,'Raw Data'!$A:$A,'Raw Data'!$AW:$AW),"")</f>
        <v>0</v>
      </c>
      <c r="M80" s="230">
        <f>IFERROR(_xlfn.XLOOKUP($A80,'Raw Data'!$A:$A,'Raw Data'!$AX:$AX),"")</f>
        <v>0</v>
      </c>
      <c r="N80" s="230">
        <f>IFERROR(_xlfn.XLOOKUP($A80,'Raw Data'!$A:$A,'Raw Data'!$AY:$AY),"")</f>
        <v>0</v>
      </c>
      <c r="O80" s="231">
        <f>IFERROR(1-(SUMIF('Plant BD'!$B:$B,A80,'Plant BD'!$AE:$AE)/(AA80+SUMIF('Plant BD'!$B:$B,A80,'Plant BD'!$AE:$AE))),"")</f>
        <v>0.8138888395654208</v>
      </c>
      <c r="P80" s="231"/>
      <c r="Q80" s="232"/>
      <c r="R80" s="231">
        <f>IFERROR(1-(SUMIF('Grid BD'!$B:$B,$A80,'Grid BD'!$AD:$AD)/($AA80+SUMIF('Grid BD'!$B:$B,$A80,'Grid BD'!AD:AD))),"")</f>
        <v>0.85462854686583467</v>
      </c>
      <c r="S80" s="6"/>
      <c r="T80" s="232"/>
      <c r="U80" s="233">
        <f t="shared" si="4"/>
        <v>0.55855226661772905</v>
      </c>
      <c r="V80" s="233"/>
      <c r="W80" s="234">
        <f t="shared" si="6"/>
        <v>0.10944934322508244</v>
      </c>
      <c r="X80" s="227">
        <f>IFERROR(_xlfn.XLOOKUP($A80,'Raw Data'!$A:$A,'Raw Data'!$BA:$BA),"")</f>
        <v>64801</v>
      </c>
      <c r="Y80" s="227">
        <f>IFERROR(_xlfn.XLOOKUP($A80,'Raw Data'!$A:$A,'Raw Data'!BJ:BJ),"")</f>
        <v>64510.500000003958</v>
      </c>
      <c r="Z80" s="227">
        <f>IFERROR(_xlfn.XLOOKUP($A80,'Raw Data'!$A:$A,'Raw Data'!BK:BK),"")</f>
        <v>671.4999999999236</v>
      </c>
      <c r="AA80" s="227">
        <f>IFERROR(_xlfn.XLOOKUP($A80,'Raw Data'!$A:$A,'Raw Data'!BL:BL),"")</f>
        <v>63839.000000004031</v>
      </c>
      <c r="AB80" s="227">
        <f>IFERROR(_xlfn.XLOOKUP($A80,'Raw Data'!$A:$A,'Raw Data'!$H:$H),"")</f>
        <v>24.303100000000001</v>
      </c>
      <c r="AC80" s="145">
        <f>IFERROR(_xlfn.XLOOKUP($D80,'Modelling New'!$D:$D,'Modelling New'!$P:$P),"")</f>
        <v>5.1233333333333331</v>
      </c>
      <c r="AD80" s="227">
        <f>IFERROR(_xlfn.XLOOKUP($D80,'Modelling New'!$D:$D,'Modelling New'!$T:$T)*1000,"")</f>
        <v>91091.690669094809</v>
      </c>
      <c r="AE80" s="234">
        <f>IFERROR(_xlfn.XLOOKUP($D80,'Modelling New'!$D:$D,'Modelling New'!$O:$O),"")</f>
        <v>0.73158446710143066</v>
      </c>
      <c r="AF80" s="234">
        <f>IFERROR(_xlfn.XLOOKUP($D80,'Modelling New'!$D:$D,'Modelling New'!$W:$W),"")</f>
        <v>0.15617296193540262</v>
      </c>
      <c r="AG80" s="234">
        <f>IFERROR(_xlfn.XLOOKUP($D80,'Modelling New'!$D:$D,'Modelling New'!AE:AE),"")</f>
        <v>0.995</v>
      </c>
      <c r="AH80" s="234">
        <v>0.99750000000000005</v>
      </c>
      <c r="AI80" s="6"/>
      <c r="AJ80" s="6"/>
      <c r="AK80" s="6"/>
      <c r="AL80" s="6"/>
      <c r="AM80" s="6"/>
      <c r="AN80" s="231"/>
      <c r="AO80" s="234"/>
      <c r="AP80" s="234"/>
      <c r="AQ80" s="234"/>
      <c r="AR80" s="227">
        <f>IFERROR(_xlfn.XLOOKUP($D80,'Modelling New'!$D:$D,'Modelling New'!$N:$N),"")</f>
        <v>24.303100000000001</v>
      </c>
      <c r="AS80" s="227"/>
    </row>
    <row r="81" spans="1:45" x14ac:dyDescent="0.35">
      <c r="A81" s="226">
        <f t="shared" si="5"/>
        <v>45824</v>
      </c>
      <c r="B81" s="227">
        <f>YEAR(Daily_KPI[[#This Row],[Date]])+IF(MONTH(Daily_KPI[[#This Row],[Date]])&gt;=4,1,0)</f>
        <v>2026</v>
      </c>
      <c r="C81" s="6">
        <f>YEAR(Daily_KPI[[#This Row],[Date]])</f>
        <v>2025</v>
      </c>
      <c r="D81" s="228">
        <f>Daily_KPI[[#This Row],[Date]]-DAY(Daily_KPI[[#This Row],[Date]])+1</f>
        <v>45809</v>
      </c>
      <c r="E81" s="6">
        <f t="shared" si="7"/>
        <v>30</v>
      </c>
      <c r="F81" s="229">
        <f>IFERROR(_xlfn.XLOOKUP($A81,'Raw Data'!$A:$A,'Raw Data'!$BR:$BR),"")</f>
        <v>12.283333333333335</v>
      </c>
      <c r="G81" s="230">
        <f>IFERROR(_xlfn.XLOOKUP($A81,'Raw Data'!$A:$A,'Raw Data'!$AO:$AO),"")</f>
        <v>0</v>
      </c>
      <c r="H81" s="230"/>
      <c r="I81" s="230">
        <f>IFERROR(_xlfn.XLOOKUP($A81,'Raw Data'!$A:$A,'Raw Data'!$AR:$AR),"")</f>
        <v>5.0417824958813835</v>
      </c>
      <c r="J81" s="230"/>
      <c r="K81" s="230">
        <f>IFERROR(_xlfn.XLOOKUP($A81,'Raw Data'!$A:$A,'Raw Data'!$AV:$AV),"")</f>
        <v>0</v>
      </c>
      <c r="L81" s="230">
        <f>IFERROR(_xlfn.XLOOKUP($A81,'Raw Data'!$A:$A,'Raw Data'!$AW:$AW),"")</f>
        <v>0</v>
      </c>
      <c r="M81" s="230">
        <f>IFERROR(_xlfn.XLOOKUP($A81,'Raw Data'!$A:$A,'Raw Data'!$AX:$AX),"")</f>
        <v>0</v>
      </c>
      <c r="N81" s="230">
        <f>IFERROR(_xlfn.XLOOKUP($A81,'Raw Data'!$A:$A,'Raw Data'!$AY:$AY),"")</f>
        <v>0</v>
      </c>
      <c r="O81" s="231">
        <f>IFERROR(1-(SUMIF('Plant BD'!$B:$B,A81,'Plant BD'!$AE:$AE)/(AA81+SUMIF('Plant BD'!$B:$B,A81,'Plant BD'!$AE:$AE))),"")</f>
        <v>0.94368117393116147</v>
      </c>
      <c r="P81" s="231"/>
      <c r="Q81" s="232"/>
      <c r="R81" s="231">
        <f>IFERROR(1-(SUMIF('Grid BD'!$B:$B,$A81,'Grid BD'!$AD:$AD)/($AA81+SUMIF('Grid BD'!$B:$B,$A81,'Grid BD'!AD:AD))),"")</f>
        <v>1</v>
      </c>
      <c r="S81" s="6"/>
      <c r="T81" s="232"/>
      <c r="U81" s="233">
        <f t="shared" si="4"/>
        <v>0.77827932071835915</v>
      </c>
      <c r="V81" s="233"/>
      <c r="W81" s="234">
        <f t="shared" si="6"/>
        <v>0.16349646067101151</v>
      </c>
      <c r="X81" s="227">
        <f>IFERROR(_xlfn.XLOOKUP($A81,'Raw Data'!$A:$A,'Raw Data'!$BA:$BA),"")</f>
        <v>96435</v>
      </c>
      <c r="Y81" s="227">
        <f>IFERROR(_xlfn.XLOOKUP($A81,'Raw Data'!$A:$A,'Raw Data'!BJ:BJ),"")</f>
        <v>96242.20000000787</v>
      </c>
      <c r="Z81" s="227">
        <f>IFERROR(_xlfn.XLOOKUP($A81,'Raw Data'!$A:$A,'Raw Data'!BK:BK),"")</f>
        <v>878.9000000000442</v>
      </c>
      <c r="AA81" s="227">
        <f>IFERROR(_xlfn.XLOOKUP($A81,'Raw Data'!$A:$A,'Raw Data'!BL:BL),"")</f>
        <v>95363.300000007832</v>
      </c>
      <c r="AB81" s="227">
        <f>IFERROR(_xlfn.XLOOKUP($A81,'Raw Data'!$A:$A,'Raw Data'!$H:$H),"")</f>
        <v>24.303100000000001</v>
      </c>
      <c r="AC81" s="145">
        <f>IFERROR(_xlfn.XLOOKUP($D81,'Modelling New'!$D:$D,'Modelling New'!$P:$P),"")</f>
        <v>5.1233333333333331</v>
      </c>
      <c r="AD81" s="227">
        <f>IFERROR(_xlfn.XLOOKUP($D81,'Modelling New'!$D:$D,'Modelling New'!$T:$T)*1000,"")</f>
        <v>91091.690669094809</v>
      </c>
      <c r="AE81" s="234">
        <f>IFERROR(_xlfn.XLOOKUP($D81,'Modelling New'!$D:$D,'Modelling New'!$O:$O),"")</f>
        <v>0.73158446710143066</v>
      </c>
      <c r="AF81" s="234">
        <f>IFERROR(_xlfn.XLOOKUP($D81,'Modelling New'!$D:$D,'Modelling New'!$W:$W),"")</f>
        <v>0.15617296193540262</v>
      </c>
      <c r="AG81" s="234">
        <f>IFERROR(_xlfn.XLOOKUP($D81,'Modelling New'!$D:$D,'Modelling New'!AE:AE),"")</f>
        <v>0.995</v>
      </c>
      <c r="AH81" s="234">
        <v>0.99750000000000005</v>
      </c>
      <c r="AI81" s="6"/>
      <c r="AJ81" s="6"/>
      <c r="AK81" s="6"/>
      <c r="AL81" s="6"/>
      <c r="AM81" s="6"/>
      <c r="AN81" s="231"/>
      <c r="AO81" s="234"/>
      <c r="AP81" s="234"/>
      <c r="AQ81" s="234"/>
      <c r="AR81" s="227">
        <f>IFERROR(_xlfn.XLOOKUP($D81,'Modelling New'!$D:$D,'Modelling New'!$N:$N),"")</f>
        <v>24.303100000000001</v>
      </c>
      <c r="AS81" s="227"/>
    </row>
    <row r="82" spans="1:45" x14ac:dyDescent="0.35">
      <c r="A82" s="226">
        <f t="shared" si="5"/>
        <v>45825</v>
      </c>
      <c r="B82" s="227">
        <f>YEAR(Daily_KPI[[#This Row],[Date]])+IF(MONTH(Daily_KPI[[#This Row],[Date]])&gt;=4,1,0)</f>
        <v>2026</v>
      </c>
      <c r="C82" s="6">
        <f>YEAR(Daily_KPI[[#This Row],[Date]])</f>
        <v>2025</v>
      </c>
      <c r="D82" s="228">
        <f>Daily_KPI[[#This Row],[Date]]-DAY(Daily_KPI[[#This Row],[Date]])+1</f>
        <v>45809</v>
      </c>
      <c r="E82" s="6">
        <f t="shared" si="7"/>
        <v>30</v>
      </c>
      <c r="F82" s="229">
        <f>IFERROR(_xlfn.XLOOKUP($A82,'Raw Data'!$A:$A,'Raw Data'!$BR:$BR),"")</f>
        <v>12.716666666666667</v>
      </c>
      <c r="G82" s="230">
        <f>IFERROR(_xlfn.XLOOKUP($A82,'Raw Data'!$A:$A,'Raw Data'!$AO:$AO),"")</f>
        <v>0</v>
      </c>
      <c r="H82" s="230"/>
      <c r="I82" s="230">
        <f>IFERROR(_xlfn.XLOOKUP($A82,'Raw Data'!$A:$A,'Raw Data'!$AR:$AR),"")</f>
        <v>6.05952471169687</v>
      </c>
      <c r="J82" s="230"/>
      <c r="K82" s="230">
        <f>IFERROR(_xlfn.XLOOKUP($A82,'Raw Data'!$A:$A,'Raw Data'!$AV:$AV),"")</f>
        <v>0</v>
      </c>
      <c r="L82" s="230">
        <f>IFERROR(_xlfn.XLOOKUP($A82,'Raw Data'!$A:$A,'Raw Data'!$AW:$AW),"")</f>
        <v>0</v>
      </c>
      <c r="M82" s="230">
        <f>IFERROR(_xlfn.XLOOKUP($A82,'Raw Data'!$A:$A,'Raw Data'!$AX:$AX),"")</f>
        <v>0</v>
      </c>
      <c r="N82" s="230">
        <f>IFERROR(_xlfn.XLOOKUP($A82,'Raw Data'!$A:$A,'Raw Data'!$AY:$AY),"")</f>
        <v>0</v>
      </c>
      <c r="O82" s="231">
        <f>IFERROR(1-(SUMIF('Plant BD'!$B:$B,A82,'Plant BD'!$AE:$AE)/(AA82+SUMIF('Plant BD'!$B:$B,A82,'Plant BD'!$AE:$AE))),"")</f>
        <v>0.94915546580793475</v>
      </c>
      <c r="P82" s="231"/>
      <c r="Q82" s="232"/>
      <c r="R82" s="231">
        <f>IFERROR(1-(SUMIF('Grid BD'!$B:$B,$A82,'Grid BD'!$AD:$AD)/($AA82+SUMIF('Grid BD'!$B:$B,$A82,'Grid BD'!AD:AD))),"")</f>
        <v>1</v>
      </c>
      <c r="S82" s="6"/>
      <c r="T82" s="232"/>
      <c r="U82" s="233">
        <f t="shared" ref="U82:U126" si="8">IFERROR(AA82/I82/AB82/1000,"")</f>
        <v>0.75093486921293662</v>
      </c>
      <c r="V82" s="233"/>
      <c r="W82" s="234">
        <f t="shared" si="6"/>
        <v>0.18959618320294361</v>
      </c>
      <c r="X82" s="227">
        <f>IFERROR(_xlfn.XLOOKUP($A82,'Raw Data'!$A:$A,'Raw Data'!$BA:$BA),"")</f>
        <v>112222</v>
      </c>
      <c r="Y82" s="227">
        <f>IFERROR(_xlfn.XLOOKUP($A82,'Raw Data'!$A:$A,'Raw Data'!BJ:BJ),"")</f>
        <v>111681.09999998705</v>
      </c>
      <c r="Z82" s="227">
        <f>IFERROR(_xlfn.XLOOKUP($A82,'Raw Data'!$A:$A,'Raw Data'!BK:BK),"")</f>
        <v>1094.5000000000391</v>
      </c>
      <c r="AA82" s="227">
        <f>IFERROR(_xlfn.XLOOKUP($A82,'Raw Data'!$A:$A,'Raw Data'!BL:BL),"")</f>
        <v>110586.59999998701</v>
      </c>
      <c r="AB82" s="227">
        <f>IFERROR(_xlfn.XLOOKUP($A82,'Raw Data'!$A:$A,'Raw Data'!$H:$H),"")</f>
        <v>24.303100000000001</v>
      </c>
      <c r="AC82" s="145">
        <f>IFERROR(_xlfn.XLOOKUP($D82,'Modelling New'!$D:$D,'Modelling New'!$P:$P),"")</f>
        <v>5.1233333333333331</v>
      </c>
      <c r="AD82" s="227">
        <f>IFERROR(_xlfn.XLOOKUP($D82,'Modelling New'!$D:$D,'Modelling New'!$T:$T)*1000,"")</f>
        <v>91091.690669094809</v>
      </c>
      <c r="AE82" s="234">
        <f>IFERROR(_xlfn.XLOOKUP($D82,'Modelling New'!$D:$D,'Modelling New'!$O:$O),"")</f>
        <v>0.73158446710143066</v>
      </c>
      <c r="AF82" s="234">
        <f>IFERROR(_xlfn.XLOOKUP($D82,'Modelling New'!$D:$D,'Modelling New'!$W:$W),"")</f>
        <v>0.15617296193540262</v>
      </c>
      <c r="AG82" s="234">
        <f>IFERROR(_xlfn.XLOOKUP($D82,'Modelling New'!$D:$D,'Modelling New'!AE:AE),"")</f>
        <v>0.995</v>
      </c>
      <c r="AH82" s="234">
        <v>0.99750000000000005</v>
      </c>
      <c r="AI82" s="6"/>
      <c r="AJ82" s="6"/>
      <c r="AK82" s="6"/>
      <c r="AL82" s="6"/>
      <c r="AM82" s="6"/>
      <c r="AN82" s="231"/>
      <c r="AO82" s="234"/>
      <c r="AP82" s="234"/>
      <c r="AQ82" s="234"/>
      <c r="AR82" s="227">
        <f>IFERROR(_xlfn.XLOOKUP($D82,'Modelling New'!$D:$D,'Modelling New'!$N:$N),"")</f>
        <v>24.303100000000001</v>
      </c>
      <c r="AS82" s="227"/>
    </row>
    <row r="83" spans="1:45" x14ac:dyDescent="0.35">
      <c r="A83" s="226">
        <f t="shared" si="5"/>
        <v>45826</v>
      </c>
      <c r="B83" s="227">
        <f>YEAR(Daily_KPI[[#This Row],[Date]])+IF(MONTH(Daily_KPI[[#This Row],[Date]])&gt;=4,1,0)</f>
        <v>2026</v>
      </c>
      <c r="C83" s="6">
        <f>YEAR(Daily_KPI[[#This Row],[Date]])</f>
        <v>2025</v>
      </c>
      <c r="D83" s="228">
        <f>Daily_KPI[[#This Row],[Date]]-DAY(Daily_KPI[[#This Row],[Date]])+1</f>
        <v>45809</v>
      </c>
      <c r="E83" s="6">
        <f t="shared" si="7"/>
        <v>30</v>
      </c>
      <c r="F83" s="229">
        <f>IFERROR(_xlfn.XLOOKUP($A83,'Raw Data'!$A:$A,'Raw Data'!$BR:$BR),"")</f>
        <v>12.65</v>
      </c>
      <c r="G83" s="230">
        <f>IFERROR(_xlfn.XLOOKUP($A83,'Raw Data'!$A:$A,'Raw Data'!$AO:$AO),"")</f>
        <v>0</v>
      </c>
      <c r="H83" s="230"/>
      <c r="I83" s="230">
        <f>IFERROR(_xlfn.XLOOKUP($A83,'Raw Data'!$A:$A,'Raw Data'!$AR:$AR),"")</f>
        <v>4.2943764415156505</v>
      </c>
      <c r="J83" s="230"/>
      <c r="K83" s="230">
        <f>IFERROR(_xlfn.XLOOKUP($A83,'Raw Data'!$A:$A,'Raw Data'!$AV:$AV),"")</f>
        <v>0</v>
      </c>
      <c r="L83" s="230">
        <f>IFERROR(_xlfn.XLOOKUP($A83,'Raw Data'!$A:$A,'Raw Data'!$AW:$AW),"")</f>
        <v>0</v>
      </c>
      <c r="M83" s="230">
        <f>IFERROR(_xlfn.XLOOKUP($A83,'Raw Data'!$A:$A,'Raw Data'!$AX:$AX),"")</f>
        <v>0</v>
      </c>
      <c r="N83" s="230">
        <f>IFERROR(_xlfn.XLOOKUP($A83,'Raw Data'!$A:$A,'Raw Data'!$AY:$AY),"")</f>
        <v>0</v>
      </c>
      <c r="O83" s="231">
        <f>IFERROR(1-(SUMIF('Plant BD'!$B:$B,A83,'Plant BD'!$AE:$AE)/(AA83+SUMIF('Plant BD'!$B:$B,A83,'Plant BD'!$AE:$AE))),"")</f>
        <v>0.95529545922462455</v>
      </c>
      <c r="P83" s="231"/>
      <c r="Q83" s="232"/>
      <c r="R83" s="231">
        <f>IFERROR(1-(SUMIF('Grid BD'!$B:$B,$A83,'Grid BD'!$AD:$AD)/($AA83+SUMIF('Grid BD'!$B:$B,$A83,'Grid BD'!AD:AD))),"")</f>
        <v>1</v>
      </c>
      <c r="S83" s="6"/>
      <c r="T83" s="232"/>
      <c r="U83" s="233">
        <f t="shared" si="8"/>
        <v>0.79570046529974692</v>
      </c>
      <c r="V83" s="233"/>
      <c r="W83" s="234">
        <f t="shared" si="6"/>
        <v>0.14237655552859477</v>
      </c>
      <c r="X83" s="227">
        <f>IFERROR(_xlfn.XLOOKUP($A83,'Raw Data'!$A:$A,'Raw Data'!$BA:$BA),"")</f>
        <v>83816</v>
      </c>
      <c r="Y83" s="227">
        <f>IFERROR(_xlfn.XLOOKUP($A83,'Raw Data'!$A:$A,'Raw Data'!BJ:BJ),"")</f>
        <v>83843.30000000773</v>
      </c>
      <c r="Z83" s="227">
        <f>IFERROR(_xlfn.XLOOKUP($A83,'Raw Data'!$A:$A,'Raw Data'!BK:BK),"")</f>
        <v>798.69999999993979</v>
      </c>
      <c r="AA83" s="227">
        <f>IFERROR(_xlfn.XLOOKUP($A83,'Raw Data'!$A:$A,'Raw Data'!BL:BL),"")</f>
        <v>83044.600000007791</v>
      </c>
      <c r="AB83" s="227">
        <f>IFERROR(_xlfn.XLOOKUP($A83,'Raw Data'!$A:$A,'Raw Data'!$H:$H),"")</f>
        <v>24.303100000000001</v>
      </c>
      <c r="AC83" s="145">
        <f>IFERROR(_xlfn.XLOOKUP($D83,'Modelling New'!$D:$D,'Modelling New'!$P:$P),"")</f>
        <v>5.1233333333333331</v>
      </c>
      <c r="AD83" s="227">
        <f>IFERROR(_xlfn.XLOOKUP($D83,'Modelling New'!$D:$D,'Modelling New'!$T:$T)*1000,"")</f>
        <v>91091.690669094809</v>
      </c>
      <c r="AE83" s="234">
        <f>IFERROR(_xlfn.XLOOKUP($D83,'Modelling New'!$D:$D,'Modelling New'!$O:$O),"")</f>
        <v>0.73158446710143066</v>
      </c>
      <c r="AF83" s="234">
        <f>IFERROR(_xlfn.XLOOKUP($D83,'Modelling New'!$D:$D,'Modelling New'!$W:$W),"")</f>
        <v>0.15617296193540262</v>
      </c>
      <c r="AG83" s="234">
        <f>IFERROR(_xlfn.XLOOKUP($D83,'Modelling New'!$D:$D,'Modelling New'!AE:AE),"")</f>
        <v>0.995</v>
      </c>
      <c r="AH83" s="234">
        <v>0.99750000000000005</v>
      </c>
      <c r="AI83" s="6"/>
      <c r="AJ83" s="6"/>
      <c r="AK83" s="6"/>
      <c r="AL83" s="6"/>
      <c r="AM83" s="6"/>
      <c r="AN83" s="231"/>
      <c r="AO83" s="234"/>
      <c r="AP83" s="234"/>
      <c r="AQ83" s="234"/>
      <c r="AR83" s="227">
        <f>IFERROR(_xlfn.XLOOKUP($D83,'Modelling New'!$D:$D,'Modelling New'!$N:$N),"")</f>
        <v>24.303100000000001</v>
      </c>
      <c r="AS83" s="227"/>
    </row>
    <row r="84" spans="1:45" x14ac:dyDescent="0.35">
      <c r="A84" s="226">
        <f t="shared" ref="A84:A147" si="9">A83+1</f>
        <v>45827</v>
      </c>
      <c r="B84" s="227">
        <f>YEAR(Daily_KPI[[#This Row],[Date]])+IF(MONTH(Daily_KPI[[#This Row],[Date]])&gt;=4,1,0)</f>
        <v>2026</v>
      </c>
      <c r="C84" s="6">
        <f>YEAR(Daily_KPI[[#This Row],[Date]])</f>
        <v>2025</v>
      </c>
      <c r="D84" s="228">
        <f>Daily_KPI[[#This Row],[Date]]-DAY(Daily_KPI[[#This Row],[Date]])+1</f>
        <v>45809</v>
      </c>
      <c r="E84" s="6">
        <f t="shared" si="7"/>
        <v>30</v>
      </c>
      <c r="F84" s="229">
        <f>IFERROR(_xlfn.XLOOKUP($A84,'Raw Data'!$A:$A,'Raw Data'!$BR:$BR),"")</f>
        <v>12.75</v>
      </c>
      <c r="G84" s="230">
        <f>IFERROR(_xlfn.XLOOKUP($A84,'Raw Data'!$A:$A,'Raw Data'!$AO:$AO),"")</f>
        <v>0</v>
      </c>
      <c r="H84" s="230"/>
      <c r="I84" s="230">
        <f>IFERROR(_xlfn.XLOOKUP($A84,'Raw Data'!$A:$A,'Raw Data'!$AR:$AR),"")</f>
        <v>3.6714182454695221</v>
      </c>
      <c r="J84" s="230"/>
      <c r="K84" s="230">
        <f>IFERROR(_xlfn.XLOOKUP($A84,'Raw Data'!$A:$A,'Raw Data'!$AV:$AV),"")</f>
        <v>0</v>
      </c>
      <c r="L84" s="230">
        <f>IFERROR(_xlfn.XLOOKUP($A84,'Raw Data'!$A:$A,'Raw Data'!$AW:$AW),"")</f>
        <v>0</v>
      </c>
      <c r="M84" s="230">
        <f>IFERROR(_xlfn.XLOOKUP($A84,'Raw Data'!$A:$A,'Raw Data'!$AX:$AX),"")</f>
        <v>0</v>
      </c>
      <c r="N84" s="230">
        <f>IFERROR(_xlfn.XLOOKUP($A84,'Raw Data'!$A:$A,'Raw Data'!$AY:$AY),"")</f>
        <v>0</v>
      </c>
      <c r="O84" s="231">
        <f>IFERROR(1-(SUMIF('Plant BD'!$B:$B,A84,'Plant BD'!$AE:$AE)/(AA84+SUMIF('Plant BD'!$B:$B,A84,'Plant BD'!$AE:$AE))),"")</f>
        <v>0.98061246546328462</v>
      </c>
      <c r="P84" s="231"/>
      <c r="Q84" s="232"/>
      <c r="R84" s="231">
        <f>IFERROR(1-(SUMIF('Grid BD'!$B:$B,$A84,'Grid BD'!$AD:$AD)/($AA84+SUMIF('Grid BD'!$B:$B,$A84,'Grid BD'!AD:AD))),"")</f>
        <v>1</v>
      </c>
      <c r="S84" s="6"/>
      <c r="T84" s="232"/>
      <c r="U84" s="233">
        <f t="shared" si="8"/>
        <v>0.82046832649637935</v>
      </c>
      <c r="V84" s="233"/>
      <c r="W84" s="234">
        <f t="shared" si="6"/>
        <v>0.12551176598869385</v>
      </c>
      <c r="X84" s="227">
        <f>IFERROR(_xlfn.XLOOKUP($A84,'Raw Data'!$A:$A,'Raw Data'!$BA:$BA),"")</f>
        <v>74167</v>
      </c>
      <c r="Y84" s="227">
        <f>IFERROR(_xlfn.XLOOKUP($A84,'Raw Data'!$A:$A,'Raw Data'!BJ:BJ),"")</f>
        <v>74311.799999995856</v>
      </c>
      <c r="Z84" s="227">
        <f>IFERROR(_xlfn.XLOOKUP($A84,'Raw Data'!$A:$A,'Raw Data'!BK:BK),"")</f>
        <v>1104.0000000000418</v>
      </c>
      <c r="AA84" s="227">
        <f>IFERROR(_xlfn.XLOOKUP($A84,'Raw Data'!$A:$A,'Raw Data'!BL:BL),"")</f>
        <v>73207.799999995812</v>
      </c>
      <c r="AB84" s="227">
        <f>IFERROR(_xlfn.XLOOKUP($A84,'Raw Data'!$A:$A,'Raw Data'!$H:$H),"")</f>
        <v>24.303100000000001</v>
      </c>
      <c r="AC84" s="145">
        <f>IFERROR(_xlfn.XLOOKUP($D84,'Modelling New'!$D:$D,'Modelling New'!$P:$P),"")</f>
        <v>5.1233333333333331</v>
      </c>
      <c r="AD84" s="227">
        <f>IFERROR(_xlfn.XLOOKUP($D84,'Modelling New'!$D:$D,'Modelling New'!$T:$T)*1000,"")</f>
        <v>91091.690669094809</v>
      </c>
      <c r="AE84" s="234">
        <f>IFERROR(_xlfn.XLOOKUP($D84,'Modelling New'!$D:$D,'Modelling New'!$O:$O),"")</f>
        <v>0.73158446710143066</v>
      </c>
      <c r="AF84" s="234">
        <f>IFERROR(_xlfn.XLOOKUP($D84,'Modelling New'!$D:$D,'Modelling New'!$W:$W),"")</f>
        <v>0.15617296193540262</v>
      </c>
      <c r="AG84" s="234">
        <f>IFERROR(_xlfn.XLOOKUP($D84,'Modelling New'!$D:$D,'Modelling New'!AE:AE),"")</f>
        <v>0.995</v>
      </c>
      <c r="AH84" s="234">
        <v>0.99750000000000005</v>
      </c>
      <c r="AI84" s="6"/>
      <c r="AJ84" s="6"/>
      <c r="AK84" s="6"/>
      <c r="AL84" s="6"/>
      <c r="AM84" s="6"/>
      <c r="AN84" s="231"/>
      <c r="AO84" s="234"/>
      <c r="AP84" s="234"/>
      <c r="AQ84" s="234"/>
      <c r="AR84" s="227">
        <f>IFERROR(_xlfn.XLOOKUP($D84,'Modelling New'!$D:$D,'Modelling New'!$N:$N),"")</f>
        <v>24.303100000000001</v>
      </c>
      <c r="AS84" s="227"/>
    </row>
    <row r="85" spans="1:45" x14ac:dyDescent="0.35">
      <c r="A85" s="226">
        <f t="shared" si="9"/>
        <v>45828</v>
      </c>
      <c r="B85" s="227">
        <f>YEAR(Daily_KPI[[#This Row],[Date]])+IF(MONTH(Daily_KPI[[#This Row],[Date]])&gt;=4,1,0)</f>
        <v>2026</v>
      </c>
      <c r="C85" s="6">
        <f>YEAR(Daily_KPI[[#This Row],[Date]])</f>
        <v>2025</v>
      </c>
      <c r="D85" s="228">
        <f>Daily_KPI[[#This Row],[Date]]-DAY(Daily_KPI[[#This Row],[Date]])+1</f>
        <v>45809</v>
      </c>
      <c r="E85" s="6">
        <f t="shared" si="7"/>
        <v>30</v>
      </c>
      <c r="F85" s="229">
        <f>IFERROR(_xlfn.XLOOKUP($A85,'Raw Data'!$A:$A,'Raw Data'!$BR:$BR),"")</f>
        <v>12.616666666666667</v>
      </c>
      <c r="G85" s="230">
        <f>IFERROR(_xlfn.XLOOKUP($A85,'Raw Data'!$A:$A,'Raw Data'!$AO:$AO),"")</f>
        <v>0</v>
      </c>
      <c r="H85" s="230"/>
      <c r="I85" s="230">
        <f>IFERROR(_xlfn.XLOOKUP($A85,'Raw Data'!$A:$A,'Raw Data'!$AR:$AR),"")</f>
        <v>5.6146372734761121</v>
      </c>
      <c r="J85" s="230"/>
      <c r="K85" s="230">
        <f>IFERROR(_xlfn.XLOOKUP($A85,'Raw Data'!$A:$A,'Raw Data'!$AV:$AV),"")</f>
        <v>0</v>
      </c>
      <c r="L85" s="230">
        <f>IFERROR(_xlfn.XLOOKUP($A85,'Raw Data'!$A:$A,'Raw Data'!$AW:$AW),"")</f>
        <v>0</v>
      </c>
      <c r="M85" s="230">
        <f>IFERROR(_xlfn.XLOOKUP($A85,'Raw Data'!$A:$A,'Raw Data'!$AX:$AX),"")</f>
        <v>0</v>
      </c>
      <c r="N85" s="230">
        <f>IFERROR(_xlfn.XLOOKUP($A85,'Raw Data'!$A:$A,'Raw Data'!$AY:$AY),"")</f>
        <v>0</v>
      </c>
      <c r="O85" s="231">
        <f>IFERROR(1-(SUMIF('Plant BD'!$B:$B,A85,'Plant BD'!$AE:$AE)/(AA85+SUMIF('Plant BD'!$B:$B,A85,'Plant BD'!$AE:$AE))),"")</f>
        <v>0.99133885801963761</v>
      </c>
      <c r="P85" s="231"/>
      <c r="Q85" s="232"/>
      <c r="R85" s="231">
        <f>IFERROR(1-(SUMIF('Grid BD'!$B:$B,$A85,'Grid BD'!$AD:$AD)/($AA85+SUMIF('Grid BD'!$B:$B,$A85,'Grid BD'!AD:AD))),"")</f>
        <v>1</v>
      </c>
      <c r="S85" s="6"/>
      <c r="T85" s="232"/>
      <c r="U85" s="233">
        <f t="shared" si="8"/>
        <v>0.82351010942180258</v>
      </c>
      <c r="V85" s="233"/>
      <c r="W85" s="234">
        <f t="shared" si="6"/>
        <v>0.19265460647683516</v>
      </c>
      <c r="X85" s="227">
        <f>IFERROR(_xlfn.XLOOKUP($A85,'Raw Data'!$A:$A,'Raw Data'!$BA:$BA),"")</f>
        <v>114078</v>
      </c>
      <c r="Y85" s="227">
        <f>IFERROR(_xlfn.XLOOKUP($A85,'Raw Data'!$A:$A,'Raw Data'!BJ:BJ),"")</f>
        <v>112766.80000001215</v>
      </c>
      <c r="Z85" s="227">
        <f>IFERROR(_xlfn.XLOOKUP($A85,'Raw Data'!$A:$A,'Raw Data'!BK:BK),"")</f>
        <v>396.29999999999654</v>
      </c>
      <c r="AA85" s="227">
        <f>IFERROR(_xlfn.XLOOKUP($A85,'Raw Data'!$A:$A,'Raw Data'!BL:BL),"")</f>
        <v>112370.50000001215</v>
      </c>
      <c r="AB85" s="227">
        <f>IFERROR(_xlfn.XLOOKUP($A85,'Raw Data'!$A:$A,'Raw Data'!$H:$H),"")</f>
        <v>24.303100000000001</v>
      </c>
      <c r="AC85" s="145">
        <f>IFERROR(_xlfn.XLOOKUP($D85,'Modelling New'!$D:$D,'Modelling New'!$P:$P),"")</f>
        <v>5.1233333333333331</v>
      </c>
      <c r="AD85" s="227">
        <f>IFERROR(_xlfn.XLOOKUP($D85,'Modelling New'!$D:$D,'Modelling New'!$T:$T)*1000,"")</f>
        <v>91091.690669094809</v>
      </c>
      <c r="AE85" s="234">
        <f>IFERROR(_xlfn.XLOOKUP($D85,'Modelling New'!$D:$D,'Modelling New'!$O:$O),"")</f>
        <v>0.73158446710143066</v>
      </c>
      <c r="AF85" s="234">
        <f>IFERROR(_xlfn.XLOOKUP($D85,'Modelling New'!$D:$D,'Modelling New'!$W:$W),"")</f>
        <v>0.15617296193540262</v>
      </c>
      <c r="AG85" s="234">
        <f>IFERROR(_xlfn.XLOOKUP($D85,'Modelling New'!$D:$D,'Modelling New'!AE:AE),"")</f>
        <v>0.995</v>
      </c>
      <c r="AH85" s="234">
        <v>0.99750000000000005</v>
      </c>
      <c r="AI85" s="6"/>
      <c r="AJ85" s="6"/>
      <c r="AK85" s="6"/>
      <c r="AL85" s="6"/>
      <c r="AM85" s="6"/>
      <c r="AN85" s="231"/>
      <c r="AO85" s="234"/>
      <c r="AP85" s="234"/>
      <c r="AQ85" s="234"/>
      <c r="AR85" s="227">
        <f>IFERROR(_xlfn.XLOOKUP($D85,'Modelling New'!$D:$D,'Modelling New'!$N:$N),"")</f>
        <v>24.303100000000001</v>
      </c>
      <c r="AS85" s="227"/>
    </row>
    <row r="86" spans="1:45" x14ac:dyDescent="0.35">
      <c r="A86" s="226">
        <f t="shared" si="9"/>
        <v>45829</v>
      </c>
      <c r="B86" s="227">
        <f>YEAR(Daily_KPI[[#This Row],[Date]])+IF(MONTH(Daily_KPI[[#This Row],[Date]])&gt;=4,1,0)</f>
        <v>2026</v>
      </c>
      <c r="C86" s="6">
        <f>YEAR(Daily_KPI[[#This Row],[Date]])</f>
        <v>2025</v>
      </c>
      <c r="D86" s="228">
        <f>Daily_KPI[[#This Row],[Date]]-DAY(Daily_KPI[[#This Row],[Date]])+1</f>
        <v>45809</v>
      </c>
      <c r="E86" s="6">
        <f t="shared" si="7"/>
        <v>30</v>
      </c>
      <c r="F86" s="229">
        <f>IFERROR(_xlfn.XLOOKUP($A86,'Raw Data'!$A:$A,'Raw Data'!$BR:$BR),"")</f>
        <v>12.733333333333334</v>
      </c>
      <c r="G86" s="230">
        <f>IFERROR(_xlfn.XLOOKUP($A86,'Raw Data'!$A:$A,'Raw Data'!$AO:$AO),"")</f>
        <v>0</v>
      </c>
      <c r="H86" s="230"/>
      <c r="I86" s="230">
        <f>IFERROR(_xlfn.XLOOKUP($A86,'Raw Data'!$A:$A,'Raw Data'!$AR:$AR),"")</f>
        <v>5.7962022652388789</v>
      </c>
      <c r="J86" s="230"/>
      <c r="K86" s="230">
        <f>IFERROR(_xlfn.XLOOKUP($A86,'Raw Data'!$A:$A,'Raw Data'!$AV:$AV),"")</f>
        <v>0</v>
      </c>
      <c r="L86" s="230">
        <f>IFERROR(_xlfn.XLOOKUP($A86,'Raw Data'!$A:$A,'Raw Data'!$AW:$AW),"")</f>
        <v>0</v>
      </c>
      <c r="M86" s="230">
        <f>IFERROR(_xlfn.XLOOKUP($A86,'Raw Data'!$A:$A,'Raw Data'!$AX:$AX),"")</f>
        <v>0</v>
      </c>
      <c r="N86" s="230">
        <f>IFERROR(_xlfn.XLOOKUP($A86,'Raw Data'!$A:$A,'Raw Data'!$AY:$AY),"")</f>
        <v>0</v>
      </c>
      <c r="O86" s="231">
        <f>IFERROR(1-(SUMIF('Plant BD'!$B:$B,A86,'Plant BD'!$AE:$AE)/(AA86+SUMIF('Plant BD'!$B:$B,A86,'Plant BD'!$AE:$AE))),"")</f>
        <v>1</v>
      </c>
      <c r="P86" s="231"/>
      <c r="Q86" s="232"/>
      <c r="R86" s="231">
        <f>IFERROR(1-(SUMIF('Grid BD'!$B:$B,$A86,'Grid BD'!$AD:$AD)/($AA86+SUMIF('Grid BD'!$B:$B,$A86,'Grid BD'!AD:AD))),"")</f>
        <v>1</v>
      </c>
      <c r="S86" s="6"/>
      <c r="T86" s="232"/>
      <c r="U86" s="233">
        <f t="shared" si="8"/>
        <v>0.80158202748143237</v>
      </c>
      <c r="V86" s="233"/>
      <c r="W86" s="234">
        <f t="shared" si="6"/>
        <v>0.19358881514427717</v>
      </c>
      <c r="X86" s="227">
        <f>IFERROR(_xlfn.XLOOKUP($A86,'Raw Data'!$A:$A,'Raw Data'!$BA:$BA),"")</f>
        <v>114379</v>
      </c>
      <c r="Y86" s="227">
        <f>IFERROR(_xlfn.XLOOKUP($A86,'Raw Data'!$A:$A,'Raw Data'!BJ:BJ),"")</f>
        <v>113789.59999998915</v>
      </c>
      <c r="Z86" s="227">
        <f>IFERROR(_xlfn.XLOOKUP($A86,'Raw Data'!$A:$A,'Raw Data'!BK:BK),"")</f>
        <v>874.19999999997344</v>
      </c>
      <c r="AA86" s="227">
        <f>IFERROR(_xlfn.XLOOKUP($A86,'Raw Data'!$A:$A,'Raw Data'!BL:BL),"")</f>
        <v>112915.39999998918</v>
      </c>
      <c r="AB86" s="227">
        <f>IFERROR(_xlfn.XLOOKUP($A86,'Raw Data'!$A:$A,'Raw Data'!$H:$H),"")</f>
        <v>24.303100000000001</v>
      </c>
      <c r="AC86" s="145">
        <f>IFERROR(_xlfn.XLOOKUP($D86,'Modelling New'!$D:$D,'Modelling New'!$P:$P),"")</f>
        <v>5.1233333333333331</v>
      </c>
      <c r="AD86" s="227">
        <f>IFERROR(_xlfn.XLOOKUP($D86,'Modelling New'!$D:$D,'Modelling New'!$T:$T)*1000,"")</f>
        <v>91091.690669094809</v>
      </c>
      <c r="AE86" s="234">
        <f>IFERROR(_xlfn.XLOOKUP($D86,'Modelling New'!$D:$D,'Modelling New'!$O:$O),"")</f>
        <v>0.73158446710143066</v>
      </c>
      <c r="AF86" s="234">
        <f>IFERROR(_xlfn.XLOOKUP($D86,'Modelling New'!$D:$D,'Modelling New'!$W:$W),"")</f>
        <v>0.15617296193540262</v>
      </c>
      <c r="AG86" s="234">
        <f>IFERROR(_xlfn.XLOOKUP($D86,'Modelling New'!$D:$D,'Modelling New'!AE:AE),"")</f>
        <v>0.995</v>
      </c>
      <c r="AH86" s="234">
        <v>0.99750000000000005</v>
      </c>
      <c r="AI86" s="6"/>
      <c r="AJ86" s="6"/>
      <c r="AK86" s="6"/>
      <c r="AL86" s="6"/>
      <c r="AM86" s="6"/>
      <c r="AN86" s="231"/>
      <c r="AO86" s="234"/>
      <c r="AP86" s="234"/>
      <c r="AQ86" s="234"/>
      <c r="AR86" s="227">
        <f>IFERROR(_xlfn.XLOOKUP($D86,'Modelling New'!$D:$D,'Modelling New'!$N:$N),"")</f>
        <v>24.303100000000001</v>
      </c>
      <c r="AS86" s="227"/>
    </row>
    <row r="87" spans="1:45" x14ac:dyDescent="0.35">
      <c r="A87" s="226">
        <f t="shared" si="9"/>
        <v>45830</v>
      </c>
      <c r="B87" s="227">
        <f>YEAR(Daily_KPI[[#This Row],[Date]])+IF(MONTH(Daily_KPI[[#This Row],[Date]])&gt;=4,1,0)</f>
        <v>2026</v>
      </c>
      <c r="C87" s="6">
        <f>YEAR(Daily_KPI[[#This Row],[Date]])</f>
        <v>2025</v>
      </c>
      <c r="D87" s="228">
        <f>Daily_KPI[[#This Row],[Date]]-DAY(Daily_KPI[[#This Row],[Date]])+1</f>
        <v>45809</v>
      </c>
      <c r="E87" s="6">
        <f t="shared" si="7"/>
        <v>30</v>
      </c>
      <c r="F87" s="229">
        <f>IFERROR(_xlfn.XLOOKUP($A87,'Raw Data'!$A:$A,'Raw Data'!$BR:$BR),"")</f>
        <v>12.433333333333332</v>
      </c>
      <c r="G87" s="230">
        <f>IFERROR(_xlfn.XLOOKUP($A87,'Raw Data'!$A:$A,'Raw Data'!$AO:$AO),"")</f>
        <v>0</v>
      </c>
      <c r="H87" s="230"/>
      <c r="I87" s="230">
        <f>IFERROR(_xlfn.XLOOKUP($A87,'Raw Data'!$A:$A,'Raw Data'!$AR:$AR),"")</f>
        <v>4.4269292421746282</v>
      </c>
      <c r="J87" s="230"/>
      <c r="K87" s="230">
        <f>IFERROR(_xlfn.XLOOKUP($A87,'Raw Data'!$A:$A,'Raw Data'!$AV:$AV),"")</f>
        <v>0</v>
      </c>
      <c r="L87" s="230">
        <f>IFERROR(_xlfn.XLOOKUP($A87,'Raw Data'!$A:$A,'Raw Data'!$AW:$AW),"")</f>
        <v>0</v>
      </c>
      <c r="M87" s="230">
        <f>IFERROR(_xlfn.XLOOKUP($A87,'Raw Data'!$A:$A,'Raw Data'!$AX:$AX),"")</f>
        <v>0</v>
      </c>
      <c r="N87" s="230">
        <f>IFERROR(_xlfn.XLOOKUP($A87,'Raw Data'!$A:$A,'Raw Data'!$AY:$AY),"")</f>
        <v>0</v>
      </c>
      <c r="O87" s="231">
        <f>IFERROR(1-(SUMIF('Plant BD'!$B:$B,A87,'Plant BD'!$AE:$AE)/(AA87+SUMIF('Plant BD'!$B:$B,A87,'Plant BD'!$AE:$AE))),"")</f>
        <v>0.99386552234525993</v>
      </c>
      <c r="P87" s="231"/>
      <c r="Q87" s="232"/>
      <c r="R87" s="231">
        <f>IFERROR(1-(SUMIF('Grid BD'!$B:$B,$A87,'Grid BD'!$AD:$AD)/($AA87+SUMIF('Grid BD'!$B:$B,$A87,'Grid BD'!AD:AD))),"")</f>
        <v>1</v>
      </c>
      <c r="S87" s="6"/>
      <c r="T87" s="232"/>
      <c r="U87" s="233">
        <f t="shared" si="8"/>
        <v>0.85115822790456219</v>
      </c>
      <c r="V87" s="233"/>
      <c r="W87" s="234">
        <f t="shared" si="6"/>
        <v>0.15700071870117679</v>
      </c>
      <c r="X87" s="227">
        <f>IFERROR(_xlfn.XLOOKUP($A87,'Raw Data'!$A:$A,'Raw Data'!$BA:$BA),"")</f>
        <v>93018</v>
      </c>
      <c r="Y87" s="227">
        <f>IFERROR(_xlfn.XLOOKUP($A87,'Raw Data'!$A:$A,'Raw Data'!BJ:BJ),"")</f>
        <v>92372.499999997672</v>
      </c>
      <c r="Z87" s="227">
        <f>IFERROR(_xlfn.XLOOKUP($A87,'Raw Data'!$A:$A,'Raw Data'!BK:BK),"")</f>
        <v>798.00000000000182</v>
      </c>
      <c r="AA87" s="227">
        <f>IFERROR(_xlfn.XLOOKUP($A87,'Raw Data'!$A:$A,'Raw Data'!BL:BL),"")</f>
        <v>91574.499999997672</v>
      </c>
      <c r="AB87" s="227">
        <f>IFERROR(_xlfn.XLOOKUP($A87,'Raw Data'!$A:$A,'Raw Data'!$H:$H),"")</f>
        <v>24.303100000000001</v>
      </c>
      <c r="AC87" s="145">
        <f>IFERROR(_xlfn.XLOOKUP($D87,'Modelling New'!$D:$D,'Modelling New'!$P:$P),"")</f>
        <v>5.1233333333333331</v>
      </c>
      <c r="AD87" s="227">
        <f>IFERROR(_xlfn.XLOOKUP($D87,'Modelling New'!$D:$D,'Modelling New'!$T:$T)*1000,"")</f>
        <v>91091.690669094809</v>
      </c>
      <c r="AE87" s="234">
        <f>IFERROR(_xlfn.XLOOKUP($D87,'Modelling New'!$D:$D,'Modelling New'!$O:$O),"")</f>
        <v>0.73158446710143066</v>
      </c>
      <c r="AF87" s="234">
        <f>IFERROR(_xlfn.XLOOKUP($D87,'Modelling New'!$D:$D,'Modelling New'!$W:$W),"")</f>
        <v>0.15617296193540262</v>
      </c>
      <c r="AG87" s="234">
        <f>IFERROR(_xlfn.XLOOKUP($D87,'Modelling New'!$D:$D,'Modelling New'!AE:AE),"")</f>
        <v>0.995</v>
      </c>
      <c r="AH87" s="234">
        <v>0.99750000000000005</v>
      </c>
      <c r="AI87" s="6"/>
      <c r="AJ87" s="6"/>
      <c r="AK87" s="6"/>
      <c r="AL87" s="6"/>
      <c r="AM87" s="6"/>
      <c r="AN87" s="231"/>
      <c r="AO87" s="234"/>
      <c r="AP87" s="234"/>
      <c r="AQ87" s="234"/>
      <c r="AR87" s="227">
        <f>IFERROR(_xlfn.XLOOKUP($D87,'Modelling New'!$D:$D,'Modelling New'!$N:$N),"")</f>
        <v>24.303100000000001</v>
      </c>
      <c r="AS87" s="227"/>
    </row>
    <row r="88" spans="1:45" x14ac:dyDescent="0.35">
      <c r="A88" s="226">
        <f t="shared" si="9"/>
        <v>45831</v>
      </c>
      <c r="B88" s="227">
        <f>YEAR(Daily_KPI[[#This Row],[Date]])+IF(MONTH(Daily_KPI[[#This Row],[Date]])&gt;=4,1,0)</f>
        <v>2026</v>
      </c>
      <c r="C88" s="6">
        <f>YEAR(Daily_KPI[[#This Row],[Date]])</f>
        <v>2025</v>
      </c>
      <c r="D88" s="228">
        <f>Daily_KPI[[#This Row],[Date]]-DAY(Daily_KPI[[#This Row],[Date]])+1</f>
        <v>45809</v>
      </c>
      <c r="E88" s="6">
        <f t="shared" si="7"/>
        <v>30</v>
      </c>
      <c r="F88" s="229">
        <f>IFERROR(_xlfn.XLOOKUP($A88,'Raw Data'!$A:$A,'Raw Data'!$BR:$BR),"")</f>
        <v>12.499999999999998</v>
      </c>
      <c r="G88" s="230">
        <f>IFERROR(_xlfn.XLOOKUP($A88,'Raw Data'!$A:$A,'Raw Data'!$AO:$AO),"")</f>
        <v>0</v>
      </c>
      <c r="H88" s="230"/>
      <c r="I88" s="230">
        <f>IFERROR(_xlfn.XLOOKUP($A88,'Raw Data'!$A:$A,'Raw Data'!$AR:$AR),"")</f>
        <v>4.8382190280065895</v>
      </c>
      <c r="J88" s="230"/>
      <c r="K88" s="230">
        <f>IFERROR(_xlfn.XLOOKUP($A88,'Raw Data'!$A:$A,'Raw Data'!$AV:$AV),"")</f>
        <v>0</v>
      </c>
      <c r="L88" s="230">
        <f>IFERROR(_xlfn.XLOOKUP($A88,'Raw Data'!$A:$A,'Raw Data'!$AW:$AW),"")</f>
        <v>0</v>
      </c>
      <c r="M88" s="230">
        <f>IFERROR(_xlfn.XLOOKUP($A88,'Raw Data'!$A:$A,'Raw Data'!$AX:$AX),"")</f>
        <v>0</v>
      </c>
      <c r="N88" s="230">
        <f>IFERROR(_xlfn.XLOOKUP($A88,'Raw Data'!$A:$A,'Raw Data'!$AY:$AY),"")</f>
        <v>0</v>
      </c>
      <c r="O88" s="231">
        <f>IFERROR(1-(SUMIF('Plant BD'!$B:$B,A88,'Plant BD'!$AE:$AE)/(AA88+SUMIF('Plant BD'!$B:$B,A88,'Plant BD'!$AE:$AE))),"")</f>
        <v>0.9929483595648585</v>
      </c>
      <c r="P88" s="231"/>
      <c r="Q88" s="232"/>
      <c r="R88" s="231">
        <f>IFERROR(1-(SUMIF('Grid BD'!$B:$B,$A88,'Grid BD'!$AD:$AD)/($AA88+SUMIF('Grid BD'!$B:$B,$A88,'Grid BD'!AD:AD))),"")</f>
        <v>1</v>
      </c>
      <c r="S88" s="6"/>
      <c r="T88" s="232"/>
      <c r="U88" s="233">
        <f t="shared" si="8"/>
        <v>0.83922076354319308</v>
      </c>
      <c r="V88" s="233"/>
      <c r="W88" s="234">
        <f t="shared" si="6"/>
        <v>0.16918057778637066</v>
      </c>
      <c r="X88" s="227">
        <f>IFERROR(_xlfn.XLOOKUP($A88,'Raw Data'!$A:$A,'Raw Data'!$BA:$BA),"")</f>
        <v>100405</v>
      </c>
      <c r="Y88" s="227">
        <f>IFERROR(_xlfn.XLOOKUP($A88,'Raw Data'!$A:$A,'Raw Data'!BJ:BJ),"")</f>
        <v>99539.79999999865</v>
      </c>
      <c r="Z88" s="227">
        <f>IFERROR(_xlfn.XLOOKUP($A88,'Raw Data'!$A:$A,'Raw Data'!BK:BK),"")</f>
        <v>861.09999999996489</v>
      </c>
      <c r="AA88" s="227">
        <f>IFERROR(_xlfn.XLOOKUP($A88,'Raw Data'!$A:$A,'Raw Data'!BL:BL),"")</f>
        <v>98678.699999998687</v>
      </c>
      <c r="AB88" s="227">
        <f>IFERROR(_xlfn.XLOOKUP($A88,'Raw Data'!$A:$A,'Raw Data'!$H:$H),"")</f>
        <v>24.303100000000001</v>
      </c>
      <c r="AC88" s="145">
        <f>IFERROR(_xlfn.XLOOKUP($D88,'Modelling New'!$D:$D,'Modelling New'!$P:$P),"")</f>
        <v>5.1233333333333331</v>
      </c>
      <c r="AD88" s="227">
        <f>IFERROR(_xlfn.XLOOKUP($D88,'Modelling New'!$D:$D,'Modelling New'!$T:$T)*1000,"")</f>
        <v>91091.690669094809</v>
      </c>
      <c r="AE88" s="234">
        <f>IFERROR(_xlfn.XLOOKUP($D88,'Modelling New'!$D:$D,'Modelling New'!$O:$O),"")</f>
        <v>0.73158446710143066</v>
      </c>
      <c r="AF88" s="234">
        <f>IFERROR(_xlfn.XLOOKUP($D88,'Modelling New'!$D:$D,'Modelling New'!$W:$W),"")</f>
        <v>0.15617296193540262</v>
      </c>
      <c r="AG88" s="234">
        <f>IFERROR(_xlfn.XLOOKUP($D88,'Modelling New'!$D:$D,'Modelling New'!AE:AE),"")</f>
        <v>0.995</v>
      </c>
      <c r="AH88" s="234">
        <v>0.99750000000000005</v>
      </c>
      <c r="AI88" s="6"/>
      <c r="AJ88" s="6"/>
      <c r="AK88" s="6"/>
      <c r="AL88" s="6"/>
      <c r="AM88" s="6"/>
      <c r="AN88" s="231"/>
      <c r="AO88" s="234"/>
      <c r="AP88" s="234"/>
      <c r="AQ88" s="234"/>
      <c r="AR88" s="227">
        <f>IFERROR(_xlfn.XLOOKUP($D88,'Modelling New'!$D:$D,'Modelling New'!$N:$N),"")</f>
        <v>24.303100000000001</v>
      </c>
      <c r="AS88" s="227"/>
    </row>
    <row r="89" spans="1:45" x14ac:dyDescent="0.35">
      <c r="A89" s="226">
        <f t="shared" si="9"/>
        <v>45832</v>
      </c>
      <c r="B89" s="227">
        <f>YEAR(Daily_KPI[[#This Row],[Date]])+IF(MONTH(Daily_KPI[[#This Row],[Date]])&gt;=4,1,0)</f>
        <v>2026</v>
      </c>
      <c r="C89" s="6">
        <f>YEAR(Daily_KPI[[#This Row],[Date]])</f>
        <v>2025</v>
      </c>
      <c r="D89" s="228">
        <f>Daily_KPI[[#This Row],[Date]]-DAY(Daily_KPI[[#This Row],[Date]])+1</f>
        <v>45809</v>
      </c>
      <c r="E89" s="6">
        <f t="shared" si="7"/>
        <v>30</v>
      </c>
      <c r="F89" s="229">
        <f>IFERROR(_xlfn.XLOOKUP($A89,'Raw Data'!$A:$A,'Raw Data'!$BR:$BR),"")</f>
        <v>11.833333333333332</v>
      </c>
      <c r="G89" s="230">
        <f>IFERROR(_xlfn.XLOOKUP($A89,'Raw Data'!$A:$A,'Raw Data'!$AO:$AO),"")</f>
        <v>0</v>
      </c>
      <c r="H89" s="230"/>
      <c r="I89" s="230">
        <f>IFERROR(_xlfn.XLOOKUP($A89,'Raw Data'!$A:$A,'Raw Data'!$AR:$AR),"")</f>
        <v>3.5884707166392089</v>
      </c>
      <c r="J89" s="230"/>
      <c r="K89" s="230">
        <f>IFERROR(_xlfn.XLOOKUP($A89,'Raw Data'!$A:$A,'Raw Data'!$AV:$AV),"")</f>
        <v>0</v>
      </c>
      <c r="L89" s="230">
        <f>IFERROR(_xlfn.XLOOKUP($A89,'Raw Data'!$A:$A,'Raw Data'!$AW:$AW),"")</f>
        <v>0</v>
      </c>
      <c r="M89" s="230">
        <f>IFERROR(_xlfn.XLOOKUP($A89,'Raw Data'!$A:$A,'Raw Data'!$AX:$AX),"")</f>
        <v>0</v>
      </c>
      <c r="N89" s="230">
        <f>IFERROR(_xlfn.XLOOKUP($A89,'Raw Data'!$A:$A,'Raw Data'!$AY:$AY),"")</f>
        <v>0</v>
      </c>
      <c r="O89" s="231">
        <f>IFERROR(1-(SUMIF('Plant BD'!$B:$B,A89,'Plant BD'!$AE:$AE)/(AA89+SUMIF('Plant BD'!$B:$B,A89,'Plant BD'!$AE:$AE))),"")</f>
        <v>0.9736459149574791</v>
      </c>
      <c r="P89" s="231"/>
      <c r="Q89" s="232"/>
      <c r="R89" s="231">
        <f>IFERROR(1-(SUMIF('Grid BD'!$B:$B,$A89,'Grid BD'!$AD:$AD)/($AA89+SUMIF('Grid BD'!$B:$B,$A89,'Grid BD'!AD:AD))),"")</f>
        <v>1</v>
      </c>
      <c r="S89" s="6"/>
      <c r="T89" s="232"/>
      <c r="U89" s="233">
        <f t="shared" si="8"/>
        <v>0.81997604209112906</v>
      </c>
      <c r="V89" s="233"/>
      <c r="W89" s="234">
        <f t="shared" si="6"/>
        <v>0.12260250064123901</v>
      </c>
      <c r="X89" s="227">
        <f>IFERROR(_xlfn.XLOOKUP($A89,'Raw Data'!$A:$A,'Raw Data'!$BA:$BA),"")</f>
        <v>72504</v>
      </c>
      <c r="Y89" s="227">
        <f>IFERROR(_xlfn.XLOOKUP($A89,'Raw Data'!$A:$A,'Raw Data'!BJ:BJ),"")</f>
        <v>72630.9000000183</v>
      </c>
      <c r="Z89" s="227">
        <f>IFERROR(_xlfn.XLOOKUP($A89,'Raw Data'!$A:$A,'Raw Data'!BK:BK),"")</f>
        <v>1120.0000000000045</v>
      </c>
      <c r="AA89" s="227">
        <f>IFERROR(_xlfn.XLOOKUP($A89,'Raw Data'!$A:$A,'Raw Data'!BL:BL),"")</f>
        <v>71510.9000000183</v>
      </c>
      <c r="AB89" s="227">
        <f>IFERROR(_xlfn.XLOOKUP($A89,'Raw Data'!$A:$A,'Raw Data'!$H:$H),"")</f>
        <v>24.303100000000001</v>
      </c>
      <c r="AC89" s="145">
        <f>IFERROR(_xlfn.XLOOKUP($D89,'Modelling New'!$D:$D,'Modelling New'!$P:$P),"")</f>
        <v>5.1233333333333331</v>
      </c>
      <c r="AD89" s="227">
        <f>IFERROR(_xlfn.XLOOKUP($D89,'Modelling New'!$D:$D,'Modelling New'!$T:$T)*1000,"")</f>
        <v>91091.690669094809</v>
      </c>
      <c r="AE89" s="234">
        <f>IFERROR(_xlfn.XLOOKUP($D89,'Modelling New'!$D:$D,'Modelling New'!$O:$O),"")</f>
        <v>0.73158446710143066</v>
      </c>
      <c r="AF89" s="234">
        <f>IFERROR(_xlfn.XLOOKUP($D89,'Modelling New'!$D:$D,'Modelling New'!$W:$W),"")</f>
        <v>0.15617296193540262</v>
      </c>
      <c r="AG89" s="234">
        <f>IFERROR(_xlfn.XLOOKUP($D89,'Modelling New'!$D:$D,'Modelling New'!AE:AE),"")</f>
        <v>0.995</v>
      </c>
      <c r="AH89" s="234">
        <v>0.99750000000000005</v>
      </c>
      <c r="AI89" s="6"/>
      <c r="AJ89" s="6"/>
      <c r="AK89" s="6"/>
      <c r="AL89" s="6"/>
      <c r="AM89" s="6"/>
      <c r="AN89" s="231"/>
      <c r="AO89" s="234"/>
      <c r="AP89" s="234"/>
      <c r="AQ89" s="234"/>
      <c r="AR89" s="227">
        <f>IFERROR(_xlfn.XLOOKUP($D89,'Modelling New'!$D:$D,'Modelling New'!$N:$N),"")</f>
        <v>24.303100000000001</v>
      </c>
      <c r="AS89" s="227"/>
    </row>
    <row r="90" spans="1:45" x14ac:dyDescent="0.35">
      <c r="A90" s="226">
        <f t="shared" si="9"/>
        <v>45833</v>
      </c>
      <c r="B90" s="227">
        <f>YEAR(Daily_KPI[[#This Row],[Date]])+IF(MONTH(Daily_KPI[[#This Row],[Date]])&gt;=4,1,0)</f>
        <v>2026</v>
      </c>
      <c r="C90" s="6">
        <f>YEAR(Daily_KPI[[#This Row],[Date]])</f>
        <v>2025</v>
      </c>
      <c r="D90" s="228">
        <f>Daily_KPI[[#This Row],[Date]]-DAY(Daily_KPI[[#This Row],[Date]])+1</f>
        <v>45809</v>
      </c>
      <c r="E90" s="6">
        <f t="shared" si="7"/>
        <v>30</v>
      </c>
      <c r="F90" s="229">
        <f>IFERROR(_xlfn.XLOOKUP($A90,'Raw Data'!$A:$A,'Raw Data'!$BR:$BR),"")</f>
        <v>12.183333333333334</v>
      </c>
      <c r="G90" s="230">
        <f>IFERROR(_xlfn.XLOOKUP($A90,'Raw Data'!$A:$A,'Raw Data'!$AO:$AO),"")</f>
        <v>0</v>
      </c>
      <c r="H90" s="230"/>
      <c r="I90" s="230">
        <f>IFERROR(_xlfn.XLOOKUP($A90,'Raw Data'!$A:$A,'Raw Data'!$AR:$AR),"")</f>
        <v>2.5543703459637559</v>
      </c>
      <c r="J90" s="230"/>
      <c r="K90" s="230">
        <f>IFERROR(_xlfn.XLOOKUP($A90,'Raw Data'!$A:$A,'Raw Data'!$AV:$AV),"")</f>
        <v>0</v>
      </c>
      <c r="L90" s="230">
        <f>IFERROR(_xlfn.XLOOKUP($A90,'Raw Data'!$A:$A,'Raw Data'!$AW:$AW),"")</f>
        <v>0</v>
      </c>
      <c r="M90" s="230">
        <f>IFERROR(_xlfn.XLOOKUP($A90,'Raw Data'!$A:$A,'Raw Data'!$AX:$AX),"")</f>
        <v>0</v>
      </c>
      <c r="N90" s="230">
        <f>IFERROR(_xlfn.XLOOKUP($A90,'Raw Data'!$A:$A,'Raw Data'!$AY:$AY),"")</f>
        <v>0</v>
      </c>
      <c r="O90" s="231">
        <f>IFERROR(1-(SUMIF('Plant BD'!$B:$B,A90,'Plant BD'!$AE:$AE)/(AA90+SUMIF('Plant BD'!$B:$B,A90,'Plant BD'!$AE:$AE))),"")</f>
        <v>0.9952714567041786</v>
      </c>
      <c r="P90" s="231"/>
      <c r="Q90" s="232"/>
      <c r="R90" s="231">
        <f>IFERROR(1-(SUMIF('Grid BD'!$B:$B,$A90,'Grid BD'!$AD:$AD)/($AA90+SUMIF('Grid BD'!$B:$B,$A90,'Grid BD'!AD:AD))),"")</f>
        <v>1</v>
      </c>
      <c r="S90" s="6"/>
      <c r="T90" s="232"/>
      <c r="U90" s="233">
        <f t="shared" si="8"/>
        <v>0.85644258087803848</v>
      </c>
      <c r="V90" s="233"/>
      <c r="W90" s="234">
        <f t="shared" si="6"/>
        <v>9.1152980483980309E-2</v>
      </c>
      <c r="X90" s="227">
        <f>IFERROR(_xlfn.XLOOKUP($A90,'Raw Data'!$A:$A,'Raw Data'!$BA:$BA),"")</f>
        <v>53535</v>
      </c>
      <c r="Y90" s="227">
        <f>IFERROR(_xlfn.XLOOKUP($A90,'Raw Data'!$A:$A,'Raw Data'!BJ:BJ),"")</f>
        <v>54062.000000005355</v>
      </c>
      <c r="Z90" s="227">
        <f>IFERROR(_xlfn.XLOOKUP($A90,'Raw Data'!$A:$A,'Raw Data'!BK:BK),"")</f>
        <v>894.80000000003201</v>
      </c>
      <c r="AA90" s="227">
        <f>IFERROR(_xlfn.XLOOKUP($A90,'Raw Data'!$A:$A,'Raw Data'!BL:BL),"")</f>
        <v>53167.200000005323</v>
      </c>
      <c r="AB90" s="227">
        <f>IFERROR(_xlfn.XLOOKUP($A90,'Raw Data'!$A:$A,'Raw Data'!$H:$H),"")</f>
        <v>24.303100000000001</v>
      </c>
      <c r="AC90" s="145">
        <f>IFERROR(_xlfn.XLOOKUP($D90,'Modelling New'!$D:$D,'Modelling New'!$P:$P),"")</f>
        <v>5.1233333333333331</v>
      </c>
      <c r="AD90" s="227">
        <f>IFERROR(_xlfn.XLOOKUP($D90,'Modelling New'!$D:$D,'Modelling New'!$T:$T)*1000,"")</f>
        <v>91091.690669094809</v>
      </c>
      <c r="AE90" s="234">
        <f>IFERROR(_xlfn.XLOOKUP($D90,'Modelling New'!$D:$D,'Modelling New'!$O:$O),"")</f>
        <v>0.73158446710143066</v>
      </c>
      <c r="AF90" s="234">
        <f>IFERROR(_xlfn.XLOOKUP($D90,'Modelling New'!$D:$D,'Modelling New'!$W:$W),"")</f>
        <v>0.15617296193540262</v>
      </c>
      <c r="AG90" s="234">
        <f>IFERROR(_xlfn.XLOOKUP($D90,'Modelling New'!$D:$D,'Modelling New'!AE:AE),"")</f>
        <v>0.995</v>
      </c>
      <c r="AH90" s="234">
        <v>0.99750000000000005</v>
      </c>
      <c r="AI90" s="6"/>
      <c r="AJ90" s="6"/>
      <c r="AK90" s="6"/>
      <c r="AL90" s="6"/>
      <c r="AM90" s="6"/>
      <c r="AN90" s="231"/>
      <c r="AO90" s="234"/>
      <c r="AP90" s="234"/>
      <c r="AQ90" s="234"/>
      <c r="AR90" s="227">
        <f>IFERROR(_xlfn.XLOOKUP($D90,'Modelling New'!$D:$D,'Modelling New'!$N:$N),"")</f>
        <v>24.303100000000001</v>
      </c>
      <c r="AS90" s="227"/>
    </row>
    <row r="91" spans="1:45" x14ac:dyDescent="0.35">
      <c r="A91" s="226">
        <f t="shared" si="9"/>
        <v>45834</v>
      </c>
      <c r="B91" s="227">
        <f>YEAR(Daily_KPI[[#This Row],[Date]])+IF(MONTH(Daily_KPI[[#This Row],[Date]])&gt;=4,1,0)</f>
        <v>2026</v>
      </c>
      <c r="C91" s="6">
        <f>YEAR(Daily_KPI[[#This Row],[Date]])</f>
        <v>2025</v>
      </c>
      <c r="D91" s="228">
        <f>Daily_KPI[[#This Row],[Date]]-DAY(Daily_KPI[[#This Row],[Date]])+1</f>
        <v>45809</v>
      </c>
      <c r="E91" s="6">
        <f t="shared" si="7"/>
        <v>30</v>
      </c>
      <c r="F91" s="229">
        <f>IFERROR(_xlfn.XLOOKUP($A91,'Raw Data'!$A:$A,'Raw Data'!$BR:$BR),"")</f>
        <v>11.116666666666665</v>
      </c>
      <c r="G91" s="230">
        <f>IFERROR(_xlfn.XLOOKUP($A91,'Raw Data'!$A:$A,'Raw Data'!$AO:$AO),"")</f>
        <v>0</v>
      </c>
      <c r="H91" s="230"/>
      <c r="I91" s="230">
        <f>IFERROR(_xlfn.XLOOKUP($A91,'Raw Data'!$A:$A,'Raw Data'!$AR:$AR),"")</f>
        <v>1.1844243410214168</v>
      </c>
      <c r="J91" s="230"/>
      <c r="K91" s="230">
        <f>IFERROR(_xlfn.XLOOKUP($A91,'Raw Data'!$A:$A,'Raw Data'!$AV:$AV),"")</f>
        <v>0</v>
      </c>
      <c r="L91" s="230">
        <f>IFERROR(_xlfn.XLOOKUP($A91,'Raw Data'!$A:$A,'Raw Data'!$AW:$AW),"")</f>
        <v>0</v>
      </c>
      <c r="M91" s="230">
        <f>IFERROR(_xlfn.XLOOKUP($A91,'Raw Data'!$A:$A,'Raw Data'!$AX:$AX),"")</f>
        <v>0</v>
      </c>
      <c r="N91" s="230">
        <f>IFERROR(_xlfn.XLOOKUP($A91,'Raw Data'!$A:$A,'Raw Data'!$AY:$AY),"")</f>
        <v>0</v>
      </c>
      <c r="O91" s="231">
        <f>IFERROR(1-(SUMIF('Plant BD'!$B:$B,A91,'Plant BD'!$AE:$AE)/(AA91+SUMIF('Plant BD'!$B:$B,A91,'Plant BD'!$AE:$AE))),"")</f>
        <v>0.57691846096354582</v>
      </c>
      <c r="P91" s="231"/>
      <c r="Q91" s="232"/>
      <c r="R91" s="231">
        <f>IFERROR(1-(SUMIF('Grid BD'!$B:$B,$A91,'Grid BD'!$AD:$AD)/($AA91+SUMIF('Grid BD'!$B:$B,$A91,'Grid BD'!AD:AD))),"")</f>
        <v>1</v>
      </c>
      <c r="S91" s="6"/>
      <c r="T91" s="232"/>
      <c r="U91" s="233">
        <f t="shared" si="8"/>
        <v>0.5613794390832334</v>
      </c>
      <c r="V91" s="233"/>
      <c r="W91" s="234">
        <f t="shared" si="6"/>
        <v>2.7704644674963804E-2</v>
      </c>
      <c r="X91" s="227">
        <f>IFERROR(_xlfn.XLOOKUP($A91,'Raw Data'!$A:$A,'Raw Data'!$BA:$BA),"")</f>
        <v>16584.2</v>
      </c>
      <c r="Y91" s="227">
        <f>IFERROR(_xlfn.XLOOKUP($A91,'Raw Data'!$A:$A,'Raw Data'!BJ:BJ),"")</f>
        <v>16945.890000002692</v>
      </c>
      <c r="Z91" s="227">
        <f>IFERROR(_xlfn.XLOOKUP($A91,'Raw Data'!$A:$A,'Raw Data'!BK:BK),"")</f>
        <v>786.47999999998319</v>
      </c>
      <c r="AA91" s="227">
        <f>IFERROR(_xlfn.XLOOKUP($A91,'Raw Data'!$A:$A,'Raw Data'!BL:BL),"")</f>
        <v>16159.410000002708</v>
      </c>
      <c r="AB91" s="227">
        <f>IFERROR(_xlfn.XLOOKUP($A91,'Raw Data'!$A:$A,'Raw Data'!$H:$H),"")</f>
        <v>24.303100000000001</v>
      </c>
      <c r="AC91" s="145">
        <f>IFERROR(_xlfn.XLOOKUP($D91,'Modelling New'!$D:$D,'Modelling New'!$P:$P),"")</f>
        <v>5.1233333333333331</v>
      </c>
      <c r="AD91" s="227">
        <f>IFERROR(_xlfn.XLOOKUP($D91,'Modelling New'!$D:$D,'Modelling New'!$T:$T)*1000,"")</f>
        <v>91091.690669094809</v>
      </c>
      <c r="AE91" s="234">
        <f>IFERROR(_xlfn.XLOOKUP($D91,'Modelling New'!$D:$D,'Modelling New'!$O:$O),"")</f>
        <v>0.73158446710143066</v>
      </c>
      <c r="AF91" s="234">
        <f>IFERROR(_xlfn.XLOOKUP($D91,'Modelling New'!$D:$D,'Modelling New'!$W:$W),"")</f>
        <v>0.15617296193540262</v>
      </c>
      <c r="AG91" s="234">
        <f>IFERROR(_xlfn.XLOOKUP($D91,'Modelling New'!$D:$D,'Modelling New'!AE:AE),"")</f>
        <v>0.995</v>
      </c>
      <c r="AH91" s="234">
        <v>0.99750000000000005</v>
      </c>
      <c r="AI91" s="6"/>
      <c r="AJ91" s="6"/>
      <c r="AK91" s="6"/>
      <c r="AL91" s="6"/>
      <c r="AM91" s="6"/>
      <c r="AN91" s="231"/>
      <c r="AO91" s="234"/>
      <c r="AP91" s="234"/>
      <c r="AQ91" s="234"/>
      <c r="AR91" s="227">
        <f>IFERROR(_xlfn.XLOOKUP($D91,'Modelling New'!$D:$D,'Modelling New'!$N:$N),"")</f>
        <v>24.303100000000001</v>
      </c>
      <c r="AS91" s="227"/>
    </row>
    <row r="92" spans="1:45" x14ac:dyDescent="0.35">
      <c r="A92" s="226">
        <f t="shared" si="9"/>
        <v>45835</v>
      </c>
      <c r="B92" s="227">
        <f>YEAR(Daily_KPI[[#This Row],[Date]])+IF(MONTH(Daily_KPI[[#This Row],[Date]])&gt;=4,1,0)</f>
        <v>2026</v>
      </c>
      <c r="C92" s="6">
        <f>YEAR(Daily_KPI[[#This Row],[Date]])</f>
        <v>2025</v>
      </c>
      <c r="D92" s="228">
        <f>Daily_KPI[[#This Row],[Date]]-DAY(Daily_KPI[[#This Row],[Date]])+1</f>
        <v>45809</v>
      </c>
      <c r="E92" s="6">
        <f t="shared" si="7"/>
        <v>30</v>
      </c>
      <c r="F92" s="229">
        <f>IFERROR(_xlfn.XLOOKUP($A92,'Raw Data'!$A:$A,'Raw Data'!$BR:$BR),"")</f>
        <v>12.533333333333331</v>
      </c>
      <c r="G92" s="230">
        <f>IFERROR(_xlfn.XLOOKUP($A92,'Raw Data'!$A:$A,'Raw Data'!$AO:$AO),"")</f>
        <v>0</v>
      </c>
      <c r="H92" s="230"/>
      <c r="I92" s="230">
        <f>IFERROR(_xlfn.XLOOKUP($A92,'Raw Data'!$A:$A,'Raw Data'!$AR:$AR),"")</f>
        <v>5.3027300247116962</v>
      </c>
      <c r="J92" s="230"/>
      <c r="K92" s="230">
        <f>IFERROR(_xlfn.XLOOKUP($A92,'Raw Data'!$A:$A,'Raw Data'!$AV:$AV),"")</f>
        <v>0</v>
      </c>
      <c r="L92" s="230">
        <f>IFERROR(_xlfn.XLOOKUP($A92,'Raw Data'!$A:$A,'Raw Data'!$AW:$AW),"")</f>
        <v>0</v>
      </c>
      <c r="M92" s="230">
        <f>IFERROR(_xlfn.XLOOKUP($A92,'Raw Data'!$A:$A,'Raw Data'!$AX:$AX),"")</f>
        <v>0</v>
      </c>
      <c r="N92" s="230">
        <f>IFERROR(_xlfn.XLOOKUP($A92,'Raw Data'!$A:$A,'Raw Data'!$AY:$AY),"")</f>
        <v>0</v>
      </c>
      <c r="O92" s="231">
        <f>IFERROR(1-(SUMIF('Plant BD'!$B:$B,A92,'Plant BD'!$AE:$AE)/(AA92+SUMIF('Plant BD'!$B:$B,A92,'Plant BD'!$AE:$AE))),"")</f>
        <v>0.95626650000493407</v>
      </c>
      <c r="P92" s="231"/>
      <c r="Q92" s="232"/>
      <c r="R92" s="231">
        <f>IFERROR(1-(SUMIF('Grid BD'!$B:$B,$A92,'Grid BD'!$AD:$AD)/($AA92+SUMIF('Grid BD'!$B:$B,$A92,'Grid BD'!AD:AD))),"")</f>
        <v>1</v>
      </c>
      <c r="S92" s="6"/>
      <c r="T92" s="232"/>
      <c r="U92" s="233">
        <f t="shared" si="8"/>
        <v>0.77225921172357326</v>
      </c>
      <c r="V92" s="233"/>
      <c r="W92" s="234">
        <f t="shared" si="6"/>
        <v>0.17062842120278246</v>
      </c>
      <c r="X92" s="227">
        <f>IFERROR(_xlfn.XLOOKUP($A92,'Raw Data'!$A:$A,'Raw Data'!$BA:$BA),"")</f>
        <v>101003.5</v>
      </c>
      <c r="Y92" s="227">
        <f>IFERROR(_xlfn.XLOOKUP($A92,'Raw Data'!$A:$A,'Raw Data'!BJ:BJ),"")</f>
        <v>100772.31000000029</v>
      </c>
      <c r="Z92" s="227">
        <f>IFERROR(_xlfn.XLOOKUP($A92,'Raw Data'!$A:$A,'Raw Data'!BK:BK),"")</f>
        <v>1249.1200000000617</v>
      </c>
      <c r="AA92" s="227">
        <f>IFERROR(_xlfn.XLOOKUP($A92,'Raw Data'!$A:$A,'Raw Data'!BL:BL),"")</f>
        <v>99523.190000000221</v>
      </c>
      <c r="AB92" s="227">
        <f>IFERROR(_xlfn.XLOOKUP($A92,'Raw Data'!$A:$A,'Raw Data'!$H:$H),"")</f>
        <v>24.303100000000001</v>
      </c>
      <c r="AC92" s="145">
        <f>IFERROR(_xlfn.XLOOKUP($D92,'Modelling New'!$D:$D,'Modelling New'!$P:$P),"")</f>
        <v>5.1233333333333331</v>
      </c>
      <c r="AD92" s="227">
        <f>IFERROR(_xlfn.XLOOKUP($D92,'Modelling New'!$D:$D,'Modelling New'!$T:$T)*1000,"")</f>
        <v>91091.690669094809</v>
      </c>
      <c r="AE92" s="234">
        <f>IFERROR(_xlfn.XLOOKUP($D92,'Modelling New'!$D:$D,'Modelling New'!$O:$O),"")</f>
        <v>0.73158446710143066</v>
      </c>
      <c r="AF92" s="234">
        <f>IFERROR(_xlfn.XLOOKUP($D92,'Modelling New'!$D:$D,'Modelling New'!$W:$W),"")</f>
        <v>0.15617296193540262</v>
      </c>
      <c r="AG92" s="234">
        <f>IFERROR(_xlfn.XLOOKUP($D92,'Modelling New'!$D:$D,'Modelling New'!AE:AE),"")</f>
        <v>0.995</v>
      </c>
      <c r="AH92" s="234">
        <v>0.99750000000000005</v>
      </c>
      <c r="AI92" s="6"/>
      <c r="AJ92" s="6"/>
      <c r="AK92" s="6"/>
      <c r="AL92" s="6"/>
      <c r="AM92" s="6"/>
      <c r="AN92" s="231"/>
      <c r="AO92" s="234"/>
      <c r="AP92" s="234"/>
      <c r="AQ92" s="234"/>
      <c r="AR92" s="227">
        <f>IFERROR(_xlfn.XLOOKUP($D92,'Modelling New'!$D:$D,'Modelling New'!$N:$N),"")</f>
        <v>24.303100000000001</v>
      </c>
      <c r="AS92" s="227"/>
    </row>
    <row r="93" spans="1:45" x14ac:dyDescent="0.35">
      <c r="A93" s="226">
        <f t="shared" si="9"/>
        <v>45836</v>
      </c>
      <c r="B93" s="227">
        <f>YEAR(Daily_KPI[[#This Row],[Date]])+IF(MONTH(Daily_KPI[[#This Row],[Date]])&gt;=4,1,0)</f>
        <v>2026</v>
      </c>
      <c r="C93" s="6">
        <f>YEAR(Daily_KPI[[#This Row],[Date]])</f>
        <v>2025</v>
      </c>
      <c r="D93" s="228">
        <f>Daily_KPI[[#This Row],[Date]]-DAY(Daily_KPI[[#This Row],[Date]])+1</f>
        <v>45809</v>
      </c>
      <c r="E93" s="6">
        <f t="shared" si="7"/>
        <v>30</v>
      </c>
      <c r="F93" s="229">
        <f>IFERROR(_xlfn.XLOOKUP($A93,'Raw Data'!$A:$A,'Raw Data'!$BR:$BR),"")</f>
        <v>12.266666666666669</v>
      </c>
      <c r="G93" s="230">
        <f>IFERROR(_xlfn.XLOOKUP($A93,'Raw Data'!$A:$A,'Raw Data'!$AO:$AO),"")</f>
        <v>0</v>
      </c>
      <c r="H93" s="230"/>
      <c r="I93" s="230">
        <f>IFERROR(_xlfn.XLOOKUP($A93,'Raw Data'!$A:$A,'Raw Data'!$AR:$AR),"")</f>
        <v>5.0200539950576601</v>
      </c>
      <c r="J93" s="230"/>
      <c r="K93" s="230">
        <f>IFERROR(_xlfn.XLOOKUP($A93,'Raw Data'!$A:$A,'Raw Data'!$AV:$AV),"")</f>
        <v>0</v>
      </c>
      <c r="L93" s="230">
        <f>IFERROR(_xlfn.XLOOKUP($A93,'Raw Data'!$A:$A,'Raw Data'!$AW:$AW),"")</f>
        <v>0</v>
      </c>
      <c r="M93" s="230">
        <f>IFERROR(_xlfn.XLOOKUP($A93,'Raw Data'!$A:$A,'Raw Data'!$AX:$AX),"")</f>
        <v>0</v>
      </c>
      <c r="N93" s="230">
        <f>IFERROR(_xlfn.XLOOKUP($A93,'Raw Data'!$A:$A,'Raw Data'!$AY:$AY),"")</f>
        <v>0</v>
      </c>
      <c r="O93" s="231">
        <f>IFERROR(1-(SUMIF('Plant BD'!$B:$B,A93,'Plant BD'!$AE:$AE)/(AA93+SUMIF('Plant BD'!$B:$B,A93,'Plant BD'!$AE:$AE))),"")</f>
        <v>0.99637841572253294</v>
      </c>
      <c r="P93" s="231"/>
      <c r="Q93" s="232"/>
      <c r="R93" s="231">
        <f>IFERROR(1-(SUMIF('Grid BD'!$B:$B,$A93,'Grid BD'!$AD:$AD)/($AA93+SUMIF('Grid BD'!$B:$B,$A93,'Grid BD'!AD:AD))),"")</f>
        <v>1</v>
      </c>
      <c r="S93" s="6"/>
      <c r="T93" s="232"/>
      <c r="U93" s="233">
        <f t="shared" si="8"/>
        <v>0.85414053269568724</v>
      </c>
      <c r="V93" s="233"/>
      <c r="W93" s="234">
        <f t="shared" si="6"/>
        <v>0.1786596497291526</v>
      </c>
      <c r="X93" s="227">
        <f>IFERROR(_xlfn.XLOOKUP($A93,'Raw Data'!$A:$A,'Raw Data'!$BA:$BA),"")</f>
        <v>104811.3</v>
      </c>
      <c r="Y93" s="227">
        <f>IFERROR(_xlfn.XLOOKUP($A93,'Raw Data'!$A:$A,'Raw Data'!BJ:BJ),"")</f>
        <v>104595.19999998156</v>
      </c>
      <c r="Z93" s="227">
        <f>IFERROR(_xlfn.XLOOKUP($A93,'Raw Data'!$A:$A,'Raw Data'!BK:BK),"")</f>
        <v>387.59999999990669</v>
      </c>
      <c r="AA93" s="227">
        <f>IFERROR(_xlfn.XLOOKUP($A93,'Raw Data'!$A:$A,'Raw Data'!BL:BL),"")</f>
        <v>104207.59999998166</v>
      </c>
      <c r="AB93" s="227">
        <f>IFERROR(_xlfn.XLOOKUP($A93,'Raw Data'!$A:$A,'Raw Data'!$H:$H),"")</f>
        <v>24.303100000000001</v>
      </c>
      <c r="AC93" s="145">
        <f>IFERROR(_xlfn.XLOOKUP($D93,'Modelling New'!$D:$D,'Modelling New'!$P:$P),"")</f>
        <v>5.1233333333333331</v>
      </c>
      <c r="AD93" s="227">
        <f>IFERROR(_xlfn.XLOOKUP($D93,'Modelling New'!$D:$D,'Modelling New'!$T:$T)*1000,"")</f>
        <v>91091.690669094809</v>
      </c>
      <c r="AE93" s="234">
        <f>IFERROR(_xlfn.XLOOKUP($D93,'Modelling New'!$D:$D,'Modelling New'!$O:$O),"")</f>
        <v>0.73158446710143066</v>
      </c>
      <c r="AF93" s="234">
        <f>IFERROR(_xlfn.XLOOKUP($D93,'Modelling New'!$D:$D,'Modelling New'!$W:$W),"")</f>
        <v>0.15617296193540262</v>
      </c>
      <c r="AG93" s="234">
        <f>IFERROR(_xlfn.XLOOKUP($D93,'Modelling New'!$D:$D,'Modelling New'!AE:AE),"")</f>
        <v>0.995</v>
      </c>
      <c r="AH93" s="234">
        <v>0.99750000000000005</v>
      </c>
      <c r="AI93" s="6"/>
      <c r="AJ93" s="6"/>
      <c r="AK93" s="6"/>
      <c r="AL93" s="6"/>
      <c r="AM93" s="6"/>
      <c r="AN93" s="231"/>
      <c r="AO93" s="234"/>
      <c r="AP93" s="234"/>
      <c r="AQ93" s="234"/>
      <c r="AR93" s="227">
        <f>IFERROR(_xlfn.XLOOKUP($D93,'Modelling New'!$D:$D,'Modelling New'!$N:$N),"")</f>
        <v>24.303100000000001</v>
      </c>
      <c r="AS93" s="227"/>
    </row>
    <row r="94" spans="1:45" x14ac:dyDescent="0.35">
      <c r="A94" s="226">
        <f t="shared" si="9"/>
        <v>45837</v>
      </c>
      <c r="B94" s="227">
        <f>YEAR(Daily_KPI[[#This Row],[Date]])+IF(MONTH(Daily_KPI[[#This Row],[Date]])&gt;=4,1,0)</f>
        <v>2026</v>
      </c>
      <c r="C94" s="6">
        <f>YEAR(Daily_KPI[[#This Row],[Date]])</f>
        <v>2025</v>
      </c>
      <c r="D94" s="228">
        <f>Daily_KPI[[#This Row],[Date]]-DAY(Daily_KPI[[#This Row],[Date]])+1</f>
        <v>45809</v>
      </c>
      <c r="E94" s="6">
        <f t="shared" si="7"/>
        <v>30</v>
      </c>
      <c r="F94" s="229">
        <f>IFERROR(_xlfn.XLOOKUP($A94,'Raw Data'!$A:$A,'Raw Data'!$BR:$BR),"")</f>
        <v>12.483333333333334</v>
      </c>
      <c r="G94" s="230">
        <f>IFERROR(_xlfn.XLOOKUP($A94,'Raw Data'!$A:$A,'Raw Data'!$AO:$AO),"")</f>
        <v>0</v>
      </c>
      <c r="H94" s="230"/>
      <c r="I94" s="230">
        <f>IFERROR(_xlfn.XLOOKUP($A94,'Raw Data'!$A:$A,'Raw Data'!$AR:$AR),"")</f>
        <v>3.3752083607907739</v>
      </c>
      <c r="J94" s="230"/>
      <c r="K94" s="230">
        <f>IFERROR(_xlfn.XLOOKUP($A94,'Raw Data'!$A:$A,'Raw Data'!$AV:$AV),"")</f>
        <v>0</v>
      </c>
      <c r="L94" s="230">
        <f>IFERROR(_xlfn.XLOOKUP($A94,'Raw Data'!$A:$A,'Raw Data'!$AW:$AW),"")</f>
        <v>0</v>
      </c>
      <c r="M94" s="230">
        <f>IFERROR(_xlfn.XLOOKUP($A94,'Raw Data'!$A:$A,'Raw Data'!$AX:$AX),"")</f>
        <v>0</v>
      </c>
      <c r="N94" s="230">
        <f>IFERROR(_xlfn.XLOOKUP($A94,'Raw Data'!$A:$A,'Raw Data'!$AY:$AY),"")</f>
        <v>0</v>
      </c>
      <c r="O94" s="231">
        <f>IFERROR(1-(SUMIF('Plant BD'!$B:$B,A94,'Plant BD'!$AE:$AE)/(AA94+SUMIF('Plant BD'!$B:$B,A94,'Plant BD'!$AE:$AE))),"")</f>
        <v>1</v>
      </c>
      <c r="P94" s="231"/>
      <c r="Q94" s="232"/>
      <c r="R94" s="231">
        <f>IFERROR(1-(SUMIF('Grid BD'!$B:$B,$A94,'Grid BD'!$AD:$AD)/($AA94+SUMIF('Grid BD'!$B:$B,$A94,'Grid BD'!AD:AD))),"")</f>
        <v>1</v>
      </c>
      <c r="S94" s="6"/>
      <c r="T94" s="232"/>
      <c r="U94" s="233">
        <f t="shared" si="8"/>
        <v>0.86626855714820605</v>
      </c>
      <c r="V94" s="233"/>
      <c r="W94" s="234">
        <f t="shared" si="6"/>
        <v>0.12182653653236605</v>
      </c>
      <c r="X94" s="227">
        <f>IFERROR(_xlfn.XLOOKUP($A94,'Raw Data'!$A:$A,'Raw Data'!$BA:$BA),"")</f>
        <v>71533.399999999994</v>
      </c>
      <c r="Y94" s="227">
        <f>IFERROR(_xlfn.XLOOKUP($A94,'Raw Data'!$A:$A,'Raw Data'!BJ:BJ),"")</f>
        <v>71818.499999993946</v>
      </c>
      <c r="Z94" s="227">
        <f>IFERROR(_xlfn.XLOOKUP($A94,'Raw Data'!$A:$A,'Raw Data'!BK:BK),"")</f>
        <v>760.20000000005439</v>
      </c>
      <c r="AA94" s="227">
        <f>IFERROR(_xlfn.XLOOKUP($A94,'Raw Data'!$A:$A,'Raw Data'!BL:BL),"")</f>
        <v>71058.299999993891</v>
      </c>
      <c r="AB94" s="227">
        <f>IFERROR(_xlfn.XLOOKUP($A94,'Raw Data'!$A:$A,'Raw Data'!$H:$H),"")</f>
        <v>24.303100000000001</v>
      </c>
      <c r="AC94" s="145">
        <f>IFERROR(_xlfn.XLOOKUP($D94,'Modelling New'!$D:$D,'Modelling New'!$P:$P),"")</f>
        <v>5.1233333333333331</v>
      </c>
      <c r="AD94" s="227">
        <f>IFERROR(_xlfn.XLOOKUP($D94,'Modelling New'!$D:$D,'Modelling New'!$T:$T)*1000,"")</f>
        <v>91091.690669094809</v>
      </c>
      <c r="AE94" s="234">
        <f>IFERROR(_xlfn.XLOOKUP($D94,'Modelling New'!$D:$D,'Modelling New'!$O:$O),"")</f>
        <v>0.73158446710143066</v>
      </c>
      <c r="AF94" s="234">
        <f>IFERROR(_xlfn.XLOOKUP($D94,'Modelling New'!$D:$D,'Modelling New'!$W:$W),"")</f>
        <v>0.15617296193540262</v>
      </c>
      <c r="AG94" s="234">
        <f>IFERROR(_xlfn.XLOOKUP($D94,'Modelling New'!$D:$D,'Modelling New'!AE:AE),"")</f>
        <v>0.995</v>
      </c>
      <c r="AH94" s="234">
        <v>0.99750000000000005</v>
      </c>
      <c r="AI94" s="6"/>
      <c r="AJ94" s="6"/>
      <c r="AK94" s="6"/>
      <c r="AL94" s="6"/>
      <c r="AM94" s="6"/>
      <c r="AN94" s="231"/>
      <c r="AO94" s="234"/>
      <c r="AP94" s="234"/>
      <c r="AQ94" s="234"/>
      <c r="AR94" s="227">
        <f>IFERROR(_xlfn.XLOOKUP($D94,'Modelling New'!$D:$D,'Modelling New'!$N:$N),"")</f>
        <v>24.303100000000001</v>
      </c>
      <c r="AS94" s="227"/>
    </row>
    <row r="95" spans="1:45" x14ac:dyDescent="0.35">
      <c r="A95" s="226">
        <f t="shared" si="9"/>
        <v>45838</v>
      </c>
      <c r="B95" s="227">
        <f>YEAR(Daily_KPI[[#This Row],[Date]])+IF(MONTH(Daily_KPI[[#This Row],[Date]])&gt;=4,1,0)</f>
        <v>2026</v>
      </c>
      <c r="C95" s="6">
        <f>YEAR(Daily_KPI[[#This Row],[Date]])</f>
        <v>2025</v>
      </c>
      <c r="D95" s="228">
        <f>Daily_KPI[[#This Row],[Date]]-DAY(Daily_KPI[[#This Row],[Date]])+1</f>
        <v>45809</v>
      </c>
      <c r="E95" s="6">
        <f t="shared" si="7"/>
        <v>30</v>
      </c>
      <c r="F95" s="229">
        <f>IFERROR(_xlfn.XLOOKUP($A95,'Raw Data'!$A:$A,'Raw Data'!$BR:$BR),"")</f>
        <v>12.483333333333334</v>
      </c>
      <c r="G95" s="230">
        <f>IFERROR(_xlfn.XLOOKUP($A95,'Raw Data'!$A:$A,'Raw Data'!$AO:$AO),"")</f>
        <v>0</v>
      </c>
      <c r="H95" s="230"/>
      <c r="I95" s="230">
        <f>IFERROR(_xlfn.XLOOKUP($A95,'Raw Data'!$A:$A,'Raw Data'!$AR:$AR),"")</f>
        <v>2.9870015238879732</v>
      </c>
      <c r="J95" s="230"/>
      <c r="K95" s="230">
        <f>IFERROR(_xlfn.XLOOKUP($A95,'Raw Data'!$A:$A,'Raw Data'!$AV:$AV),"")</f>
        <v>0</v>
      </c>
      <c r="L95" s="230">
        <f>IFERROR(_xlfn.XLOOKUP($A95,'Raw Data'!$A:$A,'Raw Data'!$AW:$AW),"")</f>
        <v>0</v>
      </c>
      <c r="M95" s="230">
        <f>IFERROR(_xlfn.XLOOKUP($A95,'Raw Data'!$A:$A,'Raw Data'!$AX:$AX),"")</f>
        <v>0</v>
      </c>
      <c r="N95" s="230">
        <f>IFERROR(_xlfn.XLOOKUP($A95,'Raw Data'!$A:$A,'Raw Data'!$AY:$AY),"")</f>
        <v>0</v>
      </c>
      <c r="O95" s="231">
        <f>IFERROR(1-(SUMIF('Plant BD'!$B:$B,A95,'Plant BD'!$AE:$AE)/(AA95+SUMIF('Plant BD'!$B:$B,A95,'Plant BD'!$AE:$AE))),"")</f>
        <v>0.99934682757063575</v>
      </c>
      <c r="P95" s="231"/>
      <c r="Q95" s="232"/>
      <c r="R95" s="231">
        <f>IFERROR(1-(SUMIF('Grid BD'!$B:$B,$A95,'Grid BD'!$AD:$AD)/($AA95+SUMIF('Grid BD'!$B:$B,$A95,'Grid BD'!AD:AD))),"")</f>
        <v>1</v>
      </c>
      <c r="S95" s="6"/>
      <c r="T95" s="232"/>
      <c r="U95" s="233">
        <f t="shared" si="8"/>
        <v>0.86839716606689099</v>
      </c>
      <c r="V95" s="233"/>
      <c r="W95" s="234">
        <f t="shared" si="6"/>
        <v>0.10807931909924169</v>
      </c>
      <c r="X95" s="227">
        <f>IFERROR(_xlfn.XLOOKUP($A95,'Raw Data'!$A:$A,'Raw Data'!$BA:$BA),"")</f>
        <v>63747.7</v>
      </c>
      <c r="Y95" s="227">
        <f>IFERROR(_xlfn.XLOOKUP($A95,'Raw Data'!$A:$A,'Raw Data'!BJ:BJ),"")</f>
        <v>64015.10000001872</v>
      </c>
      <c r="Z95" s="227">
        <f>IFERROR(_xlfn.XLOOKUP($A95,'Raw Data'!$A:$A,'Raw Data'!BK:BK),"")</f>
        <v>975.19999999997253</v>
      </c>
      <c r="AA95" s="227">
        <f>IFERROR(_xlfn.XLOOKUP($A95,'Raw Data'!$A:$A,'Raw Data'!BL:BL),"")</f>
        <v>63039.900000018744</v>
      </c>
      <c r="AB95" s="227">
        <f>IFERROR(_xlfn.XLOOKUP($A95,'Raw Data'!$A:$A,'Raw Data'!$H:$H),"")</f>
        <v>24.303100000000001</v>
      </c>
      <c r="AC95" s="145">
        <f>IFERROR(_xlfn.XLOOKUP($D95,'Modelling New'!$D:$D,'Modelling New'!$P:$P),"")</f>
        <v>5.1233333333333331</v>
      </c>
      <c r="AD95" s="227">
        <f>IFERROR(_xlfn.XLOOKUP($D95,'Modelling New'!$D:$D,'Modelling New'!$T:$T)*1000,"")</f>
        <v>91091.690669094809</v>
      </c>
      <c r="AE95" s="234">
        <f>IFERROR(_xlfn.XLOOKUP($D95,'Modelling New'!$D:$D,'Modelling New'!$O:$O),"")</f>
        <v>0.73158446710143066</v>
      </c>
      <c r="AF95" s="234">
        <f>IFERROR(_xlfn.XLOOKUP($D95,'Modelling New'!$D:$D,'Modelling New'!$W:$W),"")</f>
        <v>0.15617296193540262</v>
      </c>
      <c r="AG95" s="234">
        <f>IFERROR(_xlfn.XLOOKUP($D95,'Modelling New'!$D:$D,'Modelling New'!AE:AE),"")</f>
        <v>0.995</v>
      </c>
      <c r="AH95" s="234">
        <v>0.99750000000000005</v>
      </c>
      <c r="AI95" s="6"/>
      <c r="AJ95" s="6"/>
      <c r="AK95" s="6"/>
      <c r="AL95" s="6"/>
      <c r="AM95" s="6"/>
      <c r="AN95" s="231"/>
      <c r="AO95" s="234"/>
      <c r="AP95" s="234"/>
      <c r="AQ95" s="234"/>
      <c r="AR95" s="227">
        <f>IFERROR(_xlfn.XLOOKUP($D95,'Modelling New'!$D:$D,'Modelling New'!$N:$N),"")</f>
        <v>24.303100000000001</v>
      </c>
      <c r="AS95" s="227"/>
    </row>
    <row r="96" spans="1:45" x14ac:dyDescent="0.35">
      <c r="A96" s="226">
        <f t="shared" si="9"/>
        <v>45839</v>
      </c>
      <c r="B96" s="227">
        <f>YEAR(Daily_KPI[[#This Row],[Date]])+IF(MONTH(Daily_KPI[[#This Row],[Date]])&gt;=4,1,0)</f>
        <v>2026</v>
      </c>
      <c r="C96" s="6">
        <f>YEAR(Daily_KPI[[#This Row],[Date]])</f>
        <v>2025</v>
      </c>
      <c r="D96" s="228">
        <f>Daily_KPI[[#This Row],[Date]]-DAY(Daily_KPI[[#This Row],[Date]])+1</f>
        <v>45839</v>
      </c>
      <c r="E96" s="6">
        <f t="shared" si="7"/>
        <v>31</v>
      </c>
      <c r="F96" s="229">
        <f>IFERROR(_xlfn.XLOOKUP($A96,'Raw Data'!$A:$A,'Raw Data'!$BR:$BR),"")</f>
        <v>12.416666666666668</v>
      </c>
      <c r="G96" s="230">
        <f>IFERROR(_xlfn.XLOOKUP($A96,'Raw Data'!$A:$A,'Raw Data'!$AO:$AO),"")</f>
        <v>0</v>
      </c>
      <c r="H96" s="230"/>
      <c r="I96" s="230">
        <f>IFERROR(_xlfn.XLOOKUP($A96,'Raw Data'!$A:$A,'Raw Data'!$AR:$AR),"")</f>
        <v>2.1325771828665565</v>
      </c>
      <c r="J96" s="230"/>
      <c r="K96" s="230">
        <f>IFERROR(_xlfn.XLOOKUP($A96,'Raw Data'!$A:$A,'Raw Data'!$AV:$AV),"")</f>
        <v>0</v>
      </c>
      <c r="L96" s="230">
        <f>IFERROR(_xlfn.XLOOKUP($A96,'Raw Data'!$A:$A,'Raw Data'!$AW:$AW),"")</f>
        <v>0</v>
      </c>
      <c r="M96" s="230">
        <f>IFERROR(_xlfn.XLOOKUP($A96,'Raw Data'!$A:$A,'Raw Data'!$AX:$AX),"")</f>
        <v>0</v>
      </c>
      <c r="N96" s="230">
        <f>IFERROR(_xlfn.XLOOKUP($A96,'Raw Data'!$A:$A,'Raw Data'!$AY:$AY),"")</f>
        <v>0</v>
      </c>
      <c r="O96" s="231">
        <f>IFERROR(1-(SUMIF('Plant BD'!$B:$B,A96,'Plant BD'!$AE:$AE)/(AA96+SUMIF('Plant BD'!$B:$B,A96,'Plant BD'!$AE:$AE))),"")</f>
        <v>0.99958105557286026</v>
      </c>
      <c r="P96" s="231"/>
      <c r="Q96" s="232"/>
      <c r="R96" s="231">
        <f>IFERROR(1-(SUMIF('Grid BD'!$B:$B,$A96,'Grid BD'!$AD:$AD)/($AA96+SUMIF('Grid BD'!$B:$B,$A96,'Grid BD'!AD:AD))),"")</f>
        <v>1</v>
      </c>
      <c r="S96" s="6"/>
      <c r="T96" s="232"/>
      <c r="U96" s="233">
        <f t="shared" si="8"/>
        <v>0.87027271266189576</v>
      </c>
      <c r="V96" s="233"/>
      <c r="W96" s="234">
        <f t="shared" si="6"/>
        <v>7.7330155412255908E-2</v>
      </c>
      <c r="X96" s="227">
        <f>IFERROR(_xlfn.XLOOKUP($A96,'Raw Data'!$A:$A,'Raw Data'!$BA:$BA),"")</f>
        <v>45448.7</v>
      </c>
      <c r="Y96" s="227">
        <f>IFERROR(_xlfn.XLOOKUP($A96,'Raw Data'!$A:$A,'Raw Data'!BJ:BJ),"")</f>
        <v>46038.399999990361</v>
      </c>
      <c r="Z96" s="227">
        <f>IFERROR(_xlfn.XLOOKUP($A96,'Raw Data'!$A:$A,'Raw Data'!BK:BK),"")</f>
        <v>933.70000000004438</v>
      </c>
      <c r="AA96" s="227">
        <f>IFERROR(_xlfn.XLOOKUP($A96,'Raw Data'!$A:$A,'Raw Data'!BL:BL),"")</f>
        <v>45104.69999999032</v>
      </c>
      <c r="AB96" s="227">
        <f>IFERROR(_xlfn.XLOOKUP($A96,'Raw Data'!$A:$A,'Raw Data'!$H:$H),"")</f>
        <v>24.303100000000001</v>
      </c>
      <c r="AC96" s="145">
        <f>IFERROR(_xlfn.XLOOKUP($D96,'Modelling New'!$D:$D,'Modelling New'!$P:$P),"")</f>
        <v>4.4064516129032256</v>
      </c>
      <c r="AD96" s="227">
        <f>IFERROR(_xlfn.XLOOKUP($D96,'Modelling New'!$D:$D,'Modelling New'!$T:$T)*1000,"")</f>
        <v>77476.763338544362</v>
      </c>
      <c r="AE96" s="234">
        <f>IFERROR(_xlfn.XLOOKUP($D96,'Modelling New'!$D:$D,'Modelling New'!$O:$O),"")</f>
        <v>0.72347043806469047</v>
      </c>
      <c r="AF96" s="234">
        <f>IFERROR(_xlfn.XLOOKUP($D96,'Modelling New'!$D:$D,'Modelling New'!$W:$W),"")</f>
        <v>0.1328307282790816</v>
      </c>
      <c r="AG96" s="234">
        <f>IFERROR(_xlfn.XLOOKUP($D96,'Modelling New'!$D:$D,'Modelling New'!AE:AE),"")</f>
        <v>0.995</v>
      </c>
      <c r="AH96" s="234">
        <v>0.99750000000000005</v>
      </c>
      <c r="AI96" s="6"/>
      <c r="AJ96" s="6"/>
      <c r="AK96" s="6"/>
      <c r="AL96" s="6"/>
      <c r="AM96" s="6"/>
      <c r="AN96" s="231"/>
      <c r="AO96" s="234"/>
      <c r="AP96" s="234"/>
      <c r="AQ96" s="234"/>
      <c r="AR96" s="227">
        <f>IFERROR(_xlfn.XLOOKUP($D96,'Modelling New'!$D:$D,'Modelling New'!$N:$N),"")</f>
        <v>24.303100000000001</v>
      </c>
      <c r="AS96" s="227"/>
    </row>
    <row r="97" spans="1:45" x14ac:dyDescent="0.35">
      <c r="A97" s="226">
        <f t="shared" si="9"/>
        <v>45840</v>
      </c>
      <c r="B97" s="227">
        <f>YEAR(Daily_KPI[[#This Row],[Date]])+IF(MONTH(Daily_KPI[[#This Row],[Date]])&gt;=4,1,0)</f>
        <v>2026</v>
      </c>
      <c r="C97" s="6">
        <f>YEAR(Daily_KPI[[#This Row],[Date]])</f>
        <v>2025</v>
      </c>
      <c r="D97" s="228">
        <f>Daily_KPI[[#This Row],[Date]]-DAY(Daily_KPI[[#This Row],[Date]])+1</f>
        <v>45839</v>
      </c>
      <c r="E97" s="6">
        <f t="shared" si="7"/>
        <v>31</v>
      </c>
      <c r="F97" s="229">
        <f>IFERROR(_xlfn.XLOOKUP($A97,'Raw Data'!$A:$A,'Raw Data'!$BR:$BR),"")</f>
        <v>12.2</v>
      </c>
      <c r="G97" s="230">
        <f>IFERROR(_xlfn.XLOOKUP($A97,'Raw Data'!$A:$A,'Raw Data'!$AO:$AO),"")</f>
        <v>0</v>
      </c>
      <c r="H97" s="230"/>
      <c r="I97" s="230">
        <f>IFERROR(_xlfn.XLOOKUP($A97,'Raw Data'!$A:$A,'Raw Data'!$AR:$AR),"")</f>
        <v>2.8664798599670509</v>
      </c>
      <c r="J97" s="230"/>
      <c r="K97" s="230">
        <f>IFERROR(_xlfn.XLOOKUP($A97,'Raw Data'!$A:$A,'Raw Data'!$AV:$AV),"")</f>
        <v>0</v>
      </c>
      <c r="L97" s="230">
        <f>IFERROR(_xlfn.XLOOKUP($A97,'Raw Data'!$A:$A,'Raw Data'!$AW:$AW),"")</f>
        <v>0</v>
      </c>
      <c r="M97" s="230">
        <f>IFERROR(_xlfn.XLOOKUP($A97,'Raw Data'!$A:$A,'Raw Data'!$AX:$AX),"")</f>
        <v>0</v>
      </c>
      <c r="N97" s="230">
        <f>IFERROR(_xlfn.XLOOKUP($A97,'Raw Data'!$A:$A,'Raw Data'!$AY:$AY),"")</f>
        <v>0</v>
      </c>
      <c r="O97" s="231">
        <f>IFERROR(1-(SUMIF('Plant BD'!$B:$B,A97,'Plant BD'!$AE:$AE)/(AA97+SUMIF('Plant BD'!$B:$B,A97,'Plant BD'!$AE:$AE))),"")</f>
        <v>0.99937279635723153</v>
      </c>
      <c r="P97" s="231"/>
      <c r="Q97" s="232"/>
      <c r="R97" s="231">
        <f>IFERROR(1-(SUMIF('Grid BD'!$B:$B,$A97,'Grid BD'!$AD:$AD)/($AA97+SUMIF('Grid BD'!$B:$B,$A97,'Grid BD'!AD:AD))),"")</f>
        <v>1</v>
      </c>
      <c r="S97" s="6"/>
      <c r="T97" s="232"/>
      <c r="U97" s="233">
        <f t="shared" si="8"/>
        <v>0.8518589899154928</v>
      </c>
      <c r="V97" s="233"/>
      <c r="W97" s="234">
        <f t="shared" si="6"/>
        <v>0.10174319325519313</v>
      </c>
      <c r="X97" s="227">
        <f>IFERROR(_xlfn.XLOOKUP($A97,'Raw Data'!$A:$A,'Raw Data'!$BA:$BA),"")</f>
        <v>59650.100000000006</v>
      </c>
      <c r="Y97" s="227">
        <f>IFERROR(_xlfn.XLOOKUP($A97,'Raw Data'!$A:$A,'Raw Data'!BJ:BJ),"")</f>
        <v>59988.500000006752</v>
      </c>
      <c r="Z97" s="227">
        <f>IFERROR(_xlfn.XLOOKUP($A97,'Raw Data'!$A:$A,'Raw Data'!BK:BK),"")</f>
        <v>644.29999999993015</v>
      </c>
      <c r="AA97" s="227">
        <f>IFERROR(_xlfn.XLOOKUP($A97,'Raw Data'!$A:$A,'Raw Data'!BL:BL),"")</f>
        <v>59344.200000006822</v>
      </c>
      <c r="AB97" s="227">
        <f>IFERROR(_xlfn.XLOOKUP($A97,'Raw Data'!$A:$A,'Raw Data'!$H:$H),"")</f>
        <v>24.303100000000001</v>
      </c>
      <c r="AC97" s="145">
        <f>IFERROR(_xlfn.XLOOKUP($D97,'Modelling New'!$D:$D,'Modelling New'!$P:$P),"")</f>
        <v>4.4064516129032256</v>
      </c>
      <c r="AD97" s="227">
        <f>IFERROR(_xlfn.XLOOKUP($D97,'Modelling New'!$D:$D,'Modelling New'!$T:$T)*1000,"")</f>
        <v>77476.763338544362</v>
      </c>
      <c r="AE97" s="234">
        <f>IFERROR(_xlfn.XLOOKUP($D97,'Modelling New'!$D:$D,'Modelling New'!$O:$O),"")</f>
        <v>0.72347043806469047</v>
      </c>
      <c r="AF97" s="234">
        <f>IFERROR(_xlfn.XLOOKUP($D97,'Modelling New'!$D:$D,'Modelling New'!$W:$W),"")</f>
        <v>0.1328307282790816</v>
      </c>
      <c r="AG97" s="234">
        <f>IFERROR(_xlfn.XLOOKUP($D97,'Modelling New'!$D:$D,'Modelling New'!AE:AE),"")</f>
        <v>0.995</v>
      </c>
      <c r="AH97" s="234">
        <v>0.99750000000000005</v>
      </c>
      <c r="AI97" s="6"/>
      <c r="AJ97" s="6"/>
      <c r="AK97" s="6"/>
      <c r="AL97" s="6"/>
      <c r="AM97" s="6"/>
      <c r="AN97" s="231"/>
      <c r="AO97" s="234"/>
      <c r="AP97" s="234"/>
      <c r="AQ97" s="234"/>
      <c r="AR97" s="227">
        <f>IFERROR(_xlfn.XLOOKUP($D97,'Modelling New'!$D:$D,'Modelling New'!$N:$N),"")</f>
        <v>24.303100000000001</v>
      </c>
      <c r="AS97" s="227"/>
    </row>
    <row r="98" spans="1:45" x14ac:dyDescent="0.35">
      <c r="A98" s="226">
        <f t="shared" si="9"/>
        <v>45841</v>
      </c>
      <c r="B98" s="227">
        <f>YEAR(Daily_KPI[[#This Row],[Date]])+IF(MONTH(Daily_KPI[[#This Row],[Date]])&gt;=4,1,0)</f>
        <v>2026</v>
      </c>
      <c r="C98" s="6">
        <f>YEAR(Daily_KPI[[#This Row],[Date]])</f>
        <v>2025</v>
      </c>
      <c r="D98" s="228">
        <f>Daily_KPI[[#This Row],[Date]]-DAY(Daily_KPI[[#This Row],[Date]])+1</f>
        <v>45839</v>
      </c>
      <c r="E98" s="6">
        <f t="shared" si="7"/>
        <v>31</v>
      </c>
      <c r="F98" s="229">
        <f>IFERROR(_xlfn.XLOOKUP($A98,'Raw Data'!$A:$A,'Raw Data'!$BR:$BR),"")</f>
        <v>12.450000000000001</v>
      </c>
      <c r="G98" s="230">
        <f>IFERROR(_xlfn.XLOOKUP($A98,'Raw Data'!$A:$A,'Raw Data'!$AO:$AO),"")</f>
        <v>0</v>
      </c>
      <c r="H98" s="230"/>
      <c r="I98" s="230">
        <f>IFERROR(_xlfn.XLOOKUP($A98,'Raw Data'!$A:$A,'Raw Data'!$AR:$AR),"")</f>
        <v>3.2888965815485998</v>
      </c>
      <c r="J98" s="230"/>
      <c r="K98" s="230">
        <f>IFERROR(_xlfn.XLOOKUP($A98,'Raw Data'!$A:$A,'Raw Data'!$AV:$AV),"")</f>
        <v>0</v>
      </c>
      <c r="L98" s="230">
        <f>IFERROR(_xlfn.XLOOKUP($A98,'Raw Data'!$A:$A,'Raw Data'!$AW:$AW),"")</f>
        <v>0</v>
      </c>
      <c r="M98" s="230">
        <f>IFERROR(_xlfn.XLOOKUP($A98,'Raw Data'!$A:$A,'Raw Data'!$AX:$AX),"")</f>
        <v>0</v>
      </c>
      <c r="N98" s="230">
        <f>IFERROR(_xlfn.XLOOKUP($A98,'Raw Data'!$A:$A,'Raw Data'!$AY:$AY),"")</f>
        <v>0</v>
      </c>
      <c r="O98" s="231">
        <f>IFERROR(1-(SUMIF('Plant BD'!$B:$B,A98,'Plant BD'!$AE:$AE)/(AA98+SUMIF('Plant BD'!$B:$B,A98,'Plant BD'!$AE:$AE))),"")</f>
        <v>1</v>
      </c>
      <c r="P98" s="231"/>
      <c r="Q98" s="232"/>
      <c r="R98" s="231">
        <f>IFERROR(1-(SUMIF('Grid BD'!$B:$B,$A98,'Grid BD'!$AD:$AD)/($AA98+SUMIF('Grid BD'!$B:$B,$A98,'Grid BD'!AD:AD))),"")</f>
        <v>1</v>
      </c>
      <c r="S98" s="6"/>
      <c r="T98" s="232"/>
      <c r="U98" s="233">
        <f t="shared" si="8"/>
        <v>0.85835070275712977</v>
      </c>
      <c r="V98" s="233"/>
      <c r="W98" s="234">
        <f t="shared" si="6"/>
        <v>0.11762611216949008</v>
      </c>
      <c r="X98" s="227">
        <f>IFERROR(_xlfn.XLOOKUP($A98,'Raw Data'!$A:$A,'Raw Data'!$BA:$BA),"")</f>
        <v>69208.100000000006</v>
      </c>
      <c r="Y98" s="227">
        <f>IFERROR(_xlfn.XLOOKUP($A98,'Raw Data'!$A:$A,'Raw Data'!BJ:BJ),"")</f>
        <v>69478.999999992084</v>
      </c>
      <c r="Z98" s="227">
        <f>IFERROR(_xlfn.XLOOKUP($A98,'Raw Data'!$A:$A,'Raw Data'!BK:BK),"")</f>
        <v>870.70000000005621</v>
      </c>
      <c r="AA98" s="227">
        <f>IFERROR(_xlfn.XLOOKUP($A98,'Raw Data'!$A:$A,'Raw Data'!BL:BL),"")</f>
        <v>68608.299999992028</v>
      </c>
      <c r="AB98" s="227">
        <f>IFERROR(_xlfn.XLOOKUP($A98,'Raw Data'!$A:$A,'Raw Data'!$H:$H),"")</f>
        <v>24.303100000000001</v>
      </c>
      <c r="AC98" s="145">
        <f>IFERROR(_xlfn.XLOOKUP($D98,'Modelling New'!$D:$D,'Modelling New'!$P:$P),"")</f>
        <v>4.4064516129032256</v>
      </c>
      <c r="AD98" s="227">
        <f>IFERROR(_xlfn.XLOOKUP($D98,'Modelling New'!$D:$D,'Modelling New'!$T:$T)*1000,"")</f>
        <v>77476.763338544362</v>
      </c>
      <c r="AE98" s="234">
        <f>IFERROR(_xlfn.XLOOKUP($D98,'Modelling New'!$D:$D,'Modelling New'!$O:$O),"")</f>
        <v>0.72347043806469047</v>
      </c>
      <c r="AF98" s="234">
        <f>IFERROR(_xlfn.XLOOKUP($D98,'Modelling New'!$D:$D,'Modelling New'!$W:$W),"")</f>
        <v>0.1328307282790816</v>
      </c>
      <c r="AG98" s="234">
        <f>IFERROR(_xlfn.XLOOKUP($D98,'Modelling New'!$D:$D,'Modelling New'!AE:AE),"")</f>
        <v>0.995</v>
      </c>
      <c r="AH98" s="234">
        <v>0.99750000000000005</v>
      </c>
      <c r="AI98" s="6"/>
      <c r="AJ98" s="6"/>
      <c r="AK98" s="6"/>
      <c r="AL98" s="6"/>
      <c r="AM98" s="6"/>
      <c r="AN98" s="231"/>
      <c r="AO98" s="234"/>
      <c r="AP98" s="234"/>
      <c r="AQ98" s="234"/>
      <c r="AR98" s="227">
        <f>IFERROR(_xlfn.XLOOKUP($D98,'Modelling New'!$D:$D,'Modelling New'!$N:$N),"")</f>
        <v>24.303100000000001</v>
      </c>
      <c r="AS98" s="227"/>
    </row>
    <row r="99" spans="1:45" x14ac:dyDescent="0.35">
      <c r="A99" s="226">
        <f t="shared" si="9"/>
        <v>45842</v>
      </c>
      <c r="B99" s="227">
        <f>YEAR(Daily_KPI[[#This Row],[Date]])+IF(MONTH(Daily_KPI[[#This Row],[Date]])&gt;=4,1,0)</f>
        <v>2026</v>
      </c>
      <c r="C99" s="6">
        <f>YEAR(Daily_KPI[[#This Row],[Date]])</f>
        <v>2025</v>
      </c>
      <c r="D99" s="228">
        <f>Daily_KPI[[#This Row],[Date]]-DAY(Daily_KPI[[#This Row],[Date]])+1</f>
        <v>45839</v>
      </c>
      <c r="E99" s="6">
        <f t="shared" si="7"/>
        <v>31</v>
      </c>
      <c r="F99" s="229">
        <f>IFERROR(_xlfn.XLOOKUP($A99,'Raw Data'!$A:$A,'Raw Data'!$BR:$BR),"")</f>
        <v>12.466666666666665</v>
      </c>
      <c r="G99" s="230">
        <f>IFERROR(_xlfn.XLOOKUP($A99,'Raw Data'!$A:$A,'Raw Data'!$AO:$AO),"")</f>
        <v>0</v>
      </c>
      <c r="H99" s="230"/>
      <c r="I99" s="230">
        <f>IFERROR(_xlfn.XLOOKUP($A99,'Raw Data'!$A:$A,'Raw Data'!$AR:$AR),"")</f>
        <v>4.0867019357495877</v>
      </c>
      <c r="J99" s="230"/>
      <c r="K99" s="230">
        <f>IFERROR(_xlfn.XLOOKUP($A99,'Raw Data'!$A:$A,'Raw Data'!$AV:$AV),"")</f>
        <v>0</v>
      </c>
      <c r="L99" s="230">
        <f>IFERROR(_xlfn.XLOOKUP($A99,'Raw Data'!$A:$A,'Raw Data'!$AW:$AW),"")</f>
        <v>0</v>
      </c>
      <c r="M99" s="230">
        <f>IFERROR(_xlfn.XLOOKUP($A99,'Raw Data'!$A:$A,'Raw Data'!$AX:$AX),"")</f>
        <v>0</v>
      </c>
      <c r="N99" s="230">
        <f>IFERROR(_xlfn.XLOOKUP($A99,'Raw Data'!$A:$A,'Raw Data'!$AY:$AY),"")</f>
        <v>0</v>
      </c>
      <c r="O99" s="231">
        <f>IFERROR(1-(SUMIF('Plant BD'!$B:$B,A99,'Plant BD'!$AE:$AE)/(AA99+SUMIF('Plant BD'!$B:$B,A99,'Plant BD'!$AE:$AE))),"")</f>
        <v>1</v>
      </c>
      <c r="P99" s="231"/>
      <c r="Q99" s="232"/>
      <c r="R99" s="231">
        <f>IFERROR(1-(SUMIF('Grid BD'!$B:$B,$A99,'Grid BD'!$AD:$AD)/($AA99+SUMIF('Grid BD'!$B:$B,$A99,'Grid BD'!AD:AD))),"")</f>
        <v>1</v>
      </c>
      <c r="S99" s="6"/>
      <c r="T99" s="232"/>
      <c r="U99" s="233">
        <f t="shared" si="8"/>
        <v>0.83490632199240966</v>
      </c>
      <c r="V99" s="233"/>
      <c r="W99" s="234">
        <f t="shared" si="6"/>
        <v>0.14216722009399788</v>
      </c>
      <c r="X99" s="227">
        <f>IFERROR(_xlfn.XLOOKUP($A99,'Raw Data'!$A:$A,'Raw Data'!$BA:$BA),"")</f>
        <v>84274.7</v>
      </c>
      <c r="Y99" s="227">
        <f>IFERROR(_xlfn.XLOOKUP($A99,'Raw Data'!$A:$A,'Raw Data'!BJ:BJ),"")</f>
        <v>84067.899999994552</v>
      </c>
      <c r="Z99" s="227">
        <f>IFERROR(_xlfn.XLOOKUP($A99,'Raw Data'!$A:$A,'Raw Data'!BK:BK),"")</f>
        <v>1145.3999999999951</v>
      </c>
      <c r="AA99" s="227">
        <f>IFERROR(_xlfn.XLOOKUP($A99,'Raw Data'!$A:$A,'Raw Data'!BL:BL),"")</f>
        <v>82922.499999994558</v>
      </c>
      <c r="AB99" s="227">
        <f>IFERROR(_xlfn.XLOOKUP($A99,'Raw Data'!$A:$A,'Raw Data'!$H:$H),"")</f>
        <v>24.303100000000001</v>
      </c>
      <c r="AC99" s="145">
        <f>IFERROR(_xlfn.XLOOKUP($D99,'Modelling New'!$D:$D,'Modelling New'!$P:$P),"")</f>
        <v>4.4064516129032256</v>
      </c>
      <c r="AD99" s="227">
        <f>IFERROR(_xlfn.XLOOKUP($D99,'Modelling New'!$D:$D,'Modelling New'!$T:$T)*1000,"")</f>
        <v>77476.763338544362</v>
      </c>
      <c r="AE99" s="234">
        <f>IFERROR(_xlfn.XLOOKUP($D99,'Modelling New'!$D:$D,'Modelling New'!$O:$O),"")</f>
        <v>0.72347043806469047</v>
      </c>
      <c r="AF99" s="234">
        <f>IFERROR(_xlfn.XLOOKUP($D99,'Modelling New'!$D:$D,'Modelling New'!$W:$W),"")</f>
        <v>0.1328307282790816</v>
      </c>
      <c r="AG99" s="234">
        <f>IFERROR(_xlfn.XLOOKUP($D99,'Modelling New'!$D:$D,'Modelling New'!AE:AE),"")</f>
        <v>0.995</v>
      </c>
      <c r="AH99" s="234">
        <v>0.99750000000000005</v>
      </c>
      <c r="AI99" s="6"/>
      <c r="AJ99" s="6"/>
      <c r="AK99" s="6"/>
      <c r="AL99" s="6"/>
      <c r="AM99" s="6"/>
      <c r="AN99" s="231"/>
      <c r="AO99" s="234"/>
      <c r="AP99" s="234"/>
      <c r="AQ99" s="234"/>
      <c r="AR99" s="227">
        <f>IFERROR(_xlfn.XLOOKUP($D99,'Modelling New'!$D:$D,'Modelling New'!$N:$N),"")</f>
        <v>24.303100000000001</v>
      </c>
      <c r="AS99" s="227"/>
    </row>
    <row r="100" spans="1:45" x14ac:dyDescent="0.35">
      <c r="A100" s="226">
        <f t="shared" si="9"/>
        <v>45843</v>
      </c>
      <c r="B100" s="227">
        <f>YEAR(Daily_KPI[[#This Row],[Date]])+IF(MONTH(Daily_KPI[[#This Row],[Date]])&gt;=4,1,0)</f>
        <v>2026</v>
      </c>
      <c r="C100" s="6">
        <f>YEAR(Daily_KPI[[#This Row],[Date]])</f>
        <v>2025</v>
      </c>
      <c r="D100" s="228">
        <f>Daily_KPI[[#This Row],[Date]]-DAY(Daily_KPI[[#This Row],[Date]])+1</f>
        <v>45839</v>
      </c>
      <c r="E100" s="6">
        <f t="shared" si="7"/>
        <v>31</v>
      </c>
      <c r="F100" s="229">
        <f>IFERROR(_xlfn.XLOOKUP($A100,'Raw Data'!$A:$A,'Raw Data'!$BR:$BR),"")</f>
        <v>12.499999999999998</v>
      </c>
      <c r="G100" s="230">
        <f>IFERROR(_xlfn.XLOOKUP($A100,'Raw Data'!$A:$A,'Raw Data'!$AO:$AO),"")</f>
        <v>0</v>
      </c>
      <c r="H100" s="230"/>
      <c r="I100" s="230">
        <f>IFERROR(_xlfn.XLOOKUP($A100,'Raw Data'!$A:$A,'Raw Data'!$AR:$AR),"")</f>
        <v>3.8036775535420091</v>
      </c>
      <c r="J100" s="230"/>
      <c r="K100" s="230">
        <f>IFERROR(_xlfn.XLOOKUP($A100,'Raw Data'!$A:$A,'Raw Data'!$AV:$AV),"")</f>
        <v>0</v>
      </c>
      <c r="L100" s="230">
        <f>IFERROR(_xlfn.XLOOKUP($A100,'Raw Data'!$A:$A,'Raw Data'!$AW:$AW),"")</f>
        <v>0</v>
      </c>
      <c r="M100" s="230">
        <f>IFERROR(_xlfn.XLOOKUP($A100,'Raw Data'!$A:$A,'Raw Data'!$AX:$AX),"")</f>
        <v>0</v>
      </c>
      <c r="N100" s="230">
        <f>IFERROR(_xlfn.XLOOKUP($A100,'Raw Data'!$A:$A,'Raw Data'!$AY:$AY),"")</f>
        <v>0</v>
      </c>
      <c r="O100" s="231">
        <f>IFERROR(1-(SUMIF('Plant BD'!$B:$B,A100,'Plant BD'!$AE:$AE)/(AA100+SUMIF('Plant BD'!$B:$B,A100,'Plant BD'!$AE:$AE))),"")</f>
        <v>1</v>
      </c>
      <c r="P100" s="231"/>
      <c r="Q100" s="232"/>
      <c r="R100" s="231">
        <f>IFERROR(1-(SUMIF('Grid BD'!$B:$B,$A100,'Grid BD'!$AD:$AD)/($AA100+SUMIF('Grid BD'!$B:$B,$A100,'Grid BD'!AD:AD))),"")</f>
        <v>1</v>
      </c>
      <c r="S100" s="6"/>
      <c r="T100" s="232"/>
      <c r="U100" s="233">
        <f t="shared" si="8"/>
        <v>0.85409901236457864</v>
      </c>
      <c r="V100" s="233"/>
      <c r="W100" s="234">
        <f t="shared" si="6"/>
        <v>0.13536321840973112</v>
      </c>
      <c r="X100" s="227">
        <f>IFERROR(_xlfn.XLOOKUP($A100,'Raw Data'!$A:$A,'Raw Data'!$BA:$BA),"")</f>
        <v>79610.899999999994</v>
      </c>
      <c r="Y100" s="227">
        <f>IFERROR(_xlfn.XLOOKUP($A100,'Raw Data'!$A:$A,'Raw Data'!BJ:BJ),"")</f>
        <v>79745.200000004843</v>
      </c>
      <c r="Z100" s="227">
        <f>IFERROR(_xlfn.XLOOKUP($A100,'Raw Data'!$A:$A,'Raw Data'!BK:BK),"")</f>
        <v>791.29999999997835</v>
      </c>
      <c r="AA100" s="227">
        <f>IFERROR(_xlfn.XLOOKUP($A100,'Raw Data'!$A:$A,'Raw Data'!BL:BL),"")</f>
        <v>78953.900000004869</v>
      </c>
      <c r="AB100" s="227">
        <f>IFERROR(_xlfn.XLOOKUP($A100,'Raw Data'!$A:$A,'Raw Data'!$H:$H),"")</f>
        <v>24.303100000000001</v>
      </c>
      <c r="AC100" s="145">
        <f>IFERROR(_xlfn.XLOOKUP($D100,'Modelling New'!$D:$D,'Modelling New'!$P:$P),"")</f>
        <v>4.4064516129032256</v>
      </c>
      <c r="AD100" s="227">
        <f>IFERROR(_xlfn.XLOOKUP($D100,'Modelling New'!$D:$D,'Modelling New'!$T:$T)*1000,"")</f>
        <v>77476.763338544362</v>
      </c>
      <c r="AE100" s="234">
        <f>IFERROR(_xlfn.XLOOKUP($D100,'Modelling New'!$D:$D,'Modelling New'!$O:$O),"")</f>
        <v>0.72347043806469047</v>
      </c>
      <c r="AF100" s="234">
        <f>IFERROR(_xlfn.XLOOKUP($D100,'Modelling New'!$D:$D,'Modelling New'!$W:$W),"")</f>
        <v>0.1328307282790816</v>
      </c>
      <c r="AG100" s="234">
        <f>IFERROR(_xlfn.XLOOKUP($D100,'Modelling New'!$D:$D,'Modelling New'!AE:AE),"")</f>
        <v>0.995</v>
      </c>
      <c r="AH100" s="234">
        <v>0.99750000000000005</v>
      </c>
      <c r="AI100" s="6"/>
      <c r="AJ100" s="6"/>
      <c r="AK100" s="6"/>
      <c r="AL100" s="6"/>
      <c r="AM100" s="6"/>
      <c r="AN100" s="231"/>
      <c r="AO100" s="234"/>
      <c r="AP100" s="234"/>
      <c r="AQ100" s="234"/>
      <c r="AR100" s="227">
        <f>IFERROR(_xlfn.XLOOKUP($D100,'Modelling New'!$D:$D,'Modelling New'!$N:$N),"")</f>
        <v>24.303100000000001</v>
      </c>
      <c r="AS100" s="227"/>
    </row>
    <row r="101" spans="1:45" x14ac:dyDescent="0.35">
      <c r="A101" s="226">
        <f t="shared" si="9"/>
        <v>45844</v>
      </c>
      <c r="B101" s="227">
        <f>YEAR(Daily_KPI[[#This Row],[Date]])+IF(MONTH(Daily_KPI[[#This Row],[Date]])&gt;=4,1,0)</f>
        <v>2026</v>
      </c>
      <c r="C101" s="6">
        <f>YEAR(Daily_KPI[[#This Row],[Date]])</f>
        <v>2025</v>
      </c>
      <c r="D101" s="228">
        <f>Daily_KPI[[#This Row],[Date]]-DAY(Daily_KPI[[#This Row],[Date]])+1</f>
        <v>45839</v>
      </c>
      <c r="E101" s="6">
        <f t="shared" si="7"/>
        <v>31</v>
      </c>
      <c r="F101" s="229">
        <f>IFERROR(_xlfn.XLOOKUP($A101,'Raw Data'!$A:$A,'Raw Data'!$BR:$BR),"")</f>
        <v>12.350000000000001</v>
      </c>
      <c r="G101" s="230">
        <f>IFERROR(_xlfn.XLOOKUP($A101,'Raw Data'!$A:$A,'Raw Data'!$AO:$AO),"")</f>
        <v>0</v>
      </c>
      <c r="H101" s="230"/>
      <c r="I101" s="230">
        <f>IFERROR(_xlfn.XLOOKUP($A101,'Raw Data'!$A:$A,'Raw Data'!$AR:$AR),"")</f>
        <v>3.0938425864909389</v>
      </c>
      <c r="J101" s="230"/>
      <c r="K101" s="230">
        <f>IFERROR(_xlfn.XLOOKUP($A101,'Raw Data'!$A:$A,'Raw Data'!$AV:$AV),"")</f>
        <v>0</v>
      </c>
      <c r="L101" s="230">
        <f>IFERROR(_xlfn.XLOOKUP($A101,'Raw Data'!$A:$A,'Raw Data'!$AW:$AW),"")</f>
        <v>0</v>
      </c>
      <c r="M101" s="230">
        <f>IFERROR(_xlfn.XLOOKUP($A101,'Raw Data'!$A:$A,'Raw Data'!$AX:$AX),"")</f>
        <v>0</v>
      </c>
      <c r="N101" s="230">
        <f>IFERROR(_xlfn.XLOOKUP($A101,'Raw Data'!$A:$A,'Raw Data'!$AY:$AY),"")</f>
        <v>0</v>
      </c>
      <c r="O101" s="231">
        <f>IFERROR(1-(SUMIF('Plant BD'!$B:$B,A101,'Plant BD'!$AE:$AE)/(AA101+SUMIF('Plant BD'!$B:$B,A101,'Plant BD'!$AE:$AE))),"")</f>
        <v>1</v>
      </c>
      <c r="P101" s="231"/>
      <c r="Q101" s="232"/>
      <c r="R101" s="231">
        <f>IFERROR(1-(SUMIF('Grid BD'!$B:$B,$A101,'Grid BD'!$AD:$AD)/($AA101+SUMIF('Grid BD'!$B:$B,$A101,'Grid BD'!AD:AD))),"")</f>
        <v>1</v>
      </c>
      <c r="S101" s="6"/>
      <c r="T101" s="232"/>
      <c r="U101" s="233">
        <f t="shared" si="8"/>
        <v>0.87935270788334519</v>
      </c>
      <c r="V101" s="233"/>
      <c r="W101" s="234">
        <f t="shared" si="6"/>
        <v>0.11335745234148416</v>
      </c>
      <c r="X101" s="227">
        <f>IFERROR(_xlfn.XLOOKUP($A101,'Raw Data'!$A:$A,'Raw Data'!$BA:$BA),"")</f>
        <v>66393.2</v>
      </c>
      <c r="Y101" s="227">
        <f>IFERROR(_xlfn.XLOOKUP($A101,'Raw Data'!$A:$A,'Raw Data'!BJ:BJ),"")</f>
        <v>66747.100000007777</v>
      </c>
      <c r="Z101" s="227">
        <f>IFERROR(_xlfn.XLOOKUP($A101,'Raw Data'!$A:$A,'Raw Data'!BK:BK),"")</f>
        <v>628.60000000000582</v>
      </c>
      <c r="AA101" s="227">
        <f>IFERROR(_xlfn.XLOOKUP($A101,'Raw Data'!$A:$A,'Raw Data'!BL:BL),"")</f>
        <v>66118.500000007771</v>
      </c>
      <c r="AB101" s="227">
        <f>IFERROR(_xlfn.XLOOKUP($A101,'Raw Data'!$A:$A,'Raw Data'!$H:$H),"")</f>
        <v>24.303100000000001</v>
      </c>
      <c r="AC101" s="145">
        <f>IFERROR(_xlfn.XLOOKUP($D101,'Modelling New'!$D:$D,'Modelling New'!$P:$P),"")</f>
        <v>4.4064516129032256</v>
      </c>
      <c r="AD101" s="227">
        <f>IFERROR(_xlfn.XLOOKUP($D101,'Modelling New'!$D:$D,'Modelling New'!$T:$T)*1000,"")</f>
        <v>77476.763338544362</v>
      </c>
      <c r="AE101" s="234">
        <f>IFERROR(_xlfn.XLOOKUP($D101,'Modelling New'!$D:$D,'Modelling New'!$O:$O),"")</f>
        <v>0.72347043806469047</v>
      </c>
      <c r="AF101" s="234">
        <f>IFERROR(_xlfn.XLOOKUP($D101,'Modelling New'!$D:$D,'Modelling New'!$W:$W),"")</f>
        <v>0.1328307282790816</v>
      </c>
      <c r="AG101" s="234">
        <f>IFERROR(_xlfn.XLOOKUP($D101,'Modelling New'!$D:$D,'Modelling New'!AE:AE),"")</f>
        <v>0.995</v>
      </c>
      <c r="AH101" s="234">
        <v>0.99750000000000005</v>
      </c>
      <c r="AI101" s="6"/>
      <c r="AJ101" s="6"/>
      <c r="AK101" s="6"/>
      <c r="AL101" s="6"/>
      <c r="AM101" s="6"/>
      <c r="AN101" s="231"/>
      <c r="AO101" s="234"/>
      <c r="AP101" s="234"/>
      <c r="AQ101" s="234"/>
      <c r="AR101" s="227">
        <f>IFERROR(_xlfn.XLOOKUP($D101,'Modelling New'!$D:$D,'Modelling New'!$N:$N),"")</f>
        <v>24.303100000000001</v>
      </c>
      <c r="AS101" s="227"/>
    </row>
    <row r="102" spans="1:45" x14ac:dyDescent="0.35">
      <c r="A102" s="226">
        <f t="shared" si="9"/>
        <v>45845</v>
      </c>
      <c r="B102" s="227">
        <f>YEAR(Daily_KPI[[#This Row],[Date]])+IF(MONTH(Daily_KPI[[#This Row],[Date]])&gt;=4,1,0)</f>
        <v>2026</v>
      </c>
      <c r="C102" s="6">
        <f>YEAR(Daily_KPI[[#This Row],[Date]])</f>
        <v>2025</v>
      </c>
      <c r="D102" s="228">
        <f>Daily_KPI[[#This Row],[Date]]-DAY(Daily_KPI[[#This Row],[Date]])+1</f>
        <v>45839</v>
      </c>
      <c r="E102" s="6">
        <f t="shared" si="7"/>
        <v>31</v>
      </c>
      <c r="F102" s="229">
        <f>IFERROR(_xlfn.XLOOKUP($A102,'Raw Data'!$A:$A,'Raw Data'!$BR:$BR),"")</f>
        <v>11.883333333333333</v>
      </c>
      <c r="G102" s="230">
        <f>IFERROR(_xlfn.XLOOKUP($A102,'Raw Data'!$A:$A,'Raw Data'!$AO:$AO),"")</f>
        <v>0</v>
      </c>
      <c r="H102" s="230"/>
      <c r="I102" s="230">
        <f>IFERROR(_xlfn.XLOOKUP($A102,'Raw Data'!$A:$A,'Raw Data'!$AR:$AR),"")</f>
        <v>1.596209884678748</v>
      </c>
      <c r="J102" s="230"/>
      <c r="K102" s="230">
        <f>IFERROR(_xlfn.XLOOKUP($A102,'Raw Data'!$A:$A,'Raw Data'!$AV:$AV),"")</f>
        <v>0</v>
      </c>
      <c r="L102" s="230">
        <f>IFERROR(_xlfn.XLOOKUP($A102,'Raw Data'!$A:$A,'Raw Data'!$AW:$AW),"")</f>
        <v>0</v>
      </c>
      <c r="M102" s="230">
        <f>IFERROR(_xlfn.XLOOKUP($A102,'Raw Data'!$A:$A,'Raw Data'!$AX:$AX),"")</f>
        <v>0</v>
      </c>
      <c r="N102" s="230">
        <f>IFERROR(_xlfn.XLOOKUP($A102,'Raw Data'!$A:$A,'Raw Data'!$AY:$AY),"")</f>
        <v>0</v>
      </c>
      <c r="O102" s="231">
        <f>IFERROR(1-(SUMIF('Plant BD'!$B:$B,A102,'Plant BD'!$AE:$AE)/(AA102+SUMIF('Plant BD'!$B:$B,A102,'Plant BD'!$AE:$AE))),"")</f>
        <v>1</v>
      </c>
      <c r="P102" s="231"/>
      <c r="Q102" s="232"/>
      <c r="R102" s="231">
        <f>IFERROR(1-(SUMIF('Grid BD'!$B:$B,$A102,'Grid BD'!$AD:$AD)/($AA102+SUMIF('Grid BD'!$B:$B,$A102,'Grid BD'!AD:AD))),"")</f>
        <v>1</v>
      </c>
      <c r="S102" s="6"/>
      <c r="T102" s="232"/>
      <c r="U102" s="233">
        <f t="shared" si="8"/>
        <v>0.91448298897740155</v>
      </c>
      <c r="V102" s="233"/>
      <c r="W102" s="234">
        <f t="shared" si="6"/>
        <v>6.0821116099012286E-2</v>
      </c>
      <c r="X102" s="227">
        <f>IFERROR(_xlfn.XLOOKUP($A102,'Raw Data'!$A:$A,'Raw Data'!$BA:$BA),"")</f>
        <v>35750.6</v>
      </c>
      <c r="Y102" s="227">
        <f>IFERROR(_xlfn.XLOOKUP($A102,'Raw Data'!$A:$A,'Raw Data'!BJ:BJ),"")</f>
        <v>36176.699999981793</v>
      </c>
      <c r="Z102" s="227">
        <f>IFERROR(_xlfn.XLOOKUP($A102,'Raw Data'!$A:$A,'Raw Data'!BK:BK),"")</f>
        <v>701.30000000006021</v>
      </c>
      <c r="AA102" s="227">
        <f>IFERROR(_xlfn.XLOOKUP($A102,'Raw Data'!$A:$A,'Raw Data'!BL:BL),"")</f>
        <v>35475.399999981732</v>
      </c>
      <c r="AB102" s="227">
        <f>IFERROR(_xlfn.XLOOKUP($A102,'Raw Data'!$A:$A,'Raw Data'!$H:$H),"")</f>
        <v>24.303100000000001</v>
      </c>
      <c r="AC102" s="145">
        <f>IFERROR(_xlfn.XLOOKUP($D102,'Modelling New'!$D:$D,'Modelling New'!$P:$P),"")</f>
        <v>4.4064516129032256</v>
      </c>
      <c r="AD102" s="227">
        <f>IFERROR(_xlfn.XLOOKUP($D102,'Modelling New'!$D:$D,'Modelling New'!$T:$T)*1000,"")</f>
        <v>77476.763338544362</v>
      </c>
      <c r="AE102" s="234">
        <f>IFERROR(_xlfn.XLOOKUP($D102,'Modelling New'!$D:$D,'Modelling New'!$O:$O),"")</f>
        <v>0.72347043806469047</v>
      </c>
      <c r="AF102" s="234">
        <f>IFERROR(_xlfn.XLOOKUP($D102,'Modelling New'!$D:$D,'Modelling New'!$W:$W),"")</f>
        <v>0.1328307282790816</v>
      </c>
      <c r="AG102" s="234">
        <f>IFERROR(_xlfn.XLOOKUP($D102,'Modelling New'!$D:$D,'Modelling New'!AE:AE),"")</f>
        <v>0.995</v>
      </c>
      <c r="AH102" s="234">
        <v>0.99750000000000005</v>
      </c>
      <c r="AI102" s="6"/>
      <c r="AJ102" s="6"/>
      <c r="AK102" s="6"/>
      <c r="AL102" s="6"/>
      <c r="AM102" s="6"/>
      <c r="AN102" s="231"/>
      <c r="AO102" s="234"/>
      <c r="AP102" s="234"/>
      <c r="AQ102" s="234"/>
      <c r="AR102" s="227">
        <f>IFERROR(_xlfn.XLOOKUP($D102,'Modelling New'!$D:$D,'Modelling New'!$N:$N),"")</f>
        <v>24.303100000000001</v>
      </c>
      <c r="AS102" s="227"/>
    </row>
    <row r="103" spans="1:45" x14ac:dyDescent="0.35">
      <c r="A103" s="226">
        <f t="shared" si="9"/>
        <v>45846</v>
      </c>
      <c r="B103" s="227">
        <f>YEAR(Daily_KPI[[#This Row],[Date]])+IF(MONTH(Daily_KPI[[#This Row],[Date]])&gt;=4,1,0)</f>
        <v>2026</v>
      </c>
      <c r="C103" s="6">
        <f>YEAR(Daily_KPI[[#This Row],[Date]])</f>
        <v>2025</v>
      </c>
      <c r="D103" s="228">
        <f>Daily_KPI[[#This Row],[Date]]-DAY(Daily_KPI[[#This Row],[Date]])+1</f>
        <v>45839</v>
      </c>
      <c r="E103" s="6">
        <f t="shared" si="7"/>
        <v>31</v>
      </c>
      <c r="F103" s="229">
        <f>IFERROR(_xlfn.XLOOKUP($A103,'Raw Data'!$A:$A,'Raw Data'!$BR:$BR),"")</f>
        <v>12.233333333333333</v>
      </c>
      <c r="G103" s="230">
        <f>IFERROR(_xlfn.XLOOKUP($A103,'Raw Data'!$A:$A,'Raw Data'!$AO:$AO),"")</f>
        <v>0</v>
      </c>
      <c r="H103" s="230"/>
      <c r="I103" s="230">
        <f>IFERROR(_xlfn.XLOOKUP($A103,'Raw Data'!$A:$A,'Raw Data'!$AR:$AR),"")</f>
        <v>2.2910570428336077</v>
      </c>
      <c r="J103" s="230"/>
      <c r="K103" s="230">
        <f>IFERROR(_xlfn.XLOOKUP($A103,'Raw Data'!$A:$A,'Raw Data'!$AV:$AV),"")</f>
        <v>0</v>
      </c>
      <c r="L103" s="230">
        <f>IFERROR(_xlfn.XLOOKUP($A103,'Raw Data'!$A:$A,'Raw Data'!$AW:$AW),"")</f>
        <v>0</v>
      </c>
      <c r="M103" s="230">
        <f>IFERROR(_xlfn.XLOOKUP($A103,'Raw Data'!$A:$A,'Raw Data'!$AX:$AX),"")</f>
        <v>0</v>
      </c>
      <c r="N103" s="230">
        <f>IFERROR(_xlfn.XLOOKUP($A103,'Raw Data'!$A:$A,'Raw Data'!$AY:$AY),"")</f>
        <v>0</v>
      </c>
      <c r="O103" s="231">
        <f>IFERROR(1-(SUMIF('Plant BD'!$B:$B,A103,'Plant BD'!$AE:$AE)/(AA103+SUMIF('Plant BD'!$B:$B,A103,'Plant BD'!$AE:$AE))),"")</f>
        <v>0.9916546787035263</v>
      </c>
      <c r="P103" s="231"/>
      <c r="Q103" s="232"/>
      <c r="R103" s="231">
        <f>IFERROR(1-(SUMIF('Grid BD'!$B:$B,$A103,'Grid BD'!$AD:$AD)/($AA103+SUMIF('Grid BD'!$B:$B,$A103,'Grid BD'!AD:AD))),"")</f>
        <v>1</v>
      </c>
      <c r="S103" s="6"/>
      <c r="T103" s="232"/>
      <c r="U103" s="233">
        <f t="shared" si="8"/>
        <v>0.90238309856911447</v>
      </c>
      <c r="V103" s="233"/>
      <c r="W103" s="234">
        <f t="shared" si="6"/>
        <v>8.6142131387949308E-2</v>
      </c>
      <c r="X103" s="227">
        <f>IFERROR(_xlfn.XLOOKUP($A103,'Raw Data'!$A:$A,'Raw Data'!$BA:$BA),"")</f>
        <v>50495.6</v>
      </c>
      <c r="Y103" s="227">
        <f>IFERROR(_xlfn.XLOOKUP($A103,'Raw Data'!$A:$A,'Raw Data'!BJ:BJ),"")</f>
        <v>51256.700000027195</v>
      </c>
      <c r="Z103" s="227">
        <f>IFERROR(_xlfn.XLOOKUP($A103,'Raw Data'!$A:$A,'Raw Data'!BK:BK),"")</f>
        <v>1012.1999999998934</v>
      </c>
      <c r="AA103" s="227">
        <f>IFERROR(_xlfn.XLOOKUP($A103,'Raw Data'!$A:$A,'Raw Data'!BL:BL),"")</f>
        <v>50244.500000027299</v>
      </c>
      <c r="AB103" s="227">
        <f>IFERROR(_xlfn.XLOOKUP($A103,'Raw Data'!$A:$A,'Raw Data'!$H:$H),"")</f>
        <v>24.303100000000001</v>
      </c>
      <c r="AC103" s="145">
        <f>IFERROR(_xlfn.XLOOKUP($D103,'Modelling New'!$D:$D,'Modelling New'!$P:$P),"")</f>
        <v>4.4064516129032256</v>
      </c>
      <c r="AD103" s="227">
        <f>IFERROR(_xlfn.XLOOKUP($D103,'Modelling New'!$D:$D,'Modelling New'!$T:$T)*1000,"")</f>
        <v>77476.763338544362</v>
      </c>
      <c r="AE103" s="234">
        <f>IFERROR(_xlfn.XLOOKUP($D103,'Modelling New'!$D:$D,'Modelling New'!$O:$O),"")</f>
        <v>0.72347043806469047</v>
      </c>
      <c r="AF103" s="234">
        <f>IFERROR(_xlfn.XLOOKUP($D103,'Modelling New'!$D:$D,'Modelling New'!$W:$W),"")</f>
        <v>0.1328307282790816</v>
      </c>
      <c r="AG103" s="234">
        <f>IFERROR(_xlfn.XLOOKUP($D103,'Modelling New'!$D:$D,'Modelling New'!AE:AE),"")</f>
        <v>0.995</v>
      </c>
      <c r="AH103" s="234">
        <v>0.99750000000000005</v>
      </c>
      <c r="AI103" s="6"/>
      <c r="AJ103" s="6"/>
      <c r="AK103" s="6"/>
      <c r="AL103" s="6"/>
      <c r="AM103" s="6"/>
      <c r="AN103" s="231"/>
      <c r="AO103" s="234"/>
      <c r="AP103" s="234"/>
      <c r="AQ103" s="234"/>
      <c r="AR103" s="227">
        <f>IFERROR(_xlfn.XLOOKUP($D103,'Modelling New'!$D:$D,'Modelling New'!$N:$N),"")</f>
        <v>24.303100000000001</v>
      </c>
      <c r="AS103" s="227"/>
    </row>
    <row r="104" spans="1:45" x14ac:dyDescent="0.35">
      <c r="A104" s="226">
        <f t="shared" si="9"/>
        <v>45847</v>
      </c>
      <c r="B104" s="227">
        <f>YEAR(Daily_KPI[[#This Row],[Date]])+IF(MONTH(Daily_KPI[[#This Row],[Date]])&gt;=4,1,0)</f>
        <v>2026</v>
      </c>
      <c r="C104" s="6">
        <f>YEAR(Daily_KPI[[#This Row],[Date]])</f>
        <v>2025</v>
      </c>
      <c r="D104" s="228">
        <f>Daily_KPI[[#This Row],[Date]]-DAY(Daily_KPI[[#This Row],[Date]])+1</f>
        <v>45839</v>
      </c>
      <c r="E104" s="6">
        <f t="shared" si="7"/>
        <v>31</v>
      </c>
      <c r="F104" s="229">
        <f>IFERROR(_xlfn.XLOOKUP($A104,'Raw Data'!$A:$A,'Raw Data'!$BR:$BR),"")</f>
        <v>11.9</v>
      </c>
      <c r="G104" s="230">
        <f>IFERROR(_xlfn.XLOOKUP($A104,'Raw Data'!$A:$A,'Raw Data'!$AO:$AO),"")</f>
        <v>0</v>
      </c>
      <c r="H104" s="230"/>
      <c r="I104" s="230">
        <f>IFERROR(_xlfn.XLOOKUP($A104,'Raw Data'!$A:$A,'Raw Data'!$AR:$AR),"")</f>
        <v>2.2303209225700162</v>
      </c>
      <c r="J104" s="230"/>
      <c r="K104" s="230">
        <f>IFERROR(_xlfn.XLOOKUP($A104,'Raw Data'!$A:$A,'Raw Data'!$AV:$AV),"")</f>
        <v>0</v>
      </c>
      <c r="L104" s="230">
        <f>IFERROR(_xlfn.XLOOKUP($A104,'Raw Data'!$A:$A,'Raw Data'!$AW:$AW),"")</f>
        <v>0</v>
      </c>
      <c r="M104" s="230">
        <f>IFERROR(_xlfn.XLOOKUP($A104,'Raw Data'!$A:$A,'Raw Data'!$AX:$AX),"")</f>
        <v>0</v>
      </c>
      <c r="N104" s="230">
        <f>IFERROR(_xlfn.XLOOKUP($A104,'Raw Data'!$A:$A,'Raw Data'!$AY:$AY),"")</f>
        <v>0</v>
      </c>
      <c r="O104" s="231">
        <f>IFERROR(1-(SUMIF('Plant BD'!$B:$B,A104,'Plant BD'!$AE:$AE)/(AA104+SUMIF('Plant BD'!$B:$B,A104,'Plant BD'!$AE:$AE))),"")</f>
        <v>0.99935462245144013</v>
      </c>
      <c r="P104" s="231"/>
      <c r="Q104" s="232"/>
      <c r="R104" s="231">
        <f>IFERROR(1-(SUMIF('Grid BD'!$B:$B,$A104,'Grid BD'!$AD:$AD)/($AA104+SUMIF('Grid BD'!$B:$B,$A104,'Grid BD'!AD:AD))),"")</f>
        <v>1</v>
      </c>
      <c r="S104" s="6"/>
      <c r="T104" s="232"/>
      <c r="U104" s="233">
        <f t="shared" si="8"/>
        <v>0.88888745539408176</v>
      </c>
      <c r="V104" s="233"/>
      <c r="W104" s="234">
        <f t="shared" si="6"/>
        <v>8.2604345398976764E-2</v>
      </c>
      <c r="X104" s="227">
        <f>IFERROR(_xlfn.XLOOKUP($A104,'Raw Data'!$A:$A,'Raw Data'!$BA:$BA),"")</f>
        <v>48498.5</v>
      </c>
      <c r="Y104" s="227">
        <f>IFERROR(_xlfn.XLOOKUP($A104,'Raw Data'!$A:$A,'Raw Data'!BJ:BJ),"")</f>
        <v>49028.399999981048</v>
      </c>
      <c r="Z104" s="227">
        <f>IFERROR(_xlfn.XLOOKUP($A104,'Raw Data'!$A:$A,'Raw Data'!BK:BK),"")</f>
        <v>847.40000000010696</v>
      </c>
      <c r="AA104" s="227">
        <f>IFERROR(_xlfn.XLOOKUP($A104,'Raw Data'!$A:$A,'Raw Data'!BL:BL),"")</f>
        <v>48180.999999980937</v>
      </c>
      <c r="AB104" s="227">
        <f>IFERROR(_xlfn.XLOOKUP($A104,'Raw Data'!$A:$A,'Raw Data'!$H:$H),"")</f>
        <v>24.303100000000001</v>
      </c>
      <c r="AC104" s="145">
        <f>IFERROR(_xlfn.XLOOKUP($D104,'Modelling New'!$D:$D,'Modelling New'!$P:$P),"")</f>
        <v>4.4064516129032256</v>
      </c>
      <c r="AD104" s="227">
        <f>IFERROR(_xlfn.XLOOKUP($D104,'Modelling New'!$D:$D,'Modelling New'!$T:$T)*1000,"")</f>
        <v>77476.763338544362</v>
      </c>
      <c r="AE104" s="234">
        <f>IFERROR(_xlfn.XLOOKUP($D104,'Modelling New'!$D:$D,'Modelling New'!$O:$O),"")</f>
        <v>0.72347043806469047</v>
      </c>
      <c r="AF104" s="234">
        <f>IFERROR(_xlfn.XLOOKUP($D104,'Modelling New'!$D:$D,'Modelling New'!$W:$W),"")</f>
        <v>0.1328307282790816</v>
      </c>
      <c r="AG104" s="234">
        <f>IFERROR(_xlfn.XLOOKUP($D104,'Modelling New'!$D:$D,'Modelling New'!AE:AE),"")</f>
        <v>0.995</v>
      </c>
      <c r="AH104" s="234">
        <v>0.99750000000000005</v>
      </c>
      <c r="AI104" s="6"/>
      <c r="AJ104" s="6"/>
      <c r="AK104" s="6"/>
      <c r="AL104" s="6"/>
      <c r="AM104" s="6"/>
      <c r="AN104" s="231"/>
      <c r="AO104" s="234"/>
      <c r="AP104" s="234"/>
      <c r="AQ104" s="234"/>
      <c r="AR104" s="227">
        <f>IFERROR(_xlfn.XLOOKUP($D104,'Modelling New'!$D:$D,'Modelling New'!$N:$N),"")</f>
        <v>24.303100000000001</v>
      </c>
      <c r="AS104" s="227"/>
    </row>
    <row r="105" spans="1:45" x14ac:dyDescent="0.35">
      <c r="A105" s="226">
        <f t="shared" si="9"/>
        <v>45848</v>
      </c>
      <c r="B105" s="227">
        <f>YEAR(Daily_KPI[[#This Row],[Date]])+IF(MONTH(Daily_KPI[[#This Row],[Date]])&gt;=4,1,0)</f>
        <v>2026</v>
      </c>
      <c r="C105" s="6">
        <f>YEAR(Daily_KPI[[#This Row],[Date]])</f>
        <v>2025</v>
      </c>
      <c r="D105" s="228">
        <f>Daily_KPI[[#This Row],[Date]]-DAY(Daily_KPI[[#This Row],[Date]])+1</f>
        <v>45839</v>
      </c>
      <c r="E105" s="6">
        <f t="shared" si="7"/>
        <v>31</v>
      </c>
      <c r="F105" s="229">
        <f>IFERROR(_xlfn.XLOOKUP($A105,'Raw Data'!$A:$A,'Raw Data'!$BR:$BR),"")</f>
        <v>12.350000000000001</v>
      </c>
      <c r="G105" s="230">
        <f>IFERROR(_xlfn.XLOOKUP($A105,'Raw Data'!$A:$A,'Raw Data'!$AO:$AO),"")</f>
        <v>0</v>
      </c>
      <c r="H105" s="230"/>
      <c r="I105" s="230">
        <f>IFERROR(_xlfn.XLOOKUP($A105,'Raw Data'!$A:$A,'Raw Data'!$AR:$AR),"")</f>
        <v>5.6836418451400332</v>
      </c>
      <c r="J105" s="230"/>
      <c r="K105" s="230">
        <f>IFERROR(_xlfn.XLOOKUP($A105,'Raw Data'!$A:$A,'Raw Data'!$AV:$AV),"")</f>
        <v>0</v>
      </c>
      <c r="L105" s="230">
        <f>IFERROR(_xlfn.XLOOKUP($A105,'Raw Data'!$A:$A,'Raw Data'!$AW:$AW),"")</f>
        <v>0</v>
      </c>
      <c r="M105" s="230">
        <f>IFERROR(_xlfn.XLOOKUP($A105,'Raw Data'!$A:$A,'Raw Data'!$AX:$AX),"")</f>
        <v>0</v>
      </c>
      <c r="N105" s="230">
        <f>IFERROR(_xlfn.XLOOKUP($A105,'Raw Data'!$A:$A,'Raw Data'!$AY:$AY),"")</f>
        <v>0</v>
      </c>
      <c r="O105" s="231">
        <f>IFERROR(1-(SUMIF('Plant BD'!$B:$B,A105,'Plant BD'!$AE:$AE)/(AA105+SUMIF('Plant BD'!$B:$B,A105,'Plant BD'!$AE:$AE))),"")</f>
        <v>0.37992094800214282</v>
      </c>
      <c r="P105" s="231"/>
      <c r="Q105" s="232"/>
      <c r="R105" s="231">
        <f>IFERROR(1-(SUMIF('Grid BD'!$B:$B,$A105,'Grid BD'!$AD:$AD)/($AA105+SUMIF('Grid BD'!$B:$B,$A105,'Grid BD'!AD:AD))),"")</f>
        <v>1</v>
      </c>
      <c r="S105" s="6"/>
      <c r="T105" s="232"/>
      <c r="U105" s="233">
        <f t="shared" si="8"/>
        <v>0.28470619661205687</v>
      </c>
      <c r="V105" s="233"/>
      <c r="W105" s="234">
        <f t="shared" si="6"/>
        <v>6.7423668859789676E-2</v>
      </c>
      <c r="X105" s="227">
        <f>IFERROR(_xlfn.XLOOKUP($A105,'Raw Data'!$A:$A,'Raw Data'!$BA:$BA),"")</f>
        <v>39884.300000000003</v>
      </c>
      <c r="Y105" s="227">
        <f>IFERROR(_xlfn.XLOOKUP($A105,'Raw Data'!$A:$A,'Raw Data'!BJ:BJ),"")</f>
        <v>40175.699999992503</v>
      </c>
      <c r="Z105" s="227">
        <f>IFERROR(_xlfn.XLOOKUP($A105,'Raw Data'!$A:$A,'Raw Data'!BK:BK),"")</f>
        <v>849.19999999999618</v>
      </c>
      <c r="AA105" s="227">
        <f>IFERROR(_xlfn.XLOOKUP($A105,'Raw Data'!$A:$A,'Raw Data'!BL:BL),"")</f>
        <v>39326.499999992506</v>
      </c>
      <c r="AB105" s="227">
        <f>IFERROR(_xlfn.XLOOKUP($A105,'Raw Data'!$A:$A,'Raw Data'!$H:$H),"")</f>
        <v>24.303100000000001</v>
      </c>
      <c r="AC105" s="145">
        <f>IFERROR(_xlfn.XLOOKUP($D105,'Modelling New'!$D:$D,'Modelling New'!$P:$P),"")</f>
        <v>4.4064516129032256</v>
      </c>
      <c r="AD105" s="227">
        <f>IFERROR(_xlfn.XLOOKUP($D105,'Modelling New'!$D:$D,'Modelling New'!$T:$T)*1000,"")</f>
        <v>77476.763338544362</v>
      </c>
      <c r="AE105" s="234">
        <f>IFERROR(_xlfn.XLOOKUP($D105,'Modelling New'!$D:$D,'Modelling New'!$O:$O),"")</f>
        <v>0.72347043806469047</v>
      </c>
      <c r="AF105" s="234">
        <f>IFERROR(_xlfn.XLOOKUP($D105,'Modelling New'!$D:$D,'Modelling New'!$W:$W),"")</f>
        <v>0.1328307282790816</v>
      </c>
      <c r="AG105" s="234">
        <f>IFERROR(_xlfn.XLOOKUP($D105,'Modelling New'!$D:$D,'Modelling New'!AE:AE),"")</f>
        <v>0.995</v>
      </c>
      <c r="AH105" s="234">
        <v>0.99750000000000005</v>
      </c>
      <c r="AI105" s="6"/>
      <c r="AJ105" s="6"/>
      <c r="AK105" s="6"/>
      <c r="AL105" s="6"/>
      <c r="AM105" s="6"/>
      <c r="AN105" s="231"/>
      <c r="AO105" s="234"/>
      <c r="AP105" s="234"/>
      <c r="AQ105" s="234"/>
      <c r="AR105" s="227">
        <f>IFERROR(_xlfn.XLOOKUP($D105,'Modelling New'!$D:$D,'Modelling New'!$N:$N),"")</f>
        <v>24.303100000000001</v>
      </c>
      <c r="AS105" s="227"/>
    </row>
    <row r="106" spans="1:45" x14ac:dyDescent="0.35">
      <c r="A106" s="226">
        <f t="shared" si="9"/>
        <v>45849</v>
      </c>
      <c r="B106" s="227">
        <f>YEAR(Daily_KPI[[#This Row],[Date]])+IF(MONTH(Daily_KPI[[#This Row],[Date]])&gt;=4,1,0)</f>
        <v>2026</v>
      </c>
      <c r="C106" s="6">
        <f>YEAR(Daily_KPI[[#This Row],[Date]])</f>
        <v>2025</v>
      </c>
      <c r="D106" s="228">
        <f>Daily_KPI[[#This Row],[Date]]-DAY(Daily_KPI[[#This Row],[Date]])+1</f>
        <v>45839</v>
      </c>
      <c r="E106" s="6">
        <f t="shared" si="7"/>
        <v>31</v>
      </c>
      <c r="F106" s="229">
        <f>IFERROR(_xlfn.XLOOKUP($A106,'Raw Data'!$A:$A,'Raw Data'!$BR:$BR),"")</f>
        <v>12.2</v>
      </c>
      <c r="G106" s="230">
        <f>IFERROR(_xlfn.XLOOKUP($A106,'Raw Data'!$A:$A,'Raw Data'!$AO:$AO),"")</f>
        <v>0</v>
      </c>
      <c r="H106" s="230"/>
      <c r="I106" s="230">
        <f>IFERROR(_xlfn.XLOOKUP($A106,'Raw Data'!$A:$A,'Raw Data'!$AR:$AR),"")</f>
        <v>4.3835369028006586</v>
      </c>
      <c r="J106" s="230"/>
      <c r="K106" s="230">
        <f>IFERROR(_xlfn.XLOOKUP($A106,'Raw Data'!$A:$A,'Raw Data'!$AV:$AV),"")</f>
        <v>0</v>
      </c>
      <c r="L106" s="230">
        <f>IFERROR(_xlfn.XLOOKUP($A106,'Raw Data'!$A:$A,'Raw Data'!$AW:$AW),"")</f>
        <v>0</v>
      </c>
      <c r="M106" s="230">
        <f>IFERROR(_xlfn.XLOOKUP($A106,'Raw Data'!$A:$A,'Raw Data'!$AX:$AX),"")</f>
        <v>0</v>
      </c>
      <c r="N106" s="230">
        <f>IFERROR(_xlfn.XLOOKUP($A106,'Raw Data'!$A:$A,'Raw Data'!$AY:$AY),"")</f>
        <v>0</v>
      </c>
      <c r="O106" s="231">
        <f>IFERROR(1-(SUMIF('Plant BD'!$B:$B,A106,'Plant BD'!$AE:$AE)/(AA106+SUMIF('Plant BD'!$B:$B,A106,'Plant BD'!$AE:$AE))),"")</f>
        <v>0.98692841614357074</v>
      </c>
      <c r="P106" s="231"/>
      <c r="Q106" s="232"/>
      <c r="R106" s="231">
        <f>IFERROR(1-(SUMIF('Grid BD'!$B:$B,$A106,'Grid BD'!$AD:$AD)/($AA106+SUMIF('Grid BD'!$B:$B,$A106,'Grid BD'!AD:AD))),"")</f>
        <v>1</v>
      </c>
      <c r="S106" s="6"/>
      <c r="T106" s="232"/>
      <c r="U106" s="233">
        <f t="shared" si="8"/>
        <v>0.78901070396062556</v>
      </c>
      <c r="V106" s="233"/>
      <c r="W106" s="234">
        <f t="shared" si="6"/>
        <v>0.14411073072983865</v>
      </c>
      <c r="X106" s="227">
        <f>IFERROR(_xlfn.XLOOKUP($A106,'Raw Data'!$A:$A,'Raw Data'!$BA:$BA),"")</f>
        <v>85101.499999999985</v>
      </c>
      <c r="Y106" s="227">
        <f>IFERROR(_xlfn.XLOOKUP($A106,'Raw Data'!$A:$A,'Raw Data'!BJ:BJ),"")</f>
        <v>84886.200000008103</v>
      </c>
      <c r="Z106" s="227">
        <f>IFERROR(_xlfn.XLOOKUP($A106,'Raw Data'!$A:$A,'Raw Data'!BK:BK),"")</f>
        <v>830.09999999990214</v>
      </c>
      <c r="AA106" s="227">
        <f>IFERROR(_xlfn.XLOOKUP($A106,'Raw Data'!$A:$A,'Raw Data'!BL:BL),"")</f>
        <v>84056.100000008199</v>
      </c>
      <c r="AB106" s="227">
        <f>IFERROR(_xlfn.XLOOKUP($A106,'Raw Data'!$A:$A,'Raw Data'!$H:$H),"")</f>
        <v>24.303100000000001</v>
      </c>
      <c r="AC106" s="145">
        <f>IFERROR(_xlfn.XLOOKUP($D106,'Modelling New'!$D:$D,'Modelling New'!$P:$P),"")</f>
        <v>4.4064516129032256</v>
      </c>
      <c r="AD106" s="227">
        <f>IFERROR(_xlfn.XLOOKUP($D106,'Modelling New'!$D:$D,'Modelling New'!$T:$T)*1000,"")</f>
        <v>77476.763338544362</v>
      </c>
      <c r="AE106" s="234">
        <f>IFERROR(_xlfn.XLOOKUP($D106,'Modelling New'!$D:$D,'Modelling New'!$O:$O),"")</f>
        <v>0.72347043806469047</v>
      </c>
      <c r="AF106" s="234">
        <f>IFERROR(_xlfn.XLOOKUP($D106,'Modelling New'!$D:$D,'Modelling New'!$W:$W),"")</f>
        <v>0.1328307282790816</v>
      </c>
      <c r="AG106" s="234">
        <f>IFERROR(_xlfn.XLOOKUP($D106,'Modelling New'!$D:$D,'Modelling New'!AE:AE),"")</f>
        <v>0.995</v>
      </c>
      <c r="AH106" s="234">
        <v>0.99750000000000005</v>
      </c>
      <c r="AI106" s="6"/>
      <c r="AJ106" s="6"/>
      <c r="AK106" s="6"/>
      <c r="AL106" s="6"/>
      <c r="AM106" s="6"/>
      <c r="AN106" s="231"/>
      <c r="AO106" s="234"/>
      <c r="AP106" s="234"/>
      <c r="AQ106" s="234"/>
      <c r="AR106" s="227">
        <f>IFERROR(_xlfn.XLOOKUP($D106,'Modelling New'!$D:$D,'Modelling New'!$N:$N),"")</f>
        <v>24.303100000000001</v>
      </c>
      <c r="AS106" s="227"/>
    </row>
    <row r="107" spans="1:45" x14ac:dyDescent="0.35">
      <c r="A107" s="226">
        <f t="shared" si="9"/>
        <v>45850</v>
      </c>
      <c r="B107" s="227">
        <f>YEAR(Daily_KPI[[#This Row],[Date]])+IF(MONTH(Daily_KPI[[#This Row],[Date]])&gt;=4,1,0)</f>
        <v>2026</v>
      </c>
      <c r="C107" s="6">
        <f>YEAR(Daily_KPI[[#This Row],[Date]])</f>
        <v>2025</v>
      </c>
      <c r="D107" s="228">
        <f>Daily_KPI[[#This Row],[Date]]-DAY(Daily_KPI[[#This Row],[Date]])+1</f>
        <v>45839</v>
      </c>
      <c r="E107" s="6">
        <f t="shared" si="7"/>
        <v>31</v>
      </c>
      <c r="F107" s="229">
        <f>IFERROR(_xlfn.XLOOKUP($A107,'Raw Data'!$A:$A,'Raw Data'!$BR:$BR),"")</f>
        <v>12.399999999999999</v>
      </c>
      <c r="G107" s="230">
        <f>IFERROR(_xlfn.XLOOKUP($A107,'Raw Data'!$A:$A,'Raw Data'!$AO:$AO),"")</f>
        <v>0</v>
      </c>
      <c r="H107" s="230"/>
      <c r="I107" s="230">
        <f>IFERROR(_xlfn.XLOOKUP($A107,'Raw Data'!$A:$A,'Raw Data'!$AR:$AR),"")</f>
        <v>5.6016638385502464</v>
      </c>
      <c r="J107" s="230"/>
      <c r="K107" s="230">
        <f>IFERROR(_xlfn.XLOOKUP($A107,'Raw Data'!$A:$A,'Raw Data'!$AV:$AV),"")</f>
        <v>0</v>
      </c>
      <c r="L107" s="230">
        <f>IFERROR(_xlfn.XLOOKUP($A107,'Raw Data'!$A:$A,'Raw Data'!$AW:$AW),"")</f>
        <v>0</v>
      </c>
      <c r="M107" s="230">
        <f>IFERROR(_xlfn.XLOOKUP($A107,'Raw Data'!$A:$A,'Raw Data'!$AX:$AX),"")</f>
        <v>0</v>
      </c>
      <c r="N107" s="230">
        <f>IFERROR(_xlfn.XLOOKUP($A107,'Raw Data'!$A:$A,'Raw Data'!$AY:$AY),"")</f>
        <v>0</v>
      </c>
      <c r="O107" s="231">
        <f>IFERROR(1-(SUMIF('Plant BD'!$B:$B,A107,'Plant BD'!$AE:$AE)/(AA107+SUMIF('Plant BD'!$B:$B,A107,'Plant BD'!$AE:$AE))),"")</f>
        <v>0.8623662756526832</v>
      </c>
      <c r="P107" s="231"/>
      <c r="Q107" s="232"/>
      <c r="R107" s="231">
        <f>IFERROR(1-(SUMIF('Grid BD'!$B:$B,$A107,'Grid BD'!$AD:$AD)/($AA107+SUMIF('Grid BD'!$B:$B,$A107,'Grid BD'!AD:AD))),"")</f>
        <v>1</v>
      </c>
      <c r="S107" s="6"/>
      <c r="T107" s="232"/>
      <c r="U107" s="233">
        <f t="shared" si="8"/>
        <v>0.66154589216684101</v>
      </c>
      <c r="V107" s="233"/>
      <c r="W107" s="234">
        <f t="shared" ref="W107:W170" si="10">IFERROR(AA107/(24*AR107*1000),"")</f>
        <v>0.15440657090385224</v>
      </c>
      <c r="X107" s="227">
        <f>IFERROR(_xlfn.XLOOKUP($A107,'Raw Data'!$A:$A,'Raw Data'!$BA:$BA),"")</f>
        <v>91082.799999999988</v>
      </c>
      <c r="Y107" s="227">
        <f>IFERROR(_xlfn.XLOOKUP($A107,'Raw Data'!$A:$A,'Raw Data'!BJ:BJ),"")</f>
        <v>90964.500000001863</v>
      </c>
      <c r="Z107" s="227">
        <f>IFERROR(_xlfn.XLOOKUP($A107,'Raw Data'!$A:$A,'Raw Data'!BK:BK),"")</f>
        <v>903.09999999999491</v>
      </c>
      <c r="AA107" s="227">
        <f>IFERROR(_xlfn.XLOOKUP($A107,'Raw Data'!$A:$A,'Raw Data'!BL:BL),"")</f>
        <v>90061.400000001871</v>
      </c>
      <c r="AB107" s="227">
        <f>IFERROR(_xlfn.XLOOKUP($A107,'Raw Data'!$A:$A,'Raw Data'!$H:$H),"")</f>
        <v>24.303100000000001</v>
      </c>
      <c r="AC107" s="145">
        <f>IFERROR(_xlfn.XLOOKUP($D107,'Modelling New'!$D:$D,'Modelling New'!$P:$P),"")</f>
        <v>4.4064516129032256</v>
      </c>
      <c r="AD107" s="227">
        <f>IFERROR(_xlfn.XLOOKUP($D107,'Modelling New'!$D:$D,'Modelling New'!$T:$T)*1000,"")</f>
        <v>77476.763338544362</v>
      </c>
      <c r="AE107" s="234">
        <f>IFERROR(_xlfn.XLOOKUP($D107,'Modelling New'!$D:$D,'Modelling New'!$O:$O),"")</f>
        <v>0.72347043806469047</v>
      </c>
      <c r="AF107" s="234">
        <f>IFERROR(_xlfn.XLOOKUP($D107,'Modelling New'!$D:$D,'Modelling New'!$W:$W),"")</f>
        <v>0.1328307282790816</v>
      </c>
      <c r="AG107" s="234">
        <f>IFERROR(_xlfn.XLOOKUP($D107,'Modelling New'!$D:$D,'Modelling New'!AE:AE),"")</f>
        <v>0.995</v>
      </c>
      <c r="AH107" s="234">
        <v>0.99750000000000005</v>
      </c>
      <c r="AI107" s="6"/>
      <c r="AJ107" s="6"/>
      <c r="AK107" s="6"/>
      <c r="AL107" s="6"/>
      <c r="AM107" s="6"/>
      <c r="AN107" s="231"/>
      <c r="AO107" s="234"/>
      <c r="AP107" s="234"/>
      <c r="AQ107" s="234"/>
      <c r="AR107" s="227">
        <f>IFERROR(_xlfn.XLOOKUP($D107,'Modelling New'!$D:$D,'Modelling New'!$N:$N),"")</f>
        <v>24.303100000000001</v>
      </c>
      <c r="AS107" s="227"/>
    </row>
    <row r="108" spans="1:45" x14ac:dyDescent="0.35">
      <c r="A108" s="226">
        <f t="shared" si="9"/>
        <v>45851</v>
      </c>
      <c r="B108" s="227">
        <f>YEAR(Daily_KPI[[#This Row],[Date]])+IF(MONTH(Daily_KPI[[#This Row],[Date]])&gt;=4,1,0)</f>
        <v>2026</v>
      </c>
      <c r="C108" s="6">
        <f>YEAR(Daily_KPI[[#This Row],[Date]])</f>
        <v>2025</v>
      </c>
      <c r="D108" s="228">
        <f>Daily_KPI[[#This Row],[Date]]-DAY(Daily_KPI[[#This Row],[Date]])+1</f>
        <v>45839</v>
      </c>
      <c r="E108" s="6">
        <f t="shared" si="7"/>
        <v>31</v>
      </c>
      <c r="F108" s="229">
        <f>IFERROR(_xlfn.XLOOKUP($A108,'Raw Data'!$A:$A,'Raw Data'!$BR:$BR),"")</f>
        <v>12.116666666666669</v>
      </c>
      <c r="G108" s="230">
        <f>IFERROR(_xlfn.XLOOKUP($A108,'Raw Data'!$A:$A,'Raw Data'!$AO:$AO),"")</f>
        <v>0</v>
      </c>
      <c r="H108" s="230"/>
      <c r="I108" s="230">
        <f>IFERROR(_xlfn.XLOOKUP($A108,'Raw Data'!$A:$A,'Raw Data'!$AR:$AR),"")</f>
        <v>4.240374917627677</v>
      </c>
      <c r="J108" s="230"/>
      <c r="K108" s="230">
        <f>IFERROR(_xlfn.XLOOKUP($A108,'Raw Data'!$A:$A,'Raw Data'!$AV:$AV),"")</f>
        <v>0</v>
      </c>
      <c r="L108" s="230">
        <f>IFERROR(_xlfn.XLOOKUP($A108,'Raw Data'!$A:$A,'Raw Data'!$AW:$AW),"")</f>
        <v>0</v>
      </c>
      <c r="M108" s="230">
        <f>IFERROR(_xlfn.XLOOKUP($A108,'Raw Data'!$A:$A,'Raw Data'!$AX:$AX),"")</f>
        <v>0</v>
      </c>
      <c r="N108" s="230">
        <f>IFERROR(_xlfn.XLOOKUP($A108,'Raw Data'!$A:$A,'Raw Data'!$AY:$AY),"")</f>
        <v>0</v>
      </c>
      <c r="O108" s="231">
        <f>IFERROR(1-(SUMIF('Plant BD'!$B:$B,A108,'Plant BD'!$AE:$AE)/(AA108+SUMIF('Plant BD'!$B:$B,A108,'Plant BD'!$AE:$AE))),"")</f>
        <v>0.99956174516103535</v>
      </c>
      <c r="P108" s="231"/>
      <c r="Q108" s="232"/>
      <c r="R108" s="231">
        <f>IFERROR(1-(SUMIF('Grid BD'!$B:$B,$A108,'Grid BD'!$AD:$AD)/($AA108+SUMIF('Grid BD'!$B:$B,$A108,'Grid BD'!AD:AD))),"")</f>
        <v>1</v>
      </c>
      <c r="S108" s="6"/>
      <c r="T108" s="232"/>
      <c r="U108" s="233">
        <f t="shared" si="8"/>
        <v>0.83209664123364968</v>
      </c>
      <c r="V108" s="233"/>
      <c r="W108" s="234">
        <f t="shared" si="10"/>
        <v>0.14701673860539186</v>
      </c>
      <c r="X108" s="227">
        <f>IFERROR(_xlfn.XLOOKUP($A108,'Raw Data'!$A:$A,'Raw Data'!$BA:$BA),"")</f>
        <v>86443.499999999985</v>
      </c>
      <c r="Y108" s="227">
        <f>IFERROR(_xlfn.XLOOKUP($A108,'Raw Data'!$A:$A,'Raw Data'!BJ:BJ),"")</f>
        <v>86425.600000016857</v>
      </c>
      <c r="Z108" s="227">
        <f>IFERROR(_xlfn.XLOOKUP($A108,'Raw Data'!$A:$A,'Raw Data'!BK:BK),"")</f>
        <v>674.50000000008004</v>
      </c>
      <c r="AA108" s="227">
        <f>IFERROR(_xlfn.XLOOKUP($A108,'Raw Data'!$A:$A,'Raw Data'!BL:BL),"")</f>
        <v>85751.10000001677</v>
      </c>
      <c r="AB108" s="227">
        <f>IFERROR(_xlfn.XLOOKUP($A108,'Raw Data'!$A:$A,'Raw Data'!$H:$H),"")</f>
        <v>24.303100000000001</v>
      </c>
      <c r="AC108" s="145">
        <f>IFERROR(_xlfn.XLOOKUP($D108,'Modelling New'!$D:$D,'Modelling New'!$P:$P),"")</f>
        <v>4.4064516129032256</v>
      </c>
      <c r="AD108" s="227">
        <f>IFERROR(_xlfn.XLOOKUP($D108,'Modelling New'!$D:$D,'Modelling New'!$T:$T)*1000,"")</f>
        <v>77476.763338544362</v>
      </c>
      <c r="AE108" s="234">
        <f>IFERROR(_xlfn.XLOOKUP($D108,'Modelling New'!$D:$D,'Modelling New'!$O:$O),"")</f>
        <v>0.72347043806469047</v>
      </c>
      <c r="AF108" s="234">
        <f>IFERROR(_xlfn.XLOOKUP($D108,'Modelling New'!$D:$D,'Modelling New'!$W:$W),"")</f>
        <v>0.1328307282790816</v>
      </c>
      <c r="AG108" s="234">
        <f>IFERROR(_xlfn.XLOOKUP($D108,'Modelling New'!$D:$D,'Modelling New'!AE:AE),"")</f>
        <v>0.995</v>
      </c>
      <c r="AH108" s="234">
        <v>0.99750000000000005</v>
      </c>
      <c r="AI108" s="6"/>
      <c r="AJ108" s="6"/>
      <c r="AK108" s="6"/>
      <c r="AL108" s="6"/>
      <c r="AM108" s="6"/>
      <c r="AN108" s="231"/>
      <c r="AO108" s="234"/>
      <c r="AP108" s="234"/>
      <c r="AQ108" s="234"/>
      <c r="AR108" s="227">
        <f>IFERROR(_xlfn.XLOOKUP($D108,'Modelling New'!$D:$D,'Modelling New'!$N:$N),"")</f>
        <v>24.303100000000001</v>
      </c>
      <c r="AS108" s="227"/>
    </row>
    <row r="109" spans="1:45" x14ac:dyDescent="0.35">
      <c r="A109" s="226">
        <f t="shared" si="9"/>
        <v>45852</v>
      </c>
      <c r="B109" s="227">
        <f>YEAR(Daily_KPI[[#This Row],[Date]])+IF(MONTH(Daily_KPI[[#This Row],[Date]])&gt;=4,1,0)</f>
        <v>2026</v>
      </c>
      <c r="C109" s="6">
        <f>YEAR(Daily_KPI[[#This Row],[Date]])</f>
        <v>2025</v>
      </c>
      <c r="D109" s="228">
        <f>Daily_KPI[[#This Row],[Date]]-DAY(Daily_KPI[[#This Row],[Date]])+1</f>
        <v>45839</v>
      </c>
      <c r="E109" s="6">
        <f t="shared" si="7"/>
        <v>31</v>
      </c>
      <c r="F109" s="229">
        <f>IFERROR(_xlfn.XLOOKUP($A109,'Raw Data'!$A:$A,'Raw Data'!$BR:$BR),"")</f>
        <v>12.450000000000001</v>
      </c>
      <c r="G109" s="230">
        <f>IFERROR(_xlfn.XLOOKUP($A109,'Raw Data'!$A:$A,'Raw Data'!$AO:$AO),"")</f>
        <v>0</v>
      </c>
      <c r="H109" s="230"/>
      <c r="I109" s="230">
        <f>IFERROR(_xlfn.XLOOKUP($A109,'Raw Data'!$A:$A,'Raw Data'!$AR:$AR),"")</f>
        <v>4.5135939456342662</v>
      </c>
      <c r="J109" s="230"/>
      <c r="K109" s="230">
        <f>IFERROR(_xlfn.XLOOKUP($A109,'Raw Data'!$A:$A,'Raw Data'!$AV:$AV),"")</f>
        <v>0</v>
      </c>
      <c r="L109" s="230">
        <f>IFERROR(_xlfn.XLOOKUP($A109,'Raw Data'!$A:$A,'Raw Data'!$AW:$AW),"")</f>
        <v>0</v>
      </c>
      <c r="M109" s="230">
        <f>IFERROR(_xlfn.XLOOKUP($A109,'Raw Data'!$A:$A,'Raw Data'!$AX:$AX),"")</f>
        <v>0</v>
      </c>
      <c r="N109" s="230">
        <f>IFERROR(_xlfn.XLOOKUP($A109,'Raw Data'!$A:$A,'Raw Data'!$AY:$AY),"")</f>
        <v>0</v>
      </c>
      <c r="O109" s="231">
        <f>IFERROR(1-(SUMIF('Plant BD'!$B:$B,A109,'Plant BD'!$AE:$AE)/(AA109+SUMIF('Plant BD'!$B:$B,A109,'Plant BD'!$AE:$AE))),"")</f>
        <v>0.95720915179430299</v>
      </c>
      <c r="P109" s="231"/>
      <c r="Q109" s="232"/>
      <c r="R109" s="231">
        <f>IFERROR(1-(SUMIF('Grid BD'!$B:$B,$A109,'Grid BD'!$AD:$AD)/($AA109+SUMIF('Grid BD'!$B:$B,$A109,'Grid BD'!AD:AD))),"")</f>
        <v>1</v>
      </c>
      <c r="S109" s="6"/>
      <c r="T109" s="232"/>
      <c r="U109" s="233">
        <f t="shared" si="8"/>
        <v>0.7849840908740523</v>
      </c>
      <c r="V109" s="233"/>
      <c r="W109" s="234">
        <f t="shared" si="10"/>
        <v>0.14762914333284755</v>
      </c>
      <c r="X109" s="227">
        <f>IFERROR(_xlfn.XLOOKUP($A109,'Raw Data'!$A:$A,'Raw Data'!$BA:$BA),"")</f>
        <v>87044.299999999988</v>
      </c>
      <c r="Y109" s="227">
        <f>IFERROR(_xlfn.XLOOKUP($A109,'Raw Data'!$A:$A,'Raw Data'!BJ:BJ),"")</f>
        <v>86922.999999980675</v>
      </c>
      <c r="Z109" s="227">
        <f>IFERROR(_xlfn.XLOOKUP($A109,'Raw Data'!$A:$A,'Raw Data'!BK:BK),"")</f>
        <v>814.70000000001619</v>
      </c>
      <c r="AA109" s="227">
        <f>IFERROR(_xlfn.XLOOKUP($A109,'Raw Data'!$A:$A,'Raw Data'!BL:BL),"")</f>
        <v>86108.299999980663</v>
      </c>
      <c r="AB109" s="227">
        <f>IFERROR(_xlfn.XLOOKUP($A109,'Raw Data'!$A:$A,'Raw Data'!$H:$H),"")</f>
        <v>24.303100000000001</v>
      </c>
      <c r="AC109" s="145">
        <f>IFERROR(_xlfn.XLOOKUP($D109,'Modelling New'!$D:$D,'Modelling New'!$P:$P),"")</f>
        <v>4.4064516129032256</v>
      </c>
      <c r="AD109" s="227">
        <f>IFERROR(_xlfn.XLOOKUP($D109,'Modelling New'!$D:$D,'Modelling New'!$T:$T)*1000,"")</f>
        <v>77476.763338544362</v>
      </c>
      <c r="AE109" s="234">
        <f>IFERROR(_xlfn.XLOOKUP($D109,'Modelling New'!$D:$D,'Modelling New'!$O:$O),"")</f>
        <v>0.72347043806469047</v>
      </c>
      <c r="AF109" s="234">
        <f>IFERROR(_xlfn.XLOOKUP($D109,'Modelling New'!$D:$D,'Modelling New'!$W:$W),"")</f>
        <v>0.1328307282790816</v>
      </c>
      <c r="AG109" s="234">
        <f>IFERROR(_xlfn.XLOOKUP($D109,'Modelling New'!$D:$D,'Modelling New'!AE:AE),"")</f>
        <v>0.995</v>
      </c>
      <c r="AH109" s="234">
        <v>0.99750000000000005</v>
      </c>
      <c r="AI109" s="6"/>
      <c r="AJ109" s="6"/>
      <c r="AK109" s="6"/>
      <c r="AL109" s="6"/>
      <c r="AM109" s="6"/>
      <c r="AN109" s="231"/>
      <c r="AO109" s="234"/>
      <c r="AP109" s="234"/>
      <c r="AQ109" s="234"/>
      <c r="AR109" s="227">
        <f>IFERROR(_xlfn.XLOOKUP($D109,'Modelling New'!$D:$D,'Modelling New'!$N:$N),"")</f>
        <v>24.303100000000001</v>
      </c>
      <c r="AS109" s="227"/>
    </row>
    <row r="110" spans="1:45" x14ac:dyDescent="0.35">
      <c r="A110" s="226">
        <f t="shared" si="9"/>
        <v>45853</v>
      </c>
      <c r="B110" s="227">
        <f>YEAR(Daily_KPI[[#This Row],[Date]])+IF(MONTH(Daily_KPI[[#This Row],[Date]])&gt;=4,1,0)</f>
        <v>2026</v>
      </c>
      <c r="C110" s="6">
        <f>YEAR(Daily_KPI[[#This Row],[Date]])</f>
        <v>2025</v>
      </c>
      <c r="D110" s="228">
        <f>Daily_KPI[[#This Row],[Date]]-DAY(Daily_KPI[[#This Row],[Date]])+1</f>
        <v>45839</v>
      </c>
      <c r="E110" s="6">
        <f t="shared" si="7"/>
        <v>31</v>
      </c>
      <c r="F110" s="229">
        <f>IFERROR(_xlfn.XLOOKUP($A110,'Raw Data'!$A:$A,'Raw Data'!$BR:$BR),"")</f>
        <v>12.416666666666668</v>
      </c>
      <c r="G110" s="230">
        <f>IFERROR(_xlfn.XLOOKUP($A110,'Raw Data'!$A:$A,'Raw Data'!$AO:$AO),"")</f>
        <v>0</v>
      </c>
      <c r="H110" s="230"/>
      <c r="I110" s="230">
        <f>IFERROR(_xlfn.XLOOKUP($A110,'Raw Data'!$A:$A,'Raw Data'!$AR:$AR),"")</f>
        <v>3.4976503294892916</v>
      </c>
      <c r="J110" s="230"/>
      <c r="K110" s="230">
        <f>IFERROR(_xlfn.XLOOKUP($A110,'Raw Data'!$A:$A,'Raw Data'!$AV:$AV),"")</f>
        <v>0</v>
      </c>
      <c r="L110" s="230">
        <f>IFERROR(_xlfn.XLOOKUP($A110,'Raw Data'!$A:$A,'Raw Data'!$AW:$AW),"")</f>
        <v>0</v>
      </c>
      <c r="M110" s="230">
        <f>IFERROR(_xlfn.XLOOKUP($A110,'Raw Data'!$A:$A,'Raw Data'!$AX:$AX),"")</f>
        <v>0</v>
      </c>
      <c r="N110" s="230">
        <f>IFERROR(_xlfn.XLOOKUP($A110,'Raw Data'!$A:$A,'Raw Data'!$AY:$AY),"")</f>
        <v>0</v>
      </c>
      <c r="O110" s="231">
        <f>IFERROR(1-(SUMIF('Plant BD'!$B:$B,A110,'Plant BD'!$AE:$AE)/(AA110+SUMIF('Plant BD'!$B:$B,A110,'Plant BD'!$AE:$AE))),"")</f>
        <v>1</v>
      </c>
      <c r="P110" s="231"/>
      <c r="Q110" s="232"/>
      <c r="R110" s="231">
        <f>IFERROR(1-(SUMIF('Grid BD'!$B:$B,$A110,'Grid BD'!$AD:$AD)/($AA110+SUMIF('Grid BD'!$B:$B,$A110,'Grid BD'!AD:AD))),"")</f>
        <v>1</v>
      </c>
      <c r="S110" s="6"/>
      <c r="T110" s="232"/>
      <c r="U110" s="233">
        <f t="shared" si="8"/>
        <v>0.93688459635531451</v>
      </c>
      <c r="V110" s="233"/>
      <c r="W110" s="234">
        <f t="shared" si="10"/>
        <v>0.13653727988065031</v>
      </c>
      <c r="X110" s="227">
        <f>IFERROR(_xlfn.XLOOKUP($A110,'Raw Data'!$A:$A,'Raw Data'!$BA:$BA),"")</f>
        <v>80637.2</v>
      </c>
      <c r="Y110" s="227">
        <f>IFERROR(_xlfn.XLOOKUP($A110,'Raw Data'!$A:$A,'Raw Data'!BJ:BJ),"")</f>
        <v>80688.500000018394</v>
      </c>
      <c r="Z110" s="227">
        <f>IFERROR(_xlfn.XLOOKUP($A110,'Raw Data'!$A:$A,'Raw Data'!BK:BK),"")</f>
        <v>1049.8000000000047</v>
      </c>
      <c r="AA110" s="227">
        <f>IFERROR(_xlfn.XLOOKUP($A110,'Raw Data'!$A:$A,'Raw Data'!BL:BL),"")</f>
        <v>79638.700000018391</v>
      </c>
      <c r="AB110" s="227">
        <f>IFERROR(_xlfn.XLOOKUP($A110,'Raw Data'!$A:$A,'Raw Data'!$H:$H),"")</f>
        <v>24.303100000000001</v>
      </c>
      <c r="AC110" s="145">
        <f>IFERROR(_xlfn.XLOOKUP($D110,'Modelling New'!$D:$D,'Modelling New'!$P:$P),"")</f>
        <v>4.4064516129032256</v>
      </c>
      <c r="AD110" s="227">
        <f>IFERROR(_xlfn.XLOOKUP($D110,'Modelling New'!$D:$D,'Modelling New'!$T:$T)*1000,"")</f>
        <v>77476.763338544362</v>
      </c>
      <c r="AE110" s="234">
        <f>IFERROR(_xlfn.XLOOKUP($D110,'Modelling New'!$D:$D,'Modelling New'!$O:$O),"")</f>
        <v>0.72347043806469047</v>
      </c>
      <c r="AF110" s="234">
        <f>IFERROR(_xlfn.XLOOKUP($D110,'Modelling New'!$D:$D,'Modelling New'!$W:$W),"")</f>
        <v>0.1328307282790816</v>
      </c>
      <c r="AG110" s="234">
        <f>IFERROR(_xlfn.XLOOKUP($D110,'Modelling New'!$D:$D,'Modelling New'!AE:AE),"")</f>
        <v>0.995</v>
      </c>
      <c r="AH110" s="234">
        <v>0.99750000000000005</v>
      </c>
      <c r="AI110" s="6"/>
      <c r="AJ110" s="6"/>
      <c r="AK110" s="6"/>
      <c r="AL110" s="6"/>
      <c r="AM110" s="6"/>
      <c r="AN110" s="231"/>
      <c r="AO110" s="234"/>
      <c r="AP110" s="234"/>
      <c r="AQ110" s="234"/>
      <c r="AR110" s="227">
        <f>IFERROR(_xlfn.XLOOKUP($D110,'Modelling New'!$D:$D,'Modelling New'!$N:$N),"")</f>
        <v>24.303100000000001</v>
      </c>
      <c r="AS110" s="227"/>
    </row>
    <row r="111" spans="1:45" x14ac:dyDescent="0.35">
      <c r="A111" s="226">
        <f t="shared" si="9"/>
        <v>45854</v>
      </c>
      <c r="B111" s="227">
        <f>YEAR(Daily_KPI[[#This Row],[Date]])+IF(MONTH(Daily_KPI[[#This Row],[Date]])&gt;=4,1,0)</f>
        <v>2026</v>
      </c>
      <c r="C111" s="6">
        <f>YEAR(Daily_KPI[[#This Row],[Date]])</f>
        <v>2025</v>
      </c>
      <c r="D111" s="228">
        <f>Daily_KPI[[#This Row],[Date]]-DAY(Daily_KPI[[#This Row],[Date]])+1</f>
        <v>45839</v>
      </c>
      <c r="E111" s="6">
        <f t="shared" si="7"/>
        <v>31</v>
      </c>
      <c r="F111" s="229">
        <f>IFERROR(_xlfn.XLOOKUP($A111,'Raw Data'!$A:$A,'Raw Data'!$BR:$BR),"")</f>
        <v>12.366666666666665</v>
      </c>
      <c r="G111" s="230">
        <f>IFERROR(_xlfn.XLOOKUP($A111,'Raw Data'!$A:$A,'Raw Data'!$AO:$AO),"")</f>
        <v>0</v>
      </c>
      <c r="H111" s="230"/>
      <c r="I111" s="230">
        <f>IFERROR(_xlfn.XLOOKUP($A111,'Raw Data'!$A:$A,'Raw Data'!$AR:$AR),"")</f>
        <v>4.8918275535420097</v>
      </c>
      <c r="J111" s="230"/>
      <c r="K111" s="230">
        <f>IFERROR(_xlfn.XLOOKUP($A111,'Raw Data'!$A:$A,'Raw Data'!$AV:$AV),"")</f>
        <v>0</v>
      </c>
      <c r="L111" s="230">
        <f>IFERROR(_xlfn.XLOOKUP($A111,'Raw Data'!$A:$A,'Raw Data'!$AW:$AW),"")</f>
        <v>0</v>
      </c>
      <c r="M111" s="230">
        <f>IFERROR(_xlfn.XLOOKUP($A111,'Raw Data'!$A:$A,'Raw Data'!$AX:$AX),"")</f>
        <v>0</v>
      </c>
      <c r="N111" s="230">
        <f>IFERROR(_xlfn.XLOOKUP($A111,'Raw Data'!$A:$A,'Raw Data'!$AY:$AY),"")</f>
        <v>0</v>
      </c>
      <c r="O111" s="231">
        <f>IFERROR(1-(SUMIF('Plant BD'!$B:$B,A111,'Plant BD'!$AE:$AE)/(AA111+SUMIF('Plant BD'!$B:$B,A111,'Plant BD'!$AE:$AE))),"")</f>
        <v>0.99242685283741683</v>
      </c>
      <c r="P111" s="231"/>
      <c r="Q111" s="232"/>
      <c r="R111" s="231">
        <f>IFERROR(1-(SUMIF('Grid BD'!$B:$B,$A111,'Grid BD'!$AD:$AD)/($AA111+SUMIF('Grid BD'!$B:$B,$A111,'Grid BD'!AD:AD))),"")</f>
        <v>1</v>
      </c>
      <c r="S111" s="6"/>
      <c r="T111" s="232"/>
      <c r="U111" s="233">
        <f t="shared" si="8"/>
        <v>0.89965415106684876</v>
      </c>
      <c r="V111" s="233"/>
      <c r="W111" s="234">
        <f t="shared" si="10"/>
        <v>0.18337304020196901</v>
      </c>
      <c r="X111" s="227">
        <f>IFERROR(_xlfn.XLOOKUP($A111,'Raw Data'!$A:$A,'Raw Data'!$BA:$BA),"")</f>
        <v>108261</v>
      </c>
      <c r="Y111" s="227">
        <f>IFERROR(_xlfn.XLOOKUP($A111,'Raw Data'!$A:$A,'Raw Data'!BJ:BJ),"")</f>
        <v>107775.29999997932</v>
      </c>
      <c r="Z111" s="227">
        <f>IFERROR(_xlfn.XLOOKUP($A111,'Raw Data'!$A:$A,'Raw Data'!BK:BK),"")</f>
        <v>818.49999999997181</v>
      </c>
      <c r="AA111" s="227">
        <f>IFERROR(_xlfn.XLOOKUP($A111,'Raw Data'!$A:$A,'Raw Data'!BL:BL),"")</f>
        <v>106956.79999997935</v>
      </c>
      <c r="AB111" s="227">
        <f>IFERROR(_xlfn.XLOOKUP($A111,'Raw Data'!$A:$A,'Raw Data'!$H:$H),"")</f>
        <v>24.303100000000001</v>
      </c>
      <c r="AC111" s="145">
        <f>IFERROR(_xlfn.XLOOKUP($D111,'Modelling New'!$D:$D,'Modelling New'!$P:$P),"")</f>
        <v>4.4064516129032256</v>
      </c>
      <c r="AD111" s="227">
        <f>IFERROR(_xlfn.XLOOKUP($D111,'Modelling New'!$D:$D,'Modelling New'!$T:$T)*1000,"")</f>
        <v>77476.763338544362</v>
      </c>
      <c r="AE111" s="234">
        <f>IFERROR(_xlfn.XLOOKUP($D111,'Modelling New'!$D:$D,'Modelling New'!$O:$O),"")</f>
        <v>0.72347043806469047</v>
      </c>
      <c r="AF111" s="234">
        <f>IFERROR(_xlfn.XLOOKUP($D111,'Modelling New'!$D:$D,'Modelling New'!$W:$W),"")</f>
        <v>0.1328307282790816</v>
      </c>
      <c r="AG111" s="234">
        <f>IFERROR(_xlfn.XLOOKUP($D111,'Modelling New'!$D:$D,'Modelling New'!AE:AE),"")</f>
        <v>0.995</v>
      </c>
      <c r="AH111" s="234">
        <v>0.99750000000000005</v>
      </c>
      <c r="AI111" s="6"/>
      <c r="AJ111" s="6"/>
      <c r="AK111" s="6"/>
      <c r="AL111" s="6"/>
      <c r="AM111" s="6"/>
      <c r="AN111" s="231"/>
      <c r="AO111" s="234"/>
      <c r="AP111" s="234"/>
      <c r="AQ111" s="234"/>
      <c r="AR111" s="227">
        <f>IFERROR(_xlfn.XLOOKUP($D111,'Modelling New'!$D:$D,'Modelling New'!$N:$N),"")</f>
        <v>24.303100000000001</v>
      </c>
      <c r="AS111" s="227"/>
    </row>
    <row r="112" spans="1:45" x14ac:dyDescent="0.35">
      <c r="A112" s="226">
        <f t="shared" si="9"/>
        <v>45855</v>
      </c>
      <c r="B112" s="227">
        <f>YEAR(Daily_KPI[[#This Row],[Date]])+IF(MONTH(Daily_KPI[[#This Row],[Date]])&gt;=4,1,0)</f>
        <v>2026</v>
      </c>
      <c r="C112" s="6">
        <f>YEAR(Daily_KPI[[#This Row],[Date]])</f>
        <v>2025</v>
      </c>
      <c r="D112" s="228">
        <f>Daily_KPI[[#This Row],[Date]]-DAY(Daily_KPI[[#This Row],[Date]])+1</f>
        <v>45839</v>
      </c>
      <c r="E112" s="6">
        <f t="shared" si="7"/>
        <v>31</v>
      </c>
      <c r="F112" s="229">
        <f>IFERROR(_xlfn.XLOOKUP($A112,'Raw Data'!$A:$A,'Raw Data'!$BR:$BR),"")</f>
        <v>11.266666666666666</v>
      </c>
      <c r="G112" s="230">
        <f>IFERROR(_xlfn.XLOOKUP($A112,'Raw Data'!$A:$A,'Raw Data'!$AO:$AO),"")</f>
        <v>0</v>
      </c>
      <c r="H112" s="230"/>
      <c r="I112" s="230">
        <f>IFERROR(_xlfn.XLOOKUP($A112,'Raw Data'!$A:$A,'Raw Data'!$AR:$AR),"")</f>
        <v>3.6868441103789125</v>
      </c>
      <c r="J112" s="230"/>
      <c r="K112" s="230">
        <f>IFERROR(_xlfn.XLOOKUP($A112,'Raw Data'!$A:$A,'Raw Data'!$AV:$AV),"")</f>
        <v>0</v>
      </c>
      <c r="L112" s="230">
        <f>IFERROR(_xlfn.XLOOKUP($A112,'Raw Data'!$A:$A,'Raw Data'!$AW:$AW),"")</f>
        <v>0</v>
      </c>
      <c r="M112" s="230">
        <f>IFERROR(_xlfn.XLOOKUP($A112,'Raw Data'!$A:$A,'Raw Data'!$AX:$AX),"")</f>
        <v>0</v>
      </c>
      <c r="N112" s="230">
        <f>IFERROR(_xlfn.XLOOKUP($A112,'Raw Data'!$A:$A,'Raw Data'!$AY:$AY),"")</f>
        <v>0</v>
      </c>
      <c r="O112" s="231">
        <f>IFERROR(1-(SUMIF('Plant BD'!$B:$B,A112,'Plant BD'!$AE:$AE)/(AA112+SUMIF('Plant BD'!$B:$B,A112,'Plant BD'!$AE:$AE))),"")</f>
        <v>0.98132617498321828</v>
      </c>
      <c r="P112" s="231"/>
      <c r="Q112" s="232"/>
      <c r="R112" s="231">
        <f>IFERROR(1-(SUMIF('Grid BD'!$B:$B,$A112,'Grid BD'!$AD:$AD)/($AA112+SUMIF('Grid BD'!$B:$B,$A112,'Grid BD'!AD:AD))),"")</f>
        <v>1</v>
      </c>
      <c r="S112" s="6"/>
      <c r="T112" s="232"/>
      <c r="U112" s="233">
        <f t="shared" si="8"/>
        <v>0.80949766277325774</v>
      </c>
      <c r="V112" s="233"/>
      <c r="W112" s="234">
        <f t="shared" si="10"/>
        <v>0.12435382043171167</v>
      </c>
      <c r="X112" s="227">
        <f>IFERROR(_xlfn.XLOOKUP($A112,'Raw Data'!$A:$A,'Raw Data'!$BA:$BA),"")</f>
        <v>73604.83</v>
      </c>
      <c r="Y112" s="227">
        <f>IFERROR(_xlfn.XLOOKUP($A112,'Raw Data'!$A:$A,'Raw Data'!BJ:BJ),"")</f>
        <v>73682.900000014342</v>
      </c>
      <c r="Z112" s="227">
        <f>IFERROR(_xlfn.XLOOKUP($A112,'Raw Data'!$A:$A,'Raw Data'!BK:BK),"")</f>
        <v>1150.4999999999654</v>
      </c>
      <c r="AA112" s="227">
        <f>IFERROR(_xlfn.XLOOKUP($A112,'Raw Data'!$A:$A,'Raw Data'!BL:BL),"")</f>
        <v>72532.400000014371</v>
      </c>
      <c r="AB112" s="227">
        <f>IFERROR(_xlfn.XLOOKUP($A112,'Raw Data'!$A:$A,'Raw Data'!$H:$H),"")</f>
        <v>24.303100000000001</v>
      </c>
      <c r="AC112" s="145">
        <f>IFERROR(_xlfn.XLOOKUP($D112,'Modelling New'!$D:$D,'Modelling New'!$P:$P),"")</f>
        <v>4.4064516129032256</v>
      </c>
      <c r="AD112" s="227">
        <f>IFERROR(_xlfn.XLOOKUP($D112,'Modelling New'!$D:$D,'Modelling New'!$T:$T)*1000,"")</f>
        <v>77476.763338544362</v>
      </c>
      <c r="AE112" s="234">
        <f>IFERROR(_xlfn.XLOOKUP($D112,'Modelling New'!$D:$D,'Modelling New'!$O:$O),"")</f>
        <v>0.72347043806469047</v>
      </c>
      <c r="AF112" s="234">
        <f>IFERROR(_xlfn.XLOOKUP($D112,'Modelling New'!$D:$D,'Modelling New'!$W:$W),"")</f>
        <v>0.1328307282790816</v>
      </c>
      <c r="AG112" s="234">
        <f>IFERROR(_xlfn.XLOOKUP($D112,'Modelling New'!$D:$D,'Modelling New'!AE:AE),"")</f>
        <v>0.995</v>
      </c>
      <c r="AH112" s="234">
        <v>0.99750000000000005</v>
      </c>
      <c r="AI112" s="6"/>
      <c r="AJ112" s="6"/>
      <c r="AK112" s="6"/>
      <c r="AL112" s="6"/>
      <c r="AM112" s="6"/>
      <c r="AN112" s="231"/>
      <c r="AO112" s="234"/>
      <c r="AP112" s="234"/>
      <c r="AQ112" s="234"/>
      <c r="AR112" s="227">
        <f>IFERROR(_xlfn.XLOOKUP($D112,'Modelling New'!$D:$D,'Modelling New'!$N:$N),"")</f>
        <v>24.303100000000001</v>
      </c>
      <c r="AS112" s="227"/>
    </row>
    <row r="113" spans="1:45" x14ac:dyDescent="0.35">
      <c r="A113" s="226">
        <f t="shared" si="9"/>
        <v>45856</v>
      </c>
      <c r="B113" s="227">
        <f>YEAR(Daily_KPI[[#This Row],[Date]])+IF(MONTH(Daily_KPI[[#This Row],[Date]])&gt;=4,1,0)</f>
        <v>2026</v>
      </c>
      <c r="C113" s="6">
        <f>YEAR(Daily_KPI[[#This Row],[Date]])</f>
        <v>2025</v>
      </c>
      <c r="D113" s="228">
        <f>Daily_KPI[[#This Row],[Date]]-DAY(Daily_KPI[[#This Row],[Date]])+1</f>
        <v>45839</v>
      </c>
      <c r="E113" s="6">
        <f t="shared" si="7"/>
        <v>31</v>
      </c>
      <c r="F113" s="229">
        <f>IFERROR(_xlfn.XLOOKUP($A113,'Raw Data'!$A:$A,'Raw Data'!$BR:$BR),"")</f>
        <v>12.183333333333335</v>
      </c>
      <c r="G113" s="230">
        <f>IFERROR(_xlfn.XLOOKUP($A113,'Raw Data'!$A:$A,'Raw Data'!$AO:$AO),"")</f>
        <v>0</v>
      </c>
      <c r="H113" s="230"/>
      <c r="I113" s="230">
        <f>IFERROR(_xlfn.XLOOKUP($A113,'Raw Data'!$A:$A,'Raw Data'!$AR:$AR),"")</f>
        <v>3.5969505766062602</v>
      </c>
      <c r="J113" s="230"/>
      <c r="K113" s="230">
        <f>IFERROR(_xlfn.XLOOKUP($A113,'Raw Data'!$A:$A,'Raw Data'!$AV:$AV),"")</f>
        <v>0</v>
      </c>
      <c r="L113" s="230">
        <f>IFERROR(_xlfn.XLOOKUP($A113,'Raw Data'!$A:$A,'Raw Data'!$AW:$AW),"")</f>
        <v>0</v>
      </c>
      <c r="M113" s="230">
        <f>IFERROR(_xlfn.XLOOKUP($A113,'Raw Data'!$A:$A,'Raw Data'!$AX:$AX),"")</f>
        <v>0</v>
      </c>
      <c r="N113" s="230">
        <f>IFERROR(_xlfn.XLOOKUP($A113,'Raw Data'!$A:$A,'Raw Data'!$AY:$AY),"")</f>
        <v>0</v>
      </c>
      <c r="O113" s="231">
        <f>IFERROR(1-(SUMIF('Plant BD'!$B:$B,A113,'Plant BD'!$AE:$AE)/(AA113+SUMIF('Plant BD'!$B:$B,A113,'Plant BD'!$AE:$AE))),"")</f>
        <v>0.99969296807552266</v>
      </c>
      <c r="P113" s="231"/>
      <c r="Q113" s="232"/>
      <c r="R113" s="231">
        <f>IFERROR(1-(SUMIF('Grid BD'!$B:$B,$A113,'Grid BD'!$AD:$AD)/($AA113+SUMIF('Grid BD'!$B:$B,$A113,'Grid BD'!AD:AD))),"")</f>
        <v>1</v>
      </c>
      <c r="S113" s="6"/>
      <c r="T113" s="232"/>
      <c r="U113" s="233">
        <f t="shared" si="8"/>
        <v>0.8347536363751662</v>
      </c>
      <c r="V113" s="233"/>
      <c r="W113" s="234">
        <f t="shared" si="10"/>
        <v>0.12510698223682609</v>
      </c>
      <c r="X113" s="227">
        <f>IFERROR(_xlfn.XLOOKUP($A113,'Raw Data'!$A:$A,'Raw Data'!$BA:$BA),"")</f>
        <v>73212.7</v>
      </c>
      <c r="Y113" s="227">
        <f>IFERROR(_xlfn.XLOOKUP($A113,'Raw Data'!$A:$A,'Raw Data'!BJ:BJ),"")</f>
        <v>73461.29999999539</v>
      </c>
      <c r="Z113" s="227">
        <f>IFERROR(_xlfn.XLOOKUP($A113,'Raw Data'!$A:$A,'Raw Data'!BK:BK),"")</f>
        <v>489.59999999999582</v>
      </c>
      <c r="AA113" s="227">
        <f>IFERROR(_xlfn.XLOOKUP($A113,'Raw Data'!$A:$A,'Raw Data'!BL:BL),"")</f>
        <v>72971.699999995399</v>
      </c>
      <c r="AB113" s="227">
        <f>IFERROR(_xlfn.XLOOKUP($A113,'Raw Data'!$A:$A,'Raw Data'!$H:$H),"")</f>
        <v>24.303100000000001</v>
      </c>
      <c r="AC113" s="145">
        <f>IFERROR(_xlfn.XLOOKUP($D113,'Modelling New'!$D:$D,'Modelling New'!$P:$P),"")</f>
        <v>4.4064516129032256</v>
      </c>
      <c r="AD113" s="227">
        <f>IFERROR(_xlfn.XLOOKUP($D113,'Modelling New'!$D:$D,'Modelling New'!$T:$T)*1000,"")</f>
        <v>77476.763338544362</v>
      </c>
      <c r="AE113" s="234">
        <f>IFERROR(_xlfn.XLOOKUP($D113,'Modelling New'!$D:$D,'Modelling New'!$O:$O),"")</f>
        <v>0.72347043806469047</v>
      </c>
      <c r="AF113" s="234">
        <f>IFERROR(_xlfn.XLOOKUP($D113,'Modelling New'!$D:$D,'Modelling New'!$W:$W),"")</f>
        <v>0.1328307282790816</v>
      </c>
      <c r="AG113" s="234">
        <f>IFERROR(_xlfn.XLOOKUP($D113,'Modelling New'!$D:$D,'Modelling New'!AE:AE),"")</f>
        <v>0.995</v>
      </c>
      <c r="AH113" s="234">
        <v>0.99750000000000005</v>
      </c>
      <c r="AI113" s="6"/>
      <c r="AJ113" s="6"/>
      <c r="AK113" s="6"/>
      <c r="AL113" s="6"/>
      <c r="AM113" s="6"/>
      <c r="AN113" s="231"/>
      <c r="AO113" s="234"/>
      <c r="AP113" s="234"/>
      <c r="AQ113" s="234"/>
      <c r="AR113" s="227">
        <f>IFERROR(_xlfn.XLOOKUP($D113,'Modelling New'!$D:$D,'Modelling New'!$N:$N),"")</f>
        <v>24.303100000000001</v>
      </c>
      <c r="AS113" s="227"/>
    </row>
    <row r="114" spans="1:45" x14ac:dyDescent="0.35">
      <c r="A114" s="226">
        <f t="shared" si="9"/>
        <v>45857</v>
      </c>
      <c r="B114" s="227">
        <f>YEAR(Daily_KPI[[#This Row],[Date]])+IF(MONTH(Daily_KPI[[#This Row],[Date]])&gt;=4,1,0)</f>
        <v>2026</v>
      </c>
      <c r="C114" s="6">
        <f>YEAR(Daily_KPI[[#This Row],[Date]])</f>
        <v>2025</v>
      </c>
      <c r="D114" s="228">
        <f>Daily_KPI[[#This Row],[Date]]-DAY(Daily_KPI[[#This Row],[Date]])+1</f>
        <v>45839</v>
      </c>
      <c r="E114" s="6">
        <f t="shared" si="7"/>
        <v>31</v>
      </c>
      <c r="F114" s="229">
        <f>IFERROR(_xlfn.XLOOKUP($A114,'Raw Data'!$A:$A,'Raw Data'!$BR:$BR),"")</f>
        <v>12.516666666666667</v>
      </c>
      <c r="G114" s="230">
        <f>IFERROR(_xlfn.XLOOKUP($A114,'Raw Data'!$A:$A,'Raw Data'!$AO:$AO),"")</f>
        <v>0</v>
      </c>
      <c r="H114" s="230"/>
      <c r="I114" s="230">
        <f>IFERROR(_xlfn.XLOOKUP($A114,'Raw Data'!$A:$A,'Raw Data'!$AR:$AR),"")</f>
        <v>4.7290091433278416</v>
      </c>
      <c r="J114" s="230"/>
      <c r="K114" s="230">
        <f>IFERROR(_xlfn.XLOOKUP($A114,'Raw Data'!$A:$A,'Raw Data'!$AV:$AV),"")</f>
        <v>0</v>
      </c>
      <c r="L114" s="230">
        <f>IFERROR(_xlfn.XLOOKUP($A114,'Raw Data'!$A:$A,'Raw Data'!$AW:$AW),"")</f>
        <v>0</v>
      </c>
      <c r="M114" s="230">
        <f>IFERROR(_xlfn.XLOOKUP($A114,'Raw Data'!$A:$A,'Raw Data'!$AX:$AX),"")</f>
        <v>0</v>
      </c>
      <c r="N114" s="230">
        <f>IFERROR(_xlfn.XLOOKUP($A114,'Raw Data'!$A:$A,'Raw Data'!$AY:$AY),"")</f>
        <v>0</v>
      </c>
      <c r="O114" s="231">
        <f>IFERROR(1-(SUMIF('Plant BD'!$B:$B,A114,'Plant BD'!$AE:$AE)/(AA114+SUMIF('Plant BD'!$B:$B,A114,'Plant BD'!$AE:$AE))),"")</f>
        <v>1</v>
      </c>
      <c r="P114" s="231"/>
      <c r="Q114" s="232"/>
      <c r="R114" s="231">
        <f>IFERROR(1-(SUMIF('Grid BD'!$B:$B,$A114,'Grid BD'!$AD:$AD)/($AA114+SUMIF('Grid BD'!$B:$B,$A114,'Grid BD'!AD:AD))),"")</f>
        <v>1</v>
      </c>
      <c r="S114" s="6"/>
      <c r="T114" s="232"/>
      <c r="U114" s="233">
        <f t="shared" si="8"/>
        <v>0.82124287121028428</v>
      </c>
      <c r="V114" s="233"/>
      <c r="W114" s="234">
        <f t="shared" si="10"/>
        <v>0.1618193769519268</v>
      </c>
      <c r="X114" s="227">
        <f>IFERROR(_xlfn.XLOOKUP($A114,'Raw Data'!$A:$A,'Raw Data'!$BA:$BA),"")</f>
        <v>95442.400000000009</v>
      </c>
      <c r="Y114" s="227">
        <f>IFERROR(_xlfn.XLOOKUP($A114,'Raw Data'!$A:$A,'Raw Data'!BJ:BJ),"")</f>
        <v>95217.100000008941</v>
      </c>
      <c r="Z114" s="227">
        <f>IFERROR(_xlfn.XLOOKUP($A114,'Raw Data'!$A:$A,'Raw Data'!BK:BK),"")</f>
        <v>831.99999999999363</v>
      </c>
      <c r="AA114" s="227">
        <f>IFERROR(_xlfn.XLOOKUP($A114,'Raw Data'!$A:$A,'Raw Data'!BL:BL),"")</f>
        <v>94385.100000008941</v>
      </c>
      <c r="AB114" s="227">
        <f>IFERROR(_xlfn.XLOOKUP($A114,'Raw Data'!$A:$A,'Raw Data'!$H:$H),"")</f>
        <v>24.303100000000001</v>
      </c>
      <c r="AC114" s="145">
        <f>IFERROR(_xlfn.XLOOKUP($D114,'Modelling New'!$D:$D,'Modelling New'!$P:$P),"")</f>
        <v>4.4064516129032256</v>
      </c>
      <c r="AD114" s="227">
        <f>IFERROR(_xlfn.XLOOKUP($D114,'Modelling New'!$D:$D,'Modelling New'!$T:$T)*1000,"")</f>
        <v>77476.763338544362</v>
      </c>
      <c r="AE114" s="234">
        <f>IFERROR(_xlfn.XLOOKUP($D114,'Modelling New'!$D:$D,'Modelling New'!$O:$O),"")</f>
        <v>0.72347043806469047</v>
      </c>
      <c r="AF114" s="234">
        <f>IFERROR(_xlfn.XLOOKUP($D114,'Modelling New'!$D:$D,'Modelling New'!$W:$W),"")</f>
        <v>0.1328307282790816</v>
      </c>
      <c r="AG114" s="234">
        <f>IFERROR(_xlfn.XLOOKUP($D114,'Modelling New'!$D:$D,'Modelling New'!AE:AE),"")</f>
        <v>0.995</v>
      </c>
      <c r="AH114" s="234">
        <v>0.99750000000000005</v>
      </c>
      <c r="AI114" s="6"/>
      <c r="AJ114" s="6"/>
      <c r="AK114" s="6"/>
      <c r="AL114" s="6"/>
      <c r="AM114" s="6"/>
      <c r="AN114" s="231"/>
      <c r="AO114" s="234"/>
      <c r="AP114" s="234"/>
      <c r="AQ114" s="234"/>
      <c r="AR114" s="227">
        <f>IFERROR(_xlfn.XLOOKUP($D114,'Modelling New'!$D:$D,'Modelling New'!$N:$N),"")</f>
        <v>24.303100000000001</v>
      </c>
      <c r="AS114" s="227"/>
    </row>
    <row r="115" spans="1:45" x14ac:dyDescent="0.35">
      <c r="A115" s="226">
        <f t="shared" si="9"/>
        <v>45858</v>
      </c>
      <c r="B115" s="227">
        <f>YEAR(Daily_KPI[[#This Row],[Date]])+IF(MONTH(Daily_KPI[[#This Row],[Date]])&gt;=4,1,0)</f>
        <v>2026</v>
      </c>
      <c r="C115" s="6">
        <f>YEAR(Daily_KPI[[#This Row],[Date]])</f>
        <v>2025</v>
      </c>
      <c r="D115" s="228">
        <f>Daily_KPI[[#This Row],[Date]]-DAY(Daily_KPI[[#This Row],[Date]])+1</f>
        <v>45839</v>
      </c>
      <c r="E115" s="6">
        <f t="shared" si="7"/>
        <v>31</v>
      </c>
      <c r="F115" s="229">
        <f>IFERROR(_xlfn.XLOOKUP($A115,'Raw Data'!$A:$A,'Raw Data'!$BR:$BR),"")</f>
        <v>12.383333333333335</v>
      </c>
      <c r="G115" s="230">
        <f>IFERROR(_xlfn.XLOOKUP($A115,'Raw Data'!$A:$A,'Raw Data'!$AO:$AO),"")</f>
        <v>0</v>
      </c>
      <c r="H115" s="230"/>
      <c r="I115" s="230">
        <f>IFERROR(_xlfn.XLOOKUP($A115,'Raw Data'!$A:$A,'Raw Data'!$AR:$AR),"")</f>
        <v>6.3300015238879723</v>
      </c>
      <c r="J115" s="230"/>
      <c r="K115" s="230">
        <f>IFERROR(_xlfn.XLOOKUP($A115,'Raw Data'!$A:$A,'Raw Data'!$AV:$AV),"")</f>
        <v>0</v>
      </c>
      <c r="L115" s="230">
        <f>IFERROR(_xlfn.XLOOKUP($A115,'Raw Data'!$A:$A,'Raw Data'!$AW:$AW),"")</f>
        <v>0</v>
      </c>
      <c r="M115" s="230">
        <f>IFERROR(_xlfn.XLOOKUP($A115,'Raw Data'!$A:$A,'Raw Data'!$AX:$AX),"")</f>
        <v>0</v>
      </c>
      <c r="N115" s="230">
        <f>IFERROR(_xlfn.XLOOKUP($A115,'Raw Data'!$A:$A,'Raw Data'!$AY:$AY),"")</f>
        <v>0</v>
      </c>
      <c r="O115" s="231">
        <f>IFERROR(1-(SUMIF('Plant BD'!$B:$B,A115,'Plant BD'!$AE:$AE)/(AA115+SUMIF('Plant BD'!$B:$B,A115,'Plant BD'!$AE:$AE))),"")</f>
        <v>0.98954389503590645</v>
      </c>
      <c r="P115" s="231"/>
      <c r="Q115" s="232"/>
      <c r="R115" s="231">
        <f>IFERROR(1-(SUMIF('Grid BD'!$B:$B,$A115,'Grid BD'!$AD:$AD)/($AA115+SUMIF('Grid BD'!$B:$B,$A115,'Grid BD'!AD:AD))),"")</f>
        <v>1</v>
      </c>
      <c r="S115" s="6"/>
      <c r="T115" s="232"/>
      <c r="U115" s="233">
        <f t="shared" si="8"/>
        <v>0.78725399696205101</v>
      </c>
      <c r="V115" s="233"/>
      <c r="W115" s="234">
        <f t="shared" si="10"/>
        <v>0.207638291685695</v>
      </c>
      <c r="X115" s="227">
        <f>IFERROR(_xlfn.XLOOKUP($A115,'Raw Data'!$A:$A,'Raw Data'!$BA:$BA),"")</f>
        <v>122941.9</v>
      </c>
      <c r="Y115" s="227">
        <f>IFERROR(_xlfn.XLOOKUP($A115,'Raw Data'!$A:$A,'Raw Data'!BJ:BJ),"")</f>
        <v>122034.89999999874</v>
      </c>
      <c r="Z115" s="227">
        <f>IFERROR(_xlfn.XLOOKUP($A115,'Raw Data'!$A:$A,'Raw Data'!BK:BK),"")</f>
        <v>924.80000000000473</v>
      </c>
      <c r="AA115" s="227">
        <f>IFERROR(_xlfn.XLOOKUP($A115,'Raw Data'!$A:$A,'Raw Data'!BL:BL),"")</f>
        <v>121110.09999999874</v>
      </c>
      <c r="AB115" s="227">
        <f>IFERROR(_xlfn.XLOOKUP($A115,'Raw Data'!$A:$A,'Raw Data'!$H:$H),"")</f>
        <v>24.303100000000001</v>
      </c>
      <c r="AC115" s="145">
        <f>IFERROR(_xlfn.XLOOKUP($D115,'Modelling New'!$D:$D,'Modelling New'!$P:$P),"")</f>
        <v>4.4064516129032256</v>
      </c>
      <c r="AD115" s="227">
        <f>IFERROR(_xlfn.XLOOKUP($D115,'Modelling New'!$D:$D,'Modelling New'!$T:$T)*1000,"")</f>
        <v>77476.763338544362</v>
      </c>
      <c r="AE115" s="234">
        <f>IFERROR(_xlfn.XLOOKUP($D115,'Modelling New'!$D:$D,'Modelling New'!$O:$O),"")</f>
        <v>0.72347043806469047</v>
      </c>
      <c r="AF115" s="234">
        <f>IFERROR(_xlfn.XLOOKUP($D115,'Modelling New'!$D:$D,'Modelling New'!$W:$W),"")</f>
        <v>0.1328307282790816</v>
      </c>
      <c r="AG115" s="234">
        <f>IFERROR(_xlfn.XLOOKUP($D115,'Modelling New'!$D:$D,'Modelling New'!AE:AE),"")</f>
        <v>0.995</v>
      </c>
      <c r="AH115" s="234">
        <v>0.99750000000000005</v>
      </c>
      <c r="AI115" s="6"/>
      <c r="AJ115" s="6"/>
      <c r="AK115" s="6"/>
      <c r="AL115" s="6"/>
      <c r="AM115" s="6"/>
      <c r="AN115" s="231"/>
      <c r="AO115" s="234"/>
      <c r="AP115" s="234"/>
      <c r="AQ115" s="234"/>
      <c r="AR115" s="227">
        <f>IFERROR(_xlfn.XLOOKUP($D115,'Modelling New'!$D:$D,'Modelling New'!$N:$N),"")</f>
        <v>24.303100000000001</v>
      </c>
      <c r="AS115" s="227"/>
    </row>
    <row r="116" spans="1:45" x14ac:dyDescent="0.35">
      <c r="A116" s="226">
        <f t="shared" si="9"/>
        <v>45859</v>
      </c>
      <c r="B116" s="227">
        <f>YEAR(Daily_KPI[[#This Row],[Date]])+IF(MONTH(Daily_KPI[[#This Row],[Date]])&gt;=4,1,0)</f>
        <v>2026</v>
      </c>
      <c r="C116" s="6">
        <f>YEAR(Daily_KPI[[#This Row],[Date]])</f>
        <v>2025</v>
      </c>
      <c r="D116" s="228">
        <f>Daily_KPI[[#This Row],[Date]]-DAY(Daily_KPI[[#This Row],[Date]])+1</f>
        <v>45839</v>
      </c>
      <c r="E116" s="6">
        <f t="shared" si="7"/>
        <v>31</v>
      </c>
      <c r="F116" s="229">
        <f>IFERROR(_xlfn.XLOOKUP($A116,'Raw Data'!$A:$A,'Raw Data'!$BR:$BR),"")</f>
        <v>12.316666666666668</v>
      </c>
      <c r="G116" s="230">
        <f>IFERROR(_xlfn.XLOOKUP($A116,'Raw Data'!$A:$A,'Raw Data'!$AO:$AO),"")</f>
        <v>0</v>
      </c>
      <c r="H116" s="230"/>
      <c r="I116" s="230">
        <f>IFERROR(_xlfn.XLOOKUP($A116,'Raw Data'!$A:$A,'Raw Data'!$AR:$AR),"")</f>
        <v>6.2402144563426685</v>
      </c>
      <c r="J116" s="230"/>
      <c r="K116" s="230">
        <f>IFERROR(_xlfn.XLOOKUP($A116,'Raw Data'!$A:$A,'Raw Data'!$AV:$AV),"")</f>
        <v>0</v>
      </c>
      <c r="L116" s="230">
        <f>IFERROR(_xlfn.XLOOKUP($A116,'Raw Data'!$A:$A,'Raw Data'!$AW:$AW),"")</f>
        <v>0</v>
      </c>
      <c r="M116" s="230">
        <f>IFERROR(_xlfn.XLOOKUP($A116,'Raw Data'!$A:$A,'Raw Data'!$AX:$AX),"")</f>
        <v>0</v>
      </c>
      <c r="N116" s="230">
        <f>IFERROR(_xlfn.XLOOKUP($A116,'Raw Data'!$A:$A,'Raw Data'!$AY:$AY),"")</f>
        <v>0</v>
      </c>
      <c r="O116" s="231">
        <f>IFERROR(1-(SUMIF('Plant BD'!$B:$B,A116,'Plant BD'!$AE:$AE)/(AA116+SUMIF('Plant BD'!$B:$B,A116,'Plant BD'!$AE:$AE))),"")</f>
        <v>0.9914577273436691</v>
      </c>
      <c r="P116" s="231"/>
      <c r="Q116" s="232"/>
      <c r="R116" s="231">
        <f>IFERROR(1-(SUMIF('Grid BD'!$B:$B,$A116,'Grid BD'!$AD:$AD)/($AA116+SUMIF('Grid BD'!$B:$B,$A116,'Grid BD'!AD:AD))),"")</f>
        <v>1</v>
      </c>
      <c r="S116" s="6"/>
      <c r="T116" s="232"/>
      <c r="U116" s="233">
        <f t="shared" si="8"/>
        <v>0.79546379806109924</v>
      </c>
      <c r="V116" s="233"/>
      <c r="W116" s="234">
        <f t="shared" si="10"/>
        <v>0.20682769550658819</v>
      </c>
      <c r="X116" s="227">
        <f>IFERROR(_xlfn.XLOOKUP($A116,'Raw Data'!$A:$A,'Raw Data'!$BA:$BA),"")</f>
        <v>122488.7</v>
      </c>
      <c r="Y116" s="227">
        <f>IFERROR(_xlfn.XLOOKUP($A116,'Raw Data'!$A:$A,'Raw Data'!BJ:BJ),"")</f>
        <v>121415.79999998794</v>
      </c>
      <c r="Z116" s="227">
        <f>IFERROR(_xlfn.XLOOKUP($A116,'Raw Data'!$A:$A,'Raw Data'!BK:BK),"")</f>
        <v>778.50000000000819</v>
      </c>
      <c r="AA116" s="227">
        <f>IFERROR(_xlfn.XLOOKUP($A116,'Raw Data'!$A:$A,'Raw Data'!BL:BL),"")</f>
        <v>120637.29999998792</v>
      </c>
      <c r="AB116" s="227">
        <f>IFERROR(_xlfn.XLOOKUP($A116,'Raw Data'!$A:$A,'Raw Data'!$H:$H),"")</f>
        <v>24.303100000000001</v>
      </c>
      <c r="AC116" s="145">
        <f>IFERROR(_xlfn.XLOOKUP($D116,'Modelling New'!$D:$D,'Modelling New'!$P:$P),"")</f>
        <v>4.4064516129032256</v>
      </c>
      <c r="AD116" s="227">
        <f>IFERROR(_xlfn.XLOOKUP($D116,'Modelling New'!$D:$D,'Modelling New'!$T:$T)*1000,"")</f>
        <v>77476.763338544362</v>
      </c>
      <c r="AE116" s="234">
        <f>IFERROR(_xlfn.XLOOKUP($D116,'Modelling New'!$D:$D,'Modelling New'!$O:$O),"")</f>
        <v>0.72347043806469047</v>
      </c>
      <c r="AF116" s="234">
        <f>IFERROR(_xlfn.XLOOKUP($D116,'Modelling New'!$D:$D,'Modelling New'!$W:$W),"")</f>
        <v>0.1328307282790816</v>
      </c>
      <c r="AG116" s="234">
        <f>IFERROR(_xlfn.XLOOKUP($D116,'Modelling New'!$D:$D,'Modelling New'!AE:AE),"")</f>
        <v>0.995</v>
      </c>
      <c r="AH116" s="234">
        <v>0.99750000000000005</v>
      </c>
      <c r="AI116" s="6"/>
      <c r="AJ116" s="6"/>
      <c r="AK116" s="6"/>
      <c r="AL116" s="6"/>
      <c r="AM116" s="6"/>
      <c r="AN116" s="231"/>
      <c r="AO116" s="234"/>
      <c r="AP116" s="234"/>
      <c r="AQ116" s="234"/>
      <c r="AR116" s="227">
        <f>IFERROR(_xlfn.XLOOKUP($D116,'Modelling New'!$D:$D,'Modelling New'!$N:$N),"")</f>
        <v>24.303100000000001</v>
      </c>
      <c r="AS116" s="227"/>
    </row>
    <row r="117" spans="1:45" x14ac:dyDescent="0.35">
      <c r="A117" s="226">
        <f t="shared" si="9"/>
        <v>45860</v>
      </c>
      <c r="B117" s="227">
        <f>YEAR(Daily_KPI[[#This Row],[Date]])+IF(MONTH(Daily_KPI[[#This Row],[Date]])&gt;=4,1,0)</f>
        <v>2026</v>
      </c>
      <c r="C117" s="6">
        <f>YEAR(Daily_KPI[[#This Row],[Date]])</f>
        <v>2025</v>
      </c>
      <c r="D117" s="228">
        <f>Daily_KPI[[#This Row],[Date]]-DAY(Daily_KPI[[#This Row],[Date]])+1</f>
        <v>45839</v>
      </c>
      <c r="E117" s="6">
        <f t="shared" ref="E117:E180" si="11">DAY(EOMONTH(A117,0))</f>
        <v>31</v>
      </c>
      <c r="F117" s="229">
        <f>IFERROR(_xlfn.XLOOKUP($A117,'Raw Data'!$A:$A,'Raw Data'!$BR:$BR),"")</f>
        <v>11.366666666666667</v>
      </c>
      <c r="G117" s="230">
        <f>IFERROR(_xlfn.XLOOKUP($A117,'Raw Data'!$A:$A,'Raw Data'!$AO:$AO),"")</f>
        <v>0</v>
      </c>
      <c r="H117" s="230"/>
      <c r="I117" s="230">
        <f>IFERROR(_xlfn.XLOOKUP($A117,'Raw Data'!$A:$A,'Raw Data'!$AR:$AR),"")</f>
        <v>4.0642175041186155</v>
      </c>
      <c r="J117" s="230"/>
      <c r="K117" s="230">
        <f>IFERROR(_xlfn.XLOOKUP($A117,'Raw Data'!$A:$A,'Raw Data'!$AV:$AV),"")</f>
        <v>0</v>
      </c>
      <c r="L117" s="230">
        <f>IFERROR(_xlfn.XLOOKUP($A117,'Raw Data'!$A:$A,'Raw Data'!$AW:$AW),"")</f>
        <v>0</v>
      </c>
      <c r="M117" s="230">
        <f>IFERROR(_xlfn.XLOOKUP($A117,'Raw Data'!$A:$A,'Raw Data'!$AX:$AX),"")</f>
        <v>0</v>
      </c>
      <c r="N117" s="230">
        <f>IFERROR(_xlfn.XLOOKUP($A117,'Raw Data'!$A:$A,'Raw Data'!$AY:$AY),"")</f>
        <v>0</v>
      </c>
      <c r="O117" s="231">
        <f>IFERROR(1-(SUMIF('Plant BD'!$B:$B,A117,'Plant BD'!$AE:$AE)/(AA117+SUMIF('Plant BD'!$B:$B,A117,'Plant BD'!$AE:$AE))),"")</f>
        <v>0.98265637101747116</v>
      </c>
      <c r="P117" s="231"/>
      <c r="Q117" s="232"/>
      <c r="R117" s="231">
        <f>IFERROR(1-(SUMIF('Grid BD'!$B:$B,$A117,'Grid BD'!$AD:$AD)/($AA117+SUMIF('Grid BD'!$B:$B,$A117,'Grid BD'!AD:AD))),"")</f>
        <v>1</v>
      </c>
      <c r="S117" s="6"/>
      <c r="T117" s="232"/>
      <c r="U117" s="233">
        <f t="shared" si="8"/>
        <v>0.81275785268695599</v>
      </c>
      <c r="V117" s="233"/>
      <c r="W117" s="234">
        <f t="shared" si="10"/>
        <v>0.13763436214584104</v>
      </c>
      <c r="X117" s="227">
        <f>IFERROR(_xlfn.XLOOKUP($A117,'Raw Data'!$A:$A,'Raw Data'!$BA:$BA),"")</f>
        <v>82690.399999999994</v>
      </c>
      <c r="Y117" s="227">
        <f>IFERROR(_xlfn.XLOOKUP($A117,'Raw Data'!$A:$A,'Raw Data'!BJ:BJ),"")</f>
        <v>81222.999999998137</v>
      </c>
      <c r="Z117" s="227">
        <f>IFERROR(_xlfn.XLOOKUP($A117,'Raw Data'!$A:$A,'Raw Data'!BK:BK),"")</f>
        <v>944.39999999997326</v>
      </c>
      <c r="AA117" s="227">
        <f>IFERROR(_xlfn.XLOOKUP($A117,'Raw Data'!$A:$A,'Raw Data'!BL:BL),"")</f>
        <v>80278.599999998158</v>
      </c>
      <c r="AB117" s="227">
        <f>IFERROR(_xlfn.XLOOKUP($A117,'Raw Data'!$A:$A,'Raw Data'!$H:$H),"")</f>
        <v>24.303100000000001</v>
      </c>
      <c r="AC117" s="145">
        <f>IFERROR(_xlfn.XLOOKUP($D117,'Modelling New'!$D:$D,'Modelling New'!$P:$P),"")</f>
        <v>4.4064516129032256</v>
      </c>
      <c r="AD117" s="227">
        <f>IFERROR(_xlfn.XLOOKUP($D117,'Modelling New'!$D:$D,'Modelling New'!$T:$T)*1000,"")</f>
        <v>77476.763338544362</v>
      </c>
      <c r="AE117" s="234">
        <f>IFERROR(_xlfn.XLOOKUP($D117,'Modelling New'!$D:$D,'Modelling New'!$O:$O),"")</f>
        <v>0.72347043806469047</v>
      </c>
      <c r="AF117" s="234">
        <f>IFERROR(_xlfn.XLOOKUP($D117,'Modelling New'!$D:$D,'Modelling New'!$W:$W),"")</f>
        <v>0.1328307282790816</v>
      </c>
      <c r="AG117" s="234">
        <f>IFERROR(_xlfn.XLOOKUP($D117,'Modelling New'!$D:$D,'Modelling New'!AE:AE),"")</f>
        <v>0.995</v>
      </c>
      <c r="AH117" s="234">
        <v>0.99750000000000005</v>
      </c>
      <c r="AI117" s="6"/>
      <c r="AJ117" s="6"/>
      <c r="AK117" s="6"/>
      <c r="AL117" s="6"/>
      <c r="AM117" s="6"/>
      <c r="AN117" s="231"/>
      <c r="AO117" s="234"/>
      <c r="AP117" s="234"/>
      <c r="AQ117" s="234"/>
      <c r="AR117" s="227">
        <f>IFERROR(_xlfn.XLOOKUP($D117,'Modelling New'!$D:$D,'Modelling New'!$N:$N),"")</f>
        <v>24.303100000000001</v>
      </c>
      <c r="AS117" s="227"/>
    </row>
    <row r="118" spans="1:45" x14ac:dyDescent="0.35">
      <c r="A118" s="226">
        <f t="shared" si="9"/>
        <v>45861</v>
      </c>
      <c r="B118" s="227">
        <f>YEAR(Daily_KPI[[#This Row],[Date]])+IF(MONTH(Daily_KPI[[#This Row],[Date]])&gt;=4,1,0)</f>
        <v>2026</v>
      </c>
      <c r="C118" s="6">
        <f>YEAR(Daily_KPI[[#This Row],[Date]])</f>
        <v>2025</v>
      </c>
      <c r="D118" s="228">
        <f>Daily_KPI[[#This Row],[Date]]-DAY(Daily_KPI[[#This Row],[Date]])+1</f>
        <v>45839</v>
      </c>
      <c r="E118" s="6">
        <f t="shared" si="11"/>
        <v>31</v>
      </c>
      <c r="F118" s="229">
        <f>IFERROR(_xlfn.XLOOKUP($A118,'Raw Data'!$A:$A,'Raw Data'!$BR:$BR),"")</f>
        <v>11.166666666666668</v>
      </c>
      <c r="G118" s="230">
        <f>IFERROR(_xlfn.XLOOKUP($A118,'Raw Data'!$A:$A,'Raw Data'!$AO:$AO),"")</f>
        <v>0</v>
      </c>
      <c r="H118" s="230"/>
      <c r="I118" s="230">
        <f>IFERROR(_xlfn.XLOOKUP($A118,'Raw Data'!$A:$A,'Raw Data'!$AR:$AR),"")</f>
        <v>2.5832114085667213</v>
      </c>
      <c r="J118" s="230"/>
      <c r="K118" s="230">
        <f>IFERROR(_xlfn.XLOOKUP($A118,'Raw Data'!$A:$A,'Raw Data'!$AV:$AV),"")</f>
        <v>0</v>
      </c>
      <c r="L118" s="230">
        <f>IFERROR(_xlfn.XLOOKUP($A118,'Raw Data'!$A:$A,'Raw Data'!$AW:$AW),"")</f>
        <v>0</v>
      </c>
      <c r="M118" s="230">
        <f>IFERROR(_xlfn.XLOOKUP($A118,'Raw Data'!$A:$A,'Raw Data'!$AX:$AX),"")</f>
        <v>0</v>
      </c>
      <c r="N118" s="230">
        <f>IFERROR(_xlfn.XLOOKUP($A118,'Raw Data'!$A:$A,'Raw Data'!$AY:$AY),"")</f>
        <v>0</v>
      </c>
      <c r="O118" s="231">
        <f>IFERROR(1-(SUMIF('Plant BD'!$B:$B,A118,'Plant BD'!$AE:$AE)/(AA118+SUMIF('Plant BD'!$B:$B,A118,'Plant BD'!$AE:$AE))),"")</f>
        <v>1</v>
      </c>
      <c r="P118" s="231"/>
      <c r="Q118" s="232"/>
      <c r="R118" s="231">
        <f>IFERROR(1-(SUMIF('Grid BD'!$B:$B,$A118,'Grid BD'!$AD:$AD)/($AA118+SUMIF('Grid BD'!$B:$B,$A118,'Grid BD'!AD:AD))),"")</f>
        <v>1</v>
      </c>
      <c r="S118" s="6"/>
      <c r="T118" s="232"/>
      <c r="U118" s="233">
        <f t="shared" si="8"/>
        <v>0.88863109029181619</v>
      </c>
      <c r="V118" s="233"/>
      <c r="W118" s="234">
        <f t="shared" si="10"/>
        <v>9.5646748768704326E-2</v>
      </c>
      <c r="X118" s="227">
        <f>IFERROR(_xlfn.XLOOKUP($A118,'Raw Data'!$A:$A,'Raw Data'!$BA:$BA),"")</f>
        <v>56316.600000000006</v>
      </c>
      <c r="Y118" s="227">
        <f>IFERROR(_xlfn.XLOOKUP($A118,'Raw Data'!$A:$A,'Raw Data'!BJ:BJ),"")</f>
        <v>56800.600000016857</v>
      </c>
      <c r="Z118" s="227">
        <f>IFERROR(_xlfn.XLOOKUP($A118,'Raw Data'!$A:$A,'Raw Data'!BK:BK),"")</f>
        <v>1012.3000000000957</v>
      </c>
      <c r="AA118" s="227">
        <f>IFERROR(_xlfn.XLOOKUP($A118,'Raw Data'!$A:$A,'Raw Data'!BL:BL),"")</f>
        <v>55788.300000016759</v>
      </c>
      <c r="AB118" s="227">
        <f>IFERROR(_xlfn.XLOOKUP($A118,'Raw Data'!$A:$A,'Raw Data'!$H:$H),"")</f>
        <v>24.303100000000001</v>
      </c>
      <c r="AC118" s="145">
        <f>IFERROR(_xlfn.XLOOKUP($D118,'Modelling New'!$D:$D,'Modelling New'!$P:$P),"")</f>
        <v>4.4064516129032256</v>
      </c>
      <c r="AD118" s="227">
        <f>IFERROR(_xlfn.XLOOKUP($D118,'Modelling New'!$D:$D,'Modelling New'!$T:$T)*1000,"")</f>
        <v>77476.763338544362</v>
      </c>
      <c r="AE118" s="234">
        <f>IFERROR(_xlfn.XLOOKUP($D118,'Modelling New'!$D:$D,'Modelling New'!$O:$O),"")</f>
        <v>0.72347043806469047</v>
      </c>
      <c r="AF118" s="234">
        <f>IFERROR(_xlfn.XLOOKUP($D118,'Modelling New'!$D:$D,'Modelling New'!$W:$W),"")</f>
        <v>0.1328307282790816</v>
      </c>
      <c r="AG118" s="234">
        <f>IFERROR(_xlfn.XLOOKUP($D118,'Modelling New'!$D:$D,'Modelling New'!AE:AE),"")</f>
        <v>0.995</v>
      </c>
      <c r="AH118" s="234">
        <v>0.99750000000000005</v>
      </c>
      <c r="AI118" s="6"/>
      <c r="AJ118" s="6"/>
      <c r="AK118" s="6"/>
      <c r="AL118" s="6"/>
      <c r="AM118" s="6"/>
      <c r="AN118" s="231"/>
      <c r="AO118" s="234"/>
      <c r="AP118" s="234"/>
      <c r="AQ118" s="234"/>
      <c r="AR118" s="227">
        <f>IFERROR(_xlfn.XLOOKUP($D118,'Modelling New'!$D:$D,'Modelling New'!$N:$N),"")</f>
        <v>24.303100000000001</v>
      </c>
      <c r="AS118" s="227"/>
    </row>
    <row r="119" spans="1:45" x14ac:dyDescent="0.35">
      <c r="A119" s="226">
        <f t="shared" si="9"/>
        <v>45862</v>
      </c>
      <c r="B119" s="227">
        <f>YEAR(Daily_KPI[[#This Row],[Date]])+IF(MONTH(Daily_KPI[[#This Row],[Date]])&gt;=4,1,0)</f>
        <v>2026</v>
      </c>
      <c r="C119" s="6">
        <f>YEAR(Daily_KPI[[#This Row],[Date]])</f>
        <v>2025</v>
      </c>
      <c r="D119" s="228">
        <f>Daily_KPI[[#This Row],[Date]]-DAY(Daily_KPI[[#This Row],[Date]])+1</f>
        <v>45839</v>
      </c>
      <c r="E119" s="6">
        <f t="shared" si="11"/>
        <v>31</v>
      </c>
      <c r="F119" s="229">
        <f>IFERROR(_xlfn.XLOOKUP($A119,'Raw Data'!$A:$A,'Raw Data'!$BR:$BR),"")</f>
        <v>11.283333333333335</v>
      </c>
      <c r="G119" s="230">
        <f>IFERROR(_xlfn.XLOOKUP($A119,'Raw Data'!$A:$A,'Raw Data'!$AO:$AO),"")</f>
        <v>0</v>
      </c>
      <c r="H119" s="230"/>
      <c r="I119" s="230">
        <f>IFERROR(_xlfn.XLOOKUP($A119,'Raw Data'!$A:$A,'Raw Data'!$AR:$AR),"")</f>
        <v>3.3011034184514001</v>
      </c>
      <c r="J119" s="230"/>
      <c r="K119" s="230">
        <f>IFERROR(_xlfn.XLOOKUP($A119,'Raw Data'!$A:$A,'Raw Data'!$AV:$AV),"")</f>
        <v>0</v>
      </c>
      <c r="L119" s="230">
        <f>IFERROR(_xlfn.XLOOKUP($A119,'Raw Data'!$A:$A,'Raw Data'!$AW:$AW),"")</f>
        <v>0</v>
      </c>
      <c r="M119" s="230">
        <f>IFERROR(_xlfn.XLOOKUP($A119,'Raw Data'!$A:$A,'Raw Data'!$AX:$AX),"")</f>
        <v>0</v>
      </c>
      <c r="N119" s="230">
        <f>IFERROR(_xlfn.XLOOKUP($A119,'Raw Data'!$A:$A,'Raw Data'!$AY:$AY),"")</f>
        <v>0</v>
      </c>
      <c r="O119" s="231">
        <f>IFERROR(1-(SUMIF('Plant BD'!$B:$B,A119,'Plant BD'!$AE:$AE)/(AA119+SUMIF('Plant BD'!$B:$B,A119,'Plant BD'!$AE:$AE))),"")</f>
        <v>1</v>
      </c>
      <c r="P119" s="231"/>
      <c r="Q119" s="232"/>
      <c r="R119" s="231">
        <f>IFERROR(1-(SUMIF('Grid BD'!$B:$B,$A119,'Grid BD'!$AD:$AD)/($AA119+SUMIF('Grid BD'!$B:$B,$A119,'Grid BD'!AD:AD))),"")</f>
        <v>1</v>
      </c>
      <c r="S119" s="6"/>
      <c r="T119" s="232"/>
      <c r="U119" s="233">
        <f t="shared" si="8"/>
        <v>0.833444616575577</v>
      </c>
      <c r="V119" s="233"/>
      <c r="W119" s="234">
        <f t="shared" si="10"/>
        <v>0.11463695303614807</v>
      </c>
      <c r="X119" s="227">
        <f>IFERROR(_xlfn.XLOOKUP($A119,'Raw Data'!$A:$A,'Raw Data'!$BA:$BA),"")</f>
        <v>67758.899999999994</v>
      </c>
      <c r="Y119" s="227">
        <f>IFERROR(_xlfn.XLOOKUP($A119,'Raw Data'!$A:$A,'Raw Data'!BJ:BJ),"")</f>
        <v>68070.199999987381</v>
      </c>
      <c r="Z119" s="227">
        <f>IFERROR(_xlfn.XLOOKUP($A119,'Raw Data'!$A:$A,'Raw Data'!BK:BK),"")</f>
        <v>1205.3999999999405</v>
      </c>
      <c r="AA119" s="227">
        <f>IFERROR(_xlfn.XLOOKUP($A119,'Raw Data'!$A:$A,'Raw Data'!BL:BL),"")</f>
        <v>66864.799999987445</v>
      </c>
      <c r="AB119" s="227">
        <f>IFERROR(_xlfn.XLOOKUP($A119,'Raw Data'!$A:$A,'Raw Data'!$H:$H),"")</f>
        <v>24.303100000000001</v>
      </c>
      <c r="AC119" s="145">
        <f>IFERROR(_xlfn.XLOOKUP($D119,'Modelling New'!$D:$D,'Modelling New'!$P:$P),"")</f>
        <v>4.4064516129032256</v>
      </c>
      <c r="AD119" s="227">
        <f>IFERROR(_xlfn.XLOOKUP($D119,'Modelling New'!$D:$D,'Modelling New'!$T:$T)*1000,"")</f>
        <v>77476.763338544362</v>
      </c>
      <c r="AE119" s="234">
        <f>IFERROR(_xlfn.XLOOKUP($D119,'Modelling New'!$D:$D,'Modelling New'!$O:$O),"")</f>
        <v>0.72347043806469047</v>
      </c>
      <c r="AF119" s="234">
        <f>IFERROR(_xlfn.XLOOKUP($D119,'Modelling New'!$D:$D,'Modelling New'!$W:$W),"")</f>
        <v>0.1328307282790816</v>
      </c>
      <c r="AG119" s="234">
        <f>IFERROR(_xlfn.XLOOKUP($D119,'Modelling New'!$D:$D,'Modelling New'!AE:AE),"")</f>
        <v>0.995</v>
      </c>
      <c r="AH119" s="234">
        <v>0.99750000000000005</v>
      </c>
      <c r="AI119" s="6"/>
      <c r="AJ119" s="6"/>
      <c r="AK119" s="6"/>
      <c r="AL119" s="6"/>
      <c r="AM119" s="6"/>
      <c r="AN119" s="231"/>
      <c r="AO119" s="234"/>
      <c r="AP119" s="234"/>
      <c r="AQ119" s="234"/>
      <c r="AR119" s="227">
        <f>IFERROR(_xlfn.XLOOKUP($D119,'Modelling New'!$D:$D,'Modelling New'!$N:$N),"")</f>
        <v>24.303100000000001</v>
      </c>
      <c r="AS119" s="227"/>
    </row>
    <row r="120" spans="1:45" x14ac:dyDescent="0.35">
      <c r="A120" s="226">
        <f t="shared" si="9"/>
        <v>45863</v>
      </c>
      <c r="B120" s="227">
        <f>YEAR(Daily_KPI[[#This Row],[Date]])+IF(MONTH(Daily_KPI[[#This Row],[Date]])&gt;=4,1,0)</f>
        <v>2026</v>
      </c>
      <c r="C120" s="6">
        <f>YEAR(Daily_KPI[[#This Row],[Date]])</f>
        <v>2025</v>
      </c>
      <c r="D120" s="228">
        <f>Daily_KPI[[#This Row],[Date]]-DAY(Daily_KPI[[#This Row],[Date]])+1</f>
        <v>45839</v>
      </c>
      <c r="E120" s="6">
        <f t="shared" si="11"/>
        <v>31</v>
      </c>
      <c r="F120" s="229">
        <f>IFERROR(_xlfn.XLOOKUP($A120,'Raw Data'!$A:$A,'Raw Data'!$BR:$BR),"")</f>
        <v>11.583333333333332</v>
      </c>
      <c r="G120" s="230">
        <f>IFERROR(_xlfn.XLOOKUP($A120,'Raw Data'!$A:$A,'Raw Data'!$AO:$AO),"")</f>
        <v>0</v>
      </c>
      <c r="H120" s="230"/>
      <c r="I120" s="230">
        <f>IFERROR(_xlfn.XLOOKUP($A120,'Raw Data'!$A:$A,'Raw Data'!$AR:$AR),"")</f>
        <v>1.6704121499176277</v>
      </c>
      <c r="J120" s="230"/>
      <c r="K120" s="230">
        <f>IFERROR(_xlfn.XLOOKUP($A120,'Raw Data'!$A:$A,'Raw Data'!$AV:$AV),"")</f>
        <v>0</v>
      </c>
      <c r="L120" s="230">
        <f>IFERROR(_xlfn.XLOOKUP($A120,'Raw Data'!$A:$A,'Raw Data'!$AW:$AW),"")</f>
        <v>0</v>
      </c>
      <c r="M120" s="230">
        <f>IFERROR(_xlfn.XLOOKUP($A120,'Raw Data'!$A:$A,'Raw Data'!$AX:$AX),"")</f>
        <v>0</v>
      </c>
      <c r="N120" s="230">
        <f>IFERROR(_xlfn.XLOOKUP($A120,'Raw Data'!$A:$A,'Raw Data'!$AY:$AY),"")</f>
        <v>0</v>
      </c>
      <c r="O120" s="231">
        <f>IFERROR(1-(SUMIF('Plant BD'!$B:$B,A120,'Plant BD'!$AE:$AE)/(AA120+SUMIF('Plant BD'!$B:$B,A120,'Plant BD'!$AE:$AE))),"")</f>
        <v>1</v>
      </c>
      <c r="P120" s="231"/>
      <c r="Q120" s="232"/>
      <c r="R120" s="231">
        <f>IFERROR(1-(SUMIF('Grid BD'!$B:$B,$A120,'Grid BD'!$AD:$AD)/($AA120+SUMIF('Grid BD'!$B:$B,$A120,'Grid BD'!AD:AD))),"")</f>
        <v>1</v>
      </c>
      <c r="S120" s="6"/>
      <c r="T120" s="232"/>
      <c r="U120" s="233">
        <f t="shared" si="8"/>
        <v>0.84449789565995093</v>
      </c>
      <c r="V120" s="233"/>
      <c r="W120" s="234">
        <f t="shared" si="10"/>
        <v>5.8777481062093788E-2</v>
      </c>
      <c r="X120" s="227">
        <f>IFERROR(_xlfn.XLOOKUP($A120,'Raw Data'!$A:$A,'Raw Data'!$BA:$BA),"")</f>
        <v>34036.800000000003</v>
      </c>
      <c r="Y120" s="227">
        <f>IFERROR(_xlfn.XLOOKUP($A120,'Raw Data'!$A:$A,'Raw Data'!BJ:BJ),"")</f>
        <v>34688.200000004144</v>
      </c>
      <c r="Z120" s="227">
        <f>IFERROR(_xlfn.XLOOKUP($A120,'Raw Data'!$A:$A,'Raw Data'!BK:BK),"")</f>
        <v>404.80000000002292</v>
      </c>
      <c r="AA120" s="227">
        <f>IFERROR(_xlfn.XLOOKUP($A120,'Raw Data'!$A:$A,'Raw Data'!BL:BL),"")</f>
        <v>34283.40000000412</v>
      </c>
      <c r="AB120" s="227">
        <f>IFERROR(_xlfn.XLOOKUP($A120,'Raw Data'!$A:$A,'Raw Data'!$H:$H),"")</f>
        <v>24.303100000000001</v>
      </c>
      <c r="AC120" s="145">
        <f>IFERROR(_xlfn.XLOOKUP($D120,'Modelling New'!$D:$D,'Modelling New'!$P:$P),"")</f>
        <v>4.4064516129032256</v>
      </c>
      <c r="AD120" s="227">
        <f>IFERROR(_xlfn.XLOOKUP($D120,'Modelling New'!$D:$D,'Modelling New'!$T:$T)*1000,"")</f>
        <v>77476.763338544362</v>
      </c>
      <c r="AE120" s="234">
        <f>IFERROR(_xlfn.XLOOKUP($D120,'Modelling New'!$D:$D,'Modelling New'!$O:$O),"")</f>
        <v>0.72347043806469047</v>
      </c>
      <c r="AF120" s="234">
        <f>IFERROR(_xlfn.XLOOKUP($D120,'Modelling New'!$D:$D,'Modelling New'!$W:$W),"")</f>
        <v>0.1328307282790816</v>
      </c>
      <c r="AG120" s="234">
        <f>IFERROR(_xlfn.XLOOKUP($D120,'Modelling New'!$D:$D,'Modelling New'!AE:AE),"")</f>
        <v>0.995</v>
      </c>
      <c r="AH120" s="234">
        <v>0.99750000000000005</v>
      </c>
      <c r="AI120" s="6"/>
      <c r="AJ120" s="6"/>
      <c r="AK120" s="6"/>
      <c r="AL120" s="6"/>
      <c r="AM120" s="6"/>
      <c r="AN120" s="231"/>
      <c r="AO120" s="234"/>
      <c r="AP120" s="234"/>
      <c r="AQ120" s="234"/>
      <c r="AR120" s="227">
        <f>IFERROR(_xlfn.XLOOKUP($D120,'Modelling New'!$D:$D,'Modelling New'!$N:$N),"")</f>
        <v>24.303100000000001</v>
      </c>
      <c r="AS120" s="227"/>
    </row>
    <row r="121" spans="1:45" x14ac:dyDescent="0.35">
      <c r="A121" s="226">
        <f t="shared" si="9"/>
        <v>45864</v>
      </c>
      <c r="B121" s="227">
        <f>YEAR(Daily_KPI[[#This Row],[Date]])+IF(MONTH(Daily_KPI[[#This Row],[Date]])&gt;=4,1,0)</f>
        <v>2026</v>
      </c>
      <c r="C121" s="6">
        <f>YEAR(Daily_KPI[[#This Row],[Date]])</f>
        <v>2025</v>
      </c>
      <c r="D121" s="228">
        <f>Daily_KPI[[#This Row],[Date]]-DAY(Daily_KPI[[#This Row],[Date]])+1</f>
        <v>45839</v>
      </c>
      <c r="E121" s="6">
        <f t="shared" si="11"/>
        <v>31</v>
      </c>
      <c r="F121" s="229">
        <f>IFERROR(_xlfn.XLOOKUP($A121,'Raw Data'!$A:$A,'Raw Data'!$BR:$BR),"")</f>
        <v>11.483333333333334</v>
      </c>
      <c r="G121" s="230">
        <f>IFERROR(_xlfn.XLOOKUP($A121,'Raw Data'!$A:$A,'Raw Data'!$AO:$AO),"")</f>
        <v>0</v>
      </c>
      <c r="H121" s="230"/>
      <c r="I121" s="230">
        <f>IFERROR(_xlfn.XLOOKUP($A121,'Raw Data'!$A:$A,'Raw Data'!$AR:$AR),"")</f>
        <v>1.3850015238879734</v>
      </c>
      <c r="J121" s="230"/>
      <c r="K121" s="230">
        <f>IFERROR(_xlfn.XLOOKUP($A121,'Raw Data'!$A:$A,'Raw Data'!$AV:$AV),"")</f>
        <v>0</v>
      </c>
      <c r="L121" s="230">
        <f>IFERROR(_xlfn.XLOOKUP($A121,'Raw Data'!$A:$A,'Raw Data'!$AW:$AW),"")</f>
        <v>0</v>
      </c>
      <c r="M121" s="230">
        <f>IFERROR(_xlfn.XLOOKUP($A121,'Raw Data'!$A:$A,'Raw Data'!$AX:$AX),"")</f>
        <v>0</v>
      </c>
      <c r="N121" s="230">
        <f>IFERROR(_xlfn.XLOOKUP($A121,'Raw Data'!$A:$A,'Raw Data'!$AY:$AY),"")</f>
        <v>0</v>
      </c>
      <c r="O121" s="231">
        <f>IFERROR(1-(SUMIF('Plant BD'!$B:$B,A121,'Plant BD'!$AE:$AE)/(AA121+SUMIF('Plant BD'!$B:$B,A121,'Plant BD'!$AE:$AE))),"")</f>
        <v>0.88826582871060145</v>
      </c>
      <c r="P121" s="231"/>
      <c r="Q121" s="232"/>
      <c r="R121" s="231">
        <f>IFERROR(1-(SUMIF('Grid BD'!$B:$B,$A121,'Grid BD'!$AD:$AD)/($AA121+SUMIF('Grid BD'!$B:$B,$A121,'Grid BD'!AD:AD))),"")</f>
        <v>1</v>
      </c>
      <c r="S121" s="6"/>
      <c r="T121" s="232"/>
      <c r="U121" s="233">
        <f t="shared" si="8"/>
        <v>0.79597845782317134</v>
      </c>
      <c r="V121" s="233"/>
      <c r="W121" s="234">
        <f t="shared" si="10"/>
        <v>4.5934640711128794E-2</v>
      </c>
      <c r="X121" s="227">
        <f>IFERROR(_xlfn.XLOOKUP($A121,'Raw Data'!$A:$A,'Raw Data'!$BA:$BA),"")</f>
        <v>26458.1</v>
      </c>
      <c r="Y121" s="227">
        <f>IFERROR(_xlfn.XLOOKUP($A121,'Raw Data'!$A:$A,'Raw Data'!BJ:BJ),"")</f>
        <v>27135.399999999208</v>
      </c>
      <c r="Z121" s="227">
        <f>IFERROR(_xlfn.XLOOKUP($A121,'Raw Data'!$A:$A,'Raw Data'!BK:BK),"")</f>
        <v>342.89999999998599</v>
      </c>
      <c r="AA121" s="227">
        <f>IFERROR(_xlfn.XLOOKUP($A121,'Raw Data'!$A:$A,'Raw Data'!BL:BL),"")</f>
        <v>26792.499999999221</v>
      </c>
      <c r="AB121" s="227">
        <f>IFERROR(_xlfn.XLOOKUP($A121,'Raw Data'!$A:$A,'Raw Data'!$H:$H),"")</f>
        <v>24.303100000000001</v>
      </c>
      <c r="AC121" s="145">
        <f>IFERROR(_xlfn.XLOOKUP($D121,'Modelling New'!$D:$D,'Modelling New'!$P:$P),"")</f>
        <v>4.4064516129032256</v>
      </c>
      <c r="AD121" s="227">
        <f>IFERROR(_xlfn.XLOOKUP($D121,'Modelling New'!$D:$D,'Modelling New'!$T:$T)*1000,"")</f>
        <v>77476.763338544362</v>
      </c>
      <c r="AE121" s="234">
        <f>IFERROR(_xlfn.XLOOKUP($D121,'Modelling New'!$D:$D,'Modelling New'!$O:$O),"")</f>
        <v>0.72347043806469047</v>
      </c>
      <c r="AF121" s="234">
        <f>IFERROR(_xlfn.XLOOKUP($D121,'Modelling New'!$D:$D,'Modelling New'!$W:$W),"")</f>
        <v>0.1328307282790816</v>
      </c>
      <c r="AG121" s="234">
        <f>IFERROR(_xlfn.XLOOKUP($D121,'Modelling New'!$D:$D,'Modelling New'!AE:AE),"")</f>
        <v>0.995</v>
      </c>
      <c r="AH121" s="234">
        <v>0.99750000000000005</v>
      </c>
      <c r="AI121" s="6"/>
      <c r="AJ121" s="6"/>
      <c r="AK121" s="6"/>
      <c r="AL121" s="6"/>
      <c r="AM121" s="6"/>
      <c r="AN121" s="231"/>
      <c r="AO121" s="234"/>
      <c r="AP121" s="234"/>
      <c r="AQ121" s="234"/>
      <c r="AR121" s="227">
        <f>IFERROR(_xlfn.XLOOKUP($D121,'Modelling New'!$D:$D,'Modelling New'!$N:$N),"")</f>
        <v>24.303100000000001</v>
      </c>
      <c r="AS121" s="227"/>
    </row>
    <row r="122" spans="1:45" x14ac:dyDescent="0.35">
      <c r="A122" s="226">
        <f t="shared" si="9"/>
        <v>45865</v>
      </c>
      <c r="B122" s="227">
        <f>YEAR(Daily_KPI[[#This Row],[Date]])+IF(MONTH(Daily_KPI[[#This Row],[Date]])&gt;=4,1,0)</f>
        <v>2026</v>
      </c>
      <c r="C122" s="6">
        <f>YEAR(Daily_KPI[[#This Row],[Date]])</f>
        <v>2025</v>
      </c>
      <c r="D122" s="228">
        <f>Daily_KPI[[#This Row],[Date]]-DAY(Daily_KPI[[#This Row],[Date]])+1</f>
        <v>45839</v>
      </c>
      <c r="E122" s="6">
        <f t="shared" si="11"/>
        <v>31</v>
      </c>
      <c r="F122" s="229">
        <f>IFERROR(_xlfn.XLOOKUP($A122,'Raw Data'!$A:$A,'Raw Data'!$BR:$BR),"")</f>
        <v>12.1</v>
      </c>
      <c r="G122" s="230">
        <f>IFERROR(_xlfn.XLOOKUP($A122,'Raw Data'!$A:$A,'Raw Data'!$AO:$AO),"")</f>
        <v>0</v>
      </c>
      <c r="H122" s="230"/>
      <c r="I122" s="230">
        <f>IFERROR(_xlfn.XLOOKUP($A122,'Raw Data'!$A:$A,'Raw Data'!$AR:$AR),"")</f>
        <v>3.1724106260296541</v>
      </c>
      <c r="J122" s="230"/>
      <c r="K122" s="230">
        <f>IFERROR(_xlfn.XLOOKUP($A122,'Raw Data'!$A:$A,'Raw Data'!$AV:$AV),"")</f>
        <v>0</v>
      </c>
      <c r="L122" s="230">
        <f>IFERROR(_xlfn.XLOOKUP($A122,'Raw Data'!$A:$A,'Raw Data'!$AW:$AW),"")</f>
        <v>0</v>
      </c>
      <c r="M122" s="230">
        <f>IFERROR(_xlfn.XLOOKUP($A122,'Raw Data'!$A:$A,'Raw Data'!$AX:$AX),"")</f>
        <v>0</v>
      </c>
      <c r="N122" s="230">
        <f>IFERROR(_xlfn.XLOOKUP($A122,'Raw Data'!$A:$A,'Raw Data'!$AY:$AY),"")</f>
        <v>0</v>
      </c>
      <c r="O122" s="231">
        <f>IFERROR(1-(SUMIF('Plant BD'!$B:$B,A122,'Plant BD'!$AE:$AE)/(AA122+SUMIF('Plant BD'!$B:$B,A122,'Plant BD'!$AE:$AE))),"")</f>
        <v>0.89502948510411062</v>
      </c>
      <c r="P122" s="231"/>
      <c r="Q122" s="232"/>
      <c r="R122" s="231">
        <f>IFERROR(1-(SUMIF('Grid BD'!$B:$B,$A122,'Grid BD'!$AD:$AD)/($AA122+SUMIF('Grid BD'!$B:$B,$A122,'Grid BD'!AD:AD))),"")</f>
        <v>1</v>
      </c>
      <c r="S122" s="6"/>
      <c r="T122" s="232"/>
      <c r="U122" s="233">
        <f t="shared" si="8"/>
        <v>0.72006903900142205</v>
      </c>
      <c r="V122" s="233"/>
      <c r="W122" s="234">
        <f t="shared" si="10"/>
        <v>9.5181444616794703E-2</v>
      </c>
      <c r="X122" s="227">
        <f>IFERROR(_xlfn.XLOOKUP($A122,'Raw Data'!$A:$A,'Raw Data'!$BA:$BA),"")</f>
        <v>55632.700000000004</v>
      </c>
      <c r="Y122" s="227">
        <f>IFERROR(_xlfn.XLOOKUP($A122,'Raw Data'!$A:$A,'Raw Data'!BJ:BJ),"")</f>
        <v>56308.699999994133</v>
      </c>
      <c r="Z122" s="227">
        <f>IFERROR(_xlfn.XLOOKUP($A122,'Raw Data'!$A:$A,'Raw Data'!BK:BK),"")</f>
        <v>791.79999999996653</v>
      </c>
      <c r="AA122" s="227">
        <f>IFERROR(_xlfn.XLOOKUP($A122,'Raw Data'!$A:$A,'Raw Data'!BL:BL),"")</f>
        <v>55516.899999994166</v>
      </c>
      <c r="AB122" s="227">
        <f>IFERROR(_xlfn.XLOOKUP($A122,'Raw Data'!$A:$A,'Raw Data'!$H:$H),"")</f>
        <v>24.303100000000001</v>
      </c>
      <c r="AC122" s="145">
        <f>IFERROR(_xlfn.XLOOKUP($D122,'Modelling New'!$D:$D,'Modelling New'!$P:$P),"")</f>
        <v>4.4064516129032256</v>
      </c>
      <c r="AD122" s="227">
        <f>IFERROR(_xlfn.XLOOKUP($D122,'Modelling New'!$D:$D,'Modelling New'!$T:$T)*1000,"")</f>
        <v>77476.763338544362</v>
      </c>
      <c r="AE122" s="234">
        <f>IFERROR(_xlfn.XLOOKUP($D122,'Modelling New'!$D:$D,'Modelling New'!$O:$O),"")</f>
        <v>0.72347043806469047</v>
      </c>
      <c r="AF122" s="234">
        <f>IFERROR(_xlfn.XLOOKUP($D122,'Modelling New'!$D:$D,'Modelling New'!$W:$W),"")</f>
        <v>0.1328307282790816</v>
      </c>
      <c r="AG122" s="234">
        <f>IFERROR(_xlfn.XLOOKUP($D122,'Modelling New'!$D:$D,'Modelling New'!AE:AE),"")</f>
        <v>0.995</v>
      </c>
      <c r="AH122" s="234">
        <v>0.99750000000000005</v>
      </c>
      <c r="AI122" s="6"/>
      <c r="AJ122" s="6"/>
      <c r="AK122" s="6"/>
      <c r="AL122" s="6"/>
      <c r="AM122" s="6"/>
      <c r="AN122" s="231"/>
      <c r="AO122" s="234"/>
      <c r="AP122" s="234"/>
      <c r="AQ122" s="234"/>
      <c r="AR122" s="227">
        <f>IFERROR(_xlfn.XLOOKUP($D122,'Modelling New'!$D:$D,'Modelling New'!$N:$N),"")</f>
        <v>24.303100000000001</v>
      </c>
      <c r="AS122" s="227"/>
    </row>
    <row r="123" spans="1:45" x14ac:dyDescent="0.35">
      <c r="A123" s="226">
        <f t="shared" si="9"/>
        <v>45866</v>
      </c>
      <c r="B123" s="227">
        <f>YEAR(Daily_KPI[[#This Row],[Date]])+IF(MONTH(Daily_KPI[[#This Row],[Date]])&gt;=4,1,0)</f>
        <v>2026</v>
      </c>
      <c r="C123" s="6">
        <f>YEAR(Daily_KPI[[#This Row],[Date]])</f>
        <v>2025</v>
      </c>
      <c r="D123" s="228">
        <f>Daily_KPI[[#This Row],[Date]]-DAY(Daily_KPI[[#This Row],[Date]])+1</f>
        <v>45839</v>
      </c>
      <c r="E123" s="6">
        <f t="shared" si="11"/>
        <v>31</v>
      </c>
      <c r="F123" s="229">
        <f>IFERROR(_xlfn.XLOOKUP($A123,'Raw Data'!$A:$A,'Raw Data'!$BR:$BR),"")</f>
        <v>12.1</v>
      </c>
      <c r="G123" s="230">
        <f>IFERROR(_xlfn.XLOOKUP($A123,'Raw Data'!$A:$A,'Raw Data'!$AO:$AO),"")</f>
        <v>0</v>
      </c>
      <c r="H123" s="230"/>
      <c r="I123" s="230">
        <f>IFERROR(_xlfn.XLOOKUP($A123,'Raw Data'!$A:$A,'Raw Data'!$AR:$AR),"")</f>
        <v>4.4624563426688626</v>
      </c>
      <c r="J123" s="230"/>
      <c r="K123" s="230">
        <f>IFERROR(_xlfn.XLOOKUP($A123,'Raw Data'!$A:$A,'Raw Data'!$AV:$AV),"")</f>
        <v>0</v>
      </c>
      <c r="L123" s="230">
        <f>IFERROR(_xlfn.XLOOKUP($A123,'Raw Data'!$A:$A,'Raw Data'!$AW:$AW),"")</f>
        <v>0</v>
      </c>
      <c r="M123" s="230">
        <f>IFERROR(_xlfn.XLOOKUP($A123,'Raw Data'!$A:$A,'Raw Data'!$AX:$AX),"")</f>
        <v>0</v>
      </c>
      <c r="N123" s="230">
        <f>IFERROR(_xlfn.XLOOKUP($A123,'Raw Data'!$A:$A,'Raw Data'!$AY:$AY),"")</f>
        <v>0</v>
      </c>
      <c r="O123" s="231">
        <f>IFERROR(1-(SUMIF('Plant BD'!$B:$B,A123,'Plant BD'!$AE:$AE)/(AA123+SUMIF('Plant BD'!$B:$B,A123,'Plant BD'!$AE:$AE))),"")</f>
        <v>0.95717445840741555</v>
      </c>
      <c r="P123" s="231"/>
      <c r="Q123" s="232"/>
      <c r="R123" s="231">
        <f>IFERROR(1-(SUMIF('Grid BD'!$B:$B,$A123,'Grid BD'!$AD:$AD)/($AA123+SUMIF('Grid BD'!$B:$B,$A123,'Grid BD'!AD:AD))),"")</f>
        <v>1</v>
      </c>
      <c r="S123" s="6"/>
      <c r="T123" s="232"/>
      <c r="U123" s="233">
        <f t="shared" si="8"/>
        <v>0.84840671365501441</v>
      </c>
      <c r="V123" s="233"/>
      <c r="W123" s="234">
        <f t="shared" si="10"/>
        <v>0.15774908002136101</v>
      </c>
      <c r="X123" s="227">
        <f>IFERROR(_xlfn.XLOOKUP($A123,'Raw Data'!$A:$A,'Raw Data'!$BA:$BA),"")</f>
        <v>93128.3</v>
      </c>
      <c r="Y123" s="227">
        <f>IFERROR(_xlfn.XLOOKUP($A123,'Raw Data'!$A:$A,'Raw Data'!BJ:BJ),"")</f>
        <v>92873.400000011316</v>
      </c>
      <c r="Z123" s="227">
        <f>IFERROR(_xlfn.XLOOKUP($A123,'Raw Data'!$A:$A,'Raw Data'!BK:BK),"")</f>
        <v>862.39999999997963</v>
      </c>
      <c r="AA123" s="227">
        <f>IFERROR(_xlfn.XLOOKUP($A123,'Raw Data'!$A:$A,'Raw Data'!BL:BL),"")</f>
        <v>92011.000000011336</v>
      </c>
      <c r="AB123" s="227">
        <f>IFERROR(_xlfn.XLOOKUP($A123,'Raw Data'!$A:$A,'Raw Data'!$H:$H),"")</f>
        <v>24.303100000000001</v>
      </c>
      <c r="AC123" s="145">
        <f>IFERROR(_xlfn.XLOOKUP($D123,'Modelling New'!$D:$D,'Modelling New'!$P:$P),"")</f>
        <v>4.4064516129032256</v>
      </c>
      <c r="AD123" s="227">
        <f>IFERROR(_xlfn.XLOOKUP($D123,'Modelling New'!$D:$D,'Modelling New'!$T:$T)*1000,"")</f>
        <v>77476.763338544362</v>
      </c>
      <c r="AE123" s="234">
        <f>IFERROR(_xlfn.XLOOKUP($D123,'Modelling New'!$D:$D,'Modelling New'!$O:$O),"")</f>
        <v>0.72347043806469047</v>
      </c>
      <c r="AF123" s="234">
        <f>IFERROR(_xlfn.XLOOKUP($D123,'Modelling New'!$D:$D,'Modelling New'!$W:$W),"")</f>
        <v>0.1328307282790816</v>
      </c>
      <c r="AG123" s="234">
        <f>IFERROR(_xlfn.XLOOKUP($D123,'Modelling New'!$D:$D,'Modelling New'!AE:AE),"")</f>
        <v>0.995</v>
      </c>
      <c r="AH123" s="234">
        <v>0.99750000000000005</v>
      </c>
      <c r="AI123" s="6"/>
      <c r="AJ123" s="6"/>
      <c r="AK123" s="6"/>
      <c r="AL123" s="6"/>
      <c r="AM123" s="6"/>
      <c r="AN123" s="231"/>
      <c r="AO123" s="234"/>
      <c r="AP123" s="234"/>
      <c r="AQ123" s="234"/>
      <c r="AR123" s="227">
        <f>IFERROR(_xlfn.XLOOKUP($D123,'Modelling New'!$D:$D,'Modelling New'!$N:$N),"")</f>
        <v>24.303100000000001</v>
      </c>
      <c r="AS123" s="227"/>
    </row>
    <row r="124" spans="1:45" x14ac:dyDescent="0.35">
      <c r="A124" s="226">
        <f t="shared" si="9"/>
        <v>45867</v>
      </c>
      <c r="B124" s="227">
        <f>YEAR(Daily_KPI[[#This Row],[Date]])+IF(MONTH(Daily_KPI[[#This Row],[Date]])&gt;=4,1,0)</f>
        <v>2026</v>
      </c>
      <c r="C124" s="6">
        <f>YEAR(Daily_KPI[[#This Row],[Date]])</f>
        <v>2025</v>
      </c>
      <c r="D124" s="228">
        <f>Daily_KPI[[#This Row],[Date]]-DAY(Daily_KPI[[#This Row],[Date]])+1</f>
        <v>45839</v>
      </c>
      <c r="E124" s="6">
        <f t="shared" si="11"/>
        <v>31</v>
      </c>
      <c r="F124" s="229">
        <f>IFERROR(_xlfn.XLOOKUP($A124,'Raw Data'!$A:$A,'Raw Data'!$BR:$BR),"")</f>
        <v>11.8</v>
      </c>
      <c r="G124" s="230">
        <f>IFERROR(_xlfn.XLOOKUP($A124,'Raw Data'!$A:$A,'Raw Data'!$AO:$AO),"")</f>
        <v>0</v>
      </c>
      <c r="H124" s="230"/>
      <c r="I124" s="230">
        <f>IFERROR(_xlfn.XLOOKUP($A124,'Raw Data'!$A:$A,'Raw Data'!$AR:$AR),"")</f>
        <v>2.7136729818780889</v>
      </c>
      <c r="J124" s="230"/>
      <c r="K124" s="230">
        <f>IFERROR(_xlfn.XLOOKUP($A124,'Raw Data'!$A:$A,'Raw Data'!$AV:$AV),"")</f>
        <v>0</v>
      </c>
      <c r="L124" s="230">
        <f>IFERROR(_xlfn.XLOOKUP($A124,'Raw Data'!$A:$A,'Raw Data'!$AW:$AW),"")</f>
        <v>0</v>
      </c>
      <c r="M124" s="230">
        <f>IFERROR(_xlfn.XLOOKUP($A124,'Raw Data'!$A:$A,'Raw Data'!$AX:$AX),"")</f>
        <v>0</v>
      </c>
      <c r="N124" s="230">
        <f>IFERROR(_xlfn.XLOOKUP($A124,'Raw Data'!$A:$A,'Raw Data'!$AY:$AY),"")</f>
        <v>0</v>
      </c>
      <c r="O124" s="231">
        <f>IFERROR(1-(SUMIF('Plant BD'!$B:$B,A124,'Plant BD'!$AE:$AE)/(AA124+SUMIF('Plant BD'!$B:$B,A124,'Plant BD'!$AE:$AE))),"")</f>
        <v>1</v>
      </c>
      <c r="P124" s="231"/>
      <c r="Q124" s="232"/>
      <c r="R124" s="231">
        <f>IFERROR(1-(SUMIF('Grid BD'!$B:$B,$A124,'Grid BD'!$AD:$AD)/($AA124+SUMIF('Grid BD'!$B:$B,$A124,'Grid BD'!AD:AD))),"")</f>
        <v>1</v>
      </c>
      <c r="S124" s="6"/>
      <c r="T124" s="232"/>
      <c r="U124" s="233">
        <f t="shared" si="8"/>
        <v>0.81767332154020722</v>
      </c>
      <c r="V124" s="233"/>
      <c r="W124" s="234">
        <f t="shared" si="10"/>
        <v>9.2454083361090636E-2</v>
      </c>
      <c r="X124" s="227">
        <f>IFERROR(_xlfn.XLOOKUP($A124,'Raw Data'!$A:$A,'Raw Data'!$BA:$BA),"")</f>
        <v>54546.700000000004</v>
      </c>
      <c r="Y124" s="227">
        <f>IFERROR(_xlfn.XLOOKUP($A124,'Raw Data'!$A:$A,'Raw Data'!BJ:BJ),"")</f>
        <v>55019.399999990128</v>
      </c>
      <c r="Z124" s="227">
        <f>IFERROR(_xlfn.XLOOKUP($A124,'Raw Data'!$A:$A,'Raw Data'!BK:BK),"")</f>
        <v>1093.2999999999993</v>
      </c>
      <c r="AA124" s="227">
        <f>IFERROR(_xlfn.XLOOKUP($A124,'Raw Data'!$A:$A,'Raw Data'!BL:BL),"")</f>
        <v>53926.099999990125</v>
      </c>
      <c r="AB124" s="227">
        <f>IFERROR(_xlfn.XLOOKUP($A124,'Raw Data'!$A:$A,'Raw Data'!$H:$H),"")</f>
        <v>24.303100000000001</v>
      </c>
      <c r="AC124" s="145">
        <f>IFERROR(_xlfn.XLOOKUP($D124,'Modelling New'!$D:$D,'Modelling New'!$P:$P),"")</f>
        <v>4.4064516129032256</v>
      </c>
      <c r="AD124" s="227">
        <f>IFERROR(_xlfn.XLOOKUP($D124,'Modelling New'!$D:$D,'Modelling New'!$T:$T)*1000,"")</f>
        <v>77476.763338544362</v>
      </c>
      <c r="AE124" s="234">
        <f>IFERROR(_xlfn.XLOOKUP($D124,'Modelling New'!$D:$D,'Modelling New'!$O:$O),"")</f>
        <v>0.72347043806469047</v>
      </c>
      <c r="AF124" s="234">
        <f>IFERROR(_xlfn.XLOOKUP($D124,'Modelling New'!$D:$D,'Modelling New'!$W:$W),"")</f>
        <v>0.1328307282790816</v>
      </c>
      <c r="AG124" s="234">
        <f>IFERROR(_xlfn.XLOOKUP($D124,'Modelling New'!$D:$D,'Modelling New'!AE:AE),"")</f>
        <v>0.995</v>
      </c>
      <c r="AH124" s="234">
        <v>0.99750000000000005</v>
      </c>
      <c r="AI124" s="6"/>
      <c r="AJ124" s="6"/>
      <c r="AK124" s="6"/>
      <c r="AL124" s="6"/>
      <c r="AM124" s="6"/>
      <c r="AN124" s="231"/>
      <c r="AO124" s="234"/>
      <c r="AP124" s="234"/>
      <c r="AQ124" s="234"/>
      <c r="AR124" s="227">
        <f>IFERROR(_xlfn.XLOOKUP($D124,'Modelling New'!$D:$D,'Modelling New'!$N:$N),"")</f>
        <v>24.303100000000001</v>
      </c>
      <c r="AS124" s="227"/>
    </row>
    <row r="125" spans="1:45" x14ac:dyDescent="0.35">
      <c r="A125" s="226">
        <f t="shared" si="9"/>
        <v>45868</v>
      </c>
      <c r="B125" s="227">
        <f>YEAR(Daily_KPI[[#This Row],[Date]])+IF(MONTH(Daily_KPI[[#This Row],[Date]])&gt;=4,1,0)</f>
        <v>2026</v>
      </c>
      <c r="C125" s="6">
        <f>YEAR(Daily_KPI[[#This Row],[Date]])</f>
        <v>2025</v>
      </c>
      <c r="D125" s="228">
        <f>Daily_KPI[[#This Row],[Date]]-DAY(Daily_KPI[[#This Row],[Date]])+1</f>
        <v>45839</v>
      </c>
      <c r="E125" s="6">
        <f t="shared" si="11"/>
        <v>31</v>
      </c>
      <c r="F125" s="229">
        <f>IFERROR(_xlfn.XLOOKUP($A125,'Raw Data'!$A:$A,'Raw Data'!$BR:$BR),"")</f>
        <v>11.816666666666666</v>
      </c>
      <c r="G125" s="230">
        <f>IFERROR(_xlfn.XLOOKUP($A125,'Raw Data'!$A:$A,'Raw Data'!$AO:$AO),"")</f>
        <v>0</v>
      </c>
      <c r="H125" s="230"/>
      <c r="I125" s="230">
        <f>IFERROR(_xlfn.XLOOKUP($A125,'Raw Data'!$A:$A,'Raw Data'!$AR:$AR),"")</f>
        <v>2.8834182454695219</v>
      </c>
      <c r="J125" s="230"/>
      <c r="K125" s="230">
        <f>IFERROR(_xlfn.XLOOKUP($A125,'Raw Data'!$A:$A,'Raw Data'!$AV:$AV),"")</f>
        <v>0</v>
      </c>
      <c r="L125" s="230">
        <f>IFERROR(_xlfn.XLOOKUP($A125,'Raw Data'!$A:$A,'Raw Data'!$AW:$AW),"")</f>
        <v>0</v>
      </c>
      <c r="M125" s="230">
        <f>IFERROR(_xlfn.XLOOKUP($A125,'Raw Data'!$A:$A,'Raw Data'!$AX:$AX),"")</f>
        <v>0</v>
      </c>
      <c r="N125" s="230">
        <f>IFERROR(_xlfn.XLOOKUP($A125,'Raw Data'!$A:$A,'Raw Data'!$AY:$AY),"")</f>
        <v>0</v>
      </c>
      <c r="O125" s="231">
        <f>IFERROR(1-(SUMIF('Plant BD'!$B:$B,A125,'Plant BD'!$AE:$AE)/(AA125+SUMIF('Plant BD'!$B:$B,A125,'Plant BD'!$AE:$AE))),"")</f>
        <v>0.98613328047295934</v>
      </c>
      <c r="P125" s="231"/>
      <c r="Q125" s="232"/>
      <c r="R125" s="231">
        <f>IFERROR(1-(SUMIF('Grid BD'!$B:$B,$A125,'Grid BD'!$AD:$AD)/($AA125+SUMIF('Grid BD'!$B:$B,$A125,'Grid BD'!AD:AD))),"")</f>
        <v>1</v>
      </c>
      <c r="S125" s="6"/>
      <c r="T125" s="232"/>
      <c r="U125" s="233">
        <f t="shared" si="8"/>
        <v>0.82113702821747625</v>
      </c>
      <c r="V125" s="233"/>
      <c r="W125" s="234">
        <f t="shared" si="10"/>
        <v>9.8653395383037176E-2</v>
      </c>
      <c r="X125" s="227">
        <f>IFERROR(_xlfn.XLOOKUP($A125,'Raw Data'!$A:$A,'Raw Data'!$BA:$BA),"")</f>
        <v>57830</v>
      </c>
      <c r="Y125" s="227">
        <f>IFERROR(_xlfn.XLOOKUP($A125,'Raw Data'!$A:$A,'Raw Data'!BJ:BJ),"")</f>
        <v>58265.400000003865</v>
      </c>
      <c r="Z125" s="227">
        <f>IFERROR(_xlfn.XLOOKUP($A125,'Raw Data'!$A:$A,'Raw Data'!BK:BK),"")</f>
        <v>723.40000000008331</v>
      </c>
      <c r="AA125" s="227">
        <f>IFERROR(_xlfn.XLOOKUP($A125,'Raw Data'!$A:$A,'Raw Data'!BL:BL),"")</f>
        <v>57542.000000003783</v>
      </c>
      <c r="AB125" s="227">
        <f>IFERROR(_xlfn.XLOOKUP($A125,'Raw Data'!$A:$A,'Raw Data'!$H:$H),"")</f>
        <v>24.303100000000001</v>
      </c>
      <c r="AC125" s="145">
        <f>IFERROR(_xlfn.XLOOKUP($D125,'Modelling New'!$D:$D,'Modelling New'!$P:$P),"")</f>
        <v>4.4064516129032256</v>
      </c>
      <c r="AD125" s="227">
        <f>IFERROR(_xlfn.XLOOKUP($D125,'Modelling New'!$D:$D,'Modelling New'!$T:$T)*1000,"")</f>
        <v>77476.763338544362</v>
      </c>
      <c r="AE125" s="234">
        <f>IFERROR(_xlfn.XLOOKUP($D125,'Modelling New'!$D:$D,'Modelling New'!$O:$O),"")</f>
        <v>0.72347043806469047</v>
      </c>
      <c r="AF125" s="234">
        <f>IFERROR(_xlfn.XLOOKUP($D125,'Modelling New'!$D:$D,'Modelling New'!$W:$W),"")</f>
        <v>0.1328307282790816</v>
      </c>
      <c r="AG125" s="234">
        <f>IFERROR(_xlfn.XLOOKUP($D125,'Modelling New'!$D:$D,'Modelling New'!AE:AE),"")</f>
        <v>0.995</v>
      </c>
      <c r="AH125" s="234">
        <v>0.99750000000000005</v>
      </c>
      <c r="AI125" s="6"/>
      <c r="AJ125" s="6"/>
      <c r="AK125" s="6"/>
      <c r="AL125" s="6"/>
      <c r="AM125" s="6"/>
      <c r="AN125" s="231"/>
      <c r="AO125" s="234"/>
      <c r="AP125" s="234"/>
      <c r="AQ125" s="234"/>
      <c r="AR125" s="227">
        <f>IFERROR(_xlfn.XLOOKUP($D125,'Modelling New'!$D:$D,'Modelling New'!$N:$N),"")</f>
        <v>24.303100000000001</v>
      </c>
      <c r="AS125" s="227"/>
    </row>
    <row r="126" spans="1:45" x14ac:dyDescent="0.35">
      <c r="A126" s="226">
        <f t="shared" si="9"/>
        <v>45869</v>
      </c>
      <c r="B126" s="227">
        <f>YEAR(Daily_KPI[[#This Row],[Date]])+IF(MONTH(Daily_KPI[[#This Row],[Date]])&gt;=4,1,0)</f>
        <v>2026</v>
      </c>
      <c r="C126" s="6">
        <f>YEAR(Daily_KPI[[#This Row],[Date]])</f>
        <v>2025</v>
      </c>
      <c r="D126" s="228">
        <f>Daily_KPI[[#This Row],[Date]]-DAY(Daily_KPI[[#This Row],[Date]])+1</f>
        <v>45839</v>
      </c>
      <c r="E126" s="6">
        <f t="shared" si="11"/>
        <v>31</v>
      </c>
      <c r="F126" s="229">
        <f>IFERROR(_xlfn.XLOOKUP($A126,'Raw Data'!$A:$A,'Raw Data'!$BR:$BR),"")</f>
        <v>12.299999999999999</v>
      </c>
      <c r="G126" s="230">
        <f>IFERROR(_xlfn.XLOOKUP($A126,'Raw Data'!$A:$A,'Raw Data'!$AO:$AO),"")</f>
        <v>0</v>
      </c>
      <c r="H126" s="230"/>
      <c r="I126" s="230">
        <f>IFERROR(_xlfn.XLOOKUP($A126,'Raw Data'!$A:$A,'Raw Data'!$AR:$AR),"")</f>
        <v>4.4884136738056011</v>
      </c>
      <c r="J126" s="230"/>
      <c r="K126" s="230">
        <f>IFERROR(_xlfn.XLOOKUP($A126,'Raw Data'!$A:$A,'Raw Data'!$AV:$AV),"")</f>
        <v>0</v>
      </c>
      <c r="L126" s="230">
        <f>IFERROR(_xlfn.XLOOKUP($A126,'Raw Data'!$A:$A,'Raw Data'!$AW:$AW),"")</f>
        <v>0</v>
      </c>
      <c r="M126" s="230">
        <f>IFERROR(_xlfn.XLOOKUP($A126,'Raw Data'!$A:$A,'Raw Data'!$AX:$AX),"")</f>
        <v>0</v>
      </c>
      <c r="N126" s="230">
        <f>IFERROR(_xlfn.XLOOKUP($A126,'Raw Data'!$A:$A,'Raw Data'!$AY:$AY),"")</f>
        <v>0</v>
      </c>
      <c r="O126" s="231">
        <f>IFERROR(1-(SUMIF('Plant BD'!$B:$B,A126,'Plant BD'!$AE:$AE)/(AA126+SUMIF('Plant BD'!$B:$B,A126,'Plant BD'!$AE:$AE))),"")</f>
        <v>0.99937335518893367</v>
      </c>
      <c r="P126" s="231"/>
      <c r="Q126" s="232"/>
      <c r="R126" s="231">
        <f>IFERROR(1-(SUMIF('Grid BD'!$B:$B,$A126,'Grid BD'!$AD:$AD)/($AA126+SUMIF('Grid BD'!$B:$B,$A126,'Grid BD'!AD:AD))),"")</f>
        <v>1</v>
      </c>
      <c r="S126" s="6"/>
      <c r="T126" s="232"/>
      <c r="U126" s="233">
        <f t="shared" si="8"/>
        <v>0.80691685503831723</v>
      </c>
      <c r="V126" s="233"/>
      <c r="W126" s="234">
        <f t="shared" si="10"/>
        <v>0.1509073602407581</v>
      </c>
      <c r="X126" s="227">
        <f>IFERROR(_xlfn.XLOOKUP($A126,'Raw Data'!$A:$A,'Raw Data'!$BA:$BA),"")</f>
        <v>89033.1</v>
      </c>
      <c r="Y126" s="227">
        <f>IFERROR(_xlfn.XLOOKUP($A126,'Raw Data'!$A:$A,'Raw Data'!BJ:BJ),"")</f>
        <v>89084.200000012061</v>
      </c>
      <c r="Z126" s="227">
        <f>IFERROR(_xlfn.XLOOKUP($A126,'Raw Data'!$A:$A,'Raw Data'!BK:BK),"")</f>
        <v>1063.8000000000147</v>
      </c>
      <c r="AA126" s="227">
        <f>IFERROR(_xlfn.XLOOKUP($A126,'Raw Data'!$A:$A,'Raw Data'!BL:BL),"")</f>
        <v>88020.400000012043</v>
      </c>
      <c r="AB126" s="227">
        <f>IFERROR(_xlfn.XLOOKUP($A126,'Raw Data'!$A:$A,'Raw Data'!$H:$H),"")</f>
        <v>24.303100000000001</v>
      </c>
      <c r="AC126" s="145">
        <f>IFERROR(_xlfn.XLOOKUP($D126,'Modelling New'!$D:$D,'Modelling New'!$P:$P),"")</f>
        <v>4.4064516129032256</v>
      </c>
      <c r="AD126" s="227">
        <f>IFERROR(_xlfn.XLOOKUP($D126,'Modelling New'!$D:$D,'Modelling New'!$T:$T)*1000,"")</f>
        <v>77476.763338544362</v>
      </c>
      <c r="AE126" s="234">
        <f>IFERROR(_xlfn.XLOOKUP($D126,'Modelling New'!$D:$D,'Modelling New'!$O:$O),"")</f>
        <v>0.72347043806469047</v>
      </c>
      <c r="AF126" s="234">
        <f>IFERROR(_xlfn.XLOOKUP($D126,'Modelling New'!$D:$D,'Modelling New'!$W:$W),"")</f>
        <v>0.1328307282790816</v>
      </c>
      <c r="AG126" s="234">
        <f>IFERROR(_xlfn.XLOOKUP($D126,'Modelling New'!$D:$D,'Modelling New'!AE:AE),"")</f>
        <v>0.995</v>
      </c>
      <c r="AH126" s="234">
        <v>0.99750000000000005</v>
      </c>
      <c r="AI126" s="6"/>
      <c r="AJ126" s="6"/>
      <c r="AK126" s="6"/>
      <c r="AL126" s="6"/>
      <c r="AM126" s="6"/>
      <c r="AN126" s="231"/>
      <c r="AO126" s="234"/>
      <c r="AP126" s="234"/>
      <c r="AQ126" s="234"/>
      <c r="AR126" s="227">
        <f>IFERROR(_xlfn.XLOOKUP($D126,'Modelling New'!$D:$D,'Modelling New'!$N:$N),"")</f>
        <v>24.303100000000001</v>
      </c>
      <c r="AS126" s="227"/>
    </row>
    <row r="127" spans="1:45" x14ac:dyDescent="0.35">
      <c r="A127" s="226">
        <f t="shared" si="9"/>
        <v>45870</v>
      </c>
      <c r="B127" s="227">
        <f>YEAR(Daily_KPI[[#This Row],[Date]])+IF(MONTH(Daily_KPI[[#This Row],[Date]])&gt;=4,1,0)</f>
        <v>2026</v>
      </c>
      <c r="C127" s="6">
        <f>YEAR(Daily_KPI[[#This Row],[Date]])</f>
        <v>2025</v>
      </c>
      <c r="D127" s="228">
        <f>Daily_KPI[[#This Row],[Date]]-DAY(Daily_KPI[[#This Row],[Date]])+1</f>
        <v>45870</v>
      </c>
      <c r="E127" s="6">
        <f t="shared" si="11"/>
        <v>31</v>
      </c>
      <c r="F127" s="229">
        <f>IFERROR(_xlfn.XLOOKUP($A127,'Raw Data'!$A:$A,'Raw Data'!$BR:$BR),"")</f>
        <v>12.316666666666668</v>
      </c>
      <c r="G127" s="230">
        <f>IFERROR(_xlfn.XLOOKUP($A127,'Raw Data'!$A:$A,'Raw Data'!$AO:$AO),"")</f>
        <v>0</v>
      </c>
      <c r="H127" s="230"/>
      <c r="I127" s="230">
        <f>IFERROR(_xlfn.XLOOKUP($A127,'Raw Data'!$A:$A,'Raw Data'!$AR:$AR),"")</f>
        <v>5.1893270181219115</v>
      </c>
      <c r="J127" s="230"/>
      <c r="K127" s="230">
        <f>IFERROR(_xlfn.XLOOKUP($A127,'Raw Data'!$A:$A,'Raw Data'!$AV:$AV),"")</f>
        <v>0</v>
      </c>
      <c r="L127" s="230">
        <f>IFERROR(_xlfn.XLOOKUP($A127,'Raw Data'!$A:$A,'Raw Data'!$AW:$AW),"")</f>
        <v>0</v>
      </c>
      <c r="M127" s="230">
        <f>IFERROR(_xlfn.XLOOKUP($A127,'Raw Data'!$A:$A,'Raw Data'!$AX:$AX),"")</f>
        <v>0</v>
      </c>
      <c r="N127" s="230">
        <f>IFERROR(_xlfn.XLOOKUP($A127,'Raw Data'!$A:$A,'Raw Data'!$AY:$AY),"")</f>
        <v>0</v>
      </c>
      <c r="O127" s="231">
        <f>IFERROR(1-(SUMIF('Plant BD'!$B:$B,A127,'Plant BD'!$AE:$AE)/(AA127+SUMIF('Plant BD'!$B:$B,A127,'Plant BD'!$AE:$AE))),"")</f>
        <v>1</v>
      </c>
      <c r="P127" s="231"/>
      <c r="Q127" s="232"/>
      <c r="R127" s="231">
        <f>IFERROR(1-(SUMIF('Grid BD'!$B:$B,$A127,'Grid BD'!$AD:$AD)/($AA127+SUMIF('Grid BD'!$B:$B,$A127,'Grid BD'!AD:AD))),"")</f>
        <v>1</v>
      </c>
      <c r="S127" s="6"/>
      <c r="T127" s="232"/>
      <c r="U127" s="233">
        <f t="shared" ref="U127:U145" si="12">IFERROR(AA127/I127/AB127/1000,"")</f>
        <v>0.80137581454840356</v>
      </c>
      <c r="V127" s="233"/>
      <c r="W127" s="234">
        <f t="shared" si="10"/>
        <v>0.17327504858772852</v>
      </c>
      <c r="X127" s="227">
        <f>IFERROR(_xlfn.XLOOKUP($A127,'Raw Data'!$A:$A,'Raw Data'!$BA:$BA),"")</f>
        <v>102182.6</v>
      </c>
      <c r="Y127" s="227">
        <f>IFERROR(_xlfn.XLOOKUP($A127,'Raw Data'!$A:$A,'Raw Data'!BJ:BJ),"")</f>
        <v>101834.09999997821</v>
      </c>
      <c r="Z127" s="227">
        <f>IFERROR(_xlfn.XLOOKUP($A127,'Raw Data'!$A:$A,'Raw Data'!BK:BK),"")</f>
        <v>767.20000000000255</v>
      </c>
      <c r="AA127" s="227">
        <f>IFERROR(_xlfn.XLOOKUP($A127,'Raw Data'!$A:$A,'Raw Data'!BL:BL),"")</f>
        <v>101066.89999997821</v>
      </c>
      <c r="AB127" s="227">
        <f>IFERROR(_xlfn.XLOOKUP($A127,'Raw Data'!$A:$A,'Raw Data'!$H:$H),"")</f>
        <v>24.303100000000001</v>
      </c>
      <c r="AC127" s="145">
        <f>IFERROR(_xlfn.XLOOKUP($D127,'Modelling New'!$D:$D,'Modelling New'!$P:$P),"")</f>
        <v>4.1741935483870973</v>
      </c>
      <c r="AD127" s="227">
        <f>IFERROR(_xlfn.XLOOKUP($D127,'Modelling New'!$D:$D,'Modelling New'!$T:$T)*1000,"")</f>
        <v>78067.213188687994</v>
      </c>
      <c r="AE127" s="234">
        <f>IFERROR(_xlfn.XLOOKUP($D127,'Modelling New'!$D:$D,'Modelling New'!$O:$O),"")</f>
        <v>0.76954570740685357</v>
      </c>
      <c r="AF127" s="234">
        <f>IFERROR(_xlfn.XLOOKUP($D127,'Modelling New'!$D:$D,'Modelling New'!$W:$W),"")</f>
        <v>0.13384303029361139</v>
      </c>
      <c r="AG127" s="234">
        <f>IFERROR(_xlfn.XLOOKUP($D127,'Modelling New'!$D:$D,'Modelling New'!AE:AE),"")</f>
        <v>0.995</v>
      </c>
      <c r="AH127" s="234">
        <v>0.99750000000000005</v>
      </c>
      <c r="AI127" s="6"/>
      <c r="AJ127" s="6"/>
      <c r="AK127" s="6"/>
      <c r="AL127" s="6"/>
      <c r="AM127" s="6"/>
      <c r="AN127" s="231"/>
      <c r="AO127" s="234"/>
      <c r="AP127" s="234"/>
      <c r="AQ127" s="234"/>
      <c r="AR127" s="227">
        <f>IFERROR(_xlfn.XLOOKUP($D127,'Modelling New'!$D:$D,'Modelling New'!$N:$N),"")</f>
        <v>24.303100000000001</v>
      </c>
      <c r="AS127" s="227"/>
    </row>
    <row r="128" spans="1:45" x14ac:dyDescent="0.35">
      <c r="A128" s="226">
        <f t="shared" si="9"/>
        <v>45871</v>
      </c>
      <c r="B128" s="227">
        <f>YEAR(Daily_KPI[[#This Row],[Date]])+IF(MONTH(Daily_KPI[[#This Row],[Date]])&gt;=4,1,0)</f>
        <v>2026</v>
      </c>
      <c r="C128" s="6">
        <f>YEAR(Daily_KPI[[#This Row],[Date]])</f>
        <v>2025</v>
      </c>
      <c r="D128" s="228">
        <f>Daily_KPI[[#This Row],[Date]]-DAY(Daily_KPI[[#This Row],[Date]])+1</f>
        <v>45870</v>
      </c>
      <c r="E128" s="6">
        <f t="shared" si="11"/>
        <v>31</v>
      </c>
      <c r="F128" s="229">
        <f>IFERROR(_xlfn.XLOOKUP($A128,'Raw Data'!$A:$A,'Raw Data'!$BR:$BR),"")</f>
        <v>12.433333333333332</v>
      </c>
      <c r="G128" s="230">
        <f>IFERROR(_xlfn.XLOOKUP($A128,'Raw Data'!$A:$A,'Raw Data'!$AO:$AO),"")</f>
        <v>0</v>
      </c>
      <c r="H128" s="230"/>
      <c r="I128" s="230">
        <f>IFERROR(_xlfn.XLOOKUP($A128,'Raw Data'!$A:$A,'Raw Data'!$AR:$AR),"")</f>
        <v>5.4087483113673809</v>
      </c>
      <c r="J128" s="230"/>
      <c r="K128" s="230">
        <f>IFERROR(_xlfn.XLOOKUP($A128,'Raw Data'!$A:$A,'Raw Data'!$AV:$AV),"")</f>
        <v>0</v>
      </c>
      <c r="L128" s="230">
        <f>IFERROR(_xlfn.XLOOKUP($A128,'Raw Data'!$A:$A,'Raw Data'!$AW:$AW),"")</f>
        <v>0</v>
      </c>
      <c r="M128" s="230">
        <f>IFERROR(_xlfn.XLOOKUP($A128,'Raw Data'!$A:$A,'Raw Data'!$AX:$AX),"")</f>
        <v>0</v>
      </c>
      <c r="N128" s="230">
        <f>IFERROR(_xlfn.XLOOKUP($A128,'Raw Data'!$A:$A,'Raw Data'!$AY:$AY),"")</f>
        <v>0</v>
      </c>
      <c r="O128" s="231">
        <f>IFERROR(1-(SUMIF('Plant BD'!$B:$B,A128,'Plant BD'!$AE:$AE)/(AA128+SUMIF('Plant BD'!$B:$B,A128,'Plant BD'!$AE:$AE))),"")</f>
        <v>0.96861707293810595</v>
      </c>
      <c r="P128" s="231"/>
      <c r="Q128" s="232"/>
      <c r="R128" s="231">
        <f>IFERROR(1-(SUMIF('Grid BD'!$B:$B,$A128,'Grid BD'!$AD:$AD)/($AA128+SUMIF('Grid BD'!$B:$B,$A128,'Grid BD'!AD:AD))),"")</f>
        <v>1</v>
      </c>
      <c r="S128" s="6"/>
      <c r="T128" s="232"/>
      <c r="U128" s="233">
        <f t="shared" si="12"/>
        <v>0.7875352684875373</v>
      </c>
      <c r="V128" s="233"/>
      <c r="W128" s="234">
        <f t="shared" si="10"/>
        <v>0.17748250223225934</v>
      </c>
      <c r="X128" s="227">
        <f>IFERROR(_xlfn.XLOOKUP($A128,'Raw Data'!$A:$A,'Raw Data'!$BA:$BA),"")</f>
        <v>104924.2</v>
      </c>
      <c r="Y128" s="227">
        <f>IFERROR(_xlfn.XLOOKUP($A128,'Raw Data'!$A:$A,'Raw Data'!BJ:BJ),"")</f>
        <v>104403.60000001965</v>
      </c>
      <c r="Z128" s="227">
        <f>IFERROR(_xlfn.XLOOKUP($A128,'Raw Data'!$A:$A,'Raw Data'!BK:BK),"")</f>
        <v>882.59999999991123</v>
      </c>
      <c r="AA128" s="227">
        <f>IFERROR(_xlfn.XLOOKUP($A128,'Raw Data'!$A:$A,'Raw Data'!BL:BL),"")</f>
        <v>103521.00000001973</v>
      </c>
      <c r="AB128" s="227">
        <f>IFERROR(_xlfn.XLOOKUP($A128,'Raw Data'!$A:$A,'Raw Data'!$H:$H),"")</f>
        <v>24.303100000000001</v>
      </c>
      <c r="AC128" s="145">
        <f>IFERROR(_xlfn.XLOOKUP($D128,'Modelling New'!$D:$D,'Modelling New'!$P:$P),"")</f>
        <v>4.1741935483870973</v>
      </c>
      <c r="AD128" s="227">
        <f>IFERROR(_xlfn.XLOOKUP($D128,'Modelling New'!$D:$D,'Modelling New'!$T:$T)*1000,"")</f>
        <v>78067.213188687994</v>
      </c>
      <c r="AE128" s="234">
        <f>IFERROR(_xlfn.XLOOKUP($D128,'Modelling New'!$D:$D,'Modelling New'!$O:$O),"")</f>
        <v>0.76954570740685357</v>
      </c>
      <c r="AF128" s="234">
        <f>IFERROR(_xlfn.XLOOKUP($D128,'Modelling New'!$D:$D,'Modelling New'!$W:$W),"")</f>
        <v>0.13384303029361139</v>
      </c>
      <c r="AG128" s="234">
        <f>IFERROR(_xlfn.XLOOKUP($D128,'Modelling New'!$D:$D,'Modelling New'!AE:AE),"")</f>
        <v>0.995</v>
      </c>
      <c r="AH128" s="234">
        <v>0.99750000000000005</v>
      </c>
      <c r="AI128" s="6"/>
      <c r="AJ128" s="6"/>
      <c r="AK128" s="6"/>
      <c r="AL128" s="6"/>
      <c r="AM128" s="6"/>
      <c r="AN128" s="231"/>
      <c r="AO128" s="234"/>
      <c r="AP128" s="234"/>
      <c r="AQ128" s="234"/>
      <c r="AR128" s="227">
        <f>IFERROR(_xlfn.XLOOKUP($D128,'Modelling New'!$D:$D,'Modelling New'!$N:$N),"")</f>
        <v>24.303100000000001</v>
      </c>
      <c r="AS128" s="227"/>
    </row>
    <row r="129" spans="1:45" x14ac:dyDescent="0.35">
      <c r="A129" s="226">
        <f t="shared" si="9"/>
        <v>45872</v>
      </c>
      <c r="B129" s="227">
        <f>YEAR(Daily_KPI[[#This Row],[Date]])+IF(MONTH(Daily_KPI[[#This Row],[Date]])&gt;=4,1,0)</f>
        <v>2026</v>
      </c>
      <c r="C129" s="6">
        <f>YEAR(Daily_KPI[[#This Row],[Date]])</f>
        <v>2025</v>
      </c>
      <c r="D129" s="228">
        <f>Daily_KPI[[#This Row],[Date]]-DAY(Daily_KPI[[#This Row],[Date]])+1</f>
        <v>45870</v>
      </c>
      <c r="E129" s="6">
        <f t="shared" si="11"/>
        <v>31</v>
      </c>
      <c r="F129" s="229">
        <f>IFERROR(_xlfn.XLOOKUP($A129,'Raw Data'!$A:$A,'Raw Data'!$BR:$BR),"")</f>
        <v>12.250000000000002</v>
      </c>
      <c r="G129" s="230">
        <f>IFERROR(_xlfn.XLOOKUP($A129,'Raw Data'!$A:$A,'Raw Data'!$AO:$AO),"")</f>
        <v>0</v>
      </c>
      <c r="H129" s="230"/>
      <c r="I129" s="230">
        <f>IFERROR(_xlfn.XLOOKUP($A129,'Raw Data'!$A:$A,'Raw Data'!$AR:$AR),"")</f>
        <v>5.0995756589785826</v>
      </c>
      <c r="J129" s="230"/>
      <c r="K129" s="230">
        <f>IFERROR(_xlfn.XLOOKUP($A129,'Raw Data'!$A:$A,'Raw Data'!$AV:$AV),"")</f>
        <v>0</v>
      </c>
      <c r="L129" s="230">
        <f>IFERROR(_xlfn.XLOOKUP($A129,'Raw Data'!$A:$A,'Raw Data'!$AW:$AW),"")</f>
        <v>0</v>
      </c>
      <c r="M129" s="230">
        <f>IFERROR(_xlfn.XLOOKUP($A129,'Raw Data'!$A:$A,'Raw Data'!$AX:$AX),"")</f>
        <v>0</v>
      </c>
      <c r="N129" s="230">
        <f>IFERROR(_xlfn.XLOOKUP($A129,'Raw Data'!$A:$A,'Raw Data'!$AY:$AY),"")</f>
        <v>0</v>
      </c>
      <c r="O129" s="231">
        <f>IFERROR(1-(SUMIF('Plant BD'!$B:$B,A129,'Plant BD'!$AE:$AE)/(AA129+SUMIF('Plant BD'!$B:$B,A129,'Plant BD'!$AE:$AE))),"")</f>
        <v>1</v>
      </c>
      <c r="P129" s="231"/>
      <c r="Q129" s="232"/>
      <c r="R129" s="231">
        <f>IFERROR(1-(SUMIF('Grid BD'!$B:$B,$A129,'Grid BD'!$AD:$AD)/($AA129+SUMIF('Grid BD'!$B:$B,$A129,'Grid BD'!AD:AD))),"")</f>
        <v>1</v>
      </c>
      <c r="S129" s="6"/>
      <c r="T129" s="232"/>
      <c r="U129" s="233">
        <f t="shared" si="12"/>
        <v>0.79581235586304322</v>
      </c>
      <c r="V129" s="233"/>
      <c r="W129" s="234">
        <f t="shared" si="10"/>
        <v>0.16909605496139907</v>
      </c>
      <c r="X129" s="227">
        <f>IFERROR(_xlfn.XLOOKUP($A129,'Raw Data'!$A:$A,'Raw Data'!$BA:$BA),"")</f>
        <v>99677.200000000012</v>
      </c>
      <c r="Y129" s="227">
        <f>IFERROR(_xlfn.XLOOKUP($A129,'Raw Data'!$A:$A,'Raw Data'!BJ:BJ),"")</f>
        <v>99330.399999977089</v>
      </c>
      <c r="Z129" s="227">
        <f>IFERROR(_xlfn.XLOOKUP($A129,'Raw Data'!$A:$A,'Raw Data'!BK:BK),"")</f>
        <v>701.00000000002183</v>
      </c>
      <c r="AA129" s="227">
        <f>IFERROR(_xlfn.XLOOKUP($A129,'Raw Data'!$A:$A,'Raw Data'!BL:BL),"")</f>
        <v>98629.39999997706</v>
      </c>
      <c r="AB129" s="227">
        <f>IFERROR(_xlfn.XLOOKUP($A129,'Raw Data'!$A:$A,'Raw Data'!$H:$H),"")</f>
        <v>24.303100000000001</v>
      </c>
      <c r="AC129" s="145">
        <f>IFERROR(_xlfn.XLOOKUP($D129,'Modelling New'!$D:$D,'Modelling New'!$P:$P),"")</f>
        <v>4.1741935483870973</v>
      </c>
      <c r="AD129" s="227">
        <f>IFERROR(_xlfn.XLOOKUP($D129,'Modelling New'!$D:$D,'Modelling New'!$T:$T)*1000,"")</f>
        <v>78067.213188687994</v>
      </c>
      <c r="AE129" s="234">
        <f>IFERROR(_xlfn.XLOOKUP($D129,'Modelling New'!$D:$D,'Modelling New'!$O:$O),"")</f>
        <v>0.76954570740685357</v>
      </c>
      <c r="AF129" s="234">
        <f>IFERROR(_xlfn.XLOOKUP($D129,'Modelling New'!$D:$D,'Modelling New'!$W:$W),"")</f>
        <v>0.13384303029361139</v>
      </c>
      <c r="AG129" s="234">
        <f>IFERROR(_xlfn.XLOOKUP($D129,'Modelling New'!$D:$D,'Modelling New'!AE:AE),"")</f>
        <v>0.995</v>
      </c>
      <c r="AH129" s="234">
        <v>0.99750000000000005</v>
      </c>
      <c r="AI129" s="6"/>
      <c r="AJ129" s="6"/>
      <c r="AK129" s="6"/>
      <c r="AL129" s="6"/>
      <c r="AM129" s="6"/>
      <c r="AN129" s="231"/>
      <c r="AO129" s="234"/>
      <c r="AP129" s="234"/>
      <c r="AQ129" s="234"/>
      <c r="AR129" s="227">
        <f>IFERROR(_xlfn.XLOOKUP($D129,'Modelling New'!$D:$D,'Modelling New'!$N:$N),"")</f>
        <v>24.303100000000001</v>
      </c>
      <c r="AS129" s="227"/>
    </row>
    <row r="130" spans="1:45" x14ac:dyDescent="0.35">
      <c r="A130" s="226">
        <f t="shared" si="9"/>
        <v>45873</v>
      </c>
      <c r="B130" s="227">
        <f>YEAR(Daily_KPI[[#This Row],[Date]])+IF(MONTH(Daily_KPI[[#This Row],[Date]])&gt;=4,1,0)</f>
        <v>2026</v>
      </c>
      <c r="C130" s="6">
        <f>YEAR(Daily_KPI[[#This Row],[Date]])</f>
        <v>2025</v>
      </c>
      <c r="D130" s="228">
        <f>Daily_KPI[[#This Row],[Date]]-DAY(Daily_KPI[[#This Row],[Date]])+1</f>
        <v>45870</v>
      </c>
      <c r="E130" s="6">
        <f t="shared" si="11"/>
        <v>31</v>
      </c>
      <c r="F130" s="229">
        <f>IFERROR(_xlfn.XLOOKUP($A130,'Raw Data'!$A:$A,'Raw Data'!$BR:$BR),"")</f>
        <v>0</v>
      </c>
      <c r="G130" s="230">
        <f>IFERROR(_xlfn.XLOOKUP($A130,'Raw Data'!$A:$A,'Raw Data'!$AO:$AO),"")</f>
        <v>0</v>
      </c>
      <c r="H130" s="230"/>
      <c r="I130" s="230">
        <f>IFERROR(_xlfn.XLOOKUP($A130,'Raw Data'!$A:$A,'Raw Data'!$AR:$AR),"")</f>
        <v>0</v>
      </c>
      <c r="J130" s="230"/>
      <c r="K130" s="230">
        <f>IFERROR(_xlfn.XLOOKUP($A130,'Raw Data'!$A:$A,'Raw Data'!$AV:$AV),"")</f>
        <v>0</v>
      </c>
      <c r="L130" s="230">
        <f>IFERROR(_xlfn.XLOOKUP($A130,'Raw Data'!$A:$A,'Raw Data'!$AW:$AW),"")</f>
        <v>0</v>
      </c>
      <c r="M130" s="230">
        <f>IFERROR(_xlfn.XLOOKUP($A130,'Raw Data'!$A:$A,'Raw Data'!$AX:$AX),"")</f>
        <v>0</v>
      </c>
      <c r="N130" s="230">
        <f>IFERROR(_xlfn.XLOOKUP($A130,'Raw Data'!$A:$A,'Raw Data'!$AY:$AY),"")</f>
        <v>0</v>
      </c>
      <c r="O130" s="231" t="str">
        <f>IFERROR(1-(SUMIF('Plant BD'!$B:$B,A130,'Plant BD'!$AE:$AE)/(AA130+SUMIF('Plant BD'!$B:$B,A130,'Plant BD'!$AE:$AE))),"")</f>
        <v/>
      </c>
      <c r="P130" s="231"/>
      <c r="Q130" s="232"/>
      <c r="R130" s="231" t="str">
        <f>IFERROR(1-(SUMIF('Grid BD'!$B:$B,$A130,'Grid BD'!$AD:$AD)/($AA130+SUMIF('Grid BD'!$B:$B,$A130,'Grid BD'!AD:AD))),"")</f>
        <v/>
      </c>
      <c r="S130" s="6"/>
      <c r="T130" s="232"/>
      <c r="U130" s="233" t="str">
        <f t="shared" si="12"/>
        <v/>
      </c>
      <c r="V130" s="233"/>
      <c r="W130" s="234">
        <f t="shared" si="10"/>
        <v>0</v>
      </c>
      <c r="X130" s="227">
        <f>IFERROR(_xlfn.XLOOKUP($A130,'Raw Data'!$A:$A,'Raw Data'!$BA:$BA),"")</f>
        <v>0</v>
      </c>
      <c r="Y130" s="227">
        <f>IFERROR(_xlfn.XLOOKUP($A130,'Raw Data'!$A:$A,'Raw Data'!BJ:BJ),"")</f>
        <v>0</v>
      </c>
      <c r="Z130" s="227">
        <f>IFERROR(_xlfn.XLOOKUP($A130,'Raw Data'!$A:$A,'Raw Data'!BK:BK),"")</f>
        <v>0</v>
      </c>
      <c r="AA130" s="227">
        <f>IFERROR(_xlfn.XLOOKUP($A130,'Raw Data'!$A:$A,'Raw Data'!BL:BL),"")</f>
        <v>0</v>
      </c>
      <c r="AB130" s="227">
        <f>IFERROR(_xlfn.XLOOKUP($A130,'Raw Data'!$A:$A,'Raw Data'!$H:$H),"")</f>
        <v>24.303100000000001</v>
      </c>
      <c r="AC130" s="145">
        <f>IFERROR(_xlfn.XLOOKUP($D130,'Modelling New'!$D:$D,'Modelling New'!$P:$P),"")</f>
        <v>4.1741935483870973</v>
      </c>
      <c r="AD130" s="227">
        <f>IFERROR(_xlfn.XLOOKUP($D130,'Modelling New'!$D:$D,'Modelling New'!$T:$T)*1000,"")</f>
        <v>78067.213188687994</v>
      </c>
      <c r="AE130" s="234">
        <f>IFERROR(_xlfn.XLOOKUP($D130,'Modelling New'!$D:$D,'Modelling New'!$O:$O),"")</f>
        <v>0.76954570740685357</v>
      </c>
      <c r="AF130" s="234">
        <f>IFERROR(_xlfn.XLOOKUP($D130,'Modelling New'!$D:$D,'Modelling New'!$W:$W),"")</f>
        <v>0.13384303029361139</v>
      </c>
      <c r="AG130" s="234">
        <f>IFERROR(_xlfn.XLOOKUP($D130,'Modelling New'!$D:$D,'Modelling New'!AE:AE),"")</f>
        <v>0.995</v>
      </c>
      <c r="AH130" s="234">
        <v>0.99750000000000005</v>
      </c>
      <c r="AI130" s="6"/>
      <c r="AJ130" s="6"/>
      <c r="AK130" s="6"/>
      <c r="AL130" s="6"/>
      <c r="AM130" s="6"/>
      <c r="AN130" s="231"/>
      <c r="AO130" s="234"/>
      <c r="AP130" s="234"/>
      <c r="AQ130" s="234"/>
      <c r="AR130" s="227">
        <f>IFERROR(_xlfn.XLOOKUP($D130,'Modelling New'!$D:$D,'Modelling New'!$N:$N),"")</f>
        <v>24.303100000000001</v>
      </c>
      <c r="AS130" s="227"/>
    </row>
    <row r="131" spans="1:45" x14ac:dyDescent="0.35">
      <c r="A131" s="226">
        <f t="shared" si="9"/>
        <v>45874</v>
      </c>
      <c r="B131" s="227">
        <f>YEAR(Daily_KPI[[#This Row],[Date]])+IF(MONTH(Daily_KPI[[#This Row],[Date]])&gt;=4,1,0)</f>
        <v>2026</v>
      </c>
      <c r="C131" s="6">
        <f>YEAR(Daily_KPI[[#This Row],[Date]])</f>
        <v>2025</v>
      </c>
      <c r="D131" s="228">
        <f>Daily_KPI[[#This Row],[Date]]-DAY(Daily_KPI[[#This Row],[Date]])+1</f>
        <v>45870</v>
      </c>
      <c r="E131" s="6">
        <f t="shared" si="11"/>
        <v>31</v>
      </c>
      <c r="F131" s="229">
        <f>IFERROR(_xlfn.XLOOKUP($A131,'Raw Data'!$A:$A,'Raw Data'!$BR:$BR),"")</f>
        <v>0</v>
      </c>
      <c r="G131" s="230">
        <f>IFERROR(_xlfn.XLOOKUP($A131,'Raw Data'!$A:$A,'Raw Data'!$AO:$AO),"")</f>
        <v>0</v>
      </c>
      <c r="H131" s="230"/>
      <c r="I131" s="230">
        <f>IFERROR(_xlfn.XLOOKUP($A131,'Raw Data'!$A:$A,'Raw Data'!$AR:$AR),"")</f>
        <v>0</v>
      </c>
      <c r="J131" s="230"/>
      <c r="K131" s="230">
        <f>IFERROR(_xlfn.XLOOKUP($A131,'Raw Data'!$A:$A,'Raw Data'!$AV:$AV),"")</f>
        <v>0</v>
      </c>
      <c r="L131" s="230">
        <f>IFERROR(_xlfn.XLOOKUP($A131,'Raw Data'!$A:$A,'Raw Data'!$AW:$AW),"")</f>
        <v>0</v>
      </c>
      <c r="M131" s="230">
        <f>IFERROR(_xlfn.XLOOKUP($A131,'Raw Data'!$A:$A,'Raw Data'!$AX:$AX),"")</f>
        <v>0</v>
      </c>
      <c r="N131" s="230">
        <f>IFERROR(_xlfn.XLOOKUP($A131,'Raw Data'!$A:$A,'Raw Data'!$AY:$AY),"")</f>
        <v>0</v>
      </c>
      <c r="O131" s="231" t="str">
        <f>IFERROR(1-(SUMIF('Plant BD'!$B:$B,A131,'Plant BD'!$AE:$AE)/(AA131+SUMIF('Plant BD'!$B:$B,A131,'Plant BD'!$AE:$AE))),"")</f>
        <v/>
      </c>
      <c r="P131" s="231"/>
      <c r="Q131" s="232"/>
      <c r="R131" s="231" t="str">
        <f>IFERROR(1-(SUMIF('Grid BD'!$B:$B,$A131,'Grid BD'!$AD:$AD)/($AA131+SUMIF('Grid BD'!$B:$B,$A131,'Grid BD'!AD:AD))),"")</f>
        <v/>
      </c>
      <c r="S131" s="6"/>
      <c r="T131" s="232"/>
      <c r="U131" s="233" t="str">
        <f t="shared" si="12"/>
        <v/>
      </c>
      <c r="V131" s="233"/>
      <c r="W131" s="234">
        <f t="shared" si="10"/>
        <v>0</v>
      </c>
      <c r="X131" s="227">
        <f>IFERROR(_xlfn.XLOOKUP($A131,'Raw Data'!$A:$A,'Raw Data'!$BA:$BA),"")</f>
        <v>0</v>
      </c>
      <c r="Y131" s="227">
        <f>IFERROR(_xlfn.XLOOKUP($A131,'Raw Data'!$A:$A,'Raw Data'!BJ:BJ),"")</f>
        <v>0</v>
      </c>
      <c r="Z131" s="227">
        <f>IFERROR(_xlfn.XLOOKUP($A131,'Raw Data'!$A:$A,'Raw Data'!BK:BK),"")</f>
        <v>0</v>
      </c>
      <c r="AA131" s="227">
        <f>IFERROR(_xlfn.XLOOKUP($A131,'Raw Data'!$A:$A,'Raw Data'!BL:BL),"")</f>
        <v>0</v>
      </c>
      <c r="AB131" s="227">
        <f>IFERROR(_xlfn.XLOOKUP($A131,'Raw Data'!$A:$A,'Raw Data'!$H:$H),"")</f>
        <v>24.303100000000001</v>
      </c>
      <c r="AC131" s="145">
        <f>IFERROR(_xlfn.XLOOKUP($D131,'Modelling New'!$D:$D,'Modelling New'!$P:$P),"")</f>
        <v>4.1741935483870973</v>
      </c>
      <c r="AD131" s="227">
        <f>IFERROR(_xlfn.XLOOKUP($D131,'Modelling New'!$D:$D,'Modelling New'!$T:$T)*1000,"")</f>
        <v>78067.213188687994</v>
      </c>
      <c r="AE131" s="234">
        <f>IFERROR(_xlfn.XLOOKUP($D131,'Modelling New'!$D:$D,'Modelling New'!$O:$O),"")</f>
        <v>0.76954570740685357</v>
      </c>
      <c r="AF131" s="234">
        <f>IFERROR(_xlfn.XLOOKUP($D131,'Modelling New'!$D:$D,'Modelling New'!$W:$W),"")</f>
        <v>0.13384303029361139</v>
      </c>
      <c r="AG131" s="234">
        <f>IFERROR(_xlfn.XLOOKUP($D131,'Modelling New'!$D:$D,'Modelling New'!AE:AE),"")</f>
        <v>0.995</v>
      </c>
      <c r="AH131" s="234">
        <v>0.99750000000000005</v>
      </c>
      <c r="AI131" s="6"/>
      <c r="AJ131" s="6"/>
      <c r="AK131" s="6"/>
      <c r="AL131" s="6"/>
      <c r="AM131" s="6"/>
      <c r="AN131" s="231"/>
      <c r="AO131" s="234"/>
      <c r="AP131" s="234"/>
      <c r="AQ131" s="234"/>
      <c r="AR131" s="227">
        <f>IFERROR(_xlfn.XLOOKUP($D131,'Modelling New'!$D:$D,'Modelling New'!$N:$N),"")</f>
        <v>24.303100000000001</v>
      </c>
      <c r="AS131" s="227"/>
    </row>
    <row r="132" spans="1:45" x14ac:dyDescent="0.35">
      <c r="A132" s="226">
        <f t="shared" si="9"/>
        <v>45875</v>
      </c>
      <c r="B132" s="227">
        <f>YEAR(Daily_KPI[[#This Row],[Date]])+IF(MONTH(Daily_KPI[[#This Row],[Date]])&gt;=4,1,0)</f>
        <v>2026</v>
      </c>
      <c r="C132" s="6">
        <f>YEAR(Daily_KPI[[#This Row],[Date]])</f>
        <v>2025</v>
      </c>
      <c r="D132" s="228">
        <f>Daily_KPI[[#This Row],[Date]]-DAY(Daily_KPI[[#This Row],[Date]])+1</f>
        <v>45870</v>
      </c>
      <c r="E132" s="6">
        <f t="shared" si="11"/>
        <v>31</v>
      </c>
      <c r="F132" s="229">
        <f>IFERROR(_xlfn.XLOOKUP($A132,'Raw Data'!$A:$A,'Raw Data'!$BR:$BR),"")</f>
        <v>0</v>
      </c>
      <c r="G132" s="230">
        <f>IFERROR(_xlfn.XLOOKUP($A132,'Raw Data'!$A:$A,'Raw Data'!$AO:$AO),"")</f>
        <v>0</v>
      </c>
      <c r="H132" s="230"/>
      <c r="I132" s="230">
        <f>IFERROR(_xlfn.XLOOKUP($A132,'Raw Data'!$A:$A,'Raw Data'!$AR:$AR),"")</f>
        <v>0</v>
      </c>
      <c r="J132" s="230"/>
      <c r="K132" s="230">
        <f>IFERROR(_xlfn.XLOOKUP($A132,'Raw Data'!$A:$A,'Raw Data'!$AV:$AV),"")</f>
        <v>0</v>
      </c>
      <c r="L132" s="230">
        <f>IFERROR(_xlfn.XLOOKUP($A132,'Raw Data'!$A:$A,'Raw Data'!$AW:$AW),"")</f>
        <v>0</v>
      </c>
      <c r="M132" s="230">
        <f>IFERROR(_xlfn.XLOOKUP($A132,'Raw Data'!$A:$A,'Raw Data'!$AX:$AX),"")</f>
        <v>0</v>
      </c>
      <c r="N132" s="230">
        <f>IFERROR(_xlfn.XLOOKUP($A132,'Raw Data'!$A:$A,'Raw Data'!$AY:$AY),"")</f>
        <v>0</v>
      </c>
      <c r="O132" s="231" t="str">
        <f>IFERROR(1-(SUMIF('Plant BD'!$B:$B,A132,'Plant BD'!$AE:$AE)/(AA132+SUMIF('Plant BD'!$B:$B,A132,'Plant BD'!$AE:$AE))),"")</f>
        <v/>
      </c>
      <c r="P132" s="231"/>
      <c r="Q132" s="232"/>
      <c r="R132" s="231" t="str">
        <f>IFERROR(1-(SUMIF('Grid BD'!$B:$B,$A132,'Grid BD'!$AD:$AD)/($AA132+SUMIF('Grid BD'!$B:$B,$A132,'Grid BD'!AD:AD))),"")</f>
        <v/>
      </c>
      <c r="S132" s="6"/>
      <c r="T132" s="232"/>
      <c r="U132" s="233" t="str">
        <f t="shared" si="12"/>
        <v/>
      </c>
      <c r="V132" s="233"/>
      <c r="W132" s="234">
        <f t="shared" si="10"/>
        <v>0</v>
      </c>
      <c r="X132" s="227">
        <f>IFERROR(_xlfn.XLOOKUP($A132,'Raw Data'!$A:$A,'Raw Data'!$BA:$BA),"")</f>
        <v>0</v>
      </c>
      <c r="Y132" s="227">
        <f>IFERROR(_xlfn.XLOOKUP($A132,'Raw Data'!$A:$A,'Raw Data'!BJ:BJ),"")</f>
        <v>0</v>
      </c>
      <c r="Z132" s="227">
        <f>IFERROR(_xlfn.XLOOKUP($A132,'Raw Data'!$A:$A,'Raw Data'!BK:BK),"")</f>
        <v>0</v>
      </c>
      <c r="AA132" s="227">
        <f>IFERROR(_xlfn.XLOOKUP($A132,'Raw Data'!$A:$A,'Raw Data'!BL:BL),"")</f>
        <v>0</v>
      </c>
      <c r="AB132" s="227">
        <f>IFERROR(_xlfn.XLOOKUP($A132,'Raw Data'!$A:$A,'Raw Data'!$H:$H),"")</f>
        <v>24.303100000000001</v>
      </c>
      <c r="AC132" s="145">
        <f>IFERROR(_xlfn.XLOOKUP($D132,'Modelling New'!$D:$D,'Modelling New'!$P:$P),"")</f>
        <v>4.1741935483870973</v>
      </c>
      <c r="AD132" s="227">
        <f>IFERROR(_xlfn.XLOOKUP($D132,'Modelling New'!$D:$D,'Modelling New'!$T:$T)*1000,"")</f>
        <v>78067.213188687994</v>
      </c>
      <c r="AE132" s="234">
        <f>IFERROR(_xlfn.XLOOKUP($D132,'Modelling New'!$D:$D,'Modelling New'!$O:$O),"")</f>
        <v>0.76954570740685357</v>
      </c>
      <c r="AF132" s="234">
        <f>IFERROR(_xlfn.XLOOKUP($D132,'Modelling New'!$D:$D,'Modelling New'!$W:$W),"")</f>
        <v>0.13384303029361139</v>
      </c>
      <c r="AG132" s="234">
        <f>IFERROR(_xlfn.XLOOKUP($D132,'Modelling New'!$D:$D,'Modelling New'!AE:AE),"")</f>
        <v>0.995</v>
      </c>
      <c r="AH132" s="234">
        <v>0.99750000000000005</v>
      </c>
      <c r="AI132" s="6"/>
      <c r="AJ132" s="6"/>
      <c r="AK132" s="6"/>
      <c r="AL132" s="6"/>
      <c r="AM132" s="6"/>
      <c r="AN132" s="231"/>
      <c r="AO132" s="234"/>
      <c r="AP132" s="234"/>
      <c r="AQ132" s="234"/>
      <c r="AR132" s="227">
        <f>IFERROR(_xlfn.XLOOKUP($D132,'Modelling New'!$D:$D,'Modelling New'!$N:$N),"")</f>
        <v>24.303100000000001</v>
      </c>
      <c r="AS132" s="227"/>
    </row>
    <row r="133" spans="1:45" x14ac:dyDescent="0.35">
      <c r="A133" s="226">
        <f t="shared" si="9"/>
        <v>45876</v>
      </c>
      <c r="B133" s="227">
        <f>YEAR(Daily_KPI[[#This Row],[Date]])+IF(MONTH(Daily_KPI[[#This Row],[Date]])&gt;=4,1,0)</f>
        <v>2026</v>
      </c>
      <c r="C133" s="6">
        <f>YEAR(Daily_KPI[[#This Row],[Date]])</f>
        <v>2025</v>
      </c>
      <c r="D133" s="228">
        <f>Daily_KPI[[#This Row],[Date]]-DAY(Daily_KPI[[#This Row],[Date]])+1</f>
        <v>45870</v>
      </c>
      <c r="E133" s="6">
        <f t="shared" si="11"/>
        <v>31</v>
      </c>
      <c r="F133" s="229" t="str">
        <f>IFERROR(_xlfn.XLOOKUP($A133,'Raw Data'!$A:$A,'Raw Data'!$BR:$BR),"")</f>
        <v/>
      </c>
      <c r="G133" s="230" t="str">
        <f>IFERROR(_xlfn.XLOOKUP($A133,'Raw Data'!$A:$A,'Raw Data'!$AO:$AO),"")</f>
        <v/>
      </c>
      <c r="H133" s="230"/>
      <c r="I133" s="230" t="str">
        <f>IFERROR(_xlfn.XLOOKUP($A133,'Raw Data'!$A:$A,'Raw Data'!$AR:$AR),"")</f>
        <v/>
      </c>
      <c r="J133" s="230"/>
      <c r="K133" s="230" t="str">
        <f>IFERROR(_xlfn.XLOOKUP($A133,'Raw Data'!$A:$A,'Raw Data'!$AV:$AV),"")</f>
        <v/>
      </c>
      <c r="L133" s="230" t="str">
        <f>IFERROR(_xlfn.XLOOKUP($A133,'Raw Data'!$A:$A,'Raw Data'!$AW:$AW),"")</f>
        <v/>
      </c>
      <c r="M133" s="230" t="str">
        <f>IFERROR(_xlfn.XLOOKUP($A133,'Raw Data'!$A:$A,'Raw Data'!$AX:$AX),"")</f>
        <v/>
      </c>
      <c r="N133" s="230" t="str">
        <f>IFERROR(_xlfn.XLOOKUP($A133,'Raw Data'!$A:$A,'Raw Data'!$AY:$AY),"")</f>
        <v/>
      </c>
      <c r="O133" s="231" t="str">
        <f>IFERROR(1-(SUMIF('Plant BD'!$B:$B,A133,'Plant BD'!$AE:$AE)/(AA133+SUMIF('Plant BD'!$B:$B,A133,'Plant BD'!$AE:$AE))),"")</f>
        <v/>
      </c>
      <c r="P133" s="231"/>
      <c r="Q133" s="232"/>
      <c r="R133" s="231" t="str">
        <f>IFERROR(1-(SUMIF('Grid BD'!$B:$B,$A133,'Grid BD'!$AD:$AD)/($AA133+SUMIF('Grid BD'!$B:$B,$A133,'Grid BD'!AD:AD))),"")</f>
        <v/>
      </c>
      <c r="S133" s="6"/>
      <c r="T133" s="232"/>
      <c r="U133" s="233" t="str">
        <f t="shared" si="12"/>
        <v/>
      </c>
      <c r="V133" s="233"/>
      <c r="W133" s="234" t="str">
        <f t="shared" si="10"/>
        <v/>
      </c>
      <c r="X133" s="227" t="str">
        <f>IFERROR(_xlfn.XLOOKUP($A133,'Raw Data'!$A:$A,'Raw Data'!$BA:$BA),"")</f>
        <v/>
      </c>
      <c r="Y133" s="227" t="str">
        <f>IFERROR(_xlfn.XLOOKUP($A133,'Raw Data'!$A:$A,'Raw Data'!BJ:BJ),"")</f>
        <v/>
      </c>
      <c r="Z133" s="227" t="str">
        <f>IFERROR(_xlfn.XLOOKUP($A133,'Raw Data'!$A:$A,'Raw Data'!BK:BK),"")</f>
        <v/>
      </c>
      <c r="AA133" s="227" t="str">
        <f>IFERROR(_xlfn.XLOOKUP($A133,'Raw Data'!$A:$A,'Raw Data'!BL:BL),"")</f>
        <v/>
      </c>
      <c r="AB133" s="227" t="str">
        <f>IFERROR(_xlfn.XLOOKUP($A133,'Raw Data'!$A:$A,'Raw Data'!$H:$H),"")</f>
        <v/>
      </c>
      <c r="AC133" s="145">
        <f>IFERROR(_xlfn.XLOOKUP($D133,'Modelling New'!$D:$D,'Modelling New'!$P:$P),"")</f>
        <v>4.1741935483870973</v>
      </c>
      <c r="AD133" s="227">
        <f>IFERROR(_xlfn.XLOOKUP($D133,'Modelling New'!$D:$D,'Modelling New'!$T:$T)*1000,"")</f>
        <v>78067.213188687994</v>
      </c>
      <c r="AE133" s="234">
        <f>IFERROR(_xlfn.XLOOKUP($D133,'Modelling New'!$D:$D,'Modelling New'!$O:$O),"")</f>
        <v>0.76954570740685357</v>
      </c>
      <c r="AF133" s="234">
        <f>IFERROR(_xlfn.XLOOKUP($D133,'Modelling New'!$D:$D,'Modelling New'!$W:$W),"")</f>
        <v>0.13384303029361139</v>
      </c>
      <c r="AG133" s="234">
        <f>IFERROR(_xlfn.XLOOKUP($D133,'Modelling New'!$D:$D,'Modelling New'!AE:AE),"")</f>
        <v>0.995</v>
      </c>
      <c r="AH133" s="234">
        <v>0.99750000000000005</v>
      </c>
      <c r="AI133" s="6"/>
      <c r="AJ133" s="6"/>
      <c r="AK133" s="6"/>
      <c r="AL133" s="6"/>
      <c r="AM133" s="6"/>
      <c r="AN133" s="231"/>
      <c r="AO133" s="234"/>
      <c r="AP133" s="234"/>
      <c r="AQ133" s="234"/>
      <c r="AR133" s="227">
        <f>IFERROR(_xlfn.XLOOKUP($D133,'Modelling New'!$D:$D,'Modelling New'!$N:$N),"")</f>
        <v>24.303100000000001</v>
      </c>
      <c r="AS133" s="227"/>
    </row>
    <row r="134" spans="1:45" x14ac:dyDescent="0.35">
      <c r="A134" s="226">
        <f t="shared" si="9"/>
        <v>45877</v>
      </c>
      <c r="B134" s="227">
        <f>YEAR(Daily_KPI[[#This Row],[Date]])+IF(MONTH(Daily_KPI[[#This Row],[Date]])&gt;=4,1,0)</f>
        <v>2026</v>
      </c>
      <c r="C134" s="6">
        <f>YEAR(Daily_KPI[[#This Row],[Date]])</f>
        <v>2025</v>
      </c>
      <c r="D134" s="228">
        <f>Daily_KPI[[#This Row],[Date]]-DAY(Daily_KPI[[#This Row],[Date]])+1</f>
        <v>45870</v>
      </c>
      <c r="E134" s="6">
        <f t="shared" si="11"/>
        <v>31</v>
      </c>
      <c r="F134" s="229" t="str">
        <f>IFERROR(_xlfn.XLOOKUP($A134,'Raw Data'!$A:$A,'Raw Data'!$BR:$BR),"")</f>
        <v/>
      </c>
      <c r="G134" s="230" t="str">
        <f>IFERROR(_xlfn.XLOOKUP($A134,'Raw Data'!$A:$A,'Raw Data'!$AO:$AO),"")</f>
        <v/>
      </c>
      <c r="H134" s="230"/>
      <c r="I134" s="230" t="str">
        <f>IFERROR(_xlfn.XLOOKUP($A134,'Raw Data'!$A:$A,'Raw Data'!$AR:$AR),"")</f>
        <v/>
      </c>
      <c r="J134" s="230"/>
      <c r="K134" s="230" t="str">
        <f>IFERROR(_xlfn.XLOOKUP($A134,'Raw Data'!$A:$A,'Raw Data'!$AV:$AV),"")</f>
        <v/>
      </c>
      <c r="L134" s="230" t="str">
        <f>IFERROR(_xlfn.XLOOKUP($A134,'Raw Data'!$A:$A,'Raw Data'!$AW:$AW),"")</f>
        <v/>
      </c>
      <c r="M134" s="230" t="str">
        <f>IFERROR(_xlfn.XLOOKUP($A134,'Raw Data'!$A:$A,'Raw Data'!$AX:$AX),"")</f>
        <v/>
      </c>
      <c r="N134" s="230" t="str">
        <f>IFERROR(_xlfn.XLOOKUP($A134,'Raw Data'!$A:$A,'Raw Data'!$AY:$AY),"")</f>
        <v/>
      </c>
      <c r="O134" s="231" t="str">
        <f>IFERROR(1-(SUMIF('Plant BD'!$B:$B,A134,'Plant BD'!$AE:$AE)/(AA134+SUMIF('Plant BD'!$B:$B,A134,'Plant BD'!$AE:$AE))),"")</f>
        <v/>
      </c>
      <c r="P134" s="231"/>
      <c r="Q134" s="232"/>
      <c r="R134" s="231" t="str">
        <f>IFERROR(1-(SUMIF('Grid BD'!$B:$B,$A134,'Grid BD'!$AD:$AD)/($AA134+SUMIF('Grid BD'!$B:$B,$A134,'Grid BD'!AD:AD))),"")</f>
        <v/>
      </c>
      <c r="S134" s="6"/>
      <c r="T134" s="232"/>
      <c r="U134" s="233" t="str">
        <f t="shared" si="12"/>
        <v/>
      </c>
      <c r="V134" s="233"/>
      <c r="W134" s="234" t="str">
        <f t="shared" si="10"/>
        <v/>
      </c>
      <c r="X134" s="227" t="str">
        <f>IFERROR(_xlfn.XLOOKUP($A134,'Raw Data'!$A:$A,'Raw Data'!$BA:$BA),"")</f>
        <v/>
      </c>
      <c r="Y134" s="227" t="str">
        <f>IFERROR(_xlfn.XLOOKUP($A134,'Raw Data'!$A:$A,'Raw Data'!BJ:BJ),"")</f>
        <v/>
      </c>
      <c r="Z134" s="227" t="str">
        <f>IFERROR(_xlfn.XLOOKUP($A134,'Raw Data'!$A:$A,'Raw Data'!BK:BK),"")</f>
        <v/>
      </c>
      <c r="AA134" s="227" t="str">
        <f>IFERROR(_xlfn.XLOOKUP($A134,'Raw Data'!$A:$A,'Raw Data'!BL:BL),"")</f>
        <v/>
      </c>
      <c r="AB134" s="227" t="str">
        <f>IFERROR(_xlfn.XLOOKUP($A134,'Raw Data'!$A:$A,'Raw Data'!$H:$H),"")</f>
        <v/>
      </c>
      <c r="AC134" s="145">
        <f>IFERROR(_xlfn.XLOOKUP($D134,'Modelling New'!$D:$D,'Modelling New'!$P:$P),"")</f>
        <v>4.1741935483870973</v>
      </c>
      <c r="AD134" s="227">
        <f>IFERROR(_xlfn.XLOOKUP($D134,'Modelling New'!$D:$D,'Modelling New'!$T:$T)*1000,"")</f>
        <v>78067.213188687994</v>
      </c>
      <c r="AE134" s="234">
        <f>IFERROR(_xlfn.XLOOKUP($D134,'Modelling New'!$D:$D,'Modelling New'!$O:$O),"")</f>
        <v>0.76954570740685357</v>
      </c>
      <c r="AF134" s="234">
        <f>IFERROR(_xlfn.XLOOKUP($D134,'Modelling New'!$D:$D,'Modelling New'!$W:$W),"")</f>
        <v>0.13384303029361139</v>
      </c>
      <c r="AG134" s="234">
        <f>IFERROR(_xlfn.XLOOKUP($D134,'Modelling New'!$D:$D,'Modelling New'!AE:AE),"")</f>
        <v>0.995</v>
      </c>
      <c r="AH134" s="234">
        <v>0.99750000000000005</v>
      </c>
      <c r="AI134" s="6"/>
      <c r="AJ134" s="6"/>
      <c r="AK134" s="6"/>
      <c r="AL134" s="6"/>
      <c r="AM134" s="6"/>
      <c r="AN134" s="231"/>
      <c r="AO134" s="234"/>
      <c r="AP134" s="234"/>
      <c r="AQ134" s="234"/>
      <c r="AR134" s="227">
        <f>IFERROR(_xlfn.XLOOKUP($D134,'Modelling New'!$D:$D,'Modelling New'!$N:$N),"")</f>
        <v>24.303100000000001</v>
      </c>
      <c r="AS134" s="227"/>
    </row>
    <row r="135" spans="1:45" x14ac:dyDescent="0.35">
      <c r="A135" s="226">
        <f t="shared" si="9"/>
        <v>45878</v>
      </c>
      <c r="B135" s="227">
        <f>YEAR(Daily_KPI[[#This Row],[Date]])+IF(MONTH(Daily_KPI[[#This Row],[Date]])&gt;=4,1,0)</f>
        <v>2026</v>
      </c>
      <c r="C135" s="6">
        <f>YEAR(Daily_KPI[[#This Row],[Date]])</f>
        <v>2025</v>
      </c>
      <c r="D135" s="228">
        <f>Daily_KPI[[#This Row],[Date]]-DAY(Daily_KPI[[#This Row],[Date]])+1</f>
        <v>45870</v>
      </c>
      <c r="E135" s="6">
        <f t="shared" si="11"/>
        <v>31</v>
      </c>
      <c r="F135" s="229" t="str">
        <f>IFERROR(_xlfn.XLOOKUP($A135,'Raw Data'!$A:$A,'Raw Data'!$BR:$BR),"")</f>
        <v/>
      </c>
      <c r="G135" s="230" t="str">
        <f>IFERROR(_xlfn.XLOOKUP($A135,'Raw Data'!$A:$A,'Raw Data'!$AO:$AO),"")</f>
        <v/>
      </c>
      <c r="H135" s="230"/>
      <c r="I135" s="230" t="str">
        <f>IFERROR(_xlfn.XLOOKUP($A135,'Raw Data'!$A:$A,'Raw Data'!$AR:$AR),"")</f>
        <v/>
      </c>
      <c r="J135" s="230"/>
      <c r="K135" s="230" t="str">
        <f>IFERROR(_xlfn.XLOOKUP($A135,'Raw Data'!$A:$A,'Raw Data'!$AV:$AV),"")</f>
        <v/>
      </c>
      <c r="L135" s="230" t="str">
        <f>IFERROR(_xlfn.XLOOKUP($A135,'Raw Data'!$A:$A,'Raw Data'!$AW:$AW),"")</f>
        <v/>
      </c>
      <c r="M135" s="230" t="str">
        <f>IFERROR(_xlfn.XLOOKUP($A135,'Raw Data'!$A:$A,'Raw Data'!$AX:$AX),"")</f>
        <v/>
      </c>
      <c r="N135" s="230" t="str">
        <f>IFERROR(_xlfn.XLOOKUP($A135,'Raw Data'!$A:$A,'Raw Data'!$AY:$AY),"")</f>
        <v/>
      </c>
      <c r="O135" s="231" t="str">
        <f>IFERROR(1-(SUMIF('Plant BD'!$B:$B,A135,'Plant BD'!$AE:$AE)/(AA135+SUMIF('Plant BD'!$B:$B,A135,'Plant BD'!$AE:$AE))),"")</f>
        <v/>
      </c>
      <c r="P135" s="231"/>
      <c r="Q135" s="232"/>
      <c r="R135" s="231" t="str">
        <f>IFERROR(1-(SUMIF('Grid BD'!$B:$B,$A135,'Grid BD'!$AD:$AD)/($AA135+SUMIF('Grid BD'!$B:$B,$A135,'Grid BD'!AD:AD))),"")</f>
        <v/>
      </c>
      <c r="S135" s="6"/>
      <c r="T135" s="232"/>
      <c r="U135" s="233" t="str">
        <f t="shared" si="12"/>
        <v/>
      </c>
      <c r="V135" s="233"/>
      <c r="W135" s="234" t="str">
        <f t="shared" si="10"/>
        <v/>
      </c>
      <c r="X135" s="227" t="str">
        <f>IFERROR(_xlfn.XLOOKUP($A135,'Raw Data'!$A:$A,'Raw Data'!$BA:$BA),"")</f>
        <v/>
      </c>
      <c r="Y135" s="227" t="str">
        <f>IFERROR(_xlfn.XLOOKUP($A135,'Raw Data'!$A:$A,'Raw Data'!BJ:BJ),"")</f>
        <v/>
      </c>
      <c r="Z135" s="227" t="str">
        <f>IFERROR(_xlfn.XLOOKUP($A135,'Raw Data'!$A:$A,'Raw Data'!BK:BK),"")</f>
        <v/>
      </c>
      <c r="AA135" s="227" t="str">
        <f>IFERROR(_xlfn.XLOOKUP($A135,'Raw Data'!$A:$A,'Raw Data'!BL:BL),"")</f>
        <v/>
      </c>
      <c r="AB135" s="227" t="str">
        <f>IFERROR(_xlfn.XLOOKUP($A135,'Raw Data'!$A:$A,'Raw Data'!$H:$H),"")</f>
        <v/>
      </c>
      <c r="AC135" s="145">
        <f>IFERROR(_xlfn.XLOOKUP($D135,'Modelling New'!$D:$D,'Modelling New'!$P:$P),"")</f>
        <v>4.1741935483870973</v>
      </c>
      <c r="AD135" s="227">
        <f>IFERROR(_xlfn.XLOOKUP($D135,'Modelling New'!$D:$D,'Modelling New'!$T:$T)*1000,"")</f>
        <v>78067.213188687994</v>
      </c>
      <c r="AE135" s="234">
        <f>IFERROR(_xlfn.XLOOKUP($D135,'Modelling New'!$D:$D,'Modelling New'!$O:$O),"")</f>
        <v>0.76954570740685357</v>
      </c>
      <c r="AF135" s="234">
        <f>IFERROR(_xlfn.XLOOKUP($D135,'Modelling New'!$D:$D,'Modelling New'!$W:$W),"")</f>
        <v>0.13384303029361139</v>
      </c>
      <c r="AG135" s="234">
        <f>IFERROR(_xlfn.XLOOKUP($D135,'Modelling New'!$D:$D,'Modelling New'!AE:AE),"")</f>
        <v>0.995</v>
      </c>
      <c r="AH135" s="234">
        <v>0.99750000000000005</v>
      </c>
      <c r="AI135" s="6"/>
      <c r="AJ135" s="6"/>
      <c r="AK135" s="6"/>
      <c r="AL135" s="6"/>
      <c r="AM135" s="6"/>
      <c r="AN135" s="231"/>
      <c r="AO135" s="234"/>
      <c r="AP135" s="234"/>
      <c r="AQ135" s="234"/>
      <c r="AR135" s="227">
        <f>IFERROR(_xlfn.XLOOKUP($D135,'Modelling New'!$D:$D,'Modelling New'!$N:$N),"")</f>
        <v>24.303100000000001</v>
      </c>
      <c r="AS135" s="227"/>
    </row>
    <row r="136" spans="1:45" x14ac:dyDescent="0.35">
      <c r="A136" s="226">
        <f t="shared" si="9"/>
        <v>45879</v>
      </c>
      <c r="B136" s="227">
        <f>YEAR(Daily_KPI[[#This Row],[Date]])+IF(MONTH(Daily_KPI[[#This Row],[Date]])&gt;=4,1,0)</f>
        <v>2026</v>
      </c>
      <c r="C136" s="6">
        <f>YEAR(Daily_KPI[[#This Row],[Date]])</f>
        <v>2025</v>
      </c>
      <c r="D136" s="228">
        <f>Daily_KPI[[#This Row],[Date]]-DAY(Daily_KPI[[#This Row],[Date]])+1</f>
        <v>45870</v>
      </c>
      <c r="E136" s="6">
        <f t="shared" si="11"/>
        <v>31</v>
      </c>
      <c r="F136" s="229" t="str">
        <f>IFERROR(_xlfn.XLOOKUP($A136,'Raw Data'!$A:$A,'Raw Data'!$BR:$BR),"")</f>
        <v/>
      </c>
      <c r="G136" s="230" t="str">
        <f>IFERROR(_xlfn.XLOOKUP($A136,'Raw Data'!$A:$A,'Raw Data'!$AO:$AO),"")</f>
        <v/>
      </c>
      <c r="H136" s="230"/>
      <c r="I136" s="230" t="str">
        <f>IFERROR(_xlfn.XLOOKUP($A136,'Raw Data'!$A:$A,'Raw Data'!$AR:$AR),"")</f>
        <v/>
      </c>
      <c r="J136" s="230"/>
      <c r="K136" s="230" t="str">
        <f>IFERROR(_xlfn.XLOOKUP($A136,'Raw Data'!$A:$A,'Raw Data'!$AV:$AV),"")</f>
        <v/>
      </c>
      <c r="L136" s="230" t="str">
        <f>IFERROR(_xlfn.XLOOKUP($A136,'Raw Data'!$A:$A,'Raw Data'!$AW:$AW),"")</f>
        <v/>
      </c>
      <c r="M136" s="230" t="str">
        <f>IFERROR(_xlfn.XLOOKUP($A136,'Raw Data'!$A:$A,'Raw Data'!$AX:$AX),"")</f>
        <v/>
      </c>
      <c r="N136" s="230" t="str">
        <f>IFERROR(_xlfn.XLOOKUP($A136,'Raw Data'!$A:$A,'Raw Data'!$AY:$AY),"")</f>
        <v/>
      </c>
      <c r="O136" s="231" t="str">
        <f>IFERROR(1-(SUMIF('Plant BD'!$B:$B,A136,'Plant BD'!$AE:$AE)/(AA136+SUMIF('Plant BD'!$B:$B,A136,'Plant BD'!$AE:$AE))),"")</f>
        <v/>
      </c>
      <c r="P136" s="231"/>
      <c r="Q136" s="232"/>
      <c r="R136" s="231" t="str">
        <f>IFERROR(1-(SUMIF('Grid BD'!$B:$B,$A136,'Grid BD'!$AD:$AD)/($AA136+SUMIF('Grid BD'!$B:$B,$A136,'Grid BD'!AD:AD))),"")</f>
        <v/>
      </c>
      <c r="S136" s="6"/>
      <c r="T136" s="232"/>
      <c r="U136" s="233" t="str">
        <f t="shared" si="12"/>
        <v/>
      </c>
      <c r="V136" s="233"/>
      <c r="W136" s="234" t="str">
        <f t="shared" si="10"/>
        <v/>
      </c>
      <c r="X136" s="227" t="str">
        <f>IFERROR(_xlfn.XLOOKUP($A136,'Raw Data'!$A:$A,'Raw Data'!$BA:$BA),"")</f>
        <v/>
      </c>
      <c r="Y136" s="227" t="str">
        <f>IFERROR(_xlfn.XLOOKUP($A136,'Raw Data'!$A:$A,'Raw Data'!BJ:BJ),"")</f>
        <v/>
      </c>
      <c r="Z136" s="227" t="str">
        <f>IFERROR(_xlfn.XLOOKUP($A136,'Raw Data'!$A:$A,'Raw Data'!BK:BK),"")</f>
        <v/>
      </c>
      <c r="AA136" s="227" t="str">
        <f>IFERROR(_xlfn.XLOOKUP($A136,'Raw Data'!$A:$A,'Raw Data'!BL:BL),"")</f>
        <v/>
      </c>
      <c r="AB136" s="227" t="str">
        <f>IFERROR(_xlfn.XLOOKUP($A136,'Raw Data'!$A:$A,'Raw Data'!$H:$H),"")</f>
        <v/>
      </c>
      <c r="AC136" s="145">
        <f>IFERROR(_xlfn.XLOOKUP($D136,'Modelling New'!$D:$D,'Modelling New'!$P:$P),"")</f>
        <v>4.1741935483870973</v>
      </c>
      <c r="AD136" s="227">
        <f>IFERROR(_xlfn.XLOOKUP($D136,'Modelling New'!$D:$D,'Modelling New'!$T:$T)*1000,"")</f>
        <v>78067.213188687994</v>
      </c>
      <c r="AE136" s="234">
        <f>IFERROR(_xlfn.XLOOKUP($D136,'Modelling New'!$D:$D,'Modelling New'!$O:$O),"")</f>
        <v>0.76954570740685357</v>
      </c>
      <c r="AF136" s="234">
        <f>IFERROR(_xlfn.XLOOKUP($D136,'Modelling New'!$D:$D,'Modelling New'!$W:$W),"")</f>
        <v>0.13384303029361139</v>
      </c>
      <c r="AG136" s="234">
        <f>IFERROR(_xlfn.XLOOKUP($D136,'Modelling New'!$D:$D,'Modelling New'!AE:AE),"")</f>
        <v>0.995</v>
      </c>
      <c r="AH136" s="234">
        <v>0.99750000000000005</v>
      </c>
      <c r="AI136" s="6"/>
      <c r="AJ136" s="6"/>
      <c r="AK136" s="6"/>
      <c r="AL136" s="6"/>
      <c r="AM136" s="6"/>
      <c r="AN136" s="231"/>
      <c r="AO136" s="234"/>
      <c r="AP136" s="234"/>
      <c r="AQ136" s="234"/>
      <c r="AR136" s="227">
        <f>IFERROR(_xlfn.XLOOKUP($D136,'Modelling New'!$D:$D,'Modelling New'!$N:$N),"")</f>
        <v>24.303100000000001</v>
      </c>
      <c r="AS136" s="227"/>
    </row>
    <row r="137" spans="1:45" x14ac:dyDescent="0.35">
      <c r="A137" s="226">
        <f t="shared" si="9"/>
        <v>45880</v>
      </c>
      <c r="B137" s="227">
        <f>YEAR(Daily_KPI[[#This Row],[Date]])+IF(MONTH(Daily_KPI[[#This Row],[Date]])&gt;=4,1,0)</f>
        <v>2026</v>
      </c>
      <c r="C137" s="6">
        <f>YEAR(Daily_KPI[[#This Row],[Date]])</f>
        <v>2025</v>
      </c>
      <c r="D137" s="228">
        <f>Daily_KPI[[#This Row],[Date]]-DAY(Daily_KPI[[#This Row],[Date]])+1</f>
        <v>45870</v>
      </c>
      <c r="E137" s="6">
        <f t="shared" si="11"/>
        <v>31</v>
      </c>
      <c r="F137" s="229" t="str">
        <f>IFERROR(_xlfn.XLOOKUP($A137,'Raw Data'!$A:$A,'Raw Data'!$BR:$BR),"")</f>
        <v/>
      </c>
      <c r="G137" s="230" t="str">
        <f>IFERROR(_xlfn.XLOOKUP($A137,'Raw Data'!$A:$A,'Raw Data'!$AO:$AO),"")</f>
        <v/>
      </c>
      <c r="H137" s="230"/>
      <c r="I137" s="230" t="str">
        <f>IFERROR(_xlfn.XLOOKUP($A137,'Raw Data'!$A:$A,'Raw Data'!$AR:$AR),"")</f>
        <v/>
      </c>
      <c r="J137" s="230"/>
      <c r="K137" s="230" t="str">
        <f>IFERROR(_xlfn.XLOOKUP($A137,'Raw Data'!$A:$A,'Raw Data'!$AV:$AV),"")</f>
        <v/>
      </c>
      <c r="L137" s="230" t="str">
        <f>IFERROR(_xlfn.XLOOKUP($A137,'Raw Data'!$A:$A,'Raw Data'!$AW:$AW),"")</f>
        <v/>
      </c>
      <c r="M137" s="230" t="str">
        <f>IFERROR(_xlfn.XLOOKUP($A137,'Raw Data'!$A:$A,'Raw Data'!$AX:$AX),"")</f>
        <v/>
      </c>
      <c r="N137" s="230" t="str">
        <f>IFERROR(_xlfn.XLOOKUP($A137,'Raw Data'!$A:$A,'Raw Data'!$AY:$AY),"")</f>
        <v/>
      </c>
      <c r="O137" s="231" t="str">
        <f>IFERROR(1-(SUMIF('Plant BD'!$B:$B,A137,'Plant BD'!$AE:$AE)/(AA137+SUMIF('Plant BD'!$B:$B,A137,'Plant BD'!$AE:$AE))),"")</f>
        <v/>
      </c>
      <c r="P137" s="231"/>
      <c r="Q137" s="232"/>
      <c r="R137" s="231" t="str">
        <f>IFERROR(1-(SUMIF('Grid BD'!$B:$B,$A137,'Grid BD'!$AD:$AD)/($AA137+SUMIF('Grid BD'!$B:$B,$A137,'Grid BD'!AD:AD))),"")</f>
        <v/>
      </c>
      <c r="S137" s="6"/>
      <c r="T137" s="232"/>
      <c r="U137" s="233" t="str">
        <f t="shared" si="12"/>
        <v/>
      </c>
      <c r="V137" s="233"/>
      <c r="W137" s="234" t="str">
        <f t="shared" si="10"/>
        <v/>
      </c>
      <c r="X137" s="227" t="str">
        <f>IFERROR(_xlfn.XLOOKUP($A137,'Raw Data'!$A:$A,'Raw Data'!$BA:$BA),"")</f>
        <v/>
      </c>
      <c r="Y137" s="227" t="str">
        <f>IFERROR(_xlfn.XLOOKUP($A137,'Raw Data'!$A:$A,'Raw Data'!BJ:BJ),"")</f>
        <v/>
      </c>
      <c r="Z137" s="227" t="str">
        <f>IFERROR(_xlfn.XLOOKUP($A137,'Raw Data'!$A:$A,'Raw Data'!BK:BK),"")</f>
        <v/>
      </c>
      <c r="AA137" s="227" t="str">
        <f>IFERROR(_xlfn.XLOOKUP($A137,'Raw Data'!$A:$A,'Raw Data'!BL:BL),"")</f>
        <v/>
      </c>
      <c r="AB137" s="227" t="str">
        <f>IFERROR(_xlfn.XLOOKUP($A137,'Raw Data'!$A:$A,'Raw Data'!$H:$H),"")</f>
        <v/>
      </c>
      <c r="AC137" s="145">
        <f>IFERROR(_xlfn.XLOOKUP($D137,'Modelling New'!$D:$D,'Modelling New'!$P:$P),"")</f>
        <v>4.1741935483870973</v>
      </c>
      <c r="AD137" s="227">
        <f>IFERROR(_xlfn.XLOOKUP($D137,'Modelling New'!$D:$D,'Modelling New'!$T:$T)*1000,"")</f>
        <v>78067.213188687994</v>
      </c>
      <c r="AE137" s="234">
        <f>IFERROR(_xlfn.XLOOKUP($D137,'Modelling New'!$D:$D,'Modelling New'!$O:$O),"")</f>
        <v>0.76954570740685357</v>
      </c>
      <c r="AF137" s="234">
        <f>IFERROR(_xlfn.XLOOKUP($D137,'Modelling New'!$D:$D,'Modelling New'!$W:$W),"")</f>
        <v>0.13384303029361139</v>
      </c>
      <c r="AG137" s="234">
        <f>IFERROR(_xlfn.XLOOKUP($D137,'Modelling New'!$D:$D,'Modelling New'!AE:AE),"")</f>
        <v>0.995</v>
      </c>
      <c r="AH137" s="234">
        <v>0.99750000000000005</v>
      </c>
      <c r="AI137" s="6"/>
      <c r="AJ137" s="6"/>
      <c r="AK137" s="6"/>
      <c r="AL137" s="6"/>
      <c r="AM137" s="6"/>
      <c r="AN137" s="231"/>
      <c r="AO137" s="234"/>
      <c r="AP137" s="234"/>
      <c r="AQ137" s="234"/>
      <c r="AR137" s="227">
        <f>IFERROR(_xlfn.XLOOKUP($D137,'Modelling New'!$D:$D,'Modelling New'!$N:$N),"")</f>
        <v>24.303100000000001</v>
      </c>
      <c r="AS137" s="227"/>
    </row>
    <row r="138" spans="1:45" x14ac:dyDescent="0.35">
      <c r="A138" s="226">
        <f t="shared" si="9"/>
        <v>45881</v>
      </c>
      <c r="B138" s="227">
        <f>YEAR(Daily_KPI[[#This Row],[Date]])+IF(MONTH(Daily_KPI[[#This Row],[Date]])&gt;=4,1,0)</f>
        <v>2026</v>
      </c>
      <c r="C138" s="6">
        <f>YEAR(Daily_KPI[[#This Row],[Date]])</f>
        <v>2025</v>
      </c>
      <c r="D138" s="228">
        <f>Daily_KPI[[#This Row],[Date]]-DAY(Daily_KPI[[#This Row],[Date]])+1</f>
        <v>45870</v>
      </c>
      <c r="E138" s="6">
        <f t="shared" si="11"/>
        <v>31</v>
      </c>
      <c r="F138" s="229" t="str">
        <f>IFERROR(_xlfn.XLOOKUP($A138,'Raw Data'!$A:$A,'Raw Data'!$BR:$BR),"")</f>
        <v/>
      </c>
      <c r="G138" s="230" t="str">
        <f>IFERROR(_xlfn.XLOOKUP($A138,'Raw Data'!$A:$A,'Raw Data'!$AO:$AO),"")</f>
        <v/>
      </c>
      <c r="H138" s="230"/>
      <c r="I138" s="230" t="str">
        <f>IFERROR(_xlfn.XLOOKUP($A138,'Raw Data'!$A:$A,'Raw Data'!$AR:$AR),"")</f>
        <v/>
      </c>
      <c r="J138" s="230"/>
      <c r="K138" s="230" t="str">
        <f>IFERROR(_xlfn.XLOOKUP($A138,'Raw Data'!$A:$A,'Raw Data'!$AV:$AV),"")</f>
        <v/>
      </c>
      <c r="L138" s="230" t="str">
        <f>IFERROR(_xlfn.XLOOKUP($A138,'Raw Data'!$A:$A,'Raw Data'!$AW:$AW),"")</f>
        <v/>
      </c>
      <c r="M138" s="230" t="str">
        <f>IFERROR(_xlfn.XLOOKUP($A138,'Raw Data'!$A:$A,'Raw Data'!$AX:$AX),"")</f>
        <v/>
      </c>
      <c r="N138" s="230" t="str">
        <f>IFERROR(_xlfn.XLOOKUP($A138,'Raw Data'!$A:$A,'Raw Data'!$AY:$AY),"")</f>
        <v/>
      </c>
      <c r="O138" s="231" t="str">
        <f>IFERROR(1-(SUMIF('Plant BD'!$B:$B,A138,'Plant BD'!$AE:$AE)/(AA138+SUMIF('Plant BD'!$B:$B,A138,'Plant BD'!$AE:$AE))),"")</f>
        <v/>
      </c>
      <c r="P138" s="231"/>
      <c r="Q138" s="232"/>
      <c r="R138" s="231" t="str">
        <f>IFERROR(1-(SUMIF('Grid BD'!$B:$B,$A138,'Grid BD'!$AD:$AD)/($AA138+SUMIF('Grid BD'!$B:$B,$A138,'Grid BD'!AD:AD))),"")</f>
        <v/>
      </c>
      <c r="S138" s="6"/>
      <c r="T138" s="232"/>
      <c r="U138" s="233" t="str">
        <f t="shared" si="12"/>
        <v/>
      </c>
      <c r="V138" s="233"/>
      <c r="W138" s="234" t="str">
        <f t="shared" si="10"/>
        <v/>
      </c>
      <c r="X138" s="227" t="str">
        <f>IFERROR(_xlfn.XLOOKUP($A138,'Raw Data'!$A:$A,'Raw Data'!$BA:$BA),"")</f>
        <v/>
      </c>
      <c r="Y138" s="227" t="str">
        <f>IFERROR(_xlfn.XLOOKUP($A138,'Raw Data'!$A:$A,'Raw Data'!BJ:BJ),"")</f>
        <v/>
      </c>
      <c r="Z138" s="227" t="str">
        <f>IFERROR(_xlfn.XLOOKUP($A138,'Raw Data'!$A:$A,'Raw Data'!BK:BK),"")</f>
        <v/>
      </c>
      <c r="AA138" s="227" t="str">
        <f>IFERROR(_xlfn.XLOOKUP($A138,'Raw Data'!$A:$A,'Raw Data'!BL:BL),"")</f>
        <v/>
      </c>
      <c r="AB138" s="227" t="str">
        <f>IFERROR(_xlfn.XLOOKUP($A138,'Raw Data'!$A:$A,'Raw Data'!$H:$H),"")</f>
        <v/>
      </c>
      <c r="AC138" s="145">
        <f>IFERROR(_xlfn.XLOOKUP($D138,'Modelling New'!$D:$D,'Modelling New'!$P:$P),"")</f>
        <v>4.1741935483870973</v>
      </c>
      <c r="AD138" s="227">
        <f>IFERROR(_xlfn.XLOOKUP($D138,'Modelling New'!$D:$D,'Modelling New'!$T:$T)*1000,"")</f>
        <v>78067.213188687994</v>
      </c>
      <c r="AE138" s="234">
        <f>IFERROR(_xlfn.XLOOKUP($D138,'Modelling New'!$D:$D,'Modelling New'!$O:$O),"")</f>
        <v>0.76954570740685357</v>
      </c>
      <c r="AF138" s="234">
        <f>IFERROR(_xlfn.XLOOKUP($D138,'Modelling New'!$D:$D,'Modelling New'!$W:$W),"")</f>
        <v>0.13384303029361139</v>
      </c>
      <c r="AG138" s="234">
        <f>IFERROR(_xlfn.XLOOKUP($D138,'Modelling New'!$D:$D,'Modelling New'!AE:AE),"")</f>
        <v>0.995</v>
      </c>
      <c r="AH138" s="234">
        <v>0.99750000000000005</v>
      </c>
      <c r="AI138" s="6"/>
      <c r="AJ138" s="6"/>
      <c r="AK138" s="6"/>
      <c r="AL138" s="6"/>
      <c r="AM138" s="6"/>
      <c r="AN138" s="231"/>
      <c r="AO138" s="234"/>
      <c r="AP138" s="234"/>
      <c r="AQ138" s="234"/>
      <c r="AR138" s="227">
        <f>IFERROR(_xlfn.XLOOKUP($D138,'Modelling New'!$D:$D,'Modelling New'!$N:$N),"")</f>
        <v>24.303100000000001</v>
      </c>
      <c r="AS138" s="227"/>
    </row>
    <row r="139" spans="1:45" x14ac:dyDescent="0.35">
      <c r="A139" s="226">
        <f t="shared" si="9"/>
        <v>45882</v>
      </c>
      <c r="B139" s="227">
        <f>YEAR(Daily_KPI[[#This Row],[Date]])+IF(MONTH(Daily_KPI[[#This Row],[Date]])&gt;=4,1,0)</f>
        <v>2026</v>
      </c>
      <c r="C139" s="6">
        <f>YEAR(Daily_KPI[[#This Row],[Date]])</f>
        <v>2025</v>
      </c>
      <c r="D139" s="228">
        <f>Daily_KPI[[#This Row],[Date]]-DAY(Daily_KPI[[#This Row],[Date]])+1</f>
        <v>45870</v>
      </c>
      <c r="E139" s="6">
        <f t="shared" si="11"/>
        <v>31</v>
      </c>
      <c r="F139" s="229" t="str">
        <f>IFERROR(_xlfn.XLOOKUP($A139,'Raw Data'!$A:$A,'Raw Data'!$BR:$BR),"")</f>
        <v/>
      </c>
      <c r="G139" s="230" t="str">
        <f>IFERROR(_xlfn.XLOOKUP($A139,'Raw Data'!$A:$A,'Raw Data'!$AO:$AO),"")</f>
        <v/>
      </c>
      <c r="H139" s="230"/>
      <c r="I139" s="230" t="str">
        <f>IFERROR(_xlfn.XLOOKUP($A139,'Raw Data'!$A:$A,'Raw Data'!$AR:$AR),"")</f>
        <v/>
      </c>
      <c r="J139" s="230"/>
      <c r="K139" s="230" t="str">
        <f>IFERROR(_xlfn.XLOOKUP($A139,'Raw Data'!$A:$A,'Raw Data'!$AV:$AV),"")</f>
        <v/>
      </c>
      <c r="L139" s="230" t="str">
        <f>IFERROR(_xlfn.XLOOKUP($A139,'Raw Data'!$A:$A,'Raw Data'!$AW:$AW),"")</f>
        <v/>
      </c>
      <c r="M139" s="230" t="str">
        <f>IFERROR(_xlfn.XLOOKUP($A139,'Raw Data'!$A:$A,'Raw Data'!$AX:$AX),"")</f>
        <v/>
      </c>
      <c r="N139" s="230" t="str">
        <f>IFERROR(_xlfn.XLOOKUP($A139,'Raw Data'!$A:$A,'Raw Data'!$AY:$AY),"")</f>
        <v/>
      </c>
      <c r="O139" s="231" t="str">
        <f>IFERROR(1-(SUMIF('Plant BD'!$B:$B,A139,'Plant BD'!$AE:$AE)/(AA139+SUMIF('Plant BD'!$B:$B,A139,'Plant BD'!$AE:$AE))),"")</f>
        <v/>
      </c>
      <c r="P139" s="231"/>
      <c r="Q139" s="232"/>
      <c r="R139" s="231" t="str">
        <f>IFERROR(1-(SUMIF('Grid BD'!$B:$B,$A139,'Grid BD'!$AD:$AD)/($AA139+SUMIF('Grid BD'!$B:$B,$A139,'Grid BD'!AD:AD))),"")</f>
        <v/>
      </c>
      <c r="S139" s="6"/>
      <c r="T139" s="232"/>
      <c r="U139" s="233" t="str">
        <f t="shared" si="12"/>
        <v/>
      </c>
      <c r="V139" s="233"/>
      <c r="W139" s="234" t="str">
        <f t="shared" si="10"/>
        <v/>
      </c>
      <c r="X139" s="227" t="str">
        <f>IFERROR(_xlfn.XLOOKUP($A139,'Raw Data'!$A:$A,'Raw Data'!$BA:$BA),"")</f>
        <v/>
      </c>
      <c r="Y139" s="227" t="str">
        <f>IFERROR(_xlfn.XLOOKUP($A139,'Raw Data'!$A:$A,'Raw Data'!BJ:BJ),"")</f>
        <v/>
      </c>
      <c r="Z139" s="227" t="str">
        <f>IFERROR(_xlfn.XLOOKUP($A139,'Raw Data'!$A:$A,'Raw Data'!BK:BK),"")</f>
        <v/>
      </c>
      <c r="AA139" s="227" t="str">
        <f>IFERROR(_xlfn.XLOOKUP($A139,'Raw Data'!$A:$A,'Raw Data'!BL:BL),"")</f>
        <v/>
      </c>
      <c r="AB139" s="227" t="str">
        <f>IFERROR(_xlfn.XLOOKUP($A139,'Raw Data'!$A:$A,'Raw Data'!$H:$H),"")</f>
        <v/>
      </c>
      <c r="AC139" s="145">
        <f>IFERROR(_xlfn.XLOOKUP($D139,'Modelling New'!$D:$D,'Modelling New'!$P:$P),"")</f>
        <v>4.1741935483870973</v>
      </c>
      <c r="AD139" s="227">
        <f>IFERROR(_xlfn.XLOOKUP($D139,'Modelling New'!$D:$D,'Modelling New'!$T:$T)*1000,"")</f>
        <v>78067.213188687994</v>
      </c>
      <c r="AE139" s="234">
        <f>IFERROR(_xlfn.XLOOKUP($D139,'Modelling New'!$D:$D,'Modelling New'!$O:$O),"")</f>
        <v>0.76954570740685357</v>
      </c>
      <c r="AF139" s="234">
        <f>IFERROR(_xlfn.XLOOKUP($D139,'Modelling New'!$D:$D,'Modelling New'!$W:$W),"")</f>
        <v>0.13384303029361139</v>
      </c>
      <c r="AG139" s="234">
        <f>IFERROR(_xlfn.XLOOKUP($D139,'Modelling New'!$D:$D,'Modelling New'!AE:AE),"")</f>
        <v>0.995</v>
      </c>
      <c r="AH139" s="234">
        <v>0.99750000000000005</v>
      </c>
      <c r="AI139" s="6"/>
      <c r="AJ139" s="6"/>
      <c r="AK139" s="6"/>
      <c r="AL139" s="6"/>
      <c r="AM139" s="6"/>
      <c r="AN139" s="231"/>
      <c r="AO139" s="234"/>
      <c r="AP139" s="234"/>
      <c r="AQ139" s="234"/>
      <c r="AR139" s="227">
        <f>IFERROR(_xlfn.XLOOKUP($D139,'Modelling New'!$D:$D,'Modelling New'!$N:$N),"")</f>
        <v>24.303100000000001</v>
      </c>
      <c r="AS139" s="227"/>
    </row>
    <row r="140" spans="1:45" x14ac:dyDescent="0.35">
      <c r="A140" s="226">
        <f t="shared" si="9"/>
        <v>45883</v>
      </c>
      <c r="B140" s="227">
        <f>YEAR(Daily_KPI[[#This Row],[Date]])+IF(MONTH(Daily_KPI[[#This Row],[Date]])&gt;=4,1,0)</f>
        <v>2026</v>
      </c>
      <c r="C140" s="6">
        <f>YEAR(Daily_KPI[[#This Row],[Date]])</f>
        <v>2025</v>
      </c>
      <c r="D140" s="228">
        <f>Daily_KPI[[#This Row],[Date]]-DAY(Daily_KPI[[#This Row],[Date]])+1</f>
        <v>45870</v>
      </c>
      <c r="E140" s="6">
        <f t="shared" si="11"/>
        <v>31</v>
      </c>
      <c r="F140" s="229" t="str">
        <f>IFERROR(_xlfn.XLOOKUP($A140,'Raw Data'!$A:$A,'Raw Data'!$BR:$BR),"")</f>
        <v/>
      </c>
      <c r="G140" s="230" t="str">
        <f>IFERROR(_xlfn.XLOOKUP($A140,'Raw Data'!$A:$A,'Raw Data'!$AO:$AO),"")</f>
        <v/>
      </c>
      <c r="H140" s="230"/>
      <c r="I140" s="230" t="str">
        <f>IFERROR(_xlfn.XLOOKUP($A140,'Raw Data'!$A:$A,'Raw Data'!$AR:$AR),"")</f>
        <v/>
      </c>
      <c r="J140" s="230"/>
      <c r="K140" s="230" t="str">
        <f>IFERROR(_xlfn.XLOOKUP($A140,'Raw Data'!$A:$A,'Raw Data'!$AV:$AV),"")</f>
        <v/>
      </c>
      <c r="L140" s="230" t="str">
        <f>IFERROR(_xlfn.XLOOKUP($A140,'Raw Data'!$A:$A,'Raw Data'!$AW:$AW),"")</f>
        <v/>
      </c>
      <c r="M140" s="230" t="str">
        <f>IFERROR(_xlfn.XLOOKUP($A140,'Raw Data'!$A:$A,'Raw Data'!$AX:$AX),"")</f>
        <v/>
      </c>
      <c r="N140" s="230" t="str">
        <f>IFERROR(_xlfn.XLOOKUP($A140,'Raw Data'!$A:$A,'Raw Data'!$AY:$AY),"")</f>
        <v/>
      </c>
      <c r="O140" s="231" t="str">
        <f>IFERROR(1-(SUMIF('Plant BD'!$B:$B,A140,'Plant BD'!$AE:$AE)/(AA140+SUMIF('Plant BD'!$B:$B,A140,'Plant BD'!$AE:$AE))),"")</f>
        <v/>
      </c>
      <c r="P140" s="231"/>
      <c r="Q140" s="232"/>
      <c r="R140" s="231" t="str">
        <f>IFERROR(1-(SUMIF('Grid BD'!$B:$B,$A140,'Grid BD'!$AD:$AD)/($AA140+SUMIF('Grid BD'!$B:$B,$A140,'Grid BD'!AD:AD))),"")</f>
        <v/>
      </c>
      <c r="S140" s="6"/>
      <c r="T140" s="232"/>
      <c r="U140" s="233" t="str">
        <f t="shared" si="12"/>
        <v/>
      </c>
      <c r="V140" s="233"/>
      <c r="W140" s="234" t="str">
        <f t="shared" si="10"/>
        <v/>
      </c>
      <c r="X140" s="227" t="str">
        <f>IFERROR(_xlfn.XLOOKUP($A140,'Raw Data'!$A:$A,'Raw Data'!$BA:$BA),"")</f>
        <v/>
      </c>
      <c r="Y140" s="227" t="str">
        <f>IFERROR(_xlfn.XLOOKUP($A140,'Raw Data'!$A:$A,'Raw Data'!BJ:BJ),"")</f>
        <v/>
      </c>
      <c r="Z140" s="227" t="str">
        <f>IFERROR(_xlfn.XLOOKUP($A140,'Raw Data'!$A:$A,'Raw Data'!BK:BK),"")</f>
        <v/>
      </c>
      <c r="AA140" s="227" t="str">
        <f>IFERROR(_xlfn.XLOOKUP($A140,'Raw Data'!$A:$A,'Raw Data'!BL:BL),"")</f>
        <v/>
      </c>
      <c r="AB140" s="227" t="str">
        <f>IFERROR(_xlfn.XLOOKUP($A140,'Raw Data'!$A:$A,'Raw Data'!$H:$H),"")</f>
        <v/>
      </c>
      <c r="AC140" s="145">
        <f>IFERROR(_xlfn.XLOOKUP($D140,'Modelling New'!$D:$D,'Modelling New'!$P:$P),"")</f>
        <v>4.1741935483870973</v>
      </c>
      <c r="AD140" s="227">
        <f>IFERROR(_xlfn.XLOOKUP($D140,'Modelling New'!$D:$D,'Modelling New'!$T:$T)*1000,"")</f>
        <v>78067.213188687994</v>
      </c>
      <c r="AE140" s="234">
        <f>IFERROR(_xlfn.XLOOKUP($D140,'Modelling New'!$D:$D,'Modelling New'!$O:$O),"")</f>
        <v>0.76954570740685357</v>
      </c>
      <c r="AF140" s="234">
        <f>IFERROR(_xlfn.XLOOKUP($D140,'Modelling New'!$D:$D,'Modelling New'!$W:$W),"")</f>
        <v>0.13384303029361139</v>
      </c>
      <c r="AG140" s="234">
        <f>IFERROR(_xlfn.XLOOKUP($D140,'Modelling New'!$D:$D,'Modelling New'!AE:AE),"")</f>
        <v>0.995</v>
      </c>
      <c r="AH140" s="234">
        <v>0.99750000000000005</v>
      </c>
      <c r="AI140" s="6"/>
      <c r="AJ140" s="6"/>
      <c r="AK140" s="6"/>
      <c r="AL140" s="6"/>
      <c r="AM140" s="6"/>
      <c r="AN140" s="231"/>
      <c r="AO140" s="234"/>
      <c r="AP140" s="234"/>
      <c r="AQ140" s="234"/>
      <c r="AR140" s="227">
        <f>IFERROR(_xlfn.XLOOKUP($D140,'Modelling New'!$D:$D,'Modelling New'!$N:$N),"")</f>
        <v>24.303100000000001</v>
      </c>
      <c r="AS140" s="227"/>
    </row>
    <row r="141" spans="1:45" x14ac:dyDescent="0.35">
      <c r="A141" s="226">
        <f t="shared" si="9"/>
        <v>45884</v>
      </c>
      <c r="B141" s="227">
        <f>YEAR(Daily_KPI[[#This Row],[Date]])+IF(MONTH(Daily_KPI[[#This Row],[Date]])&gt;=4,1,0)</f>
        <v>2026</v>
      </c>
      <c r="C141" s="6">
        <f>YEAR(Daily_KPI[[#This Row],[Date]])</f>
        <v>2025</v>
      </c>
      <c r="D141" s="228">
        <f>Daily_KPI[[#This Row],[Date]]-DAY(Daily_KPI[[#This Row],[Date]])+1</f>
        <v>45870</v>
      </c>
      <c r="E141" s="6">
        <f t="shared" si="11"/>
        <v>31</v>
      </c>
      <c r="F141" s="229" t="str">
        <f>IFERROR(_xlfn.XLOOKUP($A141,'Raw Data'!$A:$A,'Raw Data'!$BR:$BR),"")</f>
        <v/>
      </c>
      <c r="G141" s="230" t="str">
        <f>IFERROR(_xlfn.XLOOKUP($A141,'Raw Data'!$A:$A,'Raw Data'!$AO:$AO),"")</f>
        <v/>
      </c>
      <c r="H141" s="230"/>
      <c r="I141" s="230" t="str">
        <f>IFERROR(_xlfn.XLOOKUP($A141,'Raw Data'!$A:$A,'Raw Data'!$AR:$AR),"")</f>
        <v/>
      </c>
      <c r="J141" s="230"/>
      <c r="K141" s="230" t="str">
        <f>IFERROR(_xlfn.XLOOKUP($A141,'Raw Data'!$A:$A,'Raw Data'!$AV:$AV),"")</f>
        <v/>
      </c>
      <c r="L141" s="230" t="str">
        <f>IFERROR(_xlfn.XLOOKUP($A141,'Raw Data'!$A:$A,'Raw Data'!$AW:$AW),"")</f>
        <v/>
      </c>
      <c r="M141" s="230" t="str">
        <f>IFERROR(_xlfn.XLOOKUP($A141,'Raw Data'!$A:$A,'Raw Data'!$AX:$AX),"")</f>
        <v/>
      </c>
      <c r="N141" s="230" t="str">
        <f>IFERROR(_xlfn.XLOOKUP($A141,'Raw Data'!$A:$A,'Raw Data'!$AY:$AY),"")</f>
        <v/>
      </c>
      <c r="O141" s="231" t="str">
        <f>IFERROR(1-(SUMIF('Plant BD'!$B:$B,A141,'Plant BD'!$AE:$AE)/(AA141+SUMIF('Plant BD'!$B:$B,A141,'Plant BD'!$AE:$AE))),"")</f>
        <v/>
      </c>
      <c r="P141" s="231"/>
      <c r="Q141" s="232"/>
      <c r="R141" s="231" t="str">
        <f>IFERROR(1-(SUMIF('Grid BD'!$B:$B,$A141,'Grid BD'!$AD:$AD)/($AA141+SUMIF('Grid BD'!$B:$B,$A141,'Grid BD'!AD:AD))),"")</f>
        <v/>
      </c>
      <c r="S141" s="6"/>
      <c r="T141" s="232"/>
      <c r="U141" s="233" t="str">
        <f t="shared" si="12"/>
        <v/>
      </c>
      <c r="V141" s="233"/>
      <c r="W141" s="234" t="str">
        <f t="shared" si="10"/>
        <v/>
      </c>
      <c r="X141" s="227" t="str">
        <f>IFERROR(_xlfn.XLOOKUP($A141,'Raw Data'!$A:$A,'Raw Data'!$BA:$BA),"")</f>
        <v/>
      </c>
      <c r="Y141" s="227" t="str">
        <f>IFERROR(_xlfn.XLOOKUP($A141,'Raw Data'!$A:$A,'Raw Data'!BJ:BJ),"")</f>
        <v/>
      </c>
      <c r="Z141" s="227" t="str">
        <f>IFERROR(_xlfn.XLOOKUP($A141,'Raw Data'!$A:$A,'Raw Data'!BK:BK),"")</f>
        <v/>
      </c>
      <c r="AA141" s="227" t="str">
        <f>IFERROR(_xlfn.XLOOKUP($A141,'Raw Data'!$A:$A,'Raw Data'!BL:BL),"")</f>
        <v/>
      </c>
      <c r="AB141" s="227" t="str">
        <f>IFERROR(_xlfn.XLOOKUP($A141,'Raw Data'!$A:$A,'Raw Data'!$H:$H),"")</f>
        <v/>
      </c>
      <c r="AC141" s="145">
        <f>IFERROR(_xlfn.XLOOKUP($D141,'Modelling New'!$D:$D,'Modelling New'!$P:$P),"")</f>
        <v>4.1741935483870973</v>
      </c>
      <c r="AD141" s="227">
        <f>IFERROR(_xlfn.XLOOKUP($D141,'Modelling New'!$D:$D,'Modelling New'!$T:$T)*1000,"")</f>
        <v>78067.213188687994</v>
      </c>
      <c r="AE141" s="234">
        <f>IFERROR(_xlfn.XLOOKUP($D141,'Modelling New'!$D:$D,'Modelling New'!$O:$O),"")</f>
        <v>0.76954570740685357</v>
      </c>
      <c r="AF141" s="234">
        <f>IFERROR(_xlfn.XLOOKUP($D141,'Modelling New'!$D:$D,'Modelling New'!$W:$W),"")</f>
        <v>0.13384303029361139</v>
      </c>
      <c r="AG141" s="234">
        <f>IFERROR(_xlfn.XLOOKUP($D141,'Modelling New'!$D:$D,'Modelling New'!AE:AE),"")</f>
        <v>0.995</v>
      </c>
      <c r="AH141" s="234">
        <v>0.99750000000000005</v>
      </c>
      <c r="AI141" s="6"/>
      <c r="AJ141" s="6"/>
      <c r="AK141" s="6"/>
      <c r="AL141" s="6"/>
      <c r="AM141" s="6"/>
      <c r="AN141" s="231"/>
      <c r="AO141" s="234"/>
      <c r="AP141" s="234"/>
      <c r="AQ141" s="234"/>
      <c r="AR141" s="227">
        <f>IFERROR(_xlfn.XLOOKUP($D141,'Modelling New'!$D:$D,'Modelling New'!$N:$N),"")</f>
        <v>24.303100000000001</v>
      </c>
      <c r="AS141" s="227"/>
    </row>
    <row r="142" spans="1:45" x14ac:dyDescent="0.35">
      <c r="A142" s="226">
        <f t="shared" si="9"/>
        <v>45885</v>
      </c>
      <c r="B142" s="227">
        <f>YEAR(Daily_KPI[[#This Row],[Date]])+IF(MONTH(Daily_KPI[[#This Row],[Date]])&gt;=4,1,0)</f>
        <v>2026</v>
      </c>
      <c r="C142" s="6">
        <f>YEAR(Daily_KPI[[#This Row],[Date]])</f>
        <v>2025</v>
      </c>
      <c r="D142" s="228">
        <f>Daily_KPI[[#This Row],[Date]]-DAY(Daily_KPI[[#This Row],[Date]])+1</f>
        <v>45870</v>
      </c>
      <c r="E142" s="6">
        <f t="shared" si="11"/>
        <v>31</v>
      </c>
      <c r="F142" s="229" t="str">
        <f>IFERROR(_xlfn.XLOOKUP($A142,'Raw Data'!$A:$A,'Raw Data'!$BR:$BR),"")</f>
        <v/>
      </c>
      <c r="G142" s="230" t="str">
        <f>IFERROR(_xlfn.XLOOKUP($A142,'Raw Data'!$A:$A,'Raw Data'!$AO:$AO),"")</f>
        <v/>
      </c>
      <c r="H142" s="230"/>
      <c r="I142" s="230" t="str">
        <f>IFERROR(_xlfn.XLOOKUP($A142,'Raw Data'!$A:$A,'Raw Data'!$AR:$AR),"")</f>
        <v/>
      </c>
      <c r="J142" s="230"/>
      <c r="K142" s="230" t="str">
        <f>IFERROR(_xlfn.XLOOKUP($A142,'Raw Data'!$A:$A,'Raw Data'!$AV:$AV),"")</f>
        <v/>
      </c>
      <c r="L142" s="230" t="str">
        <f>IFERROR(_xlfn.XLOOKUP($A142,'Raw Data'!$A:$A,'Raw Data'!$AW:$AW),"")</f>
        <v/>
      </c>
      <c r="M142" s="230" t="str">
        <f>IFERROR(_xlfn.XLOOKUP($A142,'Raw Data'!$A:$A,'Raw Data'!$AX:$AX),"")</f>
        <v/>
      </c>
      <c r="N142" s="230" t="str">
        <f>IFERROR(_xlfn.XLOOKUP($A142,'Raw Data'!$A:$A,'Raw Data'!$AY:$AY),"")</f>
        <v/>
      </c>
      <c r="O142" s="231" t="str">
        <f>IFERROR(1-(SUMIF('Plant BD'!$B:$B,A142,'Plant BD'!$AE:$AE)/(AA142+SUMIF('Plant BD'!$B:$B,A142,'Plant BD'!$AE:$AE))),"")</f>
        <v/>
      </c>
      <c r="P142" s="231"/>
      <c r="Q142" s="232"/>
      <c r="R142" s="231" t="str">
        <f>IFERROR(1-(SUMIF('Grid BD'!$B:$B,$A142,'Grid BD'!$AD:$AD)/($AA142+SUMIF('Grid BD'!$B:$B,$A142,'Grid BD'!AD:AD))),"")</f>
        <v/>
      </c>
      <c r="S142" s="6"/>
      <c r="T142" s="232"/>
      <c r="U142" s="233" t="str">
        <f t="shared" si="12"/>
        <v/>
      </c>
      <c r="V142" s="233"/>
      <c r="W142" s="234" t="str">
        <f t="shared" si="10"/>
        <v/>
      </c>
      <c r="X142" s="227" t="str">
        <f>IFERROR(_xlfn.XLOOKUP($A142,'Raw Data'!$A:$A,'Raw Data'!$BA:$BA),"")</f>
        <v/>
      </c>
      <c r="Y142" s="227" t="str">
        <f>IFERROR(_xlfn.XLOOKUP($A142,'Raw Data'!$A:$A,'Raw Data'!BJ:BJ),"")</f>
        <v/>
      </c>
      <c r="Z142" s="227" t="str">
        <f>IFERROR(_xlfn.XLOOKUP($A142,'Raw Data'!$A:$A,'Raw Data'!BK:BK),"")</f>
        <v/>
      </c>
      <c r="AA142" s="227" t="str">
        <f>IFERROR(_xlfn.XLOOKUP($A142,'Raw Data'!$A:$A,'Raw Data'!BL:BL),"")</f>
        <v/>
      </c>
      <c r="AB142" s="227" t="str">
        <f>IFERROR(_xlfn.XLOOKUP($A142,'Raw Data'!$A:$A,'Raw Data'!$H:$H),"")</f>
        <v/>
      </c>
      <c r="AC142" s="145">
        <f>IFERROR(_xlfn.XLOOKUP($D142,'Modelling New'!$D:$D,'Modelling New'!$P:$P),"")</f>
        <v>4.1741935483870973</v>
      </c>
      <c r="AD142" s="227">
        <f>IFERROR(_xlfn.XLOOKUP($D142,'Modelling New'!$D:$D,'Modelling New'!$T:$T)*1000,"")</f>
        <v>78067.213188687994</v>
      </c>
      <c r="AE142" s="234">
        <f>IFERROR(_xlfn.XLOOKUP($D142,'Modelling New'!$D:$D,'Modelling New'!$O:$O),"")</f>
        <v>0.76954570740685357</v>
      </c>
      <c r="AF142" s="234">
        <f>IFERROR(_xlfn.XLOOKUP($D142,'Modelling New'!$D:$D,'Modelling New'!$W:$W),"")</f>
        <v>0.13384303029361139</v>
      </c>
      <c r="AG142" s="234">
        <f>IFERROR(_xlfn.XLOOKUP($D142,'Modelling New'!$D:$D,'Modelling New'!AE:AE),"")</f>
        <v>0.995</v>
      </c>
      <c r="AH142" s="234">
        <v>0.99750000000000005</v>
      </c>
      <c r="AI142" s="6"/>
      <c r="AJ142" s="6"/>
      <c r="AK142" s="6"/>
      <c r="AL142" s="6"/>
      <c r="AM142" s="6"/>
      <c r="AN142" s="231"/>
      <c r="AO142" s="234"/>
      <c r="AP142" s="234"/>
      <c r="AQ142" s="234"/>
      <c r="AR142" s="227">
        <f>IFERROR(_xlfn.XLOOKUP($D142,'Modelling New'!$D:$D,'Modelling New'!$N:$N),"")</f>
        <v>24.303100000000001</v>
      </c>
      <c r="AS142" s="227"/>
    </row>
    <row r="143" spans="1:45" x14ac:dyDescent="0.35">
      <c r="A143" s="226">
        <f t="shared" si="9"/>
        <v>45886</v>
      </c>
      <c r="B143" s="227">
        <f>YEAR(Daily_KPI[[#This Row],[Date]])+IF(MONTH(Daily_KPI[[#This Row],[Date]])&gt;=4,1,0)</f>
        <v>2026</v>
      </c>
      <c r="C143" s="6">
        <f>YEAR(Daily_KPI[[#This Row],[Date]])</f>
        <v>2025</v>
      </c>
      <c r="D143" s="228">
        <f>Daily_KPI[[#This Row],[Date]]-DAY(Daily_KPI[[#This Row],[Date]])+1</f>
        <v>45870</v>
      </c>
      <c r="E143" s="6">
        <f t="shared" si="11"/>
        <v>31</v>
      </c>
      <c r="F143" s="229" t="str">
        <f>IFERROR(_xlfn.XLOOKUP($A143,'Raw Data'!$A:$A,'Raw Data'!$BR:$BR),"")</f>
        <v/>
      </c>
      <c r="G143" s="230" t="str">
        <f>IFERROR(_xlfn.XLOOKUP($A143,'Raw Data'!$A:$A,'Raw Data'!$AO:$AO),"")</f>
        <v/>
      </c>
      <c r="H143" s="230"/>
      <c r="I143" s="230" t="str">
        <f>IFERROR(_xlfn.XLOOKUP($A143,'Raw Data'!$A:$A,'Raw Data'!$AR:$AR),"")</f>
        <v/>
      </c>
      <c r="J143" s="230"/>
      <c r="K143" s="230" t="str">
        <f>IFERROR(_xlfn.XLOOKUP($A143,'Raw Data'!$A:$A,'Raw Data'!$AV:$AV),"")</f>
        <v/>
      </c>
      <c r="L143" s="230" t="str">
        <f>IFERROR(_xlfn.XLOOKUP($A143,'Raw Data'!$A:$A,'Raw Data'!$AW:$AW),"")</f>
        <v/>
      </c>
      <c r="M143" s="230" t="str">
        <f>IFERROR(_xlfn.XLOOKUP($A143,'Raw Data'!$A:$A,'Raw Data'!$AX:$AX),"")</f>
        <v/>
      </c>
      <c r="N143" s="230" t="str">
        <f>IFERROR(_xlfn.XLOOKUP($A143,'Raw Data'!$A:$A,'Raw Data'!$AY:$AY),"")</f>
        <v/>
      </c>
      <c r="O143" s="231" t="str">
        <f>IFERROR(1-(SUMIF('Plant BD'!$B:$B,A143,'Plant BD'!$AE:$AE)/(AA143+SUMIF('Plant BD'!$B:$B,A143,'Plant BD'!$AE:$AE))),"")</f>
        <v/>
      </c>
      <c r="P143" s="231"/>
      <c r="Q143" s="232"/>
      <c r="R143" s="231" t="str">
        <f>IFERROR(1-(SUMIF('Grid BD'!$B:$B,$A143,'Grid BD'!$AD:$AD)/($AA143+SUMIF('Grid BD'!$B:$B,$A143,'Grid BD'!AD:AD))),"")</f>
        <v/>
      </c>
      <c r="S143" s="6"/>
      <c r="T143" s="232"/>
      <c r="U143" s="233" t="str">
        <f t="shared" si="12"/>
        <v/>
      </c>
      <c r="V143" s="233"/>
      <c r="W143" s="234" t="str">
        <f t="shared" si="10"/>
        <v/>
      </c>
      <c r="X143" s="227" t="str">
        <f>IFERROR(_xlfn.XLOOKUP($A143,'Raw Data'!$A:$A,'Raw Data'!$BA:$BA),"")</f>
        <v/>
      </c>
      <c r="Y143" s="227" t="str">
        <f>IFERROR(_xlfn.XLOOKUP($A143,'Raw Data'!$A:$A,'Raw Data'!BJ:BJ),"")</f>
        <v/>
      </c>
      <c r="Z143" s="227" t="str">
        <f>IFERROR(_xlfn.XLOOKUP($A143,'Raw Data'!$A:$A,'Raw Data'!BK:BK),"")</f>
        <v/>
      </c>
      <c r="AA143" s="227" t="str">
        <f>IFERROR(_xlfn.XLOOKUP($A143,'Raw Data'!$A:$A,'Raw Data'!BL:BL),"")</f>
        <v/>
      </c>
      <c r="AB143" s="227" t="str">
        <f>IFERROR(_xlfn.XLOOKUP($A143,'Raw Data'!$A:$A,'Raw Data'!$H:$H),"")</f>
        <v/>
      </c>
      <c r="AC143" s="145">
        <f>IFERROR(_xlfn.XLOOKUP($D143,'Modelling New'!$D:$D,'Modelling New'!$P:$P),"")</f>
        <v>4.1741935483870973</v>
      </c>
      <c r="AD143" s="227">
        <f>IFERROR(_xlfn.XLOOKUP($D143,'Modelling New'!$D:$D,'Modelling New'!$T:$T)*1000,"")</f>
        <v>78067.213188687994</v>
      </c>
      <c r="AE143" s="234">
        <f>IFERROR(_xlfn.XLOOKUP($D143,'Modelling New'!$D:$D,'Modelling New'!$O:$O),"")</f>
        <v>0.76954570740685357</v>
      </c>
      <c r="AF143" s="234">
        <f>IFERROR(_xlfn.XLOOKUP($D143,'Modelling New'!$D:$D,'Modelling New'!$W:$W),"")</f>
        <v>0.13384303029361139</v>
      </c>
      <c r="AG143" s="234">
        <f>IFERROR(_xlfn.XLOOKUP($D143,'Modelling New'!$D:$D,'Modelling New'!AE:AE),"")</f>
        <v>0.995</v>
      </c>
      <c r="AH143" s="234">
        <v>0.99750000000000005</v>
      </c>
      <c r="AI143" s="6"/>
      <c r="AJ143" s="6"/>
      <c r="AK143" s="6"/>
      <c r="AL143" s="6"/>
      <c r="AM143" s="6"/>
      <c r="AN143" s="231"/>
      <c r="AO143" s="234"/>
      <c r="AP143" s="234"/>
      <c r="AQ143" s="234"/>
      <c r="AR143" s="227">
        <f>IFERROR(_xlfn.XLOOKUP($D143,'Modelling New'!$D:$D,'Modelling New'!$N:$N),"")</f>
        <v>24.303100000000001</v>
      </c>
      <c r="AS143" s="227"/>
    </row>
    <row r="144" spans="1:45" x14ac:dyDescent="0.35">
      <c r="A144" s="226">
        <f t="shared" si="9"/>
        <v>45887</v>
      </c>
      <c r="B144" s="227">
        <f>YEAR(Daily_KPI[[#This Row],[Date]])+IF(MONTH(Daily_KPI[[#This Row],[Date]])&gt;=4,1,0)</f>
        <v>2026</v>
      </c>
      <c r="C144" s="6">
        <f>YEAR(Daily_KPI[[#This Row],[Date]])</f>
        <v>2025</v>
      </c>
      <c r="D144" s="228">
        <f>Daily_KPI[[#This Row],[Date]]-DAY(Daily_KPI[[#This Row],[Date]])+1</f>
        <v>45870</v>
      </c>
      <c r="E144" s="6">
        <f t="shared" si="11"/>
        <v>31</v>
      </c>
      <c r="F144" s="229" t="str">
        <f>IFERROR(_xlfn.XLOOKUP($A144,'Raw Data'!$A:$A,'Raw Data'!$BR:$BR),"")</f>
        <v/>
      </c>
      <c r="G144" s="230" t="str">
        <f>IFERROR(_xlfn.XLOOKUP($A144,'Raw Data'!$A:$A,'Raw Data'!$AO:$AO),"")</f>
        <v/>
      </c>
      <c r="H144" s="230"/>
      <c r="I144" s="230" t="str">
        <f>IFERROR(_xlfn.XLOOKUP($A144,'Raw Data'!$A:$A,'Raw Data'!$AR:$AR),"")</f>
        <v/>
      </c>
      <c r="J144" s="230"/>
      <c r="K144" s="230" t="str">
        <f>IFERROR(_xlfn.XLOOKUP($A144,'Raw Data'!$A:$A,'Raw Data'!$AV:$AV),"")</f>
        <v/>
      </c>
      <c r="L144" s="230" t="str">
        <f>IFERROR(_xlfn.XLOOKUP($A144,'Raw Data'!$A:$A,'Raw Data'!$AW:$AW),"")</f>
        <v/>
      </c>
      <c r="M144" s="230" t="str">
        <f>IFERROR(_xlfn.XLOOKUP($A144,'Raw Data'!$A:$A,'Raw Data'!$AX:$AX),"")</f>
        <v/>
      </c>
      <c r="N144" s="230" t="str">
        <f>IFERROR(_xlfn.XLOOKUP($A144,'Raw Data'!$A:$A,'Raw Data'!$AY:$AY),"")</f>
        <v/>
      </c>
      <c r="O144" s="231" t="str">
        <f>IFERROR(1-(SUMIF('Plant BD'!$B:$B,A144,'Plant BD'!$AE:$AE)/(AA144+SUMIF('Plant BD'!$B:$B,A144,'Plant BD'!$AE:$AE))),"")</f>
        <v/>
      </c>
      <c r="P144" s="231"/>
      <c r="Q144" s="232"/>
      <c r="R144" s="231" t="str">
        <f>IFERROR(1-(SUMIF('Grid BD'!$B:$B,$A144,'Grid BD'!$AD:$AD)/($AA144+SUMIF('Grid BD'!$B:$B,$A144,'Grid BD'!AD:AD))),"")</f>
        <v/>
      </c>
      <c r="S144" s="6"/>
      <c r="T144" s="232"/>
      <c r="U144" s="233" t="str">
        <f t="shared" si="12"/>
        <v/>
      </c>
      <c r="V144" s="233"/>
      <c r="W144" s="234" t="str">
        <f t="shared" si="10"/>
        <v/>
      </c>
      <c r="X144" s="227" t="str">
        <f>IFERROR(_xlfn.XLOOKUP($A144,'Raw Data'!$A:$A,'Raw Data'!$BA:$BA),"")</f>
        <v/>
      </c>
      <c r="Y144" s="227" t="str">
        <f>IFERROR(_xlfn.XLOOKUP($A144,'Raw Data'!$A:$A,'Raw Data'!BJ:BJ),"")</f>
        <v/>
      </c>
      <c r="Z144" s="227" t="str">
        <f>IFERROR(_xlfn.XLOOKUP($A144,'Raw Data'!$A:$A,'Raw Data'!BK:BK),"")</f>
        <v/>
      </c>
      <c r="AA144" s="227" t="str">
        <f>IFERROR(_xlfn.XLOOKUP($A144,'Raw Data'!$A:$A,'Raw Data'!BL:BL),"")</f>
        <v/>
      </c>
      <c r="AB144" s="227" t="str">
        <f>IFERROR(_xlfn.XLOOKUP($A144,'Raw Data'!$A:$A,'Raw Data'!$H:$H),"")</f>
        <v/>
      </c>
      <c r="AC144" s="145">
        <f>IFERROR(_xlfn.XLOOKUP($D144,'Modelling New'!$D:$D,'Modelling New'!$P:$P),"")</f>
        <v>4.1741935483870973</v>
      </c>
      <c r="AD144" s="227">
        <f>IFERROR(_xlfn.XLOOKUP($D144,'Modelling New'!$D:$D,'Modelling New'!$T:$T)*1000,"")</f>
        <v>78067.213188687994</v>
      </c>
      <c r="AE144" s="234">
        <f>IFERROR(_xlfn.XLOOKUP($D144,'Modelling New'!$D:$D,'Modelling New'!$O:$O),"")</f>
        <v>0.76954570740685357</v>
      </c>
      <c r="AF144" s="234">
        <f>IFERROR(_xlfn.XLOOKUP($D144,'Modelling New'!$D:$D,'Modelling New'!$W:$W),"")</f>
        <v>0.13384303029361139</v>
      </c>
      <c r="AG144" s="234">
        <f>IFERROR(_xlfn.XLOOKUP($D144,'Modelling New'!$D:$D,'Modelling New'!AE:AE),"")</f>
        <v>0.995</v>
      </c>
      <c r="AH144" s="234">
        <v>0.99750000000000005</v>
      </c>
      <c r="AI144" s="6"/>
      <c r="AJ144" s="6"/>
      <c r="AK144" s="6"/>
      <c r="AL144" s="6"/>
      <c r="AM144" s="6"/>
      <c r="AN144" s="231"/>
      <c r="AO144" s="234"/>
      <c r="AP144" s="234"/>
      <c r="AQ144" s="234"/>
      <c r="AR144" s="227">
        <f>IFERROR(_xlfn.XLOOKUP($D144,'Modelling New'!$D:$D,'Modelling New'!$N:$N),"")</f>
        <v>24.303100000000001</v>
      </c>
      <c r="AS144" s="227"/>
    </row>
    <row r="145" spans="1:45" x14ac:dyDescent="0.35">
      <c r="A145" s="226">
        <f t="shared" si="9"/>
        <v>45888</v>
      </c>
      <c r="B145" s="227">
        <f>YEAR(Daily_KPI[[#This Row],[Date]])+IF(MONTH(Daily_KPI[[#This Row],[Date]])&gt;=4,1,0)</f>
        <v>2026</v>
      </c>
      <c r="C145" s="6">
        <f>YEAR(Daily_KPI[[#This Row],[Date]])</f>
        <v>2025</v>
      </c>
      <c r="D145" s="228">
        <f>Daily_KPI[[#This Row],[Date]]-DAY(Daily_KPI[[#This Row],[Date]])+1</f>
        <v>45870</v>
      </c>
      <c r="E145" s="6">
        <f t="shared" si="11"/>
        <v>31</v>
      </c>
      <c r="F145" s="229" t="str">
        <f>IFERROR(_xlfn.XLOOKUP($A145,'Raw Data'!$A:$A,'Raw Data'!$BR:$BR),"")</f>
        <v/>
      </c>
      <c r="G145" s="230" t="str">
        <f>IFERROR(_xlfn.XLOOKUP($A145,'Raw Data'!$A:$A,'Raw Data'!$AO:$AO),"")</f>
        <v/>
      </c>
      <c r="H145" s="230"/>
      <c r="I145" s="230" t="str">
        <f>IFERROR(_xlfn.XLOOKUP($A145,'Raw Data'!$A:$A,'Raw Data'!$AR:$AR),"")</f>
        <v/>
      </c>
      <c r="J145" s="230"/>
      <c r="K145" s="230" t="str">
        <f>IFERROR(_xlfn.XLOOKUP($A145,'Raw Data'!$A:$A,'Raw Data'!$AV:$AV),"")</f>
        <v/>
      </c>
      <c r="L145" s="230" t="str">
        <f>IFERROR(_xlfn.XLOOKUP($A145,'Raw Data'!$A:$A,'Raw Data'!$AW:$AW),"")</f>
        <v/>
      </c>
      <c r="M145" s="230" t="str">
        <f>IFERROR(_xlfn.XLOOKUP($A145,'Raw Data'!$A:$A,'Raw Data'!$AX:$AX),"")</f>
        <v/>
      </c>
      <c r="N145" s="230" t="str">
        <f>IFERROR(_xlfn.XLOOKUP($A145,'Raw Data'!$A:$A,'Raw Data'!$AY:$AY),"")</f>
        <v/>
      </c>
      <c r="O145" s="231" t="str">
        <f>IFERROR(1-(SUMIF('Plant BD'!$B:$B,A145,'Plant BD'!$AE:$AE)/(AA145+SUMIF('Plant BD'!$B:$B,A145,'Plant BD'!$AE:$AE))),"")</f>
        <v/>
      </c>
      <c r="P145" s="231"/>
      <c r="Q145" s="232"/>
      <c r="R145" s="231" t="str">
        <f>IFERROR(1-(SUMIF('Grid BD'!$B:$B,$A145,'Grid BD'!$AD:$AD)/($AA145+SUMIF('Grid BD'!$B:$B,$A145,'Grid BD'!AD:AD))),"")</f>
        <v/>
      </c>
      <c r="S145" s="6"/>
      <c r="T145" s="232"/>
      <c r="U145" s="233" t="str">
        <f t="shared" si="12"/>
        <v/>
      </c>
      <c r="V145" s="233"/>
      <c r="W145" s="234" t="str">
        <f t="shared" si="10"/>
        <v/>
      </c>
      <c r="X145" s="227" t="str">
        <f>IFERROR(_xlfn.XLOOKUP($A145,'Raw Data'!$A:$A,'Raw Data'!$BA:$BA),"")</f>
        <v/>
      </c>
      <c r="Y145" s="227" t="str">
        <f>IFERROR(_xlfn.XLOOKUP($A145,'Raw Data'!$A:$A,'Raw Data'!BJ:BJ),"")</f>
        <v/>
      </c>
      <c r="Z145" s="227" t="str">
        <f>IFERROR(_xlfn.XLOOKUP($A145,'Raw Data'!$A:$A,'Raw Data'!BK:BK),"")</f>
        <v/>
      </c>
      <c r="AA145" s="227" t="str">
        <f>IFERROR(_xlfn.XLOOKUP($A145,'Raw Data'!$A:$A,'Raw Data'!BL:BL),"")</f>
        <v/>
      </c>
      <c r="AB145" s="227" t="str">
        <f>IFERROR(_xlfn.XLOOKUP($A145,'Raw Data'!$A:$A,'Raw Data'!$H:$H),"")</f>
        <v/>
      </c>
      <c r="AC145" s="145">
        <f>IFERROR(_xlfn.XLOOKUP($D145,'Modelling New'!$D:$D,'Modelling New'!$P:$P),"")</f>
        <v>4.1741935483870973</v>
      </c>
      <c r="AD145" s="227">
        <f>IFERROR(_xlfn.XLOOKUP($D145,'Modelling New'!$D:$D,'Modelling New'!$T:$T)*1000,"")</f>
        <v>78067.213188687994</v>
      </c>
      <c r="AE145" s="234">
        <f>IFERROR(_xlfn.XLOOKUP($D145,'Modelling New'!$D:$D,'Modelling New'!$O:$O),"")</f>
        <v>0.76954570740685357</v>
      </c>
      <c r="AF145" s="234">
        <f>IFERROR(_xlfn.XLOOKUP($D145,'Modelling New'!$D:$D,'Modelling New'!$W:$W),"")</f>
        <v>0.13384303029361139</v>
      </c>
      <c r="AG145" s="234">
        <f>IFERROR(_xlfn.XLOOKUP($D145,'Modelling New'!$D:$D,'Modelling New'!AE:AE),"")</f>
        <v>0.995</v>
      </c>
      <c r="AH145" s="234">
        <v>0.99750000000000005</v>
      </c>
      <c r="AI145" s="6"/>
      <c r="AJ145" s="6"/>
      <c r="AK145" s="6"/>
      <c r="AL145" s="6"/>
      <c r="AM145" s="6"/>
      <c r="AN145" s="231"/>
      <c r="AO145" s="234"/>
      <c r="AP145" s="234"/>
      <c r="AQ145" s="234"/>
      <c r="AR145" s="227">
        <f>IFERROR(_xlfn.XLOOKUP($D145,'Modelling New'!$D:$D,'Modelling New'!$N:$N),"")</f>
        <v>24.303100000000001</v>
      </c>
      <c r="AS145" s="227"/>
    </row>
    <row r="146" spans="1:45" x14ac:dyDescent="0.35">
      <c r="A146" s="226">
        <f t="shared" si="9"/>
        <v>45889</v>
      </c>
      <c r="B146" s="227">
        <f>YEAR(Daily_KPI[[#This Row],[Date]])+IF(MONTH(Daily_KPI[[#This Row],[Date]])&gt;=4,1,0)</f>
        <v>2026</v>
      </c>
      <c r="C146" s="6">
        <f>YEAR(Daily_KPI[[#This Row],[Date]])</f>
        <v>2025</v>
      </c>
      <c r="D146" s="228">
        <f>Daily_KPI[[#This Row],[Date]]-DAY(Daily_KPI[[#This Row],[Date]])+1</f>
        <v>45870</v>
      </c>
      <c r="E146" s="6">
        <f t="shared" si="11"/>
        <v>31</v>
      </c>
      <c r="F146" s="229" t="str">
        <f>IFERROR(_xlfn.XLOOKUP($A146,'Raw Data'!$A:$A,'Raw Data'!$BR:$BR),"")</f>
        <v/>
      </c>
      <c r="G146" s="230" t="str">
        <f>IFERROR(_xlfn.XLOOKUP($A146,'Raw Data'!$A:$A,'Raw Data'!$AO:$AO),"")</f>
        <v/>
      </c>
      <c r="H146" s="230"/>
      <c r="I146" s="230" t="str">
        <f>IFERROR(_xlfn.XLOOKUP($A146,'Raw Data'!$A:$A,'Raw Data'!$AR:$AR),"")</f>
        <v/>
      </c>
      <c r="J146" s="230"/>
      <c r="K146" s="230" t="str">
        <f>IFERROR(_xlfn.XLOOKUP($A146,'Raw Data'!$A:$A,'Raw Data'!$AV:$AV),"")</f>
        <v/>
      </c>
      <c r="L146" s="230" t="str">
        <f>IFERROR(_xlfn.XLOOKUP($A146,'Raw Data'!$A:$A,'Raw Data'!$AW:$AW),"")</f>
        <v/>
      </c>
      <c r="M146" s="230" t="str">
        <f>IFERROR(_xlfn.XLOOKUP($A146,'Raw Data'!$A:$A,'Raw Data'!$AX:$AX),"")</f>
        <v/>
      </c>
      <c r="N146" s="230" t="str">
        <f>IFERROR(_xlfn.XLOOKUP($A146,'Raw Data'!$A:$A,'Raw Data'!$AY:$AY),"")</f>
        <v/>
      </c>
      <c r="O146" s="231" t="str">
        <f>IFERROR(1-(SUMIF('Plant BD'!$B:$B,A146,'Plant BD'!$AE:$AE)/(AA146+SUMIF('Plant BD'!$B:$B,A146,'Plant BD'!$AE:$AE))),"")</f>
        <v/>
      </c>
      <c r="P146" s="231"/>
      <c r="Q146" s="232"/>
      <c r="R146" s="231" t="str">
        <f>IFERROR(1-(SUMIF('Grid BD'!$B:$B,$A146,'Grid BD'!$AD:$AD)/($AA146+SUMIF('Grid BD'!$B:$B,$A146,'Grid BD'!AD:AD))),"")</f>
        <v/>
      </c>
      <c r="S146" s="6"/>
      <c r="T146" s="232"/>
      <c r="U146" s="233" t="str">
        <f t="shared" ref="U146:U209" si="13">IFERROR(AA146/I146/AB146/1000,"")</f>
        <v/>
      </c>
      <c r="V146" s="233"/>
      <c r="W146" s="234" t="str">
        <f t="shared" si="10"/>
        <v/>
      </c>
      <c r="X146" s="227" t="str">
        <f>IFERROR(_xlfn.XLOOKUP($A146,'Raw Data'!$A:$A,'Raw Data'!$BA:$BA),"")</f>
        <v/>
      </c>
      <c r="Y146" s="227" t="str">
        <f>IFERROR(_xlfn.XLOOKUP($A146,'Raw Data'!$A:$A,'Raw Data'!BJ:BJ),"")</f>
        <v/>
      </c>
      <c r="Z146" s="227" t="str">
        <f>IFERROR(_xlfn.XLOOKUP($A146,'Raw Data'!$A:$A,'Raw Data'!BK:BK),"")</f>
        <v/>
      </c>
      <c r="AA146" s="227" t="str">
        <f>IFERROR(_xlfn.XLOOKUP($A146,'Raw Data'!$A:$A,'Raw Data'!BL:BL),"")</f>
        <v/>
      </c>
      <c r="AB146" s="227" t="str">
        <f>IFERROR(_xlfn.XLOOKUP($A146,'Raw Data'!$A:$A,'Raw Data'!$H:$H),"")</f>
        <v/>
      </c>
      <c r="AC146" s="145">
        <f>IFERROR(_xlfn.XLOOKUP($D146,'Modelling New'!$D:$D,'Modelling New'!$P:$P),"")</f>
        <v>4.1741935483870973</v>
      </c>
      <c r="AD146" s="227">
        <f>IFERROR(_xlfn.XLOOKUP($D146,'Modelling New'!$D:$D,'Modelling New'!$T:$T)*1000,"")</f>
        <v>78067.213188687994</v>
      </c>
      <c r="AE146" s="234">
        <f>IFERROR(_xlfn.XLOOKUP($D146,'Modelling New'!$D:$D,'Modelling New'!$O:$O),"")</f>
        <v>0.76954570740685357</v>
      </c>
      <c r="AF146" s="234">
        <f>IFERROR(_xlfn.XLOOKUP($D146,'Modelling New'!$D:$D,'Modelling New'!$W:$W),"")</f>
        <v>0.13384303029361139</v>
      </c>
      <c r="AG146" s="234">
        <f>IFERROR(_xlfn.XLOOKUP($D146,'Modelling New'!$D:$D,'Modelling New'!AE:AE),"")</f>
        <v>0.995</v>
      </c>
      <c r="AH146" s="234">
        <v>0.99750000000000005</v>
      </c>
      <c r="AI146" s="6"/>
      <c r="AJ146" s="6"/>
      <c r="AK146" s="6"/>
      <c r="AL146" s="6"/>
      <c r="AM146" s="6"/>
      <c r="AN146" s="231"/>
      <c r="AO146" s="234"/>
      <c r="AP146" s="234"/>
      <c r="AQ146" s="234"/>
      <c r="AR146" s="227">
        <f>IFERROR(_xlfn.XLOOKUP($D146,'Modelling New'!$D:$D,'Modelling New'!$N:$N),"")</f>
        <v>24.303100000000001</v>
      </c>
      <c r="AS146" s="227"/>
    </row>
    <row r="147" spans="1:45" x14ac:dyDescent="0.35">
      <c r="A147" s="226">
        <f t="shared" si="9"/>
        <v>45890</v>
      </c>
      <c r="B147" s="227">
        <f>YEAR(Daily_KPI[[#This Row],[Date]])+IF(MONTH(Daily_KPI[[#This Row],[Date]])&gt;=4,1,0)</f>
        <v>2026</v>
      </c>
      <c r="C147" s="6">
        <f>YEAR(Daily_KPI[[#This Row],[Date]])</f>
        <v>2025</v>
      </c>
      <c r="D147" s="228">
        <f>Daily_KPI[[#This Row],[Date]]-DAY(Daily_KPI[[#This Row],[Date]])+1</f>
        <v>45870</v>
      </c>
      <c r="E147" s="6">
        <f t="shared" si="11"/>
        <v>31</v>
      </c>
      <c r="F147" s="229" t="str">
        <f>IFERROR(_xlfn.XLOOKUP($A147,'Raw Data'!$A:$A,'Raw Data'!$BR:$BR),"")</f>
        <v/>
      </c>
      <c r="G147" s="230" t="str">
        <f>IFERROR(_xlfn.XLOOKUP($A147,'Raw Data'!$A:$A,'Raw Data'!$AO:$AO),"")</f>
        <v/>
      </c>
      <c r="H147" s="230"/>
      <c r="I147" s="230" t="str">
        <f>IFERROR(_xlfn.XLOOKUP($A147,'Raw Data'!$A:$A,'Raw Data'!$AR:$AR),"")</f>
        <v/>
      </c>
      <c r="J147" s="230"/>
      <c r="K147" s="230" t="str">
        <f>IFERROR(_xlfn.XLOOKUP($A147,'Raw Data'!$A:$A,'Raw Data'!$AV:$AV),"")</f>
        <v/>
      </c>
      <c r="L147" s="230" t="str">
        <f>IFERROR(_xlfn.XLOOKUP($A147,'Raw Data'!$A:$A,'Raw Data'!$AW:$AW),"")</f>
        <v/>
      </c>
      <c r="M147" s="230" t="str">
        <f>IFERROR(_xlfn.XLOOKUP($A147,'Raw Data'!$A:$A,'Raw Data'!$AX:$AX),"")</f>
        <v/>
      </c>
      <c r="N147" s="230" t="str">
        <f>IFERROR(_xlfn.XLOOKUP($A147,'Raw Data'!$A:$A,'Raw Data'!$AY:$AY),"")</f>
        <v/>
      </c>
      <c r="O147" s="231" t="str">
        <f>IFERROR(1-(SUMIF('Plant BD'!$B:$B,A147,'Plant BD'!$AE:$AE)/(AA147+SUMIF('Plant BD'!$B:$B,A147,'Plant BD'!$AE:$AE))),"")</f>
        <v/>
      </c>
      <c r="P147" s="231"/>
      <c r="Q147" s="232"/>
      <c r="R147" s="231" t="str">
        <f>IFERROR(1-(SUMIF('Grid BD'!$B:$B,$A147,'Grid BD'!$AD:$AD)/($AA147+SUMIF('Grid BD'!$B:$B,$A147,'Grid BD'!AD:AD))),"")</f>
        <v/>
      </c>
      <c r="S147" s="6"/>
      <c r="T147" s="232"/>
      <c r="U147" s="233" t="str">
        <f t="shared" si="13"/>
        <v/>
      </c>
      <c r="V147" s="233"/>
      <c r="W147" s="234" t="str">
        <f t="shared" si="10"/>
        <v/>
      </c>
      <c r="X147" s="227" t="str">
        <f>IFERROR(_xlfn.XLOOKUP($A147,'Raw Data'!$A:$A,'Raw Data'!$BA:$BA),"")</f>
        <v/>
      </c>
      <c r="Y147" s="227" t="str">
        <f>IFERROR(_xlfn.XLOOKUP($A147,'Raw Data'!$A:$A,'Raw Data'!BJ:BJ),"")</f>
        <v/>
      </c>
      <c r="Z147" s="227" t="str">
        <f>IFERROR(_xlfn.XLOOKUP($A147,'Raw Data'!$A:$A,'Raw Data'!BK:BK),"")</f>
        <v/>
      </c>
      <c r="AA147" s="227" t="str">
        <f>IFERROR(_xlfn.XLOOKUP($A147,'Raw Data'!$A:$A,'Raw Data'!BL:BL),"")</f>
        <v/>
      </c>
      <c r="AB147" s="227" t="str">
        <f>IFERROR(_xlfn.XLOOKUP($A147,'Raw Data'!$A:$A,'Raw Data'!$H:$H),"")</f>
        <v/>
      </c>
      <c r="AC147" s="145">
        <f>IFERROR(_xlfn.XLOOKUP($D147,'Modelling New'!$D:$D,'Modelling New'!$P:$P),"")</f>
        <v>4.1741935483870973</v>
      </c>
      <c r="AD147" s="227">
        <f>IFERROR(_xlfn.XLOOKUP($D147,'Modelling New'!$D:$D,'Modelling New'!$T:$T)*1000,"")</f>
        <v>78067.213188687994</v>
      </c>
      <c r="AE147" s="234">
        <f>IFERROR(_xlfn.XLOOKUP($D147,'Modelling New'!$D:$D,'Modelling New'!$O:$O),"")</f>
        <v>0.76954570740685357</v>
      </c>
      <c r="AF147" s="234">
        <f>IFERROR(_xlfn.XLOOKUP($D147,'Modelling New'!$D:$D,'Modelling New'!$W:$W),"")</f>
        <v>0.13384303029361139</v>
      </c>
      <c r="AG147" s="234">
        <f>IFERROR(_xlfn.XLOOKUP($D147,'Modelling New'!$D:$D,'Modelling New'!AE:AE),"")</f>
        <v>0.995</v>
      </c>
      <c r="AH147" s="234">
        <v>0.99750000000000005</v>
      </c>
      <c r="AI147" s="6"/>
      <c r="AJ147" s="6"/>
      <c r="AK147" s="6"/>
      <c r="AL147" s="6"/>
      <c r="AM147" s="6"/>
      <c r="AN147" s="231"/>
      <c r="AO147" s="234"/>
      <c r="AP147" s="234"/>
      <c r="AQ147" s="234"/>
      <c r="AR147" s="227">
        <f>IFERROR(_xlfn.XLOOKUP($D147,'Modelling New'!$D:$D,'Modelling New'!$N:$N),"")</f>
        <v>24.303100000000001</v>
      </c>
      <c r="AS147" s="227"/>
    </row>
    <row r="148" spans="1:45" x14ac:dyDescent="0.35">
      <c r="A148" s="226">
        <f t="shared" ref="A148:A211" si="14">A147+1</f>
        <v>45891</v>
      </c>
      <c r="B148" s="227">
        <f>YEAR(Daily_KPI[[#This Row],[Date]])+IF(MONTH(Daily_KPI[[#This Row],[Date]])&gt;=4,1,0)</f>
        <v>2026</v>
      </c>
      <c r="C148" s="6">
        <f>YEAR(Daily_KPI[[#This Row],[Date]])</f>
        <v>2025</v>
      </c>
      <c r="D148" s="228">
        <f>Daily_KPI[[#This Row],[Date]]-DAY(Daily_KPI[[#This Row],[Date]])+1</f>
        <v>45870</v>
      </c>
      <c r="E148" s="6">
        <f t="shared" si="11"/>
        <v>31</v>
      </c>
      <c r="F148" s="229" t="str">
        <f>IFERROR(_xlfn.XLOOKUP($A148,'Raw Data'!$A:$A,'Raw Data'!$BR:$BR),"")</f>
        <v/>
      </c>
      <c r="G148" s="230" t="str">
        <f>IFERROR(_xlfn.XLOOKUP($A148,'Raw Data'!$A:$A,'Raw Data'!$AO:$AO),"")</f>
        <v/>
      </c>
      <c r="H148" s="230"/>
      <c r="I148" s="230" t="str">
        <f>IFERROR(_xlfn.XLOOKUP($A148,'Raw Data'!$A:$A,'Raw Data'!$AR:$AR),"")</f>
        <v/>
      </c>
      <c r="J148" s="230"/>
      <c r="K148" s="230" t="str">
        <f>IFERROR(_xlfn.XLOOKUP($A148,'Raw Data'!$A:$A,'Raw Data'!$AV:$AV),"")</f>
        <v/>
      </c>
      <c r="L148" s="230" t="str">
        <f>IFERROR(_xlfn.XLOOKUP($A148,'Raw Data'!$A:$A,'Raw Data'!$AW:$AW),"")</f>
        <v/>
      </c>
      <c r="M148" s="230" t="str">
        <f>IFERROR(_xlfn.XLOOKUP($A148,'Raw Data'!$A:$A,'Raw Data'!$AX:$AX),"")</f>
        <v/>
      </c>
      <c r="N148" s="230" t="str">
        <f>IFERROR(_xlfn.XLOOKUP($A148,'Raw Data'!$A:$A,'Raw Data'!$AY:$AY),"")</f>
        <v/>
      </c>
      <c r="O148" s="231" t="str">
        <f>IFERROR(1-(SUMIF('Plant BD'!$B:$B,A148,'Plant BD'!$AE:$AE)/(AA148+SUMIF('Plant BD'!$B:$B,A148,'Plant BD'!$AE:$AE))),"")</f>
        <v/>
      </c>
      <c r="P148" s="231"/>
      <c r="Q148" s="232"/>
      <c r="R148" s="231" t="str">
        <f>IFERROR(1-(SUMIF('Grid BD'!$B:$B,$A148,'Grid BD'!$AD:$AD)/($AA148+SUMIF('Grid BD'!$B:$B,$A148,'Grid BD'!AD:AD))),"")</f>
        <v/>
      </c>
      <c r="S148" s="6"/>
      <c r="T148" s="232"/>
      <c r="U148" s="233" t="str">
        <f t="shared" si="13"/>
        <v/>
      </c>
      <c r="V148" s="233"/>
      <c r="W148" s="234" t="str">
        <f t="shared" si="10"/>
        <v/>
      </c>
      <c r="X148" s="227" t="str">
        <f>IFERROR(_xlfn.XLOOKUP($A148,'Raw Data'!$A:$A,'Raw Data'!$BA:$BA),"")</f>
        <v/>
      </c>
      <c r="Y148" s="227" t="str">
        <f>IFERROR(_xlfn.XLOOKUP($A148,'Raw Data'!$A:$A,'Raw Data'!BJ:BJ),"")</f>
        <v/>
      </c>
      <c r="Z148" s="227" t="str">
        <f>IFERROR(_xlfn.XLOOKUP($A148,'Raw Data'!$A:$A,'Raw Data'!BK:BK),"")</f>
        <v/>
      </c>
      <c r="AA148" s="227" t="str">
        <f>IFERROR(_xlfn.XLOOKUP($A148,'Raw Data'!$A:$A,'Raw Data'!BL:BL),"")</f>
        <v/>
      </c>
      <c r="AB148" s="227" t="str">
        <f>IFERROR(_xlfn.XLOOKUP($A148,'Raw Data'!$A:$A,'Raw Data'!$H:$H),"")</f>
        <v/>
      </c>
      <c r="AC148" s="145">
        <f>IFERROR(_xlfn.XLOOKUP($D148,'Modelling New'!$D:$D,'Modelling New'!$P:$P),"")</f>
        <v>4.1741935483870973</v>
      </c>
      <c r="AD148" s="227">
        <f>IFERROR(_xlfn.XLOOKUP($D148,'Modelling New'!$D:$D,'Modelling New'!$T:$T)*1000,"")</f>
        <v>78067.213188687994</v>
      </c>
      <c r="AE148" s="234">
        <f>IFERROR(_xlfn.XLOOKUP($D148,'Modelling New'!$D:$D,'Modelling New'!$O:$O),"")</f>
        <v>0.76954570740685357</v>
      </c>
      <c r="AF148" s="234">
        <f>IFERROR(_xlfn.XLOOKUP($D148,'Modelling New'!$D:$D,'Modelling New'!$W:$W),"")</f>
        <v>0.13384303029361139</v>
      </c>
      <c r="AG148" s="234">
        <f>IFERROR(_xlfn.XLOOKUP($D148,'Modelling New'!$D:$D,'Modelling New'!AE:AE),"")</f>
        <v>0.995</v>
      </c>
      <c r="AH148" s="234">
        <v>0.99750000000000005</v>
      </c>
      <c r="AI148" s="6"/>
      <c r="AJ148" s="6"/>
      <c r="AK148" s="6"/>
      <c r="AL148" s="6"/>
      <c r="AM148" s="6"/>
      <c r="AN148" s="231"/>
      <c r="AO148" s="234"/>
      <c r="AP148" s="234"/>
      <c r="AQ148" s="234"/>
      <c r="AR148" s="227">
        <f>IFERROR(_xlfn.XLOOKUP($D148,'Modelling New'!$D:$D,'Modelling New'!$N:$N),"")</f>
        <v>24.303100000000001</v>
      </c>
      <c r="AS148" s="227"/>
    </row>
    <row r="149" spans="1:45" x14ac:dyDescent="0.35">
      <c r="A149" s="226">
        <f t="shared" si="14"/>
        <v>45892</v>
      </c>
      <c r="B149" s="227">
        <f>YEAR(Daily_KPI[[#This Row],[Date]])+IF(MONTH(Daily_KPI[[#This Row],[Date]])&gt;=4,1,0)</f>
        <v>2026</v>
      </c>
      <c r="C149" s="6">
        <f>YEAR(Daily_KPI[[#This Row],[Date]])</f>
        <v>2025</v>
      </c>
      <c r="D149" s="228">
        <f>Daily_KPI[[#This Row],[Date]]-DAY(Daily_KPI[[#This Row],[Date]])+1</f>
        <v>45870</v>
      </c>
      <c r="E149" s="6">
        <f t="shared" si="11"/>
        <v>31</v>
      </c>
      <c r="F149" s="229" t="str">
        <f>IFERROR(_xlfn.XLOOKUP($A149,'Raw Data'!$A:$A,'Raw Data'!$BR:$BR),"")</f>
        <v/>
      </c>
      <c r="G149" s="230" t="str">
        <f>IFERROR(_xlfn.XLOOKUP($A149,'Raw Data'!$A:$A,'Raw Data'!$AO:$AO),"")</f>
        <v/>
      </c>
      <c r="H149" s="230"/>
      <c r="I149" s="230" t="str">
        <f>IFERROR(_xlfn.XLOOKUP($A149,'Raw Data'!$A:$A,'Raw Data'!$AR:$AR),"")</f>
        <v/>
      </c>
      <c r="J149" s="230"/>
      <c r="K149" s="230" t="str">
        <f>IFERROR(_xlfn.XLOOKUP($A149,'Raw Data'!$A:$A,'Raw Data'!$AV:$AV),"")</f>
        <v/>
      </c>
      <c r="L149" s="230" t="str">
        <f>IFERROR(_xlfn.XLOOKUP($A149,'Raw Data'!$A:$A,'Raw Data'!$AW:$AW),"")</f>
        <v/>
      </c>
      <c r="M149" s="230" t="str">
        <f>IFERROR(_xlfn.XLOOKUP($A149,'Raw Data'!$A:$A,'Raw Data'!$AX:$AX),"")</f>
        <v/>
      </c>
      <c r="N149" s="230" t="str">
        <f>IFERROR(_xlfn.XLOOKUP($A149,'Raw Data'!$A:$A,'Raw Data'!$AY:$AY),"")</f>
        <v/>
      </c>
      <c r="O149" s="231" t="str">
        <f>IFERROR(1-(SUMIF('Plant BD'!$B:$B,A149,'Plant BD'!$AE:$AE)/(AA149+SUMIF('Plant BD'!$B:$B,A149,'Plant BD'!$AE:$AE))),"")</f>
        <v/>
      </c>
      <c r="P149" s="231"/>
      <c r="Q149" s="232"/>
      <c r="R149" s="231" t="str">
        <f>IFERROR(1-(SUMIF('Grid BD'!$B:$B,$A149,'Grid BD'!$AD:$AD)/($AA149+SUMIF('Grid BD'!$B:$B,$A149,'Grid BD'!AD:AD))),"")</f>
        <v/>
      </c>
      <c r="S149" s="6"/>
      <c r="T149" s="232"/>
      <c r="U149" s="233" t="str">
        <f t="shared" si="13"/>
        <v/>
      </c>
      <c r="V149" s="233"/>
      <c r="W149" s="234" t="str">
        <f t="shared" si="10"/>
        <v/>
      </c>
      <c r="X149" s="227" t="str">
        <f>IFERROR(_xlfn.XLOOKUP($A149,'Raw Data'!$A:$A,'Raw Data'!$BA:$BA),"")</f>
        <v/>
      </c>
      <c r="Y149" s="227" t="str">
        <f>IFERROR(_xlfn.XLOOKUP($A149,'Raw Data'!$A:$A,'Raw Data'!BJ:BJ),"")</f>
        <v/>
      </c>
      <c r="Z149" s="227" t="str">
        <f>IFERROR(_xlfn.XLOOKUP($A149,'Raw Data'!$A:$A,'Raw Data'!BK:BK),"")</f>
        <v/>
      </c>
      <c r="AA149" s="227" t="str">
        <f>IFERROR(_xlfn.XLOOKUP($A149,'Raw Data'!$A:$A,'Raw Data'!BL:BL),"")</f>
        <v/>
      </c>
      <c r="AB149" s="227" t="str">
        <f>IFERROR(_xlfn.XLOOKUP($A149,'Raw Data'!$A:$A,'Raw Data'!$H:$H),"")</f>
        <v/>
      </c>
      <c r="AC149" s="145">
        <f>IFERROR(_xlfn.XLOOKUP($D149,'Modelling New'!$D:$D,'Modelling New'!$P:$P),"")</f>
        <v>4.1741935483870973</v>
      </c>
      <c r="AD149" s="227">
        <f>IFERROR(_xlfn.XLOOKUP($D149,'Modelling New'!$D:$D,'Modelling New'!$T:$T)*1000,"")</f>
        <v>78067.213188687994</v>
      </c>
      <c r="AE149" s="234">
        <f>IFERROR(_xlfn.XLOOKUP($D149,'Modelling New'!$D:$D,'Modelling New'!$O:$O),"")</f>
        <v>0.76954570740685357</v>
      </c>
      <c r="AF149" s="234">
        <f>IFERROR(_xlfn.XLOOKUP($D149,'Modelling New'!$D:$D,'Modelling New'!$W:$W),"")</f>
        <v>0.13384303029361139</v>
      </c>
      <c r="AG149" s="234">
        <f>IFERROR(_xlfn.XLOOKUP($D149,'Modelling New'!$D:$D,'Modelling New'!AE:AE),"")</f>
        <v>0.995</v>
      </c>
      <c r="AH149" s="234">
        <v>0.99750000000000005</v>
      </c>
      <c r="AI149" s="6"/>
      <c r="AJ149" s="6"/>
      <c r="AK149" s="6"/>
      <c r="AL149" s="6"/>
      <c r="AM149" s="6"/>
      <c r="AN149" s="231"/>
      <c r="AO149" s="234"/>
      <c r="AP149" s="234"/>
      <c r="AQ149" s="234"/>
      <c r="AR149" s="227">
        <f>IFERROR(_xlfn.XLOOKUP($D149,'Modelling New'!$D:$D,'Modelling New'!$N:$N),"")</f>
        <v>24.303100000000001</v>
      </c>
      <c r="AS149" s="227"/>
    </row>
    <row r="150" spans="1:45" x14ac:dyDescent="0.35">
      <c r="A150" s="226">
        <f t="shared" si="14"/>
        <v>45893</v>
      </c>
      <c r="B150" s="227">
        <f>YEAR(Daily_KPI[[#This Row],[Date]])+IF(MONTH(Daily_KPI[[#This Row],[Date]])&gt;=4,1,0)</f>
        <v>2026</v>
      </c>
      <c r="C150" s="6">
        <f>YEAR(Daily_KPI[[#This Row],[Date]])</f>
        <v>2025</v>
      </c>
      <c r="D150" s="228">
        <f>Daily_KPI[[#This Row],[Date]]-DAY(Daily_KPI[[#This Row],[Date]])+1</f>
        <v>45870</v>
      </c>
      <c r="E150" s="6">
        <f t="shared" si="11"/>
        <v>31</v>
      </c>
      <c r="F150" s="229" t="str">
        <f>IFERROR(_xlfn.XLOOKUP($A150,'Raw Data'!$A:$A,'Raw Data'!$BR:$BR),"")</f>
        <v/>
      </c>
      <c r="G150" s="230" t="str">
        <f>IFERROR(_xlfn.XLOOKUP($A150,'Raw Data'!$A:$A,'Raw Data'!$AO:$AO),"")</f>
        <v/>
      </c>
      <c r="H150" s="230"/>
      <c r="I150" s="230" t="str">
        <f>IFERROR(_xlfn.XLOOKUP($A150,'Raw Data'!$A:$A,'Raw Data'!$AR:$AR),"")</f>
        <v/>
      </c>
      <c r="J150" s="230"/>
      <c r="K150" s="230" t="str">
        <f>IFERROR(_xlfn.XLOOKUP($A150,'Raw Data'!$A:$A,'Raw Data'!$AV:$AV),"")</f>
        <v/>
      </c>
      <c r="L150" s="230" t="str">
        <f>IFERROR(_xlfn.XLOOKUP($A150,'Raw Data'!$A:$A,'Raw Data'!$AW:$AW),"")</f>
        <v/>
      </c>
      <c r="M150" s="230" t="str">
        <f>IFERROR(_xlfn.XLOOKUP($A150,'Raw Data'!$A:$A,'Raw Data'!$AX:$AX),"")</f>
        <v/>
      </c>
      <c r="N150" s="230" t="str">
        <f>IFERROR(_xlfn.XLOOKUP($A150,'Raw Data'!$A:$A,'Raw Data'!$AY:$AY),"")</f>
        <v/>
      </c>
      <c r="O150" s="231" t="str">
        <f>IFERROR(1-(SUMIF('Plant BD'!$B:$B,A150,'Plant BD'!$AE:$AE)/(AA150+SUMIF('Plant BD'!$B:$B,A150,'Plant BD'!$AE:$AE))),"")</f>
        <v/>
      </c>
      <c r="P150" s="231"/>
      <c r="Q150" s="232"/>
      <c r="R150" s="231" t="str">
        <f>IFERROR(1-(SUMIF('Grid BD'!$B:$B,$A150,'Grid BD'!$AD:$AD)/($AA150+SUMIF('Grid BD'!$B:$B,$A150,'Grid BD'!AD:AD))),"")</f>
        <v/>
      </c>
      <c r="S150" s="6"/>
      <c r="T150" s="232"/>
      <c r="U150" s="233" t="str">
        <f t="shared" si="13"/>
        <v/>
      </c>
      <c r="V150" s="233"/>
      <c r="W150" s="234" t="str">
        <f t="shared" si="10"/>
        <v/>
      </c>
      <c r="X150" s="227" t="str">
        <f>IFERROR(_xlfn.XLOOKUP($A150,'Raw Data'!$A:$A,'Raw Data'!$BA:$BA),"")</f>
        <v/>
      </c>
      <c r="Y150" s="227" t="str">
        <f>IFERROR(_xlfn.XLOOKUP($A150,'Raw Data'!$A:$A,'Raw Data'!BJ:BJ),"")</f>
        <v/>
      </c>
      <c r="Z150" s="227" t="str">
        <f>IFERROR(_xlfn.XLOOKUP($A150,'Raw Data'!$A:$A,'Raw Data'!BK:BK),"")</f>
        <v/>
      </c>
      <c r="AA150" s="227" t="str">
        <f>IFERROR(_xlfn.XLOOKUP($A150,'Raw Data'!$A:$A,'Raw Data'!BL:BL),"")</f>
        <v/>
      </c>
      <c r="AB150" s="227" t="str">
        <f>IFERROR(_xlfn.XLOOKUP($A150,'Raw Data'!$A:$A,'Raw Data'!$H:$H),"")</f>
        <v/>
      </c>
      <c r="AC150" s="145">
        <f>IFERROR(_xlfn.XLOOKUP($D150,'Modelling New'!$D:$D,'Modelling New'!$P:$P),"")</f>
        <v>4.1741935483870973</v>
      </c>
      <c r="AD150" s="227">
        <f>IFERROR(_xlfn.XLOOKUP($D150,'Modelling New'!$D:$D,'Modelling New'!$T:$T)*1000,"")</f>
        <v>78067.213188687994</v>
      </c>
      <c r="AE150" s="234">
        <f>IFERROR(_xlfn.XLOOKUP($D150,'Modelling New'!$D:$D,'Modelling New'!$O:$O),"")</f>
        <v>0.76954570740685357</v>
      </c>
      <c r="AF150" s="234">
        <f>IFERROR(_xlfn.XLOOKUP($D150,'Modelling New'!$D:$D,'Modelling New'!$W:$W),"")</f>
        <v>0.13384303029361139</v>
      </c>
      <c r="AG150" s="234">
        <f>IFERROR(_xlfn.XLOOKUP($D150,'Modelling New'!$D:$D,'Modelling New'!AE:AE),"")</f>
        <v>0.995</v>
      </c>
      <c r="AH150" s="234">
        <v>0.99750000000000005</v>
      </c>
      <c r="AI150" s="6"/>
      <c r="AJ150" s="6"/>
      <c r="AK150" s="6"/>
      <c r="AL150" s="6"/>
      <c r="AM150" s="6"/>
      <c r="AN150" s="231"/>
      <c r="AO150" s="234"/>
      <c r="AP150" s="234"/>
      <c r="AQ150" s="234"/>
      <c r="AR150" s="227">
        <f>IFERROR(_xlfn.XLOOKUP($D150,'Modelling New'!$D:$D,'Modelling New'!$N:$N),"")</f>
        <v>24.303100000000001</v>
      </c>
      <c r="AS150" s="227"/>
    </row>
    <row r="151" spans="1:45" x14ac:dyDescent="0.35">
      <c r="A151" s="226">
        <f t="shared" si="14"/>
        <v>45894</v>
      </c>
      <c r="B151" s="227">
        <f>YEAR(Daily_KPI[[#This Row],[Date]])+IF(MONTH(Daily_KPI[[#This Row],[Date]])&gt;=4,1,0)</f>
        <v>2026</v>
      </c>
      <c r="C151" s="6">
        <f>YEAR(Daily_KPI[[#This Row],[Date]])</f>
        <v>2025</v>
      </c>
      <c r="D151" s="228">
        <f>Daily_KPI[[#This Row],[Date]]-DAY(Daily_KPI[[#This Row],[Date]])+1</f>
        <v>45870</v>
      </c>
      <c r="E151" s="6">
        <f t="shared" si="11"/>
        <v>31</v>
      </c>
      <c r="F151" s="229" t="str">
        <f>IFERROR(_xlfn.XLOOKUP($A151,'Raw Data'!$A:$A,'Raw Data'!$BR:$BR),"")</f>
        <v/>
      </c>
      <c r="G151" s="230" t="str">
        <f>IFERROR(_xlfn.XLOOKUP($A151,'Raw Data'!$A:$A,'Raw Data'!$AO:$AO),"")</f>
        <v/>
      </c>
      <c r="H151" s="230"/>
      <c r="I151" s="230" t="str">
        <f>IFERROR(_xlfn.XLOOKUP($A151,'Raw Data'!$A:$A,'Raw Data'!$AR:$AR),"")</f>
        <v/>
      </c>
      <c r="J151" s="230"/>
      <c r="K151" s="230" t="str">
        <f>IFERROR(_xlfn.XLOOKUP($A151,'Raw Data'!$A:$A,'Raw Data'!$AV:$AV),"")</f>
        <v/>
      </c>
      <c r="L151" s="230" t="str">
        <f>IFERROR(_xlfn.XLOOKUP($A151,'Raw Data'!$A:$A,'Raw Data'!$AW:$AW),"")</f>
        <v/>
      </c>
      <c r="M151" s="230" t="str">
        <f>IFERROR(_xlfn.XLOOKUP($A151,'Raw Data'!$A:$A,'Raw Data'!$AX:$AX),"")</f>
        <v/>
      </c>
      <c r="N151" s="230" t="str">
        <f>IFERROR(_xlfn.XLOOKUP($A151,'Raw Data'!$A:$A,'Raw Data'!$AY:$AY),"")</f>
        <v/>
      </c>
      <c r="O151" s="231" t="str">
        <f>IFERROR(1-(SUMIF('Plant BD'!$B:$B,A151,'Plant BD'!$AE:$AE)/(AA151+SUMIF('Plant BD'!$B:$B,A151,'Plant BD'!$AE:$AE))),"")</f>
        <v/>
      </c>
      <c r="P151" s="231"/>
      <c r="Q151" s="232"/>
      <c r="R151" s="231" t="str">
        <f>IFERROR(1-(SUMIF('Grid BD'!$B:$B,$A151,'Grid BD'!$AD:$AD)/($AA151+SUMIF('Grid BD'!$B:$B,$A151,'Grid BD'!AD:AD))),"")</f>
        <v/>
      </c>
      <c r="S151" s="6"/>
      <c r="T151" s="232"/>
      <c r="U151" s="233" t="str">
        <f t="shared" si="13"/>
        <v/>
      </c>
      <c r="V151" s="233"/>
      <c r="W151" s="234" t="str">
        <f t="shared" si="10"/>
        <v/>
      </c>
      <c r="X151" s="227" t="str">
        <f>IFERROR(_xlfn.XLOOKUP($A151,'Raw Data'!$A:$A,'Raw Data'!$BA:$BA),"")</f>
        <v/>
      </c>
      <c r="Y151" s="227" t="str">
        <f>IFERROR(_xlfn.XLOOKUP($A151,'Raw Data'!$A:$A,'Raw Data'!BJ:BJ),"")</f>
        <v/>
      </c>
      <c r="Z151" s="227" t="str">
        <f>IFERROR(_xlfn.XLOOKUP($A151,'Raw Data'!$A:$A,'Raw Data'!BK:BK),"")</f>
        <v/>
      </c>
      <c r="AA151" s="227" t="str">
        <f>IFERROR(_xlfn.XLOOKUP($A151,'Raw Data'!$A:$A,'Raw Data'!BL:BL),"")</f>
        <v/>
      </c>
      <c r="AB151" s="227" t="str">
        <f>IFERROR(_xlfn.XLOOKUP($A151,'Raw Data'!$A:$A,'Raw Data'!$H:$H),"")</f>
        <v/>
      </c>
      <c r="AC151" s="145">
        <f>IFERROR(_xlfn.XLOOKUP($D151,'Modelling New'!$D:$D,'Modelling New'!$P:$P),"")</f>
        <v>4.1741935483870973</v>
      </c>
      <c r="AD151" s="227">
        <f>IFERROR(_xlfn.XLOOKUP($D151,'Modelling New'!$D:$D,'Modelling New'!$T:$T)*1000,"")</f>
        <v>78067.213188687994</v>
      </c>
      <c r="AE151" s="234">
        <f>IFERROR(_xlfn.XLOOKUP($D151,'Modelling New'!$D:$D,'Modelling New'!$O:$O),"")</f>
        <v>0.76954570740685357</v>
      </c>
      <c r="AF151" s="234">
        <f>IFERROR(_xlfn.XLOOKUP($D151,'Modelling New'!$D:$D,'Modelling New'!$W:$W),"")</f>
        <v>0.13384303029361139</v>
      </c>
      <c r="AG151" s="234">
        <f>IFERROR(_xlfn.XLOOKUP($D151,'Modelling New'!$D:$D,'Modelling New'!AE:AE),"")</f>
        <v>0.995</v>
      </c>
      <c r="AH151" s="234">
        <v>0.99750000000000005</v>
      </c>
      <c r="AI151" s="6"/>
      <c r="AJ151" s="6"/>
      <c r="AK151" s="6"/>
      <c r="AL151" s="6"/>
      <c r="AM151" s="6"/>
      <c r="AN151" s="231"/>
      <c r="AO151" s="234"/>
      <c r="AP151" s="234"/>
      <c r="AQ151" s="234"/>
      <c r="AR151" s="227">
        <f>IFERROR(_xlfn.XLOOKUP($D151,'Modelling New'!$D:$D,'Modelling New'!$N:$N),"")</f>
        <v>24.303100000000001</v>
      </c>
      <c r="AS151" s="227"/>
    </row>
    <row r="152" spans="1:45" x14ac:dyDescent="0.35">
      <c r="A152" s="226">
        <f t="shared" si="14"/>
        <v>45895</v>
      </c>
      <c r="B152" s="227">
        <f>YEAR(Daily_KPI[[#This Row],[Date]])+IF(MONTH(Daily_KPI[[#This Row],[Date]])&gt;=4,1,0)</f>
        <v>2026</v>
      </c>
      <c r="C152" s="6">
        <f>YEAR(Daily_KPI[[#This Row],[Date]])</f>
        <v>2025</v>
      </c>
      <c r="D152" s="228">
        <f>Daily_KPI[[#This Row],[Date]]-DAY(Daily_KPI[[#This Row],[Date]])+1</f>
        <v>45870</v>
      </c>
      <c r="E152" s="6">
        <f t="shared" si="11"/>
        <v>31</v>
      </c>
      <c r="F152" s="229" t="str">
        <f>IFERROR(_xlfn.XLOOKUP($A152,'Raw Data'!$A:$A,'Raw Data'!$BR:$BR),"")</f>
        <v/>
      </c>
      <c r="G152" s="230" t="str">
        <f>IFERROR(_xlfn.XLOOKUP($A152,'Raw Data'!$A:$A,'Raw Data'!$AO:$AO),"")</f>
        <v/>
      </c>
      <c r="H152" s="230"/>
      <c r="I152" s="230" t="str">
        <f>IFERROR(_xlfn.XLOOKUP($A152,'Raw Data'!$A:$A,'Raw Data'!$AR:$AR),"")</f>
        <v/>
      </c>
      <c r="J152" s="230"/>
      <c r="K152" s="230" t="str">
        <f>IFERROR(_xlfn.XLOOKUP($A152,'Raw Data'!$A:$A,'Raw Data'!$AV:$AV),"")</f>
        <v/>
      </c>
      <c r="L152" s="230" t="str">
        <f>IFERROR(_xlfn.XLOOKUP($A152,'Raw Data'!$A:$A,'Raw Data'!$AW:$AW),"")</f>
        <v/>
      </c>
      <c r="M152" s="230" t="str">
        <f>IFERROR(_xlfn.XLOOKUP($A152,'Raw Data'!$A:$A,'Raw Data'!$AX:$AX),"")</f>
        <v/>
      </c>
      <c r="N152" s="230" t="str">
        <f>IFERROR(_xlfn.XLOOKUP($A152,'Raw Data'!$A:$A,'Raw Data'!$AY:$AY),"")</f>
        <v/>
      </c>
      <c r="O152" s="231" t="str">
        <f>IFERROR(1-(SUMIF('Plant BD'!$B:$B,A152,'Plant BD'!$AE:$AE)/(AA152+SUMIF('Plant BD'!$B:$B,A152,'Plant BD'!$AE:$AE))),"")</f>
        <v/>
      </c>
      <c r="P152" s="231"/>
      <c r="Q152" s="232"/>
      <c r="R152" s="231" t="str">
        <f>IFERROR(1-(SUMIF('Grid BD'!$B:$B,$A152,'Grid BD'!$AD:$AD)/($AA152+SUMIF('Grid BD'!$B:$B,$A152,'Grid BD'!AD:AD))),"")</f>
        <v/>
      </c>
      <c r="S152" s="6"/>
      <c r="T152" s="232"/>
      <c r="U152" s="233" t="str">
        <f t="shared" si="13"/>
        <v/>
      </c>
      <c r="V152" s="233"/>
      <c r="W152" s="234" t="str">
        <f t="shared" si="10"/>
        <v/>
      </c>
      <c r="X152" s="227" t="str">
        <f>IFERROR(_xlfn.XLOOKUP($A152,'Raw Data'!$A:$A,'Raw Data'!$BA:$BA),"")</f>
        <v/>
      </c>
      <c r="Y152" s="227" t="str">
        <f>IFERROR(_xlfn.XLOOKUP($A152,'Raw Data'!$A:$A,'Raw Data'!BJ:BJ),"")</f>
        <v/>
      </c>
      <c r="Z152" s="227" t="str">
        <f>IFERROR(_xlfn.XLOOKUP($A152,'Raw Data'!$A:$A,'Raw Data'!BK:BK),"")</f>
        <v/>
      </c>
      <c r="AA152" s="227" t="str">
        <f>IFERROR(_xlfn.XLOOKUP($A152,'Raw Data'!$A:$A,'Raw Data'!BL:BL),"")</f>
        <v/>
      </c>
      <c r="AB152" s="227" t="str">
        <f>IFERROR(_xlfn.XLOOKUP($A152,'Raw Data'!$A:$A,'Raw Data'!$H:$H),"")</f>
        <v/>
      </c>
      <c r="AC152" s="145">
        <f>IFERROR(_xlfn.XLOOKUP($D152,'Modelling New'!$D:$D,'Modelling New'!$P:$P),"")</f>
        <v>4.1741935483870973</v>
      </c>
      <c r="AD152" s="227">
        <f>IFERROR(_xlfn.XLOOKUP($D152,'Modelling New'!$D:$D,'Modelling New'!$T:$T)*1000,"")</f>
        <v>78067.213188687994</v>
      </c>
      <c r="AE152" s="234">
        <f>IFERROR(_xlfn.XLOOKUP($D152,'Modelling New'!$D:$D,'Modelling New'!$O:$O),"")</f>
        <v>0.76954570740685357</v>
      </c>
      <c r="AF152" s="234">
        <f>IFERROR(_xlfn.XLOOKUP($D152,'Modelling New'!$D:$D,'Modelling New'!$W:$W),"")</f>
        <v>0.13384303029361139</v>
      </c>
      <c r="AG152" s="234">
        <f>IFERROR(_xlfn.XLOOKUP($D152,'Modelling New'!$D:$D,'Modelling New'!AE:AE),"")</f>
        <v>0.995</v>
      </c>
      <c r="AH152" s="234">
        <v>0.99750000000000005</v>
      </c>
      <c r="AI152" s="6"/>
      <c r="AJ152" s="6"/>
      <c r="AK152" s="6"/>
      <c r="AL152" s="6"/>
      <c r="AM152" s="6"/>
      <c r="AN152" s="231"/>
      <c r="AO152" s="234"/>
      <c r="AP152" s="234"/>
      <c r="AQ152" s="234"/>
      <c r="AR152" s="227">
        <f>IFERROR(_xlfn.XLOOKUP($D152,'Modelling New'!$D:$D,'Modelling New'!$N:$N),"")</f>
        <v>24.303100000000001</v>
      </c>
      <c r="AS152" s="227"/>
    </row>
    <row r="153" spans="1:45" x14ac:dyDescent="0.35">
      <c r="A153" s="226">
        <f t="shared" si="14"/>
        <v>45896</v>
      </c>
      <c r="B153" s="227">
        <f>YEAR(Daily_KPI[[#This Row],[Date]])+IF(MONTH(Daily_KPI[[#This Row],[Date]])&gt;=4,1,0)</f>
        <v>2026</v>
      </c>
      <c r="C153" s="6">
        <f>YEAR(Daily_KPI[[#This Row],[Date]])</f>
        <v>2025</v>
      </c>
      <c r="D153" s="228">
        <f>Daily_KPI[[#This Row],[Date]]-DAY(Daily_KPI[[#This Row],[Date]])+1</f>
        <v>45870</v>
      </c>
      <c r="E153" s="6">
        <f t="shared" si="11"/>
        <v>31</v>
      </c>
      <c r="F153" s="229" t="str">
        <f>IFERROR(_xlfn.XLOOKUP($A153,'Raw Data'!$A:$A,'Raw Data'!$BR:$BR),"")</f>
        <v/>
      </c>
      <c r="G153" s="230" t="str">
        <f>IFERROR(_xlfn.XLOOKUP($A153,'Raw Data'!$A:$A,'Raw Data'!$AO:$AO),"")</f>
        <v/>
      </c>
      <c r="H153" s="230"/>
      <c r="I153" s="230" t="str">
        <f>IFERROR(_xlfn.XLOOKUP($A153,'Raw Data'!$A:$A,'Raw Data'!$AR:$AR),"")</f>
        <v/>
      </c>
      <c r="J153" s="230"/>
      <c r="K153" s="230" t="str">
        <f>IFERROR(_xlfn.XLOOKUP($A153,'Raw Data'!$A:$A,'Raw Data'!$AV:$AV),"")</f>
        <v/>
      </c>
      <c r="L153" s="230" t="str">
        <f>IFERROR(_xlfn.XLOOKUP($A153,'Raw Data'!$A:$A,'Raw Data'!$AW:$AW),"")</f>
        <v/>
      </c>
      <c r="M153" s="230" t="str">
        <f>IFERROR(_xlfn.XLOOKUP($A153,'Raw Data'!$A:$A,'Raw Data'!$AX:$AX),"")</f>
        <v/>
      </c>
      <c r="N153" s="230" t="str">
        <f>IFERROR(_xlfn.XLOOKUP($A153,'Raw Data'!$A:$A,'Raw Data'!$AY:$AY),"")</f>
        <v/>
      </c>
      <c r="O153" s="231" t="str">
        <f>IFERROR(1-(SUMIF('Plant BD'!$B:$B,A153,'Plant BD'!$AE:$AE)/(AA153+SUMIF('Plant BD'!$B:$B,A153,'Plant BD'!$AE:$AE))),"")</f>
        <v/>
      </c>
      <c r="P153" s="231"/>
      <c r="Q153" s="232"/>
      <c r="R153" s="231" t="str">
        <f>IFERROR(1-(SUMIF('Grid BD'!$B:$B,$A153,'Grid BD'!$AD:$AD)/($AA153+SUMIF('Grid BD'!$B:$B,$A153,'Grid BD'!AD:AD))),"")</f>
        <v/>
      </c>
      <c r="S153" s="6"/>
      <c r="T153" s="232"/>
      <c r="U153" s="233" t="str">
        <f t="shared" si="13"/>
        <v/>
      </c>
      <c r="V153" s="233"/>
      <c r="W153" s="234" t="str">
        <f t="shared" si="10"/>
        <v/>
      </c>
      <c r="X153" s="227" t="str">
        <f>IFERROR(_xlfn.XLOOKUP($A153,'Raw Data'!$A:$A,'Raw Data'!$BA:$BA),"")</f>
        <v/>
      </c>
      <c r="Y153" s="227" t="str">
        <f>IFERROR(_xlfn.XLOOKUP($A153,'Raw Data'!$A:$A,'Raw Data'!BJ:BJ),"")</f>
        <v/>
      </c>
      <c r="Z153" s="227" t="str">
        <f>IFERROR(_xlfn.XLOOKUP($A153,'Raw Data'!$A:$A,'Raw Data'!BK:BK),"")</f>
        <v/>
      </c>
      <c r="AA153" s="227" t="str">
        <f>IFERROR(_xlfn.XLOOKUP($A153,'Raw Data'!$A:$A,'Raw Data'!BL:BL),"")</f>
        <v/>
      </c>
      <c r="AB153" s="227" t="str">
        <f>IFERROR(_xlfn.XLOOKUP($A153,'Raw Data'!$A:$A,'Raw Data'!$H:$H),"")</f>
        <v/>
      </c>
      <c r="AC153" s="145">
        <f>IFERROR(_xlfn.XLOOKUP($D153,'Modelling New'!$D:$D,'Modelling New'!$P:$P),"")</f>
        <v>4.1741935483870973</v>
      </c>
      <c r="AD153" s="227">
        <f>IFERROR(_xlfn.XLOOKUP($D153,'Modelling New'!$D:$D,'Modelling New'!$T:$T)*1000,"")</f>
        <v>78067.213188687994</v>
      </c>
      <c r="AE153" s="234">
        <f>IFERROR(_xlfn.XLOOKUP($D153,'Modelling New'!$D:$D,'Modelling New'!$O:$O),"")</f>
        <v>0.76954570740685357</v>
      </c>
      <c r="AF153" s="234">
        <f>IFERROR(_xlfn.XLOOKUP($D153,'Modelling New'!$D:$D,'Modelling New'!$W:$W),"")</f>
        <v>0.13384303029361139</v>
      </c>
      <c r="AG153" s="234">
        <f>IFERROR(_xlfn.XLOOKUP($D153,'Modelling New'!$D:$D,'Modelling New'!AE:AE),"")</f>
        <v>0.995</v>
      </c>
      <c r="AH153" s="234">
        <v>0.99750000000000005</v>
      </c>
      <c r="AI153" s="6"/>
      <c r="AJ153" s="6"/>
      <c r="AK153" s="6"/>
      <c r="AL153" s="6"/>
      <c r="AM153" s="6"/>
      <c r="AN153" s="231"/>
      <c r="AO153" s="234"/>
      <c r="AP153" s="234"/>
      <c r="AQ153" s="234"/>
      <c r="AR153" s="227">
        <f>IFERROR(_xlfn.XLOOKUP($D153,'Modelling New'!$D:$D,'Modelling New'!$N:$N),"")</f>
        <v>24.303100000000001</v>
      </c>
      <c r="AS153" s="227"/>
    </row>
    <row r="154" spans="1:45" x14ac:dyDescent="0.35">
      <c r="A154" s="226">
        <f t="shared" si="14"/>
        <v>45897</v>
      </c>
      <c r="B154" s="227">
        <f>YEAR(Daily_KPI[[#This Row],[Date]])+IF(MONTH(Daily_KPI[[#This Row],[Date]])&gt;=4,1,0)</f>
        <v>2026</v>
      </c>
      <c r="C154" s="6">
        <f>YEAR(Daily_KPI[[#This Row],[Date]])</f>
        <v>2025</v>
      </c>
      <c r="D154" s="228">
        <f>Daily_KPI[[#This Row],[Date]]-DAY(Daily_KPI[[#This Row],[Date]])+1</f>
        <v>45870</v>
      </c>
      <c r="E154" s="6">
        <f t="shared" si="11"/>
        <v>31</v>
      </c>
      <c r="F154" s="229" t="str">
        <f>IFERROR(_xlfn.XLOOKUP($A154,'Raw Data'!$A:$A,'Raw Data'!$BR:$BR),"")</f>
        <v/>
      </c>
      <c r="G154" s="230" t="str">
        <f>IFERROR(_xlfn.XLOOKUP($A154,'Raw Data'!$A:$A,'Raw Data'!$AO:$AO),"")</f>
        <v/>
      </c>
      <c r="H154" s="230"/>
      <c r="I154" s="230" t="str">
        <f>IFERROR(_xlfn.XLOOKUP($A154,'Raw Data'!$A:$A,'Raw Data'!$AR:$AR),"")</f>
        <v/>
      </c>
      <c r="J154" s="230"/>
      <c r="K154" s="230" t="str">
        <f>IFERROR(_xlfn.XLOOKUP($A154,'Raw Data'!$A:$A,'Raw Data'!$AV:$AV),"")</f>
        <v/>
      </c>
      <c r="L154" s="230" t="str">
        <f>IFERROR(_xlfn.XLOOKUP($A154,'Raw Data'!$A:$A,'Raw Data'!$AW:$AW),"")</f>
        <v/>
      </c>
      <c r="M154" s="230" t="str">
        <f>IFERROR(_xlfn.XLOOKUP($A154,'Raw Data'!$A:$A,'Raw Data'!$AX:$AX),"")</f>
        <v/>
      </c>
      <c r="N154" s="230" t="str">
        <f>IFERROR(_xlfn.XLOOKUP($A154,'Raw Data'!$A:$A,'Raw Data'!$AY:$AY),"")</f>
        <v/>
      </c>
      <c r="O154" s="231" t="str">
        <f>IFERROR(1-(SUMIF('Plant BD'!$B:$B,A154,'Plant BD'!$AE:$AE)/(AA154+SUMIF('Plant BD'!$B:$B,A154,'Plant BD'!$AE:$AE))),"")</f>
        <v/>
      </c>
      <c r="P154" s="231"/>
      <c r="Q154" s="232"/>
      <c r="R154" s="231" t="str">
        <f>IFERROR(1-(SUMIF('Grid BD'!$B:$B,$A154,'Grid BD'!$AD:$AD)/($AA154+SUMIF('Grid BD'!$B:$B,$A154,'Grid BD'!AD:AD))),"")</f>
        <v/>
      </c>
      <c r="S154" s="6"/>
      <c r="T154" s="232"/>
      <c r="U154" s="233" t="str">
        <f t="shared" si="13"/>
        <v/>
      </c>
      <c r="V154" s="233"/>
      <c r="W154" s="234" t="str">
        <f t="shared" si="10"/>
        <v/>
      </c>
      <c r="X154" s="227" t="str">
        <f>IFERROR(_xlfn.XLOOKUP($A154,'Raw Data'!$A:$A,'Raw Data'!$BA:$BA),"")</f>
        <v/>
      </c>
      <c r="Y154" s="227" t="str">
        <f>IFERROR(_xlfn.XLOOKUP($A154,'Raw Data'!$A:$A,'Raw Data'!BJ:BJ),"")</f>
        <v/>
      </c>
      <c r="Z154" s="227" t="str">
        <f>IFERROR(_xlfn.XLOOKUP($A154,'Raw Data'!$A:$A,'Raw Data'!BK:BK),"")</f>
        <v/>
      </c>
      <c r="AA154" s="227" t="str">
        <f>IFERROR(_xlfn.XLOOKUP($A154,'Raw Data'!$A:$A,'Raw Data'!BL:BL),"")</f>
        <v/>
      </c>
      <c r="AB154" s="227" t="str">
        <f>IFERROR(_xlfn.XLOOKUP($A154,'Raw Data'!$A:$A,'Raw Data'!$H:$H),"")</f>
        <v/>
      </c>
      <c r="AC154" s="145">
        <f>IFERROR(_xlfn.XLOOKUP($D154,'Modelling New'!$D:$D,'Modelling New'!$P:$P),"")</f>
        <v>4.1741935483870973</v>
      </c>
      <c r="AD154" s="227">
        <f>IFERROR(_xlfn.XLOOKUP($D154,'Modelling New'!$D:$D,'Modelling New'!$T:$T)*1000,"")</f>
        <v>78067.213188687994</v>
      </c>
      <c r="AE154" s="234">
        <f>IFERROR(_xlfn.XLOOKUP($D154,'Modelling New'!$D:$D,'Modelling New'!$O:$O),"")</f>
        <v>0.76954570740685357</v>
      </c>
      <c r="AF154" s="234">
        <f>IFERROR(_xlfn.XLOOKUP($D154,'Modelling New'!$D:$D,'Modelling New'!$W:$W),"")</f>
        <v>0.13384303029361139</v>
      </c>
      <c r="AG154" s="234">
        <f>IFERROR(_xlfn.XLOOKUP($D154,'Modelling New'!$D:$D,'Modelling New'!AE:AE),"")</f>
        <v>0.995</v>
      </c>
      <c r="AH154" s="234">
        <v>0.99750000000000005</v>
      </c>
      <c r="AI154" s="6"/>
      <c r="AJ154" s="6"/>
      <c r="AK154" s="6"/>
      <c r="AL154" s="6"/>
      <c r="AM154" s="6"/>
      <c r="AN154" s="231"/>
      <c r="AO154" s="234"/>
      <c r="AP154" s="234"/>
      <c r="AQ154" s="234"/>
      <c r="AR154" s="227">
        <f>IFERROR(_xlfn.XLOOKUP($D154,'Modelling New'!$D:$D,'Modelling New'!$N:$N),"")</f>
        <v>24.303100000000001</v>
      </c>
      <c r="AS154" s="227"/>
    </row>
    <row r="155" spans="1:45" x14ac:dyDescent="0.35">
      <c r="A155" s="226">
        <f t="shared" si="14"/>
        <v>45898</v>
      </c>
      <c r="B155" s="227">
        <f>YEAR(Daily_KPI[[#This Row],[Date]])+IF(MONTH(Daily_KPI[[#This Row],[Date]])&gt;=4,1,0)</f>
        <v>2026</v>
      </c>
      <c r="C155" s="6">
        <f>YEAR(Daily_KPI[[#This Row],[Date]])</f>
        <v>2025</v>
      </c>
      <c r="D155" s="228">
        <f>Daily_KPI[[#This Row],[Date]]-DAY(Daily_KPI[[#This Row],[Date]])+1</f>
        <v>45870</v>
      </c>
      <c r="E155" s="6">
        <f t="shared" si="11"/>
        <v>31</v>
      </c>
      <c r="F155" s="229" t="str">
        <f>IFERROR(_xlfn.XLOOKUP($A155,'Raw Data'!$A:$A,'Raw Data'!$BR:$BR),"")</f>
        <v/>
      </c>
      <c r="G155" s="230" t="str">
        <f>IFERROR(_xlfn.XLOOKUP($A155,'Raw Data'!$A:$A,'Raw Data'!$AO:$AO),"")</f>
        <v/>
      </c>
      <c r="H155" s="230"/>
      <c r="I155" s="230" t="str">
        <f>IFERROR(_xlfn.XLOOKUP($A155,'Raw Data'!$A:$A,'Raw Data'!$AR:$AR),"")</f>
        <v/>
      </c>
      <c r="J155" s="230"/>
      <c r="K155" s="230" t="str">
        <f>IFERROR(_xlfn.XLOOKUP($A155,'Raw Data'!$A:$A,'Raw Data'!$AV:$AV),"")</f>
        <v/>
      </c>
      <c r="L155" s="230" t="str">
        <f>IFERROR(_xlfn.XLOOKUP($A155,'Raw Data'!$A:$A,'Raw Data'!$AW:$AW),"")</f>
        <v/>
      </c>
      <c r="M155" s="230" t="str">
        <f>IFERROR(_xlfn.XLOOKUP($A155,'Raw Data'!$A:$A,'Raw Data'!$AX:$AX),"")</f>
        <v/>
      </c>
      <c r="N155" s="230" t="str">
        <f>IFERROR(_xlfn.XLOOKUP($A155,'Raw Data'!$A:$A,'Raw Data'!$AY:$AY),"")</f>
        <v/>
      </c>
      <c r="O155" s="231" t="str">
        <f>IFERROR(1-(SUMIF('Plant BD'!$B:$B,A155,'Plant BD'!$AE:$AE)/(AA155+SUMIF('Plant BD'!$B:$B,A155,'Plant BD'!$AE:$AE))),"")</f>
        <v/>
      </c>
      <c r="P155" s="231"/>
      <c r="Q155" s="232"/>
      <c r="R155" s="231" t="str">
        <f>IFERROR(1-(SUMIF('Grid BD'!$B:$B,$A155,'Grid BD'!$AD:$AD)/($AA155+SUMIF('Grid BD'!$B:$B,$A155,'Grid BD'!AD:AD))),"")</f>
        <v/>
      </c>
      <c r="S155" s="6"/>
      <c r="T155" s="232"/>
      <c r="U155" s="233" t="str">
        <f t="shared" si="13"/>
        <v/>
      </c>
      <c r="V155" s="233"/>
      <c r="W155" s="234" t="str">
        <f t="shared" si="10"/>
        <v/>
      </c>
      <c r="X155" s="227" t="str">
        <f>IFERROR(_xlfn.XLOOKUP($A155,'Raw Data'!$A:$A,'Raw Data'!$BA:$BA),"")</f>
        <v/>
      </c>
      <c r="Y155" s="227" t="str">
        <f>IFERROR(_xlfn.XLOOKUP($A155,'Raw Data'!$A:$A,'Raw Data'!BJ:BJ),"")</f>
        <v/>
      </c>
      <c r="Z155" s="227" t="str">
        <f>IFERROR(_xlfn.XLOOKUP($A155,'Raw Data'!$A:$A,'Raw Data'!BK:BK),"")</f>
        <v/>
      </c>
      <c r="AA155" s="227" t="str">
        <f>IFERROR(_xlfn.XLOOKUP($A155,'Raw Data'!$A:$A,'Raw Data'!BL:BL),"")</f>
        <v/>
      </c>
      <c r="AB155" s="227" t="str">
        <f>IFERROR(_xlfn.XLOOKUP($A155,'Raw Data'!$A:$A,'Raw Data'!$H:$H),"")</f>
        <v/>
      </c>
      <c r="AC155" s="145">
        <f>IFERROR(_xlfn.XLOOKUP($D155,'Modelling New'!$D:$D,'Modelling New'!$P:$P),"")</f>
        <v>4.1741935483870973</v>
      </c>
      <c r="AD155" s="227">
        <f>IFERROR(_xlfn.XLOOKUP($D155,'Modelling New'!$D:$D,'Modelling New'!$T:$T)*1000,"")</f>
        <v>78067.213188687994</v>
      </c>
      <c r="AE155" s="234">
        <f>IFERROR(_xlfn.XLOOKUP($D155,'Modelling New'!$D:$D,'Modelling New'!$O:$O),"")</f>
        <v>0.76954570740685357</v>
      </c>
      <c r="AF155" s="234">
        <f>IFERROR(_xlfn.XLOOKUP($D155,'Modelling New'!$D:$D,'Modelling New'!$W:$W),"")</f>
        <v>0.13384303029361139</v>
      </c>
      <c r="AG155" s="234">
        <f>IFERROR(_xlfn.XLOOKUP($D155,'Modelling New'!$D:$D,'Modelling New'!AE:AE),"")</f>
        <v>0.995</v>
      </c>
      <c r="AH155" s="234">
        <v>0.99750000000000005</v>
      </c>
      <c r="AI155" s="6"/>
      <c r="AJ155" s="6"/>
      <c r="AK155" s="6"/>
      <c r="AL155" s="6"/>
      <c r="AM155" s="6"/>
      <c r="AN155" s="231"/>
      <c r="AO155" s="234"/>
      <c r="AP155" s="234"/>
      <c r="AQ155" s="234"/>
      <c r="AR155" s="227">
        <f>IFERROR(_xlfn.XLOOKUP($D155,'Modelling New'!$D:$D,'Modelling New'!$N:$N),"")</f>
        <v>24.303100000000001</v>
      </c>
      <c r="AS155" s="227"/>
    </row>
    <row r="156" spans="1:45" x14ac:dyDescent="0.35">
      <c r="A156" s="226">
        <f t="shared" si="14"/>
        <v>45899</v>
      </c>
      <c r="B156" s="227">
        <f>YEAR(Daily_KPI[[#This Row],[Date]])+IF(MONTH(Daily_KPI[[#This Row],[Date]])&gt;=4,1,0)</f>
        <v>2026</v>
      </c>
      <c r="C156" s="6">
        <f>YEAR(Daily_KPI[[#This Row],[Date]])</f>
        <v>2025</v>
      </c>
      <c r="D156" s="228">
        <f>Daily_KPI[[#This Row],[Date]]-DAY(Daily_KPI[[#This Row],[Date]])+1</f>
        <v>45870</v>
      </c>
      <c r="E156" s="6">
        <f t="shared" si="11"/>
        <v>31</v>
      </c>
      <c r="F156" s="229" t="str">
        <f>IFERROR(_xlfn.XLOOKUP($A156,'Raw Data'!$A:$A,'Raw Data'!$BR:$BR),"")</f>
        <v/>
      </c>
      <c r="G156" s="230" t="str">
        <f>IFERROR(_xlfn.XLOOKUP($A156,'Raw Data'!$A:$A,'Raw Data'!$AO:$AO),"")</f>
        <v/>
      </c>
      <c r="H156" s="230"/>
      <c r="I156" s="230" t="str">
        <f>IFERROR(_xlfn.XLOOKUP($A156,'Raw Data'!$A:$A,'Raw Data'!$AR:$AR),"")</f>
        <v/>
      </c>
      <c r="J156" s="230"/>
      <c r="K156" s="230" t="str">
        <f>IFERROR(_xlfn.XLOOKUP($A156,'Raw Data'!$A:$A,'Raw Data'!$AV:$AV),"")</f>
        <v/>
      </c>
      <c r="L156" s="230" t="str">
        <f>IFERROR(_xlfn.XLOOKUP($A156,'Raw Data'!$A:$A,'Raw Data'!$AW:$AW),"")</f>
        <v/>
      </c>
      <c r="M156" s="230" t="str">
        <f>IFERROR(_xlfn.XLOOKUP($A156,'Raw Data'!$A:$A,'Raw Data'!$AX:$AX),"")</f>
        <v/>
      </c>
      <c r="N156" s="230" t="str">
        <f>IFERROR(_xlfn.XLOOKUP($A156,'Raw Data'!$A:$A,'Raw Data'!$AY:$AY),"")</f>
        <v/>
      </c>
      <c r="O156" s="231" t="str">
        <f>IFERROR(1-(SUMIF('Plant BD'!$B:$B,A156,'Plant BD'!$AE:$AE)/(AA156+SUMIF('Plant BD'!$B:$B,A156,'Plant BD'!$AE:$AE))),"")</f>
        <v/>
      </c>
      <c r="P156" s="231"/>
      <c r="Q156" s="232"/>
      <c r="R156" s="231" t="str">
        <f>IFERROR(1-(SUMIF('Grid BD'!$B:$B,$A156,'Grid BD'!$AD:$AD)/($AA156+SUMIF('Grid BD'!$B:$B,$A156,'Grid BD'!AD:AD))),"")</f>
        <v/>
      </c>
      <c r="S156" s="6"/>
      <c r="T156" s="232"/>
      <c r="U156" s="233" t="str">
        <f t="shared" si="13"/>
        <v/>
      </c>
      <c r="V156" s="233"/>
      <c r="W156" s="234" t="str">
        <f t="shared" si="10"/>
        <v/>
      </c>
      <c r="X156" s="227" t="str">
        <f>IFERROR(_xlfn.XLOOKUP($A156,'Raw Data'!$A:$A,'Raw Data'!$BA:$BA),"")</f>
        <v/>
      </c>
      <c r="Y156" s="227" t="str">
        <f>IFERROR(_xlfn.XLOOKUP($A156,'Raw Data'!$A:$A,'Raw Data'!BJ:BJ),"")</f>
        <v/>
      </c>
      <c r="Z156" s="227" t="str">
        <f>IFERROR(_xlfn.XLOOKUP($A156,'Raw Data'!$A:$A,'Raw Data'!BK:BK),"")</f>
        <v/>
      </c>
      <c r="AA156" s="227" t="str">
        <f>IFERROR(_xlfn.XLOOKUP($A156,'Raw Data'!$A:$A,'Raw Data'!BL:BL),"")</f>
        <v/>
      </c>
      <c r="AB156" s="227" t="str">
        <f>IFERROR(_xlfn.XLOOKUP($A156,'Raw Data'!$A:$A,'Raw Data'!$H:$H),"")</f>
        <v/>
      </c>
      <c r="AC156" s="145">
        <f>IFERROR(_xlfn.XLOOKUP($D156,'Modelling New'!$D:$D,'Modelling New'!$P:$P),"")</f>
        <v>4.1741935483870973</v>
      </c>
      <c r="AD156" s="227">
        <f>IFERROR(_xlfn.XLOOKUP($D156,'Modelling New'!$D:$D,'Modelling New'!$T:$T)*1000,"")</f>
        <v>78067.213188687994</v>
      </c>
      <c r="AE156" s="234">
        <f>IFERROR(_xlfn.XLOOKUP($D156,'Modelling New'!$D:$D,'Modelling New'!$O:$O),"")</f>
        <v>0.76954570740685357</v>
      </c>
      <c r="AF156" s="234">
        <f>IFERROR(_xlfn.XLOOKUP($D156,'Modelling New'!$D:$D,'Modelling New'!$W:$W),"")</f>
        <v>0.13384303029361139</v>
      </c>
      <c r="AG156" s="234">
        <f>IFERROR(_xlfn.XLOOKUP($D156,'Modelling New'!$D:$D,'Modelling New'!AE:AE),"")</f>
        <v>0.995</v>
      </c>
      <c r="AH156" s="234">
        <v>0.99750000000000005</v>
      </c>
      <c r="AI156" s="6"/>
      <c r="AJ156" s="6"/>
      <c r="AK156" s="6"/>
      <c r="AL156" s="6"/>
      <c r="AM156" s="6"/>
      <c r="AN156" s="231"/>
      <c r="AO156" s="234"/>
      <c r="AP156" s="234"/>
      <c r="AQ156" s="234"/>
      <c r="AR156" s="227">
        <f>IFERROR(_xlfn.XLOOKUP($D156,'Modelling New'!$D:$D,'Modelling New'!$N:$N),"")</f>
        <v>24.303100000000001</v>
      </c>
      <c r="AS156" s="227"/>
    </row>
    <row r="157" spans="1:45" x14ac:dyDescent="0.35">
      <c r="A157" s="226">
        <f t="shared" si="14"/>
        <v>45900</v>
      </c>
      <c r="B157" s="227">
        <f>YEAR(Daily_KPI[[#This Row],[Date]])+IF(MONTH(Daily_KPI[[#This Row],[Date]])&gt;=4,1,0)</f>
        <v>2026</v>
      </c>
      <c r="C157" s="6">
        <f>YEAR(Daily_KPI[[#This Row],[Date]])</f>
        <v>2025</v>
      </c>
      <c r="D157" s="228">
        <f>Daily_KPI[[#This Row],[Date]]-DAY(Daily_KPI[[#This Row],[Date]])+1</f>
        <v>45870</v>
      </c>
      <c r="E157" s="6">
        <f t="shared" si="11"/>
        <v>31</v>
      </c>
      <c r="F157" s="229" t="str">
        <f>IFERROR(_xlfn.XLOOKUP($A157,'Raw Data'!$A:$A,'Raw Data'!$BR:$BR),"")</f>
        <v/>
      </c>
      <c r="G157" s="230" t="str">
        <f>IFERROR(_xlfn.XLOOKUP($A157,'Raw Data'!$A:$A,'Raw Data'!$AO:$AO),"")</f>
        <v/>
      </c>
      <c r="H157" s="230"/>
      <c r="I157" s="230" t="str">
        <f>IFERROR(_xlfn.XLOOKUP($A157,'Raw Data'!$A:$A,'Raw Data'!$AR:$AR),"")</f>
        <v/>
      </c>
      <c r="J157" s="230"/>
      <c r="K157" s="230" t="str">
        <f>IFERROR(_xlfn.XLOOKUP($A157,'Raw Data'!$A:$A,'Raw Data'!$AV:$AV),"")</f>
        <v/>
      </c>
      <c r="L157" s="230" t="str">
        <f>IFERROR(_xlfn.XLOOKUP($A157,'Raw Data'!$A:$A,'Raw Data'!$AW:$AW),"")</f>
        <v/>
      </c>
      <c r="M157" s="230" t="str">
        <f>IFERROR(_xlfn.XLOOKUP($A157,'Raw Data'!$A:$A,'Raw Data'!$AX:$AX),"")</f>
        <v/>
      </c>
      <c r="N157" s="230" t="str">
        <f>IFERROR(_xlfn.XLOOKUP($A157,'Raw Data'!$A:$A,'Raw Data'!$AY:$AY),"")</f>
        <v/>
      </c>
      <c r="O157" s="231" t="str">
        <f>IFERROR(1-(SUMIF('Plant BD'!$B:$B,A157,'Plant BD'!$AE:$AE)/(AA157+SUMIF('Plant BD'!$B:$B,A157,'Plant BD'!$AE:$AE))),"")</f>
        <v/>
      </c>
      <c r="P157" s="231"/>
      <c r="Q157" s="232"/>
      <c r="R157" s="231" t="str">
        <f>IFERROR(1-(SUMIF('Grid BD'!$B:$B,$A157,'Grid BD'!$AD:$AD)/($AA157+SUMIF('Grid BD'!$B:$B,$A157,'Grid BD'!AD:AD))),"")</f>
        <v/>
      </c>
      <c r="S157" s="6"/>
      <c r="T157" s="232"/>
      <c r="U157" s="233" t="str">
        <f t="shared" si="13"/>
        <v/>
      </c>
      <c r="V157" s="233"/>
      <c r="W157" s="234" t="str">
        <f t="shared" si="10"/>
        <v/>
      </c>
      <c r="X157" s="227" t="str">
        <f>IFERROR(_xlfn.XLOOKUP($A157,'Raw Data'!$A:$A,'Raw Data'!$BA:$BA),"")</f>
        <v/>
      </c>
      <c r="Y157" s="227" t="str">
        <f>IFERROR(_xlfn.XLOOKUP($A157,'Raw Data'!$A:$A,'Raw Data'!BJ:BJ),"")</f>
        <v/>
      </c>
      <c r="Z157" s="227" t="str">
        <f>IFERROR(_xlfn.XLOOKUP($A157,'Raw Data'!$A:$A,'Raw Data'!BK:BK),"")</f>
        <v/>
      </c>
      <c r="AA157" s="227" t="str">
        <f>IFERROR(_xlfn.XLOOKUP($A157,'Raw Data'!$A:$A,'Raw Data'!BL:BL),"")</f>
        <v/>
      </c>
      <c r="AB157" s="227" t="str">
        <f>IFERROR(_xlfn.XLOOKUP($A157,'Raw Data'!$A:$A,'Raw Data'!$H:$H),"")</f>
        <v/>
      </c>
      <c r="AC157" s="145">
        <f>IFERROR(_xlfn.XLOOKUP($D157,'Modelling New'!$D:$D,'Modelling New'!$P:$P),"")</f>
        <v>4.1741935483870973</v>
      </c>
      <c r="AD157" s="227">
        <f>IFERROR(_xlfn.XLOOKUP($D157,'Modelling New'!$D:$D,'Modelling New'!$T:$T)*1000,"")</f>
        <v>78067.213188687994</v>
      </c>
      <c r="AE157" s="234">
        <f>IFERROR(_xlfn.XLOOKUP($D157,'Modelling New'!$D:$D,'Modelling New'!$O:$O),"")</f>
        <v>0.76954570740685357</v>
      </c>
      <c r="AF157" s="234">
        <f>IFERROR(_xlfn.XLOOKUP($D157,'Modelling New'!$D:$D,'Modelling New'!$W:$W),"")</f>
        <v>0.13384303029361139</v>
      </c>
      <c r="AG157" s="234">
        <f>IFERROR(_xlfn.XLOOKUP($D157,'Modelling New'!$D:$D,'Modelling New'!AE:AE),"")</f>
        <v>0.995</v>
      </c>
      <c r="AH157" s="234">
        <v>0.99750000000000005</v>
      </c>
      <c r="AI157" s="6"/>
      <c r="AJ157" s="6"/>
      <c r="AK157" s="6"/>
      <c r="AL157" s="6"/>
      <c r="AM157" s="6"/>
      <c r="AN157" s="231"/>
      <c r="AO157" s="234"/>
      <c r="AP157" s="234"/>
      <c r="AQ157" s="234"/>
      <c r="AR157" s="227">
        <f>IFERROR(_xlfn.XLOOKUP($D157,'Modelling New'!$D:$D,'Modelling New'!$N:$N),"")</f>
        <v>24.303100000000001</v>
      </c>
      <c r="AS157" s="227"/>
    </row>
    <row r="158" spans="1:45" x14ac:dyDescent="0.35">
      <c r="A158" s="226">
        <f t="shared" si="14"/>
        <v>45901</v>
      </c>
      <c r="B158" s="227">
        <f>YEAR(Daily_KPI[[#This Row],[Date]])+IF(MONTH(Daily_KPI[[#This Row],[Date]])&gt;=4,1,0)</f>
        <v>2026</v>
      </c>
      <c r="C158" s="6">
        <f>YEAR(Daily_KPI[[#This Row],[Date]])</f>
        <v>2025</v>
      </c>
      <c r="D158" s="228">
        <f>Daily_KPI[[#This Row],[Date]]-DAY(Daily_KPI[[#This Row],[Date]])+1</f>
        <v>45901</v>
      </c>
      <c r="E158" s="6">
        <f t="shared" si="11"/>
        <v>30</v>
      </c>
      <c r="F158" s="229" t="str">
        <f>IFERROR(_xlfn.XLOOKUP($A158,'Raw Data'!$A:$A,'Raw Data'!$BR:$BR),"")</f>
        <v/>
      </c>
      <c r="G158" s="230" t="str">
        <f>IFERROR(_xlfn.XLOOKUP($A158,'Raw Data'!$A:$A,'Raw Data'!$AO:$AO),"")</f>
        <v/>
      </c>
      <c r="H158" s="230"/>
      <c r="I158" s="230" t="str">
        <f>IFERROR(_xlfn.XLOOKUP($A158,'Raw Data'!$A:$A,'Raw Data'!$AR:$AR),"")</f>
        <v/>
      </c>
      <c r="J158" s="230"/>
      <c r="K158" s="230" t="str">
        <f>IFERROR(_xlfn.XLOOKUP($A158,'Raw Data'!$A:$A,'Raw Data'!$AV:$AV),"")</f>
        <v/>
      </c>
      <c r="L158" s="230" t="str">
        <f>IFERROR(_xlfn.XLOOKUP($A158,'Raw Data'!$A:$A,'Raw Data'!$AW:$AW),"")</f>
        <v/>
      </c>
      <c r="M158" s="230" t="str">
        <f>IFERROR(_xlfn.XLOOKUP($A158,'Raw Data'!$A:$A,'Raw Data'!$AX:$AX),"")</f>
        <v/>
      </c>
      <c r="N158" s="230" t="str">
        <f>IFERROR(_xlfn.XLOOKUP($A158,'Raw Data'!$A:$A,'Raw Data'!$AY:$AY),"")</f>
        <v/>
      </c>
      <c r="O158" s="231" t="str">
        <f>IFERROR(1-(SUMIF('Plant BD'!$B:$B,A158,'Plant BD'!$AE:$AE)/(AA158+SUMIF('Plant BD'!$B:$B,A158,'Plant BD'!$AE:$AE))),"")</f>
        <v/>
      </c>
      <c r="P158" s="231"/>
      <c r="Q158" s="232"/>
      <c r="R158" s="231" t="str">
        <f>IFERROR(1-(SUMIF('Grid BD'!$B:$B,$A158,'Grid BD'!$AD:$AD)/($AA158+SUMIF('Grid BD'!$B:$B,$A158,'Grid BD'!AD:AD))),"")</f>
        <v/>
      </c>
      <c r="S158" s="6"/>
      <c r="T158" s="232"/>
      <c r="U158" s="233" t="str">
        <f t="shared" si="13"/>
        <v/>
      </c>
      <c r="V158" s="233"/>
      <c r="W158" s="234" t="str">
        <f t="shared" si="10"/>
        <v/>
      </c>
      <c r="X158" s="227" t="str">
        <f>IFERROR(_xlfn.XLOOKUP($A158,'Raw Data'!$A:$A,'Raw Data'!$BA:$BA),"")</f>
        <v/>
      </c>
      <c r="Y158" s="227" t="str">
        <f>IFERROR(_xlfn.XLOOKUP($A158,'Raw Data'!$A:$A,'Raw Data'!BJ:BJ),"")</f>
        <v/>
      </c>
      <c r="Z158" s="227" t="str">
        <f>IFERROR(_xlfn.XLOOKUP($A158,'Raw Data'!$A:$A,'Raw Data'!BK:BK),"")</f>
        <v/>
      </c>
      <c r="AA158" s="227" t="str">
        <f>IFERROR(_xlfn.XLOOKUP($A158,'Raw Data'!$A:$A,'Raw Data'!BL:BL),"")</f>
        <v/>
      </c>
      <c r="AB158" s="227" t="str">
        <f>IFERROR(_xlfn.XLOOKUP($A158,'Raw Data'!$A:$A,'Raw Data'!$H:$H),"")</f>
        <v/>
      </c>
      <c r="AC158" s="145">
        <f>IFERROR(_xlfn.XLOOKUP($D158,'Modelling New'!$D:$D,'Modelling New'!$P:$P),"")</f>
        <v>4.9333333333333336</v>
      </c>
      <c r="AD158" s="227">
        <f>IFERROR(_xlfn.XLOOKUP($D158,'Modelling New'!$D:$D,'Modelling New'!$T:$T)*1000,"")</f>
        <v>91491.490277141027</v>
      </c>
      <c r="AE158" s="234">
        <f>IFERROR(_xlfn.XLOOKUP($D158,'Modelling New'!$D:$D,'Modelling New'!$O:$O),"")</f>
        <v>0.76309492836200032</v>
      </c>
      <c r="AF158" s="234">
        <f>IFERROR(_xlfn.XLOOKUP($D158,'Modelling New'!$D:$D,'Modelling New'!$W:$W),"")</f>
        <v>0.15685840194107786</v>
      </c>
      <c r="AG158" s="234">
        <f>IFERROR(_xlfn.XLOOKUP($D158,'Modelling New'!$D:$D,'Modelling New'!AE:AE),"")</f>
        <v>0.995</v>
      </c>
      <c r="AH158" s="234">
        <v>0.99750000000000005</v>
      </c>
      <c r="AI158" s="6"/>
      <c r="AJ158" s="6"/>
      <c r="AK158" s="6"/>
      <c r="AL158" s="6"/>
      <c r="AM158" s="6"/>
      <c r="AN158" s="231"/>
      <c r="AO158" s="234"/>
      <c r="AP158" s="234"/>
      <c r="AQ158" s="234"/>
      <c r="AR158" s="227">
        <f>IFERROR(_xlfn.XLOOKUP($D158,'Modelling New'!$D:$D,'Modelling New'!$N:$N),"")</f>
        <v>24.303100000000001</v>
      </c>
      <c r="AS158" s="227"/>
    </row>
    <row r="159" spans="1:45" x14ac:dyDescent="0.35">
      <c r="A159" s="226">
        <f t="shared" si="14"/>
        <v>45902</v>
      </c>
      <c r="B159" s="227">
        <f>YEAR(Daily_KPI[[#This Row],[Date]])+IF(MONTH(Daily_KPI[[#This Row],[Date]])&gt;=4,1,0)</f>
        <v>2026</v>
      </c>
      <c r="C159" s="6">
        <f>YEAR(Daily_KPI[[#This Row],[Date]])</f>
        <v>2025</v>
      </c>
      <c r="D159" s="228">
        <f>Daily_KPI[[#This Row],[Date]]-DAY(Daily_KPI[[#This Row],[Date]])+1</f>
        <v>45901</v>
      </c>
      <c r="E159" s="6">
        <f t="shared" si="11"/>
        <v>30</v>
      </c>
      <c r="F159" s="229" t="str">
        <f>IFERROR(_xlfn.XLOOKUP($A159,'Raw Data'!$A:$A,'Raw Data'!$BR:$BR),"")</f>
        <v/>
      </c>
      <c r="G159" s="230" t="str">
        <f>IFERROR(_xlfn.XLOOKUP($A159,'Raw Data'!$A:$A,'Raw Data'!$AO:$AO),"")</f>
        <v/>
      </c>
      <c r="H159" s="230"/>
      <c r="I159" s="230" t="str">
        <f>IFERROR(_xlfn.XLOOKUP($A159,'Raw Data'!$A:$A,'Raw Data'!$AR:$AR),"")</f>
        <v/>
      </c>
      <c r="J159" s="230"/>
      <c r="K159" s="230" t="str">
        <f>IFERROR(_xlfn.XLOOKUP($A159,'Raw Data'!$A:$A,'Raw Data'!$AV:$AV),"")</f>
        <v/>
      </c>
      <c r="L159" s="230" t="str">
        <f>IFERROR(_xlfn.XLOOKUP($A159,'Raw Data'!$A:$A,'Raw Data'!$AW:$AW),"")</f>
        <v/>
      </c>
      <c r="M159" s="230" t="str">
        <f>IFERROR(_xlfn.XLOOKUP($A159,'Raw Data'!$A:$A,'Raw Data'!$AX:$AX),"")</f>
        <v/>
      </c>
      <c r="N159" s="230" t="str">
        <f>IFERROR(_xlfn.XLOOKUP($A159,'Raw Data'!$A:$A,'Raw Data'!$AY:$AY),"")</f>
        <v/>
      </c>
      <c r="O159" s="231" t="str">
        <f>IFERROR(1-(SUMIF('Plant BD'!$B:$B,A159,'Plant BD'!$AE:$AE)/(AA159+SUMIF('Plant BD'!$B:$B,A159,'Plant BD'!$AE:$AE))),"")</f>
        <v/>
      </c>
      <c r="P159" s="231"/>
      <c r="Q159" s="232"/>
      <c r="R159" s="231" t="str">
        <f>IFERROR(1-(SUMIF('Grid BD'!$B:$B,$A159,'Grid BD'!$AD:$AD)/($AA159+SUMIF('Grid BD'!$B:$B,$A159,'Grid BD'!AD:AD))),"")</f>
        <v/>
      </c>
      <c r="S159" s="6"/>
      <c r="T159" s="232"/>
      <c r="U159" s="233" t="str">
        <f t="shared" si="13"/>
        <v/>
      </c>
      <c r="V159" s="233"/>
      <c r="W159" s="234" t="str">
        <f t="shared" si="10"/>
        <v/>
      </c>
      <c r="X159" s="227" t="str">
        <f>IFERROR(_xlfn.XLOOKUP($A159,'Raw Data'!$A:$A,'Raw Data'!$BA:$BA),"")</f>
        <v/>
      </c>
      <c r="Y159" s="227" t="str">
        <f>IFERROR(_xlfn.XLOOKUP($A159,'Raw Data'!$A:$A,'Raw Data'!BJ:BJ),"")</f>
        <v/>
      </c>
      <c r="Z159" s="227" t="str">
        <f>IFERROR(_xlfn.XLOOKUP($A159,'Raw Data'!$A:$A,'Raw Data'!BK:BK),"")</f>
        <v/>
      </c>
      <c r="AA159" s="227" t="str">
        <f>IFERROR(_xlfn.XLOOKUP($A159,'Raw Data'!$A:$A,'Raw Data'!BL:BL),"")</f>
        <v/>
      </c>
      <c r="AB159" s="227" t="str">
        <f>IFERROR(_xlfn.XLOOKUP($A159,'Raw Data'!$A:$A,'Raw Data'!$H:$H),"")</f>
        <v/>
      </c>
      <c r="AC159" s="145">
        <f>IFERROR(_xlfn.XLOOKUP($D159,'Modelling New'!$D:$D,'Modelling New'!$P:$P),"")</f>
        <v>4.9333333333333336</v>
      </c>
      <c r="AD159" s="227">
        <f>IFERROR(_xlfn.XLOOKUP($D159,'Modelling New'!$D:$D,'Modelling New'!$T:$T)*1000,"")</f>
        <v>91491.490277141027</v>
      </c>
      <c r="AE159" s="234">
        <f>IFERROR(_xlfn.XLOOKUP($D159,'Modelling New'!$D:$D,'Modelling New'!$O:$O),"")</f>
        <v>0.76309492836200032</v>
      </c>
      <c r="AF159" s="234">
        <f>IFERROR(_xlfn.XLOOKUP($D159,'Modelling New'!$D:$D,'Modelling New'!$W:$W),"")</f>
        <v>0.15685840194107786</v>
      </c>
      <c r="AG159" s="234">
        <f>IFERROR(_xlfn.XLOOKUP($D159,'Modelling New'!$D:$D,'Modelling New'!AE:AE),"")</f>
        <v>0.995</v>
      </c>
      <c r="AH159" s="234">
        <v>0.99750000000000005</v>
      </c>
      <c r="AI159" s="6"/>
      <c r="AJ159" s="6"/>
      <c r="AK159" s="6"/>
      <c r="AL159" s="6"/>
      <c r="AM159" s="6"/>
      <c r="AN159" s="231"/>
      <c r="AO159" s="234"/>
      <c r="AP159" s="234"/>
      <c r="AQ159" s="234"/>
      <c r="AR159" s="227">
        <f>IFERROR(_xlfn.XLOOKUP($D159,'Modelling New'!$D:$D,'Modelling New'!$N:$N),"")</f>
        <v>24.303100000000001</v>
      </c>
      <c r="AS159" s="227"/>
    </row>
    <row r="160" spans="1:45" x14ac:dyDescent="0.35">
      <c r="A160" s="226">
        <f t="shared" si="14"/>
        <v>45903</v>
      </c>
      <c r="B160" s="227">
        <f>YEAR(Daily_KPI[[#This Row],[Date]])+IF(MONTH(Daily_KPI[[#This Row],[Date]])&gt;=4,1,0)</f>
        <v>2026</v>
      </c>
      <c r="C160" s="6">
        <f>YEAR(Daily_KPI[[#This Row],[Date]])</f>
        <v>2025</v>
      </c>
      <c r="D160" s="228">
        <f>Daily_KPI[[#This Row],[Date]]-DAY(Daily_KPI[[#This Row],[Date]])+1</f>
        <v>45901</v>
      </c>
      <c r="E160" s="6">
        <f t="shared" si="11"/>
        <v>30</v>
      </c>
      <c r="F160" s="229" t="str">
        <f>IFERROR(_xlfn.XLOOKUP($A160,'Raw Data'!$A:$A,'Raw Data'!$BR:$BR),"")</f>
        <v/>
      </c>
      <c r="G160" s="230" t="str">
        <f>IFERROR(_xlfn.XLOOKUP($A160,'Raw Data'!$A:$A,'Raw Data'!$AO:$AO),"")</f>
        <v/>
      </c>
      <c r="H160" s="230"/>
      <c r="I160" s="230" t="str">
        <f>IFERROR(_xlfn.XLOOKUP($A160,'Raw Data'!$A:$A,'Raw Data'!$AR:$AR),"")</f>
        <v/>
      </c>
      <c r="J160" s="230"/>
      <c r="K160" s="230" t="str">
        <f>IFERROR(_xlfn.XLOOKUP($A160,'Raw Data'!$A:$A,'Raw Data'!$AV:$AV),"")</f>
        <v/>
      </c>
      <c r="L160" s="230" t="str">
        <f>IFERROR(_xlfn.XLOOKUP($A160,'Raw Data'!$A:$A,'Raw Data'!$AW:$AW),"")</f>
        <v/>
      </c>
      <c r="M160" s="230" t="str">
        <f>IFERROR(_xlfn.XLOOKUP($A160,'Raw Data'!$A:$A,'Raw Data'!$AX:$AX),"")</f>
        <v/>
      </c>
      <c r="N160" s="230" t="str">
        <f>IFERROR(_xlfn.XLOOKUP($A160,'Raw Data'!$A:$A,'Raw Data'!$AY:$AY),"")</f>
        <v/>
      </c>
      <c r="O160" s="231" t="str">
        <f>IFERROR(1-(SUMIF('Plant BD'!$B:$B,A160,'Plant BD'!$AE:$AE)/(AA160+SUMIF('Plant BD'!$B:$B,A160,'Plant BD'!$AE:$AE))),"")</f>
        <v/>
      </c>
      <c r="P160" s="231"/>
      <c r="Q160" s="232"/>
      <c r="R160" s="231" t="str">
        <f>IFERROR(1-(SUMIF('Grid BD'!$B:$B,$A160,'Grid BD'!$AD:$AD)/($AA160+SUMIF('Grid BD'!$B:$B,$A160,'Grid BD'!AD:AD))),"")</f>
        <v/>
      </c>
      <c r="S160" s="6"/>
      <c r="T160" s="232"/>
      <c r="U160" s="233" t="str">
        <f t="shared" si="13"/>
        <v/>
      </c>
      <c r="V160" s="233"/>
      <c r="W160" s="234" t="str">
        <f t="shared" si="10"/>
        <v/>
      </c>
      <c r="X160" s="227" t="str">
        <f>IFERROR(_xlfn.XLOOKUP($A160,'Raw Data'!$A:$A,'Raw Data'!$BA:$BA),"")</f>
        <v/>
      </c>
      <c r="Y160" s="227" t="str">
        <f>IFERROR(_xlfn.XLOOKUP($A160,'Raw Data'!$A:$A,'Raw Data'!BJ:BJ),"")</f>
        <v/>
      </c>
      <c r="Z160" s="227" t="str">
        <f>IFERROR(_xlfn.XLOOKUP($A160,'Raw Data'!$A:$A,'Raw Data'!BK:BK),"")</f>
        <v/>
      </c>
      <c r="AA160" s="227" t="str">
        <f>IFERROR(_xlfn.XLOOKUP($A160,'Raw Data'!$A:$A,'Raw Data'!BL:BL),"")</f>
        <v/>
      </c>
      <c r="AB160" s="227" t="str">
        <f>IFERROR(_xlfn.XLOOKUP($A160,'Raw Data'!$A:$A,'Raw Data'!$H:$H),"")</f>
        <v/>
      </c>
      <c r="AC160" s="145">
        <f>IFERROR(_xlfn.XLOOKUP($D160,'Modelling New'!$D:$D,'Modelling New'!$P:$P),"")</f>
        <v>4.9333333333333336</v>
      </c>
      <c r="AD160" s="227">
        <f>IFERROR(_xlfn.XLOOKUP($D160,'Modelling New'!$D:$D,'Modelling New'!$T:$T)*1000,"")</f>
        <v>91491.490277141027</v>
      </c>
      <c r="AE160" s="234">
        <f>IFERROR(_xlfn.XLOOKUP($D160,'Modelling New'!$D:$D,'Modelling New'!$O:$O),"")</f>
        <v>0.76309492836200032</v>
      </c>
      <c r="AF160" s="234">
        <f>IFERROR(_xlfn.XLOOKUP($D160,'Modelling New'!$D:$D,'Modelling New'!$W:$W),"")</f>
        <v>0.15685840194107786</v>
      </c>
      <c r="AG160" s="234">
        <f>IFERROR(_xlfn.XLOOKUP($D160,'Modelling New'!$D:$D,'Modelling New'!AE:AE),"")</f>
        <v>0.995</v>
      </c>
      <c r="AH160" s="234">
        <v>0.99750000000000005</v>
      </c>
      <c r="AI160" s="6"/>
      <c r="AJ160" s="6"/>
      <c r="AK160" s="6"/>
      <c r="AL160" s="6"/>
      <c r="AM160" s="6"/>
      <c r="AN160" s="231"/>
      <c r="AO160" s="234"/>
      <c r="AP160" s="234"/>
      <c r="AQ160" s="234"/>
      <c r="AR160" s="227">
        <f>IFERROR(_xlfn.XLOOKUP($D160,'Modelling New'!$D:$D,'Modelling New'!$N:$N),"")</f>
        <v>24.303100000000001</v>
      </c>
      <c r="AS160" s="227"/>
    </row>
    <row r="161" spans="1:45" x14ac:dyDescent="0.35">
      <c r="A161" s="226">
        <f t="shared" si="14"/>
        <v>45904</v>
      </c>
      <c r="B161" s="227">
        <f>YEAR(Daily_KPI[[#This Row],[Date]])+IF(MONTH(Daily_KPI[[#This Row],[Date]])&gt;=4,1,0)</f>
        <v>2026</v>
      </c>
      <c r="C161" s="6">
        <f>YEAR(Daily_KPI[[#This Row],[Date]])</f>
        <v>2025</v>
      </c>
      <c r="D161" s="228">
        <f>Daily_KPI[[#This Row],[Date]]-DAY(Daily_KPI[[#This Row],[Date]])+1</f>
        <v>45901</v>
      </c>
      <c r="E161" s="6">
        <f t="shared" si="11"/>
        <v>30</v>
      </c>
      <c r="F161" s="229" t="str">
        <f>IFERROR(_xlfn.XLOOKUP($A161,'Raw Data'!$A:$A,'Raw Data'!$BR:$BR),"")</f>
        <v/>
      </c>
      <c r="G161" s="230" t="str">
        <f>IFERROR(_xlfn.XLOOKUP($A161,'Raw Data'!$A:$A,'Raw Data'!$AO:$AO),"")</f>
        <v/>
      </c>
      <c r="H161" s="230"/>
      <c r="I161" s="230" t="str">
        <f>IFERROR(_xlfn.XLOOKUP($A161,'Raw Data'!$A:$A,'Raw Data'!$AR:$AR),"")</f>
        <v/>
      </c>
      <c r="J161" s="230"/>
      <c r="K161" s="230" t="str">
        <f>IFERROR(_xlfn.XLOOKUP($A161,'Raw Data'!$A:$A,'Raw Data'!$AV:$AV),"")</f>
        <v/>
      </c>
      <c r="L161" s="230" t="str">
        <f>IFERROR(_xlfn.XLOOKUP($A161,'Raw Data'!$A:$A,'Raw Data'!$AW:$AW),"")</f>
        <v/>
      </c>
      <c r="M161" s="230" t="str">
        <f>IFERROR(_xlfn.XLOOKUP($A161,'Raw Data'!$A:$A,'Raw Data'!$AX:$AX),"")</f>
        <v/>
      </c>
      <c r="N161" s="230" t="str">
        <f>IFERROR(_xlfn.XLOOKUP($A161,'Raw Data'!$A:$A,'Raw Data'!$AY:$AY),"")</f>
        <v/>
      </c>
      <c r="O161" s="231" t="str">
        <f>IFERROR(1-(SUMIF('Plant BD'!$B:$B,A161,'Plant BD'!$AE:$AE)/(AA161+SUMIF('Plant BD'!$B:$B,A161,'Plant BD'!$AE:$AE))),"")</f>
        <v/>
      </c>
      <c r="P161" s="231"/>
      <c r="Q161" s="232"/>
      <c r="R161" s="231" t="str">
        <f>IFERROR(1-(SUMIF('Grid BD'!$B:$B,$A161,'Grid BD'!$AD:$AD)/($AA161+SUMIF('Grid BD'!$B:$B,$A161,'Grid BD'!AD:AD))),"")</f>
        <v/>
      </c>
      <c r="S161" s="6"/>
      <c r="T161" s="232"/>
      <c r="U161" s="233" t="str">
        <f t="shared" si="13"/>
        <v/>
      </c>
      <c r="V161" s="233"/>
      <c r="W161" s="234" t="str">
        <f t="shared" si="10"/>
        <v/>
      </c>
      <c r="X161" s="227" t="str">
        <f>IFERROR(_xlfn.XLOOKUP($A161,'Raw Data'!$A:$A,'Raw Data'!$BA:$BA),"")</f>
        <v/>
      </c>
      <c r="Y161" s="227" t="str">
        <f>IFERROR(_xlfn.XLOOKUP($A161,'Raw Data'!$A:$A,'Raw Data'!BJ:BJ),"")</f>
        <v/>
      </c>
      <c r="Z161" s="227" t="str">
        <f>IFERROR(_xlfn.XLOOKUP($A161,'Raw Data'!$A:$A,'Raw Data'!BK:BK),"")</f>
        <v/>
      </c>
      <c r="AA161" s="227" t="str">
        <f>IFERROR(_xlfn.XLOOKUP($A161,'Raw Data'!$A:$A,'Raw Data'!BL:BL),"")</f>
        <v/>
      </c>
      <c r="AB161" s="227" t="str">
        <f>IFERROR(_xlfn.XLOOKUP($A161,'Raw Data'!$A:$A,'Raw Data'!$H:$H),"")</f>
        <v/>
      </c>
      <c r="AC161" s="145">
        <f>IFERROR(_xlfn.XLOOKUP($D161,'Modelling New'!$D:$D,'Modelling New'!$P:$P),"")</f>
        <v>4.9333333333333336</v>
      </c>
      <c r="AD161" s="227">
        <f>IFERROR(_xlfn.XLOOKUP($D161,'Modelling New'!$D:$D,'Modelling New'!$T:$T)*1000,"")</f>
        <v>91491.490277141027</v>
      </c>
      <c r="AE161" s="234">
        <f>IFERROR(_xlfn.XLOOKUP($D161,'Modelling New'!$D:$D,'Modelling New'!$O:$O),"")</f>
        <v>0.76309492836200032</v>
      </c>
      <c r="AF161" s="234">
        <f>IFERROR(_xlfn.XLOOKUP($D161,'Modelling New'!$D:$D,'Modelling New'!$W:$W),"")</f>
        <v>0.15685840194107786</v>
      </c>
      <c r="AG161" s="234">
        <f>IFERROR(_xlfn.XLOOKUP($D161,'Modelling New'!$D:$D,'Modelling New'!AE:AE),"")</f>
        <v>0.995</v>
      </c>
      <c r="AH161" s="234">
        <v>0.99750000000000005</v>
      </c>
      <c r="AI161" s="6"/>
      <c r="AJ161" s="6"/>
      <c r="AK161" s="6"/>
      <c r="AL161" s="6"/>
      <c r="AM161" s="6"/>
      <c r="AN161" s="231"/>
      <c r="AO161" s="234"/>
      <c r="AP161" s="234"/>
      <c r="AQ161" s="234"/>
      <c r="AR161" s="227">
        <f>IFERROR(_xlfn.XLOOKUP($D161,'Modelling New'!$D:$D,'Modelling New'!$N:$N),"")</f>
        <v>24.303100000000001</v>
      </c>
      <c r="AS161" s="227"/>
    </row>
    <row r="162" spans="1:45" x14ac:dyDescent="0.35">
      <c r="A162" s="226">
        <f t="shared" si="14"/>
        <v>45905</v>
      </c>
      <c r="B162" s="227">
        <f>YEAR(Daily_KPI[[#This Row],[Date]])+IF(MONTH(Daily_KPI[[#This Row],[Date]])&gt;=4,1,0)</f>
        <v>2026</v>
      </c>
      <c r="C162" s="6">
        <f>YEAR(Daily_KPI[[#This Row],[Date]])</f>
        <v>2025</v>
      </c>
      <c r="D162" s="228">
        <f>Daily_KPI[[#This Row],[Date]]-DAY(Daily_KPI[[#This Row],[Date]])+1</f>
        <v>45901</v>
      </c>
      <c r="E162" s="6">
        <f t="shared" si="11"/>
        <v>30</v>
      </c>
      <c r="F162" s="229" t="str">
        <f>IFERROR(_xlfn.XLOOKUP($A162,'Raw Data'!$A:$A,'Raw Data'!$BR:$BR),"")</f>
        <v/>
      </c>
      <c r="G162" s="230" t="str">
        <f>IFERROR(_xlfn.XLOOKUP($A162,'Raw Data'!$A:$A,'Raw Data'!$AO:$AO),"")</f>
        <v/>
      </c>
      <c r="H162" s="230"/>
      <c r="I162" s="230" t="str">
        <f>IFERROR(_xlfn.XLOOKUP($A162,'Raw Data'!$A:$A,'Raw Data'!$AR:$AR),"")</f>
        <v/>
      </c>
      <c r="J162" s="230"/>
      <c r="K162" s="230" t="str">
        <f>IFERROR(_xlfn.XLOOKUP($A162,'Raw Data'!$A:$A,'Raw Data'!$AV:$AV),"")</f>
        <v/>
      </c>
      <c r="L162" s="230" t="str">
        <f>IFERROR(_xlfn.XLOOKUP($A162,'Raw Data'!$A:$A,'Raw Data'!$AW:$AW),"")</f>
        <v/>
      </c>
      <c r="M162" s="230" t="str">
        <f>IFERROR(_xlfn.XLOOKUP($A162,'Raw Data'!$A:$A,'Raw Data'!$AX:$AX),"")</f>
        <v/>
      </c>
      <c r="N162" s="230" t="str">
        <f>IFERROR(_xlfn.XLOOKUP($A162,'Raw Data'!$A:$A,'Raw Data'!$AY:$AY),"")</f>
        <v/>
      </c>
      <c r="O162" s="231" t="str">
        <f>IFERROR(1-(SUMIF('Plant BD'!$B:$B,A162,'Plant BD'!$AE:$AE)/(AA162+SUMIF('Plant BD'!$B:$B,A162,'Plant BD'!$AE:$AE))),"")</f>
        <v/>
      </c>
      <c r="P162" s="231"/>
      <c r="Q162" s="232"/>
      <c r="R162" s="231" t="str">
        <f>IFERROR(1-(SUMIF('Grid BD'!$B:$B,$A162,'Grid BD'!$AD:$AD)/($AA162+SUMIF('Grid BD'!$B:$B,$A162,'Grid BD'!AD:AD))),"")</f>
        <v/>
      </c>
      <c r="S162" s="6"/>
      <c r="T162" s="232"/>
      <c r="U162" s="233" t="str">
        <f t="shared" si="13"/>
        <v/>
      </c>
      <c r="V162" s="233"/>
      <c r="W162" s="234" t="str">
        <f t="shared" si="10"/>
        <v/>
      </c>
      <c r="X162" s="227" t="str">
        <f>IFERROR(_xlfn.XLOOKUP($A162,'Raw Data'!$A:$A,'Raw Data'!$BA:$BA),"")</f>
        <v/>
      </c>
      <c r="Y162" s="227" t="str">
        <f>IFERROR(_xlfn.XLOOKUP($A162,'Raw Data'!$A:$A,'Raw Data'!BJ:BJ),"")</f>
        <v/>
      </c>
      <c r="Z162" s="227" t="str">
        <f>IFERROR(_xlfn.XLOOKUP($A162,'Raw Data'!$A:$A,'Raw Data'!BK:BK),"")</f>
        <v/>
      </c>
      <c r="AA162" s="227" t="str">
        <f>IFERROR(_xlfn.XLOOKUP($A162,'Raw Data'!$A:$A,'Raw Data'!BL:BL),"")</f>
        <v/>
      </c>
      <c r="AB162" s="227" t="str">
        <f>IFERROR(_xlfn.XLOOKUP($A162,'Raw Data'!$A:$A,'Raw Data'!$H:$H),"")</f>
        <v/>
      </c>
      <c r="AC162" s="145">
        <f>IFERROR(_xlfn.XLOOKUP($D162,'Modelling New'!$D:$D,'Modelling New'!$P:$P),"")</f>
        <v>4.9333333333333336</v>
      </c>
      <c r="AD162" s="227">
        <f>IFERROR(_xlfn.XLOOKUP($D162,'Modelling New'!$D:$D,'Modelling New'!$T:$T)*1000,"")</f>
        <v>91491.490277141027</v>
      </c>
      <c r="AE162" s="234">
        <f>IFERROR(_xlfn.XLOOKUP($D162,'Modelling New'!$D:$D,'Modelling New'!$O:$O),"")</f>
        <v>0.76309492836200032</v>
      </c>
      <c r="AF162" s="234">
        <f>IFERROR(_xlfn.XLOOKUP($D162,'Modelling New'!$D:$D,'Modelling New'!$W:$W),"")</f>
        <v>0.15685840194107786</v>
      </c>
      <c r="AG162" s="234">
        <f>IFERROR(_xlfn.XLOOKUP($D162,'Modelling New'!$D:$D,'Modelling New'!AE:AE),"")</f>
        <v>0.995</v>
      </c>
      <c r="AH162" s="234">
        <v>0.99750000000000005</v>
      </c>
      <c r="AI162" s="6"/>
      <c r="AJ162" s="6"/>
      <c r="AK162" s="6"/>
      <c r="AL162" s="6"/>
      <c r="AM162" s="6"/>
      <c r="AN162" s="231"/>
      <c r="AO162" s="234"/>
      <c r="AP162" s="234"/>
      <c r="AQ162" s="234"/>
      <c r="AR162" s="227">
        <f>IFERROR(_xlfn.XLOOKUP($D162,'Modelling New'!$D:$D,'Modelling New'!$N:$N),"")</f>
        <v>24.303100000000001</v>
      </c>
      <c r="AS162" s="227"/>
    </row>
    <row r="163" spans="1:45" x14ac:dyDescent="0.35">
      <c r="A163" s="226">
        <f t="shared" si="14"/>
        <v>45906</v>
      </c>
      <c r="B163" s="227">
        <f>YEAR(Daily_KPI[[#This Row],[Date]])+IF(MONTH(Daily_KPI[[#This Row],[Date]])&gt;=4,1,0)</f>
        <v>2026</v>
      </c>
      <c r="C163" s="6">
        <f>YEAR(Daily_KPI[[#This Row],[Date]])</f>
        <v>2025</v>
      </c>
      <c r="D163" s="228">
        <f>Daily_KPI[[#This Row],[Date]]-DAY(Daily_KPI[[#This Row],[Date]])+1</f>
        <v>45901</v>
      </c>
      <c r="E163" s="6">
        <f t="shared" si="11"/>
        <v>30</v>
      </c>
      <c r="F163" s="229" t="str">
        <f>IFERROR(_xlfn.XLOOKUP($A163,'Raw Data'!$A:$A,'Raw Data'!$BR:$BR),"")</f>
        <v/>
      </c>
      <c r="G163" s="230" t="str">
        <f>IFERROR(_xlfn.XLOOKUP($A163,'Raw Data'!$A:$A,'Raw Data'!$AO:$AO),"")</f>
        <v/>
      </c>
      <c r="H163" s="230"/>
      <c r="I163" s="230" t="str">
        <f>IFERROR(_xlfn.XLOOKUP($A163,'Raw Data'!$A:$A,'Raw Data'!$AR:$AR),"")</f>
        <v/>
      </c>
      <c r="J163" s="230"/>
      <c r="K163" s="230" t="str">
        <f>IFERROR(_xlfn.XLOOKUP($A163,'Raw Data'!$A:$A,'Raw Data'!$AV:$AV),"")</f>
        <v/>
      </c>
      <c r="L163" s="230" t="str">
        <f>IFERROR(_xlfn.XLOOKUP($A163,'Raw Data'!$A:$A,'Raw Data'!$AW:$AW),"")</f>
        <v/>
      </c>
      <c r="M163" s="230" t="str">
        <f>IFERROR(_xlfn.XLOOKUP($A163,'Raw Data'!$A:$A,'Raw Data'!$AX:$AX),"")</f>
        <v/>
      </c>
      <c r="N163" s="230" t="str">
        <f>IFERROR(_xlfn.XLOOKUP($A163,'Raw Data'!$A:$A,'Raw Data'!$AY:$AY),"")</f>
        <v/>
      </c>
      <c r="O163" s="231" t="str">
        <f>IFERROR(1-(SUMIF('Plant BD'!$B:$B,A163,'Plant BD'!$AE:$AE)/(AA163+SUMIF('Plant BD'!$B:$B,A163,'Plant BD'!$AE:$AE))),"")</f>
        <v/>
      </c>
      <c r="P163" s="231"/>
      <c r="Q163" s="232"/>
      <c r="R163" s="231" t="str">
        <f>IFERROR(1-(SUMIF('Grid BD'!$B:$B,$A163,'Grid BD'!$AD:$AD)/($AA163+SUMIF('Grid BD'!$B:$B,$A163,'Grid BD'!AD:AD))),"")</f>
        <v/>
      </c>
      <c r="S163" s="6"/>
      <c r="T163" s="232"/>
      <c r="U163" s="233" t="str">
        <f t="shared" si="13"/>
        <v/>
      </c>
      <c r="V163" s="233"/>
      <c r="W163" s="234" t="str">
        <f t="shared" si="10"/>
        <v/>
      </c>
      <c r="X163" s="227" t="str">
        <f>IFERROR(_xlfn.XLOOKUP($A163,'Raw Data'!$A:$A,'Raw Data'!$BA:$BA),"")</f>
        <v/>
      </c>
      <c r="Y163" s="227" t="str">
        <f>IFERROR(_xlfn.XLOOKUP($A163,'Raw Data'!$A:$A,'Raw Data'!BJ:BJ),"")</f>
        <v/>
      </c>
      <c r="Z163" s="227" t="str">
        <f>IFERROR(_xlfn.XLOOKUP($A163,'Raw Data'!$A:$A,'Raw Data'!BK:BK),"")</f>
        <v/>
      </c>
      <c r="AA163" s="227" t="str">
        <f>IFERROR(_xlfn.XLOOKUP($A163,'Raw Data'!$A:$A,'Raw Data'!BL:BL),"")</f>
        <v/>
      </c>
      <c r="AB163" s="227" t="str">
        <f>IFERROR(_xlfn.XLOOKUP($A163,'Raw Data'!$A:$A,'Raw Data'!$H:$H),"")</f>
        <v/>
      </c>
      <c r="AC163" s="145">
        <f>IFERROR(_xlfn.XLOOKUP($D163,'Modelling New'!$D:$D,'Modelling New'!$P:$P),"")</f>
        <v>4.9333333333333336</v>
      </c>
      <c r="AD163" s="227">
        <f>IFERROR(_xlfn.XLOOKUP($D163,'Modelling New'!$D:$D,'Modelling New'!$T:$T)*1000,"")</f>
        <v>91491.490277141027</v>
      </c>
      <c r="AE163" s="234">
        <f>IFERROR(_xlfn.XLOOKUP($D163,'Modelling New'!$D:$D,'Modelling New'!$O:$O),"")</f>
        <v>0.76309492836200032</v>
      </c>
      <c r="AF163" s="234">
        <f>IFERROR(_xlfn.XLOOKUP($D163,'Modelling New'!$D:$D,'Modelling New'!$W:$W),"")</f>
        <v>0.15685840194107786</v>
      </c>
      <c r="AG163" s="234">
        <f>IFERROR(_xlfn.XLOOKUP($D163,'Modelling New'!$D:$D,'Modelling New'!AE:AE),"")</f>
        <v>0.995</v>
      </c>
      <c r="AH163" s="234">
        <v>0.99750000000000005</v>
      </c>
      <c r="AI163" s="6"/>
      <c r="AJ163" s="6"/>
      <c r="AK163" s="6"/>
      <c r="AL163" s="6"/>
      <c r="AM163" s="6"/>
      <c r="AN163" s="231"/>
      <c r="AO163" s="234"/>
      <c r="AP163" s="234"/>
      <c r="AQ163" s="234"/>
      <c r="AR163" s="227">
        <f>IFERROR(_xlfn.XLOOKUP($D163,'Modelling New'!$D:$D,'Modelling New'!$N:$N),"")</f>
        <v>24.303100000000001</v>
      </c>
      <c r="AS163" s="227"/>
    </row>
    <row r="164" spans="1:45" x14ac:dyDescent="0.35">
      <c r="A164" s="226">
        <f t="shared" si="14"/>
        <v>45907</v>
      </c>
      <c r="B164" s="227">
        <f>YEAR(Daily_KPI[[#This Row],[Date]])+IF(MONTH(Daily_KPI[[#This Row],[Date]])&gt;=4,1,0)</f>
        <v>2026</v>
      </c>
      <c r="C164" s="6">
        <f>YEAR(Daily_KPI[[#This Row],[Date]])</f>
        <v>2025</v>
      </c>
      <c r="D164" s="228">
        <f>Daily_KPI[[#This Row],[Date]]-DAY(Daily_KPI[[#This Row],[Date]])+1</f>
        <v>45901</v>
      </c>
      <c r="E164" s="6">
        <f t="shared" si="11"/>
        <v>30</v>
      </c>
      <c r="F164" s="229" t="str">
        <f>IFERROR(_xlfn.XLOOKUP($A164,'Raw Data'!$A:$A,'Raw Data'!$BR:$BR),"")</f>
        <v/>
      </c>
      <c r="G164" s="230" t="str">
        <f>IFERROR(_xlfn.XLOOKUP($A164,'Raw Data'!$A:$A,'Raw Data'!$AO:$AO),"")</f>
        <v/>
      </c>
      <c r="H164" s="230"/>
      <c r="I164" s="230" t="str">
        <f>IFERROR(_xlfn.XLOOKUP($A164,'Raw Data'!$A:$A,'Raw Data'!$AR:$AR),"")</f>
        <v/>
      </c>
      <c r="J164" s="230"/>
      <c r="K164" s="230" t="str">
        <f>IFERROR(_xlfn.XLOOKUP($A164,'Raw Data'!$A:$A,'Raw Data'!$AV:$AV),"")</f>
        <v/>
      </c>
      <c r="L164" s="230" t="str">
        <f>IFERROR(_xlfn.XLOOKUP($A164,'Raw Data'!$A:$A,'Raw Data'!$AW:$AW),"")</f>
        <v/>
      </c>
      <c r="M164" s="230" t="str">
        <f>IFERROR(_xlfn.XLOOKUP($A164,'Raw Data'!$A:$A,'Raw Data'!$AX:$AX),"")</f>
        <v/>
      </c>
      <c r="N164" s="230" t="str">
        <f>IFERROR(_xlfn.XLOOKUP($A164,'Raw Data'!$A:$A,'Raw Data'!$AY:$AY),"")</f>
        <v/>
      </c>
      <c r="O164" s="231" t="str">
        <f>IFERROR(1-(SUMIF('Plant BD'!$B:$B,A164,'Plant BD'!$AE:$AE)/(AA164+SUMIF('Plant BD'!$B:$B,A164,'Plant BD'!$AE:$AE))),"")</f>
        <v/>
      </c>
      <c r="P164" s="231"/>
      <c r="Q164" s="232"/>
      <c r="R164" s="231" t="str">
        <f>IFERROR(1-(SUMIF('Grid BD'!$B:$B,$A164,'Grid BD'!$AD:$AD)/($AA164+SUMIF('Grid BD'!$B:$B,$A164,'Grid BD'!AD:AD))),"")</f>
        <v/>
      </c>
      <c r="S164" s="6"/>
      <c r="T164" s="232"/>
      <c r="U164" s="233" t="str">
        <f t="shared" si="13"/>
        <v/>
      </c>
      <c r="V164" s="233"/>
      <c r="W164" s="234" t="str">
        <f t="shared" si="10"/>
        <v/>
      </c>
      <c r="X164" s="227" t="str">
        <f>IFERROR(_xlfn.XLOOKUP($A164,'Raw Data'!$A:$A,'Raw Data'!$BA:$BA),"")</f>
        <v/>
      </c>
      <c r="Y164" s="227" t="str">
        <f>IFERROR(_xlfn.XLOOKUP($A164,'Raw Data'!$A:$A,'Raw Data'!BJ:BJ),"")</f>
        <v/>
      </c>
      <c r="Z164" s="227" t="str">
        <f>IFERROR(_xlfn.XLOOKUP($A164,'Raw Data'!$A:$A,'Raw Data'!BK:BK),"")</f>
        <v/>
      </c>
      <c r="AA164" s="227" t="str">
        <f>IFERROR(_xlfn.XLOOKUP($A164,'Raw Data'!$A:$A,'Raw Data'!BL:BL),"")</f>
        <v/>
      </c>
      <c r="AB164" s="227" t="str">
        <f>IFERROR(_xlfn.XLOOKUP($A164,'Raw Data'!$A:$A,'Raw Data'!$H:$H),"")</f>
        <v/>
      </c>
      <c r="AC164" s="145">
        <f>IFERROR(_xlfn.XLOOKUP($D164,'Modelling New'!$D:$D,'Modelling New'!$P:$P),"")</f>
        <v>4.9333333333333336</v>
      </c>
      <c r="AD164" s="227">
        <f>IFERROR(_xlfn.XLOOKUP($D164,'Modelling New'!$D:$D,'Modelling New'!$T:$T)*1000,"")</f>
        <v>91491.490277141027</v>
      </c>
      <c r="AE164" s="234">
        <f>IFERROR(_xlfn.XLOOKUP($D164,'Modelling New'!$D:$D,'Modelling New'!$O:$O),"")</f>
        <v>0.76309492836200032</v>
      </c>
      <c r="AF164" s="234">
        <f>IFERROR(_xlfn.XLOOKUP($D164,'Modelling New'!$D:$D,'Modelling New'!$W:$W),"")</f>
        <v>0.15685840194107786</v>
      </c>
      <c r="AG164" s="234">
        <f>IFERROR(_xlfn.XLOOKUP($D164,'Modelling New'!$D:$D,'Modelling New'!AE:AE),"")</f>
        <v>0.995</v>
      </c>
      <c r="AH164" s="234">
        <v>0.99750000000000005</v>
      </c>
      <c r="AI164" s="6"/>
      <c r="AJ164" s="6"/>
      <c r="AK164" s="6"/>
      <c r="AL164" s="6"/>
      <c r="AM164" s="6"/>
      <c r="AN164" s="231"/>
      <c r="AO164" s="234"/>
      <c r="AP164" s="234"/>
      <c r="AQ164" s="234"/>
      <c r="AR164" s="227">
        <f>IFERROR(_xlfn.XLOOKUP($D164,'Modelling New'!$D:$D,'Modelling New'!$N:$N),"")</f>
        <v>24.303100000000001</v>
      </c>
      <c r="AS164" s="227"/>
    </row>
    <row r="165" spans="1:45" x14ac:dyDescent="0.35">
      <c r="A165" s="226">
        <f t="shared" si="14"/>
        <v>45908</v>
      </c>
      <c r="B165" s="227">
        <f>YEAR(Daily_KPI[[#This Row],[Date]])+IF(MONTH(Daily_KPI[[#This Row],[Date]])&gt;=4,1,0)</f>
        <v>2026</v>
      </c>
      <c r="C165" s="6">
        <f>YEAR(Daily_KPI[[#This Row],[Date]])</f>
        <v>2025</v>
      </c>
      <c r="D165" s="228">
        <f>Daily_KPI[[#This Row],[Date]]-DAY(Daily_KPI[[#This Row],[Date]])+1</f>
        <v>45901</v>
      </c>
      <c r="E165" s="6">
        <f t="shared" si="11"/>
        <v>30</v>
      </c>
      <c r="F165" s="229" t="str">
        <f>IFERROR(_xlfn.XLOOKUP($A165,'Raw Data'!$A:$A,'Raw Data'!$BR:$BR),"")</f>
        <v/>
      </c>
      <c r="G165" s="230" t="str">
        <f>IFERROR(_xlfn.XLOOKUP($A165,'Raw Data'!$A:$A,'Raw Data'!$AO:$AO),"")</f>
        <v/>
      </c>
      <c r="H165" s="230"/>
      <c r="I165" s="230" t="str">
        <f>IFERROR(_xlfn.XLOOKUP($A165,'Raw Data'!$A:$A,'Raw Data'!$AR:$AR),"")</f>
        <v/>
      </c>
      <c r="J165" s="230"/>
      <c r="K165" s="230" t="str">
        <f>IFERROR(_xlfn.XLOOKUP($A165,'Raw Data'!$A:$A,'Raw Data'!$AV:$AV),"")</f>
        <v/>
      </c>
      <c r="L165" s="230" t="str">
        <f>IFERROR(_xlfn.XLOOKUP($A165,'Raw Data'!$A:$A,'Raw Data'!$AW:$AW),"")</f>
        <v/>
      </c>
      <c r="M165" s="230" t="str">
        <f>IFERROR(_xlfn.XLOOKUP($A165,'Raw Data'!$A:$A,'Raw Data'!$AX:$AX),"")</f>
        <v/>
      </c>
      <c r="N165" s="230" t="str">
        <f>IFERROR(_xlfn.XLOOKUP($A165,'Raw Data'!$A:$A,'Raw Data'!$AY:$AY),"")</f>
        <v/>
      </c>
      <c r="O165" s="231" t="str">
        <f>IFERROR(1-(SUMIF('Plant BD'!$B:$B,A165,'Plant BD'!$AE:$AE)/(AA165+SUMIF('Plant BD'!$B:$B,A165,'Plant BD'!$AE:$AE))),"")</f>
        <v/>
      </c>
      <c r="P165" s="231"/>
      <c r="Q165" s="232"/>
      <c r="R165" s="231" t="str">
        <f>IFERROR(1-(SUMIF('Grid BD'!$B:$B,$A165,'Grid BD'!$AD:$AD)/($AA165+SUMIF('Grid BD'!$B:$B,$A165,'Grid BD'!AD:AD))),"")</f>
        <v/>
      </c>
      <c r="S165" s="6"/>
      <c r="T165" s="232"/>
      <c r="U165" s="233" t="str">
        <f t="shared" si="13"/>
        <v/>
      </c>
      <c r="V165" s="233"/>
      <c r="W165" s="234" t="str">
        <f t="shared" si="10"/>
        <v/>
      </c>
      <c r="X165" s="227" t="str">
        <f>IFERROR(_xlfn.XLOOKUP($A165,'Raw Data'!$A:$A,'Raw Data'!$BA:$BA),"")</f>
        <v/>
      </c>
      <c r="Y165" s="227" t="str">
        <f>IFERROR(_xlfn.XLOOKUP($A165,'Raw Data'!$A:$A,'Raw Data'!BJ:BJ),"")</f>
        <v/>
      </c>
      <c r="Z165" s="227" t="str">
        <f>IFERROR(_xlfn.XLOOKUP($A165,'Raw Data'!$A:$A,'Raw Data'!BK:BK),"")</f>
        <v/>
      </c>
      <c r="AA165" s="227" t="str">
        <f>IFERROR(_xlfn.XLOOKUP($A165,'Raw Data'!$A:$A,'Raw Data'!BL:BL),"")</f>
        <v/>
      </c>
      <c r="AB165" s="227" t="str">
        <f>IFERROR(_xlfn.XLOOKUP($A165,'Raw Data'!$A:$A,'Raw Data'!$H:$H),"")</f>
        <v/>
      </c>
      <c r="AC165" s="145">
        <f>IFERROR(_xlfn.XLOOKUP($D165,'Modelling New'!$D:$D,'Modelling New'!$P:$P),"")</f>
        <v>4.9333333333333336</v>
      </c>
      <c r="AD165" s="227">
        <f>IFERROR(_xlfn.XLOOKUP($D165,'Modelling New'!$D:$D,'Modelling New'!$T:$T)*1000,"")</f>
        <v>91491.490277141027</v>
      </c>
      <c r="AE165" s="234">
        <f>IFERROR(_xlfn.XLOOKUP($D165,'Modelling New'!$D:$D,'Modelling New'!$O:$O),"")</f>
        <v>0.76309492836200032</v>
      </c>
      <c r="AF165" s="234">
        <f>IFERROR(_xlfn.XLOOKUP($D165,'Modelling New'!$D:$D,'Modelling New'!$W:$W),"")</f>
        <v>0.15685840194107786</v>
      </c>
      <c r="AG165" s="234">
        <f>IFERROR(_xlfn.XLOOKUP($D165,'Modelling New'!$D:$D,'Modelling New'!AE:AE),"")</f>
        <v>0.995</v>
      </c>
      <c r="AH165" s="234">
        <v>0.99750000000000005</v>
      </c>
      <c r="AI165" s="6"/>
      <c r="AJ165" s="6"/>
      <c r="AK165" s="6"/>
      <c r="AL165" s="6"/>
      <c r="AM165" s="6"/>
      <c r="AN165" s="231"/>
      <c r="AO165" s="234"/>
      <c r="AP165" s="234"/>
      <c r="AQ165" s="234"/>
      <c r="AR165" s="227">
        <f>IFERROR(_xlfn.XLOOKUP($D165,'Modelling New'!$D:$D,'Modelling New'!$N:$N),"")</f>
        <v>24.303100000000001</v>
      </c>
      <c r="AS165" s="227"/>
    </row>
    <row r="166" spans="1:45" x14ac:dyDescent="0.35">
      <c r="A166" s="226">
        <f t="shared" si="14"/>
        <v>45909</v>
      </c>
      <c r="B166" s="227">
        <f>YEAR(Daily_KPI[[#This Row],[Date]])+IF(MONTH(Daily_KPI[[#This Row],[Date]])&gt;=4,1,0)</f>
        <v>2026</v>
      </c>
      <c r="C166" s="6">
        <f>YEAR(Daily_KPI[[#This Row],[Date]])</f>
        <v>2025</v>
      </c>
      <c r="D166" s="228">
        <f>Daily_KPI[[#This Row],[Date]]-DAY(Daily_KPI[[#This Row],[Date]])+1</f>
        <v>45901</v>
      </c>
      <c r="E166" s="6">
        <f t="shared" si="11"/>
        <v>30</v>
      </c>
      <c r="F166" s="229" t="str">
        <f>IFERROR(_xlfn.XLOOKUP($A166,'Raw Data'!$A:$A,'Raw Data'!$BR:$BR),"")</f>
        <v/>
      </c>
      <c r="G166" s="230" t="str">
        <f>IFERROR(_xlfn.XLOOKUP($A166,'Raw Data'!$A:$A,'Raw Data'!$AO:$AO),"")</f>
        <v/>
      </c>
      <c r="H166" s="230"/>
      <c r="I166" s="230" t="str">
        <f>IFERROR(_xlfn.XLOOKUP($A166,'Raw Data'!$A:$A,'Raw Data'!$AR:$AR),"")</f>
        <v/>
      </c>
      <c r="J166" s="230"/>
      <c r="K166" s="230" t="str">
        <f>IFERROR(_xlfn.XLOOKUP($A166,'Raw Data'!$A:$A,'Raw Data'!$AV:$AV),"")</f>
        <v/>
      </c>
      <c r="L166" s="230" t="str">
        <f>IFERROR(_xlfn.XLOOKUP($A166,'Raw Data'!$A:$A,'Raw Data'!$AW:$AW),"")</f>
        <v/>
      </c>
      <c r="M166" s="230" t="str">
        <f>IFERROR(_xlfn.XLOOKUP($A166,'Raw Data'!$A:$A,'Raw Data'!$AX:$AX),"")</f>
        <v/>
      </c>
      <c r="N166" s="230" t="str">
        <f>IFERROR(_xlfn.XLOOKUP($A166,'Raw Data'!$A:$A,'Raw Data'!$AY:$AY),"")</f>
        <v/>
      </c>
      <c r="O166" s="231" t="str">
        <f>IFERROR(1-(SUMIF('Plant BD'!$B:$B,A166,'Plant BD'!$AE:$AE)/(AA166+SUMIF('Plant BD'!$B:$B,A166,'Plant BD'!$AE:$AE))),"")</f>
        <v/>
      </c>
      <c r="P166" s="231"/>
      <c r="Q166" s="232"/>
      <c r="R166" s="231" t="str">
        <f>IFERROR(1-(SUMIF('Grid BD'!$B:$B,$A166,'Grid BD'!$AD:$AD)/($AA166+SUMIF('Grid BD'!$B:$B,$A166,'Grid BD'!AD:AD))),"")</f>
        <v/>
      </c>
      <c r="S166" s="6"/>
      <c r="T166" s="232"/>
      <c r="U166" s="233" t="str">
        <f t="shared" si="13"/>
        <v/>
      </c>
      <c r="V166" s="233"/>
      <c r="W166" s="234" t="str">
        <f t="shared" si="10"/>
        <v/>
      </c>
      <c r="X166" s="227" t="str">
        <f>IFERROR(_xlfn.XLOOKUP($A166,'Raw Data'!$A:$A,'Raw Data'!$BA:$BA),"")</f>
        <v/>
      </c>
      <c r="Y166" s="227" t="str">
        <f>IFERROR(_xlfn.XLOOKUP($A166,'Raw Data'!$A:$A,'Raw Data'!BJ:BJ),"")</f>
        <v/>
      </c>
      <c r="Z166" s="227" t="str">
        <f>IFERROR(_xlfn.XLOOKUP($A166,'Raw Data'!$A:$A,'Raw Data'!BK:BK),"")</f>
        <v/>
      </c>
      <c r="AA166" s="227" t="str">
        <f>IFERROR(_xlfn.XLOOKUP($A166,'Raw Data'!$A:$A,'Raw Data'!BL:BL),"")</f>
        <v/>
      </c>
      <c r="AB166" s="227" t="str">
        <f>IFERROR(_xlfn.XLOOKUP($A166,'Raw Data'!$A:$A,'Raw Data'!$H:$H),"")</f>
        <v/>
      </c>
      <c r="AC166" s="145">
        <f>IFERROR(_xlfn.XLOOKUP($D166,'Modelling New'!$D:$D,'Modelling New'!$P:$P),"")</f>
        <v>4.9333333333333336</v>
      </c>
      <c r="AD166" s="227">
        <f>IFERROR(_xlfn.XLOOKUP($D166,'Modelling New'!$D:$D,'Modelling New'!$T:$T)*1000,"")</f>
        <v>91491.490277141027</v>
      </c>
      <c r="AE166" s="234">
        <f>IFERROR(_xlfn.XLOOKUP($D166,'Modelling New'!$D:$D,'Modelling New'!$O:$O),"")</f>
        <v>0.76309492836200032</v>
      </c>
      <c r="AF166" s="234">
        <f>IFERROR(_xlfn.XLOOKUP($D166,'Modelling New'!$D:$D,'Modelling New'!$W:$W),"")</f>
        <v>0.15685840194107786</v>
      </c>
      <c r="AG166" s="234">
        <f>IFERROR(_xlfn.XLOOKUP($D166,'Modelling New'!$D:$D,'Modelling New'!AE:AE),"")</f>
        <v>0.995</v>
      </c>
      <c r="AH166" s="234">
        <v>0.99750000000000005</v>
      </c>
      <c r="AI166" s="6"/>
      <c r="AJ166" s="6"/>
      <c r="AK166" s="6"/>
      <c r="AL166" s="6"/>
      <c r="AM166" s="6"/>
      <c r="AN166" s="231"/>
      <c r="AO166" s="234"/>
      <c r="AP166" s="234"/>
      <c r="AQ166" s="234"/>
      <c r="AR166" s="227">
        <f>IFERROR(_xlfn.XLOOKUP($D166,'Modelling New'!$D:$D,'Modelling New'!$N:$N),"")</f>
        <v>24.303100000000001</v>
      </c>
      <c r="AS166" s="227"/>
    </row>
    <row r="167" spans="1:45" x14ac:dyDescent="0.35">
      <c r="A167" s="226">
        <f t="shared" si="14"/>
        <v>45910</v>
      </c>
      <c r="B167" s="227">
        <f>YEAR(Daily_KPI[[#This Row],[Date]])+IF(MONTH(Daily_KPI[[#This Row],[Date]])&gt;=4,1,0)</f>
        <v>2026</v>
      </c>
      <c r="C167" s="6">
        <f>YEAR(Daily_KPI[[#This Row],[Date]])</f>
        <v>2025</v>
      </c>
      <c r="D167" s="228">
        <f>Daily_KPI[[#This Row],[Date]]-DAY(Daily_KPI[[#This Row],[Date]])+1</f>
        <v>45901</v>
      </c>
      <c r="E167" s="6">
        <f t="shared" si="11"/>
        <v>30</v>
      </c>
      <c r="F167" s="229" t="str">
        <f>IFERROR(_xlfn.XLOOKUP($A167,'Raw Data'!$A:$A,'Raw Data'!$BR:$BR),"")</f>
        <v/>
      </c>
      <c r="G167" s="230" t="str">
        <f>IFERROR(_xlfn.XLOOKUP($A167,'Raw Data'!$A:$A,'Raw Data'!$AO:$AO),"")</f>
        <v/>
      </c>
      <c r="H167" s="230"/>
      <c r="I167" s="230" t="str">
        <f>IFERROR(_xlfn.XLOOKUP($A167,'Raw Data'!$A:$A,'Raw Data'!$AR:$AR),"")</f>
        <v/>
      </c>
      <c r="J167" s="230"/>
      <c r="K167" s="230" t="str">
        <f>IFERROR(_xlfn.XLOOKUP($A167,'Raw Data'!$A:$A,'Raw Data'!$AV:$AV),"")</f>
        <v/>
      </c>
      <c r="L167" s="230" t="str">
        <f>IFERROR(_xlfn.XLOOKUP($A167,'Raw Data'!$A:$A,'Raw Data'!$AW:$AW),"")</f>
        <v/>
      </c>
      <c r="M167" s="230" t="str">
        <f>IFERROR(_xlfn.XLOOKUP($A167,'Raw Data'!$A:$A,'Raw Data'!$AX:$AX),"")</f>
        <v/>
      </c>
      <c r="N167" s="230" t="str">
        <f>IFERROR(_xlfn.XLOOKUP($A167,'Raw Data'!$A:$A,'Raw Data'!$AY:$AY),"")</f>
        <v/>
      </c>
      <c r="O167" s="231" t="str">
        <f>IFERROR(1-(SUMIF('Plant BD'!$B:$B,A167,'Plant BD'!$AE:$AE)/(AA167+SUMIF('Plant BD'!$B:$B,A167,'Plant BD'!$AE:$AE))),"")</f>
        <v/>
      </c>
      <c r="P167" s="231"/>
      <c r="Q167" s="232"/>
      <c r="R167" s="231" t="str">
        <f>IFERROR(1-(SUMIF('Grid BD'!$B:$B,$A167,'Grid BD'!$AD:$AD)/($AA167+SUMIF('Grid BD'!$B:$B,$A167,'Grid BD'!AD:AD))),"")</f>
        <v/>
      </c>
      <c r="S167" s="6"/>
      <c r="T167" s="232"/>
      <c r="U167" s="233" t="str">
        <f t="shared" si="13"/>
        <v/>
      </c>
      <c r="V167" s="233"/>
      <c r="W167" s="234" t="str">
        <f t="shared" si="10"/>
        <v/>
      </c>
      <c r="X167" s="227" t="str">
        <f>IFERROR(_xlfn.XLOOKUP($A167,'Raw Data'!$A:$A,'Raw Data'!$BA:$BA),"")</f>
        <v/>
      </c>
      <c r="Y167" s="227" t="str">
        <f>IFERROR(_xlfn.XLOOKUP($A167,'Raw Data'!$A:$A,'Raw Data'!BJ:BJ),"")</f>
        <v/>
      </c>
      <c r="Z167" s="227" t="str">
        <f>IFERROR(_xlfn.XLOOKUP($A167,'Raw Data'!$A:$A,'Raw Data'!BK:BK),"")</f>
        <v/>
      </c>
      <c r="AA167" s="227" t="str">
        <f>IFERROR(_xlfn.XLOOKUP($A167,'Raw Data'!$A:$A,'Raw Data'!BL:BL),"")</f>
        <v/>
      </c>
      <c r="AB167" s="227" t="str">
        <f>IFERROR(_xlfn.XLOOKUP($A167,'Raw Data'!$A:$A,'Raw Data'!$H:$H),"")</f>
        <v/>
      </c>
      <c r="AC167" s="145">
        <f>IFERROR(_xlfn.XLOOKUP($D167,'Modelling New'!$D:$D,'Modelling New'!$P:$P),"")</f>
        <v>4.9333333333333336</v>
      </c>
      <c r="AD167" s="227">
        <f>IFERROR(_xlfn.XLOOKUP($D167,'Modelling New'!$D:$D,'Modelling New'!$T:$T)*1000,"")</f>
        <v>91491.490277141027</v>
      </c>
      <c r="AE167" s="234">
        <f>IFERROR(_xlfn.XLOOKUP($D167,'Modelling New'!$D:$D,'Modelling New'!$O:$O),"")</f>
        <v>0.76309492836200032</v>
      </c>
      <c r="AF167" s="234">
        <f>IFERROR(_xlfn.XLOOKUP($D167,'Modelling New'!$D:$D,'Modelling New'!$W:$W),"")</f>
        <v>0.15685840194107786</v>
      </c>
      <c r="AG167" s="234">
        <f>IFERROR(_xlfn.XLOOKUP($D167,'Modelling New'!$D:$D,'Modelling New'!AE:AE),"")</f>
        <v>0.995</v>
      </c>
      <c r="AH167" s="234">
        <v>0.99750000000000005</v>
      </c>
      <c r="AI167" s="6"/>
      <c r="AJ167" s="6"/>
      <c r="AK167" s="6"/>
      <c r="AL167" s="6"/>
      <c r="AM167" s="6"/>
      <c r="AN167" s="231"/>
      <c r="AO167" s="234"/>
      <c r="AP167" s="234"/>
      <c r="AQ167" s="234"/>
      <c r="AR167" s="227">
        <f>IFERROR(_xlfn.XLOOKUP($D167,'Modelling New'!$D:$D,'Modelling New'!$N:$N),"")</f>
        <v>24.303100000000001</v>
      </c>
      <c r="AS167" s="227"/>
    </row>
    <row r="168" spans="1:45" x14ac:dyDescent="0.35">
      <c r="A168" s="226">
        <f t="shared" si="14"/>
        <v>45911</v>
      </c>
      <c r="B168" s="227">
        <f>YEAR(Daily_KPI[[#This Row],[Date]])+IF(MONTH(Daily_KPI[[#This Row],[Date]])&gt;=4,1,0)</f>
        <v>2026</v>
      </c>
      <c r="C168" s="6">
        <f>YEAR(Daily_KPI[[#This Row],[Date]])</f>
        <v>2025</v>
      </c>
      <c r="D168" s="228">
        <f>Daily_KPI[[#This Row],[Date]]-DAY(Daily_KPI[[#This Row],[Date]])+1</f>
        <v>45901</v>
      </c>
      <c r="E168" s="6">
        <f t="shared" si="11"/>
        <v>30</v>
      </c>
      <c r="F168" s="229" t="str">
        <f>IFERROR(_xlfn.XLOOKUP($A168,'Raw Data'!$A:$A,'Raw Data'!$BR:$BR),"")</f>
        <v/>
      </c>
      <c r="G168" s="230" t="str">
        <f>IFERROR(_xlfn.XLOOKUP($A168,'Raw Data'!$A:$A,'Raw Data'!$AO:$AO),"")</f>
        <v/>
      </c>
      <c r="H168" s="230"/>
      <c r="I168" s="230" t="str">
        <f>IFERROR(_xlfn.XLOOKUP($A168,'Raw Data'!$A:$A,'Raw Data'!$AR:$AR),"")</f>
        <v/>
      </c>
      <c r="J168" s="230"/>
      <c r="K168" s="230" t="str">
        <f>IFERROR(_xlfn.XLOOKUP($A168,'Raw Data'!$A:$A,'Raw Data'!$AV:$AV),"")</f>
        <v/>
      </c>
      <c r="L168" s="230" t="str">
        <f>IFERROR(_xlfn.XLOOKUP($A168,'Raw Data'!$A:$A,'Raw Data'!$AW:$AW),"")</f>
        <v/>
      </c>
      <c r="M168" s="230" t="str">
        <f>IFERROR(_xlfn.XLOOKUP($A168,'Raw Data'!$A:$A,'Raw Data'!$AX:$AX),"")</f>
        <v/>
      </c>
      <c r="N168" s="230" t="str">
        <f>IFERROR(_xlfn.XLOOKUP($A168,'Raw Data'!$A:$A,'Raw Data'!$AY:$AY),"")</f>
        <v/>
      </c>
      <c r="O168" s="231" t="str">
        <f>IFERROR(1-(SUMIF('Plant BD'!$B:$B,A168,'Plant BD'!$AE:$AE)/(AA168+SUMIF('Plant BD'!$B:$B,A168,'Plant BD'!$AE:$AE))),"")</f>
        <v/>
      </c>
      <c r="P168" s="231"/>
      <c r="Q168" s="232"/>
      <c r="R168" s="231" t="str">
        <f>IFERROR(1-(SUMIF('Grid BD'!$B:$B,$A168,'Grid BD'!$AD:$AD)/($AA168+SUMIF('Grid BD'!$B:$B,$A168,'Grid BD'!AD:AD))),"")</f>
        <v/>
      </c>
      <c r="S168" s="6"/>
      <c r="T168" s="232"/>
      <c r="U168" s="233" t="str">
        <f t="shared" si="13"/>
        <v/>
      </c>
      <c r="V168" s="233"/>
      <c r="W168" s="234" t="str">
        <f t="shared" si="10"/>
        <v/>
      </c>
      <c r="X168" s="227" t="str">
        <f>IFERROR(_xlfn.XLOOKUP($A168,'Raw Data'!$A:$A,'Raw Data'!$BA:$BA),"")</f>
        <v/>
      </c>
      <c r="Y168" s="227" t="str">
        <f>IFERROR(_xlfn.XLOOKUP($A168,'Raw Data'!$A:$A,'Raw Data'!BJ:BJ),"")</f>
        <v/>
      </c>
      <c r="Z168" s="227" t="str">
        <f>IFERROR(_xlfn.XLOOKUP($A168,'Raw Data'!$A:$A,'Raw Data'!BK:BK),"")</f>
        <v/>
      </c>
      <c r="AA168" s="227" t="str">
        <f>IFERROR(_xlfn.XLOOKUP($A168,'Raw Data'!$A:$A,'Raw Data'!BL:BL),"")</f>
        <v/>
      </c>
      <c r="AB168" s="227" t="str">
        <f>IFERROR(_xlfn.XLOOKUP($A168,'Raw Data'!$A:$A,'Raw Data'!$H:$H),"")</f>
        <v/>
      </c>
      <c r="AC168" s="145">
        <f>IFERROR(_xlfn.XLOOKUP($D168,'Modelling New'!$D:$D,'Modelling New'!$P:$P),"")</f>
        <v>4.9333333333333336</v>
      </c>
      <c r="AD168" s="227">
        <f>IFERROR(_xlfn.XLOOKUP($D168,'Modelling New'!$D:$D,'Modelling New'!$T:$T)*1000,"")</f>
        <v>91491.490277141027</v>
      </c>
      <c r="AE168" s="234">
        <f>IFERROR(_xlfn.XLOOKUP($D168,'Modelling New'!$D:$D,'Modelling New'!$O:$O),"")</f>
        <v>0.76309492836200032</v>
      </c>
      <c r="AF168" s="234">
        <f>IFERROR(_xlfn.XLOOKUP($D168,'Modelling New'!$D:$D,'Modelling New'!$W:$W),"")</f>
        <v>0.15685840194107786</v>
      </c>
      <c r="AG168" s="234">
        <f>IFERROR(_xlfn.XLOOKUP($D168,'Modelling New'!$D:$D,'Modelling New'!AE:AE),"")</f>
        <v>0.995</v>
      </c>
      <c r="AH168" s="234">
        <v>0.99750000000000005</v>
      </c>
      <c r="AI168" s="6"/>
      <c r="AJ168" s="6"/>
      <c r="AK168" s="6"/>
      <c r="AL168" s="6"/>
      <c r="AM168" s="6"/>
      <c r="AN168" s="231"/>
      <c r="AO168" s="234"/>
      <c r="AP168" s="234"/>
      <c r="AQ168" s="234"/>
      <c r="AR168" s="227">
        <f>IFERROR(_xlfn.XLOOKUP($D168,'Modelling New'!$D:$D,'Modelling New'!$N:$N),"")</f>
        <v>24.303100000000001</v>
      </c>
      <c r="AS168" s="227"/>
    </row>
    <row r="169" spans="1:45" x14ac:dyDescent="0.35">
      <c r="A169" s="226">
        <f t="shared" si="14"/>
        <v>45912</v>
      </c>
      <c r="B169" s="227">
        <f>YEAR(Daily_KPI[[#This Row],[Date]])+IF(MONTH(Daily_KPI[[#This Row],[Date]])&gt;=4,1,0)</f>
        <v>2026</v>
      </c>
      <c r="C169" s="6">
        <f>YEAR(Daily_KPI[[#This Row],[Date]])</f>
        <v>2025</v>
      </c>
      <c r="D169" s="228">
        <f>Daily_KPI[[#This Row],[Date]]-DAY(Daily_KPI[[#This Row],[Date]])+1</f>
        <v>45901</v>
      </c>
      <c r="E169" s="6">
        <f t="shared" si="11"/>
        <v>30</v>
      </c>
      <c r="F169" s="229" t="str">
        <f>IFERROR(_xlfn.XLOOKUP($A169,'Raw Data'!$A:$A,'Raw Data'!$BR:$BR),"")</f>
        <v/>
      </c>
      <c r="G169" s="230" t="str">
        <f>IFERROR(_xlfn.XLOOKUP($A169,'Raw Data'!$A:$A,'Raw Data'!$AO:$AO),"")</f>
        <v/>
      </c>
      <c r="H169" s="230"/>
      <c r="I169" s="230" t="str">
        <f>IFERROR(_xlfn.XLOOKUP($A169,'Raw Data'!$A:$A,'Raw Data'!$AR:$AR),"")</f>
        <v/>
      </c>
      <c r="J169" s="230"/>
      <c r="K169" s="230" t="str">
        <f>IFERROR(_xlfn.XLOOKUP($A169,'Raw Data'!$A:$A,'Raw Data'!$AV:$AV),"")</f>
        <v/>
      </c>
      <c r="L169" s="230" t="str">
        <f>IFERROR(_xlfn.XLOOKUP($A169,'Raw Data'!$A:$A,'Raw Data'!$AW:$AW),"")</f>
        <v/>
      </c>
      <c r="M169" s="230" t="str">
        <f>IFERROR(_xlfn.XLOOKUP($A169,'Raw Data'!$A:$A,'Raw Data'!$AX:$AX),"")</f>
        <v/>
      </c>
      <c r="N169" s="230" t="str">
        <f>IFERROR(_xlfn.XLOOKUP($A169,'Raw Data'!$A:$A,'Raw Data'!$AY:$AY),"")</f>
        <v/>
      </c>
      <c r="O169" s="231" t="str">
        <f>IFERROR(1-(SUMIF('Plant BD'!$B:$B,A169,'Plant BD'!$AE:$AE)/(AA169+SUMIF('Plant BD'!$B:$B,A169,'Plant BD'!$AE:$AE))),"")</f>
        <v/>
      </c>
      <c r="P169" s="231"/>
      <c r="Q169" s="232"/>
      <c r="R169" s="231" t="str">
        <f>IFERROR(1-(SUMIF('Grid BD'!$B:$B,$A169,'Grid BD'!$AD:$AD)/($AA169+SUMIF('Grid BD'!$B:$B,$A169,'Grid BD'!AD:AD))),"")</f>
        <v/>
      </c>
      <c r="S169" s="6"/>
      <c r="T169" s="232"/>
      <c r="U169" s="233" t="str">
        <f t="shared" si="13"/>
        <v/>
      </c>
      <c r="V169" s="233"/>
      <c r="W169" s="234" t="str">
        <f t="shared" si="10"/>
        <v/>
      </c>
      <c r="X169" s="227" t="str">
        <f>IFERROR(_xlfn.XLOOKUP($A169,'Raw Data'!$A:$A,'Raw Data'!$BA:$BA),"")</f>
        <v/>
      </c>
      <c r="Y169" s="227" t="str">
        <f>IFERROR(_xlfn.XLOOKUP($A169,'Raw Data'!$A:$A,'Raw Data'!BJ:BJ),"")</f>
        <v/>
      </c>
      <c r="Z169" s="227" t="str">
        <f>IFERROR(_xlfn.XLOOKUP($A169,'Raw Data'!$A:$A,'Raw Data'!BK:BK),"")</f>
        <v/>
      </c>
      <c r="AA169" s="227" t="str">
        <f>IFERROR(_xlfn.XLOOKUP($A169,'Raw Data'!$A:$A,'Raw Data'!BL:BL),"")</f>
        <v/>
      </c>
      <c r="AB169" s="227" t="str">
        <f>IFERROR(_xlfn.XLOOKUP($A169,'Raw Data'!$A:$A,'Raw Data'!$H:$H),"")</f>
        <v/>
      </c>
      <c r="AC169" s="145">
        <f>IFERROR(_xlfn.XLOOKUP($D169,'Modelling New'!$D:$D,'Modelling New'!$P:$P),"")</f>
        <v>4.9333333333333336</v>
      </c>
      <c r="AD169" s="227">
        <f>IFERROR(_xlfn.XLOOKUP($D169,'Modelling New'!$D:$D,'Modelling New'!$T:$T)*1000,"")</f>
        <v>91491.490277141027</v>
      </c>
      <c r="AE169" s="234">
        <f>IFERROR(_xlfn.XLOOKUP($D169,'Modelling New'!$D:$D,'Modelling New'!$O:$O),"")</f>
        <v>0.76309492836200032</v>
      </c>
      <c r="AF169" s="234">
        <f>IFERROR(_xlfn.XLOOKUP($D169,'Modelling New'!$D:$D,'Modelling New'!$W:$W),"")</f>
        <v>0.15685840194107786</v>
      </c>
      <c r="AG169" s="234">
        <f>IFERROR(_xlfn.XLOOKUP($D169,'Modelling New'!$D:$D,'Modelling New'!AE:AE),"")</f>
        <v>0.995</v>
      </c>
      <c r="AH169" s="234">
        <v>0.99750000000000005</v>
      </c>
      <c r="AI169" s="6"/>
      <c r="AJ169" s="6"/>
      <c r="AK169" s="6"/>
      <c r="AL169" s="6"/>
      <c r="AM169" s="6"/>
      <c r="AN169" s="231"/>
      <c r="AO169" s="234"/>
      <c r="AP169" s="234"/>
      <c r="AQ169" s="234"/>
      <c r="AR169" s="227">
        <f>IFERROR(_xlfn.XLOOKUP($D169,'Modelling New'!$D:$D,'Modelling New'!$N:$N),"")</f>
        <v>24.303100000000001</v>
      </c>
      <c r="AS169" s="227"/>
    </row>
    <row r="170" spans="1:45" x14ac:dyDescent="0.35">
      <c r="A170" s="226">
        <f t="shared" si="14"/>
        <v>45913</v>
      </c>
      <c r="B170" s="227">
        <f>YEAR(Daily_KPI[[#This Row],[Date]])+IF(MONTH(Daily_KPI[[#This Row],[Date]])&gt;=4,1,0)</f>
        <v>2026</v>
      </c>
      <c r="C170" s="6">
        <f>YEAR(Daily_KPI[[#This Row],[Date]])</f>
        <v>2025</v>
      </c>
      <c r="D170" s="228">
        <f>Daily_KPI[[#This Row],[Date]]-DAY(Daily_KPI[[#This Row],[Date]])+1</f>
        <v>45901</v>
      </c>
      <c r="E170" s="6">
        <f t="shared" si="11"/>
        <v>30</v>
      </c>
      <c r="F170" s="229" t="str">
        <f>IFERROR(_xlfn.XLOOKUP($A170,'Raw Data'!$A:$A,'Raw Data'!$BR:$BR),"")</f>
        <v/>
      </c>
      <c r="G170" s="230" t="str">
        <f>IFERROR(_xlfn.XLOOKUP($A170,'Raw Data'!$A:$A,'Raw Data'!$AO:$AO),"")</f>
        <v/>
      </c>
      <c r="H170" s="230"/>
      <c r="I170" s="230" t="str">
        <f>IFERROR(_xlfn.XLOOKUP($A170,'Raw Data'!$A:$A,'Raw Data'!$AR:$AR),"")</f>
        <v/>
      </c>
      <c r="J170" s="230"/>
      <c r="K170" s="230" t="str">
        <f>IFERROR(_xlfn.XLOOKUP($A170,'Raw Data'!$A:$A,'Raw Data'!$AV:$AV),"")</f>
        <v/>
      </c>
      <c r="L170" s="230" t="str">
        <f>IFERROR(_xlfn.XLOOKUP($A170,'Raw Data'!$A:$A,'Raw Data'!$AW:$AW),"")</f>
        <v/>
      </c>
      <c r="M170" s="230" t="str">
        <f>IFERROR(_xlfn.XLOOKUP($A170,'Raw Data'!$A:$A,'Raw Data'!$AX:$AX),"")</f>
        <v/>
      </c>
      <c r="N170" s="230" t="str">
        <f>IFERROR(_xlfn.XLOOKUP($A170,'Raw Data'!$A:$A,'Raw Data'!$AY:$AY),"")</f>
        <v/>
      </c>
      <c r="O170" s="231" t="str">
        <f>IFERROR(1-(SUMIF('Plant BD'!$B:$B,A170,'Plant BD'!$AE:$AE)/(AA170+SUMIF('Plant BD'!$B:$B,A170,'Plant BD'!$AE:$AE))),"")</f>
        <v/>
      </c>
      <c r="P170" s="231"/>
      <c r="Q170" s="232"/>
      <c r="R170" s="231" t="str">
        <f>IFERROR(1-(SUMIF('Grid BD'!$B:$B,$A170,'Grid BD'!$AD:$AD)/($AA170+SUMIF('Grid BD'!$B:$B,$A170,'Grid BD'!AD:AD))),"")</f>
        <v/>
      </c>
      <c r="S170" s="6"/>
      <c r="T170" s="232"/>
      <c r="U170" s="233" t="str">
        <f t="shared" si="13"/>
        <v/>
      </c>
      <c r="V170" s="233"/>
      <c r="W170" s="234" t="str">
        <f t="shared" si="10"/>
        <v/>
      </c>
      <c r="X170" s="227" t="str">
        <f>IFERROR(_xlfn.XLOOKUP($A170,'Raw Data'!$A:$A,'Raw Data'!$BA:$BA),"")</f>
        <v/>
      </c>
      <c r="Y170" s="227" t="str">
        <f>IFERROR(_xlfn.XLOOKUP($A170,'Raw Data'!$A:$A,'Raw Data'!BJ:BJ),"")</f>
        <v/>
      </c>
      <c r="Z170" s="227" t="str">
        <f>IFERROR(_xlfn.XLOOKUP($A170,'Raw Data'!$A:$A,'Raw Data'!BK:BK),"")</f>
        <v/>
      </c>
      <c r="AA170" s="227" t="str">
        <f>IFERROR(_xlfn.XLOOKUP($A170,'Raw Data'!$A:$A,'Raw Data'!BL:BL),"")</f>
        <v/>
      </c>
      <c r="AB170" s="227" t="str">
        <f>IFERROR(_xlfn.XLOOKUP($A170,'Raw Data'!$A:$A,'Raw Data'!$H:$H),"")</f>
        <v/>
      </c>
      <c r="AC170" s="145">
        <f>IFERROR(_xlfn.XLOOKUP($D170,'Modelling New'!$D:$D,'Modelling New'!$P:$P),"")</f>
        <v>4.9333333333333336</v>
      </c>
      <c r="AD170" s="227">
        <f>IFERROR(_xlfn.XLOOKUP($D170,'Modelling New'!$D:$D,'Modelling New'!$T:$T)*1000,"")</f>
        <v>91491.490277141027</v>
      </c>
      <c r="AE170" s="234">
        <f>IFERROR(_xlfn.XLOOKUP($D170,'Modelling New'!$D:$D,'Modelling New'!$O:$O),"")</f>
        <v>0.76309492836200032</v>
      </c>
      <c r="AF170" s="234">
        <f>IFERROR(_xlfn.XLOOKUP($D170,'Modelling New'!$D:$D,'Modelling New'!$W:$W),"")</f>
        <v>0.15685840194107786</v>
      </c>
      <c r="AG170" s="234">
        <f>IFERROR(_xlfn.XLOOKUP($D170,'Modelling New'!$D:$D,'Modelling New'!AE:AE),"")</f>
        <v>0.995</v>
      </c>
      <c r="AH170" s="234">
        <v>0.99750000000000005</v>
      </c>
      <c r="AI170" s="6"/>
      <c r="AJ170" s="6"/>
      <c r="AK170" s="6"/>
      <c r="AL170" s="6"/>
      <c r="AM170" s="6"/>
      <c r="AN170" s="231"/>
      <c r="AO170" s="234"/>
      <c r="AP170" s="234"/>
      <c r="AQ170" s="234"/>
      <c r="AR170" s="227">
        <f>IFERROR(_xlfn.XLOOKUP($D170,'Modelling New'!$D:$D,'Modelling New'!$N:$N),"")</f>
        <v>24.303100000000001</v>
      </c>
      <c r="AS170" s="227"/>
    </row>
    <row r="171" spans="1:45" x14ac:dyDescent="0.35">
      <c r="A171" s="226">
        <f t="shared" si="14"/>
        <v>45914</v>
      </c>
      <c r="B171" s="227">
        <f>YEAR(Daily_KPI[[#This Row],[Date]])+IF(MONTH(Daily_KPI[[#This Row],[Date]])&gt;=4,1,0)</f>
        <v>2026</v>
      </c>
      <c r="C171" s="6">
        <f>YEAR(Daily_KPI[[#This Row],[Date]])</f>
        <v>2025</v>
      </c>
      <c r="D171" s="228">
        <f>Daily_KPI[[#This Row],[Date]]-DAY(Daily_KPI[[#This Row],[Date]])+1</f>
        <v>45901</v>
      </c>
      <c r="E171" s="6">
        <f t="shared" si="11"/>
        <v>30</v>
      </c>
      <c r="F171" s="229" t="str">
        <f>IFERROR(_xlfn.XLOOKUP($A171,'Raw Data'!$A:$A,'Raw Data'!$BR:$BR),"")</f>
        <v/>
      </c>
      <c r="G171" s="230" t="str">
        <f>IFERROR(_xlfn.XLOOKUP($A171,'Raw Data'!$A:$A,'Raw Data'!$AO:$AO),"")</f>
        <v/>
      </c>
      <c r="H171" s="230"/>
      <c r="I171" s="230" t="str">
        <f>IFERROR(_xlfn.XLOOKUP($A171,'Raw Data'!$A:$A,'Raw Data'!$AR:$AR),"")</f>
        <v/>
      </c>
      <c r="J171" s="230"/>
      <c r="K171" s="230" t="str">
        <f>IFERROR(_xlfn.XLOOKUP($A171,'Raw Data'!$A:$A,'Raw Data'!$AV:$AV),"")</f>
        <v/>
      </c>
      <c r="L171" s="230" t="str">
        <f>IFERROR(_xlfn.XLOOKUP($A171,'Raw Data'!$A:$A,'Raw Data'!$AW:$AW),"")</f>
        <v/>
      </c>
      <c r="M171" s="230" t="str">
        <f>IFERROR(_xlfn.XLOOKUP($A171,'Raw Data'!$A:$A,'Raw Data'!$AX:$AX),"")</f>
        <v/>
      </c>
      <c r="N171" s="230" t="str">
        <f>IFERROR(_xlfn.XLOOKUP($A171,'Raw Data'!$A:$A,'Raw Data'!$AY:$AY),"")</f>
        <v/>
      </c>
      <c r="O171" s="231" t="str">
        <f>IFERROR(1-(SUMIF('Plant BD'!$B:$B,A171,'Plant BD'!$AE:$AE)/(AA171+SUMIF('Plant BD'!$B:$B,A171,'Plant BD'!$AE:$AE))),"")</f>
        <v/>
      </c>
      <c r="P171" s="231"/>
      <c r="Q171" s="232"/>
      <c r="R171" s="231" t="str">
        <f>IFERROR(1-(SUMIF('Grid BD'!$B:$B,$A171,'Grid BD'!$AD:$AD)/($AA171+SUMIF('Grid BD'!$B:$B,$A171,'Grid BD'!AD:AD))),"")</f>
        <v/>
      </c>
      <c r="S171" s="6"/>
      <c r="T171" s="232"/>
      <c r="U171" s="233" t="str">
        <f t="shared" si="13"/>
        <v/>
      </c>
      <c r="V171" s="233"/>
      <c r="W171" s="234" t="str">
        <f t="shared" ref="W171:W234" si="15">IFERROR(AA171/(24*AR171*1000),"")</f>
        <v/>
      </c>
      <c r="X171" s="227" t="str">
        <f>IFERROR(_xlfn.XLOOKUP($A171,'Raw Data'!$A:$A,'Raw Data'!$BA:$BA),"")</f>
        <v/>
      </c>
      <c r="Y171" s="227" t="str">
        <f>IFERROR(_xlfn.XLOOKUP($A171,'Raw Data'!$A:$A,'Raw Data'!BJ:BJ),"")</f>
        <v/>
      </c>
      <c r="Z171" s="227" t="str">
        <f>IFERROR(_xlfn.XLOOKUP($A171,'Raw Data'!$A:$A,'Raw Data'!BK:BK),"")</f>
        <v/>
      </c>
      <c r="AA171" s="227" t="str">
        <f>IFERROR(_xlfn.XLOOKUP($A171,'Raw Data'!$A:$A,'Raw Data'!BL:BL),"")</f>
        <v/>
      </c>
      <c r="AB171" s="227" t="str">
        <f>IFERROR(_xlfn.XLOOKUP($A171,'Raw Data'!$A:$A,'Raw Data'!$H:$H),"")</f>
        <v/>
      </c>
      <c r="AC171" s="145">
        <f>IFERROR(_xlfn.XLOOKUP($D171,'Modelling New'!$D:$D,'Modelling New'!$P:$P),"")</f>
        <v>4.9333333333333336</v>
      </c>
      <c r="AD171" s="227">
        <f>IFERROR(_xlfn.XLOOKUP($D171,'Modelling New'!$D:$D,'Modelling New'!$T:$T)*1000,"")</f>
        <v>91491.490277141027</v>
      </c>
      <c r="AE171" s="234">
        <f>IFERROR(_xlfn.XLOOKUP($D171,'Modelling New'!$D:$D,'Modelling New'!$O:$O),"")</f>
        <v>0.76309492836200032</v>
      </c>
      <c r="AF171" s="234">
        <f>IFERROR(_xlfn.XLOOKUP($D171,'Modelling New'!$D:$D,'Modelling New'!$W:$W),"")</f>
        <v>0.15685840194107786</v>
      </c>
      <c r="AG171" s="234">
        <f>IFERROR(_xlfn.XLOOKUP($D171,'Modelling New'!$D:$D,'Modelling New'!AE:AE),"")</f>
        <v>0.995</v>
      </c>
      <c r="AH171" s="234">
        <v>0.99750000000000005</v>
      </c>
      <c r="AI171" s="6"/>
      <c r="AJ171" s="6"/>
      <c r="AK171" s="6"/>
      <c r="AL171" s="6"/>
      <c r="AM171" s="6"/>
      <c r="AN171" s="231"/>
      <c r="AO171" s="234"/>
      <c r="AP171" s="234"/>
      <c r="AQ171" s="234"/>
      <c r="AR171" s="227">
        <f>IFERROR(_xlfn.XLOOKUP($D171,'Modelling New'!$D:$D,'Modelling New'!$N:$N),"")</f>
        <v>24.303100000000001</v>
      </c>
      <c r="AS171" s="227"/>
    </row>
    <row r="172" spans="1:45" x14ac:dyDescent="0.35">
      <c r="A172" s="226">
        <f t="shared" si="14"/>
        <v>45915</v>
      </c>
      <c r="B172" s="227">
        <f>YEAR(Daily_KPI[[#This Row],[Date]])+IF(MONTH(Daily_KPI[[#This Row],[Date]])&gt;=4,1,0)</f>
        <v>2026</v>
      </c>
      <c r="C172" s="6">
        <f>YEAR(Daily_KPI[[#This Row],[Date]])</f>
        <v>2025</v>
      </c>
      <c r="D172" s="228">
        <f>Daily_KPI[[#This Row],[Date]]-DAY(Daily_KPI[[#This Row],[Date]])+1</f>
        <v>45901</v>
      </c>
      <c r="E172" s="6">
        <f t="shared" si="11"/>
        <v>30</v>
      </c>
      <c r="F172" s="229" t="str">
        <f>IFERROR(_xlfn.XLOOKUP($A172,'Raw Data'!$A:$A,'Raw Data'!$BR:$BR),"")</f>
        <v/>
      </c>
      <c r="G172" s="230" t="str">
        <f>IFERROR(_xlfn.XLOOKUP($A172,'Raw Data'!$A:$A,'Raw Data'!$AO:$AO),"")</f>
        <v/>
      </c>
      <c r="H172" s="230"/>
      <c r="I172" s="230" t="str">
        <f>IFERROR(_xlfn.XLOOKUP($A172,'Raw Data'!$A:$A,'Raw Data'!$AR:$AR),"")</f>
        <v/>
      </c>
      <c r="J172" s="230"/>
      <c r="K172" s="230" t="str">
        <f>IFERROR(_xlfn.XLOOKUP($A172,'Raw Data'!$A:$A,'Raw Data'!$AV:$AV),"")</f>
        <v/>
      </c>
      <c r="L172" s="230" t="str">
        <f>IFERROR(_xlfn.XLOOKUP($A172,'Raw Data'!$A:$A,'Raw Data'!$AW:$AW),"")</f>
        <v/>
      </c>
      <c r="M172" s="230" t="str">
        <f>IFERROR(_xlfn.XLOOKUP($A172,'Raw Data'!$A:$A,'Raw Data'!$AX:$AX),"")</f>
        <v/>
      </c>
      <c r="N172" s="230" t="str">
        <f>IFERROR(_xlfn.XLOOKUP($A172,'Raw Data'!$A:$A,'Raw Data'!$AY:$AY),"")</f>
        <v/>
      </c>
      <c r="O172" s="231" t="str">
        <f>IFERROR(1-(SUMIF('Plant BD'!$B:$B,A172,'Plant BD'!$AE:$AE)/(AA172+SUMIF('Plant BD'!$B:$B,A172,'Plant BD'!$AE:$AE))),"")</f>
        <v/>
      </c>
      <c r="P172" s="231"/>
      <c r="Q172" s="232"/>
      <c r="R172" s="231" t="str">
        <f>IFERROR(1-(SUMIF('Grid BD'!$B:$B,$A172,'Grid BD'!$AD:$AD)/($AA172+SUMIF('Grid BD'!$B:$B,$A172,'Grid BD'!AD:AD))),"")</f>
        <v/>
      </c>
      <c r="S172" s="6"/>
      <c r="T172" s="232"/>
      <c r="U172" s="233" t="str">
        <f t="shared" si="13"/>
        <v/>
      </c>
      <c r="V172" s="233"/>
      <c r="W172" s="234" t="str">
        <f t="shared" si="15"/>
        <v/>
      </c>
      <c r="X172" s="227" t="str">
        <f>IFERROR(_xlfn.XLOOKUP($A172,'Raw Data'!$A:$A,'Raw Data'!$BA:$BA),"")</f>
        <v/>
      </c>
      <c r="Y172" s="227" t="str">
        <f>IFERROR(_xlfn.XLOOKUP($A172,'Raw Data'!$A:$A,'Raw Data'!BJ:BJ),"")</f>
        <v/>
      </c>
      <c r="Z172" s="227" t="str">
        <f>IFERROR(_xlfn.XLOOKUP($A172,'Raw Data'!$A:$A,'Raw Data'!BK:BK),"")</f>
        <v/>
      </c>
      <c r="AA172" s="227" t="str">
        <f>IFERROR(_xlfn.XLOOKUP($A172,'Raw Data'!$A:$A,'Raw Data'!BL:BL),"")</f>
        <v/>
      </c>
      <c r="AB172" s="227" t="str">
        <f>IFERROR(_xlfn.XLOOKUP($A172,'Raw Data'!$A:$A,'Raw Data'!$H:$H),"")</f>
        <v/>
      </c>
      <c r="AC172" s="145">
        <f>IFERROR(_xlfn.XLOOKUP($D172,'Modelling New'!$D:$D,'Modelling New'!$P:$P),"")</f>
        <v>4.9333333333333336</v>
      </c>
      <c r="AD172" s="227">
        <f>IFERROR(_xlfn.XLOOKUP($D172,'Modelling New'!$D:$D,'Modelling New'!$T:$T)*1000,"")</f>
        <v>91491.490277141027</v>
      </c>
      <c r="AE172" s="234">
        <f>IFERROR(_xlfn.XLOOKUP($D172,'Modelling New'!$D:$D,'Modelling New'!$O:$O),"")</f>
        <v>0.76309492836200032</v>
      </c>
      <c r="AF172" s="234">
        <f>IFERROR(_xlfn.XLOOKUP($D172,'Modelling New'!$D:$D,'Modelling New'!$W:$W),"")</f>
        <v>0.15685840194107786</v>
      </c>
      <c r="AG172" s="234">
        <f>IFERROR(_xlfn.XLOOKUP($D172,'Modelling New'!$D:$D,'Modelling New'!AE:AE),"")</f>
        <v>0.995</v>
      </c>
      <c r="AH172" s="234">
        <v>0.99750000000000005</v>
      </c>
      <c r="AI172" s="6"/>
      <c r="AJ172" s="6"/>
      <c r="AK172" s="6"/>
      <c r="AL172" s="6"/>
      <c r="AM172" s="6"/>
      <c r="AN172" s="231"/>
      <c r="AO172" s="234"/>
      <c r="AP172" s="234"/>
      <c r="AQ172" s="234"/>
      <c r="AR172" s="227">
        <f>IFERROR(_xlfn.XLOOKUP($D172,'Modelling New'!$D:$D,'Modelling New'!$N:$N),"")</f>
        <v>24.303100000000001</v>
      </c>
      <c r="AS172" s="227"/>
    </row>
    <row r="173" spans="1:45" x14ac:dyDescent="0.35">
      <c r="A173" s="226">
        <f t="shared" si="14"/>
        <v>45916</v>
      </c>
      <c r="B173" s="227">
        <f>YEAR(Daily_KPI[[#This Row],[Date]])+IF(MONTH(Daily_KPI[[#This Row],[Date]])&gt;=4,1,0)</f>
        <v>2026</v>
      </c>
      <c r="C173" s="6">
        <f>YEAR(Daily_KPI[[#This Row],[Date]])</f>
        <v>2025</v>
      </c>
      <c r="D173" s="228">
        <f>Daily_KPI[[#This Row],[Date]]-DAY(Daily_KPI[[#This Row],[Date]])+1</f>
        <v>45901</v>
      </c>
      <c r="E173" s="6">
        <f t="shared" si="11"/>
        <v>30</v>
      </c>
      <c r="F173" s="229" t="str">
        <f>IFERROR(_xlfn.XLOOKUP($A173,'Raw Data'!$A:$A,'Raw Data'!$BR:$BR),"")</f>
        <v/>
      </c>
      <c r="G173" s="230" t="str">
        <f>IFERROR(_xlfn.XLOOKUP($A173,'Raw Data'!$A:$A,'Raw Data'!$AO:$AO),"")</f>
        <v/>
      </c>
      <c r="H173" s="230"/>
      <c r="I173" s="230" t="str">
        <f>IFERROR(_xlfn.XLOOKUP($A173,'Raw Data'!$A:$A,'Raw Data'!$AR:$AR),"")</f>
        <v/>
      </c>
      <c r="J173" s="230"/>
      <c r="K173" s="230" t="str">
        <f>IFERROR(_xlfn.XLOOKUP($A173,'Raw Data'!$A:$A,'Raw Data'!$AV:$AV),"")</f>
        <v/>
      </c>
      <c r="L173" s="230" t="str">
        <f>IFERROR(_xlfn.XLOOKUP($A173,'Raw Data'!$A:$A,'Raw Data'!$AW:$AW),"")</f>
        <v/>
      </c>
      <c r="M173" s="230" t="str">
        <f>IFERROR(_xlfn.XLOOKUP($A173,'Raw Data'!$A:$A,'Raw Data'!$AX:$AX),"")</f>
        <v/>
      </c>
      <c r="N173" s="230" t="str">
        <f>IFERROR(_xlfn.XLOOKUP($A173,'Raw Data'!$A:$A,'Raw Data'!$AY:$AY),"")</f>
        <v/>
      </c>
      <c r="O173" s="231" t="str">
        <f>IFERROR(1-(SUMIF('Plant BD'!$B:$B,A173,'Plant BD'!$AE:$AE)/(AA173+SUMIF('Plant BD'!$B:$B,A173,'Plant BD'!$AE:$AE))),"")</f>
        <v/>
      </c>
      <c r="P173" s="231"/>
      <c r="Q173" s="232"/>
      <c r="R173" s="231" t="str">
        <f>IFERROR(1-(SUMIF('Grid BD'!$B:$B,$A173,'Grid BD'!$AD:$AD)/($AA173+SUMIF('Grid BD'!$B:$B,$A173,'Grid BD'!AD:AD))),"")</f>
        <v/>
      </c>
      <c r="S173" s="6"/>
      <c r="T173" s="232"/>
      <c r="U173" s="233" t="str">
        <f t="shared" si="13"/>
        <v/>
      </c>
      <c r="V173" s="233"/>
      <c r="W173" s="234" t="str">
        <f t="shared" si="15"/>
        <v/>
      </c>
      <c r="X173" s="227" t="str">
        <f>IFERROR(_xlfn.XLOOKUP($A173,'Raw Data'!$A:$A,'Raw Data'!$BA:$BA),"")</f>
        <v/>
      </c>
      <c r="Y173" s="227" t="str">
        <f>IFERROR(_xlfn.XLOOKUP($A173,'Raw Data'!$A:$A,'Raw Data'!BJ:BJ),"")</f>
        <v/>
      </c>
      <c r="Z173" s="227" t="str">
        <f>IFERROR(_xlfn.XLOOKUP($A173,'Raw Data'!$A:$A,'Raw Data'!BK:BK),"")</f>
        <v/>
      </c>
      <c r="AA173" s="227" t="str">
        <f>IFERROR(_xlfn.XLOOKUP($A173,'Raw Data'!$A:$A,'Raw Data'!BL:BL),"")</f>
        <v/>
      </c>
      <c r="AB173" s="227" t="str">
        <f>IFERROR(_xlfn.XLOOKUP($A173,'Raw Data'!$A:$A,'Raw Data'!$H:$H),"")</f>
        <v/>
      </c>
      <c r="AC173" s="145">
        <f>IFERROR(_xlfn.XLOOKUP($D173,'Modelling New'!$D:$D,'Modelling New'!$P:$P),"")</f>
        <v>4.9333333333333336</v>
      </c>
      <c r="AD173" s="227">
        <f>IFERROR(_xlfn.XLOOKUP($D173,'Modelling New'!$D:$D,'Modelling New'!$T:$T)*1000,"")</f>
        <v>91491.490277141027</v>
      </c>
      <c r="AE173" s="234">
        <f>IFERROR(_xlfn.XLOOKUP($D173,'Modelling New'!$D:$D,'Modelling New'!$O:$O),"")</f>
        <v>0.76309492836200032</v>
      </c>
      <c r="AF173" s="234">
        <f>IFERROR(_xlfn.XLOOKUP($D173,'Modelling New'!$D:$D,'Modelling New'!$W:$W),"")</f>
        <v>0.15685840194107786</v>
      </c>
      <c r="AG173" s="234">
        <f>IFERROR(_xlfn.XLOOKUP($D173,'Modelling New'!$D:$D,'Modelling New'!AE:AE),"")</f>
        <v>0.995</v>
      </c>
      <c r="AH173" s="234">
        <v>0.99750000000000005</v>
      </c>
      <c r="AI173" s="6"/>
      <c r="AJ173" s="6"/>
      <c r="AK173" s="6"/>
      <c r="AL173" s="6"/>
      <c r="AM173" s="6"/>
      <c r="AN173" s="231"/>
      <c r="AO173" s="234"/>
      <c r="AP173" s="234"/>
      <c r="AQ173" s="234"/>
      <c r="AR173" s="227">
        <f>IFERROR(_xlfn.XLOOKUP($D173,'Modelling New'!$D:$D,'Modelling New'!$N:$N),"")</f>
        <v>24.303100000000001</v>
      </c>
      <c r="AS173" s="227"/>
    </row>
    <row r="174" spans="1:45" x14ac:dyDescent="0.35">
      <c r="A174" s="226">
        <f t="shared" si="14"/>
        <v>45917</v>
      </c>
      <c r="B174" s="227">
        <f>YEAR(Daily_KPI[[#This Row],[Date]])+IF(MONTH(Daily_KPI[[#This Row],[Date]])&gt;=4,1,0)</f>
        <v>2026</v>
      </c>
      <c r="C174" s="6">
        <f>YEAR(Daily_KPI[[#This Row],[Date]])</f>
        <v>2025</v>
      </c>
      <c r="D174" s="228">
        <f>Daily_KPI[[#This Row],[Date]]-DAY(Daily_KPI[[#This Row],[Date]])+1</f>
        <v>45901</v>
      </c>
      <c r="E174" s="6">
        <f t="shared" si="11"/>
        <v>30</v>
      </c>
      <c r="F174" s="229" t="str">
        <f>IFERROR(_xlfn.XLOOKUP($A174,'Raw Data'!$A:$A,'Raw Data'!$BR:$BR),"")</f>
        <v/>
      </c>
      <c r="G174" s="230" t="str">
        <f>IFERROR(_xlfn.XLOOKUP($A174,'Raw Data'!$A:$A,'Raw Data'!$AO:$AO),"")</f>
        <v/>
      </c>
      <c r="H174" s="230"/>
      <c r="I174" s="230" t="str">
        <f>IFERROR(_xlfn.XLOOKUP($A174,'Raw Data'!$A:$A,'Raw Data'!$AR:$AR),"")</f>
        <v/>
      </c>
      <c r="J174" s="230"/>
      <c r="K174" s="230" t="str">
        <f>IFERROR(_xlfn.XLOOKUP($A174,'Raw Data'!$A:$A,'Raw Data'!$AV:$AV),"")</f>
        <v/>
      </c>
      <c r="L174" s="230" t="str">
        <f>IFERROR(_xlfn.XLOOKUP($A174,'Raw Data'!$A:$A,'Raw Data'!$AW:$AW),"")</f>
        <v/>
      </c>
      <c r="M174" s="230" t="str">
        <f>IFERROR(_xlfn.XLOOKUP($A174,'Raw Data'!$A:$A,'Raw Data'!$AX:$AX),"")</f>
        <v/>
      </c>
      <c r="N174" s="230" t="str">
        <f>IFERROR(_xlfn.XLOOKUP($A174,'Raw Data'!$A:$A,'Raw Data'!$AY:$AY),"")</f>
        <v/>
      </c>
      <c r="O174" s="231" t="str">
        <f>IFERROR(1-(SUMIF('Plant BD'!$B:$B,A174,'Plant BD'!$AE:$AE)/(AA174+SUMIF('Plant BD'!$B:$B,A174,'Plant BD'!$AE:$AE))),"")</f>
        <v/>
      </c>
      <c r="P174" s="231"/>
      <c r="Q174" s="232"/>
      <c r="R174" s="231" t="str">
        <f>IFERROR(1-(SUMIF('Grid BD'!$B:$B,$A174,'Grid BD'!$AD:$AD)/($AA174+SUMIF('Grid BD'!$B:$B,$A174,'Grid BD'!AD:AD))),"")</f>
        <v/>
      </c>
      <c r="S174" s="6"/>
      <c r="T174" s="232"/>
      <c r="U174" s="233" t="str">
        <f t="shared" si="13"/>
        <v/>
      </c>
      <c r="V174" s="233"/>
      <c r="W174" s="234" t="str">
        <f t="shared" si="15"/>
        <v/>
      </c>
      <c r="X174" s="227" t="str">
        <f>IFERROR(_xlfn.XLOOKUP($A174,'Raw Data'!$A:$A,'Raw Data'!$BA:$BA),"")</f>
        <v/>
      </c>
      <c r="Y174" s="227" t="str">
        <f>IFERROR(_xlfn.XLOOKUP($A174,'Raw Data'!$A:$A,'Raw Data'!BJ:BJ),"")</f>
        <v/>
      </c>
      <c r="Z174" s="227" t="str">
        <f>IFERROR(_xlfn.XLOOKUP($A174,'Raw Data'!$A:$A,'Raw Data'!BK:BK),"")</f>
        <v/>
      </c>
      <c r="AA174" s="227" t="str">
        <f>IFERROR(_xlfn.XLOOKUP($A174,'Raw Data'!$A:$A,'Raw Data'!BL:BL),"")</f>
        <v/>
      </c>
      <c r="AB174" s="227" t="str">
        <f>IFERROR(_xlfn.XLOOKUP($A174,'Raw Data'!$A:$A,'Raw Data'!$H:$H),"")</f>
        <v/>
      </c>
      <c r="AC174" s="145">
        <f>IFERROR(_xlfn.XLOOKUP($D174,'Modelling New'!$D:$D,'Modelling New'!$P:$P),"")</f>
        <v>4.9333333333333336</v>
      </c>
      <c r="AD174" s="227">
        <f>IFERROR(_xlfn.XLOOKUP($D174,'Modelling New'!$D:$D,'Modelling New'!$T:$T)*1000,"")</f>
        <v>91491.490277141027</v>
      </c>
      <c r="AE174" s="234">
        <f>IFERROR(_xlfn.XLOOKUP($D174,'Modelling New'!$D:$D,'Modelling New'!$O:$O),"")</f>
        <v>0.76309492836200032</v>
      </c>
      <c r="AF174" s="234">
        <f>IFERROR(_xlfn.XLOOKUP($D174,'Modelling New'!$D:$D,'Modelling New'!$W:$W),"")</f>
        <v>0.15685840194107786</v>
      </c>
      <c r="AG174" s="234">
        <f>IFERROR(_xlfn.XLOOKUP($D174,'Modelling New'!$D:$D,'Modelling New'!AE:AE),"")</f>
        <v>0.995</v>
      </c>
      <c r="AH174" s="234">
        <v>0.99750000000000005</v>
      </c>
      <c r="AI174" s="6"/>
      <c r="AJ174" s="6"/>
      <c r="AK174" s="6"/>
      <c r="AL174" s="6"/>
      <c r="AM174" s="6"/>
      <c r="AN174" s="231"/>
      <c r="AO174" s="234"/>
      <c r="AP174" s="234"/>
      <c r="AQ174" s="234"/>
      <c r="AR174" s="227">
        <f>IFERROR(_xlfn.XLOOKUP($D174,'Modelling New'!$D:$D,'Modelling New'!$N:$N),"")</f>
        <v>24.303100000000001</v>
      </c>
      <c r="AS174" s="227"/>
    </row>
    <row r="175" spans="1:45" x14ac:dyDescent="0.35">
      <c r="A175" s="226">
        <f t="shared" si="14"/>
        <v>45918</v>
      </c>
      <c r="B175" s="227">
        <f>YEAR(Daily_KPI[[#This Row],[Date]])+IF(MONTH(Daily_KPI[[#This Row],[Date]])&gt;=4,1,0)</f>
        <v>2026</v>
      </c>
      <c r="C175" s="6">
        <f>YEAR(Daily_KPI[[#This Row],[Date]])</f>
        <v>2025</v>
      </c>
      <c r="D175" s="228">
        <f>Daily_KPI[[#This Row],[Date]]-DAY(Daily_KPI[[#This Row],[Date]])+1</f>
        <v>45901</v>
      </c>
      <c r="E175" s="6">
        <f t="shared" si="11"/>
        <v>30</v>
      </c>
      <c r="F175" s="229" t="str">
        <f>IFERROR(_xlfn.XLOOKUP($A175,'Raw Data'!$A:$A,'Raw Data'!$BR:$BR),"")</f>
        <v/>
      </c>
      <c r="G175" s="230" t="str">
        <f>IFERROR(_xlfn.XLOOKUP($A175,'Raw Data'!$A:$A,'Raw Data'!$AO:$AO),"")</f>
        <v/>
      </c>
      <c r="H175" s="230"/>
      <c r="I175" s="230" t="str">
        <f>IFERROR(_xlfn.XLOOKUP($A175,'Raw Data'!$A:$A,'Raw Data'!$AR:$AR),"")</f>
        <v/>
      </c>
      <c r="J175" s="230"/>
      <c r="K175" s="230" t="str">
        <f>IFERROR(_xlfn.XLOOKUP($A175,'Raw Data'!$A:$A,'Raw Data'!$AV:$AV),"")</f>
        <v/>
      </c>
      <c r="L175" s="230" t="str">
        <f>IFERROR(_xlfn.XLOOKUP($A175,'Raw Data'!$A:$A,'Raw Data'!$AW:$AW),"")</f>
        <v/>
      </c>
      <c r="M175" s="230" t="str">
        <f>IFERROR(_xlfn.XLOOKUP($A175,'Raw Data'!$A:$A,'Raw Data'!$AX:$AX),"")</f>
        <v/>
      </c>
      <c r="N175" s="230" t="str">
        <f>IFERROR(_xlfn.XLOOKUP($A175,'Raw Data'!$A:$A,'Raw Data'!$AY:$AY),"")</f>
        <v/>
      </c>
      <c r="O175" s="231" t="str">
        <f>IFERROR(1-(SUMIF('Plant BD'!$B:$B,A175,'Plant BD'!$AE:$AE)/(AA175+SUMIF('Plant BD'!$B:$B,A175,'Plant BD'!$AE:$AE))),"")</f>
        <v/>
      </c>
      <c r="P175" s="231"/>
      <c r="Q175" s="232"/>
      <c r="R175" s="231" t="str">
        <f>IFERROR(1-(SUMIF('Grid BD'!$B:$B,$A175,'Grid BD'!$AD:$AD)/($AA175+SUMIF('Grid BD'!$B:$B,$A175,'Grid BD'!AD:AD))),"")</f>
        <v/>
      </c>
      <c r="S175" s="6"/>
      <c r="T175" s="232"/>
      <c r="U175" s="233" t="str">
        <f t="shared" si="13"/>
        <v/>
      </c>
      <c r="V175" s="233"/>
      <c r="W175" s="234" t="str">
        <f t="shared" si="15"/>
        <v/>
      </c>
      <c r="X175" s="227" t="str">
        <f>IFERROR(_xlfn.XLOOKUP($A175,'Raw Data'!$A:$A,'Raw Data'!$BA:$BA),"")</f>
        <v/>
      </c>
      <c r="Y175" s="227" t="str">
        <f>IFERROR(_xlfn.XLOOKUP($A175,'Raw Data'!$A:$A,'Raw Data'!BJ:BJ),"")</f>
        <v/>
      </c>
      <c r="Z175" s="227" t="str">
        <f>IFERROR(_xlfn.XLOOKUP($A175,'Raw Data'!$A:$A,'Raw Data'!BK:BK),"")</f>
        <v/>
      </c>
      <c r="AA175" s="227" t="str">
        <f>IFERROR(_xlfn.XLOOKUP($A175,'Raw Data'!$A:$A,'Raw Data'!BL:BL),"")</f>
        <v/>
      </c>
      <c r="AB175" s="227" t="str">
        <f>IFERROR(_xlfn.XLOOKUP($A175,'Raw Data'!$A:$A,'Raw Data'!$H:$H),"")</f>
        <v/>
      </c>
      <c r="AC175" s="145">
        <f>IFERROR(_xlfn.XLOOKUP($D175,'Modelling New'!$D:$D,'Modelling New'!$P:$P),"")</f>
        <v>4.9333333333333336</v>
      </c>
      <c r="AD175" s="227">
        <f>IFERROR(_xlfn.XLOOKUP($D175,'Modelling New'!$D:$D,'Modelling New'!$T:$T)*1000,"")</f>
        <v>91491.490277141027</v>
      </c>
      <c r="AE175" s="234">
        <f>IFERROR(_xlfn.XLOOKUP($D175,'Modelling New'!$D:$D,'Modelling New'!$O:$O),"")</f>
        <v>0.76309492836200032</v>
      </c>
      <c r="AF175" s="234">
        <f>IFERROR(_xlfn.XLOOKUP($D175,'Modelling New'!$D:$D,'Modelling New'!$W:$W),"")</f>
        <v>0.15685840194107786</v>
      </c>
      <c r="AG175" s="234">
        <f>IFERROR(_xlfn.XLOOKUP($D175,'Modelling New'!$D:$D,'Modelling New'!AE:AE),"")</f>
        <v>0.995</v>
      </c>
      <c r="AH175" s="234">
        <v>0.99750000000000005</v>
      </c>
      <c r="AI175" s="6"/>
      <c r="AJ175" s="6"/>
      <c r="AK175" s="6"/>
      <c r="AL175" s="6"/>
      <c r="AM175" s="6"/>
      <c r="AN175" s="231"/>
      <c r="AO175" s="234"/>
      <c r="AP175" s="234"/>
      <c r="AQ175" s="234"/>
      <c r="AR175" s="227">
        <f>IFERROR(_xlfn.XLOOKUP($D175,'Modelling New'!$D:$D,'Modelling New'!$N:$N),"")</f>
        <v>24.303100000000001</v>
      </c>
      <c r="AS175" s="227"/>
    </row>
    <row r="176" spans="1:45" x14ac:dyDescent="0.35">
      <c r="A176" s="226">
        <f t="shared" si="14"/>
        <v>45919</v>
      </c>
      <c r="B176" s="227">
        <f>YEAR(Daily_KPI[[#This Row],[Date]])+IF(MONTH(Daily_KPI[[#This Row],[Date]])&gt;=4,1,0)</f>
        <v>2026</v>
      </c>
      <c r="C176" s="6">
        <f>YEAR(Daily_KPI[[#This Row],[Date]])</f>
        <v>2025</v>
      </c>
      <c r="D176" s="228">
        <f>Daily_KPI[[#This Row],[Date]]-DAY(Daily_KPI[[#This Row],[Date]])+1</f>
        <v>45901</v>
      </c>
      <c r="E176" s="6">
        <f t="shared" si="11"/>
        <v>30</v>
      </c>
      <c r="F176" s="229" t="str">
        <f>IFERROR(_xlfn.XLOOKUP($A176,'Raw Data'!$A:$A,'Raw Data'!$BR:$BR),"")</f>
        <v/>
      </c>
      <c r="G176" s="230" t="str">
        <f>IFERROR(_xlfn.XLOOKUP($A176,'Raw Data'!$A:$A,'Raw Data'!$AO:$AO),"")</f>
        <v/>
      </c>
      <c r="H176" s="230"/>
      <c r="I176" s="230" t="str">
        <f>IFERROR(_xlfn.XLOOKUP($A176,'Raw Data'!$A:$A,'Raw Data'!$AR:$AR),"")</f>
        <v/>
      </c>
      <c r="J176" s="230"/>
      <c r="K176" s="230" t="str">
        <f>IFERROR(_xlfn.XLOOKUP($A176,'Raw Data'!$A:$A,'Raw Data'!$AV:$AV),"")</f>
        <v/>
      </c>
      <c r="L176" s="230" t="str">
        <f>IFERROR(_xlfn.XLOOKUP($A176,'Raw Data'!$A:$A,'Raw Data'!$AW:$AW),"")</f>
        <v/>
      </c>
      <c r="M176" s="230" t="str">
        <f>IFERROR(_xlfn.XLOOKUP($A176,'Raw Data'!$A:$A,'Raw Data'!$AX:$AX),"")</f>
        <v/>
      </c>
      <c r="N176" s="230" t="str">
        <f>IFERROR(_xlfn.XLOOKUP($A176,'Raw Data'!$A:$A,'Raw Data'!$AY:$AY),"")</f>
        <v/>
      </c>
      <c r="O176" s="231" t="str">
        <f>IFERROR(1-(SUMIF('Plant BD'!$B:$B,A176,'Plant BD'!$AE:$AE)/(AA176+SUMIF('Plant BD'!$B:$B,A176,'Plant BD'!$AE:$AE))),"")</f>
        <v/>
      </c>
      <c r="P176" s="231"/>
      <c r="Q176" s="232"/>
      <c r="R176" s="231" t="str">
        <f>IFERROR(1-(SUMIF('Grid BD'!$B:$B,$A176,'Grid BD'!$AD:$AD)/($AA176+SUMIF('Grid BD'!$B:$B,$A176,'Grid BD'!AD:AD))),"")</f>
        <v/>
      </c>
      <c r="S176" s="6"/>
      <c r="T176" s="232"/>
      <c r="U176" s="233" t="str">
        <f t="shared" si="13"/>
        <v/>
      </c>
      <c r="V176" s="233"/>
      <c r="W176" s="234" t="str">
        <f t="shared" si="15"/>
        <v/>
      </c>
      <c r="X176" s="227" t="str">
        <f>IFERROR(_xlfn.XLOOKUP($A176,'Raw Data'!$A:$A,'Raw Data'!$BA:$BA),"")</f>
        <v/>
      </c>
      <c r="Y176" s="227" t="str">
        <f>IFERROR(_xlfn.XLOOKUP($A176,'Raw Data'!$A:$A,'Raw Data'!BJ:BJ),"")</f>
        <v/>
      </c>
      <c r="Z176" s="227" t="str">
        <f>IFERROR(_xlfn.XLOOKUP($A176,'Raw Data'!$A:$A,'Raw Data'!BK:BK),"")</f>
        <v/>
      </c>
      <c r="AA176" s="227" t="str">
        <f>IFERROR(_xlfn.XLOOKUP($A176,'Raw Data'!$A:$A,'Raw Data'!BL:BL),"")</f>
        <v/>
      </c>
      <c r="AB176" s="227" t="str">
        <f>IFERROR(_xlfn.XLOOKUP($A176,'Raw Data'!$A:$A,'Raw Data'!$H:$H),"")</f>
        <v/>
      </c>
      <c r="AC176" s="145">
        <f>IFERROR(_xlfn.XLOOKUP($D176,'Modelling New'!$D:$D,'Modelling New'!$P:$P),"")</f>
        <v>4.9333333333333336</v>
      </c>
      <c r="AD176" s="227">
        <f>IFERROR(_xlfn.XLOOKUP($D176,'Modelling New'!$D:$D,'Modelling New'!$T:$T)*1000,"")</f>
        <v>91491.490277141027</v>
      </c>
      <c r="AE176" s="234">
        <f>IFERROR(_xlfn.XLOOKUP($D176,'Modelling New'!$D:$D,'Modelling New'!$O:$O),"")</f>
        <v>0.76309492836200032</v>
      </c>
      <c r="AF176" s="234">
        <f>IFERROR(_xlfn.XLOOKUP($D176,'Modelling New'!$D:$D,'Modelling New'!$W:$W),"")</f>
        <v>0.15685840194107786</v>
      </c>
      <c r="AG176" s="234">
        <f>IFERROR(_xlfn.XLOOKUP($D176,'Modelling New'!$D:$D,'Modelling New'!AE:AE),"")</f>
        <v>0.995</v>
      </c>
      <c r="AH176" s="234">
        <v>0.99750000000000005</v>
      </c>
      <c r="AI176" s="6"/>
      <c r="AJ176" s="6"/>
      <c r="AK176" s="6"/>
      <c r="AL176" s="6"/>
      <c r="AM176" s="6"/>
      <c r="AN176" s="231"/>
      <c r="AO176" s="234"/>
      <c r="AP176" s="234"/>
      <c r="AQ176" s="234"/>
      <c r="AR176" s="227">
        <f>IFERROR(_xlfn.XLOOKUP($D176,'Modelling New'!$D:$D,'Modelling New'!$N:$N),"")</f>
        <v>24.303100000000001</v>
      </c>
      <c r="AS176" s="227"/>
    </row>
    <row r="177" spans="1:45" x14ac:dyDescent="0.35">
      <c r="A177" s="226">
        <f t="shared" si="14"/>
        <v>45920</v>
      </c>
      <c r="B177" s="227">
        <f>YEAR(Daily_KPI[[#This Row],[Date]])+IF(MONTH(Daily_KPI[[#This Row],[Date]])&gt;=4,1,0)</f>
        <v>2026</v>
      </c>
      <c r="C177" s="6">
        <f>YEAR(Daily_KPI[[#This Row],[Date]])</f>
        <v>2025</v>
      </c>
      <c r="D177" s="228">
        <f>Daily_KPI[[#This Row],[Date]]-DAY(Daily_KPI[[#This Row],[Date]])+1</f>
        <v>45901</v>
      </c>
      <c r="E177" s="6">
        <f t="shared" si="11"/>
        <v>30</v>
      </c>
      <c r="F177" s="229" t="str">
        <f>IFERROR(_xlfn.XLOOKUP($A177,'Raw Data'!$A:$A,'Raw Data'!$BR:$BR),"")</f>
        <v/>
      </c>
      <c r="G177" s="230" t="str">
        <f>IFERROR(_xlfn.XLOOKUP($A177,'Raw Data'!$A:$A,'Raw Data'!$AO:$AO),"")</f>
        <v/>
      </c>
      <c r="H177" s="230"/>
      <c r="I177" s="230" t="str">
        <f>IFERROR(_xlfn.XLOOKUP($A177,'Raw Data'!$A:$A,'Raw Data'!$AR:$AR),"")</f>
        <v/>
      </c>
      <c r="J177" s="230"/>
      <c r="K177" s="230" t="str">
        <f>IFERROR(_xlfn.XLOOKUP($A177,'Raw Data'!$A:$A,'Raw Data'!$AV:$AV),"")</f>
        <v/>
      </c>
      <c r="L177" s="230" t="str">
        <f>IFERROR(_xlfn.XLOOKUP($A177,'Raw Data'!$A:$A,'Raw Data'!$AW:$AW),"")</f>
        <v/>
      </c>
      <c r="M177" s="230" t="str">
        <f>IFERROR(_xlfn.XLOOKUP($A177,'Raw Data'!$A:$A,'Raw Data'!$AX:$AX),"")</f>
        <v/>
      </c>
      <c r="N177" s="230" t="str">
        <f>IFERROR(_xlfn.XLOOKUP($A177,'Raw Data'!$A:$A,'Raw Data'!$AY:$AY),"")</f>
        <v/>
      </c>
      <c r="O177" s="231" t="str">
        <f>IFERROR(1-(SUMIF('Plant BD'!$B:$B,A177,'Plant BD'!$AE:$AE)/(AA177+SUMIF('Plant BD'!$B:$B,A177,'Plant BD'!$AE:$AE))),"")</f>
        <v/>
      </c>
      <c r="P177" s="231"/>
      <c r="Q177" s="232"/>
      <c r="R177" s="231" t="str">
        <f>IFERROR(1-(SUMIF('Grid BD'!$B:$B,$A177,'Grid BD'!$AD:$AD)/($AA177+SUMIF('Grid BD'!$B:$B,$A177,'Grid BD'!AD:AD))),"")</f>
        <v/>
      </c>
      <c r="S177" s="6"/>
      <c r="T177" s="232"/>
      <c r="U177" s="233" t="str">
        <f t="shared" si="13"/>
        <v/>
      </c>
      <c r="V177" s="233"/>
      <c r="W177" s="234" t="str">
        <f t="shared" si="15"/>
        <v/>
      </c>
      <c r="X177" s="227" t="str">
        <f>IFERROR(_xlfn.XLOOKUP($A177,'Raw Data'!$A:$A,'Raw Data'!$BA:$BA),"")</f>
        <v/>
      </c>
      <c r="Y177" s="227" t="str">
        <f>IFERROR(_xlfn.XLOOKUP($A177,'Raw Data'!$A:$A,'Raw Data'!BJ:BJ),"")</f>
        <v/>
      </c>
      <c r="Z177" s="227" t="str">
        <f>IFERROR(_xlfn.XLOOKUP($A177,'Raw Data'!$A:$A,'Raw Data'!BK:BK),"")</f>
        <v/>
      </c>
      <c r="AA177" s="227" t="str">
        <f>IFERROR(_xlfn.XLOOKUP($A177,'Raw Data'!$A:$A,'Raw Data'!BL:BL),"")</f>
        <v/>
      </c>
      <c r="AB177" s="227" t="str">
        <f>IFERROR(_xlfn.XLOOKUP($A177,'Raw Data'!$A:$A,'Raw Data'!$H:$H),"")</f>
        <v/>
      </c>
      <c r="AC177" s="145">
        <f>IFERROR(_xlfn.XLOOKUP($D177,'Modelling New'!$D:$D,'Modelling New'!$P:$P),"")</f>
        <v>4.9333333333333336</v>
      </c>
      <c r="AD177" s="227">
        <f>IFERROR(_xlfn.XLOOKUP($D177,'Modelling New'!$D:$D,'Modelling New'!$T:$T)*1000,"")</f>
        <v>91491.490277141027</v>
      </c>
      <c r="AE177" s="234">
        <f>IFERROR(_xlfn.XLOOKUP($D177,'Modelling New'!$D:$D,'Modelling New'!$O:$O),"")</f>
        <v>0.76309492836200032</v>
      </c>
      <c r="AF177" s="234">
        <f>IFERROR(_xlfn.XLOOKUP($D177,'Modelling New'!$D:$D,'Modelling New'!$W:$W),"")</f>
        <v>0.15685840194107786</v>
      </c>
      <c r="AG177" s="234">
        <f>IFERROR(_xlfn.XLOOKUP($D177,'Modelling New'!$D:$D,'Modelling New'!AE:AE),"")</f>
        <v>0.995</v>
      </c>
      <c r="AH177" s="234">
        <v>0.99750000000000005</v>
      </c>
      <c r="AI177" s="6"/>
      <c r="AJ177" s="6"/>
      <c r="AK177" s="6"/>
      <c r="AL177" s="6"/>
      <c r="AM177" s="6"/>
      <c r="AN177" s="231"/>
      <c r="AO177" s="234"/>
      <c r="AP177" s="234"/>
      <c r="AQ177" s="234"/>
      <c r="AR177" s="227">
        <f>IFERROR(_xlfn.XLOOKUP($D177,'Modelling New'!$D:$D,'Modelling New'!$N:$N),"")</f>
        <v>24.303100000000001</v>
      </c>
      <c r="AS177" s="227"/>
    </row>
    <row r="178" spans="1:45" x14ac:dyDescent="0.35">
      <c r="A178" s="226">
        <f t="shared" si="14"/>
        <v>45921</v>
      </c>
      <c r="B178" s="227">
        <f>YEAR(Daily_KPI[[#This Row],[Date]])+IF(MONTH(Daily_KPI[[#This Row],[Date]])&gt;=4,1,0)</f>
        <v>2026</v>
      </c>
      <c r="C178" s="6">
        <f>YEAR(Daily_KPI[[#This Row],[Date]])</f>
        <v>2025</v>
      </c>
      <c r="D178" s="228">
        <f>Daily_KPI[[#This Row],[Date]]-DAY(Daily_KPI[[#This Row],[Date]])+1</f>
        <v>45901</v>
      </c>
      <c r="E178" s="6">
        <f t="shared" si="11"/>
        <v>30</v>
      </c>
      <c r="F178" s="229" t="str">
        <f>IFERROR(_xlfn.XLOOKUP($A178,'Raw Data'!$A:$A,'Raw Data'!$BR:$BR),"")</f>
        <v/>
      </c>
      <c r="G178" s="230" t="str">
        <f>IFERROR(_xlfn.XLOOKUP($A178,'Raw Data'!$A:$A,'Raw Data'!$AO:$AO),"")</f>
        <v/>
      </c>
      <c r="H178" s="230"/>
      <c r="I178" s="230" t="str">
        <f>IFERROR(_xlfn.XLOOKUP($A178,'Raw Data'!$A:$A,'Raw Data'!$AR:$AR),"")</f>
        <v/>
      </c>
      <c r="J178" s="230"/>
      <c r="K178" s="230" t="str">
        <f>IFERROR(_xlfn.XLOOKUP($A178,'Raw Data'!$A:$A,'Raw Data'!$AV:$AV),"")</f>
        <v/>
      </c>
      <c r="L178" s="230" t="str">
        <f>IFERROR(_xlfn.XLOOKUP($A178,'Raw Data'!$A:$A,'Raw Data'!$AW:$AW),"")</f>
        <v/>
      </c>
      <c r="M178" s="230" t="str">
        <f>IFERROR(_xlfn.XLOOKUP($A178,'Raw Data'!$A:$A,'Raw Data'!$AX:$AX),"")</f>
        <v/>
      </c>
      <c r="N178" s="230" t="str">
        <f>IFERROR(_xlfn.XLOOKUP($A178,'Raw Data'!$A:$A,'Raw Data'!$AY:$AY),"")</f>
        <v/>
      </c>
      <c r="O178" s="231" t="str">
        <f>IFERROR(1-(SUMIF('Plant BD'!$B:$B,A178,'Plant BD'!$AE:$AE)/(AA178+SUMIF('Plant BD'!$B:$B,A178,'Plant BD'!$AE:$AE))),"")</f>
        <v/>
      </c>
      <c r="P178" s="231"/>
      <c r="Q178" s="232"/>
      <c r="R178" s="231" t="str">
        <f>IFERROR(1-(SUMIF('Grid BD'!$B:$B,$A178,'Grid BD'!$AD:$AD)/($AA178+SUMIF('Grid BD'!$B:$B,$A178,'Grid BD'!AD:AD))),"")</f>
        <v/>
      </c>
      <c r="S178" s="6"/>
      <c r="T178" s="232"/>
      <c r="U178" s="233" t="str">
        <f t="shared" si="13"/>
        <v/>
      </c>
      <c r="V178" s="233"/>
      <c r="W178" s="234" t="str">
        <f t="shared" si="15"/>
        <v/>
      </c>
      <c r="X178" s="227" t="str">
        <f>IFERROR(_xlfn.XLOOKUP($A178,'Raw Data'!$A:$A,'Raw Data'!$BA:$BA),"")</f>
        <v/>
      </c>
      <c r="Y178" s="227" t="str">
        <f>IFERROR(_xlfn.XLOOKUP($A178,'Raw Data'!$A:$A,'Raw Data'!BJ:BJ),"")</f>
        <v/>
      </c>
      <c r="Z178" s="227" t="str">
        <f>IFERROR(_xlfn.XLOOKUP($A178,'Raw Data'!$A:$A,'Raw Data'!BK:BK),"")</f>
        <v/>
      </c>
      <c r="AA178" s="227" t="str">
        <f>IFERROR(_xlfn.XLOOKUP($A178,'Raw Data'!$A:$A,'Raw Data'!BL:BL),"")</f>
        <v/>
      </c>
      <c r="AB178" s="227" t="str">
        <f>IFERROR(_xlfn.XLOOKUP($A178,'Raw Data'!$A:$A,'Raw Data'!$H:$H),"")</f>
        <v/>
      </c>
      <c r="AC178" s="145">
        <f>IFERROR(_xlfn.XLOOKUP($D178,'Modelling New'!$D:$D,'Modelling New'!$P:$P),"")</f>
        <v>4.9333333333333336</v>
      </c>
      <c r="AD178" s="227">
        <f>IFERROR(_xlfn.XLOOKUP($D178,'Modelling New'!$D:$D,'Modelling New'!$T:$T)*1000,"")</f>
        <v>91491.490277141027</v>
      </c>
      <c r="AE178" s="234">
        <f>IFERROR(_xlfn.XLOOKUP($D178,'Modelling New'!$D:$D,'Modelling New'!$O:$O),"")</f>
        <v>0.76309492836200032</v>
      </c>
      <c r="AF178" s="234">
        <f>IFERROR(_xlfn.XLOOKUP($D178,'Modelling New'!$D:$D,'Modelling New'!$W:$W),"")</f>
        <v>0.15685840194107786</v>
      </c>
      <c r="AG178" s="234">
        <f>IFERROR(_xlfn.XLOOKUP($D178,'Modelling New'!$D:$D,'Modelling New'!AE:AE),"")</f>
        <v>0.995</v>
      </c>
      <c r="AH178" s="234">
        <v>0.99750000000000005</v>
      </c>
      <c r="AI178" s="6"/>
      <c r="AJ178" s="6"/>
      <c r="AK178" s="6"/>
      <c r="AL178" s="6"/>
      <c r="AM178" s="6"/>
      <c r="AN178" s="231"/>
      <c r="AO178" s="234"/>
      <c r="AP178" s="234"/>
      <c r="AQ178" s="234"/>
      <c r="AR178" s="227">
        <f>IFERROR(_xlfn.XLOOKUP($D178,'Modelling New'!$D:$D,'Modelling New'!$N:$N),"")</f>
        <v>24.303100000000001</v>
      </c>
      <c r="AS178" s="227"/>
    </row>
    <row r="179" spans="1:45" x14ac:dyDescent="0.35">
      <c r="A179" s="226">
        <f t="shared" si="14"/>
        <v>45922</v>
      </c>
      <c r="B179" s="227">
        <f>YEAR(Daily_KPI[[#This Row],[Date]])+IF(MONTH(Daily_KPI[[#This Row],[Date]])&gt;=4,1,0)</f>
        <v>2026</v>
      </c>
      <c r="C179" s="6">
        <f>YEAR(Daily_KPI[[#This Row],[Date]])</f>
        <v>2025</v>
      </c>
      <c r="D179" s="228">
        <f>Daily_KPI[[#This Row],[Date]]-DAY(Daily_KPI[[#This Row],[Date]])+1</f>
        <v>45901</v>
      </c>
      <c r="E179" s="6">
        <f t="shared" si="11"/>
        <v>30</v>
      </c>
      <c r="F179" s="229" t="str">
        <f>IFERROR(_xlfn.XLOOKUP($A179,'Raw Data'!$A:$A,'Raw Data'!$BR:$BR),"")</f>
        <v/>
      </c>
      <c r="G179" s="230" t="str">
        <f>IFERROR(_xlfn.XLOOKUP($A179,'Raw Data'!$A:$A,'Raw Data'!$AO:$AO),"")</f>
        <v/>
      </c>
      <c r="H179" s="230"/>
      <c r="I179" s="230" t="str">
        <f>IFERROR(_xlfn.XLOOKUP($A179,'Raw Data'!$A:$A,'Raw Data'!$AR:$AR),"")</f>
        <v/>
      </c>
      <c r="J179" s="230"/>
      <c r="K179" s="230" t="str">
        <f>IFERROR(_xlfn.XLOOKUP($A179,'Raw Data'!$A:$A,'Raw Data'!$AV:$AV),"")</f>
        <v/>
      </c>
      <c r="L179" s="230" t="str">
        <f>IFERROR(_xlfn.XLOOKUP($A179,'Raw Data'!$A:$A,'Raw Data'!$AW:$AW),"")</f>
        <v/>
      </c>
      <c r="M179" s="230" t="str">
        <f>IFERROR(_xlfn.XLOOKUP($A179,'Raw Data'!$A:$A,'Raw Data'!$AX:$AX),"")</f>
        <v/>
      </c>
      <c r="N179" s="230" t="str">
        <f>IFERROR(_xlfn.XLOOKUP($A179,'Raw Data'!$A:$A,'Raw Data'!$AY:$AY),"")</f>
        <v/>
      </c>
      <c r="O179" s="231" t="str">
        <f>IFERROR(1-(SUMIF('Plant BD'!$B:$B,A179,'Plant BD'!$AE:$AE)/(AA179+SUMIF('Plant BD'!$B:$B,A179,'Plant BD'!$AE:$AE))),"")</f>
        <v/>
      </c>
      <c r="P179" s="231"/>
      <c r="Q179" s="232"/>
      <c r="R179" s="231" t="str">
        <f>IFERROR(1-(SUMIF('Grid BD'!$B:$B,$A179,'Grid BD'!$AD:$AD)/($AA179+SUMIF('Grid BD'!$B:$B,$A179,'Grid BD'!AD:AD))),"")</f>
        <v/>
      </c>
      <c r="S179" s="6"/>
      <c r="T179" s="232"/>
      <c r="U179" s="233" t="str">
        <f t="shared" si="13"/>
        <v/>
      </c>
      <c r="V179" s="233"/>
      <c r="W179" s="234" t="str">
        <f t="shared" si="15"/>
        <v/>
      </c>
      <c r="X179" s="227" t="str">
        <f>IFERROR(_xlfn.XLOOKUP($A179,'Raw Data'!$A:$A,'Raw Data'!$BA:$BA),"")</f>
        <v/>
      </c>
      <c r="Y179" s="227" t="str">
        <f>IFERROR(_xlfn.XLOOKUP($A179,'Raw Data'!$A:$A,'Raw Data'!BJ:BJ),"")</f>
        <v/>
      </c>
      <c r="Z179" s="227" t="str">
        <f>IFERROR(_xlfn.XLOOKUP($A179,'Raw Data'!$A:$A,'Raw Data'!BK:BK),"")</f>
        <v/>
      </c>
      <c r="AA179" s="227" t="str">
        <f>IFERROR(_xlfn.XLOOKUP($A179,'Raw Data'!$A:$A,'Raw Data'!BL:BL),"")</f>
        <v/>
      </c>
      <c r="AB179" s="227" t="str">
        <f>IFERROR(_xlfn.XLOOKUP($A179,'Raw Data'!$A:$A,'Raw Data'!$H:$H),"")</f>
        <v/>
      </c>
      <c r="AC179" s="145">
        <f>IFERROR(_xlfn.XLOOKUP($D179,'Modelling New'!$D:$D,'Modelling New'!$P:$P),"")</f>
        <v>4.9333333333333336</v>
      </c>
      <c r="AD179" s="227">
        <f>IFERROR(_xlfn.XLOOKUP($D179,'Modelling New'!$D:$D,'Modelling New'!$T:$T)*1000,"")</f>
        <v>91491.490277141027</v>
      </c>
      <c r="AE179" s="234">
        <f>IFERROR(_xlfn.XLOOKUP($D179,'Modelling New'!$D:$D,'Modelling New'!$O:$O),"")</f>
        <v>0.76309492836200032</v>
      </c>
      <c r="AF179" s="234">
        <f>IFERROR(_xlfn.XLOOKUP($D179,'Modelling New'!$D:$D,'Modelling New'!$W:$W),"")</f>
        <v>0.15685840194107786</v>
      </c>
      <c r="AG179" s="234">
        <f>IFERROR(_xlfn.XLOOKUP($D179,'Modelling New'!$D:$D,'Modelling New'!AE:AE),"")</f>
        <v>0.995</v>
      </c>
      <c r="AH179" s="234">
        <v>0.99750000000000005</v>
      </c>
      <c r="AI179" s="6"/>
      <c r="AJ179" s="6"/>
      <c r="AK179" s="6"/>
      <c r="AL179" s="6"/>
      <c r="AM179" s="6"/>
      <c r="AN179" s="231"/>
      <c r="AO179" s="234"/>
      <c r="AP179" s="234"/>
      <c r="AQ179" s="234"/>
      <c r="AR179" s="227">
        <f>IFERROR(_xlfn.XLOOKUP($D179,'Modelling New'!$D:$D,'Modelling New'!$N:$N),"")</f>
        <v>24.303100000000001</v>
      </c>
      <c r="AS179" s="227"/>
    </row>
    <row r="180" spans="1:45" x14ac:dyDescent="0.35">
      <c r="A180" s="226">
        <f t="shared" si="14"/>
        <v>45923</v>
      </c>
      <c r="B180" s="227">
        <f>YEAR(Daily_KPI[[#This Row],[Date]])+IF(MONTH(Daily_KPI[[#This Row],[Date]])&gt;=4,1,0)</f>
        <v>2026</v>
      </c>
      <c r="C180" s="6">
        <f>YEAR(Daily_KPI[[#This Row],[Date]])</f>
        <v>2025</v>
      </c>
      <c r="D180" s="228">
        <f>Daily_KPI[[#This Row],[Date]]-DAY(Daily_KPI[[#This Row],[Date]])+1</f>
        <v>45901</v>
      </c>
      <c r="E180" s="6">
        <f t="shared" si="11"/>
        <v>30</v>
      </c>
      <c r="F180" s="229" t="str">
        <f>IFERROR(_xlfn.XLOOKUP($A180,'Raw Data'!$A:$A,'Raw Data'!$BR:$BR),"")</f>
        <v/>
      </c>
      <c r="G180" s="230" t="str">
        <f>IFERROR(_xlfn.XLOOKUP($A180,'Raw Data'!$A:$A,'Raw Data'!$AO:$AO),"")</f>
        <v/>
      </c>
      <c r="H180" s="230"/>
      <c r="I180" s="230" t="str">
        <f>IFERROR(_xlfn.XLOOKUP($A180,'Raw Data'!$A:$A,'Raw Data'!$AR:$AR),"")</f>
        <v/>
      </c>
      <c r="J180" s="230"/>
      <c r="K180" s="230" t="str">
        <f>IFERROR(_xlfn.XLOOKUP($A180,'Raw Data'!$A:$A,'Raw Data'!$AV:$AV),"")</f>
        <v/>
      </c>
      <c r="L180" s="230" t="str">
        <f>IFERROR(_xlfn.XLOOKUP($A180,'Raw Data'!$A:$A,'Raw Data'!$AW:$AW),"")</f>
        <v/>
      </c>
      <c r="M180" s="230" t="str">
        <f>IFERROR(_xlfn.XLOOKUP($A180,'Raw Data'!$A:$A,'Raw Data'!$AX:$AX),"")</f>
        <v/>
      </c>
      <c r="N180" s="230" t="str">
        <f>IFERROR(_xlfn.XLOOKUP($A180,'Raw Data'!$A:$A,'Raw Data'!$AY:$AY),"")</f>
        <v/>
      </c>
      <c r="O180" s="231" t="str">
        <f>IFERROR(1-(SUMIF('Plant BD'!$B:$B,A180,'Plant BD'!$AE:$AE)/(AA180+SUMIF('Plant BD'!$B:$B,A180,'Plant BD'!$AE:$AE))),"")</f>
        <v/>
      </c>
      <c r="P180" s="231"/>
      <c r="Q180" s="232"/>
      <c r="R180" s="231" t="str">
        <f>IFERROR(1-(SUMIF('Grid BD'!$B:$B,$A180,'Grid BD'!$AD:$AD)/($AA180+SUMIF('Grid BD'!$B:$B,$A180,'Grid BD'!AD:AD))),"")</f>
        <v/>
      </c>
      <c r="S180" s="6"/>
      <c r="T180" s="232"/>
      <c r="U180" s="233" t="str">
        <f t="shared" si="13"/>
        <v/>
      </c>
      <c r="V180" s="233"/>
      <c r="W180" s="234" t="str">
        <f t="shared" si="15"/>
        <v/>
      </c>
      <c r="X180" s="227" t="str">
        <f>IFERROR(_xlfn.XLOOKUP($A180,'Raw Data'!$A:$A,'Raw Data'!$BA:$BA),"")</f>
        <v/>
      </c>
      <c r="Y180" s="227" t="str">
        <f>IFERROR(_xlfn.XLOOKUP($A180,'Raw Data'!$A:$A,'Raw Data'!BJ:BJ),"")</f>
        <v/>
      </c>
      <c r="Z180" s="227" t="str">
        <f>IFERROR(_xlfn.XLOOKUP($A180,'Raw Data'!$A:$A,'Raw Data'!BK:BK),"")</f>
        <v/>
      </c>
      <c r="AA180" s="227" t="str">
        <f>IFERROR(_xlfn.XLOOKUP($A180,'Raw Data'!$A:$A,'Raw Data'!BL:BL),"")</f>
        <v/>
      </c>
      <c r="AB180" s="227" t="str">
        <f>IFERROR(_xlfn.XLOOKUP($A180,'Raw Data'!$A:$A,'Raw Data'!$H:$H),"")</f>
        <v/>
      </c>
      <c r="AC180" s="145">
        <f>IFERROR(_xlfn.XLOOKUP($D180,'Modelling New'!$D:$D,'Modelling New'!$P:$P),"")</f>
        <v>4.9333333333333336</v>
      </c>
      <c r="AD180" s="227">
        <f>IFERROR(_xlfn.XLOOKUP($D180,'Modelling New'!$D:$D,'Modelling New'!$T:$T)*1000,"")</f>
        <v>91491.490277141027</v>
      </c>
      <c r="AE180" s="234">
        <f>IFERROR(_xlfn.XLOOKUP($D180,'Modelling New'!$D:$D,'Modelling New'!$O:$O),"")</f>
        <v>0.76309492836200032</v>
      </c>
      <c r="AF180" s="234">
        <f>IFERROR(_xlfn.XLOOKUP($D180,'Modelling New'!$D:$D,'Modelling New'!$W:$W),"")</f>
        <v>0.15685840194107786</v>
      </c>
      <c r="AG180" s="234">
        <f>IFERROR(_xlfn.XLOOKUP($D180,'Modelling New'!$D:$D,'Modelling New'!AE:AE),"")</f>
        <v>0.995</v>
      </c>
      <c r="AH180" s="234">
        <v>0.99750000000000005</v>
      </c>
      <c r="AI180" s="6"/>
      <c r="AJ180" s="6"/>
      <c r="AK180" s="6"/>
      <c r="AL180" s="6"/>
      <c r="AM180" s="6"/>
      <c r="AN180" s="231"/>
      <c r="AO180" s="234"/>
      <c r="AP180" s="234"/>
      <c r="AQ180" s="234"/>
      <c r="AR180" s="227">
        <f>IFERROR(_xlfn.XLOOKUP($D180,'Modelling New'!$D:$D,'Modelling New'!$N:$N),"")</f>
        <v>24.303100000000001</v>
      </c>
      <c r="AS180" s="227"/>
    </row>
    <row r="181" spans="1:45" x14ac:dyDescent="0.35">
      <c r="A181" s="226">
        <f t="shared" si="14"/>
        <v>45924</v>
      </c>
      <c r="B181" s="227">
        <f>YEAR(Daily_KPI[[#This Row],[Date]])+IF(MONTH(Daily_KPI[[#This Row],[Date]])&gt;=4,1,0)</f>
        <v>2026</v>
      </c>
      <c r="C181" s="6">
        <f>YEAR(Daily_KPI[[#This Row],[Date]])</f>
        <v>2025</v>
      </c>
      <c r="D181" s="228">
        <f>Daily_KPI[[#This Row],[Date]]-DAY(Daily_KPI[[#This Row],[Date]])+1</f>
        <v>45901</v>
      </c>
      <c r="E181" s="6">
        <f t="shared" ref="E181:E244" si="16">DAY(EOMONTH(A181,0))</f>
        <v>30</v>
      </c>
      <c r="F181" s="229" t="str">
        <f>IFERROR(_xlfn.XLOOKUP($A181,'Raw Data'!$A:$A,'Raw Data'!$BR:$BR),"")</f>
        <v/>
      </c>
      <c r="G181" s="230" t="str">
        <f>IFERROR(_xlfn.XLOOKUP($A181,'Raw Data'!$A:$A,'Raw Data'!$AO:$AO),"")</f>
        <v/>
      </c>
      <c r="H181" s="230"/>
      <c r="I181" s="230" t="str">
        <f>IFERROR(_xlfn.XLOOKUP($A181,'Raw Data'!$A:$A,'Raw Data'!$AR:$AR),"")</f>
        <v/>
      </c>
      <c r="J181" s="230"/>
      <c r="K181" s="230" t="str">
        <f>IFERROR(_xlfn.XLOOKUP($A181,'Raw Data'!$A:$A,'Raw Data'!$AV:$AV),"")</f>
        <v/>
      </c>
      <c r="L181" s="230" t="str">
        <f>IFERROR(_xlfn.XLOOKUP($A181,'Raw Data'!$A:$A,'Raw Data'!$AW:$AW),"")</f>
        <v/>
      </c>
      <c r="M181" s="230" t="str">
        <f>IFERROR(_xlfn.XLOOKUP($A181,'Raw Data'!$A:$A,'Raw Data'!$AX:$AX),"")</f>
        <v/>
      </c>
      <c r="N181" s="230" t="str">
        <f>IFERROR(_xlfn.XLOOKUP($A181,'Raw Data'!$A:$A,'Raw Data'!$AY:$AY),"")</f>
        <v/>
      </c>
      <c r="O181" s="231" t="str">
        <f>IFERROR(1-(SUMIF('Plant BD'!$B:$B,A181,'Plant BD'!$AE:$AE)/(AA181+SUMIF('Plant BD'!$B:$B,A181,'Plant BD'!$AE:$AE))),"")</f>
        <v/>
      </c>
      <c r="P181" s="231"/>
      <c r="Q181" s="232"/>
      <c r="R181" s="231" t="str">
        <f>IFERROR(1-(SUMIF('Grid BD'!$B:$B,$A181,'Grid BD'!$AD:$AD)/($AA181+SUMIF('Grid BD'!$B:$B,$A181,'Grid BD'!AD:AD))),"")</f>
        <v/>
      </c>
      <c r="S181" s="6"/>
      <c r="T181" s="232"/>
      <c r="U181" s="233" t="str">
        <f t="shared" si="13"/>
        <v/>
      </c>
      <c r="V181" s="233"/>
      <c r="W181" s="234" t="str">
        <f t="shared" si="15"/>
        <v/>
      </c>
      <c r="X181" s="227" t="str">
        <f>IFERROR(_xlfn.XLOOKUP($A181,'Raw Data'!$A:$A,'Raw Data'!$BA:$BA),"")</f>
        <v/>
      </c>
      <c r="Y181" s="227" t="str">
        <f>IFERROR(_xlfn.XLOOKUP($A181,'Raw Data'!$A:$A,'Raw Data'!BJ:BJ),"")</f>
        <v/>
      </c>
      <c r="Z181" s="227" t="str">
        <f>IFERROR(_xlfn.XLOOKUP($A181,'Raw Data'!$A:$A,'Raw Data'!BK:BK),"")</f>
        <v/>
      </c>
      <c r="AA181" s="227" t="str">
        <f>IFERROR(_xlfn.XLOOKUP($A181,'Raw Data'!$A:$A,'Raw Data'!BL:BL),"")</f>
        <v/>
      </c>
      <c r="AB181" s="227" t="str">
        <f>IFERROR(_xlfn.XLOOKUP($A181,'Raw Data'!$A:$A,'Raw Data'!$H:$H),"")</f>
        <v/>
      </c>
      <c r="AC181" s="145">
        <f>IFERROR(_xlfn.XLOOKUP($D181,'Modelling New'!$D:$D,'Modelling New'!$P:$P),"")</f>
        <v>4.9333333333333336</v>
      </c>
      <c r="AD181" s="227">
        <f>IFERROR(_xlfn.XLOOKUP($D181,'Modelling New'!$D:$D,'Modelling New'!$T:$T)*1000,"")</f>
        <v>91491.490277141027</v>
      </c>
      <c r="AE181" s="234">
        <f>IFERROR(_xlfn.XLOOKUP($D181,'Modelling New'!$D:$D,'Modelling New'!$O:$O),"")</f>
        <v>0.76309492836200032</v>
      </c>
      <c r="AF181" s="234">
        <f>IFERROR(_xlfn.XLOOKUP($D181,'Modelling New'!$D:$D,'Modelling New'!$W:$W),"")</f>
        <v>0.15685840194107786</v>
      </c>
      <c r="AG181" s="234">
        <f>IFERROR(_xlfn.XLOOKUP($D181,'Modelling New'!$D:$D,'Modelling New'!AE:AE),"")</f>
        <v>0.995</v>
      </c>
      <c r="AH181" s="234">
        <v>0.99750000000000005</v>
      </c>
      <c r="AI181" s="6"/>
      <c r="AJ181" s="6"/>
      <c r="AK181" s="6"/>
      <c r="AL181" s="6"/>
      <c r="AM181" s="6"/>
      <c r="AN181" s="231"/>
      <c r="AO181" s="234"/>
      <c r="AP181" s="234"/>
      <c r="AQ181" s="234"/>
      <c r="AR181" s="227">
        <f>IFERROR(_xlfn.XLOOKUP($D181,'Modelling New'!$D:$D,'Modelling New'!$N:$N),"")</f>
        <v>24.303100000000001</v>
      </c>
      <c r="AS181" s="227"/>
    </row>
    <row r="182" spans="1:45" x14ac:dyDescent="0.35">
      <c r="A182" s="226">
        <f t="shared" si="14"/>
        <v>45925</v>
      </c>
      <c r="B182" s="227">
        <f>YEAR(Daily_KPI[[#This Row],[Date]])+IF(MONTH(Daily_KPI[[#This Row],[Date]])&gt;=4,1,0)</f>
        <v>2026</v>
      </c>
      <c r="C182" s="6">
        <f>YEAR(Daily_KPI[[#This Row],[Date]])</f>
        <v>2025</v>
      </c>
      <c r="D182" s="228">
        <f>Daily_KPI[[#This Row],[Date]]-DAY(Daily_KPI[[#This Row],[Date]])+1</f>
        <v>45901</v>
      </c>
      <c r="E182" s="6">
        <f t="shared" si="16"/>
        <v>30</v>
      </c>
      <c r="F182" s="229" t="str">
        <f>IFERROR(_xlfn.XLOOKUP($A182,'Raw Data'!$A:$A,'Raw Data'!$BR:$BR),"")</f>
        <v/>
      </c>
      <c r="G182" s="230" t="str">
        <f>IFERROR(_xlfn.XLOOKUP($A182,'Raw Data'!$A:$A,'Raw Data'!$AO:$AO),"")</f>
        <v/>
      </c>
      <c r="H182" s="230"/>
      <c r="I182" s="230" t="str">
        <f>IFERROR(_xlfn.XLOOKUP($A182,'Raw Data'!$A:$A,'Raw Data'!$AR:$AR),"")</f>
        <v/>
      </c>
      <c r="J182" s="230"/>
      <c r="K182" s="230" t="str">
        <f>IFERROR(_xlfn.XLOOKUP($A182,'Raw Data'!$A:$A,'Raw Data'!$AV:$AV),"")</f>
        <v/>
      </c>
      <c r="L182" s="230" t="str">
        <f>IFERROR(_xlfn.XLOOKUP($A182,'Raw Data'!$A:$A,'Raw Data'!$AW:$AW),"")</f>
        <v/>
      </c>
      <c r="M182" s="230" t="str">
        <f>IFERROR(_xlfn.XLOOKUP($A182,'Raw Data'!$A:$A,'Raw Data'!$AX:$AX),"")</f>
        <v/>
      </c>
      <c r="N182" s="230" t="str">
        <f>IFERROR(_xlfn.XLOOKUP($A182,'Raw Data'!$A:$A,'Raw Data'!$AY:$AY),"")</f>
        <v/>
      </c>
      <c r="O182" s="231" t="str">
        <f>IFERROR(1-(SUMIF('Plant BD'!$B:$B,A182,'Plant BD'!$AE:$AE)/(AA182+SUMIF('Plant BD'!$B:$B,A182,'Plant BD'!$AE:$AE))),"")</f>
        <v/>
      </c>
      <c r="P182" s="231"/>
      <c r="Q182" s="232"/>
      <c r="R182" s="231" t="str">
        <f>IFERROR(1-(SUMIF('Grid BD'!$B:$B,$A182,'Grid BD'!$AD:$AD)/($AA182+SUMIF('Grid BD'!$B:$B,$A182,'Grid BD'!AD:AD))),"")</f>
        <v/>
      </c>
      <c r="S182" s="6"/>
      <c r="T182" s="232"/>
      <c r="U182" s="233" t="str">
        <f t="shared" si="13"/>
        <v/>
      </c>
      <c r="V182" s="233"/>
      <c r="W182" s="234" t="str">
        <f t="shared" si="15"/>
        <v/>
      </c>
      <c r="X182" s="227" t="str">
        <f>IFERROR(_xlfn.XLOOKUP($A182,'Raw Data'!$A:$A,'Raw Data'!$BA:$BA),"")</f>
        <v/>
      </c>
      <c r="Y182" s="227" t="str">
        <f>IFERROR(_xlfn.XLOOKUP($A182,'Raw Data'!$A:$A,'Raw Data'!BJ:BJ),"")</f>
        <v/>
      </c>
      <c r="Z182" s="227" t="str">
        <f>IFERROR(_xlfn.XLOOKUP($A182,'Raw Data'!$A:$A,'Raw Data'!BK:BK),"")</f>
        <v/>
      </c>
      <c r="AA182" s="227" t="str">
        <f>IFERROR(_xlfn.XLOOKUP($A182,'Raw Data'!$A:$A,'Raw Data'!BL:BL),"")</f>
        <v/>
      </c>
      <c r="AB182" s="227" t="str">
        <f>IFERROR(_xlfn.XLOOKUP($A182,'Raw Data'!$A:$A,'Raw Data'!$H:$H),"")</f>
        <v/>
      </c>
      <c r="AC182" s="145">
        <f>IFERROR(_xlfn.XLOOKUP($D182,'Modelling New'!$D:$D,'Modelling New'!$P:$P),"")</f>
        <v>4.9333333333333336</v>
      </c>
      <c r="AD182" s="227">
        <f>IFERROR(_xlfn.XLOOKUP($D182,'Modelling New'!$D:$D,'Modelling New'!$T:$T)*1000,"")</f>
        <v>91491.490277141027</v>
      </c>
      <c r="AE182" s="234">
        <f>IFERROR(_xlfn.XLOOKUP($D182,'Modelling New'!$D:$D,'Modelling New'!$O:$O),"")</f>
        <v>0.76309492836200032</v>
      </c>
      <c r="AF182" s="234">
        <f>IFERROR(_xlfn.XLOOKUP($D182,'Modelling New'!$D:$D,'Modelling New'!$W:$W),"")</f>
        <v>0.15685840194107786</v>
      </c>
      <c r="AG182" s="234">
        <f>IFERROR(_xlfn.XLOOKUP($D182,'Modelling New'!$D:$D,'Modelling New'!AE:AE),"")</f>
        <v>0.995</v>
      </c>
      <c r="AH182" s="234">
        <v>0.99750000000000005</v>
      </c>
      <c r="AI182" s="6"/>
      <c r="AJ182" s="6"/>
      <c r="AK182" s="6"/>
      <c r="AL182" s="6"/>
      <c r="AM182" s="6"/>
      <c r="AN182" s="231"/>
      <c r="AO182" s="234"/>
      <c r="AP182" s="234"/>
      <c r="AQ182" s="234"/>
      <c r="AR182" s="227">
        <f>IFERROR(_xlfn.XLOOKUP($D182,'Modelling New'!$D:$D,'Modelling New'!$N:$N),"")</f>
        <v>24.303100000000001</v>
      </c>
      <c r="AS182" s="227"/>
    </row>
    <row r="183" spans="1:45" x14ac:dyDescent="0.35">
      <c r="A183" s="226">
        <f t="shared" si="14"/>
        <v>45926</v>
      </c>
      <c r="B183" s="227">
        <f>YEAR(Daily_KPI[[#This Row],[Date]])+IF(MONTH(Daily_KPI[[#This Row],[Date]])&gt;=4,1,0)</f>
        <v>2026</v>
      </c>
      <c r="C183" s="6">
        <f>YEAR(Daily_KPI[[#This Row],[Date]])</f>
        <v>2025</v>
      </c>
      <c r="D183" s="228">
        <f>Daily_KPI[[#This Row],[Date]]-DAY(Daily_KPI[[#This Row],[Date]])+1</f>
        <v>45901</v>
      </c>
      <c r="E183" s="6">
        <f t="shared" si="16"/>
        <v>30</v>
      </c>
      <c r="F183" s="229" t="str">
        <f>IFERROR(_xlfn.XLOOKUP($A183,'Raw Data'!$A:$A,'Raw Data'!$BR:$BR),"")</f>
        <v/>
      </c>
      <c r="G183" s="230" t="str">
        <f>IFERROR(_xlfn.XLOOKUP($A183,'Raw Data'!$A:$A,'Raw Data'!$AO:$AO),"")</f>
        <v/>
      </c>
      <c r="H183" s="230"/>
      <c r="I183" s="230" t="str">
        <f>IFERROR(_xlfn.XLOOKUP($A183,'Raw Data'!$A:$A,'Raw Data'!$AR:$AR),"")</f>
        <v/>
      </c>
      <c r="J183" s="230"/>
      <c r="K183" s="230" t="str">
        <f>IFERROR(_xlfn.XLOOKUP($A183,'Raw Data'!$A:$A,'Raw Data'!$AV:$AV),"")</f>
        <v/>
      </c>
      <c r="L183" s="230" t="str">
        <f>IFERROR(_xlfn.XLOOKUP($A183,'Raw Data'!$A:$A,'Raw Data'!$AW:$AW),"")</f>
        <v/>
      </c>
      <c r="M183" s="230" t="str">
        <f>IFERROR(_xlfn.XLOOKUP($A183,'Raw Data'!$A:$A,'Raw Data'!$AX:$AX),"")</f>
        <v/>
      </c>
      <c r="N183" s="230" t="str">
        <f>IFERROR(_xlfn.XLOOKUP($A183,'Raw Data'!$A:$A,'Raw Data'!$AY:$AY),"")</f>
        <v/>
      </c>
      <c r="O183" s="231" t="str">
        <f>IFERROR(1-(SUMIF('Plant BD'!$B:$B,A183,'Plant BD'!$AE:$AE)/(AA183+SUMIF('Plant BD'!$B:$B,A183,'Plant BD'!$AE:$AE))),"")</f>
        <v/>
      </c>
      <c r="P183" s="231"/>
      <c r="Q183" s="232"/>
      <c r="R183" s="231" t="str">
        <f>IFERROR(1-(SUMIF('Grid BD'!$B:$B,$A183,'Grid BD'!$AD:$AD)/($AA183+SUMIF('Grid BD'!$B:$B,$A183,'Grid BD'!AD:AD))),"")</f>
        <v/>
      </c>
      <c r="S183" s="6"/>
      <c r="T183" s="232"/>
      <c r="U183" s="233" t="str">
        <f t="shared" si="13"/>
        <v/>
      </c>
      <c r="V183" s="233"/>
      <c r="W183" s="234" t="str">
        <f t="shared" si="15"/>
        <v/>
      </c>
      <c r="X183" s="227" t="str">
        <f>IFERROR(_xlfn.XLOOKUP($A183,'Raw Data'!$A:$A,'Raw Data'!$BA:$BA),"")</f>
        <v/>
      </c>
      <c r="Y183" s="227" t="str">
        <f>IFERROR(_xlfn.XLOOKUP($A183,'Raw Data'!$A:$A,'Raw Data'!BJ:BJ),"")</f>
        <v/>
      </c>
      <c r="Z183" s="227" t="str">
        <f>IFERROR(_xlfn.XLOOKUP($A183,'Raw Data'!$A:$A,'Raw Data'!BK:BK),"")</f>
        <v/>
      </c>
      <c r="AA183" s="227" t="str">
        <f>IFERROR(_xlfn.XLOOKUP($A183,'Raw Data'!$A:$A,'Raw Data'!BL:BL),"")</f>
        <v/>
      </c>
      <c r="AB183" s="227" t="str">
        <f>IFERROR(_xlfn.XLOOKUP($A183,'Raw Data'!$A:$A,'Raw Data'!$H:$H),"")</f>
        <v/>
      </c>
      <c r="AC183" s="145">
        <f>IFERROR(_xlfn.XLOOKUP($D183,'Modelling New'!$D:$D,'Modelling New'!$P:$P),"")</f>
        <v>4.9333333333333336</v>
      </c>
      <c r="AD183" s="227">
        <f>IFERROR(_xlfn.XLOOKUP($D183,'Modelling New'!$D:$D,'Modelling New'!$T:$T)*1000,"")</f>
        <v>91491.490277141027</v>
      </c>
      <c r="AE183" s="234">
        <f>IFERROR(_xlfn.XLOOKUP($D183,'Modelling New'!$D:$D,'Modelling New'!$O:$O),"")</f>
        <v>0.76309492836200032</v>
      </c>
      <c r="AF183" s="234">
        <f>IFERROR(_xlfn.XLOOKUP($D183,'Modelling New'!$D:$D,'Modelling New'!$W:$W),"")</f>
        <v>0.15685840194107786</v>
      </c>
      <c r="AG183" s="234">
        <f>IFERROR(_xlfn.XLOOKUP($D183,'Modelling New'!$D:$D,'Modelling New'!AE:AE),"")</f>
        <v>0.995</v>
      </c>
      <c r="AH183" s="234">
        <v>0.99750000000000005</v>
      </c>
      <c r="AI183" s="6"/>
      <c r="AJ183" s="6"/>
      <c r="AK183" s="6"/>
      <c r="AL183" s="6"/>
      <c r="AM183" s="6"/>
      <c r="AN183" s="231"/>
      <c r="AO183" s="234"/>
      <c r="AP183" s="234"/>
      <c r="AQ183" s="234"/>
      <c r="AR183" s="227">
        <f>IFERROR(_xlfn.XLOOKUP($D183,'Modelling New'!$D:$D,'Modelling New'!$N:$N),"")</f>
        <v>24.303100000000001</v>
      </c>
      <c r="AS183" s="227"/>
    </row>
    <row r="184" spans="1:45" x14ac:dyDescent="0.35">
      <c r="A184" s="226">
        <f t="shared" si="14"/>
        <v>45927</v>
      </c>
      <c r="B184" s="227">
        <f>YEAR(Daily_KPI[[#This Row],[Date]])+IF(MONTH(Daily_KPI[[#This Row],[Date]])&gt;=4,1,0)</f>
        <v>2026</v>
      </c>
      <c r="C184" s="6">
        <f>YEAR(Daily_KPI[[#This Row],[Date]])</f>
        <v>2025</v>
      </c>
      <c r="D184" s="228">
        <f>Daily_KPI[[#This Row],[Date]]-DAY(Daily_KPI[[#This Row],[Date]])+1</f>
        <v>45901</v>
      </c>
      <c r="E184" s="6">
        <f t="shared" si="16"/>
        <v>30</v>
      </c>
      <c r="F184" s="229" t="str">
        <f>IFERROR(_xlfn.XLOOKUP($A184,'Raw Data'!$A:$A,'Raw Data'!$BR:$BR),"")</f>
        <v/>
      </c>
      <c r="G184" s="230" t="str">
        <f>IFERROR(_xlfn.XLOOKUP($A184,'Raw Data'!$A:$A,'Raw Data'!$AO:$AO),"")</f>
        <v/>
      </c>
      <c r="H184" s="230"/>
      <c r="I184" s="230" t="str">
        <f>IFERROR(_xlfn.XLOOKUP($A184,'Raw Data'!$A:$A,'Raw Data'!$AR:$AR),"")</f>
        <v/>
      </c>
      <c r="J184" s="230"/>
      <c r="K184" s="230" t="str">
        <f>IFERROR(_xlfn.XLOOKUP($A184,'Raw Data'!$A:$A,'Raw Data'!$AV:$AV),"")</f>
        <v/>
      </c>
      <c r="L184" s="230" t="str">
        <f>IFERROR(_xlfn.XLOOKUP($A184,'Raw Data'!$A:$A,'Raw Data'!$AW:$AW),"")</f>
        <v/>
      </c>
      <c r="M184" s="230" t="str">
        <f>IFERROR(_xlfn.XLOOKUP($A184,'Raw Data'!$A:$A,'Raw Data'!$AX:$AX),"")</f>
        <v/>
      </c>
      <c r="N184" s="230" t="str">
        <f>IFERROR(_xlfn.XLOOKUP($A184,'Raw Data'!$A:$A,'Raw Data'!$AY:$AY),"")</f>
        <v/>
      </c>
      <c r="O184" s="231" t="str">
        <f>IFERROR(1-(SUMIF('Plant BD'!$B:$B,A184,'Plant BD'!$AE:$AE)/(AA184+SUMIF('Plant BD'!$B:$B,A184,'Plant BD'!$AE:$AE))),"")</f>
        <v/>
      </c>
      <c r="P184" s="231"/>
      <c r="Q184" s="232"/>
      <c r="R184" s="231" t="str">
        <f>IFERROR(1-(SUMIF('Grid BD'!$B:$B,$A184,'Grid BD'!$AD:$AD)/($AA184+SUMIF('Grid BD'!$B:$B,$A184,'Grid BD'!AD:AD))),"")</f>
        <v/>
      </c>
      <c r="S184" s="6"/>
      <c r="T184" s="232"/>
      <c r="U184" s="233" t="str">
        <f t="shared" si="13"/>
        <v/>
      </c>
      <c r="V184" s="233"/>
      <c r="W184" s="234" t="str">
        <f t="shared" si="15"/>
        <v/>
      </c>
      <c r="X184" s="227" t="str">
        <f>IFERROR(_xlfn.XLOOKUP($A184,'Raw Data'!$A:$A,'Raw Data'!$BA:$BA),"")</f>
        <v/>
      </c>
      <c r="Y184" s="227" t="str">
        <f>IFERROR(_xlfn.XLOOKUP($A184,'Raw Data'!$A:$A,'Raw Data'!BJ:BJ),"")</f>
        <v/>
      </c>
      <c r="Z184" s="227" t="str">
        <f>IFERROR(_xlfn.XLOOKUP($A184,'Raw Data'!$A:$A,'Raw Data'!BK:BK),"")</f>
        <v/>
      </c>
      <c r="AA184" s="227" t="str">
        <f>IFERROR(_xlfn.XLOOKUP($A184,'Raw Data'!$A:$A,'Raw Data'!BL:BL),"")</f>
        <v/>
      </c>
      <c r="AB184" s="227" t="str">
        <f>IFERROR(_xlfn.XLOOKUP($A184,'Raw Data'!$A:$A,'Raw Data'!$H:$H),"")</f>
        <v/>
      </c>
      <c r="AC184" s="145">
        <f>IFERROR(_xlfn.XLOOKUP($D184,'Modelling New'!$D:$D,'Modelling New'!$P:$P),"")</f>
        <v>4.9333333333333336</v>
      </c>
      <c r="AD184" s="227">
        <f>IFERROR(_xlfn.XLOOKUP($D184,'Modelling New'!$D:$D,'Modelling New'!$T:$T)*1000,"")</f>
        <v>91491.490277141027</v>
      </c>
      <c r="AE184" s="234">
        <f>IFERROR(_xlfn.XLOOKUP($D184,'Modelling New'!$D:$D,'Modelling New'!$O:$O),"")</f>
        <v>0.76309492836200032</v>
      </c>
      <c r="AF184" s="234">
        <f>IFERROR(_xlfn.XLOOKUP($D184,'Modelling New'!$D:$D,'Modelling New'!$W:$W),"")</f>
        <v>0.15685840194107786</v>
      </c>
      <c r="AG184" s="234">
        <f>IFERROR(_xlfn.XLOOKUP($D184,'Modelling New'!$D:$D,'Modelling New'!AE:AE),"")</f>
        <v>0.995</v>
      </c>
      <c r="AH184" s="234">
        <v>0.99750000000000005</v>
      </c>
      <c r="AI184" s="6"/>
      <c r="AJ184" s="6"/>
      <c r="AK184" s="6"/>
      <c r="AL184" s="6"/>
      <c r="AM184" s="6"/>
      <c r="AN184" s="231"/>
      <c r="AO184" s="234"/>
      <c r="AP184" s="234"/>
      <c r="AQ184" s="234"/>
      <c r="AR184" s="227">
        <f>IFERROR(_xlfn.XLOOKUP($D184,'Modelling New'!$D:$D,'Modelling New'!$N:$N),"")</f>
        <v>24.303100000000001</v>
      </c>
      <c r="AS184" s="227"/>
    </row>
    <row r="185" spans="1:45" x14ac:dyDescent="0.35">
      <c r="A185" s="226">
        <f t="shared" si="14"/>
        <v>45928</v>
      </c>
      <c r="B185" s="227">
        <f>YEAR(Daily_KPI[[#This Row],[Date]])+IF(MONTH(Daily_KPI[[#This Row],[Date]])&gt;=4,1,0)</f>
        <v>2026</v>
      </c>
      <c r="C185" s="6">
        <f>YEAR(Daily_KPI[[#This Row],[Date]])</f>
        <v>2025</v>
      </c>
      <c r="D185" s="228">
        <f>Daily_KPI[[#This Row],[Date]]-DAY(Daily_KPI[[#This Row],[Date]])+1</f>
        <v>45901</v>
      </c>
      <c r="E185" s="6">
        <f t="shared" si="16"/>
        <v>30</v>
      </c>
      <c r="F185" s="229" t="str">
        <f>IFERROR(_xlfn.XLOOKUP($A185,'Raw Data'!$A:$A,'Raw Data'!$BR:$BR),"")</f>
        <v/>
      </c>
      <c r="G185" s="230" t="str">
        <f>IFERROR(_xlfn.XLOOKUP($A185,'Raw Data'!$A:$A,'Raw Data'!$AO:$AO),"")</f>
        <v/>
      </c>
      <c r="H185" s="230"/>
      <c r="I185" s="230" t="str">
        <f>IFERROR(_xlfn.XLOOKUP($A185,'Raw Data'!$A:$A,'Raw Data'!$AR:$AR),"")</f>
        <v/>
      </c>
      <c r="J185" s="230"/>
      <c r="K185" s="230" t="str">
        <f>IFERROR(_xlfn.XLOOKUP($A185,'Raw Data'!$A:$A,'Raw Data'!$AV:$AV),"")</f>
        <v/>
      </c>
      <c r="L185" s="230" t="str">
        <f>IFERROR(_xlfn.XLOOKUP($A185,'Raw Data'!$A:$A,'Raw Data'!$AW:$AW),"")</f>
        <v/>
      </c>
      <c r="M185" s="230" t="str">
        <f>IFERROR(_xlfn.XLOOKUP($A185,'Raw Data'!$A:$A,'Raw Data'!$AX:$AX),"")</f>
        <v/>
      </c>
      <c r="N185" s="230" t="str">
        <f>IFERROR(_xlfn.XLOOKUP($A185,'Raw Data'!$A:$A,'Raw Data'!$AY:$AY),"")</f>
        <v/>
      </c>
      <c r="O185" s="231" t="str">
        <f>IFERROR(1-(SUMIF('Plant BD'!$B:$B,A185,'Plant BD'!$AE:$AE)/(AA185+SUMIF('Plant BD'!$B:$B,A185,'Plant BD'!$AE:$AE))),"")</f>
        <v/>
      </c>
      <c r="P185" s="231"/>
      <c r="Q185" s="232"/>
      <c r="R185" s="231" t="str">
        <f>IFERROR(1-(SUMIF('Grid BD'!$B:$B,$A185,'Grid BD'!$AD:$AD)/($AA185+SUMIF('Grid BD'!$B:$B,$A185,'Grid BD'!AD:AD))),"")</f>
        <v/>
      </c>
      <c r="S185" s="6"/>
      <c r="T185" s="232"/>
      <c r="U185" s="233" t="str">
        <f t="shared" si="13"/>
        <v/>
      </c>
      <c r="V185" s="233"/>
      <c r="W185" s="234" t="str">
        <f t="shared" si="15"/>
        <v/>
      </c>
      <c r="X185" s="227" t="str">
        <f>IFERROR(_xlfn.XLOOKUP($A185,'Raw Data'!$A:$A,'Raw Data'!$BA:$BA),"")</f>
        <v/>
      </c>
      <c r="Y185" s="227" t="str">
        <f>IFERROR(_xlfn.XLOOKUP($A185,'Raw Data'!$A:$A,'Raw Data'!BJ:BJ),"")</f>
        <v/>
      </c>
      <c r="Z185" s="227" t="str">
        <f>IFERROR(_xlfn.XLOOKUP($A185,'Raw Data'!$A:$A,'Raw Data'!BK:BK),"")</f>
        <v/>
      </c>
      <c r="AA185" s="227" t="str">
        <f>IFERROR(_xlfn.XLOOKUP($A185,'Raw Data'!$A:$A,'Raw Data'!BL:BL),"")</f>
        <v/>
      </c>
      <c r="AB185" s="227" t="str">
        <f>IFERROR(_xlfn.XLOOKUP($A185,'Raw Data'!$A:$A,'Raw Data'!$H:$H),"")</f>
        <v/>
      </c>
      <c r="AC185" s="145">
        <f>IFERROR(_xlfn.XLOOKUP($D185,'Modelling New'!$D:$D,'Modelling New'!$P:$P),"")</f>
        <v>4.9333333333333336</v>
      </c>
      <c r="AD185" s="227">
        <f>IFERROR(_xlfn.XLOOKUP($D185,'Modelling New'!$D:$D,'Modelling New'!$T:$T)*1000,"")</f>
        <v>91491.490277141027</v>
      </c>
      <c r="AE185" s="234">
        <f>IFERROR(_xlfn.XLOOKUP($D185,'Modelling New'!$D:$D,'Modelling New'!$O:$O),"")</f>
        <v>0.76309492836200032</v>
      </c>
      <c r="AF185" s="234">
        <f>IFERROR(_xlfn.XLOOKUP($D185,'Modelling New'!$D:$D,'Modelling New'!$W:$W),"")</f>
        <v>0.15685840194107786</v>
      </c>
      <c r="AG185" s="234">
        <f>IFERROR(_xlfn.XLOOKUP($D185,'Modelling New'!$D:$D,'Modelling New'!AE:AE),"")</f>
        <v>0.995</v>
      </c>
      <c r="AH185" s="234">
        <v>0.99750000000000005</v>
      </c>
      <c r="AI185" s="6"/>
      <c r="AJ185" s="6"/>
      <c r="AK185" s="6"/>
      <c r="AL185" s="6"/>
      <c r="AM185" s="6"/>
      <c r="AN185" s="231"/>
      <c r="AO185" s="234"/>
      <c r="AP185" s="234"/>
      <c r="AQ185" s="234"/>
      <c r="AR185" s="227">
        <f>IFERROR(_xlfn.XLOOKUP($D185,'Modelling New'!$D:$D,'Modelling New'!$N:$N),"")</f>
        <v>24.303100000000001</v>
      </c>
      <c r="AS185" s="227"/>
    </row>
    <row r="186" spans="1:45" x14ac:dyDescent="0.35">
      <c r="A186" s="226">
        <f t="shared" si="14"/>
        <v>45929</v>
      </c>
      <c r="B186" s="227">
        <f>YEAR(Daily_KPI[[#This Row],[Date]])+IF(MONTH(Daily_KPI[[#This Row],[Date]])&gt;=4,1,0)</f>
        <v>2026</v>
      </c>
      <c r="C186" s="6">
        <f>YEAR(Daily_KPI[[#This Row],[Date]])</f>
        <v>2025</v>
      </c>
      <c r="D186" s="228">
        <f>Daily_KPI[[#This Row],[Date]]-DAY(Daily_KPI[[#This Row],[Date]])+1</f>
        <v>45901</v>
      </c>
      <c r="E186" s="6">
        <f t="shared" si="16"/>
        <v>30</v>
      </c>
      <c r="F186" s="229" t="str">
        <f>IFERROR(_xlfn.XLOOKUP($A186,'Raw Data'!$A:$A,'Raw Data'!$BR:$BR),"")</f>
        <v/>
      </c>
      <c r="G186" s="230" t="str">
        <f>IFERROR(_xlfn.XLOOKUP($A186,'Raw Data'!$A:$A,'Raw Data'!$AO:$AO),"")</f>
        <v/>
      </c>
      <c r="H186" s="230"/>
      <c r="I186" s="230" t="str">
        <f>IFERROR(_xlfn.XLOOKUP($A186,'Raw Data'!$A:$A,'Raw Data'!$AR:$AR),"")</f>
        <v/>
      </c>
      <c r="J186" s="230"/>
      <c r="K186" s="230" t="str">
        <f>IFERROR(_xlfn.XLOOKUP($A186,'Raw Data'!$A:$A,'Raw Data'!$AV:$AV),"")</f>
        <v/>
      </c>
      <c r="L186" s="230" t="str">
        <f>IFERROR(_xlfn.XLOOKUP($A186,'Raw Data'!$A:$A,'Raw Data'!$AW:$AW),"")</f>
        <v/>
      </c>
      <c r="M186" s="230" t="str">
        <f>IFERROR(_xlfn.XLOOKUP($A186,'Raw Data'!$A:$A,'Raw Data'!$AX:$AX),"")</f>
        <v/>
      </c>
      <c r="N186" s="230" t="str">
        <f>IFERROR(_xlfn.XLOOKUP($A186,'Raw Data'!$A:$A,'Raw Data'!$AY:$AY),"")</f>
        <v/>
      </c>
      <c r="O186" s="231" t="str">
        <f>IFERROR(1-(SUMIF('Plant BD'!$B:$B,A186,'Plant BD'!$AE:$AE)/(AA186+SUMIF('Plant BD'!$B:$B,A186,'Plant BD'!$AE:$AE))),"")</f>
        <v/>
      </c>
      <c r="P186" s="231"/>
      <c r="Q186" s="232"/>
      <c r="R186" s="231" t="str">
        <f>IFERROR(1-(SUMIF('Grid BD'!$B:$B,$A186,'Grid BD'!$AD:$AD)/($AA186+SUMIF('Grid BD'!$B:$B,$A186,'Grid BD'!AD:AD))),"")</f>
        <v/>
      </c>
      <c r="S186" s="6"/>
      <c r="T186" s="232"/>
      <c r="U186" s="233" t="str">
        <f t="shared" si="13"/>
        <v/>
      </c>
      <c r="V186" s="233"/>
      <c r="W186" s="234" t="str">
        <f t="shared" si="15"/>
        <v/>
      </c>
      <c r="X186" s="227" t="str">
        <f>IFERROR(_xlfn.XLOOKUP($A186,'Raw Data'!$A:$A,'Raw Data'!$BA:$BA),"")</f>
        <v/>
      </c>
      <c r="Y186" s="227" t="str">
        <f>IFERROR(_xlfn.XLOOKUP($A186,'Raw Data'!$A:$A,'Raw Data'!BJ:BJ),"")</f>
        <v/>
      </c>
      <c r="Z186" s="227" t="str">
        <f>IFERROR(_xlfn.XLOOKUP($A186,'Raw Data'!$A:$A,'Raw Data'!BK:BK),"")</f>
        <v/>
      </c>
      <c r="AA186" s="227" t="str">
        <f>IFERROR(_xlfn.XLOOKUP($A186,'Raw Data'!$A:$A,'Raw Data'!BL:BL),"")</f>
        <v/>
      </c>
      <c r="AB186" s="227" t="str">
        <f>IFERROR(_xlfn.XLOOKUP($A186,'Raw Data'!$A:$A,'Raw Data'!$H:$H),"")</f>
        <v/>
      </c>
      <c r="AC186" s="145">
        <f>IFERROR(_xlfn.XLOOKUP($D186,'Modelling New'!$D:$D,'Modelling New'!$P:$P),"")</f>
        <v>4.9333333333333336</v>
      </c>
      <c r="AD186" s="227">
        <f>IFERROR(_xlfn.XLOOKUP($D186,'Modelling New'!$D:$D,'Modelling New'!$T:$T)*1000,"")</f>
        <v>91491.490277141027</v>
      </c>
      <c r="AE186" s="234">
        <f>IFERROR(_xlfn.XLOOKUP($D186,'Modelling New'!$D:$D,'Modelling New'!$O:$O),"")</f>
        <v>0.76309492836200032</v>
      </c>
      <c r="AF186" s="234">
        <f>IFERROR(_xlfn.XLOOKUP($D186,'Modelling New'!$D:$D,'Modelling New'!$W:$W),"")</f>
        <v>0.15685840194107786</v>
      </c>
      <c r="AG186" s="234">
        <f>IFERROR(_xlfn.XLOOKUP($D186,'Modelling New'!$D:$D,'Modelling New'!AE:AE),"")</f>
        <v>0.995</v>
      </c>
      <c r="AH186" s="234">
        <v>0.99750000000000005</v>
      </c>
      <c r="AI186" s="6"/>
      <c r="AJ186" s="6"/>
      <c r="AK186" s="6"/>
      <c r="AL186" s="6"/>
      <c r="AM186" s="6"/>
      <c r="AN186" s="231"/>
      <c r="AO186" s="234"/>
      <c r="AP186" s="234"/>
      <c r="AQ186" s="234"/>
      <c r="AR186" s="227">
        <f>IFERROR(_xlfn.XLOOKUP($D186,'Modelling New'!$D:$D,'Modelling New'!$N:$N),"")</f>
        <v>24.303100000000001</v>
      </c>
      <c r="AS186" s="227"/>
    </row>
    <row r="187" spans="1:45" x14ac:dyDescent="0.35">
      <c r="A187" s="226">
        <f t="shared" si="14"/>
        <v>45930</v>
      </c>
      <c r="B187" s="227">
        <f>YEAR(Daily_KPI[[#This Row],[Date]])+IF(MONTH(Daily_KPI[[#This Row],[Date]])&gt;=4,1,0)</f>
        <v>2026</v>
      </c>
      <c r="C187" s="6">
        <f>YEAR(Daily_KPI[[#This Row],[Date]])</f>
        <v>2025</v>
      </c>
      <c r="D187" s="228">
        <f>Daily_KPI[[#This Row],[Date]]-DAY(Daily_KPI[[#This Row],[Date]])+1</f>
        <v>45901</v>
      </c>
      <c r="E187" s="6">
        <f t="shared" si="16"/>
        <v>30</v>
      </c>
      <c r="F187" s="229" t="str">
        <f>IFERROR(_xlfn.XLOOKUP($A187,'Raw Data'!$A:$A,'Raw Data'!$BR:$BR),"")</f>
        <v/>
      </c>
      <c r="G187" s="230" t="str">
        <f>IFERROR(_xlfn.XLOOKUP($A187,'Raw Data'!$A:$A,'Raw Data'!$AO:$AO),"")</f>
        <v/>
      </c>
      <c r="H187" s="230"/>
      <c r="I187" s="230" t="str">
        <f>IFERROR(_xlfn.XLOOKUP($A187,'Raw Data'!$A:$A,'Raw Data'!$AR:$AR),"")</f>
        <v/>
      </c>
      <c r="J187" s="230"/>
      <c r="K187" s="230" t="str">
        <f>IFERROR(_xlfn.XLOOKUP($A187,'Raw Data'!$A:$A,'Raw Data'!$AV:$AV),"")</f>
        <v/>
      </c>
      <c r="L187" s="230" t="str">
        <f>IFERROR(_xlfn.XLOOKUP($A187,'Raw Data'!$A:$A,'Raw Data'!$AW:$AW),"")</f>
        <v/>
      </c>
      <c r="M187" s="230" t="str">
        <f>IFERROR(_xlfn.XLOOKUP($A187,'Raw Data'!$A:$A,'Raw Data'!$AX:$AX),"")</f>
        <v/>
      </c>
      <c r="N187" s="230" t="str">
        <f>IFERROR(_xlfn.XLOOKUP($A187,'Raw Data'!$A:$A,'Raw Data'!$AY:$AY),"")</f>
        <v/>
      </c>
      <c r="O187" s="231" t="str">
        <f>IFERROR(1-(SUMIF('Plant BD'!$B:$B,A187,'Plant BD'!$AE:$AE)/(AA187+SUMIF('Plant BD'!$B:$B,A187,'Plant BD'!$AE:$AE))),"")</f>
        <v/>
      </c>
      <c r="P187" s="231"/>
      <c r="Q187" s="232"/>
      <c r="R187" s="231" t="str">
        <f>IFERROR(1-(SUMIF('Grid BD'!$B:$B,$A187,'Grid BD'!$AD:$AD)/($AA187+SUMIF('Grid BD'!$B:$B,$A187,'Grid BD'!AD:AD))),"")</f>
        <v/>
      </c>
      <c r="S187" s="6"/>
      <c r="T187" s="232"/>
      <c r="U187" s="233" t="str">
        <f t="shared" si="13"/>
        <v/>
      </c>
      <c r="V187" s="233"/>
      <c r="W187" s="234" t="str">
        <f t="shared" si="15"/>
        <v/>
      </c>
      <c r="X187" s="227" t="str">
        <f>IFERROR(_xlfn.XLOOKUP($A187,'Raw Data'!$A:$A,'Raw Data'!$BA:$BA),"")</f>
        <v/>
      </c>
      <c r="Y187" s="227" t="str">
        <f>IFERROR(_xlfn.XLOOKUP($A187,'Raw Data'!$A:$A,'Raw Data'!BJ:BJ),"")</f>
        <v/>
      </c>
      <c r="Z187" s="227" t="str">
        <f>IFERROR(_xlfn.XLOOKUP($A187,'Raw Data'!$A:$A,'Raw Data'!BK:BK),"")</f>
        <v/>
      </c>
      <c r="AA187" s="227" t="str">
        <f>IFERROR(_xlfn.XLOOKUP($A187,'Raw Data'!$A:$A,'Raw Data'!BL:BL),"")</f>
        <v/>
      </c>
      <c r="AB187" s="227" t="str">
        <f>IFERROR(_xlfn.XLOOKUP($A187,'Raw Data'!$A:$A,'Raw Data'!$H:$H),"")</f>
        <v/>
      </c>
      <c r="AC187" s="145">
        <f>IFERROR(_xlfn.XLOOKUP($D187,'Modelling New'!$D:$D,'Modelling New'!$P:$P),"")</f>
        <v>4.9333333333333336</v>
      </c>
      <c r="AD187" s="227">
        <f>IFERROR(_xlfn.XLOOKUP($D187,'Modelling New'!$D:$D,'Modelling New'!$T:$T)*1000,"")</f>
        <v>91491.490277141027</v>
      </c>
      <c r="AE187" s="234">
        <f>IFERROR(_xlfn.XLOOKUP($D187,'Modelling New'!$D:$D,'Modelling New'!$O:$O),"")</f>
        <v>0.76309492836200032</v>
      </c>
      <c r="AF187" s="234">
        <f>IFERROR(_xlfn.XLOOKUP($D187,'Modelling New'!$D:$D,'Modelling New'!$W:$W),"")</f>
        <v>0.15685840194107786</v>
      </c>
      <c r="AG187" s="234">
        <f>IFERROR(_xlfn.XLOOKUP($D187,'Modelling New'!$D:$D,'Modelling New'!AE:AE),"")</f>
        <v>0.995</v>
      </c>
      <c r="AH187" s="234">
        <v>0.99750000000000005</v>
      </c>
      <c r="AI187" s="6"/>
      <c r="AJ187" s="6"/>
      <c r="AK187" s="6"/>
      <c r="AL187" s="6"/>
      <c r="AM187" s="6"/>
      <c r="AN187" s="231"/>
      <c r="AO187" s="234"/>
      <c r="AP187" s="234"/>
      <c r="AQ187" s="234"/>
      <c r="AR187" s="227">
        <f>IFERROR(_xlfn.XLOOKUP($D187,'Modelling New'!$D:$D,'Modelling New'!$N:$N),"")</f>
        <v>24.303100000000001</v>
      </c>
      <c r="AS187" s="227"/>
    </row>
    <row r="188" spans="1:45" x14ac:dyDescent="0.35">
      <c r="A188" s="226">
        <f t="shared" si="14"/>
        <v>45931</v>
      </c>
      <c r="B188" s="227">
        <f>YEAR(Daily_KPI[[#This Row],[Date]])+IF(MONTH(Daily_KPI[[#This Row],[Date]])&gt;=4,1,0)</f>
        <v>2026</v>
      </c>
      <c r="C188" s="6">
        <f>YEAR(Daily_KPI[[#This Row],[Date]])</f>
        <v>2025</v>
      </c>
      <c r="D188" s="228">
        <f>Daily_KPI[[#This Row],[Date]]-DAY(Daily_KPI[[#This Row],[Date]])+1</f>
        <v>45931</v>
      </c>
      <c r="E188" s="6">
        <f t="shared" si="16"/>
        <v>31</v>
      </c>
      <c r="F188" s="229" t="str">
        <f>IFERROR(_xlfn.XLOOKUP($A188,'Raw Data'!$A:$A,'Raw Data'!$BR:$BR),"")</f>
        <v/>
      </c>
      <c r="G188" s="230" t="str">
        <f>IFERROR(_xlfn.XLOOKUP($A188,'Raw Data'!$A:$A,'Raw Data'!$AO:$AO),"")</f>
        <v/>
      </c>
      <c r="H188" s="230"/>
      <c r="I188" s="230" t="str">
        <f>IFERROR(_xlfn.XLOOKUP($A188,'Raw Data'!$A:$A,'Raw Data'!$AR:$AR),"")</f>
        <v/>
      </c>
      <c r="J188" s="230"/>
      <c r="K188" s="230" t="str">
        <f>IFERROR(_xlfn.XLOOKUP($A188,'Raw Data'!$A:$A,'Raw Data'!$AV:$AV),"")</f>
        <v/>
      </c>
      <c r="L188" s="230" t="str">
        <f>IFERROR(_xlfn.XLOOKUP($A188,'Raw Data'!$A:$A,'Raw Data'!$AW:$AW),"")</f>
        <v/>
      </c>
      <c r="M188" s="230" t="str">
        <f>IFERROR(_xlfn.XLOOKUP($A188,'Raw Data'!$A:$A,'Raw Data'!$AX:$AX),"")</f>
        <v/>
      </c>
      <c r="N188" s="230" t="str">
        <f>IFERROR(_xlfn.XLOOKUP($A188,'Raw Data'!$A:$A,'Raw Data'!$AY:$AY),"")</f>
        <v/>
      </c>
      <c r="O188" s="231" t="str">
        <f>IFERROR(1-(SUMIF('Plant BD'!$B:$B,A188,'Plant BD'!$AE:$AE)/(AA188+SUMIF('Plant BD'!$B:$B,A188,'Plant BD'!$AE:$AE))),"")</f>
        <v/>
      </c>
      <c r="P188" s="231"/>
      <c r="Q188" s="232"/>
      <c r="R188" s="231" t="str">
        <f>IFERROR(1-(SUMIF('Grid BD'!$B:$B,$A188,'Grid BD'!$AD:$AD)/($AA188+SUMIF('Grid BD'!$B:$B,$A188,'Grid BD'!AD:AD))),"")</f>
        <v/>
      </c>
      <c r="S188" s="6"/>
      <c r="T188" s="232"/>
      <c r="U188" s="233" t="str">
        <f t="shared" si="13"/>
        <v/>
      </c>
      <c r="V188" s="233"/>
      <c r="W188" s="234" t="str">
        <f t="shared" si="15"/>
        <v/>
      </c>
      <c r="X188" s="227" t="str">
        <f>IFERROR(_xlfn.XLOOKUP($A188,'Raw Data'!$A:$A,'Raw Data'!$BA:$BA),"")</f>
        <v/>
      </c>
      <c r="Y188" s="227" t="str">
        <f>IFERROR(_xlfn.XLOOKUP($A188,'Raw Data'!$A:$A,'Raw Data'!BJ:BJ),"")</f>
        <v/>
      </c>
      <c r="Z188" s="227" t="str">
        <f>IFERROR(_xlfn.XLOOKUP($A188,'Raw Data'!$A:$A,'Raw Data'!BK:BK),"")</f>
        <v/>
      </c>
      <c r="AA188" s="227" t="str">
        <f>IFERROR(_xlfn.XLOOKUP($A188,'Raw Data'!$A:$A,'Raw Data'!BL:BL),"")</f>
        <v/>
      </c>
      <c r="AB188" s="227" t="str">
        <f>IFERROR(_xlfn.XLOOKUP($A188,'Raw Data'!$A:$A,'Raw Data'!$H:$H),"")</f>
        <v/>
      </c>
      <c r="AC188" s="145">
        <f>IFERROR(_xlfn.XLOOKUP($D188,'Modelling New'!$D:$D,'Modelling New'!$P:$P),"")</f>
        <v>6.0354838709677416</v>
      </c>
      <c r="AD188" s="227">
        <f>IFERROR(_xlfn.XLOOKUP($D188,'Modelling New'!$D:$D,'Modelling New'!$T:$T)*1000,"")</f>
        <v>108757.04807292875</v>
      </c>
      <c r="AE188" s="234">
        <f>IFERROR(_xlfn.XLOOKUP($D188,'Modelling New'!$D:$D,'Modelling New'!$O:$O),"")</f>
        <v>0.74145302903300359</v>
      </c>
      <c r="AF188" s="234">
        <f>IFERROR(_xlfn.XLOOKUP($D188,'Modelling New'!$D:$D,'Modelling New'!$W:$W),"")</f>
        <v>0.18645949157536959</v>
      </c>
      <c r="AG188" s="234">
        <f>IFERROR(_xlfn.XLOOKUP($D188,'Modelling New'!$D:$D,'Modelling New'!AE:AE),"")</f>
        <v>0.995</v>
      </c>
      <c r="AH188" s="234">
        <v>0.99750000000000005</v>
      </c>
      <c r="AI188" s="6"/>
      <c r="AJ188" s="6"/>
      <c r="AK188" s="6"/>
      <c r="AL188" s="6"/>
      <c r="AM188" s="6"/>
      <c r="AN188" s="231"/>
      <c r="AO188" s="234"/>
      <c r="AP188" s="234"/>
      <c r="AQ188" s="234"/>
      <c r="AR188" s="227">
        <f>IFERROR(_xlfn.XLOOKUP($D188,'Modelling New'!$D:$D,'Modelling New'!$N:$N),"")</f>
        <v>24.303100000000001</v>
      </c>
      <c r="AS188" s="227"/>
    </row>
    <row r="189" spans="1:45" x14ac:dyDescent="0.35">
      <c r="A189" s="226">
        <f t="shared" si="14"/>
        <v>45932</v>
      </c>
      <c r="B189" s="227">
        <f>YEAR(Daily_KPI[[#This Row],[Date]])+IF(MONTH(Daily_KPI[[#This Row],[Date]])&gt;=4,1,0)</f>
        <v>2026</v>
      </c>
      <c r="C189" s="6">
        <f>YEAR(Daily_KPI[[#This Row],[Date]])</f>
        <v>2025</v>
      </c>
      <c r="D189" s="228">
        <f>Daily_KPI[[#This Row],[Date]]-DAY(Daily_KPI[[#This Row],[Date]])+1</f>
        <v>45931</v>
      </c>
      <c r="E189" s="6">
        <f t="shared" si="16"/>
        <v>31</v>
      </c>
      <c r="F189" s="229" t="str">
        <f>IFERROR(_xlfn.XLOOKUP($A189,'Raw Data'!$A:$A,'Raw Data'!$BR:$BR),"")</f>
        <v/>
      </c>
      <c r="G189" s="230" t="str">
        <f>IFERROR(_xlfn.XLOOKUP($A189,'Raw Data'!$A:$A,'Raw Data'!$AO:$AO),"")</f>
        <v/>
      </c>
      <c r="H189" s="230"/>
      <c r="I189" s="230" t="str">
        <f>IFERROR(_xlfn.XLOOKUP($A189,'Raw Data'!$A:$A,'Raw Data'!$AR:$AR),"")</f>
        <v/>
      </c>
      <c r="J189" s="230"/>
      <c r="K189" s="230" t="str">
        <f>IFERROR(_xlfn.XLOOKUP($A189,'Raw Data'!$A:$A,'Raw Data'!$AV:$AV),"")</f>
        <v/>
      </c>
      <c r="L189" s="230" t="str">
        <f>IFERROR(_xlfn.XLOOKUP($A189,'Raw Data'!$A:$A,'Raw Data'!$AW:$AW),"")</f>
        <v/>
      </c>
      <c r="M189" s="230" t="str">
        <f>IFERROR(_xlfn.XLOOKUP($A189,'Raw Data'!$A:$A,'Raw Data'!$AX:$AX),"")</f>
        <v/>
      </c>
      <c r="N189" s="230" t="str">
        <f>IFERROR(_xlfn.XLOOKUP($A189,'Raw Data'!$A:$A,'Raw Data'!$AY:$AY),"")</f>
        <v/>
      </c>
      <c r="O189" s="231" t="str">
        <f>IFERROR(1-(SUMIF('Plant BD'!$B:$B,A189,'Plant BD'!$AE:$AE)/(AA189+SUMIF('Plant BD'!$B:$B,A189,'Plant BD'!$AE:$AE))),"")</f>
        <v/>
      </c>
      <c r="P189" s="231"/>
      <c r="Q189" s="232"/>
      <c r="R189" s="231" t="str">
        <f>IFERROR(1-(SUMIF('Grid BD'!$B:$B,$A189,'Grid BD'!$AD:$AD)/($AA189+SUMIF('Grid BD'!$B:$B,$A189,'Grid BD'!AD:AD))),"")</f>
        <v/>
      </c>
      <c r="S189" s="6"/>
      <c r="T189" s="232"/>
      <c r="U189" s="233" t="str">
        <f t="shared" si="13"/>
        <v/>
      </c>
      <c r="V189" s="233"/>
      <c r="W189" s="234" t="str">
        <f t="shared" si="15"/>
        <v/>
      </c>
      <c r="X189" s="227" t="str">
        <f>IFERROR(_xlfn.XLOOKUP($A189,'Raw Data'!$A:$A,'Raw Data'!$BA:$BA),"")</f>
        <v/>
      </c>
      <c r="Y189" s="227" t="str">
        <f>IFERROR(_xlfn.XLOOKUP($A189,'Raw Data'!$A:$A,'Raw Data'!BJ:BJ),"")</f>
        <v/>
      </c>
      <c r="Z189" s="227" t="str">
        <f>IFERROR(_xlfn.XLOOKUP($A189,'Raw Data'!$A:$A,'Raw Data'!BK:BK),"")</f>
        <v/>
      </c>
      <c r="AA189" s="227" t="str">
        <f>IFERROR(_xlfn.XLOOKUP($A189,'Raw Data'!$A:$A,'Raw Data'!BL:BL),"")</f>
        <v/>
      </c>
      <c r="AB189" s="227" t="str">
        <f>IFERROR(_xlfn.XLOOKUP($A189,'Raw Data'!$A:$A,'Raw Data'!$H:$H),"")</f>
        <v/>
      </c>
      <c r="AC189" s="145">
        <f>IFERROR(_xlfn.XLOOKUP($D189,'Modelling New'!$D:$D,'Modelling New'!$P:$P),"")</f>
        <v>6.0354838709677416</v>
      </c>
      <c r="AD189" s="227">
        <f>IFERROR(_xlfn.XLOOKUP($D189,'Modelling New'!$D:$D,'Modelling New'!$T:$T)*1000,"")</f>
        <v>108757.04807292875</v>
      </c>
      <c r="AE189" s="234">
        <f>IFERROR(_xlfn.XLOOKUP($D189,'Modelling New'!$D:$D,'Modelling New'!$O:$O),"")</f>
        <v>0.74145302903300359</v>
      </c>
      <c r="AF189" s="234">
        <f>IFERROR(_xlfn.XLOOKUP($D189,'Modelling New'!$D:$D,'Modelling New'!$W:$W),"")</f>
        <v>0.18645949157536959</v>
      </c>
      <c r="AG189" s="234">
        <f>IFERROR(_xlfn.XLOOKUP($D189,'Modelling New'!$D:$D,'Modelling New'!AE:AE),"")</f>
        <v>0.995</v>
      </c>
      <c r="AH189" s="234">
        <v>0.99750000000000005</v>
      </c>
      <c r="AI189" s="6"/>
      <c r="AJ189" s="6"/>
      <c r="AK189" s="6"/>
      <c r="AL189" s="6"/>
      <c r="AM189" s="6"/>
      <c r="AN189" s="231"/>
      <c r="AO189" s="234"/>
      <c r="AP189" s="234"/>
      <c r="AQ189" s="234"/>
      <c r="AR189" s="227">
        <f>IFERROR(_xlfn.XLOOKUP($D189,'Modelling New'!$D:$D,'Modelling New'!$N:$N),"")</f>
        <v>24.303100000000001</v>
      </c>
      <c r="AS189" s="227"/>
    </row>
    <row r="190" spans="1:45" x14ac:dyDescent="0.35">
      <c r="A190" s="226">
        <f t="shared" si="14"/>
        <v>45933</v>
      </c>
      <c r="B190" s="227">
        <f>YEAR(Daily_KPI[[#This Row],[Date]])+IF(MONTH(Daily_KPI[[#This Row],[Date]])&gt;=4,1,0)</f>
        <v>2026</v>
      </c>
      <c r="C190" s="6">
        <f>YEAR(Daily_KPI[[#This Row],[Date]])</f>
        <v>2025</v>
      </c>
      <c r="D190" s="228">
        <f>Daily_KPI[[#This Row],[Date]]-DAY(Daily_KPI[[#This Row],[Date]])+1</f>
        <v>45931</v>
      </c>
      <c r="E190" s="6">
        <f t="shared" si="16"/>
        <v>31</v>
      </c>
      <c r="F190" s="229" t="str">
        <f>IFERROR(_xlfn.XLOOKUP($A190,'Raw Data'!$A:$A,'Raw Data'!$BR:$BR),"")</f>
        <v/>
      </c>
      <c r="G190" s="230" t="str">
        <f>IFERROR(_xlfn.XLOOKUP($A190,'Raw Data'!$A:$A,'Raw Data'!$AO:$AO),"")</f>
        <v/>
      </c>
      <c r="H190" s="230"/>
      <c r="I190" s="230" t="str">
        <f>IFERROR(_xlfn.XLOOKUP($A190,'Raw Data'!$A:$A,'Raw Data'!$AR:$AR),"")</f>
        <v/>
      </c>
      <c r="J190" s="230"/>
      <c r="K190" s="230" t="str">
        <f>IFERROR(_xlfn.XLOOKUP($A190,'Raw Data'!$A:$A,'Raw Data'!$AV:$AV),"")</f>
        <v/>
      </c>
      <c r="L190" s="230" t="str">
        <f>IFERROR(_xlfn.XLOOKUP($A190,'Raw Data'!$A:$A,'Raw Data'!$AW:$AW),"")</f>
        <v/>
      </c>
      <c r="M190" s="230" t="str">
        <f>IFERROR(_xlfn.XLOOKUP($A190,'Raw Data'!$A:$A,'Raw Data'!$AX:$AX),"")</f>
        <v/>
      </c>
      <c r="N190" s="230" t="str">
        <f>IFERROR(_xlfn.XLOOKUP($A190,'Raw Data'!$A:$A,'Raw Data'!$AY:$AY),"")</f>
        <v/>
      </c>
      <c r="O190" s="231" t="str">
        <f>IFERROR(1-(SUMIF('Plant BD'!$B:$B,A190,'Plant BD'!$AE:$AE)/(AA190+SUMIF('Plant BD'!$B:$B,A190,'Plant BD'!$AE:$AE))),"")</f>
        <v/>
      </c>
      <c r="P190" s="231"/>
      <c r="Q190" s="232"/>
      <c r="R190" s="231" t="str">
        <f>IFERROR(1-(SUMIF('Grid BD'!$B:$B,$A190,'Grid BD'!$AD:$AD)/($AA190+SUMIF('Grid BD'!$B:$B,$A190,'Grid BD'!AD:AD))),"")</f>
        <v/>
      </c>
      <c r="S190" s="6"/>
      <c r="T190" s="232"/>
      <c r="U190" s="233" t="str">
        <f t="shared" si="13"/>
        <v/>
      </c>
      <c r="V190" s="233"/>
      <c r="W190" s="234" t="str">
        <f t="shared" si="15"/>
        <v/>
      </c>
      <c r="X190" s="227" t="str">
        <f>IFERROR(_xlfn.XLOOKUP($A190,'Raw Data'!$A:$A,'Raw Data'!$BA:$BA),"")</f>
        <v/>
      </c>
      <c r="Y190" s="227" t="str">
        <f>IFERROR(_xlfn.XLOOKUP($A190,'Raw Data'!$A:$A,'Raw Data'!BJ:BJ),"")</f>
        <v/>
      </c>
      <c r="Z190" s="227" t="str">
        <f>IFERROR(_xlfn.XLOOKUP($A190,'Raw Data'!$A:$A,'Raw Data'!BK:BK),"")</f>
        <v/>
      </c>
      <c r="AA190" s="227" t="str">
        <f>IFERROR(_xlfn.XLOOKUP($A190,'Raw Data'!$A:$A,'Raw Data'!BL:BL),"")</f>
        <v/>
      </c>
      <c r="AB190" s="227" t="str">
        <f>IFERROR(_xlfn.XLOOKUP($A190,'Raw Data'!$A:$A,'Raw Data'!$H:$H),"")</f>
        <v/>
      </c>
      <c r="AC190" s="145">
        <f>IFERROR(_xlfn.XLOOKUP($D190,'Modelling New'!$D:$D,'Modelling New'!$P:$P),"")</f>
        <v>6.0354838709677416</v>
      </c>
      <c r="AD190" s="227">
        <f>IFERROR(_xlfn.XLOOKUP($D190,'Modelling New'!$D:$D,'Modelling New'!$T:$T)*1000,"")</f>
        <v>108757.04807292875</v>
      </c>
      <c r="AE190" s="234">
        <f>IFERROR(_xlfn.XLOOKUP($D190,'Modelling New'!$D:$D,'Modelling New'!$O:$O),"")</f>
        <v>0.74145302903300359</v>
      </c>
      <c r="AF190" s="234">
        <f>IFERROR(_xlfn.XLOOKUP($D190,'Modelling New'!$D:$D,'Modelling New'!$W:$W),"")</f>
        <v>0.18645949157536959</v>
      </c>
      <c r="AG190" s="234">
        <f>IFERROR(_xlfn.XLOOKUP($D190,'Modelling New'!$D:$D,'Modelling New'!AE:AE),"")</f>
        <v>0.995</v>
      </c>
      <c r="AH190" s="234">
        <v>0.99750000000000005</v>
      </c>
      <c r="AI190" s="6"/>
      <c r="AJ190" s="6"/>
      <c r="AK190" s="6"/>
      <c r="AL190" s="6"/>
      <c r="AM190" s="6"/>
      <c r="AN190" s="231"/>
      <c r="AO190" s="234"/>
      <c r="AP190" s="234"/>
      <c r="AQ190" s="234"/>
      <c r="AR190" s="227">
        <f>IFERROR(_xlfn.XLOOKUP($D190,'Modelling New'!$D:$D,'Modelling New'!$N:$N),"")</f>
        <v>24.303100000000001</v>
      </c>
      <c r="AS190" s="227"/>
    </row>
    <row r="191" spans="1:45" x14ac:dyDescent="0.35">
      <c r="A191" s="226">
        <f t="shared" si="14"/>
        <v>45934</v>
      </c>
      <c r="B191" s="227">
        <f>YEAR(Daily_KPI[[#This Row],[Date]])+IF(MONTH(Daily_KPI[[#This Row],[Date]])&gt;=4,1,0)</f>
        <v>2026</v>
      </c>
      <c r="C191" s="6">
        <f>YEAR(Daily_KPI[[#This Row],[Date]])</f>
        <v>2025</v>
      </c>
      <c r="D191" s="228">
        <f>Daily_KPI[[#This Row],[Date]]-DAY(Daily_KPI[[#This Row],[Date]])+1</f>
        <v>45931</v>
      </c>
      <c r="E191" s="6">
        <f t="shared" si="16"/>
        <v>31</v>
      </c>
      <c r="F191" s="229" t="str">
        <f>IFERROR(_xlfn.XLOOKUP($A191,'Raw Data'!$A:$A,'Raw Data'!$BR:$BR),"")</f>
        <v/>
      </c>
      <c r="G191" s="230" t="str">
        <f>IFERROR(_xlfn.XLOOKUP($A191,'Raw Data'!$A:$A,'Raw Data'!$AO:$AO),"")</f>
        <v/>
      </c>
      <c r="H191" s="230"/>
      <c r="I191" s="230" t="str">
        <f>IFERROR(_xlfn.XLOOKUP($A191,'Raw Data'!$A:$A,'Raw Data'!$AR:$AR),"")</f>
        <v/>
      </c>
      <c r="J191" s="230"/>
      <c r="K191" s="230" t="str">
        <f>IFERROR(_xlfn.XLOOKUP($A191,'Raw Data'!$A:$A,'Raw Data'!$AV:$AV),"")</f>
        <v/>
      </c>
      <c r="L191" s="230" t="str">
        <f>IFERROR(_xlfn.XLOOKUP($A191,'Raw Data'!$A:$A,'Raw Data'!$AW:$AW),"")</f>
        <v/>
      </c>
      <c r="M191" s="230" t="str">
        <f>IFERROR(_xlfn.XLOOKUP($A191,'Raw Data'!$A:$A,'Raw Data'!$AX:$AX),"")</f>
        <v/>
      </c>
      <c r="N191" s="230" t="str">
        <f>IFERROR(_xlfn.XLOOKUP($A191,'Raw Data'!$A:$A,'Raw Data'!$AY:$AY),"")</f>
        <v/>
      </c>
      <c r="O191" s="231" t="str">
        <f>IFERROR(1-(SUMIF('Plant BD'!$B:$B,A191,'Plant BD'!$AE:$AE)/(AA191+SUMIF('Plant BD'!$B:$B,A191,'Plant BD'!$AE:$AE))),"")</f>
        <v/>
      </c>
      <c r="P191" s="231"/>
      <c r="Q191" s="232"/>
      <c r="R191" s="231" t="str">
        <f>IFERROR(1-(SUMIF('Grid BD'!$B:$B,$A191,'Grid BD'!$AD:$AD)/($AA191+SUMIF('Grid BD'!$B:$B,$A191,'Grid BD'!AD:AD))),"")</f>
        <v/>
      </c>
      <c r="S191" s="6"/>
      <c r="T191" s="232"/>
      <c r="U191" s="233" t="str">
        <f t="shared" si="13"/>
        <v/>
      </c>
      <c r="V191" s="233"/>
      <c r="W191" s="234" t="str">
        <f t="shared" si="15"/>
        <v/>
      </c>
      <c r="X191" s="227" t="str">
        <f>IFERROR(_xlfn.XLOOKUP($A191,'Raw Data'!$A:$A,'Raw Data'!$BA:$BA),"")</f>
        <v/>
      </c>
      <c r="Y191" s="227" t="str">
        <f>IFERROR(_xlfn.XLOOKUP($A191,'Raw Data'!$A:$A,'Raw Data'!BJ:BJ),"")</f>
        <v/>
      </c>
      <c r="Z191" s="227" t="str">
        <f>IFERROR(_xlfn.XLOOKUP($A191,'Raw Data'!$A:$A,'Raw Data'!BK:BK),"")</f>
        <v/>
      </c>
      <c r="AA191" s="227" t="str">
        <f>IFERROR(_xlfn.XLOOKUP($A191,'Raw Data'!$A:$A,'Raw Data'!BL:BL),"")</f>
        <v/>
      </c>
      <c r="AB191" s="227" t="str">
        <f>IFERROR(_xlfn.XLOOKUP($A191,'Raw Data'!$A:$A,'Raw Data'!$H:$H),"")</f>
        <v/>
      </c>
      <c r="AC191" s="145">
        <f>IFERROR(_xlfn.XLOOKUP($D191,'Modelling New'!$D:$D,'Modelling New'!$P:$P),"")</f>
        <v>6.0354838709677416</v>
      </c>
      <c r="AD191" s="227">
        <f>IFERROR(_xlfn.XLOOKUP($D191,'Modelling New'!$D:$D,'Modelling New'!$T:$T)*1000,"")</f>
        <v>108757.04807292875</v>
      </c>
      <c r="AE191" s="234">
        <f>IFERROR(_xlfn.XLOOKUP($D191,'Modelling New'!$D:$D,'Modelling New'!$O:$O),"")</f>
        <v>0.74145302903300359</v>
      </c>
      <c r="AF191" s="234">
        <f>IFERROR(_xlfn.XLOOKUP($D191,'Modelling New'!$D:$D,'Modelling New'!$W:$W),"")</f>
        <v>0.18645949157536959</v>
      </c>
      <c r="AG191" s="234">
        <f>IFERROR(_xlfn.XLOOKUP($D191,'Modelling New'!$D:$D,'Modelling New'!AE:AE),"")</f>
        <v>0.995</v>
      </c>
      <c r="AH191" s="234">
        <v>0.99750000000000005</v>
      </c>
      <c r="AI191" s="6"/>
      <c r="AJ191" s="6"/>
      <c r="AK191" s="6"/>
      <c r="AL191" s="6"/>
      <c r="AM191" s="6"/>
      <c r="AN191" s="231"/>
      <c r="AO191" s="234"/>
      <c r="AP191" s="234"/>
      <c r="AQ191" s="234"/>
      <c r="AR191" s="227">
        <f>IFERROR(_xlfn.XLOOKUP($D191,'Modelling New'!$D:$D,'Modelling New'!$N:$N),"")</f>
        <v>24.303100000000001</v>
      </c>
      <c r="AS191" s="227"/>
    </row>
    <row r="192" spans="1:45" x14ac:dyDescent="0.35">
      <c r="A192" s="226">
        <f t="shared" si="14"/>
        <v>45935</v>
      </c>
      <c r="B192" s="227">
        <f>YEAR(Daily_KPI[[#This Row],[Date]])+IF(MONTH(Daily_KPI[[#This Row],[Date]])&gt;=4,1,0)</f>
        <v>2026</v>
      </c>
      <c r="C192" s="6">
        <f>YEAR(Daily_KPI[[#This Row],[Date]])</f>
        <v>2025</v>
      </c>
      <c r="D192" s="228">
        <f>Daily_KPI[[#This Row],[Date]]-DAY(Daily_KPI[[#This Row],[Date]])+1</f>
        <v>45931</v>
      </c>
      <c r="E192" s="6">
        <f t="shared" si="16"/>
        <v>31</v>
      </c>
      <c r="F192" s="229" t="str">
        <f>IFERROR(_xlfn.XLOOKUP($A192,'Raw Data'!$A:$A,'Raw Data'!$BR:$BR),"")</f>
        <v/>
      </c>
      <c r="G192" s="230" t="str">
        <f>IFERROR(_xlfn.XLOOKUP($A192,'Raw Data'!$A:$A,'Raw Data'!$AO:$AO),"")</f>
        <v/>
      </c>
      <c r="H192" s="230"/>
      <c r="I192" s="230" t="str">
        <f>IFERROR(_xlfn.XLOOKUP($A192,'Raw Data'!$A:$A,'Raw Data'!$AR:$AR),"")</f>
        <v/>
      </c>
      <c r="J192" s="230"/>
      <c r="K192" s="230" t="str">
        <f>IFERROR(_xlfn.XLOOKUP($A192,'Raw Data'!$A:$A,'Raw Data'!$AV:$AV),"")</f>
        <v/>
      </c>
      <c r="L192" s="230" t="str">
        <f>IFERROR(_xlfn.XLOOKUP($A192,'Raw Data'!$A:$A,'Raw Data'!$AW:$AW),"")</f>
        <v/>
      </c>
      <c r="M192" s="230" t="str">
        <f>IFERROR(_xlfn.XLOOKUP($A192,'Raw Data'!$A:$A,'Raw Data'!$AX:$AX),"")</f>
        <v/>
      </c>
      <c r="N192" s="230" t="str">
        <f>IFERROR(_xlfn.XLOOKUP($A192,'Raw Data'!$A:$A,'Raw Data'!$AY:$AY),"")</f>
        <v/>
      </c>
      <c r="O192" s="231" t="str">
        <f>IFERROR(1-(SUMIF('Plant BD'!$B:$B,A192,'Plant BD'!$AE:$AE)/(AA192+SUMIF('Plant BD'!$B:$B,A192,'Plant BD'!$AE:$AE))),"")</f>
        <v/>
      </c>
      <c r="P192" s="231"/>
      <c r="Q192" s="232"/>
      <c r="R192" s="231" t="str">
        <f>IFERROR(1-(SUMIF('Grid BD'!$B:$B,$A192,'Grid BD'!$AD:$AD)/($AA192+SUMIF('Grid BD'!$B:$B,$A192,'Grid BD'!AD:AD))),"")</f>
        <v/>
      </c>
      <c r="S192" s="6"/>
      <c r="T192" s="232"/>
      <c r="U192" s="233" t="str">
        <f t="shared" si="13"/>
        <v/>
      </c>
      <c r="V192" s="233"/>
      <c r="W192" s="234" t="str">
        <f t="shared" si="15"/>
        <v/>
      </c>
      <c r="X192" s="227" t="str">
        <f>IFERROR(_xlfn.XLOOKUP($A192,'Raw Data'!$A:$A,'Raw Data'!$BA:$BA),"")</f>
        <v/>
      </c>
      <c r="Y192" s="227" t="str">
        <f>IFERROR(_xlfn.XLOOKUP($A192,'Raw Data'!$A:$A,'Raw Data'!BJ:BJ),"")</f>
        <v/>
      </c>
      <c r="Z192" s="227" t="str">
        <f>IFERROR(_xlfn.XLOOKUP($A192,'Raw Data'!$A:$A,'Raw Data'!BK:BK),"")</f>
        <v/>
      </c>
      <c r="AA192" s="227" t="str">
        <f>IFERROR(_xlfn.XLOOKUP($A192,'Raw Data'!$A:$A,'Raw Data'!BL:BL),"")</f>
        <v/>
      </c>
      <c r="AB192" s="227" t="str">
        <f>IFERROR(_xlfn.XLOOKUP($A192,'Raw Data'!$A:$A,'Raw Data'!$H:$H),"")</f>
        <v/>
      </c>
      <c r="AC192" s="145">
        <f>IFERROR(_xlfn.XLOOKUP($D192,'Modelling New'!$D:$D,'Modelling New'!$P:$P),"")</f>
        <v>6.0354838709677416</v>
      </c>
      <c r="AD192" s="227">
        <f>IFERROR(_xlfn.XLOOKUP($D192,'Modelling New'!$D:$D,'Modelling New'!$T:$T)*1000,"")</f>
        <v>108757.04807292875</v>
      </c>
      <c r="AE192" s="234">
        <f>IFERROR(_xlfn.XLOOKUP($D192,'Modelling New'!$D:$D,'Modelling New'!$O:$O),"")</f>
        <v>0.74145302903300359</v>
      </c>
      <c r="AF192" s="234">
        <f>IFERROR(_xlfn.XLOOKUP($D192,'Modelling New'!$D:$D,'Modelling New'!$W:$W),"")</f>
        <v>0.18645949157536959</v>
      </c>
      <c r="AG192" s="234">
        <f>IFERROR(_xlfn.XLOOKUP($D192,'Modelling New'!$D:$D,'Modelling New'!AE:AE),"")</f>
        <v>0.995</v>
      </c>
      <c r="AH192" s="234">
        <v>0.99750000000000005</v>
      </c>
      <c r="AI192" s="6"/>
      <c r="AJ192" s="6"/>
      <c r="AK192" s="6"/>
      <c r="AL192" s="6"/>
      <c r="AM192" s="6"/>
      <c r="AN192" s="231"/>
      <c r="AO192" s="234"/>
      <c r="AP192" s="234"/>
      <c r="AQ192" s="234"/>
      <c r="AR192" s="227">
        <f>IFERROR(_xlfn.XLOOKUP($D192,'Modelling New'!$D:$D,'Modelling New'!$N:$N),"")</f>
        <v>24.303100000000001</v>
      </c>
      <c r="AS192" s="227"/>
    </row>
    <row r="193" spans="1:45" x14ac:dyDescent="0.35">
      <c r="A193" s="226">
        <f t="shared" si="14"/>
        <v>45936</v>
      </c>
      <c r="B193" s="227">
        <f>YEAR(Daily_KPI[[#This Row],[Date]])+IF(MONTH(Daily_KPI[[#This Row],[Date]])&gt;=4,1,0)</f>
        <v>2026</v>
      </c>
      <c r="C193" s="6">
        <f>YEAR(Daily_KPI[[#This Row],[Date]])</f>
        <v>2025</v>
      </c>
      <c r="D193" s="228">
        <f>Daily_KPI[[#This Row],[Date]]-DAY(Daily_KPI[[#This Row],[Date]])+1</f>
        <v>45931</v>
      </c>
      <c r="E193" s="6">
        <f t="shared" si="16"/>
        <v>31</v>
      </c>
      <c r="F193" s="229" t="str">
        <f>IFERROR(_xlfn.XLOOKUP($A193,'Raw Data'!$A:$A,'Raw Data'!$BR:$BR),"")</f>
        <v/>
      </c>
      <c r="G193" s="230" t="str">
        <f>IFERROR(_xlfn.XLOOKUP($A193,'Raw Data'!$A:$A,'Raw Data'!$AO:$AO),"")</f>
        <v/>
      </c>
      <c r="H193" s="230"/>
      <c r="I193" s="230" t="str">
        <f>IFERROR(_xlfn.XLOOKUP($A193,'Raw Data'!$A:$A,'Raw Data'!$AR:$AR),"")</f>
        <v/>
      </c>
      <c r="J193" s="230"/>
      <c r="K193" s="230" t="str">
        <f>IFERROR(_xlfn.XLOOKUP($A193,'Raw Data'!$A:$A,'Raw Data'!$AV:$AV),"")</f>
        <v/>
      </c>
      <c r="L193" s="230" t="str">
        <f>IFERROR(_xlfn.XLOOKUP($A193,'Raw Data'!$A:$A,'Raw Data'!$AW:$AW),"")</f>
        <v/>
      </c>
      <c r="M193" s="230" t="str">
        <f>IFERROR(_xlfn.XLOOKUP($A193,'Raw Data'!$A:$A,'Raw Data'!$AX:$AX),"")</f>
        <v/>
      </c>
      <c r="N193" s="230" t="str">
        <f>IFERROR(_xlfn.XLOOKUP($A193,'Raw Data'!$A:$A,'Raw Data'!$AY:$AY),"")</f>
        <v/>
      </c>
      <c r="O193" s="231" t="str">
        <f>IFERROR(1-(SUMIF('Plant BD'!$B:$B,A193,'Plant BD'!$AE:$AE)/(AA193+SUMIF('Plant BD'!$B:$B,A193,'Plant BD'!$AE:$AE))),"")</f>
        <v/>
      </c>
      <c r="P193" s="231"/>
      <c r="Q193" s="232"/>
      <c r="R193" s="231" t="str">
        <f>IFERROR(1-(SUMIF('Grid BD'!$B:$B,$A193,'Grid BD'!$AD:$AD)/($AA193+SUMIF('Grid BD'!$B:$B,$A193,'Grid BD'!AD:AD))),"")</f>
        <v/>
      </c>
      <c r="S193" s="6"/>
      <c r="T193" s="232"/>
      <c r="U193" s="233" t="str">
        <f t="shared" si="13"/>
        <v/>
      </c>
      <c r="V193" s="233"/>
      <c r="W193" s="234" t="str">
        <f t="shared" si="15"/>
        <v/>
      </c>
      <c r="X193" s="227" t="str">
        <f>IFERROR(_xlfn.XLOOKUP($A193,'Raw Data'!$A:$A,'Raw Data'!$BA:$BA),"")</f>
        <v/>
      </c>
      <c r="Y193" s="227" t="str">
        <f>IFERROR(_xlfn.XLOOKUP($A193,'Raw Data'!$A:$A,'Raw Data'!BJ:BJ),"")</f>
        <v/>
      </c>
      <c r="Z193" s="227" t="str">
        <f>IFERROR(_xlfn.XLOOKUP($A193,'Raw Data'!$A:$A,'Raw Data'!BK:BK),"")</f>
        <v/>
      </c>
      <c r="AA193" s="227" t="str">
        <f>IFERROR(_xlfn.XLOOKUP($A193,'Raw Data'!$A:$A,'Raw Data'!BL:BL),"")</f>
        <v/>
      </c>
      <c r="AB193" s="227" t="str">
        <f>IFERROR(_xlfn.XLOOKUP($A193,'Raw Data'!$A:$A,'Raw Data'!$H:$H),"")</f>
        <v/>
      </c>
      <c r="AC193" s="145">
        <f>IFERROR(_xlfn.XLOOKUP($D193,'Modelling New'!$D:$D,'Modelling New'!$P:$P),"")</f>
        <v>6.0354838709677416</v>
      </c>
      <c r="AD193" s="227">
        <f>IFERROR(_xlfn.XLOOKUP($D193,'Modelling New'!$D:$D,'Modelling New'!$T:$T)*1000,"")</f>
        <v>108757.04807292875</v>
      </c>
      <c r="AE193" s="234">
        <f>IFERROR(_xlfn.XLOOKUP($D193,'Modelling New'!$D:$D,'Modelling New'!$O:$O),"")</f>
        <v>0.74145302903300359</v>
      </c>
      <c r="AF193" s="234">
        <f>IFERROR(_xlfn.XLOOKUP($D193,'Modelling New'!$D:$D,'Modelling New'!$W:$W),"")</f>
        <v>0.18645949157536959</v>
      </c>
      <c r="AG193" s="234">
        <f>IFERROR(_xlfn.XLOOKUP($D193,'Modelling New'!$D:$D,'Modelling New'!AE:AE),"")</f>
        <v>0.995</v>
      </c>
      <c r="AH193" s="234">
        <v>0.99750000000000005</v>
      </c>
      <c r="AI193" s="6"/>
      <c r="AJ193" s="6"/>
      <c r="AK193" s="6"/>
      <c r="AL193" s="6"/>
      <c r="AM193" s="6"/>
      <c r="AN193" s="231"/>
      <c r="AO193" s="234"/>
      <c r="AP193" s="234"/>
      <c r="AQ193" s="234"/>
      <c r="AR193" s="227">
        <f>IFERROR(_xlfn.XLOOKUP($D193,'Modelling New'!$D:$D,'Modelling New'!$N:$N),"")</f>
        <v>24.303100000000001</v>
      </c>
      <c r="AS193" s="227"/>
    </row>
    <row r="194" spans="1:45" x14ac:dyDescent="0.35">
      <c r="A194" s="226">
        <f t="shared" si="14"/>
        <v>45937</v>
      </c>
      <c r="B194" s="227">
        <f>YEAR(Daily_KPI[[#This Row],[Date]])+IF(MONTH(Daily_KPI[[#This Row],[Date]])&gt;=4,1,0)</f>
        <v>2026</v>
      </c>
      <c r="C194" s="6">
        <f>YEAR(Daily_KPI[[#This Row],[Date]])</f>
        <v>2025</v>
      </c>
      <c r="D194" s="228">
        <f>Daily_KPI[[#This Row],[Date]]-DAY(Daily_KPI[[#This Row],[Date]])+1</f>
        <v>45931</v>
      </c>
      <c r="E194" s="6">
        <f t="shared" si="16"/>
        <v>31</v>
      </c>
      <c r="F194" s="229" t="str">
        <f>IFERROR(_xlfn.XLOOKUP($A194,'Raw Data'!$A:$A,'Raw Data'!$BR:$BR),"")</f>
        <v/>
      </c>
      <c r="G194" s="230" t="str">
        <f>IFERROR(_xlfn.XLOOKUP($A194,'Raw Data'!$A:$A,'Raw Data'!$AO:$AO),"")</f>
        <v/>
      </c>
      <c r="H194" s="230"/>
      <c r="I194" s="230" t="str">
        <f>IFERROR(_xlfn.XLOOKUP($A194,'Raw Data'!$A:$A,'Raw Data'!$AR:$AR),"")</f>
        <v/>
      </c>
      <c r="J194" s="230"/>
      <c r="K194" s="230" t="str">
        <f>IFERROR(_xlfn.XLOOKUP($A194,'Raw Data'!$A:$A,'Raw Data'!$AV:$AV),"")</f>
        <v/>
      </c>
      <c r="L194" s="230" t="str">
        <f>IFERROR(_xlfn.XLOOKUP($A194,'Raw Data'!$A:$A,'Raw Data'!$AW:$AW),"")</f>
        <v/>
      </c>
      <c r="M194" s="230" t="str">
        <f>IFERROR(_xlfn.XLOOKUP($A194,'Raw Data'!$A:$A,'Raw Data'!$AX:$AX),"")</f>
        <v/>
      </c>
      <c r="N194" s="230" t="str">
        <f>IFERROR(_xlfn.XLOOKUP($A194,'Raw Data'!$A:$A,'Raw Data'!$AY:$AY),"")</f>
        <v/>
      </c>
      <c r="O194" s="231" t="str">
        <f>IFERROR(1-(SUMIF('Plant BD'!$B:$B,A194,'Plant BD'!$AE:$AE)/(AA194+SUMIF('Plant BD'!$B:$B,A194,'Plant BD'!$AE:$AE))),"")</f>
        <v/>
      </c>
      <c r="P194" s="231"/>
      <c r="Q194" s="232"/>
      <c r="R194" s="231" t="str">
        <f>IFERROR(1-(SUMIF('Grid BD'!$B:$B,$A194,'Grid BD'!$AD:$AD)/($AA194+SUMIF('Grid BD'!$B:$B,$A194,'Grid BD'!AD:AD))),"")</f>
        <v/>
      </c>
      <c r="S194" s="6"/>
      <c r="T194" s="232"/>
      <c r="U194" s="233" t="str">
        <f t="shared" si="13"/>
        <v/>
      </c>
      <c r="V194" s="233"/>
      <c r="W194" s="234" t="str">
        <f t="shared" si="15"/>
        <v/>
      </c>
      <c r="X194" s="227" t="str">
        <f>IFERROR(_xlfn.XLOOKUP($A194,'Raw Data'!$A:$A,'Raw Data'!$BA:$BA),"")</f>
        <v/>
      </c>
      <c r="Y194" s="227" t="str">
        <f>IFERROR(_xlfn.XLOOKUP($A194,'Raw Data'!$A:$A,'Raw Data'!BJ:BJ),"")</f>
        <v/>
      </c>
      <c r="Z194" s="227" t="str">
        <f>IFERROR(_xlfn.XLOOKUP($A194,'Raw Data'!$A:$A,'Raw Data'!BK:BK),"")</f>
        <v/>
      </c>
      <c r="AA194" s="227" t="str">
        <f>IFERROR(_xlfn.XLOOKUP($A194,'Raw Data'!$A:$A,'Raw Data'!BL:BL),"")</f>
        <v/>
      </c>
      <c r="AB194" s="227" t="str">
        <f>IFERROR(_xlfn.XLOOKUP($A194,'Raw Data'!$A:$A,'Raw Data'!$H:$H),"")</f>
        <v/>
      </c>
      <c r="AC194" s="145">
        <f>IFERROR(_xlfn.XLOOKUP($D194,'Modelling New'!$D:$D,'Modelling New'!$P:$P),"")</f>
        <v>6.0354838709677416</v>
      </c>
      <c r="AD194" s="227">
        <f>IFERROR(_xlfn.XLOOKUP($D194,'Modelling New'!$D:$D,'Modelling New'!$T:$T)*1000,"")</f>
        <v>108757.04807292875</v>
      </c>
      <c r="AE194" s="234">
        <f>IFERROR(_xlfn.XLOOKUP($D194,'Modelling New'!$D:$D,'Modelling New'!$O:$O),"")</f>
        <v>0.74145302903300359</v>
      </c>
      <c r="AF194" s="234">
        <f>IFERROR(_xlfn.XLOOKUP($D194,'Modelling New'!$D:$D,'Modelling New'!$W:$W),"")</f>
        <v>0.18645949157536959</v>
      </c>
      <c r="AG194" s="234">
        <f>IFERROR(_xlfn.XLOOKUP($D194,'Modelling New'!$D:$D,'Modelling New'!AE:AE),"")</f>
        <v>0.995</v>
      </c>
      <c r="AH194" s="234">
        <v>0.99750000000000005</v>
      </c>
      <c r="AI194" s="6"/>
      <c r="AJ194" s="6"/>
      <c r="AK194" s="6"/>
      <c r="AL194" s="6"/>
      <c r="AM194" s="6"/>
      <c r="AN194" s="231"/>
      <c r="AO194" s="234"/>
      <c r="AP194" s="234"/>
      <c r="AQ194" s="234"/>
      <c r="AR194" s="227">
        <f>IFERROR(_xlfn.XLOOKUP($D194,'Modelling New'!$D:$D,'Modelling New'!$N:$N),"")</f>
        <v>24.303100000000001</v>
      </c>
      <c r="AS194" s="227"/>
    </row>
    <row r="195" spans="1:45" x14ac:dyDescent="0.35">
      <c r="A195" s="226">
        <f t="shared" si="14"/>
        <v>45938</v>
      </c>
      <c r="B195" s="227">
        <f>YEAR(Daily_KPI[[#This Row],[Date]])+IF(MONTH(Daily_KPI[[#This Row],[Date]])&gt;=4,1,0)</f>
        <v>2026</v>
      </c>
      <c r="C195" s="6">
        <f>YEAR(Daily_KPI[[#This Row],[Date]])</f>
        <v>2025</v>
      </c>
      <c r="D195" s="228">
        <f>Daily_KPI[[#This Row],[Date]]-DAY(Daily_KPI[[#This Row],[Date]])+1</f>
        <v>45931</v>
      </c>
      <c r="E195" s="6">
        <f t="shared" si="16"/>
        <v>31</v>
      </c>
      <c r="F195" s="229" t="str">
        <f>IFERROR(_xlfn.XLOOKUP($A195,'Raw Data'!$A:$A,'Raw Data'!$BR:$BR),"")</f>
        <v/>
      </c>
      <c r="G195" s="230" t="str">
        <f>IFERROR(_xlfn.XLOOKUP($A195,'Raw Data'!$A:$A,'Raw Data'!$AO:$AO),"")</f>
        <v/>
      </c>
      <c r="H195" s="230"/>
      <c r="I195" s="230" t="str">
        <f>IFERROR(_xlfn.XLOOKUP($A195,'Raw Data'!$A:$A,'Raw Data'!$AR:$AR),"")</f>
        <v/>
      </c>
      <c r="J195" s="230"/>
      <c r="K195" s="230" t="str">
        <f>IFERROR(_xlfn.XLOOKUP($A195,'Raw Data'!$A:$A,'Raw Data'!$AV:$AV),"")</f>
        <v/>
      </c>
      <c r="L195" s="230" t="str">
        <f>IFERROR(_xlfn.XLOOKUP($A195,'Raw Data'!$A:$A,'Raw Data'!$AW:$AW),"")</f>
        <v/>
      </c>
      <c r="M195" s="230" t="str">
        <f>IFERROR(_xlfn.XLOOKUP($A195,'Raw Data'!$A:$A,'Raw Data'!$AX:$AX),"")</f>
        <v/>
      </c>
      <c r="N195" s="230" t="str">
        <f>IFERROR(_xlfn.XLOOKUP($A195,'Raw Data'!$A:$A,'Raw Data'!$AY:$AY),"")</f>
        <v/>
      </c>
      <c r="O195" s="231" t="str">
        <f>IFERROR(1-(SUMIF('Plant BD'!$B:$B,A195,'Plant BD'!$AE:$AE)/(AA195+SUMIF('Plant BD'!$B:$B,A195,'Plant BD'!$AE:$AE))),"")</f>
        <v/>
      </c>
      <c r="P195" s="231"/>
      <c r="Q195" s="232"/>
      <c r="R195" s="231" t="str">
        <f>IFERROR(1-(SUMIF('Grid BD'!$B:$B,$A195,'Grid BD'!$AD:$AD)/($AA195+SUMIF('Grid BD'!$B:$B,$A195,'Grid BD'!AD:AD))),"")</f>
        <v/>
      </c>
      <c r="S195" s="6"/>
      <c r="T195" s="232"/>
      <c r="U195" s="233" t="str">
        <f t="shared" si="13"/>
        <v/>
      </c>
      <c r="V195" s="233"/>
      <c r="W195" s="234" t="str">
        <f t="shared" si="15"/>
        <v/>
      </c>
      <c r="X195" s="227" t="str">
        <f>IFERROR(_xlfn.XLOOKUP($A195,'Raw Data'!$A:$A,'Raw Data'!$BA:$BA),"")</f>
        <v/>
      </c>
      <c r="Y195" s="227" t="str">
        <f>IFERROR(_xlfn.XLOOKUP($A195,'Raw Data'!$A:$A,'Raw Data'!BJ:BJ),"")</f>
        <v/>
      </c>
      <c r="Z195" s="227" t="str">
        <f>IFERROR(_xlfn.XLOOKUP($A195,'Raw Data'!$A:$A,'Raw Data'!BK:BK),"")</f>
        <v/>
      </c>
      <c r="AA195" s="227" t="str">
        <f>IFERROR(_xlfn.XLOOKUP($A195,'Raw Data'!$A:$A,'Raw Data'!BL:BL),"")</f>
        <v/>
      </c>
      <c r="AB195" s="227" t="str">
        <f>IFERROR(_xlfn.XLOOKUP($A195,'Raw Data'!$A:$A,'Raw Data'!$H:$H),"")</f>
        <v/>
      </c>
      <c r="AC195" s="145">
        <f>IFERROR(_xlfn.XLOOKUP($D195,'Modelling New'!$D:$D,'Modelling New'!$P:$P),"")</f>
        <v>6.0354838709677416</v>
      </c>
      <c r="AD195" s="227">
        <f>IFERROR(_xlfn.XLOOKUP($D195,'Modelling New'!$D:$D,'Modelling New'!$T:$T)*1000,"")</f>
        <v>108757.04807292875</v>
      </c>
      <c r="AE195" s="234">
        <f>IFERROR(_xlfn.XLOOKUP($D195,'Modelling New'!$D:$D,'Modelling New'!$O:$O),"")</f>
        <v>0.74145302903300359</v>
      </c>
      <c r="AF195" s="234">
        <f>IFERROR(_xlfn.XLOOKUP($D195,'Modelling New'!$D:$D,'Modelling New'!$W:$W),"")</f>
        <v>0.18645949157536959</v>
      </c>
      <c r="AG195" s="234">
        <f>IFERROR(_xlfn.XLOOKUP($D195,'Modelling New'!$D:$D,'Modelling New'!AE:AE),"")</f>
        <v>0.995</v>
      </c>
      <c r="AH195" s="234">
        <v>0.99750000000000005</v>
      </c>
      <c r="AI195" s="6"/>
      <c r="AJ195" s="6"/>
      <c r="AK195" s="6"/>
      <c r="AL195" s="6"/>
      <c r="AM195" s="6"/>
      <c r="AN195" s="231"/>
      <c r="AO195" s="234"/>
      <c r="AP195" s="234"/>
      <c r="AQ195" s="234"/>
      <c r="AR195" s="227">
        <f>IFERROR(_xlfn.XLOOKUP($D195,'Modelling New'!$D:$D,'Modelling New'!$N:$N),"")</f>
        <v>24.303100000000001</v>
      </c>
      <c r="AS195" s="227"/>
    </row>
    <row r="196" spans="1:45" x14ac:dyDescent="0.35">
      <c r="A196" s="226">
        <f t="shared" si="14"/>
        <v>45939</v>
      </c>
      <c r="B196" s="227">
        <f>YEAR(Daily_KPI[[#This Row],[Date]])+IF(MONTH(Daily_KPI[[#This Row],[Date]])&gt;=4,1,0)</f>
        <v>2026</v>
      </c>
      <c r="C196" s="6">
        <f>YEAR(Daily_KPI[[#This Row],[Date]])</f>
        <v>2025</v>
      </c>
      <c r="D196" s="228">
        <f>Daily_KPI[[#This Row],[Date]]-DAY(Daily_KPI[[#This Row],[Date]])+1</f>
        <v>45931</v>
      </c>
      <c r="E196" s="6">
        <f t="shared" si="16"/>
        <v>31</v>
      </c>
      <c r="F196" s="229" t="str">
        <f>IFERROR(_xlfn.XLOOKUP($A196,'Raw Data'!$A:$A,'Raw Data'!$BR:$BR),"")</f>
        <v/>
      </c>
      <c r="G196" s="230" t="str">
        <f>IFERROR(_xlfn.XLOOKUP($A196,'Raw Data'!$A:$A,'Raw Data'!$AO:$AO),"")</f>
        <v/>
      </c>
      <c r="H196" s="230"/>
      <c r="I196" s="230" t="str">
        <f>IFERROR(_xlfn.XLOOKUP($A196,'Raw Data'!$A:$A,'Raw Data'!$AR:$AR),"")</f>
        <v/>
      </c>
      <c r="J196" s="230"/>
      <c r="K196" s="230" t="str">
        <f>IFERROR(_xlfn.XLOOKUP($A196,'Raw Data'!$A:$A,'Raw Data'!$AV:$AV),"")</f>
        <v/>
      </c>
      <c r="L196" s="230" t="str">
        <f>IFERROR(_xlfn.XLOOKUP($A196,'Raw Data'!$A:$A,'Raw Data'!$AW:$AW),"")</f>
        <v/>
      </c>
      <c r="M196" s="230" t="str">
        <f>IFERROR(_xlfn.XLOOKUP($A196,'Raw Data'!$A:$A,'Raw Data'!$AX:$AX),"")</f>
        <v/>
      </c>
      <c r="N196" s="230" t="str">
        <f>IFERROR(_xlfn.XLOOKUP($A196,'Raw Data'!$A:$A,'Raw Data'!$AY:$AY),"")</f>
        <v/>
      </c>
      <c r="O196" s="231" t="str">
        <f>IFERROR(1-(SUMIF('Plant BD'!$B:$B,A196,'Plant BD'!$AE:$AE)/(AA196+SUMIF('Plant BD'!$B:$B,A196,'Plant BD'!$AE:$AE))),"")</f>
        <v/>
      </c>
      <c r="P196" s="231"/>
      <c r="Q196" s="232"/>
      <c r="R196" s="231" t="str">
        <f>IFERROR(1-(SUMIF('Grid BD'!$B:$B,$A196,'Grid BD'!$AD:$AD)/($AA196+SUMIF('Grid BD'!$B:$B,$A196,'Grid BD'!AD:AD))),"")</f>
        <v/>
      </c>
      <c r="S196" s="6"/>
      <c r="T196" s="232"/>
      <c r="U196" s="233" t="str">
        <f t="shared" si="13"/>
        <v/>
      </c>
      <c r="V196" s="233"/>
      <c r="W196" s="234" t="str">
        <f t="shared" si="15"/>
        <v/>
      </c>
      <c r="X196" s="227" t="str">
        <f>IFERROR(_xlfn.XLOOKUP($A196,'Raw Data'!$A:$A,'Raw Data'!$BA:$BA),"")</f>
        <v/>
      </c>
      <c r="Y196" s="227" t="str">
        <f>IFERROR(_xlfn.XLOOKUP($A196,'Raw Data'!$A:$A,'Raw Data'!BJ:BJ),"")</f>
        <v/>
      </c>
      <c r="Z196" s="227" t="str">
        <f>IFERROR(_xlfn.XLOOKUP($A196,'Raw Data'!$A:$A,'Raw Data'!BK:BK),"")</f>
        <v/>
      </c>
      <c r="AA196" s="227" t="str">
        <f>IFERROR(_xlfn.XLOOKUP($A196,'Raw Data'!$A:$A,'Raw Data'!BL:BL),"")</f>
        <v/>
      </c>
      <c r="AB196" s="227" t="str">
        <f>IFERROR(_xlfn.XLOOKUP($A196,'Raw Data'!$A:$A,'Raw Data'!$H:$H),"")</f>
        <v/>
      </c>
      <c r="AC196" s="145">
        <f>IFERROR(_xlfn.XLOOKUP($D196,'Modelling New'!$D:$D,'Modelling New'!$P:$P),"")</f>
        <v>6.0354838709677416</v>
      </c>
      <c r="AD196" s="227">
        <f>IFERROR(_xlfn.XLOOKUP($D196,'Modelling New'!$D:$D,'Modelling New'!$T:$T)*1000,"")</f>
        <v>108757.04807292875</v>
      </c>
      <c r="AE196" s="234">
        <f>IFERROR(_xlfn.XLOOKUP($D196,'Modelling New'!$D:$D,'Modelling New'!$O:$O),"")</f>
        <v>0.74145302903300359</v>
      </c>
      <c r="AF196" s="234">
        <f>IFERROR(_xlfn.XLOOKUP($D196,'Modelling New'!$D:$D,'Modelling New'!$W:$W),"")</f>
        <v>0.18645949157536959</v>
      </c>
      <c r="AG196" s="234">
        <f>IFERROR(_xlfn.XLOOKUP($D196,'Modelling New'!$D:$D,'Modelling New'!AE:AE),"")</f>
        <v>0.995</v>
      </c>
      <c r="AH196" s="234">
        <v>0.99750000000000005</v>
      </c>
      <c r="AI196" s="6"/>
      <c r="AJ196" s="6"/>
      <c r="AK196" s="6"/>
      <c r="AL196" s="6"/>
      <c r="AM196" s="6"/>
      <c r="AN196" s="231"/>
      <c r="AO196" s="234"/>
      <c r="AP196" s="234"/>
      <c r="AQ196" s="234"/>
      <c r="AR196" s="227">
        <f>IFERROR(_xlfn.XLOOKUP($D196,'Modelling New'!$D:$D,'Modelling New'!$N:$N),"")</f>
        <v>24.303100000000001</v>
      </c>
      <c r="AS196" s="227"/>
    </row>
    <row r="197" spans="1:45" x14ac:dyDescent="0.35">
      <c r="A197" s="226">
        <f t="shared" si="14"/>
        <v>45940</v>
      </c>
      <c r="B197" s="227">
        <f>YEAR(Daily_KPI[[#This Row],[Date]])+IF(MONTH(Daily_KPI[[#This Row],[Date]])&gt;=4,1,0)</f>
        <v>2026</v>
      </c>
      <c r="C197" s="6">
        <f>YEAR(Daily_KPI[[#This Row],[Date]])</f>
        <v>2025</v>
      </c>
      <c r="D197" s="228">
        <f>Daily_KPI[[#This Row],[Date]]-DAY(Daily_KPI[[#This Row],[Date]])+1</f>
        <v>45931</v>
      </c>
      <c r="E197" s="6">
        <f t="shared" si="16"/>
        <v>31</v>
      </c>
      <c r="F197" s="229" t="str">
        <f>IFERROR(_xlfn.XLOOKUP($A197,'Raw Data'!$A:$A,'Raw Data'!$BR:$BR),"")</f>
        <v/>
      </c>
      <c r="G197" s="230" t="str">
        <f>IFERROR(_xlfn.XLOOKUP($A197,'Raw Data'!$A:$A,'Raw Data'!$AO:$AO),"")</f>
        <v/>
      </c>
      <c r="H197" s="230"/>
      <c r="I197" s="230" t="str">
        <f>IFERROR(_xlfn.XLOOKUP($A197,'Raw Data'!$A:$A,'Raw Data'!$AR:$AR),"")</f>
        <v/>
      </c>
      <c r="J197" s="230"/>
      <c r="K197" s="230" t="str">
        <f>IFERROR(_xlfn.XLOOKUP($A197,'Raw Data'!$A:$A,'Raw Data'!$AV:$AV),"")</f>
        <v/>
      </c>
      <c r="L197" s="230" t="str">
        <f>IFERROR(_xlfn.XLOOKUP($A197,'Raw Data'!$A:$A,'Raw Data'!$AW:$AW),"")</f>
        <v/>
      </c>
      <c r="M197" s="230" t="str">
        <f>IFERROR(_xlfn.XLOOKUP($A197,'Raw Data'!$A:$A,'Raw Data'!$AX:$AX),"")</f>
        <v/>
      </c>
      <c r="N197" s="230" t="str">
        <f>IFERROR(_xlfn.XLOOKUP($A197,'Raw Data'!$A:$A,'Raw Data'!$AY:$AY),"")</f>
        <v/>
      </c>
      <c r="O197" s="231" t="str">
        <f>IFERROR(1-(SUMIF('Plant BD'!$B:$B,A197,'Plant BD'!$AE:$AE)/(AA197+SUMIF('Plant BD'!$B:$B,A197,'Plant BD'!$AE:$AE))),"")</f>
        <v/>
      </c>
      <c r="P197" s="231"/>
      <c r="Q197" s="232"/>
      <c r="R197" s="231" t="str">
        <f>IFERROR(1-(SUMIF('Grid BD'!$B:$B,$A197,'Grid BD'!$AD:$AD)/($AA197+SUMIF('Grid BD'!$B:$B,$A197,'Grid BD'!AD:AD))),"")</f>
        <v/>
      </c>
      <c r="S197" s="6"/>
      <c r="T197" s="232"/>
      <c r="U197" s="233" t="str">
        <f t="shared" si="13"/>
        <v/>
      </c>
      <c r="V197" s="233"/>
      <c r="W197" s="234" t="str">
        <f t="shared" si="15"/>
        <v/>
      </c>
      <c r="X197" s="227" t="str">
        <f>IFERROR(_xlfn.XLOOKUP($A197,'Raw Data'!$A:$A,'Raw Data'!$BA:$BA),"")</f>
        <v/>
      </c>
      <c r="Y197" s="227" t="str">
        <f>IFERROR(_xlfn.XLOOKUP($A197,'Raw Data'!$A:$A,'Raw Data'!BJ:BJ),"")</f>
        <v/>
      </c>
      <c r="Z197" s="227" t="str">
        <f>IFERROR(_xlfn.XLOOKUP($A197,'Raw Data'!$A:$A,'Raw Data'!BK:BK),"")</f>
        <v/>
      </c>
      <c r="AA197" s="227" t="str">
        <f>IFERROR(_xlfn.XLOOKUP($A197,'Raw Data'!$A:$A,'Raw Data'!BL:BL),"")</f>
        <v/>
      </c>
      <c r="AB197" s="227" t="str">
        <f>IFERROR(_xlfn.XLOOKUP($A197,'Raw Data'!$A:$A,'Raw Data'!$H:$H),"")</f>
        <v/>
      </c>
      <c r="AC197" s="145">
        <f>IFERROR(_xlfn.XLOOKUP($D197,'Modelling New'!$D:$D,'Modelling New'!$P:$P),"")</f>
        <v>6.0354838709677416</v>
      </c>
      <c r="AD197" s="227">
        <f>IFERROR(_xlfn.XLOOKUP($D197,'Modelling New'!$D:$D,'Modelling New'!$T:$T)*1000,"")</f>
        <v>108757.04807292875</v>
      </c>
      <c r="AE197" s="234">
        <f>IFERROR(_xlfn.XLOOKUP($D197,'Modelling New'!$D:$D,'Modelling New'!$O:$O),"")</f>
        <v>0.74145302903300359</v>
      </c>
      <c r="AF197" s="234">
        <f>IFERROR(_xlfn.XLOOKUP($D197,'Modelling New'!$D:$D,'Modelling New'!$W:$W),"")</f>
        <v>0.18645949157536959</v>
      </c>
      <c r="AG197" s="234">
        <f>IFERROR(_xlfn.XLOOKUP($D197,'Modelling New'!$D:$D,'Modelling New'!AE:AE),"")</f>
        <v>0.995</v>
      </c>
      <c r="AH197" s="234">
        <v>0.99750000000000005</v>
      </c>
      <c r="AI197" s="6"/>
      <c r="AJ197" s="6"/>
      <c r="AK197" s="6"/>
      <c r="AL197" s="6"/>
      <c r="AM197" s="6"/>
      <c r="AN197" s="231"/>
      <c r="AO197" s="234"/>
      <c r="AP197" s="234"/>
      <c r="AQ197" s="234"/>
      <c r="AR197" s="227">
        <f>IFERROR(_xlfn.XLOOKUP($D197,'Modelling New'!$D:$D,'Modelling New'!$N:$N),"")</f>
        <v>24.303100000000001</v>
      </c>
      <c r="AS197" s="227"/>
    </row>
    <row r="198" spans="1:45" x14ac:dyDescent="0.35">
      <c r="A198" s="226">
        <f t="shared" si="14"/>
        <v>45941</v>
      </c>
      <c r="B198" s="227">
        <f>YEAR(Daily_KPI[[#This Row],[Date]])+IF(MONTH(Daily_KPI[[#This Row],[Date]])&gt;=4,1,0)</f>
        <v>2026</v>
      </c>
      <c r="C198" s="6">
        <f>YEAR(Daily_KPI[[#This Row],[Date]])</f>
        <v>2025</v>
      </c>
      <c r="D198" s="228">
        <f>Daily_KPI[[#This Row],[Date]]-DAY(Daily_KPI[[#This Row],[Date]])+1</f>
        <v>45931</v>
      </c>
      <c r="E198" s="6">
        <f t="shared" si="16"/>
        <v>31</v>
      </c>
      <c r="F198" s="229" t="str">
        <f>IFERROR(_xlfn.XLOOKUP($A198,'Raw Data'!$A:$A,'Raw Data'!$BR:$BR),"")</f>
        <v/>
      </c>
      <c r="G198" s="230" t="str">
        <f>IFERROR(_xlfn.XLOOKUP($A198,'Raw Data'!$A:$A,'Raw Data'!$AO:$AO),"")</f>
        <v/>
      </c>
      <c r="H198" s="230"/>
      <c r="I198" s="230" t="str">
        <f>IFERROR(_xlfn.XLOOKUP($A198,'Raw Data'!$A:$A,'Raw Data'!$AR:$AR),"")</f>
        <v/>
      </c>
      <c r="J198" s="230"/>
      <c r="K198" s="230" t="str">
        <f>IFERROR(_xlfn.XLOOKUP($A198,'Raw Data'!$A:$A,'Raw Data'!$AV:$AV),"")</f>
        <v/>
      </c>
      <c r="L198" s="230" t="str">
        <f>IFERROR(_xlfn.XLOOKUP($A198,'Raw Data'!$A:$A,'Raw Data'!$AW:$AW),"")</f>
        <v/>
      </c>
      <c r="M198" s="230" t="str">
        <f>IFERROR(_xlfn.XLOOKUP($A198,'Raw Data'!$A:$A,'Raw Data'!$AX:$AX),"")</f>
        <v/>
      </c>
      <c r="N198" s="230" t="str">
        <f>IFERROR(_xlfn.XLOOKUP($A198,'Raw Data'!$A:$A,'Raw Data'!$AY:$AY),"")</f>
        <v/>
      </c>
      <c r="O198" s="231" t="str">
        <f>IFERROR(1-(SUMIF('Plant BD'!$B:$B,A198,'Plant BD'!$AE:$AE)/(AA198+SUMIF('Plant BD'!$B:$B,A198,'Plant BD'!$AE:$AE))),"")</f>
        <v/>
      </c>
      <c r="P198" s="231"/>
      <c r="Q198" s="232"/>
      <c r="R198" s="231" t="str">
        <f>IFERROR(1-(SUMIF('Grid BD'!$B:$B,$A198,'Grid BD'!$AD:$AD)/($AA198+SUMIF('Grid BD'!$B:$B,$A198,'Grid BD'!AD:AD))),"")</f>
        <v/>
      </c>
      <c r="S198" s="6"/>
      <c r="T198" s="232"/>
      <c r="U198" s="233" t="str">
        <f t="shared" si="13"/>
        <v/>
      </c>
      <c r="V198" s="233"/>
      <c r="W198" s="234" t="str">
        <f t="shared" si="15"/>
        <v/>
      </c>
      <c r="X198" s="227" t="str">
        <f>IFERROR(_xlfn.XLOOKUP($A198,'Raw Data'!$A:$A,'Raw Data'!$BA:$BA),"")</f>
        <v/>
      </c>
      <c r="Y198" s="227" t="str">
        <f>IFERROR(_xlfn.XLOOKUP($A198,'Raw Data'!$A:$A,'Raw Data'!BJ:BJ),"")</f>
        <v/>
      </c>
      <c r="Z198" s="227" t="str">
        <f>IFERROR(_xlfn.XLOOKUP($A198,'Raw Data'!$A:$A,'Raw Data'!BK:BK),"")</f>
        <v/>
      </c>
      <c r="AA198" s="227" t="str">
        <f>IFERROR(_xlfn.XLOOKUP($A198,'Raw Data'!$A:$A,'Raw Data'!BL:BL),"")</f>
        <v/>
      </c>
      <c r="AB198" s="227" t="str">
        <f>IFERROR(_xlfn.XLOOKUP($A198,'Raw Data'!$A:$A,'Raw Data'!$H:$H),"")</f>
        <v/>
      </c>
      <c r="AC198" s="145">
        <f>IFERROR(_xlfn.XLOOKUP($D198,'Modelling New'!$D:$D,'Modelling New'!$P:$P),"")</f>
        <v>6.0354838709677416</v>
      </c>
      <c r="AD198" s="227">
        <f>IFERROR(_xlfn.XLOOKUP($D198,'Modelling New'!$D:$D,'Modelling New'!$T:$T)*1000,"")</f>
        <v>108757.04807292875</v>
      </c>
      <c r="AE198" s="234">
        <f>IFERROR(_xlfn.XLOOKUP($D198,'Modelling New'!$D:$D,'Modelling New'!$O:$O),"")</f>
        <v>0.74145302903300359</v>
      </c>
      <c r="AF198" s="234">
        <f>IFERROR(_xlfn.XLOOKUP($D198,'Modelling New'!$D:$D,'Modelling New'!$W:$W),"")</f>
        <v>0.18645949157536959</v>
      </c>
      <c r="AG198" s="234">
        <f>IFERROR(_xlfn.XLOOKUP($D198,'Modelling New'!$D:$D,'Modelling New'!AE:AE),"")</f>
        <v>0.995</v>
      </c>
      <c r="AH198" s="234">
        <v>0.99750000000000005</v>
      </c>
      <c r="AI198" s="6"/>
      <c r="AJ198" s="6"/>
      <c r="AK198" s="6"/>
      <c r="AL198" s="6"/>
      <c r="AM198" s="6"/>
      <c r="AN198" s="231"/>
      <c r="AO198" s="234"/>
      <c r="AP198" s="234"/>
      <c r="AQ198" s="234"/>
      <c r="AR198" s="227">
        <f>IFERROR(_xlfn.XLOOKUP($D198,'Modelling New'!$D:$D,'Modelling New'!$N:$N),"")</f>
        <v>24.303100000000001</v>
      </c>
      <c r="AS198" s="227"/>
    </row>
    <row r="199" spans="1:45" x14ac:dyDescent="0.35">
      <c r="A199" s="226">
        <f t="shared" si="14"/>
        <v>45942</v>
      </c>
      <c r="B199" s="227">
        <f>YEAR(Daily_KPI[[#This Row],[Date]])+IF(MONTH(Daily_KPI[[#This Row],[Date]])&gt;=4,1,0)</f>
        <v>2026</v>
      </c>
      <c r="C199" s="6">
        <f>YEAR(Daily_KPI[[#This Row],[Date]])</f>
        <v>2025</v>
      </c>
      <c r="D199" s="228">
        <f>Daily_KPI[[#This Row],[Date]]-DAY(Daily_KPI[[#This Row],[Date]])+1</f>
        <v>45931</v>
      </c>
      <c r="E199" s="6">
        <f t="shared" si="16"/>
        <v>31</v>
      </c>
      <c r="F199" s="229" t="str">
        <f>IFERROR(_xlfn.XLOOKUP($A199,'Raw Data'!$A:$A,'Raw Data'!$BR:$BR),"")</f>
        <v/>
      </c>
      <c r="G199" s="230" t="str">
        <f>IFERROR(_xlfn.XLOOKUP($A199,'Raw Data'!$A:$A,'Raw Data'!$AO:$AO),"")</f>
        <v/>
      </c>
      <c r="H199" s="230"/>
      <c r="I199" s="230" t="str">
        <f>IFERROR(_xlfn.XLOOKUP($A199,'Raw Data'!$A:$A,'Raw Data'!$AR:$AR),"")</f>
        <v/>
      </c>
      <c r="J199" s="230"/>
      <c r="K199" s="230" t="str">
        <f>IFERROR(_xlfn.XLOOKUP($A199,'Raw Data'!$A:$A,'Raw Data'!$AV:$AV),"")</f>
        <v/>
      </c>
      <c r="L199" s="230" t="str">
        <f>IFERROR(_xlfn.XLOOKUP($A199,'Raw Data'!$A:$A,'Raw Data'!$AW:$AW),"")</f>
        <v/>
      </c>
      <c r="M199" s="230" t="str">
        <f>IFERROR(_xlfn.XLOOKUP($A199,'Raw Data'!$A:$A,'Raw Data'!$AX:$AX),"")</f>
        <v/>
      </c>
      <c r="N199" s="230" t="str">
        <f>IFERROR(_xlfn.XLOOKUP($A199,'Raw Data'!$A:$A,'Raw Data'!$AY:$AY),"")</f>
        <v/>
      </c>
      <c r="O199" s="231" t="str">
        <f>IFERROR(1-(SUMIF('Plant BD'!$B:$B,A199,'Plant BD'!$AE:$AE)/(AA199+SUMIF('Plant BD'!$B:$B,A199,'Plant BD'!$AE:$AE))),"")</f>
        <v/>
      </c>
      <c r="P199" s="231"/>
      <c r="Q199" s="232"/>
      <c r="R199" s="231" t="str">
        <f>IFERROR(1-(SUMIF('Grid BD'!$B:$B,$A199,'Grid BD'!$AD:$AD)/($AA199+SUMIF('Grid BD'!$B:$B,$A199,'Grid BD'!AD:AD))),"")</f>
        <v/>
      </c>
      <c r="S199" s="6"/>
      <c r="T199" s="232"/>
      <c r="U199" s="233" t="str">
        <f t="shared" si="13"/>
        <v/>
      </c>
      <c r="V199" s="233"/>
      <c r="W199" s="234" t="str">
        <f t="shared" si="15"/>
        <v/>
      </c>
      <c r="X199" s="227" t="str">
        <f>IFERROR(_xlfn.XLOOKUP($A199,'Raw Data'!$A:$A,'Raw Data'!$BA:$BA),"")</f>
        <v/>
      </c>
      <c r="Y199" s="227" t="str">
        <f>IFERROR(_xlfn.XLOOKUP($A199,'Raw Data'!$A:$A,'Raw Data'!BJ:BJ),"")</f>
        <v/>
      </c>
      <c r="Z199" s="227" t="str">
        <f>IFERROR(_xlfn.XLOOKUP($A199,'Raw Data'!$A:$A,'Raw Data'!BK:BK),"")</f>
        <v/>
      </c>
      <c r="AA199" s="227" t="str">
        <f>IFERROR(_xlfn.XLOOKUP($A199,'Raw Data'!$A:$A,'Raw Data'!BL:BL),"")</f>
        <v/>
      </c>
      <c r="AB199" s="227" t="str">
        <f>IFERROR(_xlfn.XLOOKUP($A199,'Raw Data'!$A:$A,'Raw Data'!$H:$H),"")</f>
        <v/>
      </c>
      <c r="AC199" s="145">
        <f>IFERROR(_xlfn.XLOOKUP($D199,'Modelling New'!$D:$D,'Modelling New'!$P:$P),"")</f>
        <v>6.0354838709677416</v>
      </c>
      <c r="AD199" s="227">
        <f>IFERROR(_xlfn.XLOOKUP($D199,'Modelling New'!$D:$D,'Modelling New'!$T:$T)*1000,"")</f>
        <v>108757.04807292875</v>
      </c>
      <c r="AE199" s="234">
        <f>IFERROR(_xlfn.XLOOKUP($D199,'Modelling New'!$D:$D,'Modelling New'!$O:$O),"")</f>
        <v>0.74145302903300359</v>
      </c>
      <c r="AF199" s="234">
        <f>IFERROR(_xlfn.XLOOKUP($D199,'Modelling New'!$D:$D,'Modelling New'!$W:$W),"")</f>
        <v>0.18645949157536959</v>
      </c>
      <c r="AG199" s="234">
        <f>IFERROR(_xlfn.XLOOKUP($D199,'Modelling New'!$D:$D,'Modelling New'!AE:AE),"")</f>
        <v>0.995</v>
      </c>
      <c r="AH199" s="234">
        <v>0.99750000000000005</v>
      </c>
      <c r="AI199" s="6"/>
      <c r="AJ199" s="6"/>
      <c r="AK199" s="6"/>
      <c r="AL199" s="6"/>
      <c r="AM199" s="6"/>
      <c r="AN199" s="231"/>
      <c r="AO199" s="234"/>
      <c r="AP199" s="234"/>
      <c r="AQ199" s="234"/>
      <c r="AR199" s="227">
        <f>IFERROR(_xlfn.XLOOKUP($D199,'Modelling New'!$D:$D,'Modelling New'!$N:$N),"")</f>
        <v>24.303100000000001</v>
      </c>
      <c r="AS199" s="227"/>
    </row>
    <row r="200" spans="1:45" x14ac:dyDescent="0.35">
      <c r="A200" s="226">
        <f t="shared" si="14"/>
        <v>45943</v>
      </c>
      <c r="B200" s="227">
        <f>YEAR(Daily_KPI[[#This Row],[Date]])+IF(MONTH(Daily_KPI[[#This Row],[Date]])&gt;=4,1,0)</f>
        <v>2026</v>
      </c>
      <c r="C200" s="6">
        <f>YEAR(Daily_KPI[[#This Row],[Date]])</f>
        <v>2025</v>
      </c>
      <c r="D200" s="228">
        <f>Daily_KPI[[#This Row],[Date]]-DAY(Daily_KPI[[#This Row],[Date]])+1</f>
        <v>45931</v>
      </c>
      <c r="E200" s="6">
        <f t="shared" si="16"/>
        <v>31</v>
      </c>
      <c r="F200" s="229" t="str">
        <f>IFERROR(_xlfn.XLOOKUP($A200,'Raw Data'!$A:$A,'Raw Data'!$BR:$BR),"")</f>
        <v/>
      </c>
      <c r="G200" s="230" t="str">
        <f>IFERROR(_xlfn.XLOOKUP($A200,'Raw Data'!$A:$A,'Raw Data'!$AO:$AO),"")</f>
        <v/>
      </c>
      <c r="H200" s="230"/>
      <c r="I200" s="230" t="str">
        <f>IFERROR(_xlfn.XLOOKUP($A200,'Raw Data'!$A:$A,'Raw Data'!$AR:$AR),"")</f>
        <v/>
      </c>
      <c r="J200" s="230"/>
      <c r="K200" s="230" t="str">
        <f>IFERROR(_xlfn.XLOOKUP($A200,'Raw Data'!$A:$A,'Raw Data'!$AV:$AV),"")</f>
        <v/>
      </c>
      <c r="L200" s="230" t="str">
        <f>IFERROR(_xlfn.XLOOKUP($A200,'Raw Data'!$A:$A,'Raw Data'!$AW:$AW),"")</f>
        <v/>
      </c>
      <c r="M200" s="230" t="str">
        <f>IFERROR(_xlfn.XLOOKUP($A200,'Raw Data'!$A:$A,'Raw Data'!$AX:$AX),"")</f>
        <v/>
      </c>
      <c r="N200" s="230" t="str">
        <f>IFERROR(_xlfn.XLOOKUP($A200,'Raw Data'!$A:$A,'Raw Data'!$AY:$AY),"")</f>
        <v/>
      </c>
      <c r="O200" s="231" t="str">
        <f>IFERROR(1-(SUMIF('Plant BD'!$B:$B,A200,'Plant BD'!$AE:$AE)/(AA200+SUMIF('Plant BD'!$B:$B,A200,'Plant BD'!$AE:$AE))),"")</f>
        <v/>
      </c>
      <c r="P200" s="231"/>
      <c r="Q200" s="232"/>
      <c r="R200" s="231" t="str">
        <f>IFERROR(1-(SUMIF('Grid BD'!$B:$B,$A200,'Grid BD'!$AD:$AD)/($AA200+SUMIF('Grid BD'!$B:$B,$A200,'Grid BD'!AD:AD))),"")</f>
        <v/>
      </c>
      <c r="S200" s="6"/>
      <c r="T200" s="232"/>
      <c r="U200" s="233" t="str">
        <f t="shared" si="13"/>
        <v/>
      </c>
      <c r="V200" s="233"/>
      <c r="W200" s="234" t="str">
        <f t="shared" si="15"/>
        <v/>
      </c>
      <c r="X200" s="227" t="str">
        <f>IFERROR(_xlfn.XLOOKUP($A200,'Raw Data'!$A:$A,'Raw Data'!$BA:$BA),"")</f>
        <v/>
      </c>
      <c r="Y200" s="227" t="str">
        <f>IFERROR(_xlfn.XLOOKUP($A200,'Raw Data'!$A:$A,'Raw Data'!BJ:BJ),"")</f>
        <v/>
      </c>
      <c r="Z200" s="227" t="str">
        <f>IFERROR(_xlfn.XLOOKUP($A200,'Raw Data'!$A:$A,'Raw Data'!BK:BK),"")</f>
        <v/>
      </c>
      <c r="AA200" s="227" t="str">
        <f>IFERROR(_xlfn.XLOOKUP($A200,'Raw Data'!$A:$A,'Raw Data'!BL:BL),"")</f>
        <v/>
      </c>
      <c r="AB200" s="227" t="str">
        <f>IFERROR(_xlfn.XLOOKUP($A200,'Raw Data'!$A:$A,'Raw Data'!$H:$H),"")</f>
        <v/>
      </c>
      <c r="AC200" s="145">
        <f>IFERROR(_xlfn.XLOOKUP($D200,'Modelling New'!$D:$D,'Modelling New'!$P:$P),"")</f>
        <v>6.0354838709677416</v>
      </c>
      <c r="AD200" s="227">
        <f>IFERROR(_xlfn.XLOOKUP($D200,'Modelling New'!$D:$D,'Modelling New'!$T:$T)*1000,"")</f>
        <v>108757.04807292875</v>
      </c>
      <c r="AE200" s="234">
        <f>IFERROR(_xlfn.XLOOKUP($D200,'Modelling New'!$D:$D,'Modelling New'!$O:$O),"")</f>
        <v>0.74145302903300359</v>
      </c>
      <c r="AF200" s="234">
        <f>IFERROR(_xlfn.XLOOKUP($D200,'Modelling New'!$D:$D,'Modelling New'!$W:$W),"")</f>
        <v>0.18645949157536959</v>
      </c>
      <c r="AG200" s="234">
        <f>IFERROR(_xlfn.XLOOKUP($D200,'Modelling New'!$D:$D,'Modelling New'!AE:AE),"")</f>
        <v>0.995</v>
      </c>
      <c r="AH200" s="234">
        <v>0.99750000000000005</v>
      </c>
      <c r="AI200" s="6"/>
      <c r="AJ200" s="6"/>
      <c r="AK200" s="6"/>
      <c r="AL200" s="6"/>
      <c r="AM200" s="6"/>
      <c r="AN200" s="231"/>
      <c r="AO200" s="234"/>
      <c r="AP200" s="234"/>
      <c r="AQ200" s="234"/>
      <c r="AR200" s="227">
        <f>IFERROR(_xlfn.XLOOKUP($D200,'Modelling New'!$D:$D,'Modelling New'!$N:$N),"")</f>
        <v>24.303100000000001</v>
      </c>
      <c r="AS200" s="227"/>
    </row>
    <row r="201" spans="1:45" x14ac:dyDescent="0.35">
      <c r="A201" s="226">
        <f t="shared" si="14"/>
        <v>45944</v>
      </c>
      <c r="B201" s="227">
        <f>YEAR(Daily_KPI[[#This Row],[Date]])+IF(MONTH(Daily_KPI[[#This Row],[Date]])&gt;=4,1,0)</f>
        <v>2026</v>
      </c>
      <c r="C201" s="6">
        <f>YEAR(Daily_KPI[[#This Row],[Date]])</f>
        <v>2025</v>
      </c>
      <c r="D201" s="228">
        <f>Daily_KPI[[#This Row],[Date]]-DAY(Daily_KPI[[#This Row],[Date]])+1</f>
        <v>45931</v>
      </c>
      <c r="E201" s="6">
        <f t="shared" si="16"/>
        <v>31</v>
      </c>
      <c r="F201" s="229" t="str">
        <f>IFERROR(_xlfn.XLOOKUP($A201,'Raw Data'!$A:$A,'Raw Data'!$BR:$BR),"")</f>
        <v/>
      </c>
      <c r="G201" s="230" t="str">
        <f>IFERROR(_xlfn.XLOOKUP($A201,'Raw Data'!$A:$A,'Raw Data'!$AO:$AO),"")</f>
        <v/>
      </c>
      <c r="H201" s="230"/>
      <c r="I201" s="230" t="str">
        <f>IFERROR(_xlfn.XLOOKUP($A201,'Raw Data'!$A:$A,'Raw Data'!$AR:$AR),"")</f>
        <v/>
      </c>
      <c r="J201" s="230"/>
      <c r="K201" s="230" t="str">
        <f>IFERROR(_xlfn.XLOOKUP($A201,'Raw Data'!$A:$A,'Raw Data'!$AV:$AV),"")</f>
        <v/>
      </c>
      <c r="L201" s="230" t="str">
        <f>IFERROR(_xlfn.XLOOKUP($A201,'Raw Data'!$A:$A,'Raw Data'!$AW:$AW),"")</f>
        <v/>
      </c>
      <c r="M201" s="230" t="str">
        <f>IFERROR(_xlfn.XLOOKUP($A201,'Raw Data'!$A:$A,'Raw Data'!$AX:$AX),"")</f>
        <v/>
      </c>
      <c r="N201" s="230" t="str">
        <f>IFERROR(_xlfn.XLOOKUP($A201,'Raw Data'!$A:$A,'Raw Data'!$AY:$AY),"")</f>
        <v/>
      </c>
      <c r="O201" s="231" t="str">
        <f>IFERROR(1-(SUMIF('Plant BD'!$B:$B,A201,'Plant BD'!$AE:$AE)/(AA201+SUMIF('Plant BD'!$B:$B,A201,'Plant BD'!$AE:$AE))),"")</f>
        <v/>
      </c>
      <c r="P201" s="231"/>
      <c r="Q201" s="232"/>
      <c r="R201" s="231" t="str">
        <f>IFERROR(1-(SUMIF('Grid BD'!$B:$B,$A201,'Grid BD'!$AD:$AD)/($AA201+SUMIF('Grid BD'!$B:$B,$A201,'Grid BD'!AD:AD))),"")</f>
        <v/>
      </c>
      <c r="S201" s="6"/>
      <c r="T201" s="232"/>
      <c r="U201" s="233" t="str">
        <f t="shared" si="13"/>
        <v/>
      </c>
      <c r="V201" s="233"/>
      <c r="W201" s="234" t="str">
        <f t="shared" si="15"/>
        <v/>
      </c>
      <c r="X201" s="227" t="str">
        <f>IFERROR(_xlfn.XLOOKUP($A201,'Raw Data'!$A:$A,'Raw Data'!$BA:$BA),"")</f>
        <v/>
      </c>
      <c r="Y201" s="227" t="str">
        <f>IFERROR(_xlfn.XLOOKUP($A201,'Raw Data'!$A:$A,'Raw Data'!BJ:BJ),"")</f>
        <v/>
      </c>
      <c r="Z201" s="227" t="str">
        <f>IFERROR(_xlfn.XLOOKUP($A201,'Raw Data'!$A:$A,'Raw Data'!BK:BK),"")</f>
        <v/>
      </c>
      <c r="AA201" s="227" t="str">
        <f>IFERROR(_xlfn.XLOOKUP($A201,'Raw Data'!$A:$A,'Raw Data'!BL:BL),"")</f>
        <v/>
      </c>
      <c r="AB201" s="227" t="str">
        <f>IFERROR(_xlfn.XLOOKUP($A201,'Raw Data'!$A:$A,'Raw Data'!$H:$H),"")</f>
        <v/>
      </c>
      <c r="AC201" s="145">
        <f>IFERROR(_xlfn.XLOOKUP($D201,'Modelling New'!$D:$D,'Modelling New'!$P:$P),"")</f>
        <v>6.0354838709677416</v>
      </c>
      <c r="AD201" s="227">
        <f>IFERROR(_xlfn.XLOOKUP($D201,'Modelling New'!$D:$D,'Modelling New'!$T:$T)*1000,"")</f>
        <v>108757.04807292875</v>
      </c>
      <c r="AE201" s="234">
        <f>IFERROR(_xlfn.XLOOKUP($D201,'Modelling New'!$D:$D,'Modelling New'!$O:$O),"")</f>
        <v>0.74145302903300359</v>
      </c>
      <c r="AF201" s="234">
        <f>IFERROR(_xlfn.XLOOKUP($D201,'Modelling New'!$D:$D,'Modelling New'!$W:$W),"")</f>
        <v>0.18645949157536959</v>
      </c>
      <c r="AG201" s="234">
        <f>IFERROR(_xlfn.XLOOKUP($D201,'Modelling New'!$D:$D,'Modelling New'!AE:AE),"")</f>
        <v>0.995</v>
      </c>
      <c r="AH201" s="234">
        <v>0.99750000000000005</v>
      </c>
      <c r="AI201" s="6"/>
      <c r="AJ201" s="6"/>
      <c r="AK201" s="6"/>
      <c r="AL201" s="6"/>
      <c r="AM201" s="6"/>
      <c r="AN201" s="231"/>
      <c r="AO201" s="234"/>
      <c r="AP201" s="234"/>
      <c r="AQ201" s="234"/>
      <c r="AR201" s="227">
        <f>IFERROR(_xlfn.XLOOKUP($D201,'Modelling New'!$D:$D,'Modelling New'!$N:$N),"")</f>
        <v>24.303100000000001</v>
      </c>
      <c r="AS201" s="227"/>
    </row>
    <row r="202" spans="1:45" x14ac:dyDescent="0.35">
      <c r="A202" s="226">
        <f t="shared" si="14"/>
        <v>45945</v>
      </c>
      <c r="B202" s="227">
        <f>YEAR(Daily_KPI[[#This Row],[Date]])+IF(MONTH(Daily_KPI[[#This Row],[Date]])&gt;=4,1,0)</f>
        <v>2026</v>
      </c>
      <c r="C202" s="6">
        <f>YEAR(Daily_KPI[[#This Row],[Date]])</f>
        <v>2025</v>
      </c>
      <c r="D202" s="228">
        <f>Daily_KPI[[#This Row],[Date]]-DAY(Daily_KPI[[#This Row],[Date]])+1</f>
        <v>45931</v>
      </c>
      <c r="E202" s="6">
        <f t="shared" si="16"/>
        <v>31</v>
      </c>
      <c r="F202" s="229" t="str">
        <f>IFERROR(_xlfn.XLOOKUP($A202,'Raw Data'!$A:$A,'Raw Data'!$BR:$BR),"")</f>
        <v/>
      </c>
      <c r="G202" s="230" t="str">
        <f>IFERROR(_xlfn.XLOOKUP($A202,'Raw Data'!$A:$A,'Raw Data'!$AO:$AO),"")</f>
        <v/>
      </c>
      <c r="H202" s="230"/>
      <c r="I202" s="230" t="str">
        <f>IFERROR(_xlfn.XLOOKUP($A202,'Raw Data'!$A:$A,'Raw Data'!$AR:$AR),"")</f>
        <v/>
      </c>
      <c r="J202" s="230"/>
      <c r="K202" s="230" t="str">
        <f>IFERROR(_xlfn.XLOOKUP($A202,'Raw Data'!$A:$A,'Raw Data'!$AV:$AV),"")</f>
        <v/>
      </c>
      <c r="L202" s="230" t="str">
        <f>IFERROR(_xlfn.XLOOKUP($A202,'Raw Data'!$A:$A,'Raw Data'!$AW:$AW),"")</f>
        <v/>
      </c>
      <c r="M202" s="230" t="str">
        <f>IFERROR(_xlfn.XLOOKUP($A202,'Raw Data'!$A:$A,'Raw Data'!$AX:$AX),"")</f>
        <v/>
      </c>
      <c r="N202" s="230" t="str">
        <f>IFERROR(_xlfn.XLOOKUP($A202,'Raw Data'!$A:$A,'Raw Data'!$AY:$AY),"")</f>
        <v/>
      </c>
      <c r="O202" s="231" t="str">
        <f>IFERROR(1-(SUMIF('Plant BD'!$B:$B,A202,'Plant BD'!$AE:$AE)/(AA202+SUMIF('Plant BD'!$B:$B,A202,'Plant BD'!$AE:$AE))),"")</f>
        <v/>
      </c>
      <c r="P202" s="231"/>
      <c r="Q202" s="232"/>
      <c r="R202" s="231" t="str">
        <f>IFERROR(1-(SUMIF('Grid BD'!$B:$B,$A202,'Grid BD'!$AD:$AD)/($AA202+SUMIF('Grid BD'!$B:$B,$A202,'Grid BD'!AD:AD))),"")</f>
        <v/>
      </c>
      <c r="S202" s="6"/>
      <c r="T202" s="232"/>
      <c r="U202" s="233" t="str">
        <f t="shared" si="13"/>
        <v/>
      </c>
      <c r="V202" s="233"/>
      <c r="W202" s="234" t="str">
        <f t="shared" si="15"/>
        <v/>
      </c>
      <c r="X202" s="227" t="str">
        <f>IFERROR(_xlfn.XLOOKUP($A202,'Raw Data'!$A:$A,'Raw Data'!$BA:$BA),"")</f>
        <v/>
      </c>
      <c r="Y202" s="227" t="str">
        <f>IFERROR(_xlfn.XLOOKUP($A202,'Raw Data'!$A:$A,'Raw Data'!BJ:BJ),"")</f>
        <v/>
      </c>
      <c r="Z202" s="227" t="str">
        <f>IFERROR(_xlfn.XLOOKUP($A202,'Raw Data'!$A:$A,'Raw Data'!BK:BK),"")</f>
        <v/>
      </c>
      <c r="AA202" s="227" t="str">
        <f>IFERROR(_xlfn.XLOOKUP($A202,'Raw Data'!$A:$A,'Raw Data'!BL:BL),"")</f>
        <v/>
      </c>
      <c r="AB202" s="227" t="str">
        <f>IFERROR(_xlfn.XLOOKUP($A202,'Raw Data'!$A:$A,'Raw Data'!$H:$H),"")</f>
        <v/>
      </c>
      <c r="AC202" s="145">
        <f>IFERROR(_xlfn.XLOOKUP($D202,'Modelling New'!$D:$D,'Modelling New'!$P:$P),"")</f>
        <v>6.0354838709677416</v>
      </c>
      <c r="AD202" s="227">
        <f>IFERROR(_xlfn.XLOOKUP($D202,'Modelling New'!$D:$D,'Modelling New'!$T:$T)*1000,"")</f>
        <v>108757.04807292875</v>
      </c>
      <c r="AE202" s="234">
        <f>IFERROR(_xlfn.XLOOKUP($D202,'Modelling New'!$D:$D,'Modelling New'!$O:$O),"")</f>
        <v>0.74145302903300359</v>
      </c>
      <c r="AF202" s="234">
        <f>IFERROR(_xlfn.XLOOKUP($D202,'Modelling New'!$D:$D,'Modelling New'!$W:$W),"")</f>
        <v>0.18645949157536959</v>
      </c>
      <c r="AG202" s="234">
        <f>IFERROR(_xlfn.XLOOKUP($D202,'Modelling New'!$D:$D,'Modelling New'!AE:AE),"")</f>
        <v>0.995</v>
      </c>
      <c r="AH202" s="234">
        <v>0.99750000000000005</v>
      </c>
      <c r="AI202" s="6"/>
      <c r="AJ202" s="6"/>
      <c r="AK202" s="6"/>
      <c r="AL202" s="6"/>
      <c r="AM202" s="6"/>
      <c r="AN202" s="231"/>
      <c r="AO202" s="234"/>
      <c r="AP202" s="234"/>
      <c r="AQ202" s="234"/>
      <c r="AR202" s="227">
        <f>IFERROR(_xlfn.XLOOKUP($D202,'Modelling New'!$D:$D,'Modelling New'!$N:$N),"")</f>
        <v>24.303100000000001</v>
      </c>
      <c r="AS202" s="227"/>
    </row>
    <row r="203" spans="1:45" x14ac:dyDescent="0.35">
      <c r="A203" s="226">
        <f t="shared" si="14"/>
        <v>45946</v>
      </c>
      <c r="B203" s="227">
        <f>YEAR(Daily_KPI[[#This Row],[Date]])+IF(MONTH(Daily_KPI[[#This Row],[Date]])&gt;=4,1,0)</f>
        <v>2026</v>
      </c>
      <c r="C203" s="6">
        <f>YEAR(Daily_KPI[[#This Row],[Date]])</f>
        <v>2025</v>
      </c>
      <c r="D203" s="228">
        <f>Daily_KPI[[#This Row],[Date]]-DAY(Daily_KPI[[#This Row],[Date]])+1</f>
        <v>45931</v>
      </c>
      <c r="E203" s="6">
        <f t="shared" si="16"/>
        <v>31</v>
      </c>
      <c r="F203" s="229" t="str">
        <f>IFERROR(_xlfn.XLOOKUP($A203,'Raw Data'!$A:$A,'Raw Data'!$BR:$BR),"")</f>
        <v/>
      </c>
      <c r="G203" s="230" t="str">
        <f>IFERROR(_xlfn.XLOOKUP($A203,'Raw Data'!$A:$A,'Raw Data'!$AO:$AO),"")</f>
        <v/>
      </c>
      <c r="H203" s="230"/>
      <c r="I203" s="230" t="str">
        <f>IFERROR(_xlfn.XLOOKUP($A203,'Raw Data'!$A:$A,'Raw Data'!$AR:$AR),"")</f>
        <v/>
      </c>
      <c r="J203" s="230"/>
      <c r="K203" s="230" t="str">
        <f>IFERROR(_xlfn.XLOOKUP($A203,'Raw Data'!$A:$A,'Raw Data'!$AV:$AV),"")</f>
        <v/>
      </c>
      <c r="L203" s="230" t="str">
        <f>IFERROR(_xlfn.XLOOKUP($A203,'Raw Data'!$A:$A,'Raw Data'!$AW:$AW),"")</f>
        <v/>
      </c>
      <c r="M203" s="230" t="str">
        <f>IFERROR(_xlfn.XLOOKUP($A203,'Raw Data'!$A:$A,'Raw Data'!$AX:$AX),"")</f>
        <v/>
      </c>
      <c r="N203" s="230" t="str">
        <f>IFERROR(_xlfn.XLOOKUP($A203,'Raw Data'!$A:$A,'Raw Data'!$AY:$AY),"")</f>
        <v/>
      </c>
      <c r="O203" s="231" t="str">
        <f>IFERROR(1-(SUMIF('Plant BD'!$B:$B,A203,'Plant BD'!$AE:$AE)/(AA203+SUMIF('Plant BD'!$B:$B,A203,'Plant BD'!$AE:$AE))),"")</f>
        <v/>
      </c>
      <c r="P203" s="231"/>
      <c r="Q203" s="232"/>
      <c r="R203" s="231" t="str">
        <f>IFERROR(1-(SUMIF('Grid BD'!$B:$B,$A203,'Grid BD'!$AD:$AD)/($AA203+SUMIF('Grid BD'!$B:$B,$A203,'Grid BD'!AD:AD))),"")</f>
        <v/>
      </c>
      <c r="S203" s="6"/>
      <c r="T203" s="232"/>
      <c r="U203" s="233" t="str">
        <f t="shared" si="13"/>
        <v/>
      </c>
      <c r="V203" s="233"/>
      <c r="W203" s="234" t="str">
        <f t="shared" si="15"/>
        <v/>
      </c>
      <c r="X203" s="227" t="str">
        <f>IFERROR(_xlfn.XLOOKUP($A203,'Raw Data'!$A:$A,'Raw Data'!$BA:$BA),"")</f>
        <v/>
      </c>
      <c r="Y203" s="227" t="str">
        <f>IFERROR(_xlfn.XLOOKUP($A203,'Raw Data'!$A:$A,'Raw Data'!BJ:BJ),"")</f>
        <v/>
      </c>
      <c r="Z203" s="227" t="str">
        <f>IFERROR(_xlfn.XLOOKUP($A203,'Raw Data'!$A:$A,'Raw Data'!BK:BK),"")</f>
        <v/>
      </c>
      <c r="AA203" s="227" t="str">
        <f>IFERROR(_xlfn.XLOOKUP($A203,'Raw Data'!$A:$A,'Raw Data'!BL:BL),"")</f>
        <v/>
      </c>
      <c r="AB203" s="227" t="str">
        <f>IFERROR(_xlfn.XLOOKUP($A203,'Raw Data'!$A:$A,'Raw Data'!$H:$H),"")</f>
        <v/>
      </c>
      <c r="AC203" s="145">
        <f>IFERROR(_xlfn.XLOOKUP($D203,'Modelling New'!$D:$D,'Modelling New'!$P:$P),"")</f>
        <v>6.0354838709677416</v>
      </c>
      <c r="AD203" s="227">
        <f>IFERROR(_xlfn.XLOOKUP($D203,'Modelling New'!$D:$D,'Modelling New'!$T:$T)*1000,"")</f>
        <v>108757.04807292875</v>
      </c>
      <c r="AE203" s="234">
        <f>IFERROR(_xlfn.XLOOKUP($D203,'Modelling New'!$D:$D,'Modelling New'!$O:$O),"")</f>
        <v>0.74145302903300359</v>
      </c>
      <c r="AF203" s="234">
        <f>IFERROR(_xlfn.XLOOKUP($D203,'Modelling New'!$D:$D,'Modelling New'!$W:$W),"")</f>
        <v>0.18645949157536959</v>
      </c>
      <c r="AG203" s="234">
        <f>IFERROR(_xlfn.XLOOKUP($D203,'Modelling New'!$D:$D,'Modelling New'!AE:AE),"")</f>
        <v>0.995</v>
      </c>
      <c r="AH203" s="234">
        <v>0.99750000000000005</v>
      </c>
      <c r="AI203" s="6"/>
      <c r="AJ203" s="6"/>
      <c r="AK203" s="6"/>
      <c r="AL203" s="6"/>
      <c r="AM203" s="6"/>
      <c r="AN203" s="231"/>
      <c r="AO203" s="234"/>
      <c r="AP203" s="234"/>
      <c r="AQ203" s="234"/>
      <c r="AR203" s="227">
        <f>IFERROR(_xlfn.XLOOKUP($D203,'Modelling New'!$D:$D,'Modelling New'!$N:$N),"")</f>
        <v>24.303100000000001</v>
      </c>
      <c r="AS203" s="227"/>
    </row>
    <row r="204" spans="1:45" x14ac:dyDescent="0.35">
      <c r="A204" s="226">
        <f t="shared" si="14"/>
        <v>45947</v>
      </c>
      <c r="B204" s="227">
        <f>YEAR(Daily_KPI[[#This Row],[Date]])+IF(MONTH(Daily_KPI[[#This Row],[Date]])&gt;=4,1,0)</f>
        <v>2026</v>
      </c>
      <c r="C204" s="6">
        <f>YEAR(Daily_KPI[[#This Row],[Date]])</f>
        <v>2025</v>
      </c>
      <c r="D204" s="228">
        <f>Daily_KPI[[#This Row],[Date]]-DAY(Daily_KPI[[#This Row],[Date]])+1</f>
        <v>45931</v>
      </c>
      <c r="E204" s="6">
        <f t="shared" si="16"/>
        <v>31</v>
      </c>
      <c r="F204" s="229" t="str">
        <f>IFERROR(_xlfn.XLOOKUP($A204,'Raw Data'!$A:$A,'Raw Data'!$BR:$BR),"")</f>
        <v/>
      </c>
      <c r="G204" s="230" t="str">
        <f>IFERROR(_xlfn.XLOOKUP($A204,'Raw Data'!$A:$A,'Raw Data'!$AO:$AO),"")</f>
        <v/>
      </c>
      <c r="H204" s="230"/>
      <c r="I204" s="230" t="str">
        <f>IFERROR(_xlfn.XLOOKUP($A204,'Raw Data'!$A:$A,'Raw Data'!$AR:$AR),"")</f>
        <v/>
      </c>
      <c r="J204" s="230"/>
      <c r="K204" s="230" t="str">
        <f>IFERROR(_xlfn.XLOOKUP($A204,'Raw Data'!$A:$A,'Raw Data'!$AV:$AV),"")</f>
        <v/>
      </c>
      <c r="L204" s="230" t="str">
        <f>IFERROR(_xlfn.XLOOKUP($A204,'Raw Data'!$A:$A,'Raw Data'!$AW:$AW),"")</f>
        <v/>
      </c>
      <c r="M204" s="230" t="str">
        <f>IFERROR(_xlfn.XLOOKUP($A204,'Raw Data'!$A:$A,'Raw Data'!$AX:$AX),"")</f>
        <v/>
      </c>
      <c r="N204" s="230" t="str">
        <f>IFERROR(_xlfn.XLOOKUP($A204,'Raw Data'!$A:$A,'Raw Data'!$AY:$AY),"")</f>
        <v/>
      </c>
      <c r="O204" s="231" t="str">
        <f>IFERROR(1-(SUMIF('Plant BD'!$B:$B,A204,'Plant BD'!$AE:$AE)/(AA204+SUMIF('Plant BD'!$B:$B,A204,'Plant BD'!$AE:$AE))),"")</f>
        <v/>
      </c>
      <c r="P204" s="231"/>
      <c r="Q204" s="232"/>
      <c r="R204" s="231" t="str">
        <f>IFERROR(1-(SUMIF('Grid BD'!$B:$B,$A204,'Grid BD'!$AD:$AD)/($AA204+SUMIF('Grid BD'!$B:$B,$A204,'Grid BD'!AD:AD))),"")</f>
        <v/>
      </c>
      <c r="S204" s="6"/>
      <c r="T204" s="232"/>
      <c r="U204" s="233" t="str">
        <f t="shared" si="13"/>
        <v/>
      </c>
      <c r="V204" s="233"/>
      <c r="W204" s="234" t="str">
        <f t="shared" si="15"/>
        <v/>
      </c>
      <c r="X204" s="227" t="str">
        <f>IFERROR(_xlfn.XLOOKUP($A204,'Raw Data'!$A:$A,'Raw Data'!$BA:$BA),"")</f>
        <v/>
      </c>
      <c r="Y204" s="227" t="str">
        <f>IFERROR(_xlfn.XLOOKUP($A204,'Raw Data'!$A:$A,'Raw Data'!BJ:BJ),"")</f>
        <v/>
      </c>
      <c r="Z204" s="227" t="str">
        <f>IFERROR(_xlfn.XLOOKUP($A204,'Raw Data'!$A:$A,'Raw Data'!BK:BK),"")</f>
        <v/>
      </c>
      <c r="AA204" s="227" t="str">
        <f>IFERROR(_xlfn.XLOOKUP($A204,'Raw Data'!$A:$A,'Raw Data'!BL:BL),"")</f>
        <v/>
      </c>
      <c r="AB204" s="227" t="str">
        <f>IFERROR(_xlfn.XLOOKUP($A204,'Raw Data'!$A:$A,'Raw Data'!$H:$H),"")</f>
        <v/>
      </c>
      <c r="AC204" s="145">
        <f>IFERROR(_xlfn.XLOOKUP($D204,'Modelling New'!$D:$D,'Modelling New'!$P:$P),"")</f>
        <v>6.0354838709677416</v>
      </c>
      <c r="AD204" s="227">
        <f>IFERROR(_xlfn.XLOOKUP($D204,'Modelling New'!$D:$D,'Modelling New'!$T:$T)*1000,"")</f>
        <v>108757.04807292875</v>
      </c>
      <c r="AE204" s="234">
        <f>IFERROR(_xlfn.XLOOKUP($D204,'Modelling New'!$D:$D,'Modelling New'!$O:$O),"")</f>
        <v>0.74145302903300359</v>
      </c>
      <c r="AF204" s="234">
        <f>IFERROR(_xlfn.XLOOKUP($D204,'Modelling New'!$D:$D,'Modelling New'!$W:$W),"")</f>
        <v>0.18645949157536959</v>
      </c>
      <c r="AG204" s="234">
        <f>IFERROR(_xlfn.XLOOKUP($D204,'Modelling New'!$D:$D,'Modelling New'!AE:AE),"")</f>
        <v>0.995</v>
      </c>
      <c r="AH204" s="234">
        <v>0.99750000000000005</v>
      </c>
      <c r="AI204" s="6"/>
      <c r="AJ204" s="6"/>
      <c r="AK204" s="6"/>
      <c r="AL204" s="6"/>
      <c r="AM204" s="6"/>
      <c r="AN204" s="231"/>
      <c r="AO204" s="234"/>
      <c r="AP204" s="234"/>
      <c r="AQ204" s="234"/>
      <c r="AR204" s="227">
        <f>IFERROR(_xlfn.XLOOKUP($D204,'Modelling New'!$D:$D,'Modelling New'!$N:$N),"")</f>
        <v>24.303100000000001</v>
      </c>
      <c r="AS204" s="227"/>
    </row>
    <row r="205" spans="1:45" x14ac:dyDescent="0.35">
      <c r="A205" s="226">
        <f t="shared" si="14"/>
        <v>45948</v>
      </c>
      <c r="B205" s="227">
        <f>YEAR(Daily_KPI[[#This Row],[Date]])+IF(MONTH(Daily_KPI[[#This Row],[Date]])&gt;=4,1,0)</f>
        <v>2026</v>
      </c>
      <c r="C205" s="6">
        <f>YEAR(Daily_KPI[[#This Row],[Date]])</f>
        <v>2025</v>
      </c>
      <c r="D205" s="228">
        <f>Daily_KPI[[#This Row],[Date]]-DAY(Daily_KPI[[#This Row],[Date]])+1</f>
        <v>45931</v>
      </c>
      <c r="E205" s="6">
        <f t="shared" si="16"/>
        <v>31</v>
      </c>
      <c r="F205" s="229" t="str">
        <f>IFERROR(_xlfn.XLOOKUP($A205,'Raw Data'!$A:$A,'Raw Data'!$BR:$BR),"")</f>
        <v/>
      </c>
      <c r="G205" s="230" t="str">
        <f>IFERROR(_xlfn.XLOOKUP($A205,'Raw Data'!$A:$A,'Raw Data'!$AO:$AO),"")</f>
        <v/>
      </c>
      <c r="H205" s="230"/>
      <c r="I205" s="230" t="str">
        <f>IFERROR(_xlfn.XLOOKUP($A205,'Raw Data'!$A:$A,'Raw Data'!$AR:$AR),"")</f>
        <v/>
      </c>
      <c r="J205" s="230"/>
      <c r="K205" s="230" t="str">
        <f>IFERROR(_xlfn.XLOOKUP($A205,'Raw Data'!$A:$A,'Raw Data'!$AV:$AV),"")</f>
        <v/>
      </c>
      <c r="L205" s="230" t="str">
        <f>IFERROR(_xlfn.XLOOKUP($A205,'Raw Data'!$A:$A,'Raw Data'!$AW:$AW),"")</f>
        <v/>
      </c>
      <c r="M205" s="230" t="str">
        <f>IFERROR(_xlfn.XLOOKUP($A205,'Raw Data'!$A:$A,'Raw Data'!$AX:$AX),"")</f>
        <v/>
      </c>
      <c r="N205" s="230" t="str">
        <f>IFERROR(_xlfn.XLOOKUP($A205,'Raw Data'!$A:$A,'Raw Data'!$AY:$AY),"")</f>
        <v/>
      </c>
      <c r="O205" s="231" t="str">
        <f>IFERROR(1-(SUMIF('Plant BD'!$B:$B,A205,'Plant BD'!$AE:$AE)/(AA205+SUMIF('Plant BD'!$B:$B,A205,'Plant BD'!$AE:$AE))),"")</f>
        <v/>
      </c>
      <c r="P205" s="231"/>
      <c r="Q205" s="232"/>
      <c r="R205" s="231" t="str">
        <f>IFERROR(1-(SUMIF('Grid BD'!$B:$B,$A205,'Grid BD'!$AD:$AD)/($AA205+SUMIF('Grid BD'!$B:$B,$A205,'Grid BD'!AD:AD))),"")</f>
        <v/>
      </c>
      <c r="S205" s="6"/>
      <c r="T205" s="232"/>
      <c r="U205" s="233" t="str">
        <f t="shared" si="13"/>
        <v/>
      </c>
      <c r="V205" s="233"/>
      <c r="W205" s="234" t="str">
        <f t="shared" si="15"/>
        <v/>
      </c>
      <c r="X205" s="227" t="str">
        <f>IFERROR(_xlfn.XLOOKUP($A205,'Raw Data'!$A:$A,'Raw Data'!$BA:$BA),"")</f>
        <v/>
      </c>
      <c r="Y205" s="227" t="str">
        <f>IFERROR(_xlfn.XLOOKUP($A205,'Raw Data'!$A:$A,'Raw Data'!BJ:BJ),"")</f>
        <v/>
      </c>
      <c r="Z205" s="227" t="str">
        <f>IFERROR(_xlfn.XLOOKUP($A205,'Raw Data'!$A:$A,'Raw Data'!BK:BK),"")</f>
        <v/>
      </c>
      <c r="AA205" s="227" t="str">
        <f>IFERROR(_xlfn.XLOOKUP($A205,'Raw Data'!$A:$A,'Raw Data'!BL:BL),"")</f>
        <v/>
      </c>
      <c r="AB205" s="227" t="str">
        <f>IFERROR(_xlfn.XLOOKUP($A205,'Raw Data'!$A:$A,'Raw Data'!$H:$H),"")</f>
        <v/>
      </c>
      <c r="AC205" s="145">
        <f>IFERROR(_xlfn.XLOOKUP($D205,'Modelling New'!$D:$D,'Modelling New'!$P:$P),"")</f>
        <v>6.0354838709677416</v>
      </c>
      <c r="AD205" s="227">
        <f>IFERROR(_xlfn.XLOOKUP($D205,'Modelling New'!$D:$D,'Modelling New'!$T:$T)*1000,"")</f>
        <v>108757.04807292875</v>
      </c>
      <c r="AE205" s="234">
        <f>IFERROR(_xlfn.XLOOKUP($D205,'Modelling New'!$D:$D,'Modelling New'!$O:$O),"")</f>
        <v>0.74145302903300359</v>
      </c>
      <c r="AF205" s="234">
        <f>IFERROR(_xlfn.XLOOKUP($D205,'Modelling New'!$D:$D,'Modelling New'!$W:$W),"")</f>
        <v>0.18645949157536959</v>
      </c>
      <c r="AG205" s="234">
        <f>IFERROR(_xlfn.XLOOKUP($D205,'Modelling New'!$D:$D,'Modelling New'!AE:AE),"")</f>
        <v>0.995</v>
      </c>
      <c r="AH205" s="234">
        <v>0.99750000000000005</v>
      </c>
      <c r="AI205" s="6"/>
      <c r="AJ205" s="6"/>
      <c r="AK205" s="6"/>
      <c r="AL205" s="6"/>
      <c r="AM205" s="6"/>
      <c r="AN205" s="231"/>
      <c r="AO205" s="234"/>
      <c r="AP205" s="234"/>
      <c r="AQ205" s="234"/>
      <c r="AR205" s="227">
        <f>IFERROR(_xlfn.XLOOKUP($D205,'Modelling New'!$D:$D,'Modelling New'!$N:$N),"")</f>
        <v>24.303100000000001</v>
      </c>
      <c r="AS205" s="227"/>
    </row>
    <row r="206" spans="1:45" x14ac:dyDescent="0.35">
      <c r="A206" s="226">
        <f t="shared" si="14"/>
        <v>45949</v>
      </c>
      <c r="B206" s="227">
        <f>YEAR(Daily_KPI[[#This Row],[Date]])+IF(MONTH(Daily_KPI[[#This Row],[Date]])&gt;=4,1,0)</f>
        <v>2026</v>
      </c>
      <c r="C206" s="6">
        <f>YEAR(Daily_KPI[[#This Row],[Date]])</f>
        <v>2025</v>
      </c>
      <c r="D206" s="228">
        <f>Daily_KPI[[#This Row],[Date]]-DAY(Daily_KPI[[#This Row],[Date]])+1</f>
        <v>45931</v>
      </c>
      <c r="E206" s="6">
        <f t="shared" si="16"/>
        <v>31</v>
      </c>
      <c r="F206" s="229" t="str">
        <f>IFERROR(_xlfn.XLOOKUP($A206,'Raw Data'!$A:$A,'Raw Data'!$BR:$BR),"")</f>
        <v/>
      </c>
      <c r="G206" s="230" t="str">
        <f>IFERROR(_xlfn.XLOOKUP($A206,'Raw Data'!$A:$A,'Raw Data'!$AO:$AO),"")</f>
        <v/>
      </c>
      <c r="H206" s="230"/>
      <c r="I206" s="230" t="str">
        <f>IFERROR(_xlfn.XLOOKUP($A206,'Raw Data'!$A:$A,'Raw Data'!$AR:$AR),"")</f>
        <v/>
      </c>
      <c r="J206" s="230"/>
      <c r="K206" s="230" t="str">
        <f>IFERROR(_xlfn.XLOOKUP($A206,'Raw Data'!$A:$A,'Raw Data'!$AV:$AV),"")</f>
        <v/>
      </c>
      <c r="L206" s="230" t="str">
        <f>IFERROR(_xlfn.XLOOKUP($A206,'Raw Data'!$A:$A,'Raw Data'!$AW:$AW),"")</f>
        <v/>
      </c>
      <c r="M206" s="230" t="str">
        <f>IFERROR(_xlfn.XLOOKUP($A206,'Raw Data'!$A:$A,'Raw Data'!$AX:$AX),"")</f>
        <v/>
      </c>
      <c r="N206" s="230" t="str">
        <f>IFERROR(_xlfn.XLOOKUP($A206,'Raw Data'!$A:$A,'Raw Data'!$AY:$AY),"")</f>
        <v/>
      </c>
      <c r="O206" s="231" t="str">
        <f>IFERROR(1-(SUMIF('Plant BD'!$B:$B,A206,'Plant BD'!$AE:$AE)/(AA206+SUMIF('Plant BD'!$B:$B,A206,'Plant BD'!$AE:$AE))),"")</f>
        <v/>
      </c>
      <c r="P206" s="231"/>
      <c r="Q206" s="232"/>
      <c r="R206" s="231" t="str">
        <f>IFERROR(1-(SUMIF('Grid BD'!$B:$B,$A206,'Grid BD'!$AD:$AD)/($AA206+SUMIF('Grid BD'!$B:$B,$A206,'Grid BD'!AD:AD))),"")</f>
        <v/>
      </c>
      <c r="S206" s="6"/>
      <c r="T206" s="232"/>
      <c r="U206" s="233" t="str">
        <f t="shared" si="13"/>
        <v/>
      </c>
      <c r="V206" s="233"/>
      <c r="W206" s="234" t="str">
        <f t="shared" si="15"/>
        <v/>
      </c>
      <c r="X206" s="227" t="str">
        <f>IFERROR(_xlfn.XLOOKUP($A206,'Raw Data'!$A:$A,'Raw Data'!$BA:$BA),"")</f>
        <v/>
      </c>
      <c r="Y206" s="227" t="str">
        <f>IFERROR(_xlfn.XLOOKUP($A206,'Raw Data'!$A:$A,'Raw Data'!BJ:BJ),"")</f>
        <v/>
      </c>
      <c r="Z206" s="227" t="str">
        <f>IFERROR(_xlfn.XLOOKUP($A206,'Raw Data'!$A:$A,'Raw Data'!BK:BK),"")</f>
        <v/>
      </c>
      <c r="AA206" s="227" t="str">
        <f>IFERROR(_xlfn.XLOOKUP($A206,'Raw Data'!$A:$A,'Raw Data'!BL:BL),"")</f>
        <v/>
      </c>
      <c r="AB206" s="227" t="str">
        <f>IFERROR(_xlfn.XLOOKUP($A206,'Raw Data'!$A:$A,'Raw Data'!$H:$H),"")</f>
        <v/>
      </c>
      <c r="AC206" s="145">
        <f>IFERROR(_xlfn.XLOOKUP($D206,'Modelling New'!$D:$D,'Modelling New'!$P:$P),"")</f>
        <v>6.0354838709677416</v>
      </c>
      <c r="AD206" s="227">
        <f>IFERROR(_xlfn.XLOOKUP($D206,'Modelling New'!$D:$D,'Modelling New'!$T:$T)*1000,"")</f>
        <v>108757.04807292875</v>
      </c>
      <c r="AE206" s="234">
        <f>IFERROR(_xlfn.XLOOKUP($D206,'Modelling New'!$D:$D,'Modelling New'!$O:$O),"")</f>
        <v>0.74145302903300359</v>
      </c>
      <c r="AF206" s="234">
        <f>IFERROR(_xlfn.XLOOKUP($D206,'Modelling New'!$D:$D,'Modelling New'!$W:$W),"")</f>
        <v>0.18645949157536959</v>
      </c>
      <c r="AG206" s="234">
        <f>IFERROR(_xlfn.XLOOKUP($D206,'Modelling New'!$D:$D,'Modelling New'!AE:AE),"")</f>
        <v>0.995</v>
      </c>
      <c r="AH206" s="234">
        <v>0.99750000000000005</v>
      </c>
      <c r="AI206" s="6"/>
      <c r="AJ206" s="6"/>
      <c r="AK206" s="6"/>
      <c r="AL206" s="6"/>
      <c r="AM206" s="6"/>
      <c r="AN206" s="231"/>
      <c r="AO206" s="234"/>
      <c r="AP206" s="234"/>
      <c r="AQ206" s="234"/>
      <c r="AR206" s="227">
        <f>IFERROR(_xlfn.XLOOKUP($D206,'Modelling New'!$D:$D,'Modelling New'!$N:$N),"")</f>
        <v>24.303100000000001</v>
      </c>
      <c r="AS206" s="227"/>
    </row>
    <row r="207" spans="1:45" x14ac:dyDescent="0.35">
      <c r="A207" s="226">
        <f t="shared" si="14"/>
        <v>45950</v>
      </c>
      <c r="B207" s="227">
        <f>YEAR(Daily_KPI[[#This Row],[Date]])+IF(MONTH(Daily_KPI[[#This Row],[Date]])&gt;=4,1,0)</f>
        <v>2026</v>
      </c>
      <c r="C207" s="6">
        <f>YEAR(Daily_KPI[[#This Row],[Date]])</f>
        <v>2025</v>
      </c>
      <c r="D207" s="228">
        <f>Daily_KPI[[#This Row],[Date]]-DAY(Daily_KPI[[#This Row],[Date]])+1</f>
        <v>45931</v>
      </c>
      <c r="E207" s="6">
        <f t="shared" si="16"/>
        <v>31</v>
      </c>
      <c r="F207" s="229" t="str">
        <f>IFERROR(_xlfn.XLOOKUP($A207,'Raw Data'!$A:$A,'Raw Data'!$BR:$BR),"")</f>
        <v/>
      </c>
      <c r="G207" s="230" t="str">
        <f>IFERROR(_xlfn.XLOOKUP($A207,'Raw Data'!$A:$A,'Raw Data'!$AO:$AO),"")</f>
        <v/>
      </c>
      <c r="H207" s="230"/>
      <c r="I207" s="230" t="str">
        <f>IFERROR(_xlfn.XLOOKUP($A207,'Raw Data'!$A:$A,'Raw Data'!$AR:$AR),"")</f>
        <v/>
      </c>
      <c r="J207" s="230"/>
      <c r="K207" s="230" t="str">
        <f>IFERROR(_xlfn.XLOOKUP($A207,'Raw Data'!$A:$A,'Raw Data'!$AV:$AV),"")</f>
        <v/>
      </c>
      <c r="L207" s="230" t="str">
        <f>IFERROR(_xlfn.XLOOKUP($A207,'Raw Data'!$A:$A,'Raw Data'!$AW:$AW),"")</f>
        <v/>
      </c>
      <c r="M207" s="230" t="str">
        <f>IFERROR(_xlfn.XLOOKUP($A207,'Raw Data'!$A:$A,'Raw Data'!$AX:$AX),"")</f>
        <v/>
      </c>
      <c r="N207" s="230" t="str">
        <f>IFERROR(_xlfn.XLOOKUP($A207,'Raw Data'!$A:$A,'Raw Data'!$AY:$AY),"")</f>
        <v/>
      </c>
      <c r="O207" s="231" t="str">
        <f>IFERROR(1-(SUMIF('Plant BD'!$B:$B,A207,'Plant BD'!$AE:$AE)/(AA207+SUMIF('Plant BD'!$B:$B,A207,'Plant BD'!$AE:$AE))),"")</f>
        <v/>
      </c>
      <c r="P207" s="231"/>
      <c r="Q207" s="232"/>
      <c r="R207" s="231" t="str">
        <f>IFERROR(1-(SUMIF('Grid BD'!$B:$B,$A207,'Grid BD'!$AD:$AD)/($AA207+SUMIF('Grid BD'!$B:$B,$A207,'Grid BD'!AD:AD))),"")</f>
        <v/>
      </c>
      <c r="S207" s="6"/>
      <c r="T207" s="232"/>
      <c r="U207" s="233" t="str">
        <f t="shared" si="13"/>
        <v/>
      </c>
      <c r="V207" s="233"/>
      <c r="W207" s="234" t="str">
        <f t="shared" si="15"/>
        <v/>
      </c>
      <c r="X207" s="227" t="str">
        <f>IFERROR(_xlfn.XLOOKUP($A207,'Raw Data'!$A:$A,'Raw Data'!$BA:$BA),"")</f>
        <v/>
      </c>
      <c r="Y207" s="227" t="str">
        <f>IFERROR(_xlfn.XLOOKUP($A207,'Raw Data'!$A:$A,'Raw Data'!BJ:BJ),"")</f>
        <v/>
      </c>
      <c r="Z207" s="227" t="str">
        <f>IFERROR(_xlfn.XLOOKUP($A207,'Raw Data'!$A:$A,'Raw Data'!BK:BK),"")</f>
        <v/>
      </c>
      <c r="AA207" s="227" t="str">
        <f>IFERROR(_xlfn.XLOOKUP($A207,'Raw Data'!$A:$A,'Raw Data'!BL:BL),"")</f>
        <v/>
      </c>
      <c r="AB207" s="227" t="str">
        <f>IFERROR(_xlfn.XLOOKUP($A207,'Raw Data'!$A:$A,'Raw Data'!$H:$H),"")</f>
        <v/>
      </c>
      <c r="AC207" s="145">
        <f>IFERROR(_xlfn.XLOOKUP($D207,'Modelling New'!$D:$D,'Modelling New'!$P:$P),"")</f>
        <v>6.0354838709677416</v>
      </c>
      <c r="AD207" s="227">
        <f>IFERROR(_xlfn.XLOOKUP($D207,'Modelling New'!$D:$D,'Modelling New'!$T:$T)*1000,"")</f>
        <v>108757.04807292875</v>
      </c>
      <c r="AE207" s="234">
        <f>IFERROR(_xlfn.XLOOKUP($D207,'Modelling New'!$D:$D,'Modelling New'!$O:$O),"")</f>
        <v>0.74145302903300359</v>
      </c>
      <c r="AF207" s="234">
        <f>IFERROR(_xlfn.XLOOKUP($D207,'Modelling New'!$D:$D,'Modelling New'!$W:$W),"")</f>
        <v>0.18645949157536959</v>
      </c>
      <c r="AG207" s="234">
        <f>IFERROR(_xlfn.XLOOKUP($D207,'Modelling New'!$D:$D,'Modelling New'!AE:AE),"")</f>
        <v>0.995</v>
      </c>
      <c r="AH207" s="234">
        <v>0.99750000000000005</v>
      </c>
      <c r="AI207" s="6"/>
      <c r="AJ207" s="6"/>
      <c r="AK207" s="6"/>
      <c r="AL207" s="6"/>
      <c r="AM207" s="6"/>
      <c r="AN207" s="231"/>
      <c r="AO207" s="234"/>
      <c r="AP207" s="234"/>
      <c r="AQ207" s="234"/>
      <c r="AR207" s="227">
        <f>IFERROR(_xlfn.XLOOKUP($D207,'Modelling New'!$D:$D,'Modelling New'!$N:$N),"")</f>
        <v>24.303100000000001</v>
      </c>
      <c r="AS207" s="227"/>
    </row>
    <row r="208" spans="1:45" x14ac:dyDescent="0.35">
      <c r="A208" s="226">
        <f t="shared" si="14"/>
        <v>45951</v>
      </c>
      <c r="B208" s="227">
        <f>YEAR(Daily_KPI[[#This Row],[Date]])+IF(MONTH(Daily_KPI[[#This Row],[Date]])&gt;=4,1,0)</f>
        <v>2026</v>
      </c>
      <c r="C208" s="6">
        <f>YEAR(Daily_KPI[[#This Row],[Date]])</f>
        <v>2025</v>
      </c>
      <c r="D208" s="228">
        <f>Daily_KPI[[#This Row],[Date]]-DAY(Daily_KPI[[#This Row],[Date]])+1</f>
        <v>45931</v>
      </c>
      <c r="E208" s="6">
        <f t="shared" si="16"/>
        <v>31</v>
      </c>
      <c r="F208" s="229" t="str">
        <f>IFERROR(_xlfn.XLOOKUP($A208,'Raw Data'!$A:$A,'Raw Data'!$BR:$BR),"")</f>
        <v/>
      </c>
      <c r="G208" s="230" t="str">
        <f>IFERROR(_xlfn.XLOOKUP($A208,'Raw Data'!$A:$A,'Raw Data'!$AO:$AO),"")</f>
        <v/>
      </c>
      <c r="H208" s="230"/>
      <c r="I208" s="230" t="str">
        <f>IFERROR(_xlfn.XLOOKUP($A208,'Raw Data'!$A:$A,'Raw Data'!$AR:$AR),"")</f>
        <v/>
      </c>
      <c r="J208" s="230"/>
      <c r="K208" s="230" t="str">
        <f>IFERROR(_xlfn.XLOOKUP($A208,'Raw Data'!$A:$A,'Raw Data'!$AV:$AV),"")</f>
        <v/>
      </c>
      <c r="L208" s="230" t="str">
        <f>IFERROR(_xlfn.XLOOKUP($A208,'Raw Data'!$A:$A,'Raw Data'!$AW:$AW),"")</f>
        <v/>
      </c>
      <c r="M208" s="230" t="str">
        <f>IFERROR(_xlfn.XLOOKUP($A208,'Raw Data'!$A:$A,'Raw Data'!$AX:$AX),"")</f>
        <v/>
      </c>
      <c r="N208" s="230" t="str">
        <f>IFERROR(_xlfn.XLOOKUP($A208,'Raw Data'!$A:$A,'Raw Data'!$AY:$AY),"")</f>
        <v/>
      </c>
      <c r="O208" s="231" t="str">
        <f>IFERROR(1-(SUMIF('Plant BD'!$B:$B,A208,'Plant BD'!$AE:$AE)/(AA208+SUMIF('Plant BD'!$B:$B,A208,'Plant BD'!$AE:$AE))),"")</f>
        <v/>
      </c>
      <c r="P208" s="231"/>
      <c r="Q208" s="232"/>
      <c r="R208" s="231" t="str">
        <f>IFERROR(1-(SUMIF('Grid BD'!$B:$B,$A208,'Grid BD'!$AD:$AD)/($AA208+SUMIF('Grid BD'!$B:$B,$A208,'Grid BD'!AD:AD))),"")</f>
        <v/>
      </c>
      <c r="S208" s="6"/>
      <c r="T208" s="232"/>
      <c r="U208" s="233" t="str">
        <f t="shared" si="13"/>
        <v/>
      </c>
      <c r="V208" s="233"/>
      <c r="W208" s="234" t="str">
        <f t="shared" si="15"/>
        <v/>
      </c>
      <c r="X208" s="227" t="str">
        <f>IFERROR(_xlfn.XLOOKUP($A208,'Raw Data'!$A:$A,'Raw Data'!$BA:$BA),"")</f>
        <v/>
      </c>
      <c r="Y208" s="227" t="str">
        <f>IFERROR(_xlfn.XLOOKUP($A208,'Raw Data'!$A:$A,'Raw Data'!BJ:BJ),"")</f>
        <v/>
      </c>
      <c r="Z208" s="227" t="str">
        <f>IFERROR(_xlfn.XLOOKUP($A208,'Raw Data'!$A:$A,'Raw Data'!BK:BK),"")</f>
        <v/>
      </c>
      <c r="AA208" s="227" t="str">
        <f>IFERROR(_xlfn.XLOOKUP($A208,'Raw Data'!$A:$A,'Raw Data'!BL:BL),"")</f>
        <v/>
      </c>
      <c r="AB208" s="227" t="str">
        <f>IFERROR(_xlfn.XLOOKUP($A208,'Raw Data'!$A:$A,'Raw Data'!$H:$H),"")</f>
        <v/>
      </c>
      <c r="AC208" s="145">
        <f>IFERROR(_xlfn.XLOOKUP($D208,'Modelling New'!$D:$D,'Modelling New'!$P:$P),"")</f>
        <v>6.0354838709677416</v>
      </c>
      <c r="AD208" s="227">
        <f>IFERROR(_xlfn.XLOOKUP($D208,'Modelling New'!$D:$D,'Modelling New'!$T:$T)*1000,"")</f>
        <v>108757.04807292875</v>
      </c>
      <c r="AE208" s="234">
        <f>IFERROR(_xlfn.XLOOKUP($D208,'Modelling New'!$D:$D,'Modelling New'!$O:$O),"")</f>
        <v>0.74145302903300359</v>
      </c>
      <c r="AF208" s="234">
        <f>IFERROR(_xlfn.XLOOKUP($D208,'Modelling New'!$D:$D,'Modelling New'!$W:$W),"")</f>
        <v>0.18645949157536959</v>
      </c>
      <c r="AG208" s="234">
        <f>IFERROR(_xlfn.XLOOKUP($D208,'Modelling New'!$D:$D,'Modelling New'!AE:AE),"")</f>
        <v>0.995</v>
      </c>
      <c r="AH208" s="234">
        <v>0.99750000000000005</v>
      </c>
      <c r="AI208" s="6"/>
      <c r="AJ208" s="6"/>
      <c r="AK208" s="6"/>
      <c r="AL208" s="6"/>
      <c r="AM208" s="6"/>
      <c r="AN208" s="231"/>
      <c r="AO208" s="234"/>
      <c r="AP208" s="234"/>
      <c r="AQ208" s="234"/>
      <c r="AR208" s="227">
        <f>IFERROR(_xlfn.XLOOKUP($D208,'Modelling New'!$D:$D,'Modelling New'!$N:$N),"")</f>
        <v>24.303100000000001</v>
      </c>
      <c r="AS208" s="227"/>
    </row>
    <row r="209" spans="1:45" x14ac:dyDescent="0.35">
      <c r="A209" s="226">
        <f t="shared" si="14"/>
        <v>45952</v>
      </c>
      <c r="B209" s="227">
        <f>YEAR(Daily_KPI[[#This Row],[Date]])+IF(MONTH(Daily_KPI[[#This Row],[Date]])&gt;=4,1,0)</f>
        <v>2026</v>
      </c>
      <c r="C209" s="6">
        <f>YEAR(Daily_KPI[[#This Row],[Date]])</f>
        <v>2025</v>
      </c>
      <c r="D209" s="228">
        <f>Daily_KPI[[#This Row],[Date]]-DAY(Daily_KPI[[#This Row],[Date]])+1</f>
        <v>45931</v>
      </c>
      <c r="E209" s="6">
        <f t="shared" si="16"/>
        <v>31</v>
      </c>
      <c r="F209" s="229" t="str">
        <f>IFERROR(_xlfn.XLOOKUP($A209,'Raw Data'!$A:$A,'Raw Data'!$BR:$BR),"")</f>
        <v/>
      </c>
      <c r="G209" s="230" t="str">
        <f>IFERROR(_xlfn.XLOOKUP($A209,'Raw Data'!$A:$A,'Raw Data'!$AO:$AO),"")</f>
        <v/>
      </c>
      <c r="H209" s="230"/>
      <c r="I209" s="230" t="str">
        <f>IFERROR(_xlfn.XLOOKUP($A209,'Raw Data'!$A:$A,'Raw Data'!$AR:$AR),"")</f>
        <v/>
      </c>
      <c r="J209" s="230"/>
      <c r="K209" s="230" t="str">
        <f>IFERROR(_xlfn.XLOOKUP($A209,'Raw Data'!$A:$A,'Raw Data'!$AV:$AV),"")</f>
        <v/>
      </c>
      <c r="L209" s="230" t="str">
        <f>IFERROR(_xlfn.XLOOKUP($A209,'Raw Data'!$A:$A,'Raw Data'!$AW:$AW),"")</f>
        <v/>
      </c>
      <c r="M209" s="230" t="str">
        <f>IFERROR(_xlfn.XLOOKUP($A209,'Raw Data'!$A:$A,'Raw Data'!$AX:$AX),"")</f>
        <v/>
      </c>
      <c r="N209" s="230" t="str">
        <f>IFERROR(_xlfn.XLOOKUP($A209,'Raw Data'!$A:$A,'Raw Data'!$AY:$AY),"")</f>
        <v/>
      </c>
      <c r="O209" s="231" t="str">
        <f>IFERROR(1-(SUMIF('Plant BD'!$B:$B,A209,'Plant BD'!$AE:$AE)/(AA209+SUMIF('Plant BD'!$B:$B,A209,'Plant BD'!$AE:$AE))),"")</f>
        <v/>
      </c>
      <c r="P209" s="231"/>
      <c r="Q209" s="232"/>
      <c r="R209" s="231" t="str">
        <f>IFERROR(1-(SUMIF('Grid BD'!$B:$B,$A209,'Grid BD'!$AD:$AD)/($AA209+SUMIF('Grid BD'!$B:$B,$A209,'Grid BD'!AD:AD))),"")</f>
        <v/>
      </c>
      <c r="S209" s="6"/>
      <c r="T209" s="232"/>
      <c r="U209" s="233" t="str">
        <f t="shared" si="13"/>
        <v/>
      </c>
      <c r="V209" s="233"/>
      <c r="W209" s="234" t="str">
        <f t="shared" si="15"/>
        <v/>
      </c>
      <c r="X209" s="227" t="str">
        <f>IFERROR(_xlfn.XLOOKUP($A209,'Raw Data'!$A:$A,'Raw Data'!$BA:$BA),"")</f>
        <v/>
      </c>
      <c r="Y209" s="227" t="str">
        <f>IFERROR(_xlfn.XLOOKUP($A209,'Raw Data'!$A:$A,'Raw Data'!BJ:BJ),"")</f>
        <v/>
      </c>
      <c r="Z209" s="227" t="str">
        <f>IFERROR(_xlfn.XLOOKUP($A209,'Raw Data'!$A:$A,'Raw Data'!BK:BK),"")</f>
        <v/>
      </c>
      <c r="AA209" s="227" t="str">
        <f>IFERROR(_xlfn.XLOOKUP($A209,'Raw Data'!$A:$A,'Raw Data'!BL:BL),"")</f>
        <v/>
      </c>
      <c r="AB209" s="227" t="str">
        <f>IFERROR(_xlfn.XLOOKUP($A209,'Raw Data'!$A:$A,'Raw Data'!$H:$H),"")</f>
        <v/>
      </c>
      <c r="AC209" s="145">
        <f>IFERROR(_xlfn.XLOOKUP($D209,'Modelling New'!$D:$D,'Modelling New'!$P:$P),"")</f>
        <v>6.0354838709677416</v>
      </c>
      <c r="AD209" s="227">
        <f>IFERROR(_xlfn.XLOOKUP($D209,'Modelling New'!$D:$D,'Modelling New'!$T:$T)*1000,"")</f>
        <v>108757.04807292875</v>
      </c>
      <c r="AE209" s="234">
        <f>IFERROR(_xlfn.XLOOKUP($D209,'Modelling New'!$D:$D,'Modelling New'!$O:$O),"")</f>
        <v>0.74145302903300359</v>
      </c>
      <c r="AF209" s="234">
        <f>IFERROR(_xlfn.XLOOKUP($D209,'Modelling New'!$D:$D,'Modelling New'!$W:$W),"")</f>
        <v>0.18645949157536959</v>
      </c>
      <c r="AG209" s="234">
        <f>IFERROR(_xlfn.XLOOKUP($D209,'Modelling New'!$D:$D,'Modelling New'!AE:AE),"")</f>
        <v>0.995</v>
      </c>
      <c r="AH209" s="234">
        <v>0.99750000000000005</v>
      </c>
      <c r="AI209" s="6"/>
      <c r="AJ209" s="6"/>
      <c r="AK209" s="6"/>
      <c r="AL209" s="6"/>
      <c r="AM209" s="6"/>
      <c r="AN209" s="231"/>
      <c r="AO209" s="234"/>
      <c r="AP209" s="234"/>
      <c r="AQ209" s="234"/>
      <c r="AR209" s="227">
        <f>IFERROR(_xlfn.XLOOKUP($D209,'Modelling New'!$D:$D,'Modelling New'!$N:$N),"")</f>
        <v>24.303100000000001</v>
      </c>
      <c r="AS209" s="227"/>
    </row>
    <row r="210" spans="1:45" x14ac:dyDescent="0.35">
      <c r="A210" s="226">
        <f t="shared" si="14"/>
        <v>45953</v>
      </c>
      <c r="B210" s="227">
        <f>YEAR(Daily_KPI[[#This Row],[Date]])+IF(MONTH(Daily_KPI[[#This Row],[Date]])&gt;=4,1,0)</f>
        <v>2026</v>
      </c>
      <c r="C210" s="6">
        <f>YEAR(Daily_KPI[[#This Row],[Date]])</f>
        <v>2025</v>
      </c>
      <c r="D210" s="228">
        <f>Daily_KPI[[#This Row],[Date]]-DAY(Daily_KPI[[#This Row],[Date]])+1</f>
        <v>45931</v>
      </c>
      <c r="E210" s="6">
        <f t="shared" si="16"/>
        <v>31</v>
      </c>
      <c r="F210" s="229" t="str">
        <f>IFERROR(_xlfn.XLOOKUP($A210,'Raw Data'!$A:$A,'Raw Data'!$BR:$BR),"")</f>
        <v/>
      </c>
      <c r="G210" s="230" t="str">
        <f>IFERROR(_xlfn.XLOOKUP($A210,'Raw Data'!$A:$A,'Raw Data'!$AO:$AO),"")</f>
        <v/>
      </c>
      <c r="H210" s="230"/>
      <c r="I210" s="230" t="str">
        <f>IFERROR(_xlfn.XLOOKUP($A210,'Raw Data'!$A:$A,'Raw Data'!$AR:$AR),"")</f>
        <v/>
      </c>
      <c r="J210" s="230"/>
      <c r="K210" s="230" t="str">
        <f>IFERROR(_xlfn.XLOOKUP($A210,'Raw Data'!$A:$A,'Raw Data'!$AV:$AV),"")</f>
        <v/>
      </c>
      <c r="L210" s="230" t="str">
        <f>IFERROR(_xlfn.XLOOKUP($A210,'Raw Data'!$A:$A,'Raw Data'!$AW:$AW),"")</f>
        <v/>
      </c>
      <c r="M210" s="230" t="str">
        <f>IFERROR(_xlfn.XLOOKUP($A210,'Raw Data'!$A:$A,'Raw Data'!$AX:$AX),"")</f>
        <v/>
      </c>
      <c r="N210" s="230" t="str">
        <f>IFERROR(_xlfn.XLOOKUP($A210,'Raw Data'!$A:$A,'Raw Data'!$AY:$AY),"")</f>
        <v/>
      </c>
      <c r="O210" s="231" t="str">
        <f>IFERROR(1-(SUMIF('Plant BD'!$B:$B,A210,'Plant BD'!$AE:$AE)/(AA210+SUMIF('Plant BD'!$B:$B,A210,'Plant BD'!$AE:$AE))),"")</f>
        <v/>
      </c>
      <c r="P210" s="231"/>
      <c r="Q210" s="232"/>
      <c r="R210" s="231" t="str">
        <f>IFERROR(1-(SUMIF('Grid BD'!$B:$B,$A210,'Grid BD'!$AD:$AD)/($AA210+SUMIF('Grid BD'!$B:$B,$A210,'Grid BD'!AD:AD))),"")</f>
        <v/>
      </c>
      <c r="S210" s="6"/>
      <c r="T210" s="232"/>
      <c r="U210" s="233" t="str">
        <f t="shared" ref="U210:U273" si="17">IFERROR(AA210/I210/AB210/1000,"")</f>
        <v/>
      </c>
      <c r="V210" s="233"/>
      <c r="W210" s="234" t="str">
        <f t="shared" si="15"/>
        <v/>
      </c>
      <c r="X210" s="227" t="str">
        <f>IFERROR(_xlfn.XLOOKUP($A210,'Raw Data'!$A:$A,'Raw Data'!$BA:$BA),"")</f>
        <v/>
      </c>
      <c r="Y210" s="227" t="str">
        <f>IFERROR(_xlfn.XLOOKUP($A210,'Raw Data'!$A:$A,'Raw Data'!BJ:BJ),"")</f>
        <v/>
      </c>
      <c r="Z210" s="227" t="str">
        <f>IFERROR(_xlfn.XLOOKUP($A210,'Raw Data'!$A:$A,'Raw Data'!BK:BK),"")</f>
        <v/>
      </c>
      <c r="AA210" s="227" t="str">
        <f>IFERROR(_xlfn.XLOOKUP($A210,'Raw Data'!$A:$A,'Raw Data'!BL:BL),"")</f>
        <v/>
      </c>
      <c r="AB210" s="227" t="str">
        <f>IFERROR(_xlfn.XLOOKUP($A210,'Raw Data'!$A:$A,'Raw Data'!$H:$H),"")</f>
        <v/>
      </c>
      <c r="AC210" s="145">
        <f>IFERROR(_xlfn.XLOOKUP($D210,'Modelling New'!$D:$D,'Modelling New'!$P:$P),"")</f>
        <v>6.0354838709677416</v>
      </c>
      <c r="AD210" s="227">
        <f>IFERROR(_xlfn.XLOOKUP($D210,'Modelling New'!$D:$D,'Modelling New'!$T:$T)*1000,"")</f>
        <v>108757.04807292875</v>
      </c>
      <c r="AE210" s="234">
        <f>IFERROR(_xlfn.XLOOKUP($D210,'Modelling New'!$D:$D,'Modelling New'!$O:$O),"")</f>
        <v>0.74145302903300359</v>
      </c>
      <c r="AF210" s="234">
        <f>IFERROR(_xlfn.XLOOKUP($D210,'Modelling New'!$D:$D,'Modelling New'!$W:$W),"")</f>
        <v>0.18645949157536959</v>
      </c>
      <c r="AG210" s="234">
        <f>IFERROR(_xlfn.XLOOKUP($D210,'Modelling New'!$D:$D,'Modelling New'!AE:AE),"")</f>
        <v>0.995</v>
      </c>
      <c r="AH210" s="234">
        <v>0.99750000000000005</v>
      </c>
      <c r="AI210" s="6"/>
      <c r="AJ210" s="6"/>
      <c r="AK210" s="6"/>
      <c r="AL210" s="6"/>
      <c r="AM210" s="6"/>
      <c r="AN210" s="231"/>
      <c r="AO210" s="234"/>
      <c r="AP210" s="234"/>
      <c r="AQ210" s="234"/>
      <c r="AR210" s="227">
        <f>IFERROR(_xlfn.XLOOKUP($D210,'Modelling New'!$D:$D,'Modelling New'!$N:$N),"")</f>
        <v>24.303100000000001</v>
      </c>
      <c r="AS210" s="227"/>
    </row>
    <row r="211" spans="1:45" x14ac:dyDescent="0.35">
      <c r="A211" s="226">
        <f t="shared" si="14"/>
        <v>45954</v>
      </c>
      <c r="B211" s="227">
        <f>YEAR(Daily_KPI[[#This Row],[Date]])+IF(MONTH(Daily_KPI[[#This Row],[Date]])&gt;=4,1,0)</f>
        <v>2026</v>
      </c>
      <c r="C211" s="6">
        <f>YEAR(Daily_KPI[[#This Row],[Date]])</f>
        <v>2025</v>
      </c>
      <c r="D211" s="228">
        <f>Daily_KPI[[#This Row],[Date]]-DAY(Daily_KPI[[#This Row],[Date]])+1</f>
        <v>45931</v>
      </c>
      <c r="E211" s="6">
        <f t="shared" si="16"/>
        <v>31</v>
      </c>
      <c r="F211" s="229" t="str">
        <f>IFERROR(_xlfn.XLOOKUP($A211,'Raw Data'!$A:$A,'Raw Data'!$BR:$BR),"")</f>
        <v/>
      </c>
      <c r="G211" s="230" t="str">
        <f>IFERROR(_xlfn.XLOOKUP($A211,'Raw Data'!$A:$A,'Raw Data'!$AO:$AO),"")</f>
        <v/>
      </c>
      <c r="H211" s="230"/>
      <c r="I211" s="230" t="str">
        <f>IFERROR(_xlfn.XLOOKUP($A211,'Raw Data'!$A:$A,'Raw Data'!$AR:$AR),"")</f>
        <v/>
      </c>
      <c r="J211" s="230"/>
      <c r="K211" s="230" t="str">
        <f>IFERROR(_xlfn.XLOOKUP($A211,'Raw Data'!$A:$A,'Raw Data'!$AV:$AV),"")</f>
        <v/>
      </c>
      <c r="L211" s="230" t="str">
        <f>IFERROR(_xlfn.XLOOKUP($A211,'Raw Data'!$A:$A,'Raw Data'!$AW:$AW),"")</f>
        <v/>
      </c>
      <c r="M211" s="230" t="str">
        <f>IFERROR(_xlfn.XLOOKUP($A211,'Raw Data'!$A:$A,'Raw Data'!$AX:$AX),"")</f>
        <v/>
      </c>
      <c r="N211" s="230" t="str">
        <f>IFERROR(_xlfn.XLOOKUP($A211,'Raw Data'!$A:$A,'Raw Data'!$AY:$AY),"")</f>
        <v/>
      </c>
      <c r="O211" s="231" t="str">
        <f>IFERROR(1-(SUMIF('Plant BD'!$B:$B,A211,'Plant BD'!$AE:$AE)/(AA211+SUMIF('Plant BD'!$B:$B,A211,'Plant BD'!$AE:$AE))),"")</f>
        <v/>
      </c>
      <c r="P211" s="231"/>
      <c r="Q211" s="232"/>
      <c r="R211" s="231" t="str">
        <f>IFERROR(1-(SUMIF('Grid BD'!$B:$B,$A211,'Grid BD'!$AD:$AD)/($AA211+SUMIF('Grid BD'!$B:$B,$A211,'Grid BD'!AD:AD))),"")</f>
        <v/>
      </c>
      <c r="S211" s="6"/>
      <c r="T211" s="232"/>
      <c r="U211" s="233" t="str">
        <f t="shared" si="17"/>
        <v/>
      </c>
      <c r="V211" s="233"/>
      <c r="W211" s="234" t="str">
        <f t="shared" si="15"/>
        <v/>
      </c>
      <c r="X211" s="227" t="str">
        <f>IFERROR(_xlfn.XLOOKUP($A211,'Raw Data'!$A:$A,'Raw Data'!$BA:$BA),"")</f>
        <v/>
      </c>
      <c r="Y211" s="227" t="str">
        <f>IFERROR(_xlfn.XLOOKUP($A211,'Raw Data'!$A:$A,'Raw Data'!BJ:BJ),"")</f>
        <v/>
      </c>
      <c r="Z211" s="227" t="str">
        <f>IFERROR(_xlfn.XLOOKUP($A211,'Raw Data'!$A:$A,'Raw Data'!BK:BK),"")</f>
        <v/>
      </c>
      <c r="AA211" s="227" t="str">
        <f>IFERROR(_xlfn.XLOOKUP($A211,'Raw Data'!$A:$A,'Raw Data'!BL:BL),"")</f>
        <v/>
      </c>
      <c r="AB211" s="227" t="str">
        <f>IFERROR(_xlfn.XLOOKUP($A211,'Raw Data'!$A:$A,'Raw Data'!$H:$H),"")</f>
        <v/>
      </c>
      <c r="AC211" s="145">
        <f>IFERROR(_xlfn.XLOOKUP($D211,'Modelling New'!$D:$D,'Modelling New'!$P:$P),"")</f>
        <v>6.0354838709677416</v>
      </c>
      <c r="AD211" s="227">
        <f>IFERROR(_xlfn.XLOOKUP($D211,'Modelling New'!$D:$D,'Modelling New'!$T:$T)*1000,"")</f>
        <v>108757.04807292875</v>
      </c>
      <c r="AE211" s="234">
        <f>IFERROR(_xlfn.XLOOKUP($D211,'Modelling New'!$D:$D,'Modelling New'!$O:$O),"")</f>
        <v>0.74145302903300359</v>
      </c>
      <c r="AF211" s="234">
        <f>IFERROR(_xlfn.XLOOKUP($D211,'Modelling New'!$D:$D,'Modelling New'!$W:$W),"")</f>
        <v>0.18645949157536959</v>
      </c>
      <c r="AG211" s="234">
        <f>IFERROR(_xlfn.XLOOKUP($D211,'Modelling New'!$D:$D,'Modelling New'!AE:AE),"")</f>
        <v>0.995</v>
      </c>
      <c r="AH211" s="234">
        <v>0.99750000000000005</v>
      </c>
      <c r="AI211" s="6"/>
      <c r="AJ211" s="6"/>
      <c r="AK211" s="6"/>
      <c r="AL211" s="6"/>
      <c r="AM211" s="6"/>
      <c r="AN211" s="231"/>
      <c r="AO211" s="234"/>
      <c r="AP211" s="234"/>
      <c r="AQ211" s="234"/>
      <c r="AR211" s="227">
        <f>IFERROR(_xlfn.XLOOKUP($D211,'Modelling New'!$D:$D,'Modelling New'!$N:$N),"")</f>
        <v>24.303100000000001</v>
      </c>
      <c r="AS211" s="227"/>
    </row>
    <row r="212" spans="1:45" x14ac:dyDescent="0.35">
      <c r="A212" s="226">
        <f t="shared" ref="A212:A275" si="18">A211+1</f>
        <v>45955</v>
      </c>
      <c r="B212" s="227">
        <f>YEAR(Daily_KPI[[#This Row],[Date]])+IF(MONTH(Daily_KPI[[#This Row],[Date]])&gt;=4,1,0)</f>
        <v>2026</v>
      </c>
      <c r="C212" s="6">
        <f>YEAR(Daily_KPI[[#This Row],[Date]])</f>
        <v>2025</v>
      </c>
      <c r="D212" s="228">
        <f>Daily_KPI[[#This Row],[Date]]-DAY(Daily_KPI[[#This Row],[Date]])+1</f>
        <v>45931</v>
      </c>
      <c r="E212" s="6">
        <f t="shared" si="16"/>
        <v>31</v>
      </c>
      <c r="F212" s="229" t="str">
        <f>IFERROR(_xlfn.XLOOKUP($A212,'Raw Data'!$A:$A,'Raw Data'!$BR:$BR),"")</f>
        <v/>
      </c>
      <c r="G212" s="230" t="str">
        <f>IFERROR(_xlfn.XLOOKUP($A212,'Raw Data'!$A:$A,'Raw Data'!$AO:$AO),"")</f>
        <v/>
      </c>
      <c r="H212" s="230"/>
      <c r="I212" s="230" t="str">
        <f>IFERROR(_xlfn.XLOOKUP($A212,'Raw Data'!$A:$A,'Raw Data'!$AR:$AR),"")</f>
        <v/>
      </c>
      <c r="J212" s="230"/>
      <c r="K212" s="230" t="str">
        <f>IFERROR(_xlfn.XLOOKUP($A212,'Raw Data'!$A:$A,'Raw Data'!$AV:$AV),"")</f>
        <v/>
      </c>
      <c r="L212" s="230" t="str">
        <f>IFERROR(_xlfn.XLOOKUP($A212,'Raw Data'!$A:$A,'Raw Data'!$AW:$AW),"")</f>
        <v/>
      </c>
      <c r="M212" s="230" t="str">
        <f>IFERROR(_xlfn.XLOOKUP($A212,'Raw Data'!$A:$A,'Raw Data'!$AX:$AX),"")</f>
        <v/>
      </c>
      <c r="N212" s="230" t="str">
        <f>IFERROR(_xlfn.XLOOKUP($A212,'Raw Data'!$A:$A,'Raw Data'!$AY:$AY),"")</f>
        <v/>
      </c>
      <c r="O212" s="231" t="str">
        <f>IFERROR(1-(SUMIF('Plant BD'!$B:$B,A212,'Plant BD'!$AE:$AE)/(AA212+SUMIF('Plant BD'!$B:$B,A212,'Plant BD'!$AE:$AE))),"")</f>
        <v/>
      </c>
      <c r="P212" s="231"/>
      <c r="Q212" s="232"/>
      <c r="R212" s="231" t="str">
        <f>IFERROR(1-(SUMIF('Grid BD'!$B:$B,$A212,'Grid BD'!$AD:$AD)/($AA212+SUMIF('Grid BD'!$B:$B,$A212,'Grid BD'!AD:AD))),"")</f>
        <v/>
      </c>
      <c r="S212" s="6"/>
      <c r="T212" s="232"/>
      <c r="U212" s="233" t="str">
        <f t="shared" si="17"/>
        <v/>
      </c>
      <c r="V212" s="233"/>
      <c r="W212" s="234" t="str">
        <f t="shared" si="15"/>
        <v/>
      </c>
      <c r="X212" s="227" t="str">
        <f>IFERROR(_xlfn.XLOOKUP($A212,'Raw Data'!$A:$A,'Raw Data'!$BA:$BA),"")</f>
        <v/>
      </c>
      <c r="Y212" s="227" t="str">
        <f>IFERROR(_xlfn.XLOOKUP($A212,'Raw Data'!$A:$A,'Raw Data'!BJ:BJ),"")</f>
        <v/>
      </c>
      <c r="Z212" s="227" t="str">
        <f>IFERROR(_xlfn.XLOOKUP($A212,'Raw Data'!$A:$A,'Raw Data'!BK:BK),"")</f>
        <v/>
      </c>
      <c r="AA212" s="227" t="str">
        <f>IFERROR(_xlfn.XLOOKUP($A212,'Raw Data'!$A:$A,'Raw Data'!BL:BL),"")</f>
        <v/>
      </c>
      <c r="AB212" s="227" t="str">
        <f>IFERROR(_xlfn.XLOOKUP($A212,'Raw Data'!$A:$A,'Raw Data'!$H:$H),"")</f>
        <v/>
      </c>
      <c r="AC212" s="145">
        <f>IFERROR(_xlfn.XLOOKUP($D212,'Modelling New'!$D:$D,'Modelling New'!$P:$P),"")</f>
        <v>6.0354838709677416</v>
      </c>
      <c r="AD212" s="227">
        <f>IFERROR(_xlfn.XLOOKUP($D212,'Modelling New'!$D:$D,'Modelling New'!$T:$T)*1000,"")</f>
        <v>108757.04807292875</v>
      </c>
      <c r="AE212" s="234">
        <f>IFERROR(_xlfn.XLOOKUP($D212,'Modelling New'!$D:$D,'Modelling New'!$O:$O),"")</f>
        <v>0.74145302903300359</v>
      </c>
      <c r="AF212" s="234">
        <f>IFERROR(_xlfn.XLOOKUP($D212,'Modelling New'!$D:$D,'Modelling New'!$W:$W),"")</f>
        <v>0.18645949157536959</v>
      </c>
      <c r="AG212" s="234">
        <f>IFERROR(_xlfn.XLOOKUP($D212,'Modelling New'!$D:$D,'Modelling New'!AE:AE),"")</f>
        <v>0.995</v>
      </c>
      <c r="AH212" s="234">
        <v>0.99750000000000005</v>
      </c>
      <c r="AI212" s="6"/>
      <c r="AJ212" s="6"/>
      <c r="AK212" s="6"/>
      <c r="AL212" s="6"/>
      <c r="AM212" s="6"/>
      <c r="AN212" s="231"/>
      <c r="AO212" s="234"/>
      <c r="AP212" s="234"/>
      <c r="AQ212" s="234"/>
      <c r="AR212" s="227">
        <f>IFERROR(_xlfn.XLOOKUP($D212,'Modelling New'!$D:$D,'Modelling New'!$N:$N),"")</f>
        <v>24.303100000000001</v>
      </c>
      <c r="AS212" s="227"/>
    </row>
    <row r="213" spans="1:45" x14ac:dyDescent="0.35">
      <c r="A213" s="226">
        <f t="shared" si="18"/>
        <v>45956</v>
      </c>
      <c r="B213" s="227">
        <f>YEAR(Daily_KPI[[#This Row],[Date]])+IF(MONTH(Daily_KPI[[#This Row],[Date]])&gt;=4,1,0)</f>
        <v>2026</v>
      </c>
      <c r="C213" s="6">
        <f>YEAR(Daily_KPI[[#This Row],[Date]])</f>
        <v>2025</v>
      </c>
      <c r="D213" s="228">
        <f>Daily_KPI[[#This Row],[Date]]-DAY(Daily_KPI[[#This Row],[Date]])+1</f>
        <v>45931</v>
      </c>
      <c r="E213" s="6">
        <f t="shared" si="16"/>
        <v>31</v>
      </c>
      <c r="F213" s="229" t="str">
        <f>IFERROR(_xlfn.XLOOKUP($A213,'Raw Data'!$A:$A,'Raw Data'!$BR:$BR),"")</f>
        <v/>
      </c>
      <c r="G213" s="230" t="str">
        <f>IFERROR(_xlfn.XLOOKUP($A213,'Raw Data'!$A:$A,'Raw Data'!$AO:$AO),"")</f>
        <v/>
      </c>
      <c r="H213" s="230"/>
      <c r="I213" s="230" t="str">
        <f>IFERROR(_xlfn.XLOOKUP($A213,'Raw Data'!$A:$A,'Raw Data'!$AR:$AR),"")</f>
        <v/>
      </c>
      <c r="J213" s="230"/>
      <c r="K213" s="230" t="str">
        <f>IFERROR(_xlfn.XLOOKUP($A213,'Raw Data'!$A:$A,'Raw Data'!$AV:$AV),"")</f>
        <v/>
      </c>
      <c r="L213" s="230" t="str">
        <f>IFERROR(_xlfn.XLOOKUP($A213,'Raw Data'!$A:$A,'Raw Data'!$AW:$AW),"")</f>
        <v/>
      </c>
      <c r="M213" s="230" t="str">
        <f>IFERROR(_xlfn.XLOOKUP($A213,'Raw Data'!$A:$A,'Raw Data'!$AX:$AX),"")</f>
        <v/>
      </c>
      <c r="N213" s="230" t="str">
        <f>IFERROR(_xlfn.XLOOKUP($A213,'Raw Data'!$A:$A,'Raw Data'!$AY:$AY),"")</f>
        <v/>
      </c>
      <c r="O213" s="231" t="str">
        <f>IFERROR(1-(SUMIF('Plant BD'!$B:$B,A213,'Plant BD'!$AE:$AE)/(AA213+SUMIF('Plant BD'!$B:$B,A213,'Plant BD'!$AE:$AE))),"")</f>
        <v/>
      </c>
      <c r="P213" s="231"/>
      <c r="Q213" s="232"/>
      <c r="R213" s="231" t="str">
        <f>IFERROR(1-(SUMIF('Grid BD'!$B:$B,$A213,'Grid BD'!$AD:$AD)/($AA213+SUMIF('Grid BD'!$B:$B,$A213,'Grid BD'!AD:AD))),"")</f>
        <v/>
      </c>
      <c r="S213" s="6"/>
      <c r="T213" s="232"/>
      <c r="U213" s="233" t="str">
        <f t="shared" si="17"/>
        <v/>
      </c>
      <c r="V213" s="233"/>
      <c r="W213" s="234" t="str">
        <f t="shared" si="15"/>
        <v/>
      </c>
      <c r="X213" s="227" t="str">
        <f>IFERROR(_xlfn.XLOOKUP($A213,'Raw Data'!$A:$A,'Raw Data'!$BA:$BA),"")</f>
        <v/>
      </c>
      <c r="Y213" s="227" t="str">
        <f>IFERROR(_xlfn.XLOOKUP($A213,'Raw Data'!$A:$A,'Raw Data'!BJ:BJ),"")</f>
        <v/>
      </c>
      <c r="Z213" s="227" t="str">
        <f>IFERROR(_xlfn.XLOOKUP($A213,'Raw Data'!$A:$A,'Raw Data'!BK:BK),"")</f>
        <v/>
      </c>
      <c r="AA213" s="227" t="str">
        <f>IFERROR(_xlfn.XLOOKUP($A213,'Raw Data'!$A:$A,'Raw Data'!BL:BL),"")</f>
        <v/>
      </c>
      <c r="AB213" s="227" t="str">
        <f>IFERROR(_xlfn.XLOOKUP($A213,'Raw Data'!$A:$A,'Raw Data'!$H:$H),"")</f>
        <v/>
      </c>
      <c r="AC213" s="145">
        <f>IFERROR(_xlfn.XLOOKUP($D213,'Modelling New'!$D:$D,'Modelling New'!$P:$P),"")</f>
        <v>6.0354838709677416</v>
      </c>
      <c r="AD213" s="227">
        <f>IFERROR(_xlfn.XLOOKUP($D213,'Modelling New'!$D:$D,'Modelling New'!$T:$T)*1000,"")</f>
        <v>108757.04807292875</v>
      </c>
      <c r="AE213" s="234">
        <f>IFERROR(_xlfn.XLOOKUP($D213,'Modelling New'!$D:$D,'Modelling New'!$O:$O),"")</f>
        <v>0.74145302903300359</v>
      </c>
      <c r="AF213" s="234">
        <f>IFERROR(_xlfn.XLOOKUP($D213,'Modelling New'!$D:$D,'Modelling New'!$W:$W),"")</f>
        <v>0.18645949157536959</v>
      </c>
      <c r="AG213" s="234">
        <f>IFERROR(_xlfn.XLOOKUP($D213,'Modelling New'!$D:$D,'Modelling New'!AE:AE),"")</f>
        <v>0.995</v>
      </c>
      <c r="AH213" s="234">
        <v>0.99750000000000005</v>
      </c>
      <c r="AI213" s="6"/>
      <c r="AJ213" s="6"/>
      <c r="AK213" s="6"/>
      <c r="AL213" s="6"/>
      <c r="AM213" s="6"/>
      <c r="AN213" s="231"/>
      <c r="AO213" s="234"/>
      <c r="AP213" s="234"/>
      <c r="AQ213" s="234"/>
      <c r="AR213" s="227">
        <f>IFERROR(_xlfn.XLOOKUP($D213,'Modelling New'!$D:$D,'Modelling New'!$N:$N),"")</f>
        <v>24.303100000000001</v>
      </c>
      <c r="AS213" s="227"/>
    </row>
    <row r="214" spans="1:45" x14ac:dyDescent="0.35">
      <c r="A214" s="226">
        <f t="shared" si="18"/>
        <v>45957</v>
      </c>
      <c r="B214" s="227">
        <f>YEAR(Daily_KPI[[#This Row],[Date]])+IF(MONTH(Daily_KPI[[#This Row],[Date]])&gt;=4,1,0)</f>
        <v>2026</v>
      </c>
      <c r="C214" s="6">
        <f>YEAR(Daily_KPI[[#This Row],[Date]])</f>
        <v>2025</v>
      </c>
      <c r="D214" s="228">
        <f>Daily_KPI[[#This Row],[Date]]-DAY(Daily_KPI[[#This Row],[Date]])+1</f>
        <v>45931</v>
      </c>
      <c r="E214" s="6">
        <f t="shared" si="16"/>
        <v>31</v>
      </c>
      <c r="F214" s="229" t="str">
        <f>IFERROR(_xlfn.XLOOKUP($A214,'Raw Data'!$A:$A,'Raw Data'!$BR:$BR),"")</f>
        <v/>
      </c>
      <c r="G214" s="230" t="str">
        <f>IFERROR(_xlfn.XLOOKUP($A214,'Raw Data'!$A:$A,'Raw Data'!$AO:$AO),"")</f>
        <v/>
      </c>
      <c r="H214" s="230"/>
      <c r="I214" s="230" t="str">
        <f>IFERROR(_xlfn.XLOOKUP($A214,'Raw Data'!$A:$A,'Raw Data'!$AR:$AR),"")</f>
        <v/>
      </c>
      <c r="J214" s="230"/>
      <c r="K214" s="230" t="str">
        <f>IFERROR(_xlfn.XLOOKUP($A214,'Raw Data'!$A:$A,'Raw Data'!$AV:$AV),"")</f>
        <v/>
      </c>
      <c r="L214" s="230" t="str">
        <f>IFERROR(_xlfn.XLOOKUP($A214,'Raw Data'!$A:$A,'Raw Data'!$AW:$AW),"")</f>
        <v/>
      </c>
      <c r="M214" s="230" t="str">
        <f>IFERROR(_xlfn.XLOOKUP($A214,'Raw Data'!$A:$A,'Raw Data'!$AX:$AX),"")</f>
        <v/>
      </c>
      <c r="N214" s="230" t="str">
        <f>IFERROR(_xlfn.XLOOKUP($A214,'Raw Data'!$A:$A,'Raw Data'!$AY:$AY),"")</f>
        <v/>
      </c>
      <c r="O214" s="231" t="str">
        <f>IFERROR(1-(SUMIF('Plant BD'!$B:$B,A214,'Plant BD'!$AE:$AE)/(AA214+SUMIF('Plant BD'!$B:$B,A214,'Plant BD'!$AE:$AE))),"")</f>
        <v/>
      </c>
      <c r="P214" s="231"/>
      <c r="Q214" s="232"/>
      <c r="R214" s="231" t="str">
        <f>IFERROR(1-(SUMIF('Grid BD'!$B:$B,$A214,'Grid BD'!$AD:$AD)/($AA214+SUMIF('Grid BD'!$B:$B,$A214,'Grid BD'!AD:AD))),"")</f>
        <v/>
      </c>
      <c r="S214" s="6"/>
      <c r="T214" s="232"/>
      <c r="U214" s="233" t="str">
        <f t="shared" si="17"/>
        <v/>
      </c>
      <c r="V214" s="233"/>
      <c r="W214" s="234" t="str">
        <f t="shared" si="15"/>
        <v/>
      </c>
      <c r="X214" s="227" t="str">
        <f>IFERROR(_xlfn.XLOOKUP($A214,'Raw Data'!$A:$A,'Raw Data'!$BA:$BA),"")</f>
        <v/>
      </c>
      <c r="Y214" s="227" t="str">
        <f>IFERROR(_xlfn.XLOOKUP($A214,'Raw Data'!$A:$A,'Raw Data'!BJ:BJ),"")</f>
        <v/>
      </c>
      <c r="Z214" s="227" t="str">
        <f>IFERROR(_xlfn.XLOOKUP($A214,'Raw Data'!$A:$A,'Raw Data'!BK:BK),"")</f>
        <v/>
      </c>
      <c r="AA214" s="227" t="str">
        <f>IFERROR(_xlfn.XLOOKUP($A214,'Raw Data'!$A:$A,'Raw Data'!BL:BL),"")</f>
        <v/>
      </c>
      <c r="AB214" s="227" t="str">
        <f>IFERROR(_xlfn.XLOOKUP($A214,'Raw Data'!$A:$A,'Raw Data'!$H:$H),"")</f>
        <v/>
      </c>
      <c r="AC214" s="145">
        <f>IFERROR(_xlfn.XLOOKUP($D214,'Modelling New'!$D:$D,'Modelling New'!$P:$P),"")</f>
        <v>6.0354838709677416</v>
      </c>
      <c r="AD214" s="227">
        <f>IFERROR(_xlfn.XLOOKUP($D214,'Modelling New'!$D:$D,'Modelling New'!$T:$T)*1000,"")</f>
        <v>108757.04807292875</v>
      </c>
      <c r="AE214" s="234">
        <f>IFERROR(_xlfn.XLOOKUP($D214,'Modelling New'!$D:$D,'Modelling New'!$O:$O),"")</f>
        <v>0.74145302903300359</v>
      </c>
      <c r="AF214" s="234">
        <f>IFERROR(_xlfn.XLOOKUP($D214,'Modelling New'!$D:$D,'Modelling New'!$W:$W),"")</f>
        <v>0.18645949157536959</v>
      </c>
      <c r="AG214" s="234">
        <f>IFERROR(_xlfn.XLOOKUP($D214,'Modelling New'!$D:$D,'Modelling New'!AE:AE),"")</f>
        <v>0.995</v>
      </c>
      <c r="AH214" s="234">
        <v>0.99750000000000005</v>
      </c>
      <c r="AI214" s="6"/>
      <c r="AJ214" s="6"/>
      <c r="AK214" s="6"/>
      <c r="AL214" s="6"/>
      <c r="AM214" s="6"/>
      <c r="AN214" s="231"/>
      <c r="AO214" s="234"/>
      <c r="AP214" s="234"/>
      <c r="AQ214" s="234"/>
      <c r="AR214" s="227">
        <f>IFERROR(_xlfn.XLOOKUP($D214,'Modelling New'!$D:$D,'Modelling New'!$N:$N),"")</f>
        <v>24.303100000000001</v>
      </c>
      <c r="AS214" s="227"/>
    </row>
    <row r="215" spans="1:45" x14ac:dyDescent="0.35">
      <c r="A215" s="226">
        <f t="shared" si="18"/>
        <v>45958</v>
      </c>
      <c r="B215" s="227">
        <f>YEAR(Daily_KPI[[#This Row],[Date]])+IF(MONTH(Daily_KPI[[#This Row],[Date]])&gt;=4,1,0)</f>
        <v>2026</v>
      </c>
      <c r="C215" s="6">
        <f>YEAR(Daily_KPI[[#This Row],[Date]])</f>
        <v>2025</v>
      </c>
      <c r="D215" s="228">
        <f>Daily_KPI[[#This Row],[Date]]-DAY(Daily_KPI[[#This Row],[Date]])+1</f>
        <v>45931</v>
      </c>
      <c r="E215" s="6">
        <f t="shared" si="16"/>
        <v>31</v>
      </c>
      <c r="F215" s="229" t="str">
        <f>IFERROR(_xlfn.XLOOKUP($A215,'Raw Data'!$A:$A,'Raw Data'!$BR:$BR),"")</f>
        <v/>
      </c>
      <c r="G215" s="230" t="str">
        <f>IFERROR(_xlfn.XLOOKUP($A215,'Raw Data'!$A:$A,'Raw Data'!$AO:$AO),"")</f>
        <v/>
      </c>
      <c r="H215" s="230"/>
      <c r="I215" s="230" t="str">
        <f>IFERROR(_xlfn.XLOOKUP($A215,'Raw Data'!$A:$A,'Raw Data'!$AR:$AR),"")</f>
        <v/>
      </c>
      <c r="J215" s="230"/>
      <c r="K215" s="230" t="str">
        <f>IFERROR(_xlfn.XLOOKUP($A215,'Raw Data'!$A:$A,'Raw Data'!$AV:$AV),"")</f>
        <v/>
      </c>
      <c r="L215" s="230" t="str">
        <f>IFERROR(_xlfn.XLOOKUP($A215,'Raw Data'!$A:$A,'Raw Data'!$AW:$AW),"")</f>
        <v/>
      </c>
      <c r="M215" s="230" t="str">
        <f>IFERROR(_xlfn.XLOOKUP($A215,'Raw Data'!$A:$A,'Raw Data'!$AX:$AX),"")</f>
        <v/>
      </c>
      <c r="N215" s="230" t="str">
        <f>IFERROR(_xlfn.XLOOKUP($A215,'Raw Data'!$A:$A,'Raw Data'!$AY:$AY),"")</f>
        <v/>
      </c>
      <c r="O215" s="231" t="str">
        <f>IFERROR(1-(SUMIF('Plant BD'!$B:$B,A215,'Plant BD'!$AE:$AE)/(AA215+SUMIF('Plant BD'!$B:$B,A215,'Plant BD'!$AE:$AE))),"")</f>
        <v/>
      </c>
      <c r="P215" s="231"/>
      <c r="Q215" s="232"/>
      <c r="R215" s="231" t="str">
        <f>IFERROR(1-(SUMIF('Grid BD'!$B:$B,$A215,'Grid BD'!$AD:$AD)/($AA215+SUMIF('Grid BD'!$B:$B,$A215,'Grid BD'!AD:AD))),"")</f>
        <v/>
      </c>
      <c r="S215" s="6"/>
      <c r="T215" s="232"/>
      <c r="U215" s="233" t="str">
        <f t="shared" si="17"/>
        <v/>
      </c>
      <c r="V215" s="233"/>
      <c r="W215" s="234" t="str">
        <f t="shared" si="15"/>
        <v/>
      </c>
      <c r="X215" s="227" t="str">
        <f>IFERROR(_xlfn.XLOOKUP($A215,'Raw Data'!$A:$A,'Raw Data'!$BA:$BA),"")</f>
        <v/>
      </c>
      <c r="Y215" s="227" t="str">
        <f>IFERROR(_xlfn.XLOOKUP($A215,'Raw Data'!$A:$A,'Raw Data'!BJ:BJ),"")</f>
        <v/>
      </c>
      <c r="Z215" s="227" t="str">
        <f>IFERROR(_xlfn.XLOOKUP($A215,'Raw Data'!$A:$A,'Raw Data'!BK:BK),"")</f>
        <v/>
      </c>
      <c r="AA215" s="227" t="str">
        <f>IFERROR(_xlfn.XLOOKUP($A215,'Raw Data'!$A:$A,'Raw Data'!BL:BL),"")</f>
        <v/>
      </c>
      <c r="AB215" s="227" t="str">
        <f>IFERROR(_xlfn.XLOOKUP($A215,'Raw Data'!$A:$A,'Raw Data'!$H:$H),"")</f>
        <v/>
      </c>
      <c r="AC215" s="145">
        <f>IFERROR(_xlfn.XLOOKUP($D215,'Modelling New'!$D:$D,'Modelling New'!$P:$P),"")</f>
        <v>6.0354838709677416</v>
      </c>
      <c r="AD215" s="227">
        <f>IFERROR(_xlfn.XLOOKUP($D215,'Modelling New'!$D:$D,'Modelling New'!$T:$T)*1000,"")</f>
        <v>108757.04807292875</v>
      </c>
      <c r="AE215" s="234">
        <f>IFERROR(_xlfn.XLOOKUP($D215,'Modelling New'!$D:$D,'Modelling New'!$O:$O),"")</f>
        <v>0.74145302903300359</v>
      </c>
      <c r="AF215" s="234">
        <f>IFERROR(_xlfn.XLOOKUP($D215,'Modelling New'!$D:$D,'Modelling New'!$W:$W),"")</f>
        <v>0.18645949157536959</v>
      </c>
      <c r="AG215" s="234">
        <f>IFERROR(_xlfn.XLOOKUP($D215,'Modelling New'!$D:$D,'Modelling New'!AE:AE),"")</f>
        <v>0.995</v>
      </c>
      <c r="AH215" s="234">
        <v>0.99750000000000005</v>
      </c>
      <c r="AI215" s="6"/>
      <c r="AJ215" s="6"/>
      <c r="AK215" s="6"/>
      <c r="AL215" s="6"/>
      <c r="AM215" s="6"/>
      <c r="AN215" s="231"/>
      <c r="AO215" s="234"/>
      <c r="AP215" s="234"/>
      <c r="AQ215" s="234"/>
      <c r="AR215" s="227">
        <f>IFERROR(_xlfn.XLOOKUP($D215,'Modelling New'!$D:$D,'Modelling New'!$N:$N),"")</f>
        <v>24.303100000000001</v>
      </c>
      <c r="AS215" s="227"/>
    </row>
    <row r="216" spans="1:45" x14ac:dyDescent="0.35">
      <c r="A216" s="226">
        <f t="shared" si="18"/>
        <v>45959</v>
      </c>
      <c r="B216" s="227">
        <f>YEAR(Daily_KPI[[#This Row],[Date]])+IF(MONTH(Daily_KPI[[#This Row],[Date]])&gt;=4,1,0)</f>
        <v>2026</v>
      </c>
      <c r="C216" s="6">
        <f>YEAR(Daily_KPI[[#This Row],[Date]])</f>
        <v>2025</v>
      </c>
      <c r="D216" s="228">
        <f>Daily_KPI[[#This Row],[Date]]-DAY(Daily_KPI[[#This Row],[Date]])+1</f>
        <v>45931</v>
      </c>
      <c r="E216" s="6">
        <f t="shared" si="16"/>
        <v>31</v>
      </c>
      <c r="F216" s="229" t="str">
        <f>IFERROR(_xlfn.XLOOKUP($A216,'Raw Data'!$A:$A,'Raw Data'!$BR:$BR),"")</f>
        <v/>
      </c>
      <c r="G216" s="230" t="str">
        <f>IFERROR(_xlfn.XLOOKUP($A216,'Raw Data'!$A:$A,'Raw Data'!$AO:$AO),"")</f>
        <v/>
      </c>
      <c r="H216" s="230"/>
      <c r="I216" s="230" t="str">
        <f>IFERROR(_xlfn.XLOOKUP($A216,'Raw Data'!$A:$A,'Raw Data'!$AR:$AR),"")</f>
        <v/>
      </c>
      <c r="J216" s="230"/>
      <c r="K216" s="230" t="str">
        <f>IFERROR(_xlfn.XLOOKUP($A216,'Raw Data'!$A:$A,'Raw Data'!$AV:$AV),"")</f>
        <v/>
      </c>
      <c r="L216" s="230" t="str">
        <f>IFERROR(_xlfn.XLOOKUP($A216,'Raw Data'!$A:$A,'Raw Data'!$AW:$AW),"")</f>
        <v/>
      </c>
      <c r="M216" s="230" t="str">
        <f>IFERROR(_xlfn.XLOOKUP($A216,'Raw Data'!$A:$A,'Raw Data'!$AX:$AX),"")</f>
        <v/>
      </c>
      <c r="N216" s="230" t="str">
        <f>IFERROR(_xlfn.XLOOKUP($A216,'Raw Data'!$A:$A,'Raw Data'!$AY:$AY),"")</f>
        <v/>
      </c>
      <c r="O216" s="231" t="str">
        <f>IFERROR(1-(SUMIF('Plant BD'!$B:$B,A216,'Plant BD'!$AE:$AE)/(AA216+SUMIF('Plant BD'!$B:$B,A216,'Plant BD'!$AE:$AE))),"")</f>
        <v/>
      </c>
      <c r="P216" s="231"/>
      <c r="Q216" s="232"/>
      <c r="R216" s="231" t="str">
        <f>IFERROR(1-(SUMIF('Grid BD'!$B:$B,$A216,'Grid BD'!$AD:$AD)/($AA216+SUMIF('Grid BD'!$B:$B,$A216,'Grid BD'!AD:AD))),"")</f>
        <v/>
      </c>
      <c r="S216" s="6"/>
      <c r="T216" s="232"/>
      <c r="U216" s="233" t="str">
        <f t="shared" si="17"/>
        <v/>
      </c>
      <c r="V216" s="233"/>
      <c r="W216" s="234" t="str">
        <f t="shared" si="15"/>
        <v/>
      </c>
      <c r="X216" s="227" t="str">
        <f>IFERROR(_xlfn.XLOOKUP($A216,'Raw Data'!$A:$A,'Raw Data'!$BA:$BA),"")</f>
        <v/>
      </c>
      <c r="Y216" s="227" t="str">
        <f>IFERROR(_xlfn.XLOOKUP($A216,'Raw Data'!$A:$A,'Raw Data'!BJ:BJ),"")</f>
        <v/>
      </c>
      <c r="Z216" s="227" t="str">
        <f>IFERROR(_xlfn.XLOOKUP($A216,'Raw Data'!$A:$A,'Raw Data'!BK:BK),"")</f>
        <v/>
      </c>
      <c r="AA216" s="227" t="str">
        <f>IFERROR(_xlfn.XLOOKUP($A216,'Raw Data'!$A:$A,'Raw Data'!BL:BL),"")</f>
        <v/>
      </c>
      <c r="AB216" s="227" t="str">
        <f>IFERROR(_xlfn.XLOOKUP($A216,'Raw Data'!$A:$A,'Raw Data'!$H:$H),"")</f>
        <v/>
      </c>
      <c r="AC216" s="145">
        <f>IFERROR(_xlfn.XLOOKUP($D216,'Modelling New'!$D:$D,'Modelling New'!$P:$P),"")</f>
        <v>6.0354838709677416</v>
      </c>
      <c r="AD216" s="227">
        <f>IFERROR(_xlfn.XLOOKUP($D216,'Modelling New'!$D:$D,'Modelling New'!$T:$T)*1000,"")</f>
        <v>108757.04807292875</v>
      </c>
      <c r="AE216" s="234">
        <f>IFERROR(_xlfn.XLOOKUP($D216,'Modelling New'!$D:$D,'Modelling New'!$O:$O),"")</f>
        <v>0.74145302903300359</v>
      </c>
      <c r="AF216" s="234">
        <f>IFERROR(_xlfn.XLOOKUP($D216,'Modelling New'!$D:$D,'Modelling New'!$W:$W),"")</f>
        <v>0.18645949157536959</v>
      </c>
      <c r="AG216" s="234">
        <f>IFERROR(_xlfn.XLOOKUP($D216,'Modelling New'!$D:$D,'Modelling New'!AE:AE),"")</f>
        <v>0.995</v>
      </c>
      <c r="AH216" s="234">
        <v>0.99750000000000005</v>
      </c>
      <c r="AI216" s="6"/>
      <c r="AJ216" s="6"/>
      <c r="AK216" s="6"/>
      <c r="AL216" s="6"/>
      <c r="AM216" s="6"/>
      <c r="AN216" s="231"/>
      <c r="AO216" s="234"/>
      <c r="AP216" s="234"/>
      <c r="AQ216" s="234"/>
      <c r="AR216" s="227">
        <f>IFERROR(_xlfn.XLOOKUP($D216,'Modelling New'!$D:$D,'Modelling New'!$N:$N),"")</f>
        <v>24.303100000000001</v>
      </c>
      <c r="AS216" s="227"/>
    </row>
    <row r="217" spans="1:45" x14ac:dyDescent="0.35">
      <c r="A217" s="226">
        <f t="shared" si="18"/>
        <v>45960</v>
      </c>
      <c r="B217" s="227">
        <f>YEAR(Daily_KPI[[#This Row],[Date]])+IF(MONTH(Daily_KPI[[#This Row],[Date]])&gt;=4,1,0)</f>
        <v>2026</v>
      </c>
      <c r="C217" s="6">
        <f>YEAR(Daily_KPI[[#This Row],[Date]])</f>
        <v>2025</v>
      </c>
      <c r="D217" s="228">
        <f>Daily_KPI[[#This Row],[Date]]-DAY(Daily_KPI[[#This Row],[Date]])+1</f>
        <v>45931</v>
      </c>
      <c r="E217" s="6">
        <f t="shared" si="16"/>
        <v>31</v>
      </c>
      <c r="F217" s="229" t="str">
        <f>IFERROR(_xlfn.XLOOKUP($A217,'Raw Data'!$A:$A,'Raw Data'!$BR:$BR),"")</f>
        <v/>
      </c>
      <c r="G217" s="230" t="str">
        <f>IFERROR(_xlfn.XLOOKUP($A217,'Raw Data'!$A:$A,'Raw Data'!$AO:$AO),"")</f>
        <v/>
      </c>
      <c r="H217" s="230"/>
      <c r="I217" s="230" t="str">
        <f>IFERROR(_xlfn.XLOOKUP($A217,'Raw Data'!$A:$A,'Raw Data'!$AR:$AR),"")</f>
        <v/>
      </c>
      <c r="J217" s="230"/>
      <c r="K217" s="230" t="str">
        <f>IFERROR(_xlfn.XLOOKUP($A217,'Raw Data'!$A:$A,'Raw Data'!$AV:$AV),"")</f>
        <v/>
      </c>
      <c r="L217" s="230" t="str">
        <f>IFERROR(_xlfn.XLOOKUP($A217,'Raw Data'!$A:$A,'Raw Data'!$AW:$AW),"")</f>
        <v/>
      </c>
      <c r="M217" s="230" t="str">
        <f>IFERROR(_xlfn.XLOOKUP($A217,'Raw Data'!$A:$A,'Raw Data'!$AX:$AX),"")</f>
        <v/>
      </c>
      <c r="N217" s="230" t="str">
        <f>IFERROR(_xlfn.XLOOKUP($A217,'Raw Data'!$A:$A,'Raw Data'!$AY:$AY),"")</f>
        <v/>
      </c>
      <c r="O217" s="231" t="str">
        <f>IFERROR(1-(SUMIF('Plant BD'!$B:$B,A217,'Plant BD'!$AE:$AE)/(AA217+SUMIF('Plant BD'!$B:$B,A217,'Plant BD'!$AE:$AE))),"")</f>
        <v/>
      </c>
      <c r="P217" s="231"/>
      <c r="Q217" s="232"/>
      <c r="R217" s="231" t="str">
        <f>IFERROR(1-(SUMIF('Grid BD'!$B:$B,$A217,'Grid BD'!$AD:$AD)/($AA217+SUMIF('Grid BD'!$B:$B,$A217,'Grid BD'!AD:AD))),"")</f>
        <v/>
      </c>
      <c r="S217" s="6"/>
      <c r="T217" s="232"/>
      <c r="U217" s="233" t="str">
        <f t="shared" si="17"/>
        <v/>
      </c>
      <c r="V217" s="233"/>
      <c r="W217" s="234" t="str">
        <f t="shared" si="15"/>
        <v/>
      </c>
      <c r="X217" s="227" t="str">
        <f>IFERROR(_xlfn.XLOOKUP($A217,'Raw Data'!$A:$A,'Raw Data'!$BA:$BA),"")</f>
        <v/>
      </c>
      <c r="Y217" s="227" t="str">
        <f>IFERROR(_xlfn.XLOOKUP($A217,'Raw Data'!$A:$A,'Raw Data'!BJ:BJ),"")</f>
        <v/>
      </c>
      <c r="Z217" s="227" t="str">
        <f>IFERROR(_xlfn.XLOOKUP($A217,'Raw Data'!$A:$A,'Raw Data'!BK:BK),"")</f>
        <v/>
      </c>
      <c r="AA217" s="227" t="str">
        <f>IFERROR(_xlfn.XLOOKUP($A217,'Raw Data'!$A:$A,'Raw Data'!BL:BL),"")</f>
        <v/>
      </c>
      <c r="AB217" s="227" t="str">
        <f>IFERROR(_xlfn.XLOOKUP($A217,'Raw Data'!$A:$A,'Raw Data'!$H:$H),"")</f>
        <v/>
      </c>
      <c r="AC217" s="145">
        <f>IFERROR(_xlfn.XLOOKUP($D217,'Modelling New'!$D:$D,'Modelling New'!$P:$P),"")</f>
        <v>6.0354838709677416</v>
      </c>
      <c r="AD217" s="227">
        <f>IFERROR(_xlfn.XLOOKUP($D217,'Modelling New'!$D:$D,'Modelling New'!$T:$T)*1000,"")</f>
        <v>108757.04807292875</v>
      </c>
      <c r="AE217" s="234">
        <f>IFERROR(_xlfn.XLOOKUP($D217,'Modelling New'!$D:$D,'Modelling New'!$O:$O),"")</f>
        <v>0.74145302903300359</v>
      </c>
      <c r="AF217" s="234">
        <f>IFERROR(_xlfn.XLOOKUP($D217,'Modelling New'!$D:$D,'Modelling New'!$W:$W),"")</f>
        <v>0.18645949157536959</v>
      </c>
      <c r="AG217" s="234">
        <f>IFERROR(_xlfn.XLOOKUP($D217,'Modelling New'!$D:$D,'Modelling New'!AE:AE),"")</f>
        <v>0.995</v>
      </c>
      <c r="AH217" s="234">
        <v>0.99750000000000005</v>
      </c>
      <c r="AI217" s="6"/>
      <c r="AJ217" s="6"/>
      <c r="AK217" s="6"/>
      <c r="AL217" s="6"/>
      <c r="AM217" s="6"/>
      <c r="AN217" s="231"/>
      <c r="AO217" s="234"/>
      <c r="AP217" s="234"/>
      <c r="AQ217" s="234"/>
      <c r="AR217" s="227">
        <f>IFERROR(_xlfn.XLOOKUP($D217,'Modelling New'!$D:$D,'Modelling New'!$N:$N),"")</f>
        <v>24.303100000000001</v>
      </c>
      <c r="AS217" s="227"/>
    </row>
    <row r="218" spans="1:45" x14ac:dyDescent="0.35">
      <c r="A218" s="226">
        <f t="shared" si="18"/>
        <v>45961</v>
      </c>
      <c r="B218" s="227">
        <f>YEAR(Daily_KPI[[#This Row],[Date]])+IF(MONTH(Daily_KPI[[#This Row],[Date]])&gt;=4,1,0)</f>
        <v>2026</v>
      </c>
      <c r="C218" s="6">
        <f>YEAR(Daily_KPI[[#This Row],[Date]])</f>
        <v>2025</v>
      </c>
      <c r="D218" s="228">
        <f>Daily_KPI[[#This Row],[Date]]-DAY(Daily_KPI[[#This Row],[Date]])+1</f>
        <v>45931</v>
      </c>
      <c r="E218" s="6">
        <f t="shared" si="16"/>
        <v>31</v>
      </c>
      <c r="F218" s="229" t="str">
        <f>IFERROR(_xlfn.XLOOKUP($A218,'Raw Data'!$A:$A,'Raw Data'!$BR:$BR),"")</f>
        <v/>
      </c>
      <c r="G218" s="230" t="str">
        <f>IFERROR(_xlfn.XLOOKUP($A218,'Raw Data'!$A:$A,'Raw Data'!$AO:$AO),"")</f>
        <v/>
      </c>
      <c r="H218" s="230"/>
      <c r="I218" s="230" t="str">
        <f>IFERROR(_xlfn.XLOOKUP($A218,'Raw Data'!$A:$A,'Raw Data'!$AR:$AR),"")</f>
        <v/>
      </c>
      <c r="J218" s="230"/>
      <c r="K218" s="230" t="str">
        <f>IFERROR(_xlfn.XLOOKUP($A218,'Raw Data'!$A:$A,'Raw Data'!$AV:$AV),"")</f>
        <v/>
      </c>
      <c r="L218" s="230" t="str">
        <f>IFERROR(_xlfn.XLOOKUP($A218,'Raw Data'!$A:$A,'Raw Data'!$AW:$AW),"")</f>
        <v/>
      </c>
      <c r="M218" s="230" t="str">
        <f>IFERROR(_xlfn.XLOOKUP($A218,'Raw Data'!$A:$A,'Raw Data'!$AX:$AX),"")</f>
        <v/>
      </c>
      <c r="N218" s="230" t="str">
        <f>IFERROR(_xlfn.XLOOKUP($A218,'Raw Data'!$A:$A,'Raw Data'!$AY:$AY),"")</f>
        <v/>
      </c>
      <c r="O218" s="231" t="str">
        <f>IFERROR(1-(SUMIF('Plant BD'!$B:$B,A218,'Plant BD'!$AE:$AE)/(AA218+SUMIF('Plant BD'!$B:$B,A218,'Plant BD'!$AE:$AE))),"")</f>
        <v/>
      </c>
      <c r="P218" s="231"/>
      <c r="Q218" s="232"/>
      <c r="R218" s="231" t="str">
        <f>IFERROR(1-(SUMIF('Grid BD'!$B:$B,$A218,'Grid BD'!$AD:$AD)/($AA218+SUMIF('Grid BD'!$B:$B,$A218,'Grid BD'!AD:AD))),"")</f>
        <v/>
      </c>
      <c r="S218" s="6"/>
      <c r="T218" s="232"/>
      <c r="U218" s="233" t="str">
        <f t="shared" si="17"/>
        <v/>
      </c>
      <c r="V218" s="233"/>
      <c r="W218" s="234" t="str">
        <f t="shared" si="15"/>
        <v/>
      </c>
      <c r="X218" s="227" t="str">
        <f>IFERROR(_xlfn.XLOOKUP($A218,'Raw Data'!$A:$A,'Raw Data'!$BA:$BA),"")</f>
        <v/>
      </c>
      <c r="Y218" s="227" t="str">
        <f>IFERROR(_xlfn.XLOOKUP($A218,'Raw Data'!$A:$A,'Raw Data'!BJ:BJ),"")</f>
        <v/>
      </c>
      <c r="Z218" s="227" t="str">
        <f>IFERROR(_xlfn.XLOOKUP($A218,'Raw Data'!$A:$A,'Raw Data'!BK:BK),"")</f>
        <v/>
      </c>
      <c r="AA218" s="227" t="str">
        <f>IFERROR(_xlfn.XLOOKUP($A218,'Raw Data'!$A:$A,'Raw Data'!BL:BL),"")</f>
        <v/>
      </c>
      <c r="AB218" s="227" t="str">
        <f>IFERROR(_xlfn.XLOOKUP($A218,'Raw Data'!$A:$A,'Raw Data'!$H:$H),"")</f>
        <v/>
      </c>
      <c r="AC218" s="145">
        <f>IFERROR(_xlfn.XLOOKUP($D218,'Modelling New'!$D:$D,'Modelling New'!$P:$P),"")</f>
        <v>6.0354838709677416</v>
      </c>
      <c r="AD218" s="227">
        <f>IFERROR(_xlfn.XLOOKUP($D218,'Modelling New'!$D:$D,'Modelling New'!$T:$T)*1000,"")</f>
        <v>108757.04807292875</v>
      </c>
      <c r="AE218" s="234">
        <f>IFERROR(_xlfn.XLOOKUP($D218,'Modelling New'!$D:$D,'Modelling New'!$O:$O),"")</f>
        <v>0.74145302903300359</v>
      </c>
      <c r="AF218" s="234">
        <f>IFERROR(_xlfn.XLOOKUP($D218,'Modelling New'!$D:$D,'Modelling New'!$W:$W),"")</f>
        <v>0.18645949157536959</v>
      </c>
      <c r="AG218" s="234">
        <f>IFERROR(_xlfn.XLOOKUP($D218,'Modelling New'!$D:$D,'Modelling New'!AE:AE),"")</f>
        <v>0.995</v>
      </c>
      <c r="AH218" s="234">
        <v>0.99750000000000005</v>
      </c>
      <c r="AI218" s="6"/>
      <c r="AJ218" s="6"/>
      <c r="AK218" s="6"/>
      <c r="AL218" s="6"/>
      <c r="AM218" s="6"/>
      <c r="AN218" s="231"/>
      <c r="AO218" s="234"/>
      <c r="AP218" s="234"/>
      <c r="AQ218" s="234"/>
      <c r="AR218" s="227">
        <f>IFERROR(_xlfn.XLOOKUP($D218,'Modelling New'!$D:$D,'Modelling New'!$N:$N),"")</f>
        <v>24.303100000000001</v>
      </c>
      <c r="AS218" s="227"/>
    </row>
    <row r="219" spans="1:45" x14ac:dyDescent="0.35">
      <c r="A219" s="226">
        <f t="shared" si="18"/>
        <v>45962</v>
      </c>
      <c r="B219" s="227">
        <f>YEAR(Daily_KPI[[#This Row],[Date]])+IF(MONTH(Daily_KPI[[#This Row],[Date]])&gt;=4,1,0)</f>
        <v>2026</v>
      </c>
      <c r="C219" s="6">
        <f>YEAR(Daily_KPI[[#This Row],[Date]])</f>
        <v>2025</v>
      </c>
      <c r="D219" s="228">
        <f>Daily_KPI[[#This Row],[Date]]-DAY(Daily_KPI[[#This Row],[Date]])+1</f>
        <v>45962</v>
      </c>
      <c r="E219" s="6">
        <f t="shared" si="16"/>
        <v>30</v>
      </c>
      <c r="F219" s="229" t="str">
        <f>IFERROR(_xlfn.XLOOKUP($A219,'Raw Data'!$A:$A,'Raw Data'!$BR:$BR),"")</f>
        <v/>
      </c>
      <c r="G219" s="230" t="str">
        <f>IFERROR(_xlfn.XLOOKUP($A219,'Raw Data'!$A:$A,'Raw Data'!$AO:$AO),"")</f>
        <v/>
      </c>
      <c r="H219" s="230"/>
      <c r="I219" s="230" t="str">
        <f>IFERROR(_xlfn.XLOOKUP($A219,'Raw Data'!$A:$A,'Raw Data'!$AR:$AR),"")</f>
        <v/>
      </c>
      <c r="J219" s="230"/>
      <c r="K219" s="230" t="str">
        <f>IFERROR(_xlfn.XLOOKUP($A219,'Raw Data'!$A:$A,'Raw Data'!$AV:$AV),"")</f>
        <v/>
      </c>
      <c r="L219" s="230" t="str">
        <f>IFERROR(_xlfn.XLOOKUP($A219,'Raw Data'!$A:$A,'Raw Data'!$AW:$AW),"")</f>
        <v/>
      </c>
      <c r="M219" s="230" t="str">
        <f>IFERROR(_xlfn.XLOOKUP($A219,'Raw Data'!$A:$A,'Raw Data'!$AX:$AX),"")</f>
        <v/>
      </c>
      <c r="N219" s="230" t="str">
        <f>IFERROR(_xlfn.XLOOKUP($A219,'Raw Data'!$A:$A,'Raw Data'!$AY:$AY),"")</f>
        <v/>
      </c>
      <c r="O219" s="231" t="str">
        <f>IFERROR(1-(SUMIF('Plant BD'!$B:$B,A219,'Plant BD'!$AE:$AE)/(AA219+SUMIF('Plant BD'!$B:$B,A219,'Plant BD'!$AE:$AE))),"")</f>
        <v/>
      </c>
      <c r="P219" s="231"/>
      <c r="Q219" s="232"/>
      <c r="R219" s="231" t="str">
        <f>IFERROR(1-(SUMIF('Grid BD'!$B:$B,$A219,'Grid BD'!$AD:$AD)/($AA219+SUMIF('Grid BD'!$B:$B,$A219,'Grid BD'!AD:AD))),"")</f>
        <v/>
      </c>
      <c r="S219" s="6"/>
      <c r="T219" s="232"/>
      <c r="U219" s="233" t="str">
        <f t="shared" si="17"/>
        <v/>
      </c>
      <c r="V219" s="233"/>
      <c r="W219" s="234" t="str">
        <f t="shared" si="15"/>
        <v/>
      </c>
      <c r="X219" s="227" t="str">
        <f>IFERROR(_xlfn.XLOOKUP($A219,'Raw Data'!$A:$A,'Raw Data'!$BA:$BA),"")</f>
        <v/>
      </c>
      <c r="Y219" s="227" t="str">
        <f>IFERROR(_xlfn.XLOOKUP($A219,'Raw Data'!$A:$A,'Raw Data'!BJ:BJ),"")</f>
        <v/>
      </c>
      <c r="Z219" s="227" t="str">
        <f>IFERROR(_xlfn.XLOOKUP($A219,'Raw Data'!$A:$A,'Raw Data'!BK:BK),"")</f>
        <v/>
      </c>
      <c r="AA219" s="227" t="str">
        <f>IFERROR(_xlfn.XLOOKUP($A219,'Raw Data'!$A:$A,'Raw Data'!BL:BL),"")</f>
        <v/>
      </c>
      <c r="AB219" s="227" t="str">
        <f>IFERROR(_xlfn.XLOOKUP($A219,'Raw Data'!$A:$A,'Raw Data'!$H:$H),"")</f>
        <v/>
      </c>
      <c r="AC219" s="145">
        <f>IFERROR(_xlfn.XLOOKUP($D219,'Modelling New'!$D:$D,'Modelling New'!$P:$P),"")</f>
        <v>6.4133333333333331</v>
      </c>
      <c r="AD219" s="227">
        <f>IFERROR(_xlfn.XLOOKUP($D219,'Modelling New'!$D:$D,'Modelling New'!$T:$T)*1000,"")</f>
        <v>110013.10061975369</v>
      </c>
      <c r="AE219" s="234">
        <f>IFERROR(_xlfn.XLOOKUP($D219,'Modelling New'!$D:$D,'Modelling New'!$O:$O),"")</f>
        <v>0.70582805765293155</v>
      </c>
      <c r="AF219" s="234">
        <f>IFERROR(_xlfn.XLOOKUP($D219,'Modelling New'!$D:$D,'Modelling New'!$W:$W),"")</f>
        <v>0.18861294207281115</v>
      </c>
      <c r="AG219" s="234">
        <f>IFERROR(_xlfn.XLOOKUP($D219,'Modelling New'!$D:$D,'Modelling New'!AE:AE),"")</f>
        <v>0.995</v>
      </c>
      <c r="AH219" s="234">
        <v>0.99750000000000005</v>
      </c>
      <c r="AI219" s="6"/>
      <c r="AJ219" s="6"/>
      <c r="AK219" s="6"/>
      <c r="AL219" s="6"/>
      <c r="AM219" s="6"/>
      <c r="AN219" s="231"/>
      <c r="AO219" s="234"/>
      <c r="AP219" s="234"/>
      <c r="AQ219" s="234"/>
      <c r="AR219" s="227">
        <f>IFERROR(_xlfn.XLOOKUP($D219,'Modelling New'!$D:$D,'Modelling New'!$N:$N),"")</f>
        <v>24.303100000000001</v>
      </c>
      <c r="AS219" s="227"/>
    </row>
    <row r="220" spans="1:45" x14ac:dyDescent="0.35">
      <c r="A220" s="226">
        <f t="shared" si="18"/>
        <v>45963</v>
      </c>
      <c r="B220" s="227">
        <f>YEAR(Daily_KPI[[#This Row],[Date]])+IF(MONTH(Daily_KPI[[#This Row],[Date]])&gt;=4,1,0)</f>
        <v>2026</v>
      </c>
      <c r="C220" s="6">
        <f>YEAR(Daily_KPI[[#This Row],[Date]])</f>
        <v>2025</v>
      </c>
      <c r="D220" s="228">
        <f>Daily_KPI[[#This Row],[Date]]-DAY(Daily_KPI[[#This Row],[Date]])+1</f>
        <v>45962</v>
      </c>
      <c r="E220" s="6">
        <f t="shared" si="16"/>
        <v>30</v>
      </c>
      <c r="F220" s="229" t="str">
        <f>IFERROR(_xlfn.XLOOKUP($A220,'Raw Data'!$A:$A,'Raw Data'!$BR:$BR),"")</f>
        <v/>
      </c>
      <c r="G220" s="230" t="str">
        <f>IFERROR(_xlfn.XLOOKUP($A220,'Raw Data'!$A:$A,'Raw Data'!$AO:$AO),"")</f>
        <v/>
      </c>
      <c r="H220" s="230"/>
      <c r="I220" s="230" t="str">
        <f>IFERROR(_xlfn.XLOOKUP($A220,'Raw Data'!$A:$A,'Raw Data'!$AR:$AR),"")</f>
        <v/>
      </c>
      <c r="J220" s="230"/>
      <c r="K220" s="230" t="str">
        <f>IFERROR(_xlfn.XLOOKUP($A220,'Raw Data'!$A:$A,'Raw Data'!$AV:$AV),"")</f>
        <v/>
      </c>
      <c r="L220" s="230" t="str">
        <f>IFERROR(_xlfn.XLOOKUP($A220,'Raw Data'!$A:$A,'Raw Data'!$AW:$AW),"")</f>
        <v/>
      </c>
      <c r="M220" s="230" t="str">
        <f>IFERROR(_xlfn.XLOOKUP($A220,'Raw Data'!$A:$A,'Raw Data'!$AX:$AX),"")</f>
        <v/>
      </c>
      <c r="N220" s="230" t="str">
        <f>IFERROR(_xlfn.XLOOKUP($A220,'Raw Data'!$A:$A,'Raw Data'!$AY:$AY),"")</f>
        <v/>
      </c>
      <c r="O220" s="231" t="str">
        <f>IFERROR(1-(SUMIF('Plant BD'!$B:$B,A220,'Plant BD'!$AE:$AE)/(AA220+SUMIF('Plant BD'!$B:$B,A220,'Plant BD'!$AE:$AE))),"")</f>
        <v/>
      </c>
      <c r="P220" s="231"/>
      <c r="Q220" s="232"/>
      <c r="R220" s="231" t="str">
        <f>IFERROR(1-(SUMIF('Grid BD'!$B:$B,$A220,'Grid BD'!$AD:$AD)/($AA220+SUMIF('Grid BD'!$B:$B,$A220,'Grid BD'!AD:AD))),"")</f>
        <v/>
      </c>
      <c r="S220" s="6"/>
      <c r="T220" s="232"/>
      <c r="U220" s="233" t="str">
        <f t="shared" si="17"/>
        <v/>
      </c>
      <c r="V220" s="233"/>
      <c r="W220" s="234" t="str">
        <f t="shared" si="15"/>
        <v/>
      </c>
      <c r="X220" s="227" t="str">
        <f>IFERROR(_xlfn.XLOOKUP($A220,'Raw Data'!$A:$A,'Raw Data'!$BA:$BA),"")</f>
        <v/>
      </c>
      <c r="Y220" s="227" t="str">
        <f>IFERROR(_xlfn.XLOOKUP($A220,'Raw Data'!$A:$A,'Raw Data'!BJ:BJ),"")</f>
        <v/>
      </c>
      <c r="Z220" s="227" t="str">
        <f>IFERROR(_xlfn.XLOOKUP($A220,'Raw Data'!$A:$A,'Raw Data'!BK:BK),"")</f>
        <v/>
      </c>
      <c r="AA220" s="227" t="str">
        <f>IFERROR(_xlfn.XLOOKUP($A220,'Raw Data'!$A:$A,'Raw Data'!BL:BL),"")</f>
        <v/>
      </c>
      <c r="AB220" s="227" t="str">
        <f>IFERROR(_xlfn.XLOOKUP($A220,'Raw Data'!$A:$A,'Raw Data'!$H:$H),"")</f>
        <v/>
      </c>
      <c r="AC220" s="145">
        <f>IFERROR(_xlfn.XLOOKUP($D220,'Modelling New'!$D:$D,'Modelling New'!$P:$P),"")</f>
        <v>6.4133333333333331</v>
      </c>
      <c r="AD220" s="227">
        <f>IFERROR(_xlfn.XLOOKUP($D220,'Modelling New'!$D:$D,'Modelling New'!$T:$T)*1000,"")</f>
        <v>110013.10061975369</v>
      </c>
      <c r="AE220" s="234">
        <f>IFERROR(_xlfn.XLOOKUP($D220,'Modelling New'!$D:$D,'Modelling New'!$O:$O),"")</f>
        <v>0.70582805765293155</v>
      </c>
      <c r="AF220" s="234">
        <f>IFERROR(_xlfn.XLOOKUP($D220,'Modelling New'!$D:$D,'Modelling New'!$W:$W),"")</f>
        <v>0.18861294207281115</v>
      </c>
      <c r="AG220" s="234">
        <f>IFERROR(_xlfn.XLOOKUP($D220,'Modelling New'!$D:$D,'Modelling New'!AE:AE),"")</f>
        <v>0.995</v>
      </c>
      <c r="AH220" s="234">
        <v>0.99750000000000005</v>
      </c>
      <c r="AI220" s="6"/>
      <c r="AJ220" s="6"/>
      <c r="AK220" s="6"/>
      <c r="AL220" s="6"/>
      <c r="AM220" s="6"/>
      <c r="AN220" s="231"/>
      <c r="AO220" s="234"/>
      <c r="AP220" s="234"/>
      <c r="AQ220" s="234"/>
      <c r="AR220" s="227">
        <f>IFERROR(_xlfn.XLOOKUP($D220,'Modelling New'!$D:$D,'Modelling New'!$N:$N),"")</f>
        <v>24.303100000000001</v>
      </c>
      <c r="AS220" s="227"/>
    </row>
    <row r="221" spans="1:45" x14ac:dyDescent="0.35">
      <c r="A221" s="226">
        <f t="shared" si="18"/>
        <v>45964</v>
      </c>
      <c r="B221" s="227">
        <f>YEAR(Daily_KPI[[#This Row],[Date]])+IF(MONTH(Daily_KPI[[#This Row],[Date]])&gt;=4,1,0)</f>
        <v>2026</v>
      </c>
      <c r="C221" s="6">
        <f>YEAR(Daily_KPI[[#This Row],[Date]])</f>
        <v>2025</v>
      </c>
      <c r="D221" s="228">
        <f>Daily_KPI[[#This Row],[Date]]-DAY(Daily_KPI[[#This Row],[Date]])+1</f>
        <v>45962</v>
      </c>
      <c r="E221" s="6">
        <f t="shared" si="16"/>
        <v>30</v>
      </c>
      <c r="F221" s="229" t="str">
        <f>IFERROR(_xlfn.XLOOKUP($A221,'Raw Data'!$A:$A,'Raw Data'!$BR:$BR),"")</f>
        <v/>
      </c>
      <c r="G221" s="230" t="str">
        <f>IFERROR(_xlfn.XLOOKUP($A221,'Raw Data'!$A:$A,'Raw Data'!$AO:$AO),"")</f>
        <v/>
      </c>
      <c r="H221" s="230"/>
      <c r="I221" s="230" t="str">
        <f>IFERROR(_xlfn.XLOOKUP($A221,'Raw Data'!$A:$A,'Raw Data'!$AR:$AR),"")</f>
        <v/>
      </c>
      <c r="J221" s="230"/>
      <c r="K221" s="230" t="str">
        <f>IFERROR(_xlfn.XLOOKUP($A221,'Raw Data'!$A:$A,'Raw Data'!$AV:$AV),"")</f>
        <v/>
      </c>
      <c r="L221" s="230" t="str">
        <f>IFERROR(_xlfn.XLOOKUP($A221,'Raw Data'!$A:$A,'Raw Data'!$AW:$AW),"")</f>
        <v/>
      </c>
      <c r="M221" s="230" t="str">
        <f>IFERROR(_xlfn.XLOOKUP($A221,'Raw Data'!$A:$A,'Raw Data'!$AX:$AX),"")</f>
        <v/>
      </c>
      <c r="N221" s="230" t="str">
        <f>IFERROR(_xlfn.XLOOKUP($A221,'Raw Data'!$A:$A,'Raw Data'!$AY:$AY),"")</f>
        <v/>
      </c>
      <c r="O221" s="231" t="str">
        <f>IFERROR(1-(SUMIF('Plant BD'!$B:$B,A221,'Plant BD'!$AE:$AE)/(AA221+SUMIF('Plant BD'!$B:$B,A221,'Plant BD'!$AE:$AE))),"")</f>
        <v/>
      </c>
      <c r="P221" s="231"/>
      <c r="Q221" s="232"/>
      <c r="R221" s="231" t="str">
        <f>IFERROR(1-(SUMIF('Grid BD'!$B:$B,$A221,'Grid BD'!$AD:$AD)/($AA221+SUMIF('Grid BD'!$B:$B,$A221,'Grid BD'!AD:AD))),"")</f>
        <v/>
      </c>
      <c r="S221" s="6"/>
      <c r="T221" s="232"/>
      <c r="U221" s="233" t="str">
        <f t="shared" si="17"/>
        <v/>
      </c>
      <c r="V221" s="233"/>
      <c r="W221" s="234" t="str">
        <f t="shared" si="15"/>
        <v/>
      </c>
      <c r="X221" s="227" t="str">
        <f>IFERROR(_xlfn.XLOOKUP($A221,'Raw Data'!$A:$A,'Raw Data'!$BA:$BA),"")</f>
        <v/>
      </c>
      <c r="Y221" s="227" t="str">
        <f>IFERROR(_xlfn.XLOOKUP($A221,'Raw Data'!$A:$A,'Raw Data'!BJ:BJ),"")</f>
        <v/>
      </c>
      <c r="Z221" s="227" t="str">
        <f>IFERROR(_xlfn.XLOOKUP($A221,'Raw Data'!$A:$A,'Raw Data'!BK:BK),"")</f>
        <v/>
      </c>
      <c r="AA221" s="227" t="str">
        <f>IFERROR(_xlfn.XLOOKUP($A221,'Raw Data'!$A:$A,'Raw Data'!BL:BL),"")</f>
        <v/>
      </c>
      <c r="AB221" s="227" t="str">
        <f>IFERROR(_xlfn.XLOOKUP($A221,'Raw Data'!$A:$A,'Raw Data'!$H:$H),"")</f>
        <v/>
      </c>
      <c r="AC221" s="145">
        <f>IFERROR(_xlfn.XLOOKUP($D221,'Modelling New'!$D:$D,'Modelling New'!$P:$P),"")</f>
        <v>6.4133333333333331</v>
      </c>
      <c r="AD221" s="227">
        <f>IFERROR(_xlfn.XLOOKUP($D221,'Modelling New'!$D:$D,'Modelling New'!$T:$T)*1000,"")</f>
        <v>110013.10061975369</v>
      </c>
      <c r="AE221" s="234">
        <f>IFERROR(_xlfn.XLOOKUP($D221,'Modelling New'!$D:$D,'Modelling New'!$O:$O),"")</f>
        <v>0.70582805765293155</v>
      </c>
      <c r="AF221" s="234">
        <f>IFERROR(_xlfn.XLOOKUP($D221,'Modelling New'!$D:$D,'Modelling New'!$W:$W),"")</f>
        <v>0.18861294207281115</v>
      </c>
      <c r="AG221" s="234">
        <f>IFERROR(_xlfn.XLOOKUP($D221,'Modelling New'!$D:$D,'Modelling New'!AE:AE),"")</f>
        <v>0.995</v>
      </c>
      <c r="AH221" s="234">
        <v>0.99750000000000005</v>
      </c>
      <c r="AI221" s="6"/>
      <c r="AJ221" s="6"/>
      <c r="AK221" s="6"/>
      <c r="AL221" s="6"/>
      <c r="AM221" s="6"/>
      <c r="AN221" s="231"/>
      <c r="AO221" s="234"/>
      <c r="AP221" s="234"/>
      <c r="AQ221" s="234"/>
      <c r="AR221" s="227">
        <f>IFERROR(_xlfn.XLOOKUP($D221,'Modelling New'!$D:$D,'Modelling New'!$N:$N),"")</f>
        <v>24.303100000000001</v>
      </c>
      <c r="AS221" s="227"/>
    </row>
    <row r="222" spans="1:45" x14ac:dyDescent="0.35">
      <c r="A222" s="226">
        <f t="shared" si="18"/>
        <v>45965</v>
      </c>
      <c r="B222" s="227">
        <f>YEAR(Daily_KPI[[#This Row],[Date]])+IF(MONTH(Daily_KPI[[#This Row],[Date]])&gt;=4,1,0)</f>
        <v>2026</v>
      </c>
      <c r="C222" s="6">
        <f>YEAR(Daily_KPI[[#This Row],[Date]])</f>
        <v>2025</v>
      </c>
      <c r="D222" s="228">
        <f>Daily_KPI[[#This Row],[Date]]-DAY(Daily_KPI[[#This Row],[Date]])+1</f>
        <v>45962</v>
      </c>
      <c r="E222" s="6">
        <f t="shared" si="16"/>
        <v>30</v>
      </c>
      <c r="F222" s="229" t="str">
        <f>IFERROR(_xlfn.XLOOKUP($A222,'Raw Data'!$A:$A,'Raw Data'!$BR:$BR),"")</f>
        <v/>
      </c>
      <c r="G222" s="230" t="str">
        <f>IFERROR(_xlfn.XLOOKUP($A222,'Raw Data'!$A:$A,'Raw Data'!$AO:$AO),"")</f>
        <v/>
      </c>
      <c r="H222" s="230"/>
      <c r="I222" s="230" t="str">
        <f>IFERROR(_xlfn.XLOOKUP($A222,'Raw Data'!$A:$A,'Raw Data'!$AR:$AR),"")</f>
        <v/>
      </c>
      <c r="J222" s="230"/>
      <c r="K222" s="230" t="str">
        <f>IFERROR(_xlfn.XLOOKUP($A222,'Raw Data'!$A:$A,'Raw Data'!$AV:$AV),"")</f>
        <v/>
      </c>
      <c r="L222" s="230" t="str">
        <f>IFERROR(_xlfn.XLOOKUP($A222,'Raw Data'!$A:$A,'Raw Data'!$AW:$AW),"")</f>
        <v/>
      </c>
      <c r="M222" s="230" t="str">
        <f>IFERROR(_xlfn.XLOOKUP($A222,'Raw Data'!$A:$A,'Raw Data'!$AX:$AX),"")</f>
        <v/>
      </c>
      <c r="N222" s="230" t="str">
        <f>IFERROR(_xlfn.XLOOKUP($A222,'Raw Data'!$A:$A,'Raw Data'!$AY:$AY),"")</f>
        <v/>
      </c>
      <c r="O222" s="231" t="str">
        <f>IFERROR(1-(SUMIF('Plant BD'!$B:$B,A222,'Plant BD'!$AE:$AE)/(AA222+SUMIF('Plant BD'!$B:$B,A222,'Plant BD'!$AE:$AE))),"")</f>
        <v/>
      </c>
      <c r="P222" s="231"/>
      <c r="Q222" s="232"/>
      <c r="R222" s="231" t="str">
        <f>IFERROR(1-(SUMIF('Grid BD'!$B:$B,$A222,'Grid BD'!$AD:$AD)/($AA222+SUMIF('Grid BD'!$B:$B,$A222,'Grid BD'!AD:AD))),"")</f>
        <v/>
      </c>
      <c r="S222" s="6"/>
      <c r="T222" s="232"/>
      <c r="U222" s="233" t="str">
        <f t="shared" si="17"/>
        <v/>
      </c>
      <c r="V222" s="233"/>
      <c r="W222" s="234" t="str">
        <f t="shared" si="15"/>
        <v/>
      </c>
      <c r="X222" s="227" t="str">
        <f>IFERROR(_xlfn.XLOOKUP($A222,'Raw Data'!$A:$A,'Raw Data'!$BA:$BA),"")</f>
        <v/>
      </c>
      <c r="Y222" s="227" t="str">
        <f>IFERROR(_xlfn.XLOOKUP($A222,'Raw Data'!$A:$A,'Raw Data'!BJ:BJ),"")</f>
        <v/>
      </c>
      <c r="Z222" s="227" t="str">
        <f>IFERROR(_xlfn.XLOOKUP($A222,'Raw Data'!$A:$A,'Raw Data'!BK:BK),"")</f>
        <v/>
      </c>
      <c r="AA222" s="227" t="str">
        <f>IFERROR(_xlfn.XLOOKUP($A222,'Raw Data'!$A:$A,'Raw Data'!BL:BL),"")</f>
        <v/>
      </c>
      <c r="AB222" s="227" t="str">
        <f>IFERROR(_xlfn.XLOOKUP($A222,'Raw Data'!$A:$A,'Raw Data'!$H:$H),"")</f>
        <v/>
      </c>
      <c r="AC222" s="145">
        <f>IFERROR(_xlfn.XLOOKUP($D222,'Modelling New'!$D:$D,'Modelling New'!$P:$P),"")</f>
        <v>6.4133333333333331</v>
      </c>
      <c r="AD222" s="227">
        <f>IFERROR(_xlfn.XLOOKUP($D222,'Modelling New'!$D:$D,'Modelling New'!$T:$T)*1000,"")</f>
        <v>110013.10061975369</v>
      </c>
      <c r="AE222" s="234">
        <f>IFERROR(_xlfn.XLOOKUP($D222,'Modelling New'!$D:$D,'Modelling New'!$O:$O),"")</f>
        <v>0.70582805765293155</v>
      </c>
      <c r="AF222" s="234">
        <f>IFERROR(_xlfn.XLOOKUP($D222,'Modelling New'!$D:$D,'Modelling New'!$W:$W),"")</f>
        <v>0.18861294207281115</v>
      </c>
      <c r="AG222" s="234">
        <f>IFERROR(_xlfn.XLOOKUP($D222,'Modelling New'!$D:$D,'Modelling New'!AE:AE),"")</f>
        <v>0.995</v>
      </c>
      <c r="AH222" s="234">
        <v>0.99750000000000005</v>
      </c>
      <c r="AI222" s="6"/>
      <c r="AJ222" s="6"/>
      <c r="AK222" s="6"/>
      <c r="AL222" s="6"/>
      <c r="AM222" s="6"/>
      <c r="AN222" s="231"/>
      <c r="AO222" s="234"/>
      <c r="AP222" s="234"/>
      <c r="AQ222" s="234"/>
      <c r="AR222" s="227">
        <f>IFERROR(_xlfn.XLOOKUP($D222,'Modelling New'!$D:$D,'Modelling New'!$N:$N),"")</f>
        <v>24.303100000000001</v>
      </c>
      <c r="AS222" s="227"/>
    </row>
    <row r="223" spans="1:45" x14ac:dyDescent="0.35">
      <c r="A223" s="226">
        <f t="shared" si="18"/>
        <v>45966</v>
      </c>
      <c r="B223" s="227">
        <f>YEAR(Daily_KPI[[#This Row],[Date]])+IF(MONTH(Daily_KPI[[#This Row],[Date]])&gt;=4,1,0)</f>
        <v>2026</v>
      </c>
      <c r="C223" s="6">
        <f>YEAR(Daily_KPI[[#This Row],[Date]])</f>
        <v>2025</v>
      </c>
      <c r="D223" s="228">
        <f>Daily_KPI[[#This Row],[Date]]-DAY(Daily_KPI[[#This Row],[Date]])+1</f>
        <v>45962</v>
      </c>
      <c r="E223" s="6">
        <f t="shared" si="16"/>
        <v>30</v>
      </c>
      <c r="F223" s="229" t="str">
        <f>IFERROR(_xlfn.XLOOKUP($A223,'Raw Data'!$A:$A,'Raw Data'!$BR:$BR),"")</f>
        <v/>
      </c>
      <c r="G223" s="230" t="str">
        <f>IFERROR(_xlfn.XLOOKUP($A223,'Raw Data'!$A:$A,'Raw Data'!$AO:$AO),"")</f>
        <v/>
      </c>
      <c r="H223" s="230"/>
      <c r="I223" s="230" t="str">
        <f>IFERROR(_xlfn.XLOOKUP($A223,'Raw Data'!$A:$A,'Raw Data'!$AR:$AR),"")</f>
        <v/>
      </c>
      <c r="J223" s="230"/>
      <c r="K223" s="230" t="str">
        <f>IFERROR(_xlfn.XLOOKUP($A223,'Raw Data'!$A:$A,'Raw Data'!$AV:$AV),"")</f>
        <v/>
      </c>
      <c r="L223" s="230" t="str">
        <f>IFERROR(_xlfn.XLOOKUP($A223,'Raw Data'!$A:$A,'Raw Data'!$AW:$AW),"")</f>
        <v/>
      </c>
      <c r="M223" s="230" t="str">
        <f>IFERROR(_xlfn.XLOOKUP($A223,'Raw Data'!$A:$A,'Raw Data'!$AX:$AX),"")</f>
        <v/>
      </c>
      <c r="N223" s="230" t="str">
        <f>IFERROR(_xlfn.XLOOKUP($A223,'Raw Data'!$A:$A,'Raw Data'!$AY:$AY),"")</f>
        <v/>
      </c>
      <c r="O223" s="231" t="str">
        <f>IFERROR(1-(SUMIF('Plant BD'!$B:$B,A223,'Plant BD'!$AE:$AE)/(AA223+SUMIF('Plant BD'!$B:$B,A223,'Plant BD'!$AE:$AE))),"")</f>
        <v/>
      </c>
      <c r="P223" s="231"/>
      <c r="Q223" s="232"/>
      <c r="R223" s="231" t="str">
        <f>IFERROR(1-(SUMIF('Grid BD'!$B:$B,$A223,'Grid BD'!$AD:$AD)/($AA223+SUMIF('Grid BD'!$B:$B,$A223,'Grid BD'!AD:AD))),"")</f>
        <v/>
      </c>
      <c r="S223" s="6"/>
      <c r="T223" s="232"/>
      <c r="U223" s="233" t="str">
        <f t="shared" si="17"/>
        <v/>
      </c>
      <c r="V223" s="233"/>
      <c r="W223" s="234" t="str">
        <f t="shared" si="15"/>
        <v/>
      </c>
      <c r="X223" s="227" t="str">
        <f>IFERROR(_xlfn.XLOOKUP($A223,'Raw Data'!$A:$A,'Raw Data'!$BA:$BA),"")</f>
        <v/>
      </c>
      <c r="Y223" s="227" t="str">
        <f>IFERROR(_xlfn.XLOOKUP($A223,'Raw Data'!$A:$A,'Raw Data'!BJ:BJ),"")</f>
        <v/>
      </c>
      <c r="Z223" s="227" t="str">
        <f>IFERROR(_xlfn.XLOOKUP($A223,'Raw Data'!$A:$A,'Raw Data'!BK:BK),"")</f>
        <v/>
      </c>
      <c r="AA223" s="227" t="str">
        <f>IFERROR(_xlfn.XLOOKUP($A223,'Raw Data'!$A:$A,'Raw Data'!BL:BL),"")</f>
        <v/>
      </c>
      <c r="AB223" s="227" t="str">
        <f>IFERROR(_xlfn.XLOOKUP($A223,'Raw Data'!$A:$A,'Raw Data'!$H:$H),"")</f>
        <v/>
      </c>
      <c r="AC223" s="145">
        <f>IFERROR(_xlfn.XLOOKUP($D223,'Modelling New'!$D:$D,'Modelling New'!$P:$P),"")</f>
        <v>6.4133333333333331</v>
      </c>
      <c r="AD223" s="227">
        <f>IFERROR(_xlfn.XLOOKUP($D223,'Modelling New'!$D:$D,'Modelling New'!$T:$T)*1000,"")</f>
        <v>110013.10061975369</v>
      </c>
      <c r="AE223" s="234">
        <f>IFERROR(_xlfn.XLOOKUP($D223,'Modelling New'!$D:$D,'Modelling New'!$O:$O),"")</f>
        <v>0.70582805765293155</v>
      </c>
      <c r="AF223" s="234">
        <f>IFERROR(_xlfn.XLOOKUP($D223,'Modelling New'!$D:$D,'Modelling New'!$W:$W),"")</f>
        <v>0.18861294207281115</v>
      </c>
      <c r="AG223" s="234">
        <f>IFERROR(_xlfn.XLOOKUP($D223,'Modelling New'!$D:$D,'Modelling New'!AE:AE),"")</f>
        <v>0.995</v>
      </c>
      <c r="AH223" s="234">
        <v>0.99750000000000005</v>
      </c>
      <c r="AI223" s="6"/>
      <c r="AJ223" s="6"/>
      <c r="AK223" s="6"/>
      <c r="AL223" s="6"/>
      <c r="AM223" s="6"/>
      <c r="AN223" s="231"/>
      <c r="AO223" s="234"/>
      <c r="AP223" s="234"/>
      <c r="AQ223" s="234"/>
      <c r="AR223" s="227">
        <f>IFERROR(_xlfn.XLOOKUP($D223,'Modelling New'!$D:$D,'Modelling New'!$N:$N),"")</f>
        <v>24.303100000000001</v>
      </c>
      <c r="AS223" s="227"/>
    </row>
    <row r="224" spans="1:45" x14ac:dyDescent="0.35">
      <c r="A224" s="226">
        <f t="shared" si="18"/>
        <v>45967</v>
      </c>
      <c r="B224" s="227">
        <f>YEAR(Daily_KPI[[#This Row],[Date]])+IF(MONTH(Daily_KPI[[#This Row],[Date]])&gt;=4,1,0)</f>
        <v>2026</v>
      </c>
      <c r="C224" s="6">
        <f>YEAR(Daily_KPI[[#This Row],[Date]])</f>
        <v>2025</v>
      </c>
      <c r="D224" s="228">
        <f>Daily_KPI[[#This Row],[Date]]-DAY(Daily_KPI[[#This Row],[Date]])+1</f>
        <v>45962</v>
      </c>
      <c r="E224" s="6">
        <f t="shared" si="16"/>
        <v>30</v>
      </c>
      <c r="F224" s="229" t="str">
        <f>IFERROR(_xlfn.XLOOKUP($A224,'Raw Data'!$A:$A,'Raw Data'!$BR:$BR),"")</f>
        <v/>
      </c>
      <c r="G224" s="230" t="str">
        <f>IFERROR(_xlfn.XLOOKUP($A224,'Raw Data'!$A:$A,'Raw Data'!$AO:$AO),"")</f>
        <v/>
      </c>
      <c r="H224" s="230"/>
      <c r="I224" s="230" t="str">
        <f>IFERROR(_xlfn.XLOOKUP($A224,'Raw Data'!$A:$A,'Raw Data'!$AR:$AR),"")</f>
        <v/>
      </c>
      <c r="J224" s="230"/>
      <c r="K224" s="230" t="str">
        <f>IFERROR(_xlfn.XLOOKUP($A224,'Raw Data'!$A:$A,'Raw Data'!$AV:$AV),"")</f>
        <v/>
      </c>
      <c r="L224" s="230" t="str">
        <f>IFERROR(_xlfn.XLOOKUP($A224,'Raw Data'!$A:$A,'Raw Data'!$AW:$AW),"")</f>
        <v/>
      </c>
      <c r="M224" s="230" t="str">
        <f>IFERROR(_xlfn.XLOOKUP($A224,'Raw Data'!$A:$A,'Raw Data'!$AX:$AX),"")</f>
        <v/>
      </c>
      <c r="N224" s="230" t="str">
        <f>IFERROR(_xlfn.XLOOKUP($A224,'Raw Data'!$A:$A,'Raw Data'!$AY:$AY),"")</f>
        <v/>
      </c>
      <c r="O224" s="231" t="str">
        <f>IFERROR(1-(SUMIF('Plant BD'!$B:$B,A224,'Plant BD'!$AE:$AE)/(AA224+SUMIF('Plant BD'!$B:$B,A224,'Plant BD'!$AE:$AE))),"")</f>
        <v/>
      </c>
      <c r="P224" s="231"/>
      <c r="Q224" s="232"/>
      <c r="R224" s="231" t="str">
        <f>IFERROR(1-(SUMIF('Grid BD'!$B:$B,$A224,'Grid BD'!$AD:$AD)/($AA224+SUMIF('Grid BD'!$B:$B,$A224,'Grid BD'!AD:AD))),"")</f>
        <v/>
      </c>
      <c r="S224" s="6"/>
      <c r="T224" s="232"/>
      <c r="U224" s="233" t="str">
        <f t="shared" si="17"/>
        <v/>
      </c>
      <c r="V224" s="233"/>
      <c r="W224" s="234" t="str">
        <f t="shared" si="15"/>
        <v/>
      </c>
      <c r="X224" s="227" t="str">
        <f>IFERROR(_xlfn.XLOOKUP($A224,'Raw Data'!$A:$A,'Raw Data'!$BA:$BA),"")</f>
        <v/>
      </c>
      <c r="Y224" s="227" t="str">
        <f>IFERROR(_xlfn.XLOOKUP($A224,'Raw Data'!$A:$A,'Raw Data'!BJ:BJ),"")</f>
        <v/>
      </c>
      <c r="Z224" s="227" t="str">
        <f>IFERROR(_xlfn.XLOOKUP($A224,'Raw Data'!$A:$A,'Raw Data'!BK:BK),"")</f>
        <v/>
      </c>
      <c r="AA224" s="227" t="str">
        <f>IFERROR(_xlfn.XLOOKUP($A224,'Raw Data'!$A:$A,'Raw Data'!BL:BL),"")</f>
        <v/>
      </c>
      <c r="AB224" s="227" t="str">
        <f>IFERROR(_xlfn.XLOOKUP($A224,'Raw Data'!$A:$A,'Raw Data'!$H:$H),"")</f>
        <v/>
      </c>
      <c r="AC224" s="145">
        <f>IFERROR(_xlfn.XLOOKUP($D224,'Modelling New'!$D:$D,'Modelling New'!$P:$P),"")</f>
        <v>6.4133333333333331</v>
      </c>
      <c r="AD224" s="227">
        <f>IFERROR(_xlfn.XLOOKUP($D224,'Modelling New'!$D:$D,'Modelling New'!$T:$T)*1000,"")</f>
        <v>110013.10061975369</v>
      </c>
      <c r="AE224" s="234">
        <f>IFERROR(_xlfn.XLOOKUP($D224,'Modelling New'!$D:$D,'Modelling New'!$O:$O),"")</f>
        <v>0.70582805765293155</v>
      </c>
      <c r="AF224" s="234">
        <f>IFERROR(_xlfn.XLOOKUP($D224,'Modelling New'!$D:$D,'Modelling New'!$W:$W),"")</f>
        <v>0.18861294207281115</v>
      </c>
      <c r="AG224" s="234">
        <f>IFERROR(_xlfn.XLOOKUP($D224,'Modelling New'!$D:$D,'Modelling New'!AE:AE),"")</f>
        <v>0.995</v>
      </c>
      <c r="AH224" s="234">
        <v>0.99750000000000005</v>
      </c>
      <c r="AI224" s="6"/>
      <c r="AJ224" s="6"/>
      <c r="AK224" s="6"/>
      <c r="AL224" s="6"/>
      <c r="AM224" s="6"/>
      <c r="AN224" s="231"/>
      <c r="AO224" s="234"/>
      <c r="AP224" s="234"/>
      <c r="AQ224" s="234"/>
      <c r="AR224" s="227">
        <f>IFERROR(_xlfn.XLOOKUP($D224,'Modelling New'!$D:$D,'Modelling New'!$N:$N),"")</f>
        <v>24.303100000000001</v>
      </c>
      <c r="AS224" s="227"/>
    </row>
    <row r="225" spans="1:45" x14ac:dyDescent="0.35">
      <c r="A225" s="226">
        <f t="shared" si="18"/>
        <v>45968</v>
      </c>
      <c r="B225" s="227">
        <f>YEAR(Daily_KPI[[#This Row],[Date]])+IF(MONTH(Daily_KPI[[#This Row],[Date]])&gt;=4,1,0)</f>
        <v>2026</v>
      </c>
      <c r="C225" s="6">
        <f>YEAR(Daily_KPI[[#This Row],[Date]])</f>
        <v>2025</v>
      </c>
      <c r="D225" s="228">
        <f>Daily_KPI[[#This Row],[Date]]-DAY(Daily_KPI[[#This Row],[Date]])+1</f>
        <v>45962</v>
      </c>
      <c r="E225" s="6">
        <f t="shared" si="16"/>
        <v>30</v>
      </c>
      <c r="F225" s="229" t="str">
        <f>IFERROR(_xlfn.XLOOKUP($A225,'Raw Data'!$A:$A,'Raw Data'!$BR:$BR),"")</f>
        <v/>
      </c>
      <c r="G225" s="230" t="str">
        <f>IFERROR(_xlfn.XLOOKUP($A225,'Raw Data'!$A:$A,'Raw Data'!$AO:$AO),"")</f>
        <v/>
      </c>
      <c r="H225" s="230"/>
      <c r="I225" s="230" t="str">
        <f>IFERROR(_xlfn.XLOOKUP($A225,'Raw Data'!$A:$A,'Raw Data'!$AR:$AR),"")</f>
        <v/>
      </c>
      <c r="J225" s="230"/>
      <c r="K225" s="230" t="str">
        <f>IFERROR(_xlfn.XLOOKUP($A225,'Raw Data'!$A:$A,'Raw Data'!$AV:$AV),"")</f>
        <v/>
      </c>
      <c r="L225" s="230" t="str">
        <f>IFERROR(_xlfn.XLOOKUP($A225,'Raw Data'!$A:$A,'Raw Data'!$AW:$AW),"")</f>
        <v/>
      </c>
      <c r="M225" s="230" t="str">
        <f>IFERROR(_xlfn.XLOOKUP($A225,'Raw Data'!$A:$A,'Raw Data'!$AX:$AX),"")</f>
        <v/>
      </c>
      <c r="N225" s="230" t="str">
        <f>IFERROR(_xlfn.XLOOKUP($A225,'Raw Data'!$A:$A,'Raw Data'!$AY:$AY),"")</f>
        <v/>
      </c>
      <c r="O225" s="231" t="str">
        <f>IFERROR(1-(SUMIF('Plant BD'!$B:$B,A225,'Plant BD'!$AE:$AE)/(AA225+SUMIF('Plant BD'!$B:$B,A225,'Plant BD'!$AE:$AE))),"")</f>
        <v/>
      </c>
      <c r="P225" s="231"/>
      <c r="Q225" s="232"/>
      <c r="R225" s="231" t="str">
        <f>IFERROR(1-(SUMIF('Grid BD'!$B:$B,$A225,'Grid BD'!$AD:$AD)/($AA225+SUMIF('Grid BD'!$B:$B,$A225,'Grid BD'!AD:AD))),"")</f>
        <v/>
      </c>
      <c r="S225" s="6"/>
      <c r="T225" s="232"/>
      <c r="U225" s="233" t="str">
        <f t="shared" si="17"/>
        <v/>
      </c>
      <c r="V225" s="233"/>
      <c r="W225" s="234" t="str">
        <f t="shared" si="15"/>
        <v/>
      </c>
      <c r="X225" s="227" t="str">
        <f>IFERROR(_xlfn.XLOOKUP($A225,'Raw Data'!$A:$A,'Raw Data'!$BA:$BA),"")</f>
        <v/>
      </c>
      <c r="Y225" s="227" t="str">
        <f>IFERROR(_xlfn.XLOOKUP($A225,'Raw Data'!$A:$A,'Raw Data'!BJ:BJ),"")</f>
        <v/>
      </c>
      <c r="Z225" s="227" t="str">
        <f>IFERROR(_xlfn.XLOOKUP($A225,'Raw Data'!$A:$A,'Raw Data'!BK:BK),"")</f>
        <v/>
      </c>
      <c r="AA225" s="227" t="str">
        <f>IFERROR(_xlfn.XLOOKUP($A225,'Raw Data'!$A:$A,'Raw Data'!BL:BL),"")</f>
        <v/>
      </c>
      <c r="AB225" s="227" t="str">
        <f>IFERROR(_xlfn.XLOOKUP($A225,'Raw Data'!$A:$A,'Raw Data'!$H:$H),"")</f>
        <v/>
      </c>
      <c r="AC225" s="145">
        <f>IFERROR(_xlfn.XLOOKUP($D225,'Modelling New'!$D:$D,'Modelling New'!$P:$P),"")</f>
        <v>6.4133333333333331</v>
      </c>
      <c r="AD225" s="227">
        <f>IFERROR(_xlfn.XLOOKUP($D225,'Modelling New'!$D:$D,'Modelling New'!$T:$T)*1000,"")</f>
        <v>110013.10061975369</v>
      </c>
      <c r="AE225" s="234">
        <f>IFERROR(_xlfn.XLOOKUP($D225,'Modelling New'!$D:$D,'Modelling New'!$O:$O),"")</f>
        <v>0.70582805765293155</v>
      </c>
      <c r="AF225" s="234">
        <f>IFERROR(_xlfn.XLOOKUP($D225,'Modelling New'!$D:$D,'Modelling New'!$W:$W),"")</f>
        <v>0.18861294207281115</v>
      </c>
      <c r="AG225" s="234">
        <f>IFERROR(_xlfn.XLOOKUP($D225,'Modelling New'!$D:$D,'Modelling New'!AE:AE),"")</f>
        <v>0.995</v>
      </c>
      <c r="AH225" s="234">
        <v>0.99750000000000005</v>
      </c>
      <c r="AI225" s="6"/>
      <c r="AJ225" s="6"/>
      <c r="AK225" s="6"/>
      <c r="AL225" s="6"/>
      <c r="AM225" s="6"/>
      <c r="AN225" s="231"/>
      <c r="AO225" s="234"/>
      <c r="AP225" s="234"/>
      <c r="AQ225" s="234"/>
      <c r="AR225" s="227">
        <f>IFERROR(_xlfn.XLOOKUP($D225,'Modelling New'!$D:$D,'Modelling New'!$N:$N),"")</f>
        <v>24.303100000000001</v>
      </c>
      <c r="AS225" s="227"/>
    </row>
    <row r="226" spans="1:45" x14ac:dyDescent="0.35">
      <c r="A226" s="226">
        <f t="shared" si="18"/>
        <v>45969</v>
      </c>
      <c r="B226" s="227">
        <f>YEAR(Daily_KPI[[#This Row],[Date]])+IF(MONTH(Daily_KPI[[#This Row],[Date]])&gt;=4,1,0)</f>
        <v>2026</v>
      </c>
      <c r="C226" s="6">
        <f>YEAR(Daily_KPI[[#This Row],[Date]])</f>
        <v>2025</v>
      </c>
      <c r="D226" s="228">
        <f>Daily_KPI[[#This Row],[Date]]-DAY(Daily_KPI[[#This Row],[Date]])+1</f>
        <v>45962</v>
      </c>
      <c r="E226" s="6">
        <f t="shared" si="16"/>
        <v>30</v>
      </c>
      <c r="F226" s="229" t="str">
        <f>IFERROR(_xlfn.XLOOKUP($A226,'Raw Data'!$A:$A,'Raw Data'!$BR:$BR),"")</f>
        <v/>
      </c>
      <c r="G226" s="230" t="str">
        <f>IFERROR(_xlfn.XLOOKUP($A226,'Raw Data'!$A:$A,'Raw Data'!$AO:$AO),"")</f>
        <v/>
      </c>
      <c r="H226" s="230"/>
      <c r="I226" s="230" t="str">
        <f>IFERROR(_xlfn.XLOOKUP($A226,'Raw Data'!$A:$A,'Raw Data'!$AR:$AR),"")</f>
        <v/>
      </c>
      <c r="J226" s="230"/>
      <c r="K226" s="230" t="str">
        <f>IFERROR(_xlfn.XLOOKUP($A226,'Raw Data'!$A:$A,'Raw Data'!$AV:$AV),"")</f>
        <v/>
      </c>
      <c r="L226" s="230" t="str">
        <f>IFERROR(_xlfn.XLOOKUP($A226,'Raw Data'!$A:$A,'Raw Data'!$AW:$AW),"")</f>
        <v/>
      </c>
      <c r="M226" s="230" t="str">
        <f>IFERROR(_xlfn.XLOOKUP($A226,'Raw Data'!$A:$A,'Raw Data'!$AX:$AX),"")</f>
        <v/>
      </c>
      <c r="N226" s="230" t="str">
        <f>IFERROR(_xlfn.XLOOKUP($A226,'Raw Data'!$A:$A,'Raw Data'!$AY:$AY),"")</f>
        <v/>
      </c>
      <c r="O226" s="231" t="str">
        <f>IFERROR(1-(SUMIF('Plant BD'!$B:$B,A226,'Plant BD'!$AE:$AE)/(AA226+SUMIF('Plant BD'!$B:$B,A226,'Plant BD'!$AE:$AE))),"")</f>
        <v/>
      </c>
      <c r="P226" s="231"/>
      <c r="Q226" s="232"/>
      <c r="R226" s="231" t="str">
        <f>IFERROR(1-(SUMIF('Grid BD'!$B:$B,$A226,'Grid BD'!$AD:$AD)/($AA226+SUMIF('Grid BD'!$B:$B,$A226,'Grid BD'!AD:AD))),"")</f>
        <v/>
      </c>
      <c r="S226" s="6"/>
      <c r="T226" s="232"/>
      <c r="U226" s="233" t="str">
        <f t="shared" si="17"/>
        <v/>
      </c>
      <c r="V226" s="233"/>
      <c r="W226" s="234" t="str">
        <f t="shared" si="15"/>
        <v/>
      </c>
      <c r="X226" s="227" t="str">
        <f>IFERROR(_xlfn.XLOOKUP($A226,'Raw Data'!$A:$A,'Raw Data'!$BA:$BA),"")</f>
        <v/>
      </c>
      <c r="Y226" s="227" t="str">
        <f>IFERROR(_xlfn.XLOOKUP($A226,'Raw Data'!$A:$A,'Raw Data'!BJ:BJ),"")</f>
        <v/>
      </c>
      <c r="Z226" s="227" t="str">
        <f>IFERROR(_xlfn.XLOOKUP($A226,'Raw Data'!$A:$A,'Raw Data'!BK:BK),"")</f>
        <v/>
      </c>
      <c r="AA226" s="227" t="str">
        <f>IFERROR(_xlfn.XLOOKUP($A226,'Raw Data'!$A:$A,'Raw Data'!BL:BL),"")</f>
        <v/>
      </c>
      <c r="AB226" s="227" t="str">
        <f>IFERROR(_xlfn.XLOOKUP($A226,'Raw Data'!$A:$A,'Raw Data'!$H:$H),"")</f>
        <v/>
      </c>
      <c r="AC226" s="145">
        <f>IFERROR(_xlfn.XLOOKUP($D226,'Modelling New'!$D:$D,'Modelling New'!$P:$P),"")</f>
        <v>6.4133333333333331</v>
      </c>
      <c r="AD226" s="227">
        <f>IFERROR(_xlfn.XLOOKUP($D226,'Modelling New'!$D:$D,'Modelling New'!$T:$T)*1000,"")</f>
        <v>110013.10061975369</v>
      </c>
      <c r="AE226" s="234">
        <f>IFERROR(_xlfn.XLOOKUP($D226,'Modelling New'!$D:$D,'Modelling New'!$O:$O),"")</f>
        <v>0.70582805765293155</v>
      </c>
      <c r="AF226" s="234">
        <f>IFERROR(_xlfn.XLOOKUP($D226,'Modelling New'!$D:$D,'Modelling New'!$W:$W),"")</f>
        <v>0.18861294207281115</v>
      </c>
      <c r="AG226" s="234">
        <f>IFERROR(_xlfn.XLOOKUP($D226,'Modelling New'!$D:$D,'Modelling New'!AE:AE),"")</f>
        <v>0.995</v>
      </c>
      <c r="AH226" s="234">
        <v>0.99750000000000005</v>
      </c>
      <c r="AI226" s="6"/>
      <c r="AJ226" s="6"/>
      <c r="AK226" s="6"/>
      <c r="AL226" s="6"/>
      <c r="AM226" s="6"/>
      <c r="AN226" s="231"/>
      <c r="AO226" s="234"/>
      <c r="AP226" s="234"/>
      <c r="AQ226" s="234"/>
      <c r="AR226" s="227">
        <f>IFERROR(_xlfn.XLOOKUP($D226,'Modelling New'!$D:$D,'Modelling New'!$N:$N),"")</f>
        <v>24.303100000000001</v>
      </c>
      <c r="AS226" s="227"/>
    </row>
    <row r="227" spans="1:45" x14ac:dyDescent="0.35">
      <c r="A227" s="226">
        <f t="shared" si="18"/>
        <v>45970</v>
      </c>
      <c r="B227" s="227">
        <f>YEAR(Daily_KPI[[#This Row],[Date]])+IF(MONTH(Daily_KPI[[#This Row],[Date]])&gt;=4,1,0)</f>
        <v>2026</v>
      </c>
      <c r="C227" s="6">
        <f>YEAR(Daily_KPI[[#This Row],[Date]])</f>
        <v>2025</v>
      </c>
      <c r="D227" s="228">
        <f>Daily_KPI[[#This Row],[Date]]-DAY(Daily_KPI[[#This Row],[Date]])+1</f>
        <v>45962</v>
      </c>
      <c r="E227" s="6">
        <f t="shared" si="16"/>
        <v>30</v>
      </c>
      <c r="F227" s="229" t="str">
        <f>IFERROR(_xlfn.XLOOKUP($A227,'Raw Data'!$A:$A,'Raw Data'!$BR:$BR),"")</f>
        <v/>
      </c>
      <c r="G227" s="230" t="str">
        <f>IFERROR(_xlfn.XLOOKUP($A227,'Raw Data'!$A:$A,'Raw Data'!$AO:$AO),"")</f>
        <v/>
      </c>
      <c r="H227" s="230"/>
      <c r="I227" s="230" t="str">
        <f>IFERROR(_xlfn.XLOOKUP($A227,'Raw Data'!$A:$A,'Raw Data'!$AR:$AR),"")</f>
        <v/>
      </c>
      <c r="J227" s="230"/>
      <c r="K227" s="230" t="str">
        <f>IFERROR(_xlfn.XLOOKUP($A227,'Raw Data'!$A:$A,'Raw Data'!$AV:$AV),"")</f>
        <v/>
      </c>
      <c r="L227" s="230" t="str">
        <f>IFERROR(_xlfn.XLOOKUP($A227,'Raw Data'!$A:$A,'Raw Data'!$AW:$AW),"")</f>
        <v/>
      </c>
      <c r="M227" s="230" t="str">
        <f>IFERROR(_xlfn.XLOOKUP($A227,'Raw Data'!$A:$A,'Raw Data'!$AX:$AX),"")</f>
        <v/>
      </c>
      <c r="N227" s="230" t="str">
        <f>IFERROR(_xlfn.XLOOKUP($A227,'Raw Data'!$A:$A,'Raw Data'!$AY:$AY),"")</f>
        <v/>
      </c>
      <c r="O227" s="231" t="str">
        <f>IFERROR(1-(SUMIF('Plant BD'!$B:$B,A227,'Plant BD'!$AE:$AE)/(AA227+SUMIF('Plant BD'!$B:$B,A227,'Plant BD'!$AE:$AE))),"")</f>
        <v/>
      </c>
      <c r="P227" s="231"/>
      <c r="Q227" s="232"/>
      <c r="R227" s="231" t="str">
        <f>IFERROR(1-(SUMIF('Grid BD'!$B:$B,$A227,'Grid BD'!$AD:$AD)/($AA227+SUMIF('Grid BD'!$B:$B,$A227,'Grid BD'!AD:AD))),"")</f>
        <v/>
      </c>
      <c r="S227" s="6"/>
      <c r="T227" s="232"/>
      <c r="U227" s="233" t="str">
        <f t="shared" si="17"/>
        <v/>
      </c>
      <c r="V227" s="233"/>
      <c r="W227" s="234" t="str">
        <f t="shared" si="15"/>
        <v/>
      </c>
      <c r="X227" s="227" t="str">
        <f>IFERROR(_xlfn.XLOOKUP($A227,'Raw Data'!$A:$A,'Raw Data'!$BA:$BA),"")</f>
        <v/>
      </c>
      <c r="Y227" s="227" t="str">
        <f>IFERROR(_xlfn.XLOOKUP($A227,'Raw Data'!$A:$A,'Raw Data'!BJ:BJ),"")</f>
        <v/>
      </c>
      <c r="Z227" s="227" t="str">
        <f>IFERROR(_xlfn.XLOOKUP($A227,'Raw Data'!$A:$A,'Raw Data'!BK:BK),"")</f>
        <v/>
      </c>
      <c r="AA227" s="227" t="str">
        <f>IFERROR(_xlfn.XLOOKUP($A227,'Raw Data'!$A:$A,'Raw Data'!BL:BL),"")</f>
        <v/>
      </c>
      <c r="AB227" s="227" t="str">
        <f>IFERROR(_xlfn.XLOOKUP($A227,'Raw Data'!$A:$A,'Raw Data'!$H:$H),"")</f>
        <v/>
      </c>
      <c r="AC227" s="145">
        <f>IFERROR(_xlfn.XLOOKUP($D227,'Modelling New'!$D:$D,'Modelling New'!$P:$P),"")</f>
        <v>6.4133333333333331</v>
      </c>
      <c r="AD227" s="227">
        <f>IFERROR(_xlfn.XLOOKUP($D227,'Modelling New'!$D:$D,'Modelling New'!$T:$T)*1000,"")</f>
        <v>110013.10061975369</v>
      </c>
      <c r="AE227" s="234">
        <f>IFERROR(_xlfn.XLOOKUP($D227,'Modelling New'!$D:$D,'Modelling New'!$O:$O),"")</f>
        <v>0.70582805765293155</v>
      </c>
      <c r="AF227" s="234">
        <f>IFERROR(_xlfn.XLOOKUP($D227,'Modelling New'!$D:$D,'Modelling New'!$W:$W),"")</f>
        <v>0.18861294207281115</v>
      </c>
      <c r="AG227" s="234">
        <f>IFERROR(_xlfn.XLOOKUP($D227,'Modelling New'!$D:$D,'Modelling New'!AE:AE),"")</f>
        <v>0.995</v>
      </c>
      <c r="AH227" s="234">
        <v>0.99750000000000005</v>
      </c>
      <c r="AI227" s="6"/>
      <c r="AJ227" s="6"/>
      <c r="AK227" s="6"/>
      <c r="AL227" s="6"/>
      <c r="AM227" s="6"/>
      <c r="AN227" s="231"/>
      <c r="AO227" s="234"/>
      <c r="AP227" s="234"/>
      <c r="AQ227" s="234"/>
      <c r="AR227" s="227">
        <f>IFERROR(_xlfn.XLOOKUP($D227,'Modelling New'!$D:$D,'Modelling New'!$N:$N),"")</f>
        <v>24.303100000000001</v>
      </c>
      <c r="AS227" s="227"/>
    </row>
    <row r="228" spans="1:45" x14ac:dyDescent="0.35">
      <c r="A228" s="226">
        <f t="shared" si="18"/>
        <v>45971</v>
      </c>
      <c r="B228" s="227">
        <f>YEAR(Daily_KPI[[#This Row],[Date]])+IF(MONTH(Daily_KPI[[#This Row],[Date]])&gt;=4,1,0)</f>
        <v>2026</v>
      </c>
      <c r="C228" s="6">
        <f>YEAR(Daily_KPI[[#This Row],[Date]])</f>
        <v>2025</v>
      </c>
      <c r="D228" s="228">
        <f>Daily_KPI[[#This Row],[Date]]-DAY(Daily_KPI[[#This Row],[Date]])+1</f>
        <v>45962</v>
      </c>
      <c r="E228" s="6">
        <f t="shared" si="16"/>
        <v>30</v>
      </c>
      <c r="F228" s="229" t="str">
        <f>IFERROR(_xlfn.XLOOKUP($A228,'Raw Data'!$A:$A,'Raw Data'!$BR:$BR),"")</f>
        <v/>
      </c>
      <c r="G228" s="230" t="str">
        <f>IFERROR(_xlfn.XLOOKUP($A228,'Raw Data'!$A:$A,'Raw Data'!$AO:$AO),"")</f>
        <v/>
      </c>
      <c r="H228" s="230"/>
      <c r="I228" s="230" t="str">
        <f>IFERROR(_xlfn.XLOOKUP($A228,'Raw Data'!$A:$A,'Raw Data'!$AR:$AR),"")</f>
        <v/>
      </c>
      <c r="J228" s="230"/>
      <c r="K228" s="230" t="str">
        <f>IFERROR(_xlfn.XLOOKUP($A228,'Raw Data'!$A:$A,'Raw Data'!$AV:$AV),"")</f>
        <v/>
      </c>
      <c r="L228" s="230" t="str">
        <f>IFERROR(_xlfn.XLOOKUP($A228,'Raw Data'!$A:$A,'Raw Data'!$AW:$AW),"")</f>
        <v/>
      </c>
      <c r="M228" s="230" t="str">
        <f>IFERROR(_xlfn.XLOOKUP($A228,'Raw Data'!$A:$A,'Raw Data'!$AX:$AX),"")</f>
        <v/>
      </c>
      <c r="N228" s="230" t="str">
        <f>IFERROR(_xlfn.XLOOKUP($A228,'Raw Data'!$A:$A,'Raw Data'!$AY:$AY),"")</f>
        <v/>
      </c>
      <c r="O228" s="231" t="str">
        <f>IFERROR(1-(SUMIF('Plant BD'!$B:$B,A228,'Plant BD'!$AE:$AE)/(AA228+SUMIF('Plant BD'!$B:$B,A228,'Plant BD'!$AE:$AE))),"")</f>
        <v/>
      </c>
      <c r="P228" s="231"/>
      <c r="Q228" s="232"/>
      <c r="R228" s="231" t="str">
        <f>IFERROR(1-(SUMIF('Grid BD'!$B:$B,$A228,'Grid BD'!$AD:$AD)/($AA228+SUMIF('Grid BD'!$B:$B,$A228,'Grid BD'!AD:AD))),"")</f>
        <v/>
      </c>
      <c r="S228" s="6"/>
      <c r="T228" s="232"/>
      <c r="U228" s="233" t="str">
        <f t="shared" si="17"/>
        <v/>
      </c>
      <c r="V228" s="233"/>
      <c r="W228" s="234" t="str">
        <f t="shared" si="15"/>
        <v/>
      </c>
      <c r="X228" s="227" t="str">
        <f>IFERROR(_xlfn.XLOOKUP($A228,'Raw Data'!$A:$A,'Raw Data'!$BA:$BA),"")</f>
        <v/>
      </c>
      <c r="Y228" s="227" t="str">
        <f>IFERROR(_xlfn.XLOOKUP($A228,'Raw Data'!$A:$A,'Raw Data'!BJ:BJ),"")</f>
        <v/>
      </c>
      <c r="Z228" s="227" t="str">
        <f>IFERROR(_xlfn.XLOOKUP($A228,'Raw Data'!$A:$A,'Raw Data'!BK:BK),"")</f>
        <v/>
      </c>
      <c r="AA228" s="227" t="str">
        <f>IFERROR(_xlfn.XLOOKUP($A228,'Raw Data'!$A:$A,'Raw Data'!BL:BL),"")</f>
        <v/>
      </c>
      <c r="AB228" s="227" t="str">
        <f>IFERROR(_xlfn.XLOOKUP($A228,'Raw Data'!$A:$A,'Raw Data'!$H:$H),"")</f>
        <v/>
      </c>
      <c r="AC228" s="145">
        <f>IFERROR(_xlfn.XLOOKUP($D228,'Modelling New'!$D:$D,'Modelling New'!$P:$P),"")</f>
        <v>6.4133333333333331</v>
      </c>
      <c r="AD228" s="227">
        <f>IFERROR(_xlfn.XLOOKUP($D228,'Modelling New'!$D:$D,'Modelling New'!$T:$T)*1000,"")</f>
        <v>110013.10061975369</v>
      </c>
      <c r="AE228" s="234">
        <f>IFERROR(_xlfn.XLOOKUP($D228,'Modelling New'!$D:$D,'Modelling New'!$O:$O),"")</f>
        <v>0.70582805765293155</v>
      </c>
      <c r="AF228" s="234">
        <f>IFERROR(_xlfn.XLOOKUP($D228,'Modelling New'!$D:$D,'Modelling New'!$W:$W),"")</f>
        <v>0.18861294207281115</v>
      </c>
      <c r="AG228" s="234">
        <f>IFERROR(_xlfn.XLOOKUP($D228,'Modelling New'!$D:$D,'Modelling New'!AE:AE),"")</f>
        <v>0.995</v>
      </c>
      <c r="AH228" s="234">
        <v>0.99750000000000005</v>
      </c>
      <c r="AI228" s="6"/>
      <c r="AJ228" s="6"/>
      <c r="AK228" s="6"/>
      <c r="AL228" s="6"/>
      <c r="AM228" s="6"/>
      <c r="AN228" s="231"/>
      <c r="AO228" s="234"/>
      <c r="AP228" s="234"/>
      <c r="AQ228" s="234"/>
      <c r="AR228" s="227">
        <f>IFERROR(_xlfn.XLOOKUP($D228,'Modelling New'!$D:$D,'Modelling New'!$N:$N),"")</f>
        <v>24.303100000000001</v>
      </c>
      <c r="AS228" s="227"/>
    </row>
    <row r="229" spans="1:45" x14ac:dyDescent="0.35">
      <c r="A229" s="226">
        <f t="shared" si="18"/>
        <v>45972</v>
      </c>
      <c r="B229" s="227">
        <f>YEAR(Daily_KPI[[#This Row],[Date]])+IF(MONTH(Daily_KPI[[#This Row],[Date]])&gt;=4,1,0)</f>
        <v>2026</v>
      </c>
      <c r="C229" s="6">
        <f>YEAR(Daily_KPI[[#This Row],[Date]])</f>
        <v>2025</v>
      </c>
      <c r="D229" s="228">
        <f>Daily_KPI[[#This Row],[Date]]-DAY(Daily_KPI[[#This Row],[Date]])+1</f>
        <v>45962</v>
      </c>
      <c r="E229" s="6">
        <f t="shared" si="16"/>
        <v>30</v>
      </c>
      <c r="F229" s="229" t="str">
        <f>IFERROR(_xlfn.XLOOKUP($A229,'Raw Data'!$A:$A,'Raw Data'!$BR:$BR),"")</f>
        <v/>
      </c>
      <c r="G229" s="230" t="str">
        <f>IFERROR(_xlfn.XLOOKUP($A229,'Raw Data'!$A:$A,'Raw Data'!$AO:$AO),"")</f>
        <v/>
      </c>
      <c r="H229" s="230"/>
      <c r="I229" s="230" t="str">
        <f>IFERROR(_xlfn.XLOOKUP($A229,'Raw Data'!$A:$A,'Raw Data'!$AR:$AR),"")</f>
        <v/>
      </c>
      <c r="J229" s="230"/>
      <c r="K229" s="230" t="str">
        <f>IFERROR(_xlfn.XLOOKUP($A229,'Raw Data'!$A:$A,'Raw Data'!$AV:$AV),"")</f>
        <v/>
      </c>
      <c r="L229" s="230" t="str">
        <f>IFERROR(_xlfn.XLOOKUP($A229,'Raw Data'!$A:$A,'Raw Data'!$AW:$AW),"")</f>
        <v/>
      </c>
      <c r="M229" s="230" t="str">
        <f>IFERROR(_xlfn.XLOOKUP($A229,'Raw Data'!$A:$A,'Raw Data'!$AX:$AX),"")</f>
        <v/>
      </c>
      <c r="N229" s="230" t="str">
        <f>IFERROR(_xlfn.XLOOKUP($A229,'Raw Data'!$A:$A,'Raw Data'!$AY:$AY),"")</f>
        <v/>
      </c>
      <c r="O229" s="231" t="str">
        <f>IFERROR(1-(SUMIF('Plant BD'!$B:$B,A229,'Plant BD'!$AE:$AE)/(AA229+SUMIF('Plant BD'!$B:$B,A229,'Plant BD'!$AE:$AE))),"")</f>
        <v/>
      </c>
      <c r="P229" s="231"/>
      <c r="Q229" s="232"/>
      <c r="R229" s="231" t="str">
        <f>IFERROR(1-(SUMIF('Grid BD'!$B:$B,$A229,'Grid BD'!$AD:$AD)/($AA229+SUMIF('Grid BD'!$B:$B,$A229,'Grid BD'!AD:AD))),"")</f>
        <v/>
      </c>
      <c r="S229" s="6"/>
      <c r="T229" s="232"/>
      <c r="U229" s="233" t="str">
        <f t="shared" si="17"/>
        <v/>
      </c>
      <c r="V229" s="233"/>
      <c r="W229" s="234" t="str">
        <f t="shared" si="15"/>
        <v/>
      </c>
      <c r="X229" s="227" t="str">
        <f>IFERROR(_xlfn.XLOOKUP($A229,'Raw Data'!$A:$A,'Raw Data'!$BA:$BA),"")</f>
        <v/>
      </c>
      <c r="Y229" s="227" t="str">
        <f>IFERROR(_xlfn.XLOOKUP($A229,'Raw Data'!$A:$A,'Raw Data'!BJ:BJ),"")</f>
        <v/>
      </c>
      <c r="Z229" s="227" t="str">
        <f>IFERROR(_xlfn.XLOOKUP($A229,'Raw Data'!$A:$A,'Raw Data'!BK:BK),"")</f>
        <v/>
      </c>
      <c r="AA229" s="227" t="str">
        <f>IFERROR(_xlfn.XLOOKUP($A229,'Raw Data'!$A:$A,'Raw Data'!BL:BL),"")</f>
        <v/>
      </c>
      <c r="AB229" s="227" t="str">
        <f>IFERROR(_xlfn.XLOOKUP($A229,'Raw Data'!$A:$A,'Raw Data'!$H:$H),"")</f>
        <v/>
      </c>
      <c r="AC229" s="145">
        <f>IFERROR(_xlfn.XLOOKUP($D229,'Modelling New'!$D:$D,'Modelling New'!$P:$P),"")</f>
        <v>6.4133333333333331</v>
      </c>
      <c r="AD229" s="227">
        <f>IFERROR(_xlfn.XLOOKUP($D229,'Modelling New'!$D:$D,'Modelling New'!$T:$T)*1000,"")</f>
        <v>110013.10061975369</v>
      </c>
      <c r="AE229" s="234">
        <f>IFERROR(_xlfn.XLOOKUP($D229,'Modelling New'!$D:$D,'Modelling New'!$O:$O),"")</f>
        <v>0.70582805765293155</v>
      </c>
      <c r="AF229" s="234">
        <f>IFERROR(_xlfn.XLOOKUP($D229,'Modelling New'!$D:$D,'Modelling New'!$W:$W),"")</f>
        <v>0.18861294207281115</v>
      </c>
      <c r="AG229" s="234">
        <f>IFERROR(_xlfn.XLOOKUP($D229,'Modelling New'!$D:$D,'Modelling New'!AE:AE),"")</f>
        <v>0.995</v>
      </c>
      <c r="AH229" s="234">
        <v>0.99750000000000005</v>
      </c>
      <c r="AI229" s="6"/>
      <c r="AJ229" s="6"/>
      <c r="AK229" s="6"/>
      <c r="AL229" s="6"/>
      <c r="AM229" s="6"/>
      <c r="AN229" s="231"/>
      <c r="AO229" s="234"/>
      <c r="AP229" s="234"/>
      <c r="AQ229" s="234"/>
      <c r="AR229" s="227">
        <f>IFERROR(_xlfn.XLOOKUP($D229,'Modelling New'!$D:$D,'Modelling New'!$N:$N),"")</f>
        <v>24.303100000000001</v>
      </c>
      <c r="AS229" s="227"/>
    </row>
    <row r="230" spans="1:45" x14ac:dyDescent="0.35">
      <c r="A230" s="226">
        <f t="shared" si="18"/>
        <v>45973</v>
      </c>
      <c r="B230" s="227">
        <f>YEAR(Daily_KPI[[#This Row],[Date]])+IF(MONTH(Daily_KPI[[#This Row],[Date]])&gt;=4,1,0)</f>
        <v>2026</v>
      </c>
      <c r="C230" s="6">
        <f>YEAR(Daily_KPI[[#This Row],[Date]])</f>
        <v>2025</v>
      </c>
      <c r="D230" s="228">
        <f>Daily_KPI[[#This Row],[Date]]-DAY(Daily_KPI[[#This Row],[Date]])+1</f>
        <v>45962</v>
      </c>
      <c r="E230" s="6">
        <f t="shared" si="16"/>
        <v>30</v>
      </c>
      <c r="F230" s="229" t="str">
        <f>IFERROR(_xlfn.XLOOKUP($A230,'Raw Data'!$A:$A,'Raw Data'!$BR:$BR),"")</f>
        <v/>
      </c>
      <c r="G230" s="230" t="str">
        <f>IFERROR(_xlfn.XLOOKUP($A230,'Raw Data'!$A:$A,'Raw Data'!$AO:$AO),"")</f>
        <v/>
      </c>
      <c r="H230" s="230"/>
      <c r="I230" s="230" t="str">
        <f>IFERROR(_xlfn.XLOOKUP($A230,'Raw Data'!$A:$A,'Raw Data'!$AR:$AR),"")</f>
        <v/>
      </c>
      <c r="J230" s="230"/>
      <c r="K230" s="230" t="str">
        <f>IFERROR(_xlfn.XLOOKUP($A230,'Raw Data'!$A:$A,'Raw Data'!$AV:$AV),"")</f>
        <v/>
      </c>
      <c r="L230" s="230" t="str">
        <f>IFERROR(_xlfn.XLOOKUP($A230,'Raw Data'!$A:$A,'Raw Data'!$AW:$AW),"")</f>
        <v/>
      </c>
      <c r="M230" s="230" t="str">
        <f>IFERROR(_xlfn.XLOOKUP($A230,'Raw Data'!$A:$A,'Raw Data'!$AX:$AX),"")</f>
        <v/>
      </c>
      <c r="N230" s="230" t="str">
        <f>IFERROR(_xlfn.XLOOKUP($A230,'Raw Data'!$A:$A,'Raw Data'!$AY:$AY),"")</f>
        <v/>
      </c>
      <c r="O230" s="231" t="str">
        <f>IFERROR(1-(SUMIF('Plant BD'!$B:$B,A230,'Plant BD'!$AE:$AE)/(AA230+SUMIF('Plant BD'!$B:$B,A230,'Plant BD'!$AE:$AE))),"")</f>
        <v/>
      </c>
      <c r="P230" s="231"/>
      <c r="Q230" s="232"/>
      <c r="R230" s="231" t="str">
        <f>IFERROR(1-(SUMIF('Grid BD'!$B:$B,$A230,'Grid BD'!$AD:$AD)/($AA230+SUMIF('Grid BD'!$B:$B,$A230,'Grid BD'!AD:AD))),"")</f>
        <v/>
      </c>
      <c r="S230" s="6"/>
      <c r="T230" s="232"/>
      <c r="U230" s="233" t="str">
        <f t="shared" si="17"/>
        <v/>
      </c>
      <c r="V230" s="233"/>
      <c r="W230" s="234" t="str">
        <f t="shared" si="15"/>
        <v/>
      </c>
      <c r="X230" s="227" t="str">
        <f>IFERROR(_xlfn.XLOOKUP($A230,'Raw Data'!$A:$A,'Raw Data'!$BA:$BA),"")</f>
        <v/>
      </c>
      <c r="Y230" s="227" t="str">
        <f>IFERROR(_xlfn.XLOOKUP($A230,'Raw Data'!$A:$A,'Raw Data'!BJ:BJ),"")</f>
        <v/>
      </c>
      <c r="Z230" s="227" t="str">
        <f>IFERROR(_xlfn.XLOOKUP($A230,'Raw Data'!$A:$A,'Raw Data'!BK:BK),"")</f>
        <v/>
      </c>
      <c r="AA230" s="227" t="str">
        <f>IFERROR(_xlfn.XLOOKUP($A230,'Raw Data'!$A:$A,'Raw Data'!BL:BL),"")</f>
        <v/>
      </c>
      <c r="AB230" s="227" t="str">
        <f>IFERROR(_xlfn.XLOOKUP($A230,'Raw Data'!$A:$A,'Raw Data'!$H:$H),"")</f>
        <v/>
      </c>
      <c r="AC230" s="145">
        <f>IFERROR(_xlfn.XLOOKUP($D230,'Modelling New'!$D:$D,'Modelling New'!$P:$P),"")</f>
        <v>6.4133333333333331</v>
      </c>
      <c r="AD230" s="227">
        <f>IFERROR(_xlfn.XLOOKUP($D230,'Modelling New'!$D:$D,'Modelling New'!$T:$T)*1000,"")</f>
        <v>110013.10061975369</v>
      </c>
      <c r="AE230" s="234">
        <f>IFERROR(_xlfn.XLOOKUP($D230,'Modelling New'!$D:$D,'Modelling New'!$O:$O),"")</f>
        <v>0.70582805765293155</v>
      </c>
      <c r="AF230" s="234">
        <f>IFERROR(_xlfn.XLOOKUP($D230,'Modelling New'!$D:$D,'Modelling New'!$W:$W),"")</f>
        <v>0.18861294207281115</v>
      </c>
      <c r="AG230" s="234">
        <f>IFERROR(_xlfn.XLOOKUP($D230,'Modelling New'!$D:$D,'Modelling New'!AE:AE),"")</f>
        <v>0.995</v>
      </c>
      <c r="AH230" s="234">
        <v>0.99750000000000005</v>
      </c>
      <c r="AI230" s="6"/>
      <c r="AJ230" s="6"/>
      <c r="AK230" s="6"/>
      <c r="AL230" s="6"/>
      <c r="AM230" s="6"/>
      <c r="AN230" s="231"/>
      <c r="AO230" s="234"/>
      <c r="AP230" s="234"/>
      <c r="AQ230" s="234"/>
      <c r="AR230" s="227">
        <f>IFERROR(_xlfn.XLOOKUP($D230,'Modelling New'!$D:$D,'Modelling New'!$N:$N),"")</f>
        <v>24.303100000000001</v>
      </c>
      <c r="AS230" s="227"/>
    </row>
    <row r="231" spans="1:45" x14ac:dyDescent="0.35">
      <c r="A231" s="226">
        <f t="shared" si="18"/>
        <v>45974</v>
      </c>
      <c r="B231" s="227">
        <f>YEAR(Daily_KPI[[#This Row],[Date]])+IF(MONTH(Daily_KPI[[#This Row],[Date]])&gt;=4,1,0)</f>
        <v>2026</v>
      </c>
      <c r="C231" s="6">
        <f>YEAR(Daily_KPI[[#This Row],[Date]])</f>
        <v>2025</v>
      </c>
      <c r="D231" s="228">
        <f>Daily_KPI[[#This Row],[Date]]-DAY(Daily_KPI[[#This Row],[Date]])+1</f>
        <v>45962</v>
      </c>
      <c r="E231" s="6">
        <f t="shared" si="16"/>
        <v>30</v>
      </c>
      <c r="F231" s="229" t="str">
        <f>IFERROR(_xlfn.XLOOKUP($A231,'Raw Data'!$A:$A,'Raw Data'!$BR:$BR),"")</f>
        <v/>
      </c>
      <c r="G231" s="230" t="str">
        <f>IFERROR(_xlfn.XLOOKUP($A231,'Raw Data'!$A:$A,'Raw Data'!$AO:$AO),"")</f>
        <v/>
      </c>
      <c r="H231" s="230"/>
      <c r="I231" s="230" t="str">
        <f>IFERROR(_xlfn.XLOOKUP($A231,'Raw Data'!$A:$A,'Raw Data'!$AR:$AR),"")</f>
        <v/>
      </c>
      <c r="J231" s="230"/>
      <c r="K231" s="230" t="str">
        <f>IFERROR(_xlfn.XLOOKUP($A231,'Raw Data'!$A:$A,'Raw Data'!$AV:$AV),"")</f>
        <v/>
      </c>
      <c r="L231" s="230" t="str">
        <f>IFERROR(_xlfn.XLOOKUP($A231,'Raw Data'!$A:$A,'Raw Data'!$AW:$AW),"")</f>
        <v/>
      </c>
      <c r="M231" s="230" t="str">
        <f>IFERROR(_xlfn.XLOOKUP($A231,'Raw Data'!$A:$A,'Raw Data'!$AX:$AX),"")</f>
        <v/>
      </c>
      <c r="N231" s="230" t="str">
        <f>IFERROR(_xlfn.XLOOKUP($A231,'Raw Data'!$A:$A,'Raw Data'!$AY:$AY),"")</f>
        <v/>
      </c>
      <c r="O231" s="231" t="str">
        <f>IFERROR(1-(SUMIF('Plant BD'!$B:$B,A231,'Plant BD'!$AE:$AE)/(AA231+SUMIF('Plant BD'!$B:$B,A231,'Plant BD'!$AE:$AE))),"")</f>
        <v/>
      </c>
      <c r="P231" s="231"/>
      <c r="Q231" s="232"/>
      <c r="R231" s="231" t="str">
        <f>IFERROR(1-(SUMIF('Grid BD'!$B:$B,$A231,'Grid BD'!$AD:$AD)/($AA231+SUMIF('Grid BD'!$B:$B,$A231,'Grid BD'!AD:AD))),"")</f>
        <v/>
      </c>
      <c r="S231" s="6"/>
      <c r="T231" s="232"/>
      <c r="U231" s="233" t="str">
        <f t="shared" si="17"/>
        <v/>
      </c>
      <c r="V231" s="233"/>
      <c r="W231" s="234" t="str">
        <f t="shared" si="15"/>
        <v/>
      </c>
      <c r="X231" s="227" t="str">
        <f>IFERROR(_xlfn.XLOOKUP($A231,'Raw Data'!$A:$A,'Raw Data'!$BA:$BA),"")</f>
        <v/>
      </c>
      <c r="Y231" s="227" t="str">
        <f>IFERROR(_xlfn.XLOOKUP($A231,'Raw Data'!$A:$A,'Raw Data'!BJ:BJ),"")</f>
        <v/>
      </c>
      <c r="Z231" s="227" t="str">
        <f>IFERROR(_xlfn.XLOOKUP($A231,'Raw Data'!$A:$A,'Raw Data'!BK:BK),"")</f>
        <v/>
      </c>
      <c r="AA231" s="227" t="str">
        <f>IFERROR(_xlfn.XLOOKUP($A231,'Raw Data'!$A:$A,'Raw Data'!BL:BL),"")</f>
        <v/>
      </c>
      <c r="AB231" s="227" t="str">
        <f>IFERROR(_xlfn.XLOOKUP($A231,'Raw Data'!$A:$A,'Raw Data'!$H:$H),"")</f>
        <v/>
      </c>
      <c r="AC231" s="145">
        <f>IFERROR(_xlfn.XLOOKUP($D231,'Modelling New'!$D:$D,'Modelling New'!$P:$P),"")</f>
        <v>6.4133333333333331</v>
      </c>
      <c r="AD231" s="227">
        <f>IFERROR(_xlfn.XLOOKUP($D231,'Modelling New'!$D:$D,'Modelling New'!$T:$T)*1000,"")</f>
        <v>110013.10061975369</v>
      </c>
      <c r="AE231" s="234">
        <f>IFERROR(_xlfn.XLOOKUP($D231,'Modelling New'!$D:$D,'Modelling New'!$O:$O),"")</f>
        <v>0.70582805765293155</v>
      </c>
      <c r="AF231" s="234">
        <f>IFERROR(_xlfn.XLOOKUP($D231,'Modelling New'!$D:$D,'Modelling New'!$W:$W),"")</f>
        <v>0.18861294207281115</v>
      </c>
      <c r="AG231" s="234">
        <f>IFERROR(_xlfn.XLOOKUP($D231,'Modelling New'!$D:$D,'Modelling New'!AE:AE),"")</f>
        <v>0.995</v>
      </c>
      <c r="AH231" s="234">
        <v>0.99750000000000005</v>
      </c>
      <c r="AI231" s="6"/>
      <c r="AJ231" s="6"/>
      <c r="AK231" s="6"/>
      <c r="AL231" s="6"/>
      <c r="AM231" s="6"/>
      <c r="AN231" s="231"/>
      <c r="AO231" s="234"/>
      <c r="AP231" s="234"/>
      <c r="AQ231" s="234"/>
      <c r="AR231" s="227">
        <f>IFERROR(_xlfn.XLOOKUP($D231,'Modelling New'!$D:$D,'Modelling New'!$N:$N),"")</f>
        <v>24.303100000000001</v>
      </c>
      <c r="AS231" s="227"/>
    </row>
    <row r="232" spans="1:45" x14ac:dyDescent="0.35">
      <c r="A232" s="226">
        <f t="shared" si="18"/>
        <v>45975</v>
      </c>
      <c r="B232" s="227">
        <f>YEAR(Daily_KPI[[#This Row],[Date]])+IF(MONTH(Daily_KPI[[#This Row],[Date]])&gt;=4,1,0)</f>
        <v>2026</v>
      </c>
      <c r="C232" s="6">
        <f>YEAR(Daily_KPI[[#This Row],[Date]])</f>
        <v>2025</v>
      </c>
      <c r="D232" s="228">
        <f>Daily_KPI[[#This Row],[Date]]-DAY(Daily_KPI[[#This Row],[Date]])+1</f>
        <v>45962</v>
      </c>
      <c r="E232" s="6">
        <f t="shared" si="16"/>
        <v>30</v>
      </c>
      <c r="F232" s="229" t="str">
        <f>IFERROR(_xlfn.XLOOKUP($A232,'Raw Data'!$A:$A,'Raw Data'!$BR:$BR),"")</f>
        <v/>
      </c>
      <c r="G232" s="230" t="str">
        <f>IFERROR(_xlfn.XLOOKUP($A232,'Raw Data'!$A:$A,'Raw Data'!$AO:$AO),"")</f>
        <v/>
      </c>
      <c r="H232" s="230"/>
      <c r="I232" s="230" t="str">
        <f>IFERROR(_xlfn.XLOOKUP($A232,'Raw Data'!$A:$A,'Raw Data'!$AR:$AR),"")</f>
        <v/>
      </c>
      <c r="J232" s="230"/>
      <c r="K232" s="230" t="str">
        <f>IFERROR(_xlfn.XLOOKUP($A232,'Raw Data'!$A:$A,'Raw Data'!$AV:$AV),"")</f>
        <v/>
      </c>
      <c r="L232" s="230" t="str">
        <f>IFERROR(_xlfn.XLOOKUP($A232,'Raw Data'!$A:$A,'Raw Data'!$AW:$AW),"")</f>
        <v/>
      </c>
      <c r="M232" s="230" t="str">
        <f>IFERROR(_xlfn.XLOOKUP($A232,'Raw Data'!$A:$A,'Raw Data'!$AX:$AX),"")</f>
        <v/>
      </c>
      <c r="N232" s="230" t="str">
        <f>IFERROR(_xlfn.XLOOKUP($A232,'Raw Data'!$A:$A,'Raw Data'!$AY:$AY),"")</f>
        <v/>
      </c>
      <c r="O232" s="231" t="str">
        <f>IFERROR(1-(SUMIF('Plant BD'!$B:$B,A232,'Plant BD'!$AE:$AE)/(AA232+SUMIF('Plant BD'!$B:$B,A232,'Plant BD'!$AE:$AE))),"")</f>
        <v/>
      </c>
      <c r="P232" s="231"/>
      <c r="Q232" s="232"/>
      <c r="R232" s="231" t="str">
        <f>IFERROR(1-(SUMIF('Grid BD'!$B:$B,$A232,'Grid BD'!$AD:$AD)/($AA232+SUMIF('Grid BD'!$B:$B,$A232,'Grid BD'!AD:AD))),"")</f>
        <v/>
      </c>
      <c r="S232" s="6"/>
      <c r="T232" s="232"/>
      <c r="U232" s="233" t="str">
        <f t="shared" si="17"/>
        <v/>
      </c>
      <c r="V232" s="233"/>
      <c r="W232" s="234" t="str">
        <f t="shared" si="15"/>
        <v/>
      </c>
      <c r="X232" s="227" t="str">
        <f>IFERROR(_xlfn.XLOOKUP($A232,'Raw Data'!$A:$A,'Raw Data'!$BA:$BA),"")</f>
        <v/>
      </c>
      <c r="Y232" s="227" t="str">
        <f>IFERROR(_xlfn.XLOOKUP($A232,'Raw Data'!$A:$A,'Raw Data'!BJ:BJ),"")</f>
        <v/>
      </c>
      <c r="Z232" s="227" t="str">
        <f>IFERROR(_xlfn.XLOOKUP($A232,'Raw Data'!$A:$A,'Raw Data'!BK:BK),"")</f>
        <v/>
      </c>
      <c r="AA232" s="227" t="str">
        <f>IFERROR(_xlfn.XLOOKUP($A232,'Raw Data'!$A:$A,'Raw Data'!BL:BL),"")</f>
        <v/>
      </c>
      <c r="AB232" s="227" t="str">
        <f>IFERROR(_xlfn.XLOOKUP($A232,'Raw Data'!$A:$A,'Raw Data'!$H:$H),"")</f>
        <v/>
      </c>
      <c r="AC232" s="145">
        <f>IFERROR(_xlfn.XLOOKUP($D232,'Modelling New'!$D:$D,'Modelling New'!$P:$P),"")</f>
        <v>6.4133333333333331</v>
      </c>
      <c r="AD232" s="227">
        <f>IFERROR(_xlfn.XLOOKUP($D232,'Modelling New'!$D:$D,'Modelling New'!$T:$T)*1000,"")</f>
        <v>110013.10061975369</v>
      </c>
      <c r="AE232" s="234">
        <f>IFERROR(_xlfn.XLOOKUP($D232,'Modelling New'!$D:$D,'Modelling New'!$O:$O),"")</f>
        <v>0.70582805765293155</v>
      </c>
      <c r="AF232" s="234">
        <f>IFERROR(_xlfn.XLOOKUP($D232,'Modelling New'!$D:$D,'Modelling New'!$W:$W),"")</f>
        <v>0.18861294207281115</v>
      </c>
      <c r="AG232" s="234">
        <f>IFERROR(_xlfn.XLOOKUP($D232,'Modelling New'!$D:$D,'Modelling New'!AE:AE),"")</f>
        <v>0.995</v>
      </c>
      <c r="AH232" s="234">
        <v>0.99750000000000005</v>
      </c>
      <c r="AI232" s="6"/>
      <c r="AJ232" s="6"/>
      <c r="AK232" s="6"/>
      <c r="AL232" s="6"/>
      <c r="AM232" s="6"/>
      <c r="AN232" s="231"/>
      <c r="AO232" s="234"/>
      <c r="AP232" s="234"/>
      <c r="AQ232" s="234"/>
      <c r="AR232" s="227">
        <f>IFERROR(_xlfn.XLOOKUP($D232,'Modelling New'!$D:$D,'Modelling New'!$N:$N),"")</f>
        <v>24.303100000000001</v>
      </c>
      <c r="AS232" s="227"/>
    </row>
    <row r="233" spans="1:45" x14ac:dyDescent="0.35">
      <c r="A233" s="226">
        <f t="shared" si="18"/>
        <v>45976</v>
      </c>
      <c r="B233" s="227">
        <f>YEAR(Daily_KPI[[#This Row],[Date]])+IF(MONTH(Daily_KPI[[#This Row],[Date]])&gt;=4,1,0)</f>
        <v>2026</v>
      </c>
      <c r="C233" s="6">
        <f>YEAR(Daily_KPI[[#This Row],[Date]])</f>
        <v>2025</v>
      </c>
      <c r="D233" s="228">
        <f>Daily_KPI[[#This Row],[Date]]-DAY(Daily_KPI[[#This Row],[Date]])+1</f>
        <v>45962</v>
      </c>
      <c r="E233" s="6">
        <f t="shared" si="16"/>
        <v>30</v>
      </c>
      <c r="F233" s="229" t="str">
        <f>IFERROR(_xlfn.XLOOKUP($A233,'Raw Data'!$A:$A,'Raw Data'!$BR:$BR),"")</f>
        <v/>
      </c>
      <c r="G233" s="230" t="str">
        <f>IFERROR(_xlfn.XLOOKUP($A233,'Raw Data'!$A:$A,'Raw Data'!$AO:$AO),"")</f>
        <v/>
      </c>
      <c r="H233" s="230"/>
      <c r="I233" s="230" t="str">
        <f>IFERROR(_xlfn.XLOOKUP($A233,'Raw Data'!$A:$A,'Raw Data'!$AR:$AR),"")</f>
        <v/>
      </c>
      <c r="J233" s="230"/>
      <c r="K233" s="230" t="str">
        <f>IFERROR(_xlfn.XLOOKUP($A233,'Raw Data'!$A:$A,'Raw Data'!$AV:$AV),"")</f>
        <v/>
      </c>
      <c r="L233" s="230" t="str">
        <f>IFERROR(_xlfn.XLOOKUP($A233,'Raw Data'!$A:$A,'Raw Data'!$AW:$AW),"")</f>
        <v/>
      </c>
      <c r="M233" s="230" t="str">
        <f>IFERROR(_xlfn.XLOOKUP($A233,'Raw Data'!$A:$A,'Raw Data'!$AX:$AX),"")</f>
        <v/>
      </c>
      <c r="N233" s="230" t="str">
        <f>IFERROR(_xlfn.XLOOKUP($A233,'Raw Data'!$A:$A,'Raw Data'!$AY:$AY),"")</f>
        <v/>
      </c>
      <c r="O233" s="231" t="str">
        <f>IFERROR(1-(SUMIF('Plant BD'!$B:$B,A233,'Plant BD'!$AE:$AE)/(AA233+SUMIF('Plant BD'!$B:$B,A233,'Plant BD'!$AE:$AE))),"")</f>
        <v/>
      </c>
      <c r="P233" s="231"/>
      <c r="Q233" s="232"/>
      <c r="R233" s="231" t="str">
        <f>IFERROR(1-(SUMIF('Grid BD'!$B:$B,$A233,'Grid BD'!$AD:$AD)/($AA233+SUMIF('Grid BD'!$B:$B,$A233,'Grid BD'!AD:AD))),"")</f>
        <v/>
      </c>
      <c r="S233" s="6"/>
      <c r="T233" s="232"/>
      <c r="U233" s="233" t="str">
        <f t="shared" si="17"/>
        <v/>
      </c>
      <c r="V233" s="233"/>
      <c r="W233" s="234" t="str">
        <f t="shared" si="15"/>
        <v/>
      </c>
      <c r="X233" s="227" t="str">
        <f>IFERROR(_xlfn.XLOOKUP($A233,'Raw Data'!$A:$A,'Raw Data'!$BA:$BA),"")</f>
        <v/>
      </c>
      <c r="Y233" s="227" t="str">
        <f>IFERROR(_xlfn.XLOOKUP($A233,'Raw Data'!$A:$A,'Raw Data'!BJ:BJ),"")</f>
        <v/>
      </c>
      <c r="Z233" s="227" t="str">
        <f>IFERROR(_xlfn.XLOOKUP($A233,'Raw Data'!$A:$A,'Raw Data'!BK:BK),"")</f>
        <v/>
      </c>
      <c r="AA233" s="227" t="str">
        <f>IFERROR(_xlfn.XLOOKUP($A233,'Raw Data'!$A:$A,'Raw Data'!BL:BL),"")</f>
        <v/>
      </c>
      <c r="AB233" s="227" t="str">
        <f>IFERROR(_xlfn.XLOOKUP($A233,'Raw Data'!$A:$A,'Raw Data'!$H:$H),"")</f>
        <v/>
      </c>
      <c r="AC233" s="145">
        <f>IFERROR(_xlfn.XLOOKUP($D233,'Modelling New'!$D:$D,'Modelling New'!$P:$P),"")</f>
        <v>6.4133333333333331</v>
      </c>
      <c r="AD233" s="227">
        <f>IFERROR(_xlfn.XLOOKUP($D233,'Modelling New'!$D:$D,'Modelling New'!$T:$T)*1000,"")</f>
        <v>110013.10061975369</v>
      </c>
      <c r="AE233" s="234">
        <f>IFERROR(_xlfn.XLOOKUP($D233,'Modelling New'!$D:$D,'Modelling New'!$O:$O),"")</f>
        <v>0.70582805765293155</v>
      </c>
      <c r="AF233" s="234">
        <f>IFERROR(_xlfn.XLOOKUP($D233,'Modelling New'!$D:$D,'Modelling New'!$W:$W),"")</f>
        <v>0.18861294207281115</v>
      </c>
      <c r="AG233" s="234">
        <f>IFERROR(_xlfn.XLOOKUP($D233,'Modelling New'!$D:$D,'Modelling New'!AE:AE),"")</f>
        <v>0.995</v>
      </c>
      <c r="AH233" s="234">
        <v>0.99750000000000005</v>
      </c>
      <c r="AI233" s="6"/>
      <c r="AJ233" s="6"/>
      <c r="AK233" s="6"/>
      <c r="AL233" s="6"/>
      <c r="AM233" s="6"/>
      <c r="AN233" s="231"/>
      <c r="AO233" s="234"/>
      <c r="AP233" s="234"/>
      <c r="AQ233" s="234"/>
      <c r="AR233" s="227">
        <f>IFERROR(_xlfn.XLOOKUP($D233,'Modelling New'!$D:$D,'Modelling New'!$N:$N),"")</f>
        <v>24.303100000000001</v>
      </c>
      <c r="AS233" s="227"/>
    </row>
    <row r="234" spans="1:45" x14ac:dyDescent="0.35">
      <c r="A234" s="226">
        <f t="shared" si="18"/>
        <v>45977</v>
      </c>
      <c r="B234" s="227">
        <f>YEAR(Daily_KPI[[#This Row],[Date]])+IF(MONTH(Daily_KPI[[#This Row],[Date]])&gt;=4,1,0)</f>
        <v>2026</v>
      </c>
      <c r="C234" s="6">
        <f>YEAR(Daily_KPI[[#This Row],[Date]])</f>
        <v>2025</v>
      </c>
      <c r="D234" s="228">
        <f>Daily_KPI[[#This Row],[Date]]-DAY(Daily_KPI[[#This Row],[Date]])+1</f>
        <v>45962</v>
      </c>
      <c r="E234" s="6">
        <f t="shared" si="16"/>
        <v>30</v>
      </c>
      <c r="F234" s="229" t="str">
        <f>IFERROR(_xlfn.XLOOKUP($A234,'Raw Data'!$A:$A,'Raw Data'!$BR:$BR),"")</f>
        <v/>
      </c>
      <c r="G234" s="230" t="str">
        <f>IFERROR(_xlfn.XLOOKUP($A234,'Raw Data'!$A:$A,'Raw Data'!$AO:$AO),"")</f>
        <v/>
      </c>
      <c r="H234" s="230"/>
      <c r="I234" s="230" t="str">
        <f>IFERROR(_xlfn.XLOOKUP($A234,'Raw Data'!$A:$A,'Raw Data'!$AR:$AR),"")</f>
        <v/>
      </c>
      <c r="J234" s="230"/>
      <c r="K234" s="230" t="str">
        <f>IFERROR(_xlfn.XLOOKUP($A234,'Raw Data'!$A:$A,'Raw Data'!$AV:$AV),"")</f>
        <v/>
      </c>
      <c r="L234" s="230" t="str">
        <f>IFERROR(_xlfn.XLOOKUP($A234,'Raw Data'!$A:$A,'Raw Data'!$AW:$AW),"")</f>
        <v/>
      </c>
      <c r="M234" s="230" t="str">
        <f>IFERROR(_xlfn.XLOOKUP($A234,'Raw Data'!$A:$A,'Raw Data'!$AX:$AX),"")</f>
        <v/>
      </c>
      <c r="N234" s="230" t="str">
        <f>IFERROR(_xlfn.XLOOKUP($A234,'Raw Data'!$A:$A,'Raw Data'!$AY:$AY),"")</f>
        <v/>
      </c>
      <c r="O234" s="231" t="str">
        <f>IFERROR(1-(SUMIF('Plant BD'!$B:$B,A234,'Plant BD'!$AE:$AE)/(AA234+SUMIF('Plant BD'!$B:$B,A234,'Plant BD'!$AE:$AE))),"")</f>
        <v/>
      </c>
      <c r="P234" s="231"/>
      <c r="Q234" s="232"/>
      <c r="R234" s="231" t="str">
        <f>IFERROR(1-(SUMIF('Grid BD'!$B:$B,$A234,'Grid BD'!$AD:$AD)/($AA234+SUMIF('Grid BD'!$B:$B,$A234,'Grid BD'!AD:AD))),"")</f>
        <v/>
      </c>
      <c r="S234" s="6"/>
      <c r="T234" s="232"/>
      <c r="U234" s="233" t="str">
        <f t="shared" si="17"/>
        <v/>
      </c>
      <c r="V234" s="233"/>
      <c r="W234" s="234" t="str">
        <f t="shared" si="15"/>
        <v/>
      </c>
      <c r="X234" s="227" t="str">
        <f>IFERROR(_xlfn.XLOOKUP($A234,'Raw Data'!$A:$A,'Raw Data'!$BA:$BA),"")</f>
        <v/>
      </c>
      <c r="Y234" s="227" t="str">
        <f>IFERROR(_xlfn.XLOOKUP($A234,'Raw Data'!$A:$A,'Raw Data'!BJ:BJ),"")</f>
        <v/>
      </c>
      <c r="Z234" s="227" t="str">
        <f>IFERROR(_xlfn.XLOOKUP($A234,'Raw Data'!$A:$A,'Raw Data'!BK:BK),"")</f>
        <v/>
      </c>
      <c r="AA234" s="227" t="str">
        <f>IFERROR(_xlfn.XLOOKUP($A234,'Raw Data'!$A:$A,'Raw Data'!BL:BL),"")</f>
        <v/>
      </c>
      <c r="AB234" s="227" t="str">
        <f>IFERROR(_xlfn.XLOOKUP($A234,'Raw Data'!$A:$A,'Raw Data'!$H:$H),"")</f>
        <v/>
      </c>
      <c r="AC234" s="145">
        <f>IFERROR(_xlfn.XLOOKUP($D234,'Modelling New'!$D:$D,'Modelling New'!$P:$P),"")</f>
        <v>6.4133333333333331</v>
      </c>
      <c r="AD234" s="227">
        <f>IFERROR(_xlfn.XLOOKUP($D234,'Modelling New'!$D:$D,'Modelling New'!$T:$T)*1000,"")</f>
        <v>110013.10061975369</v>
      </c>
      <c r="AE234" s="234">
        <f>IFERROR(_xlfn.XLOOKUP($D234,'Modelling New'!$D:$D,'Modelling New'!$O:$O),"")</f>
        <v>0.70582805765293155</v>
      </c>
      <c r="AF234" s="234">
        <f>IFERROR(_xlfn.XLOOKUP($D234,'Modelling New'!$D:$D,'Modelling New'!$W:$W),"")</f>
        <v>0.18861294207281115</v>
      </c>
      <c r="AG234" s="234">
        <f>IFERROR(_xlfn.XLOOKUP($D234,'Modelling New'!$D:$D,'Modelling New'!AE:AE),"")</f>
        <v>0.995</v>
      </c>
      <c r="AH234" s="234">
        <v>0.99750000000000005</v>
      </c>
      <c r="AI234" s="6"/>
      <c r="AJ234" s="6"/>
      <c r="AK234" s="6"/>
      <c r="AL234" s="6"/>
      <c r="AM234" s="6"/>
      <c r="AN234" s="231"/>
      <c r="AO234" s="234"/>
      <c r="AP234" s="234"/>
      <c r="AQ234" s="234"/>
      <c r="AR234" s="227">
        <f>IFERROR(_xlfn.XLOOKUP($D234,'Modelling New'!$D:$D,'Modelling New'!$N:$N),"")</f>
        <v>24.303100000000001</v>
      </c>
      <c r="AS234" s="227"/>
    </row>
    <row r="235" spans="1:45" x14ac:dyDescent="0.35">
      <c r="A235" s="226">
        <f t="shared" si="18"/>
        <v>45978</v>
      </c>
      <c r="B235" s="227">
        <f>YEAR(Daily_KPI[[#This Row],[Date]])+IF(MONTH(Daily_KPI[[#This Row],[Date]])&gt;=4,1,0)</f>
        <v>2026</v>
      </c>
      <c r="C235" s="6">
        <f>YEAR(Daily_KPI[[#This Row],[Date]])</f>
        <v>2025</v>
      </c>
      <c r="D235" s="228">
        <f>Daily_KPI[[#This Row],[Date]]-DAY(Daily_KPI[[#This Row],[Date]])+1</f>
        <v>45962</v>
      </c>
      <c r="E235" s="6">
        <f t="shared" si="16"/>
        <v>30</v>
      </c>
      <c r="F235" s="229" t="str">
        <f>IFERROR(_xlfn.XLOOKUP($A235,'Raw Data'!$A:$A,'Raw Data'!$BR:$BR),"")</f>
        <v/>
      </c>
      <c r="G235" s="230" t="str">
        <f>IFERROR(_xlfn.XLOOKUP($A235,'Raw Data'!$A:$A,'Raw Data'!$AO:$AO),"")</f>
        <v/>
      </c>
      <c r="H235" s="230"/>
      <c r="I235" s="230" t="str">
        <f>IFERROR(_xlfn.XLOOKUP($A235,'Raw Data'!$A:$A,'Raw Data'!$AR:$AR),"")</f>
        <v/>
      </c>
      <c r="J235" s="230"/>
      <c r="K235" s="230" t="str">
        <f>IFERROR(_xlfn.XLOOKUP($A235,'Raw Data'!$A:$A,'Raw Data'!$AV:$AV),"")</f>
        <v/>
      </c>
      <c r="L235" s="230" t="str">
        <f>IFERROR(_xlfn.XLOOKUP($A235,'Raw Data'!$A:$A,'Raw Data'!$AW:$AW),"")</f>
        <v/>
      </c>
      <c r="M235" s="230" t="str">
        <f>IFERROR(_xlfn.XLOOKUP($A235,'Raw Data'!$A:$A,'Raw Data'!$AX:$AX),"")</f>
        <v/>
      </c>
      <c r="N235" s="230" t="str">
        <f>IFERROR(_xlfn.XLOOKUP($A235,'Raw Data'!$A:$A,'Raw Data'!$AY:$AY),"")</f>
        <v/>
      </c>
      <c r="O235" s="231" t="str">
        <f>IFERROR(1-(SUMIF('Plant BD'!$B:$B,A235,'Plant BD'!$AE:$AE)/(AA235+SUMIF('Plant BD'!$B:$B,A235,'Plant BD'!$AE:$AE))),"")</f>
        <v/>
      </c>
      <c r="P235" s="231"/>
      <c r="Q235" s="232"/>
      <c r="R235" s="231" t="str">
        <f>IFERROR(1-(SUMIF('Grid BD'!$B:$B,$A235,'Grid BD'!$AD:$AD)/($AA235+SUMIF('Grid BD'!$B:$B,$A235,'Grid BD'!AD:AD))),"")</f>
        <v/>
      </c>
      <c r="S235" s="6"/>
      <c r="T235" s="232"/>
      <c r="U235" s="233" t="str">
        <f t="shared" si="17"/>
        <v/>
      </c>
      <c r="V235" s="233"/>
      <c r="W235" s="234" t="str">
        <f t="shared" ref="W235:W298" si="19">IFERROR(AA235/(24*AR235*1000),"")</f>
        <v/>
      </c>
      <c r="X235" s="227" t="str">
        <f>IFERROR(_xlfn.XLOOKUP($A235,'Raw Data'!$A:$A,'Raw Data'!$BA:$BA),"")</f>
        <v/>
      </c>
      <c r="Y235" s="227" t="str">
        <f>IFERROR(_xlfn.XLOOKUP($A235,'Raw Data'!$A:$A,'Raw Data'!BJ:BJ),"")</f>
        <v/>
      </c>
      <c r="Z235" s="227" t="str">
        <f>IFERROR(_xlfn.XLOOKUP($A235,'Raw Data'!$A:$A,'Raw Data'!BK:BK),"")</f>
        <v/>
      </c>
      <c r="AA235" s="227" t="str">
        <f>IFERROR(_xlfn.XLOOKUP($A235,'Raw Data'!$A:$A,'Raw Data'!BL:BL),"")</f>
        <v/>
      </c>
      <c r="AB235" s="227" t="str">
        <f>IFERROR(_xlfn.XLOOKUP($A235,'Raw Data'!$A:$A,'Raw Data'!$H:$H),"")</f>
        <v/>
      </c>
      <c r="AC235" s="145">
        <f>IFERROR(_xlfn.XLOOKUP($D235,'Modelling New'!$D:$D,'Modelling New'!$P:$P),"")</f>
        <v>6.4133333333333331</v>
      </c>
      <c r="AD235" s="227">
        <f>IFERROR(_xlfn.XLOOKUP($D235,'Modelling New'!$D:$D,'Modelling New'!$T:$T)*1000,"")</f>
        <v>110013.10061975369</v>
      </c>
      <c r="AE235" s="234">
        <f>IFERROR(_xlfn.XLOOKUP($D235,'Modelling New'!$D:$D,'Modelling New'!$O:$O),"")</f>
        <v>0.70582805765293155</v>
      </c>
      <c r="AF235" s="234">
        <f>IFERROR(_xlfn.XLOOKUP($D235,'Modelling New'!$D:$D,'Modelling New'!$W:$W),"")</f>
        <v>0.18861294207281115</v>
      </c>
      <c r="AG235" s="234">
        <f>IFERROR(_xlfn.XLOOKUP($D235,'Modelling New'!$D:$D,'Modelling New'!AE:AE),"")</f>
        <v>0.995</v>
      </c>
      <c r="AH235" s="234">
        <v>0.99750000000000005</v>
      </c>
      <c r="AI235" s="6"/>
      <c r="AJ235" s="6"/>
      <c r="AK235" s="6"/>
      <c r="AL235" s="6"/>
      <c r="AM235" s="6"/>
      <c r="AN235" s="231"/>
      <c r="AO235" s="234"/>
      <c r="AP235" s="234"/>
      <c r="AQ235" s="234"/>
      <c r="AR235" s="227">
        <f>IFERROR(_xlfn.XLOOKUP($D235,'Modelling New'!$D:$D,'Modelling New'!$N:$N),"")</f>
        <v>24.303100000000001</v>
      </c>
      <c r="AS235" s="227"/>
    </row>
    <row r="236" spans="1:45" x14ac:dyDescent="0.35">
      <c r="A236" s="226">
        <f t="shared" si="18"/>
        <v>45979</v>
      </c>
      <c r="B236" s="227">
        <f>YEAR(Daily_KPI[[#This Row],[Date]])+IF(MONTH(Daily_KPI[[#This Row],[Date]])&gt;=4,1,0)</f>
        <v>2026</v>
      </c>
      <c r="C236" s="6">
        <f>YEAR(Daily_KPI[[#This Row],[Date]])</f>
        <v>2025</v>
      </c>
      <c r="D236" s="228">
        <f>Daily_KPI[[#This Row],[Date]]-DAY(Daily_KPI[[#This Row],[Date]])+1</f>
        <v>45962</v>
      </c>
      <c r="E236" s="6">
        <f t="shared" si="16"/>
        <v>30</v>
      </c>
      <c r="F236" s="229" t="str">
        <f>IFERROR(_xlfn.XLOOKUP($A236,'Raw Data'!$A:$A,'Raw Data'!$BR:$BR),"")</f>
        <v/>
      </c>
      <c r="G236" s="230" t="str">
        <f>IFERROR(_xlfn.XLOOKUP($A236,'Raw Data'!$A:$A,'Raw Data'!$AO:$AO),"")</f>
        <v/>
      </c>
      <c r="H236" s="230"/>
      <c r="I236" s="230" t="str">
        <f>IFERROR(_xlfn.XLOOKUP($A236,'Raw Data'!$A:$A,'Raw Data'!$AR:$AR),"")</f>
        <v/>
      </c>
      <c r="J236" s="230"/>
      <c r="K236" s="230" t="str">
        <f>IFERROR(_xlfn.XLOOKUP($A236,'Raw Data'!$A:$A,'Raw Data'!$AV:$AV),"")</f>
        <v/>
      </c>
      <c r="L236" s="230" t="str">
        <f>IFERROR(_xlfn.XLOOKUP($A236,'Raw Data'!$A:$A,'Raw Data'!$AW:$AW),"")</f>
        <v/>
      </c>
      <c r="M236" s="230" t="str">
        <f>IFERROR(_xlfn.XLOOKUP($A236,'Raw Data'!$A:$A,'Raw Data'!$AX:$AX),"")</f>
        <v/>
      </c>
      <c r="N236" s="230" t="str">
        <f>IFERROR(_xlfn.XLOOKUP($A236,'Raw Data'!$A:$A,'Raw Data'!$AY:$AY),"")</f>
        <v/>
      </c>
      <c r="O236" s="231" t="str">
        <f>IFERROR(1-(SUMIF('Plant BD'!$B:$B,A236,'Plant BD'!$AE:$AE)/(AA236+SUMIF('Plant BD'!$B:$B,A236,'Plant BD'!$AE:$AE))),"")</f>
        <v/>
      </c>
      <c r="P236" s="231"/>
      <c r="Q236" s="232"/>
      <c r="R236" s="231" t="str">
        <f>IFERROR(1-(SUMIF('Grid BD'!$B:$B,$A236,'Grid BD'!$AD:$AD)/($AA236+SUMIF('Grid BD'!$B:$B,$A236,'Grid BD'!AD:AD))),"")</f>
        <v/>
      </c>
      <c r="S236" s="6"/>
      <c r="T236" s="232"/>
      <c r="U236" s="233" t="str">
        <f t="shared" si="17"/>
        <v/>
      </c>
      <c r="V236" s="233"/>
      <c r="W236" s="234" t="str">
        <f t="shared" si="19"/>
        <v/>
      </c>
      <c r="X236" s="227" t="str">
        <f>IFERROR(_xlfn.XLOOKUP($A236,'Raw Data'!$A:$A,'Raw Data'!$BA:$BA),"")</f>
        <v/>
      </c>
      <c r="Y236" s="227" t="str">
        <f>IFERROR(_xlfn.XLOOKUP($A236,'Raw Data'!$A:$A,'Raw Data'!BJ:BJ),"")</f>
        <v/>
      </c>
      <c r="Z236" s="227" t="str">
        <f>IFERROR(_xlfn.XLOOKUP($A236,'Raw Data'!$A:$A,'Raw Data'!BK:BK),"")</f>
        <v/>
      </c>
      <c r="AA236" s="227" t="str">
        <f>IFERROR(_xlfn.XLOOKUP($A236,'Raw Data'!$A:$A,'Raw Data'!BL:BL),"")</f>
        <v/>
      </c>
      <c r="AB236" s="227" t="str">
        <f>IFERROR(_xlfn.XLOOKUP($A236,'Raw Data'!$A:$A,'Raw Data'!$H:$H),"")</f>
        <v/>
      </c>
      <c r="AC236" s="145">
        <f>IFERROR(_xlfn.XLOOKUP($D236,'Modelling New'!$D:$D,'Modelling New'!$P:$P),"")</f>
        <v>6.4133333333333331</v>
      </c>
      <c r="AD236" s="227">
        <f>IFERROR(_xlfn.XLOOKUP($D236,'Modelling New'!$D:$D,'Modelling New'!$T:$T)*1000,"")</f>
        <v>110013.10061975369</v>
      </c>
      <c r="AE236" s="234">
        <f>IFERROR(_xlfn.XLOOKUP($D236,'Modelling New'!$D:$D,'Modelling New'!$O:$O),"")</f>
        <v>0.70582805765293155</v>
      </c>
      <c r="AF236" s="234">
        <f>IFERROR(_xlfn.XLOOKUP($D236,'Modelling New'!$D:$D,'Modelling New'!$W:$W),"")</f>
        <v>0.18861294207281115</v>
      </c>
      <c r="AG236" s="234">
        <f>IFERROR(_xlfn.XLOOKUP($D236,'Modelling New'!$D:$D,'Modelling New'!AE:AE),"")</f>
        <v>0.995</v>
      </c>
      <c r="AH236" s="234">
        <v>0.99750000000000005</v>
      </c>
      <c r="AI236" s="6"/>
      <c r="AJ236" s="6"/>
      <c r="AK236" s="6"/>
      <c r="AL236" s="6"/>
      <c r="AM236" s="6"/>
      <c r="AN236" s="231"/>
      <c r="AO236" s="234"/>
      <c r="AP236" s="234"/>
      <c r="AQ236" s="234"/>
      <c r="AR236" s="227">
        <f>IFERROR(_xlfn.XLOOKUP($D236,'Modelling New'!$D:$D,'Modelling New'!$N:$N),"")</f>
        <v>24.303100000000001</v>
      </c>
      <c r="AS236" s="227"/>
    </row>
    <row r="237" spans="1:45" x14ac:dyDescent="0.35">
      <c r="A237" s="226">
        <f t="shared" si="18"/>
        <v>45980</v>
      </c>
      <c r="B237" s="227">
        <f>YEAR(Daily_KPI[[#This Row],[Date]])+IF(MONTH(Daily_KPI[[#This Row],[Date]])&gt;=4,1,0)</f>
        <v>2026</v>
      </c>
      <c r="C237" s="6">
        <f>YEAR(Daily_KPI[[#This Row],[Date]])</f>
        <v>2025</v>
      </c>
      <c r="D237" s="228">
        <f>Daily_KPI[[#This Row],[Date]]-DAY(Daily_KPI[[#This Row],[Date]])+1</f>
        <v>45962</v>
      </c>
      <c r="E237" s="6">
        <f t="shared" si="16"/>
        <v>30</v>
      </c>
      <c r="F237" s="229" t="str">
        <f>IFERROR(_xlfn.XLOOKUP($A237,'Raw Data'!$A:$A,'Raw Data'!$BR:$BR),"")</f>
        <v/>
      </c>
      <c r="G237" s="230" t="str">
        <f>IFERROR(_xlfn.XLOOKUP($A237,'Raw Data'!$A:$A,'Raw Data'!$AO:$AO),"")</f>
        <v/>
      </c>
      <c r="H237" s="230"/>
      <c r="I237" s="230" t="str">
        <f>IFERROR(_xlfn.XLOOKUP($A237,'Raw Data'!$A:$A,'Raw Data'!$AR:$AR),"")</f>
        <v/>
      </c>
      <c r="J237" s="230"/>
      <c r="K237" s="230" t="str">
        <f>IFERROR(_xlfn.XLOOKUP($A237,'Raw Data'!$A:$A,'Raw Data'!$AV:$AV),"")</f>
        <v/>
      </c>
      <c r="L237" s="230" t="str">
        <f>IFERROR(_xlfn.XLOOKUP($A237,'Raw Data'!$A:$A,'Raw Data'!$AW:$AW),"")</f>
        <v/>
      </c>
      <c r="M237" s="230" t="str">
        <f>IFERROR(_xlfn.XLOOKUP($A237,'Raw Data'!$A:$A,'Raw Data'!$AX:$AX),"")</f>
        <v/>
      </c>
      <c r="N237" s="230" t="str">
        <f>IFERROR(_xlfn.XLOOKUP($A237,'Raw Data'!$A:$A,'Raw Data'!$AY:$AY),"")</f>
        <v/>
      </c>
      <c r="O237" s="231" t="str">
        <f>IFERROR(1-(SUMIF('Plant BD'!$B:$B,A237,'Plant BD'!$AE:$AE)/(AA237+SUMIF('Plant BD'!$B:$B,A237,'Plant BD'!$AE:$AE))),"")</f>
        <v/>
      </c>
      <c r="P237" s="231"/>
      <c r="Q237" s="232"/>
      <c r="R237" s="231" t="str">
        <f>IFERROR(1-(SUMIF('Grid BD'!$B:$B,$A237,'Grid BD'!$AD:$AD)/($AA237+SUMIF('Grid BD'!$B:$B,$A237,'Grid BD'!AD:AD))),"")</f>
        <v/>
      </c>
      <c r="S237" s="6"/>
      <c r="T237" s="232"/>
      <c r="U237" s="233" t="str">
        <f t="shared" si="17"/>
        <v/>
      </c>
      <c r="V237" s="233"/>
      <c r="W237" s="234" t="str">
        <f t="shared" si="19"/>
        <v/>
      </c>
      <c r="X237" s="227" t="str">
        <f>IFERROR(_xlfn.XLOOKUP($A237,'Raw Data'!$A:$A,'Raw Data'!$BA:$BA),"")</f>
        <v/>
      </c>
      <c r="Y237" s="227" t="str">
        <f>IFERROR(_xlfn.XLOOKUP($A237,'Raw Data'!$A:$A,'Raw Data'!BJ:BJ),"")</f>
        <v/>
      </c>
      <c r="Z237" s="227" t="str">
        <f>IFERROR(_xlfn.XLOOKUP($A237,'Raw Data'!$A:$A,'Raw Data'!BK:BK),"")</f>
        <v/>
      </c>
      <c r="AA237" s="227" t="str">
        <f>IFERROR(_xlfn.XLOOKUP($A237,'Raw Data'!$A:$A,'Raw Data'!BL:BL),"")</f>
        <v/>
      </c>
      <c r="AB237" s="227" t="str">
        <f>IFERROR(_xlfn.XLOOKUP($A237,'Raw Data'!$A:$A,'Raw Data'!$H:$H),"")</f>
        <v/>
      </c>
      <c r="AC237" s="145">
        <f>IFERROR(_xlfn.XLOOKUP($D237,'Modelling New'!$D:$D,'Modelling New'!$P:$P),"")</f>
        <v>6.4133333333333331</v>
      </c>
      <c r="AD237" s="227">
        <f>IFERROR(_xlfn.XLOOKUP($D237,'Modelling New'!$D:$D,'Modelling New'!$T:$T)*1000,"")</f>
        <v>110013.10061975369</v>
      </c>
      <c r="AE237" s="234">
        <f>IFERROR(_xlfn.XLOOKUP($D237,'Modelling New'!$D:$D,'Modelling New'!$O:$O),"")</f>
        <v>0.70582805765293155</v>
      </c>
      <c r="AF237" s="234">
        <f>IFERROR(_xlfn.XLOOKUP($D237,'Modelling New'!$D:$D,'Modelling New'!$W:$W),"")</f>
        <v>0.18861294207281115</v>
      </c>
      <c r="AG237" s="234">
        <f>IFERROR(_xlfn.XLOOKUP($D237,'Modelling New'!$D:$D,'Modelling New'!AE:AE),"")</f>
        <v>0.995</v>
      </c>
      <c r="AH237" s="234">
        <v>0.99750000000000005</v>
      </c>
      <c r="AI237" s="6"/>
      <c r="AJ237" s="6"/>
      <c r="AK237" s="6"/>
      <c r="AL237" s="6"/>
      <c r="AM237" s="6"/>
      <c r="AN237" s="231"/>
      <c r="AO237" s="234"/>
      <c r="AP237" s="234"/>
      <c r="AQ237" s="234"/>
      <c r="AR237" s="227">
        <f>IFERROR(_xlfn.XLOOKUP($D237,'Modelling New'!$D:$D,'Modelling New'!$N:$N),"")</f>
        <v>24.303100000000001</v>
      </c>
      <c r="AS237" s="227"/>
    </row>
    <row r="238" spans="1:45" x14ac:dyDescent="0.35">
      <c r="A238" s="226">
        <f t="shared" si="18"/>
        <v>45981</v>
      </c>
      <c r="B238" s="227">
        <f>YEAR(Daily_KPI[[#This Row],[Date]])+IF(MONTH(Daily_KPI[[#This Row],[Date]])&gt;=4,1,0)</f>
        <v>2026</v>
      </c>
      <c r="C238" s="6">
        <f>YEAR(Daily_KPI[[#This Row],[Date]])</f>
        <v>2025</v>
      </c>
      <c r="D238" s="228">
        <f>Daily_KPI[[#This Row],[Date]]-DAY(Daily_KPI[[#This Row],[Date]])+1</f>
        <v>45962</v>
      </c>
      <c r="E238" s="6">
        <f t="shared" si="16"/>
        <v>30</v>
      </c>
      <c r="F238" s="229" t="str">
        <f>IFERROR(_xlfn.XLOOKUP($A238,'Raw Data'!$A:$A,'Raw Data'!$BR:$BR),"")</f>
        <v/>
      </c>
      <c r="G238" s="230" t="str">
        <f>IFERROR(_xlfn.XLOOKUP($A238,'Raw Data'!$A:$A,'Raw Data'!$AO:$AO),"")</f>
        <v/>
      </c>
      <c r="H238" s="230"/>
      <c r="I238" s="230" t="str">
        <f>IFERROR(_xlfn.XLOOKUP($A238,'Raw Data'!$A:$A,'Raw Data'!$AR:$AR),"")</f>
        <v/>
      </c>
      <c r="J238" s="230"/>
      <c r="K238" s="230" t="str">
        <f>IFERROR(_xlfn.XLOOKUP($A238,'Raw Data'!$A:$A,'Raw Data'!$AV:$AV),"")</f>
        <v/>
      </c>
      <c r="L238" s="230" t="str">
        <f>IFERROR(_xlfn.XLOOKUP($A238,'Raw Data'!$A:$A,'Raw Data'!$AW:$AW),"")</f>
        <v/>
      </c>
      <c r="M238" s="230" t="str">
        <f>IFERROR(_xlfn.XLOOKUP($A238,'Raw Data'!$A:$A,'Raw Data'!$AX:$AX),"")</f>
        <v/>
      </c>
      <c r="N238" s="230" t="str">
        <f>IFERROR(_xlfn.XLOOKUP($A238,'Raw Data'!$A:$A,'Raw Data'!$AY:$AY),"")</f>
        <v/>
      </c>
      <c r="O238" s="231" t="str">
        <f>IFERROR(1-(SUMIF('Plant BD'!$B:$B,A238,'Plant BD'!$AE:$AE)/(AA238+SUMIF('Plant BD'!$B:$B,A238,'Plant BD'!$AE:$AE))),"")</f>
        <v/>
      </c>
      <c r="P238" s="231"/>
      <c r="Q238" s="232"/>
      <c r="R238" s="231" t="str">
        <f>IFERROR(1-(SUMIF('Grid BD'!$B:$B,$A238,'Grid BD'!$AD:$AD)/($AA238+SUMIF('Grid BD'!$B:$B,$A238,'Grid BD'!AD:AD))),"")</f>
        <v/>
      </c>
      <c r="S238" s="6"/>
      <c r="T238" s="232"/>
      <c r="U238" s="233" t="str">
        <f t="shared" si="17"/>
        <v/>
      </c>
      <c r="V238" s="233"/>
      <c r="W238" s="234" t="str">
        <f t="shared" si="19"/>
        <v/>
      </c>
      <c r="X238" s="227" t="str">
        <f>IFERROR(_xlfn.XLOOKUP($A238,'Raw Data'!$A:$A,'Raw Data'!$BA:$BA),"")</f>
        <v/>
      </c>
      <c r="Y238" s="227" t="str">
        <f>IFERROR(_xlfn.XLOOKUP($A238,'Raw Data'!$A:$A,'Raw Data'!BJ:BJ),"")</f>
        <v/>
      </c>
      <c r="Z238" s="227" t="str">
        <f>IFERROR(_xlfn.XLOOKUP($A238,'Raw Data'!$A:$A,'Raw Data'!BK:BK),"")</f>
        <v/>
      </c>
      <c r="AA238" s="227" t="str">
        <f>IFERROR(_xlfn.XLOOKUP($A238,'Raw Data'!$A:$A,'Raw Data'!BL:BL),"")</f>
        <v/>
      </c>
      <c r="AB238" s="227" t="str">
        <f>IFERROR(_xlfn.XLOOKUP($A238,'Raw Data'!$A:$A,'Raw Data'!$H:$H),"")</f>
        <v/>
      </c>
      <c r="AC238" s="145">
        <f>IFERROR(_xlfn.XLOOKUP($D238,'Modelling New'!$D:$D,'Modelling New'!$P:$P),"")</f>
        <v>6.4133333333333331</v>
      </c>
      <c r="AD238" s="227">
        <f>IFERROR(_xlfn.XLOOKUP($D238,'Modelling New'!$D:$D,'Modelling New'!$T:$T)*1000,"")</f>
        <v>110013.10061975369</v>
      </c>
      <c r="AE238" s="234">
        <f>IFERROR(_xlfn.XLOOKUP($D238,'Modelling New'!$D:$D,'Modelling New'!$O:$O),"")</f>
        <v>0.70582805765293155</v>
      </c>
      <c r="AF238" s="234">
        <f>IFERROR(_xlfn.XLOOKUP($D238,'Modelling New'!$D:$D,'Modelling New'!$W:$W),"")</f>
        <v>0.18861294207281115</v>
      </c>
      <c r="AG238" s="234">
        <f>IFERROR(_xlfn.XLOOKUP($D238,'Modelling New'!$D:$D,'Modelling New'!AE:AE),"")</f>
        <v>0.995</v>
      </c>
      <c r="AH238" s="234">
        <v>0.99750000000000005</v>
      </c>
      <c r="AI238" s="6"/>
      <c r="AJ238" s="6"/>
      <c r="AK238" s="6"/>
      <c r="AL238" s="6"/>
      <c r="AM238" s="6"/>
      <c r="AN238" s="231"/>
      <c r="AO238" s="234"/>
      <c r="AP238" s="234"/>
      <c r="AQ238" s="234"/>
      <c r="AR238" s="227">
        <f>IFERROR(_xlfn.XLOOKUP($D238,'Modelling New'!$D:$D,'Modelling New'!$N:$N),"")</f>
        <v>24.303100000000001</v>
      </c>
      <c r="AS238" s="227"/>
    </row>
    <row r="239" spans="1:45" x14ac:dyDescent="0.35">
      <c r="A239" s="226">
        <f t="shared" si="18"/>
        <v>45982</v>
      </c>
      <c r="B239" s="227">
        <f>YEAR(Daily_KPI[[#This Row],[Date]])+IF(MONTH(Daily_KPI[[#This Row],[Date]])&gt;=4,1,0)</f>
        <v>2026</v>
      </c>
      <c r="C239" s="6">
        <f>YEAR(Daily_KPI[[#This Row],[Date]])</f>
        <v>2025</v>
      </c>
      <c r="D239" s="228">
        <f>Daily_KPI[[#This Row],[Date]]-DAY(Daily_KPI[[#This Row],[Date]])+1</f>
        <v>45962</v>
      </c>
      <c r="E239" s="6">
        <f t="shared" si="16"/>
        <v>30</v>
      </c>
      <c r="F239" s="229" t="str">
        <f>IFERROR(_xlfn.XLOOKUP($A239,'Raw Data'!$A:$A,'Raw Data'!$BR:$BR),"")</f>
        <v/>
      </c>
      <c r="G239" s="230" t="str">
        <f>IFERROR(_xlfn.XLOOKUP($A239,'Raw Data'!$A:$A,'Raw Data'!$AO:$AO),"")</f>
        <v/>
      </c>
      <c r="H239" s="230"/>
      <c r="I239" s="230" t="str">
        <f>IFERROR(_xlfn.XLOOKUP($A239,'Raw Data'!$A:$A,'Raw Data'!$AR:$AR),"")</f>
        <v/>
      </c>
      <c r="J239" s="230"/>
      <c r="K239" s="230" t="str">
        <f>IFERROR(_xlfn.XLOOKUP($A239,'Raw Data'!$A:$A,'Raw Data'!$AV:$AV),"")</f>
        <v/>
      </c>
      <c r="L239" s="230" t="str">
        <f>IFERROR(_xlfn.XLOOKUP($A239,'Raw Data'!$A:$A,'Raw Data'!$AW:$AW),"")</f>
        <v/>
      </c>
      <c r="M239" s="230" t="str">
        <f>IFERROR(_xlfn.XLOOKUP($A239,'Raw Data'!$A:$A,'Raw Data'!$AX:$AX),"")</f>
        <v/>
      </c>
      <c r="N239" s="230" t="str">
        <f>IFERROR(_xlfn.XLOOKUP($A239,'Raw Data'!$A:$A,'Raw Data'!$AY:$AY),"")</f>
        <v/>
      </c>
      <c r="O239" s="231" t="str">
        <f>IFERROR(1-(SUMIF('Plant BD'!$B:$B,A239,'Plant BD'!$AE:$AE)/(AA239+SUMIF('Plant BD'!$B:$B,A239,'Plant BD'!$AE:$AE))),"")</f>
        <v/>
      </c>
      <c r="P239" s="231"/>
      <c r="Q239" s="232"/>
      <c r="R239" s="231" t="str">
        <f>IFERROR(1-(SUMIF('Grid BD'!$B:$B,$A239,'Grid BD'!$AD:$AD)/($AA239+SUMIF('Grid BD'!$B:$B,$A239,'Grid BD'!AD:AD))),"")</f>
        <v/>
      </c>
      <c r="S239" s="6"/>
      <c r="T239" s="232"/>
      <c r="U239" s="233" t="str">
        <f t="shared" si="17"/>
        <v/>
      </c>
      <c r="V239" s="233"/>
      <c r="W239" s="234" t="str">
        <f t="shared" si="19"/>
        <v/>
      </c>
      <c r="X239" s="227" t="str">
        <f>IFERROR(_xlfn.XLOOKUP($A239,'Raw Data'!$A:$A,'Raw Data'!$BA:$BA),"")</f>
        <v/>
      </c>
      <c r="Y239" s="227" t="str">
        <f>IFERROR(_xlfn.XLOOKUP($A239,'Raw Data'!$A:$A,'Raw Data'!BJ:BJ),"")</f>
        <v/>
      </c>
      <c r="Z239" s="227" t="str">
        <f>IFERROR(_xlfn.XLOOKUP($A239,'Raw Data'!$A:$A,'Raw Data'!BK:BK),"")</f>
        <v/>
      </c>
      <c r="AA239" s="227" t="str">
        <f>IFERROR(_xlfn.XLOOKUP($A239,'Raw Data'!$A:$A,'Raw Data'!BL:BL),"")</f>
        <v/>
      </c>
      <c r="AB239" s="227" t="str">
        <f>IFERROR(_xlfn.XLOOKUP($A239,'Raw Data'!$A:$A,'Raw Data'!$H:$H),"")</f>
        <v/>
      </c>
      <c r="AC239" s="145">
        <f>IFERROR(_xlfn.XLOOKUP($D239,'Modelling New'!$D:$D,'Modelling New'!$P:$P),"")</f>
        <v>6.4133333333333331</v>
      </c>
      <c r="AD239" s="227">
        <f>IFERROR(_xlfn.XLOOKUP($D239,'Modelling New'!$D:$D,'Modelling New'!$T:$T)*1000,"")</f>
        <v>110013.10061975369</v>
      </c>
      <c r="AE239" s="234">
        <f>IFERROR(_xlfn.XLOOKUP($D239,'Modelling New'!$D:$D,'Modelling New'!$O:$O),"")</f>
        <v>0.70582805765293155</v>
      </c>
      <c r="AF239" s="234">
        <f>IFERROR(_xlfn.XLOOKUP($D239,'Modelling New'!$D:$D,'Modelling New'!$W:$W),"")</f>
        <v>0.18861294207281115</v>
      </c>
      <c r="AG239" s="234">
        <f>IFERROR(_xlfn.XLOOKUP($D239,'Modelling New'!$D:$D,'Modelling New'!AE:AE),"")</f>
        <v>0.995</v>
      </c>
      <c r="AH239" s="234">
        <v>0.99750000000000005</v>
      </c>
      <c r="AI239" s="6"/>
      <c r="AJ239" s="6"/>
      <c r="AK239" s="6"/>
      <c r="AL239" s="6"/>
      <c r="AM239" s="6"/>
      <c r="AN239" s="231"/>
      <c r="AO239" s="234"/>
      <c r="AP239" s="234"/>
      <c r="AQ239" s="234"/>
      <c r="AR239" s="227">
        <f>IFERROR(_xlfn.XLOOKUP($D239,'Modelling New'!$D:$D,'Modelling New'!$N:$N),"")</f>
        <v>24.303100000000001</v>
      </c>
      <c r="AS239" s="227"/>
    </row>
    <row r="240" spans="1:45" x14ac:dyDescent="0.35">
      <c r="A240" s="226">
        <f t="shared" si="18"/>
        <v>45983</v>
      </c>
      <c r="B240" s="227">
        <f>YEAR(Daily_KPI[[#This Row],[Date]])+IF(MONTH(Daily_KPI[[#This Row],[Date]])&gt;=4,1,0)</f>
        <v>2026</v>
      </c>
      <c r="C240" s="6">
        <f>YEAR(Daily_KPI[[#This Row],[Date]])</f>
        <v>2025</v>
      </c>
      <c r="D240" s="228">
        <f>Daily_KPI[[#This Row],[Date]]-DAY(Daily_KPI[[#This Row],[Date]])+1</f>
        <v>45962</v>
      </c>
      <c r="E240" s="6">
        <f t="shared" si="16"/>
        <v>30</v>
      </c>
      <c r="F240" s="229" t="str">
        <f>IFERROR(_xlfn.XLOOKUP($A240,'Raw Data'!$A:$A,'Raw Data'!$BR:$BR),"")</f>
        <v/>
      </c>
      <c r="G240" s="230" t="str">
        <f>IFERROR(_xlfn.XLOOKUP($A240,'Raw Data'!$A:$A,'Raw Data'!$AO:$AO),"")</f>
        <v/>
      </c>
      <c r="H240" s="230"/>
      <c r="I240" s="230" t="str">
        <f>IFERROR(_xlfn.XLOOKUP($A240,'Raw Data'!$A:$A,'Raw Data'!$AR:$AR),"")</f>
        <v/>
      </c>
      <c r="J240" s="230"/>
      <c r="K240" s="230" t="str">
        <f>IFERROR(_xlfn.XLOOKUP($A240,'Raw Data'!$A:$A,'Raw Data'!$AV:$AV),"")</f>
        <v/>
      </c>
      <c r="L240" s="230" t="str">
        <f>IFERROR(_xlfn.XLOOKUP($A240,'Raw Data'!$A:$A,'Raw Data'!$AW:$AW),"")</f>
        <v/>
      </c>
      <c r="M240" s="230" t="str">
        <f>IFERROR(_xlfn.XLOOKUP($A240,'Raw Data'!$A:$A,'Raw Data'!$AX:$AX),"")</f>
        <v/>
      </c>
      <c r="N240" s="230" t="str">
        <f>IFERROR(_xlfn.XLOOKUP($A240,'Raw Data'!$A:$A,'Raw Data'!$AY:$AY),"")</f>
        <v/>
      </c>
      <c r="O240" s="231" t="str">
        <f>IFERROR(1-(SUMIF('Plant BD'!$B:$B,A240,'Plant BD'!$AE:$AE)/(AA240+SUMIF('Plant BD'!$B:$B,A240,'Plant BD'!$AE:$AE))),"")</f>
        <v/>
      </c>
      <c r="P240" s="231"/>
      <c r="Q240" s="232"/>
      <c r="R240" s="231" t="str">
        <f>IFERROR(1-(SUMIF('Grid BD'!$B:$B,$A240,'Grid BD'!$AD:$AD)/($AA240+SUMIF('Grid BD'!$B:$B,$A240,'Grid BD'!AD:AD))),"")</f>
        <v/>
      </c>
      <c r="S240" s="6"/>
      <c r="T240" s="232"/>
      <c r="U240" s="233" t="str">
        <f t="shared" si="17"/>
        <v/>
      </c>
      <c r="V240" s="233"/>
      <c r="W240" s="234" t="str">
        <f t="shared" si="19"/>
        <v/>
      </c>
      <c r="X240" s="227" t="str">
        <f>IFERROR(_xlfn.XLOOKUP($A240,'Raw Data'!$A:$A,'Raw Data'!$BA:$BA),"")</f>
        <v/>
      </c>
      <c r="Y240" s="227" t="str">
        <f>IFERROR(_xlfn.XLOOKUP($A240,'Raw Data'!$A:$A,'Raw Data'!BJ:BJ),"")</f>
        <v/>
      </c>
      <c r="Z240" s="227" t="str">
        <f>IFERROR(_xlfn.XLOOKUP($A240,'Raw Data'!$A:$A,'Raw Data'!BK:BK),"")</f>
        <v/>
      </c>
      <c r="AA240" s="227" t="str">
        <f>IFERROR(_xlfn.XLOOKUP($A240,'Raw Data'!$A:$A,'Raw Data'!BL:BL),"")</f>
        <v/>
      </c>
      <c r="AB240" s="227" t="str">
        <f>IFERROR(_xlfn.XLOOKUP($A240,'Raw Data'!$A:$A,'Raw Data'!$H:$H),"")</f>
        <v/>
      </c>
      <c r="AC240" s="145">
        <f>IFERROR(_xlfn.XLOOKUP($D240,'Modelling New'!$D:$D,'Modelling New'!$P:$P),"")</f>
        <v>6.4133333333333331</v>
      </c>
      <c r="AD240" s="227">
        <f>IFERROR(_xlfn.XLOOKUP($D240,'Modelling New'!$D:$D,'Modelling New'!$T:$T)*1000,"")</f>
        <v>110013.10061975369</v>
      </c>
      <c r="AE240" s="234">
        <f>IFERROR(_xlfn.XLOOKUP($D240,'Modelling New'!$D:$D,'Modelling New'!$O:$O),"")</f>
        <v>0.70582805765293155</v>
      </c>
      <c r="AF240" s="234">
        <f>IFERROR(_xlfn.XLOOKUP($D240,'Modelling New'!$D:$D,'Modelling New'!$W:$W),"")</f>
        <v>0.18861294207281115</v>
      </c>
      <c r="AG240" s="234">
        <f>IFERROR(_xlfn.XLOOKUP($D240,'Modelling New'!$D:$D,'Modelling New'!AE:AE),"")</f>
        <v>0.995</v>
      </c>
      <c r="AH240" s="234">
        <v>0.99750000000000005</v>
      </c>
      <c r="AI240" s="6"/>
      <c r="AJ240" s="6"/>
      <c r="AK240" s="6"/>
      <c r="AL240" s="6"/>
      <c r="AM240" s="6"/>
      <c r="AN240" s="231"/>
      <c r="AO240" s="234"/>
      <c r="AP240" s="234"/>
      <c r="AQ240" s="234"/>
      <c r="AR240" s="227">
        <f>IFERROR(_xlfn.XLOOKUP($D240,'Modelling New'!$D:$D,'Modelling New'!$N:$N),"")</f>
        <v>24.303100000000001</v>
      </c>
      <c r="AS240" s="227"/>
    </row>
    <row r="241" spans="1:45" x14ac:dyDescent="0.35">
      <c r="A241" s="226">
        <f t="shared" si="18"/>
        <v>45984</v>
      </c>
      <c r="B241" s="227">
        <f>YEAR(Daily_KPI[[#This Row],[Date]])+IF(MONTH(Daily_KPI[[#This Row],[Date]])&gt;=4,1,0)</f>
        <v>2026</v>
      </c>
      <c r="C241" s="6">
        <f>YEAR(Daily_KPI[[#This Row],[Date]])</f>
        <v>2025</v>
      </c>
      <c r="D241" s="228">
        <f>Daily_KPI[[#This Row],[Date]]-DAY(Daily_KPI[[#This Row],[Date]])+1</f>
        <v>45962</v>
      </c>
      <c r="E241" s="6">
        <f t="shared" si="16"/>
        <v>30</v>
      </c>
      <c r="F241" s="229" t="str">
        <f>IFERROR(_xlfn.XLOOKUP($A241,'Raw Data'!$A:$A,'Raw Data'!$BR:$BR),"")</f>
        <v/>
      </c>
      <c r="G241" s="230" t="str">
        <f>IFERROR(_xlfn.XLOOKUP($A241,'Raw Data'!$A:$A,'Raw Data'!$AO:$AO),"")</f>
        <v/>
      </c>
      <c r="H241" s="230"/>
      <c r="I241" s="230" t="str">
        <f>IFERROR(_xlfn.XLOOKUP($A241,'Raw Data'!$A:$A,'Raw Data'!$AR:$AR),"")</f>
        <v/>
      </c>
      <c r="J241" s="230"/>
      <c r="K241" s="230" t="str">
        <f>IFERROR(_xlfn.XLOOKUP($A241,'Raw Data'!$A:$A,'Raw Data'!$AV:$AV),"")</f>
        <v/>
      </c>
      <c r="L241" s="230" t="str">
        <f>IFERROR(_xlfn.XLOOKUP($A241,'Raw Data'!$A:$A,'Raw Data'!$AW:$AW),"")</f>
        <v/>
      </c>
      <c r="M241" s="230" t="str">
        <f>IFERROR(_xlfn.XLOOKUP($A241,'Raw Data'!$A:$A,'Raw Data'!$AX:$AX),"")</f>
        <v/>
      </c>
      <c r="N241" s="230" t="str">
        <f>IFERROR(_xlfn.XLOOKUP($A241,'Raw Data'!$A:$A,'Raw Data'!$AY:$AY),"")</f>
        <v/>
      </c>
      <c r="O241" s="231" t="str">
        <f>IFERROR(1-(SUMIF('Plant BD'!$B:$B,A241,'Plant BD'!$AE:$AE)/(AA241+SUMIF('Plant BD'!$B:$B,A241,'Plant BD'!$AE:$AE))),"")</f>
        <v/>
      </c>
      <c r="P241" s="231"/>
      <c r="Q241" s="232"/>
      <c r="R241" s="231" t="str">
        <f>IFERROR(1-(SUMIF('Grid BD'!$B:$B,$A241,'Grid BD'!$AD:$AD)/($AA241+SUMIF('Grid BD'!$B:$B,$A241,'Grid BD'!AD:AD))),"")</f>
        <v/>
      </c>
      <c r="S241" s="6"/>
      <c r="T241" s="232"/>
      <c r="U241" s="233" t="str">
        <f t="shared" si="17"/>
        <v/>
      </c>
      <c r="V241" s="233"/>
      <c r="W241" s="234" t="str">
        <f t="shared" si="19"/>
        <v/>
      </c>
      <c r="X241" s="227" t="str">
        <f>IFERROR(_xlfn.XLOOKUP($A241,'Raw Data'!$A:$A,'Raw Data'!$BA:$BA),"")</f>
        <v/>
      </c>
      <c r="Y241" s="227" t="str">
        <f>IFERROR(_xlfn.XLOOKUP($A241,'Raw Data'!$A:$A,'Raw Data'!BJ:BJ),"")</f>
        <v/>
      </c>
      <c r="Z241" s="227" t="str">
        <f>IFERROR(_xlfn.XLOOKUP($A241,'Raw Data'!$A:$A,'Raw Data'!BK:BK),"")</f>
        <v/>
      </c>
      <c r="AA241" s="227" t="str">
        <f>IFERROR(_xlfn.XLOOKUP($A241,'Raw Data'!$A:$A,'Raw Data'!BL:BL),"")</f>
        <v/>
      </c>
      <c r="AB241" s="227" t="str">
        <f>IFERROR(_xlfn.XLOOKUP($A241,'Raw Data'!$A:$A,'Raw Data'!$H:$H),"")</f>
        <v/>
      </c>
      <c r="AC241" s="145">
        <f>IFERROR(_xlfn.XLOOKUP($D241,'Modelling New'!$D:$D,'Modelling New'!$P:$P),"")</f>
        <v>6.4133333333333331</v>
      </c>
      <c r="AD241" s="227">
        <f>IFERROR(_xlfn.XLOOKUP($D241,'Modelling New'!$D:$D,'Modelling New'!$T:$T)*1000,"")</f>
        <v>110013.10061975369</v>
      </c>
      <c r="AE241" s="234">
        <f>IFERROR(_xlfn.XLOOKUP($D241,'Modelling New'!$D:$D,'Modelling New'!$O:$O),"")</f>
        <v>0.70582805765293155</v>
      </c>
      <c r="AF241" s="234">
        <f>IFERROR(_xlfn.XLOOKUP($D241,'Modelling New'!$D:$D,'Modelling New'!$W:$W),"")</f>
        <v>0.18861294207281115</v>
      </c>
      <c r="AG241" s="234">
        <f>IFERROR(_xlfn.XLOOKUP($D241,'Modelling New'!$D:$D,'Modelling New'!AE:AE),"")</f>
        <v>0.995</v>
      </c>
      <c r="AH241" s="234">
        <v>0.99750000000000005</v>
      </c>
      <c r="AI241" s="6"/>
      <c r="AJ241" s="6"/>
      <c r="AK241" s="6"/>
      <c r="AL241" s="6"/>
      <c r="AM241" s="6"/>
      <c r="AN241" s="231"/>
      <c r="AO241" s="234"/>
      <c r="AP241" s="234"/>
      <c r="AQ241" s="234"/>
      <c r="AR241" s="227">
        <f>IFERROR(_xlfn.XLOOKUP($D241,'Modelling New'!$D:$D,'Modelling New'!$N:$N),"")</f>
        <v>24.303100000000001</v>
      </c>
      <c r="AS241" s="227"/>
    </row>
    <row r="242" spans="1:45" x14ac:dyDescent="0.35">
      <c r="A242" s="226">
        <f t="shared" si="18"/>
        <v>45985</v>
      </c>
      <c r="B242" s="227">
        <f>YEAR(Daily_KPI[[#This Row],[Date]])+IF(MONTH(Daily_KPI[[#This Row],[Date]])&gt;=4,1,0)</f>
        <v>2026</v>
      </c>
      <c r="C242" s="6">
        <f>YEAR(Daily_KPI[[#This Row],[Date]])</f>
        <v>2025</v>
      </c>
      <c r="D242" s="228">
        <f>Daily_KPI[[#This Row],[Date]]-DAY(Daily_KPI[[#This Row],[Date]])+1</f>
        <v>45962</v>
      </c>
      <c r="E242" s="6">
        <f t="shared" si="16"/>
        <v>30</v>
      </c>
      <c r="F242" s="229" t="str">
        <f>IFERROR(_xlfn.XLOOKUP($A242,'Raw Data'!$A:$A,'Raw Data'!$BR:$BR),"")</f>
        <v/>
      </c>
      <c r="G242" s="230" t="str">
        <f>IFERROR(_xlfn.XLOOKUP($A242,'Raw Data'!$A:$A,'Raw Data'!$AO:$AO),"")</f>
        <v/>
      </c>
      <c r="H242" s="230"/>
      <c r="I242" s="230" t="str">
        <f>IFERROR(_xlfn.XLOOKUP($A242,'Raw Data'!$A:$A,'Raw Data'!$AR:$AR),"")</f>
        <v/>
      </c>
      <c r="J242" s="230"/>
      <c r="K242" s="230" t="str">
        <f>IFERROR(_xlfn.XLOOKUP($A242,'Raw Data'!$A:$A,'Raw Data'!$AV:$AV),"")</f>
        <v/>
      </c>
      <c r="L242" s="230" t="str">
        <f>IFERROR(_xlfn.XLOOKUP($A242,'Raw Data'!$A:$A,'Raw Data'!$AW:$AW),"")</f>
        <v/>
      </c>
      <c r="M242" s="230" t="str">
        <f>IFERROR(_xlfn.XLOOKUP($A242,'Raw Data'!$A:$A,'Raw Data'!$AX:$AX),"")</f>
        <v/>
      </c>
      <c r="N242" s="230" t="str">
        <f>IFERROR(_xlfn.XLOOKUP($A242,'Raw Data'!$A:$A,'Raw Data'!$AY:$AY),"")</f>
        <v/>
      </c>
      <c r="O242" s="231" t="str">
        <f>IFERROR(1-(SUMIF('Plant BD'!$B:$B,A242,'Plant BD'!$AE:$AE)/(AA242+SUMIF('Plant BD'!$B:$B,A242,'Plant BD'!$AE:$AE))),"")</f>
        <v/>
      </c>
      <c r="P242" s="231"/>
      <c r="Q242" s="232"/>
      <c r="R242" s="231" t="str">
        <f>IFERROR(1-(SUMIF('Grid BD'!$B:$B,$A242,'Grid BD'!$AD:$AD)/($AA242+SUMIF('Grid BD'!$B:$B,$A242,'Grid BD'!AD:AD))),"")</f>
        <v/>
      </c>
      <c r="S242" s="6"/>
      <c r="T242" s="232"/>
      <c r="U242" s="233" t="str">
        <f t="shared" si="17"/>
        <v/>
      </c>
      <c r="V242" s="233"/>
      <c r="W242" s="234" t="str">
        <f t="shared" si="19"/>
        <v/>
      </c>
      <c r="X242" s="227" t="str">
        <f>IFERROR(_xlfn.XLOOKUP($A242,'Raw Data'!$A:$A,'Raw Data'!$BA:$BA),"")</f>
        <v/>
      </c>
      <c r="Y242" s="227" t="str">
        <f>IFERROR(_xlfn.XLOOKUP($A242,'Raw Data'!$A:$A,'Raw Data'!BJ:BJ),"")</f>
        <v/>
      </c>
      <c r="Z242" s="227" t="str">
        <f>IFERROR(_xlfn.XLOOKUP($A242,'Raw Data'!$A:$A,'Raw Data'!BK:BK),"")</f>
        <v/>
      </c>
      <c r="AA242" s="227" t="str">
        <f>IFERROR(_xlfn.XLOOKUP($A242,'Raw Data'!$A:$A,'Raw Data'!BL:BL),"")</f>
        <v/>
      </c>
      <c r="AB242" s="227" t="str">
        <f>IFERROR(_xlfn.XLOOKUP($A242,'Raw Data'!$A:$A,'Raw Data'!$H:$H),"")</f>
        <v/>
      </c>
      <c r="AC242" s="145">
        <f>IFERROR(_xlfn.XLOOKUP($D242,'Modelling New'!$D:$D,'Modelling New'!$P:$P),"")</f>
        <v>6.4133333333333331</v>
      </c>
      <c r="AD242" s="227">
        <f>IFERROR(_xlfn.XLOOKUP($D242,'Modelling New'!$D:$D,'Modelling New'!$T:$T)*1000,"")</f>
        <v>110013.10061975369</v>
      </c>
      <c r="AE242" s="234">
        <f>IFERROR(_xlfn.XLOOKUP($D242,'Modelling New'!$D:$D,'Modelling New'!$O:$O),"")</f>
        <v>0.70582805765293155</v>
      </c>
      <c r="AF242" s="234">
        <f>IFERROR(_xlfn.XLOOKUP($D242,'Modelling New'!$D:$D,'Modelling New'!$W:$W),"")</f>
        <v>0.18861294207281115</v>
      </c>
      <c r="AG242" s="234">
        <f>IFERROR(_xlfn.XLOOKUP($D242,'Modelling New'!$D:$D,'Modelling New'!AE:AE),"")</f>
        <v>0.995</v>
      </c>
      <c r="AH242" s="234">
        <v>0.99750000000000005</v>
      </c>
      <c r="AI242" s="6"/>
      <c r="AJ242" s="6"/>
      <c r="AK242" s="6"/>
      <c r="AL242" s="6"/>
      <c r="AM242" s="6"/>
      <c r="AN242" s="231"/>
      <c r="AO242" s="234"/>
      <c r="AP242" s="234"/>
      <c r="AQ242" s="234"/>
      <c r="AR242" s="227">
        <f>IFERROR(_xlfn.XLOOKUP($D242,'Modelling New'!$D:$D,'Modelling New'!$N:$N),"")</f>
        <v>24.303100000000001</v>
      </c>
      <c r="AS242" s="227"/>
    </row>
    <row r="243" spans="1:45" x14ac:dyDescent="0.35">
      <c r="A243" s="226">
        <f t="shared" si="18"/>
        <v>45986</v>
      </c>
      <c r="B243" s="227">
        <f>YEAR(Daily_KPI[[#This Row],[Date]])+IF(MONTH(Daily_KPI[[#This Row],[Date]])&gt;=4,1,0)</f>
        <v>2026</v>
      </c>
      <c r="C243" s="6">
        <f>YEAR(Daily_KPI[[#This Row],[Date]])</f>
        <v>2025</v>
      </c>
      <c r="D243" s="228">
        <f>Daily_KPI[[#This Row],[Date]]-DAY(Daily_KPI[[#This Row],[Date]])+1</f>
        <v>45962</v>
      </c>
      <c r="E243" s="6">
        <f t="shared" si="16"/>
        <v>30</v>
      </c>
      <c r="F243" s="229" t="str">
        <f>IFERROR(_xlfn.XLOOKUP($A243,'Raw Data'!$A:$A,'Raw Data'!$BR:$BR),"")</f>
        <v/>
      </c>
      <c r="G243" s="230" t="str">
        <f>IFERROR(_xlfn.XLOOKUP($A243,'Raw Data'!$A:$A,'Raw Data'!$AO:$AO),"")</f>
        <v/>
      </c>
      <c r="H243" s="230"/>
      <c r="I243" s="230" t="str">
        <f>IFERROR(_xlfn.XLOOKUP($A243,'Raw Data'!$A:$A,'Raw Data'!$AR:$AR),"")</f>
        <v/>
      </c>
      <c r="J243" s="230"/>
      <c r="K243" s="230" t="str">
        <f>IFERROR(_xlfn.XLOOKUP($A243,'Raw Data'!$A:$A,'Raw Data'!$AV:$AV),"")</f>
        <v/>
      </c>
      <c r="L243" s="230" t="str">
        <f>IFERROR(_xlfn.XLOOKUP($A243,'Raw Data'!$A:$A,'Raw Data'!$AW:$AW),"")</f>
        <v/>
      </c>
      <c r="M243" s="230" t="str">
        <f>IFERROR(_xlfn.XLOOKUP($A243,'Raw Data'!$A:$A,'Raw Data'!$AX:$AX),"")</f>
        <v/>
      </c>
      <c r="N243" s="230" t="str">
        <f>IFERROR(_xlfn.XLOOKUP($A243,'Raw Data'!$A:$A,'Raw Data'!$AY:$AY),"")</f>
        <v/>
      </c>
      <c r="O243" s="231" t="str">
        <f>IFERROR(1-(SUMIF('Plant BD'!$B:$B,A243,'Plant BD'!$AE:$AE)/(AA243+SUMIF('Plant BD'!$B:$B,A243,'Plant BD'!$AE:$AE))),"")</f>
        <v/>
      </c>
      <c r="P243" s="231"/>
      <c r="Q243" s="232"/>
      <c r="R243" s="231" t="str">
        <f>IFERROR(1-(SUMIF('Grid BD'!$B:$B,$A243,'Grid BD'!$AD:$AD)/($AA243+SUMIF('Grid BD'!$B:$B,$A243,'Grid BD'!AD:AD))),"")</f>
        <v/>
      </c>
      <c r="S243" s="6"/>
      <c r="T243" s="232"/>
      <c r="U243" s="233" t="str">
        <f t="shared" si="17"/>
        <v/>
      </c>
      <c r="V243" s="233"/>
      <c r="W243" s="234" t="str">
        <f t="shared" si="19"/>
        <v/>
      </c>
      <c r="X243" s="227" t="str">
        <f>IFERROR(_xlfn.XLOOKUP($A243,'Raw Data'!$A:$A,'Raw Data'!$BA:$BA),"")</f>
        <v/>
      </c>
      <c r="Y243" s="227" t="str">
        <f>IFERROR(_xlfn.XLOOKUP($A243,'Raw Data'!$A:$A,'Raw Data'!BJ:BJ),"")</f>
        <v/>
      </c>
      <c r="Z243" s="227" t="str">
        <f>IFERROR(_xlfn.XLOOKUP($A243,'Raw Data'!$A:$A,'Raw Data'!BK:BK),"")</f>
        <v/>
      </c>
      <c r="AA243" s="227" t="str">
        <f>IFERROR(_xlfn.XLOOKUP($A243,'Raw Data'!$A:$A,'Raw Data'!BL:BL),"")</f>
        <v/>
      </c>
      <c r="AB243" s="227" t="str">
        <f>IFERROR(_xlfn.XLOOKUP($A243,'Raw Data'!$A:$A,'Raw Data'!$H:$H),"")</f>
        <v/>
      </c>
      <c r="AC243" s="145">
        <f>IFERROR(_xlfn.XLOOKUP($D243,'Modelling New'!$D:$D,'Modelling New'!$P:$P),"")</f>
        <v>6.4133333333333331</v>
      </c>
      <c r="AD243" s="227">
        <f>IFERROR(_xlfn.XLOOKUP($D243,'Modelling New'!$D:$D,'Modelling New'!$T:$T)*1000,"")</f>
        <v>110013.10061975369</v>
      </c>
      <c r="AE243" s="234">
        <f>IFERROR(_xlfn.XLOOKUP($D243,'Modelling New'!$D:$D,'Modelling New'!$O:$O),"")</f>
        <v>0.70582805765293155</v>
      </c>
      <c r="AF243" s="234">
        <f>IFERROR(_xlfn.XLOOKUP($D243,'Modelling New'!$D:$D,'Modelling New'!$W:$W),"")</f>
        <v>0.18861294207281115</v>
      </c>
      <c r="AG243" s="234">
        <f>IFERROR(_xlfn.XLOOKUP($D243,'Modelling New'!$D:$D,'Modelling New'!AE:AE),"")</f>
        <v>0.995</v>
      </c>
      <c r="AH243" s="234">
        <v>0.99750000000000005</v>
      </c>
      <c r="AI243" s="6"/>
      <c r="AJ243" s="6"/>
      <c r="AK243" s="6"/>
      <c r="AL243" s="6"/>
      <c r="AM243" s="6"/>
      <c r="AN243" s="231"/>
      <c r="AO243" s="234"/>
      <c r="AP243" s="234"/>
      <c r="AQ243" s="234"/>
      <c r="AR243" s="227">
        <f>IFERROR(_xlfn.XLOOKUP($D243,'Modelling New'!$D:$D,'Modelling New'!$N:$N),"")</f>
        <v>24.303100000000001</v>
      </c>
      <c r="AS243" s="227"/>
    </row>
    <row r="244" spans="1:45" x14ac:dyDescent="0.35">
      <c r="A244" s="226">
        <f t="shared" si="18"/>
        <v>45987</v>
      </c>
      <c r="B244" s="227">
        <f>YEAR(Daily_KPI[[#This Row],[Date]])+IF(MONTH(Daily_KPI[[#This Row],[Date]])&gt;=4,1,0)</f>
        <v>2026</v>
      </c>
      <c r="C244" s="6">
        <f>YEAR(Daily_KPI[[#This Row],[Date]])</f>
        <v>2025</v>
      </c>
      <c r="D244" s="228">
        <f>Daily_KPI[[#This Row],[Date]]-DAY(Daily_KPI[[#This Row],[Date]])+1</f>
        <v>45962</v>
      </c>
      <c r="E244" s="6">
        <f t="shared" si="16"/>
        <v>30</v>
      </c>
      <c r="F244" s="229" t="str">
        <f>IFERROR(_xlfn.XLOOKUP($A244,'Raw Data'!$A:$A,'Raw Data'!$BR:$BR),"")</f>
        <v/>
      </c>
      <c r="G244" s="230" t="str">
        <f>IFERROR(_xlfn.XLOOKUP($A244,'Raw Data'!$A:$A,'Raw Data'!$AO:$AO),"")</f>
        <v/>
      </c>
      <c r="H244" s="230"/>
      <c r="I244" s="230" t="str">
        <f>IFERROR(_xlfn.XLOOKUP($A244,'Raw Data'!$A:$A,'Raw Data'!$AR:$AR),"")</f>
        <v/>
      </c>
      <c r="J244" s="230"/>
      <c r="K244" s="230" t="str">
        <f>IFERROR(_xlfn.XLOOKUP($A244,'Raw Data'!$A:$A,'Raw Data'!$AV:$AV),"")</f>
        <v/>
      </c>
      <c r="L244" s="230" t="str">
        <f>IFERROR(_xlfn.XLOOKUP($A244,'Raw Data'!$A:$A,'Raw Data'!$AW:$AW),"")</f>
        <v/>
      </c>
      <c r="M244" s="230" t="str">
        <f>IFERROR(_xlfn.XLOOKUP($A244,'Raw Data'!$A:$A,'Raw Data'!$AX:$AX),"")</f>
        <v/>
      </c>
      <c r="N244" s="230" t="str">
        <f>IFERROR(_xlfn.XLOOKUP($A244,'Raw Data'!$A:$A,'Raw Data'!$AY:$AY),"")</f>
        <v/>
      </c>
      <c r="O244" s="231" t="str">
        <f>IFERROR(1-(SUMIF('Plant BD'!$B:$B,A244,'Plant BD'!$AE:$AE)/(AA244+SUMIF('Plant BD'!$B:$B,A244,'Plant BD'!$AE:$AE))),"")</f>
        <v/>
      </c>
      <c r="P244" s="231"/>
      <c r="Q244" s="232"/>
      <c r="R244" s="231" t="str">
        <f>IFERROR(1-(SUMIF('Grid BD'!$B:$B,$A244,'Grid BD'!$AD:$AD)/($AA244+SUMIF('Grid BD'!$B:$B,$A244,'Grid BD'!AD:AD))),"")</f>
        <v/>
      </c>
      <c r="S244" s="6"/>
      <c r="T244" s="232"/>
      <c r="U244" s="233" t="str">
        <f t="shared" si="17"/>
        <v/>
      </c>
      <c r="V244" s="233"/>
      <c r="W244" s="234" t="str">
        <f t="shared" si="19"/>
        <v/>
      </c>
      <c r="X244" s="227" t="str">
        <f>IFERROR(_xlfn.XLOOKUP($A244,'Raw Data'!$A:$A,'Raw Data'!$BA:$BA),"")</f>
        <v/>
      </c>
      <c r="Y244" s="227" t="str">
        <f>IFERROR(_xlfn.XLOOKUP($A244,'Raw Data'!$A:$A,'Raw Data'!BJ:BJ),"")</f>
        <v/>
      </c>
      <c r="Z244" s="227" t="str">
        <f>IFERROR(_xlfn.XLOOKUP($A244,'Raw Data'!$A:$A,'Raw Data'!BK:BK),"")</f>
        <v/>
      </c>
      <c r="AA244" s="227" t="str">
        <f>IFERROR(_xlfn.XLOOKUP($A244,'Raw Data'!$A:$A,'Raw Data'!BL:BL),"")</f>
        <v/>
      </c>
      <c r="AB244" s="227" t="str">
        <f>IFERROR(_xlfn.XLOOKUP($A244,'Raw Data'!$A:$A,'Raw Data'!$H:$H),"")</f>
        <v/>
      </c>
      <c r="AC244" s="145">
        <f>IFERROR(_xlfn.XLOOKUP($D244,'Modelling New'!$D:$D,'Modelling New'!$P:$P),"")</f>
        <v>6.4133333333333331</v>
      </c>
      <c r="AD244" s="227">
        <f>IFERROR(_xlfn.XLOOKUP($D244,'Modelling New'!$D:$D,'Modelling New'!$T:$T)*1000,"")</f>
        <v>110013.10061975369</v>
      </c>
      <c r="AE244" s="234">
        <f>IFERROR(_xlfn.XLOOKUP($D244,'Modelling New'!$D:$D,'Modelling New'!$O:$O),"")</f>
        <v>0.70582805765293155</v>
      </c>
      <c r="AF244" s="234">
        <f>IFERROR(_xlfn.XLOOKUP($D244,'Modelling New'!$D:$D,'Modelling New'!$W:$W),"")</f>
        <v>0.18861294207281115</v>
      </c>
      <c r="AG244" s="234">
        <f>IFERROR(_xlfn.XLOOKUP($D244,'Modelling New'!$D:$D,'Modelling New'!AE:AE),"")</f>
        <v>0.995</v>
      </c>
      <c r="AH244" s="234">
        <v>0.99750000000000005</v>
      </c>
      <c r="AI244" s="6"/>
      <c r="AJ244" s="6"/>
      <c r="AK244" s="6"/>
      <c r="AL244" s="6"/>
      <c r="AM244" s="6"/>
      <c r="AN244" s="231"/>
      <c r="AO244" s="234"/>
      <c r="AP244" s="234"/>
      <c r="AQ244" s="234"/>
      <c r="AR244" s="227">
        <f>IFERROR(_xlfn.XLOOKUP($D244,'Modelling New'!$D:$D,'Modelling New'!$N:$N),"")</f>
        <v>24.303100000000001</v>
      </c>
      <c r="AS244" s="227"/>
    </row>
    <row r="245" spans="1:45" x14ac:dyDescent="0.35">
      <c r="A245" s="226">
        <f t="shared" si="18"/>
        <v>45988</v>
      </c>
      <c r="B245" s="227">
        <f>YEAR(Daily_KPI[[#This Row],[Date]])+IF(MONTH(Daily_KPI[[#This Row],[Date]])&gt;=4,1,0)</f>
        <v>2026</v>
      </c>
      <c r="C245" s="6">
        <f>YEAR(Daily_KPI[[#This Row],[Date]])</f>
        <v>2025</v>
      </c>
      <c r="D245" s="228">
        <f>Daily_KPI[[#This Row],[Date]]-DAY(Daily_KPI[[#This Row],[Date]])+1</f>
        <v>45962</v>
      </c>
      <c r="E245" s="6">
        <f t="shared" ref="E245:E308" si="20">DAY(EOMONTH(A245,0))</f>
        <v>30</v>
      </c>
      <c r="F245" s="229" t="str">
        <f>IFERROR(_xlfn.XLOOKUP($A245,'Raw Data'!$A:$A,'Raw Data'!$BR:$BR),"")</f>
        <v/>
      </c>
      <c r="G245" s="230" t="str">
        <f>IFERROR(_xlfn.XLOOKUP($A245,'Raw Data'!$A:$A,'Raw Data'!$AO:$AO),"")</f>
        <v/>
      </c>
      <c r="H245" s="230"/>
      <c r="I245" s="230" t="str">
        <f>IFERROR(_xlfn.XLOOKUP($A245,'Raw Data'!$A:$A,'Raw Data'!$AR:$AR),"")</f>
        <v/>
      </c>
      <c r="J245" s="230"/>
      <c r="K245" s="230" t="str">
        <f>IFERROR(_xlfn.XLOOKUP($A245,'Raw Data'!$A:$A,'Raw Data'!$AV:$AV),"")</f>
        <v/>
      </c>
      <c r="L245" s="230" t="str">
        <f>IFERROR(_xlfn.XLOOKUP($A245,'Raw Data'!$A:$A,'Raw Data'!$AW:$AW),"")</f>
        <v/>
      </c>
      <c r="M245" s="230" t="str">
        <f>IFERROR(_xlfn.XLOOKUP($A245,'Raw Data'!$A:$A,'Raw Data'!$AX:$AX),"")</f>
        <v/>
      </c>
      <c r="N245" s="230" t="str">
        <f>IFERROR(_xlfn.XLOOKUP($A245,'Raw Data'!$A:$A,'Raw Data'!$AY:$AY),"")</f>
        <v/>
      </c>
      <c r="O245" s="231" t="str">
        <f>IFERROR(1-(SUMIF('Plant BD'!$B:$B,A245,'Plant BD'!$AE:$AE)/(AA245+SUMIF('Plant BD'!$B:$B,A245,'Plant BD'!$AE:$AE))),"")</f>
        <v/>
      </c>
      <c r="P245" s="231"/>
      <c r="Q245" s="232"/>
      <c r="R245" s="231" t="str">
        <f>IFERROR(1-(SUMIF('Grid BD'!$B:$B,$A245,'Grid BD'!$AD:$AD)/($AA245+SUMIF('Grid BD'!$B:$B,$A245,'Grid BD'!AD:AD))),"")</f>
        <v/>
      </c>
      <c r="S245" s="6"/>
      <c r="T245" s="232"/>
      <c r="U245" s="233" t="str">
        <f t="shared" si="17"/>
        <v/>
      </c>
      <c r="V245" s="233"/>
      <c r="W245" s="234" t="str">
        <f t="shared" si="19"/>
        <v/>
      </c>
      <c r="X245" s="227" t="str">
        <f>IFERROR(_xlfn.XLOOKUP($A245,'Raw Data'!$A:$A,'Raw Data'!$BA:$BA),"")</f>
        <v/>
      </c>
      <c r="Y245" s="227" t="str">
        <f>IFERROR(_xlfn.XLOOKUP($A245,'Raw Data'!$A:$A,'Raw Data'!BJ:BJ),"")</f>
        <v/>
      </c>
      <c r="Z245" s="227" t="str">
        <f>IFERROR(_xlfn.XLOOKUP($A245,'Raw Data'!$A:$A,'Raw Data'!BK:BK),"")</f>
        <v/>
      </c>
      <c r="AA245" s="227" t="str">
        <f>IFERROR(_xlfn.XLOOKUP($A245,'Raw Data'!$A:$A,'Raw Data'!BL:BL),"")</f>
        <v/>
      </c>
      <c r="AB245" s="227" t="str">
        <f>IFERROR(_xlfn.XLOOKUP($A245,'Raw Data'!$A:$A,'Raw Data'!$H:$H),"")</f>
        <v/>
      </c>
      <c r="AC245" s="145">
        <f>IFERROR(_xlfn.XLOOKUP($D245,'Modelling New'!$D:$D,'Modelling New'!$P:$P),"")</f>
        <v>6.4133333333333331</v>
      </c>
      <c r="AD245" s="227">
        <f>IFERROR(_xlfn.XLOOKUP($D245,'Modelling New'!$D:$D,'Modelling New'!$T:$T)*1000,"")</f>
        <v>110013.10061975369</v>
      </c>
      <c r="AE245" s="234">
        <f>IFERROR(_xlfn.XLOOKUP($D245,'Modelling New'!$D:$D,'Modelling New'!$O:$O),"")</f>
        <v>0.70582805765293155</v>
      </c>
      <c r="AF245" s="234">
        <f>IFERROR(_xlfn.XLOOKUP($D245,'Modelling New'!$D:$D,'Modelling New'!$W:$W),"")</f>
        <v>0.18861294207281115</v>
      </c>
      <c r="AG245" s="234">
        <f>IFERROR(_xlfn.XLOOKUP($D245,'Modelling New'!$D:$D,'Modelling New'!AE:AE),"")</f>
        <v>0.995</v>
      </c>
      <c r="AH245" s="234">
        <v>0.99750000000000005</v>
      </c>
      <c r="AI245" s="6"/>
      <c r="AJ245" s="6"/>
      <c r="AK245" s="6"/>
      <c r="AL245" s="6"/>
      <c r="AM245" s="6"/>
      <c r="AN245" s="231"/>
      <c r="AO245" s="234"/>
      <c r="AP245" s="234"/>
      <c r="AQ245" s="234"/>
      <c r="AR245" s="227">
        <f>IFERROR(_xlfn.XLOOKUP($D245,'Modelling New'!$D:$D,'Modelling New'!$N:$N),"")</f>
        <v>24.303100000000001</v>
      </c>
      <c r="AS245" s="227"/>
    </row>
    <row r="246" spans="1:45" x14ac:dyDescent="0.35">
      <c r="A246" s="226">
        <f t="shared" si="18"/>
        <v>45989</v>
      </c>
      <c r="B246" s="227">
        <f>YEAR(Daily_KPI[[#This Row],[Date]])+IF(MONTH(Daily_KPI[[#This Row],[Date]])&gt;=4,1,0)</f>
        <v>2026</v>
      </c>
      <c r="C246" s="6">
        <f>YEAR(Daily_KPI[[#This Row],[Date]])</f>
        <v>2025</v>
      </c>
      <c r="D246" s="228">
        <f>Daily_KPI[[#This Row],[Date]]-DAY(Daily_KPI[[#This Row],[Date]])+1</f>
        <v>45962</v>
      </c>
      <c r="E246" s="6">
        <f t="shared" si="20"/>
        <v>30</v>
      </c>
      <c r="F246" s="229" t="str">
        <f>IFERROR(_xlfn.XLOOKUP($A246,'Raw Data'!$A:$A,'Raw Data'!$BR:$BR),"")</f>
        <v/>
      </c>
      <c r="G246" s="230" t="str">
        <f>IFERROR(_xlfn.XLOOKUP($A246,'Raw Data'!$A:$A,'Raw Data'!$AO:$AO),"")</f>
        <v/>
      </c>
      <c r="H246" s="230"/>
      <c r="I246" s="230" t="str">
        <f>IFERROR(_xlfn.XLOOKUP($A246,'Raw Data'!$A:$A,'Raw Data'!$AR:$AR),"")</f>
        <v/>
      </c>
      <c r="J246" s="230"/>
      <c r="K246" s="230" t="str">
        <f>IFERROR(_xlfn.XLOOKUP($A246,'Raw Data'!$A:$A,'Raw Data'!$AV:$AV),"")</f>
        <v/>
      </c>
      <c r="L246" s="230" t="str">
        <f>IFERROR(_xlfn.XLOOKUP($A246,'Raw Data'!$A:$A,'Raw Data'!$AW:$AW),"")</f>
        <v/>
      </c>
      <c r="M246" s="230" t="str">
        <f>IFERROR(_xlfn.XLOOKUP($A246,'Raw Data'!$A:$A,'Raw Data'!$AX:$AX),"")</f>
        <v/>
      </c>
      <c r="N246" s="230" t="str">
        <f>IFERROR(_xlfn.XLOOKUP($A246,'Raw Data'!$A:$A,'Raw Data'!$AY:$AY),"")</f>
        <v/>
      </c>
      <c r="O246" s="231" t="str">
        <f>IFERROR(1-(SUMIF('Plant BD'!$B:$B,A246,'Plant BD'!$AE:$AE)/(AA246+SUMIF('Plant BD'!$B:$B,A246,'Plant BD'!$AE:$AE))),"")</f>
        <v/>
      </c>
      <c r="P246" s="231"/>
      <c r="Q246" s="232"/>
      <c r="R246" s="231" t="str">
        <f>IFERROR(1-(SUMIF('Grid BD'!$B:$B,$A246,'Grid BD'!$AD:$AD)/($AA246+SUMIF('Grid BD'!$B:$B,$A246,'Grid BD'!AD:AD))),"")</f>
        <v/>
      </c>
      <c r="S246" s="6"/>
      <c r="T246" s="232"/>
      <c r="U246" s="233" t="str">
        <f t="shared" si="17"/>
        <v/>
      </c>
      <c r="V246" s="233"/>
      <c r="W246" s="234" t="str">
        <f t="shared" si="19"/>
        <v/>
      </c>
      <c r="X246" s="227" t="str">
        <f>IFERROR(_xlfn.XLOOKUP($A246,'Raw Data'!$A:$A,'Raw Data'!$BA:$BA),"")</f>
        <v/>
      </c>
      <c r="Y246" s="227" t="str">
        <f>IFERROR(_xlfn.XLOOKUP($A246,'Raw Data'!$A:$A,'Raw Data'!BJ:BJ),"")</f>
        <v/>
      </c>
      <c r="Z246" s="227" t="str">
        <f>IFERROR(_xlfn.XLOOKUP($A246,'Raw Data'!$A:$A,'Raw Data'!BK:BK),"")</f>
        <v/>
      </c>
      <c r="AA246" s="227" t="str">
        <f>IFERROR(_xlfn.XLOOKUP($A246,'Raw Data'!$A:$A,'Raw Data'!BL:BL),"")</f>
        <v/>
      </c>
      <c r="AB246" s="227" t="str">
        <f>IFERROR(_xlfn.XLOOKUP($A246,'Raw Data'!$A:$A,'Raw Data'!$H:$H),"")</f>
        <v/>
      </c>
      <c r="AC246" s="145">
        <f>IFERROR(_xlfn.XLOOKUP($D246,'Modelling New'!$D:$D,'Modelling New'!$P:$P),"")</f>
        <v>6.4133333333333331</v>
      </c>
      <c r="AD246" s="227">
        <f>IFERROR(_xlfn.XLOOKUP($D246,'Modelling New'!$D:$D,'Modelling New'!$T:$T)*1000,"")</f>
        <v>110013.10061975369</v>
      </c>
      <c r="AE246" s="234">
        <f>IFERROR(_xlfn.XLOOKUP($D246,'Modelling New'!$D:$D,'Modelling New'!$O:$O),"")</f>
        <v>0.70582805765293155</v>
      </c>
      <c r="AF246" s="234">
        <f>IFERROR(_xlfn.XLOOKUP($D246,'Modelling New'!$D:$D,'Modelling New'!$W:$W),"")</f>
        <v>0.18861294207281115</v>
      </c>
      <c r="AG246" s="234">
        <f>IFERROR(_xlfn.XLOOKUP($D246,'Modelling New'!$D:$D,'Modelling New'!AE:AE),"")</f>
        <v>0.995</v>
      </c>
      <c r="AH246" s="234">
        <v>0.99750000000000005</v>
      </c>
      <c r="AI246" s="6"/>
      <c r="AJ246" s="6"/>
      <c r="AK246" s="6"/>
      <c r="AL246" s="6"/>
      <c r="AM246" s="6"/>
      <c r="AN246" s="231"/>
      <c r="AO246" s="234"/>
      <c r="AP246" s="234"/>
      <c r="AQ246" s="234"/>
      <c r="AR246" s="227">
        <f>IFERROR(_xlfn.XLOOKUP($D246,'Modelling New'!$D:$D,'Modelling New'!$N:$N),"")</f>
        <v>24.303100000000001</v>
      </c>
      <c r="AS246" s="227"/>
    </row>
    <row r="247" spans="1:45" x14ac:dyDescent="0.35">
      <c r="A247" s="226">
        <f t="shared" si="18"/>
        <v>45990</v>
      </c>
      <c r="B247" s="227">
        <f>YEAR(Daily_KPI[[#This Row],[Date]])+IF(MONTH(Daily_KPI[[#This Row],[Date]])&gt;=4,1,0)</f>
        <v>2026</v>
      </c>
      <c r="C247" s="6">
        <f>YEAR(Daily_KPI[[#This Row],[Date]])</f>
        <v>2025</v>
      </c>
      <c r="D247" s="228">
        <f>Daily_KPI[[#This Row],[Date]]-DAY(Daily_KPI[[#This Row],[Date]])+1</f>
        <v>45962</v>
      </c>
      <c r="E247" s="6">
        <f t="shared" si="20"/>
        <v>30</v>
      </c>
      <c r="F247" s="229" t="str">
        <f>IFERROR(_xlfn.XLOOKUP($A247,'Raw Data'!$A:$A,'Raw Data'!$BR:$BR),"")</f>
        <v/>
      </c>
      <c r="G247" s="230" t="str">
        <f>IFERROR(_xlfn.XLOOKUP($A247,'Raw Data'!$A:$A,'Raw Data'!$AO:$AO),"")</f>
        <v/>
      </c>
      <c r="H247" s="230"/>
      <c r="I247" s="230" t="str">
        <f>IFERROR(_xlfn.XLOOKUP($A247,'Raw Data'!$A:$A,'Raw Data'!$AR:$AR),"")</f>
        <v/>
      </c>
      <c r="J247" s="230"/>
      <c r="K247" s="230" t="str">
        <f>IFERROR(_xlfn.XLOOKUP($A247,'Raw Data'!$A:$A,'Raw Data'!$AV:$AV),"")</f>
        <v/>
      </c>
      <c r="L247" s="230" t="str">
        <f>IFERROR(_xlfn.XLOOKUP($A247,'Raw Data'!$A:$A,'Raw Data'!$AW:$AW),"")</f>
        <v/>
      </c>
      <c r="M247" s="230" t="str">
        <f>IFERROR(_xlfn.XLOOKUP($A247,'Raw Data'!$A:$A,'Raw Data'!$AX:$AX),"")</f>
        <v/>
      </c>
      <c r="N247" s="230" t="str">
        <f>IFERROR(_xlfn.XLOOKUP($A247,'Raw Data'!$A:$A,'Raw Data'!$AY:$AY),"")</f>
        <v/>
      </c>
      <c r="O247" s="231" t="str">
        <f>IFERROR(1-(SUMIF('Plant BD'!$B:$B,A247,'Plant BD'!$AE:$AE)/(AA247+SUMIF('Plant BD'!$B:$B,A247,'Plant BD'!$AE:$AE))),"")</f>
        <v/>
      </c>
      <c r="P247" s="231"/>
      <c r="Q247" s="232"/>
      <c r="R247" s="231" t="str">
        <f>IFERROR(1-(SUMIF('Grid BD'!$B:$B,$A247,'Grid BD'!$AD:$AD)/($AA247+SUMIF('Grid BD'!$B:$B,$A247,'Grid BD'!AD:AD))),"")</f>
        <v/>
      </c>
      <c r="S247" s="6"/>
      <c r="T247" s="232"/>
      <c r="U247" s="233" t="str">
        <f t="shared" si="17"/>
        <v/>
      </c>
      <c r="V247" s="233"/>
      <c r="W247" s="234" t="str">
        <f t="shared" si="19"/>
        <v/>
      </c>
      <c r="X247" s="227" t="str">
        <f>IFERROR(_xlfn.XLOOKUP($A247,'Raw Data'!$A:$A,'Raw Data'!$BA:$BA),"")</f>
        <v/>
      </c>
      <c r="Y247" s="227" t="str">
        <f>IFERROR(_xlfn.XLOOKUP($A247,'Raw Data'!$A:$A,'Raw Data'!BJ:BJ),"")</f>
        <v/>
      </c>
      <c r="Z247" s="227" t="str">
        <f>IFERROR(_xlfn.XLOOKUP($A247,'Raw Data'!$A:$A,'Raw Data'!BK:BK),"")</f>
        <v/>
      </c>
      <c r="AA247" s="227" t="str">
        <f>IFERROR(_xlfn.XLOOKUP($A247,'Raw Data'!$A:$A,'Raw Data'!BL:BL),"")</f>
        <v/>
      </c>
      <c r="AB247" s="227" t="str">
        <f>IFERROR(_xlfn.XLOOKUP($A247,'Raw Data'!$A:$A,'Raw Data'!$H:$H),"")</f>
        <v/>
      </c>
      <c r="AC247" s="145">
        <f>IFERROR(_xlfn.XLOOKUP($D247,'Modelling New'!$D:$D,'Modelling New'!$P:$P),"")</f>
        <v>6.4133333333333331</v>
      </c>
      <c r="AD247" s="227">
        <f>IFERROR(_xlfn.XLOOKUP($D247,'Modelling New'!$D:$D,'Modelling New'!$T:$T)*1000,"")</f>
        <v>110013.10061975369</v>
      </c>
      <c r="AE247" s="234">
        <f>IFERROR(_xlfn.XLOOKUP($D247,'Modelling New'!$D:$D,'Modelling New'!$O:$O),"")</f>
        <v>0.70582805765293155</v>
      </c>
      <c r="AF247" s="234">
        <f>IFERROR(_xlfn.XLOOKUP($D247,'Modelling New'!$D:$D,'Modelling New'!$W:$W),"")</f>
        <v>0.18861294207281115</v>
      </c>
      <c r="AG247" s="234">
        <f>IFERROR(_xlfn.XLOOKUP($D247,'Modelling New'!$D:$D,'Modelling New'!AE:AE),"")</f>
        <v>0.995</v>
      </c>
      <c r="AH247" s="234">
        <v>0.99750000000000005</v>
      </c>
      <c r="AI247" s="6"/>
      <c r="AJ247" s="6"/>
      <c r="AK247" s="6"/>
      <c r="AL247" s="6"/>
      <c r="AM247" s="6"/>
      <c r="AN247" s="231"/>
      <c r="AO247" s="234"/>
      <c r="AP247" s="234"/>
      <c r="AQ247" s="234"/>
      <c r="AR247" s="227">
        <f>IFERROR(_xlfn.XLOOKUP($D247,'Modelling New'!$D:$D,'Modelling New'!$N:$N),"")</f>
        <v>24.303100000000001</v>
      </c>
      <c r="AS247" s="227"/>
    </row>
    <row r="248" spans="1:45" x14ac:dyDescent="0.35">
      <c r="A248" s="226">
        <f t="shared" si="18"/>
        <v>45991</v>
      </c>
      <c r="B248" s="227">
        <f>YEAR(Daily_KPI[[#This Row],[Date]])+IF(MONTH(Daily_KPI[[#This Row],[Date]])&gt;=4,1,0)</f>
        <v>2026</v>
      </c>
      <c r="C248" s="6">
        <f>YEAR(Daily_KPI[[#This Row],[Date]])</f>
        <v>2025</v>
      </c>
      <c r="D248" s="228">
        <f>Daily_KPI[[#This Row],[Date]]-DAY(Daily_KPI[[#This Row],[Date]])+1</f>
        <v>45962</v>
      </c>
      <c r="E248" s="6">
        <f t="shared" si="20"/>
        <v>30</v>
      </c>
      <c r="F248" s="229" t="str">
        <f>IFERROR(_xlfn.XLOOKUP($A248,'Raw Data'!$A:$A,'Raw Data'!$BR:$BR),"")</f>
        <v/>
      </c>
      <c r="G248" s="230" t="str">
        <f>IFERROR(_xlfn.XLOOKUP($A248,'Raw Data'!$A:$A,'Raw Data'!$AO:$AO),"")</f>
        <v/>
      </c>
      <c r="H248" s="230"/>
      <c r="I248" s="230" t="str">
        <f>IFERROR(_xlfn.XLOOKUP($A248,'Raw Data'!$A:$A,'Raw Data'!$AR:$AR),"")</f>
        <v/>
      </c>
      <c r="J248" s="230"/>
      <c r="K248" s="230" t="str">
        <f>IFERROR(_xlfn.XLOOKUP($A248,'Raw Data'!$A:$A,'Raw Data'!$AV:$AV),"")</f>
        <v/>
      </c>
      <c r="L248" s="230" t="str">
        <f>IFERROR(_xlfn.XLOOKUP($A248,'Raw Data'!$A:$A,'Raw Data'!$AW:$AW),"")</f>
        <v/>
      </c>
      <c r="M248" s="230" t="str">
        <f>IFERROR(_xlfn.XLOOKUP($A248,'Raw Data'!$A:$A,'Raw Data'!$AX:$AX),"")</f>
        <v/>
      </c>
      <c r="N248" s="230" t="str">
        <f>IFERROR(_xlfn.XLOOKUP($A248,'Raw Data'!$A:$A,'Raw Data'!$AY:$AY),"")</f>
        <v/>
      </c>
      <c r="O248" s="231" t="str">
        <f>IFERROR(1-(SUMIF('Plant BD'!$B:$B,A248,'Plant BD'!$AE:$AE)/(AA248+SUMIF('Plant BD'!$B:$B,A248,'Plant BD'!$AE:$AE))),"")</f>
        <v/>
      </c>
      <c r="P248" s="231"/>
      <c r="Q248" s="232"/>
      <c r="R248" s="231" t="str">
        <f>IFERROR(1-(SUMIF('Grid BD'!$B:$B,$A248,'Grid BD'!$AD:$AD)/($AA248+SUMIF('Grid BD'!$B:$B,$A248,'Grid BD'!AD:AD))),"")</f>
        <v/>
      </c>
      <c r="S248" s="6"/>
      <c r="T248" s="232"/>
      <c r="U248" s="233" t="str">
        <f t="shared" si="17"/>
        <v/>
      </c>
      <c r="V248" s="233"/>
      <c r="W248" s="234" t="str">
        <f t="shared" si="19"/>
        <v/>
      </c>
      <c r="X248" s="227" t="str">
        <f>IFERROR(_xlfn.XLOOKUP($A248,'Raw Data'!$A:$A,'Raw Data'!$BA:$BA),"")</f>
        <v/>
      </c>
      <c r="Y248" s="227" t="str">
        <f>IFERROR(_xlfn.XLOOKUP($A248,'Raw Data'!$A:$A,'Raw Data'!BJ:BJ),"")</f>
        <v/>
      </c>
      <c r="Z248" s="227" t="str">
        <f>IFERROR(_xlfn.XLOOKUP($A248,'Raw Data'!$A:$A,'Raw Data'!BK:BK),"")</f>
        <v/>
      </c>
      <c r="AA248" s="227" t="str">
        <f>IFERROR(_xlfn.XLOOKUP($A248,'Raw Data'!$A:$A,'Raw Data'!BL:BL),"")</f>
        <v/>
      </c>
      <c r="AB248" s="227" t="str">
        <f>IFERROR(_xlfn.XLOOKUP($A248,'Raw Data'!$A:$A,'Raw Data'!$H:$H),"")</f>
        <v/>
      </c>
      <c r="AC248" s="145">
        <f>IFERROR(_xlfn.XLOOKUP($D248,'Modelling New'!$D:$D,'Modelling New'!$P:$P),"")</f>
        <v>6.4133333333333331</v>
      </c>
      <c r="AD248" s="227">
        <f>IFERROR(_xlfn.XLOOKUP($D248,'Modelling New'!$D:$D,'Modelling New'!$T:$T)*1000,"")</f>
        <v>110013.10061975369</v>
      </c>
      <c r="AE248" s="234">
        <f>IFERROR(_xlfn.XLOOKUP($D248,'Modelling New'!$D:$D,'Modelling New'!$O:$O),"")</f>
        <v>0.70582805765293155</v>
      </c>
      <c r="AF248" s="234">
        <f>IFERROR(_xlfn.XLOOKUP($D248,'Modelling New'!$D:$D,'Modelling New'!$W:$W),"")</f>
        <v>0.18861294207281115</v>
      </c>
      <c r="AG248" s="234">
        <f>IFERROR(_xlfn.XLOOKUP($D248,'Modelling New'!$D:$D,'Modelling New'!AE:AE),"")</f>
        <v>0.995</v>
      </c>
      <c r="AH248" s="234">
        <v>0.99750000000000005</v>
      </c>
      <c r="AI248" s="6"/>
      <c r="AJ248" s="6"/>
      <c r="AK248" s="6"/>
      <c r="AL248" s="6"/>
      <c r="AM248" s="6"/>
      <c r="AN248" s="231"/>
      <c r="AO248" s="234"/>
      <c r="AP248" s="234"/>
      <c r="AQ248" s="234"/>
      <c r="AR248" s="227">
        <f>IFERROR(_xlfn.XLOOKUP($D248,'Modelling New'!$D:$D,'Modelling New'!$N:$N),"")</f>
        <v>24.303100000000001</v>
      </c>
      <c r="AS248" s="227"/>
    </row>
    <row r="249" spans="1:45" x14ac:dyDescent="0.35">
      <c r="A249" s="226">
        <f t="shared" si="18"/>
        <v>45992</v>
      </c>
      <c r="B249" s="227">
        <f>YEAR(Daily_KPI[[#This Row],[Date]])+IF(MONTH(Daily_KPI[[#This Row],[Date]])&gt;=4,1,0)</f>
        <v>2026</v>
      </c>
      <c r="C249" s="6">
        <f>YEAR(Daily_KPI[[#This Row],[Date]])</f>
        <v>2025</v>
      </c>
      <c r="D249" s="228">
        <f>Daily_KPI[[#This Row],[Date]]-DAY(Daily_KPI[[#This Row],[Date]])+1</f>
        <v>45992</v>
      </c>
      <c r="E249" s="6">
        <f t="shared" si="20"/>
        <v>31</v>
      </c>
      <c r="F249" s="229" t="str">
        <f>IFERROR(_xlfn.XLOOKUP($A249,'Raw Data'!$A:$A,'Raw Data'!$BR:$BR),"")</f>
        <v/>
      </c>
      <c r="G249" s="230" t="str">
        <f>IFERROR(_xlfn.XLOOKUP($A249,'Raw Data'!$A:$A,'Raw Data'!$AO:$AO),"")</f>
        <v/>
      </c>
      <c r="H249" s="230"/>
      <c r="I249" s="230" t="str">
        <f>IFERROR(_xlfn.XLOOKUP($A249,'Raw Data'!$A:$A,'Raw Data'!$AR:$AR),"")</f>
        <v/>
      </c>
      <c r="J249" s="230"/>
      <c r="K249" s="230" t="str">
        <f>IFERROR(_xlfn.XLOOKUP($A249,'Raw Data'!$A:$A,'Raw Data'!$AV:$AV),"")</f>
        <v/>
      </c>
      <c r="L249" s="230" t="str">
        <f>IFERROR(_xlfn.XLOOKUP($A249,'Raw Data'!$A:$A,'Raw Data'!$AW:$AW),"")</f>
        <v/>
      </c>
      <c r="M249" s="230" t="str">
        <f>IFERROR(_xlfn.XLOOKUP($A249,'Raw Data'!$A:$A,'Raw Data'!$AX:$AX),"")</f>
        <v/>
      </c>
      <c r="N249" s="230" t="str">
        <f>IFERROR(_xlfn.XLOOKUP($A249,'Raw Data'!$A:$A,'Raw Data'!$AY:$AY),"")</f>
        <v/>
      </c>
      <c r="O249" s="231" t="str">
        <f>IFERROR(1-(SUMIF('Plant BD'!$B:$B,A249,'Plant BD'!$AE:$AE)/(AA249+SUMIF('Plant BD'!$B:$B,A249,'Plant BD'!$AE:$AE))),"")</f>
        <v/>
      </c>
      <c r="P249" s="231"/>
      <c r="Q249" s="232"/>
      <c r="R249" s="231" t="str">
        <f>IFERROR(1-(SUMIF('Grid BD'!$B:$B,$A249,'Grid BD'!$AD:$AD)/($AA249+SUMIF('Grid BD'!$B:$B,$A249,'Grid BD'!AD:AD))),"")</f>
        <v/>
      </c>
      <c r="S249" s="6"/>
      <c r="T249" s="232"/>
      <c r="U249" s="233" t="str">
        <f t="shared" si="17"/>
        <v/>
      </c>
      <c r="V249" s="233"/>
      <c r="W249" s="234" t="str">
        <f t="shared" si="19"/>
        <v/>
      </c>
      <c r="X249" s="227" t="str">
        <f>IFERROR(_xlfn.XLOOKUP($A249,'Raw Data'!$A:$A,'Raw Data'!$BA:$BA),"")</f>
        <v/>
      </c>
      <c r="Y249" s="227" t="str">
        <f>IFERROR(_xlfn.XLOOKUP($A249,'Raw Data'!$A:$A,'Raw Data'!BJ:BJ),"")</f>
        <v/>
      </c>
      <c r="Z249" s="227" t="str">
        <f>IFERROR(_xlfn.XLOOKUP($A249,'Raw Data'!$A:$A,'Raw Data'!BK:BK),"")</f>
        <v/>
      </c>
      <c r="AA249" s="227" t="str">
        <f>IFERROR(_xlfn.XLOOKUP($A249,'Raw Data'!$A:$A,'Raw Data'!BL:BL),"")</f>
        <v/>
      </c>
      <c r="AB249" s="227" t="str">
        <f>IFERROR(_xlfn.XLOOKUP($A249,'Raw Data'!$A:$A,'Raw Data'!$H:$H),"")</f>
        <v/>
      </c>
      <c r="AC249" s="145">
        <f>IFERROR(_xlfn.XLOOKUP($D249,'Modelling New'!$D:$D,'Modelling New'!$P:$P),"")</f>
        <v>6.4806451612903224</v>
      </c>
      <c r="AD249" s="227">
        <f>IFERROR(_xlfn.XLOOKUP($D249,'Modelling New'!$D:$D,'Modelling New'!$T:$T)*1000,"")</f>
        <v>111806.4041783969</v>
      </c>
      <c r="AE249" s="234">
        <f>IFERROR(_xlfn.XLOOKUP($D249,'Modelling New'!$D:$D,'Modelling New'!$O:$O),"")</f>
        <v>0.709882979577386</v>
      </c>
      <c r="AF249" s="234">
        <f>IFERROR(_xlfn.XLOOKUP($D249,'Modelling New'!$D:$D,'Modelling New'!$W:$W),"")</f>
        <v>0.19168748736168928</v>
      </c>
      <c r="AG249" s="234">
        <f>IFERROR(_xlfn.XLOOKUP($D249,'Modelling New'!$D:$D,'Modelling New'!AE:AE),"")</f>
        <v>0.995</v>
      </c>
      <c r="AH249" s="234">
        <v>0.99750000000000005</v>
      </c>
      <c r="AI249" s="6"/>
      <c r="AJ249" s="6"/>
      <c r="AK249" s="6"/>
      <c r="AL249" s="6"/>
      <c r="AM249" s="6"/>
      <c r="AN249" s="231"/>
      <c r="AO249" s="234"/>
      <c r="AP249" s="234"/>
      <c r="AQ249" s="234"/>
      <c r="AR249" s="227">
        <f>IFERROR(_xlfn.XLOOKUP($D249,'Modelling New'!$D:$D,'Modelling New'!$N:$N),"")</f>
        <v>24.303100000000001</v>
      </c>
      <c r="AS249" s="227"/>
    </row>
    <row r="250" spans="1:45" x14ac:dyDescent="0.35">
      <c r="A250" s="226">
        <f t="shared" si="18"/>
        <v>45993</v>
      </c>
      <c r="B250" s="227">
        <f>YEAR(Daily_KPI[[#This Row],[Date]])+IF(MONTH(Daily_KPI[[#This Row],[Date]])&gt;=4,1,0)</f>
        <v>2026</v>
      </c>
      <c r="C250" s="6">
        <f>YEAR(Daily_KPI[[#This Row],[Date]])</f>
        <v>2025</v>
      </c>
      <c r="D250" s="228">
        <f>Daily_KPI[[#This Row],[Date]]-DAY(Daily_KPI[[#This Row],[Date]])+1</f>
        <v>45992</v>
      </c>
      <c r="E250" s="6">
        <f t="shared" si="20"/>
        <v>31</v>
      </c>
      <c r="F250" s="229" t="str">
        <f>IFERROR(_xlfn.XLOOKUP($A250,'Raw Data'!$A:$A,'Raw Data'!$BR:$BR),"")</f>
        <v/>
      </c>
      <c r="G250" s="230" t="str">
        <f>IFERROR(_xlfn.XLOOKUP($A250,'Raw Data'!$A:$A,'Raw Data'!$AO:$AO),"")</f>
        <v/>
      </c>
      <c r="H250" s="230"/>
      <c r="I250" s="230" t="str">
        <f>IFERROR(_xlfn.XLOOKUP($A250,'Raw Data'!$A:$A,'Raw Data'!$AR:$AR),"")</f>
        <v/>
      </c>
      <c r="J250" s="230"/>
      <c r="K250" s="230" t="str">
        <f>IFERROR(_xlfn.XLOOKUP($A250,'Raw Data'!$A:$A,'Raw Data'!$AV:$AV),"")</f>
        <v/>
      </c>
      <c r="L250" s="230" t="str">
        <f>IFERROR(_xlfn.XLOOKUP($A250,'Raw Data'!$A:$A,'Raw Data'!$AW:$AW),"")</f>
        <v/>
      </c>
      <c r="M250" s="230" t="str">
        <f>IFERROR(_xlfn.XLOOKUP($A250,'Raw Data'!$A:$A,'Raw Data'!$AX:$AX),"")</f>
        <v/>
      </c>
      <c r="N250" s="230" t="str">
        <f>IFERROR(_xlfn.XLOOKUP($A250,'Raw Data'!$A:$A,'Raw Data'!$AY:$AY),"")</f>
        <v/>
      </c>
      <c r="O250" s="231" t="str">
        <f>IFERROR(1-(SUMIF('Plant BD'!$B:$B,A250,'Plant BD'!$AE:$AE)/(AA250+SUMIF('Plant BD'!$B:$B,A250,'Plant BD'!$AE:$AE))),"")</f>
        <v/>
      </c>
      <c r="P250" s="231"/>
      <c r="Q250" s="232"/>
      <c r="R250" s="231" t="str">
        <f>IFERROR(1-(SUMIF('Grid BD'!$B:$B,$A250,'Grid BD'!$AD:$AD)/($AA250+SUMIF('Grid BD'!$B:$B,$A250,'Grid BD'!AD:AD))),"")</f>
        <v/>
      </c>
      <c r="S250" s="6"/>
      <c r="T250" s="232"/>
      <c r="U250" s="233" t="str">
        <f t="shared" si="17"/>
        <v/>
      </c>
      <c r="V250" s="233"/>
      <c r="W250" s="234" t="str">
        <f t="shared" si="19"/>
        <v/>
      </c>
      <c r="X250" s="227" t="str">
        <f>IFERROR(_xlfn.XLOOKUP($A250,'Raw Data'!$A:$A,'Raw Data'!$BA:$BA),"")</f>
        <v/>
      </c>
      <c r="Y250" s="227" t="str">
        <f>IFERROR(_xlfn.XLOOKUP($A250,'Raw Data'!$A:$A,'Raw Data'!BJ:BJ),"")</f>
        <v/>
      </c>
      <c r="Z250" s="227" t="str">
        <f>IFERROR(_xlfn.XLOOKUP($A250,'Raw Data'!$A:$A,'Raw Data'!BK:BK),"")</f>
        <v/>
      </c>
      <c r="AA250" s="227" t="str">
        <f>IFERROR(_xlfn.XLOOKUP($A250,'Raw Data'!$A:$A,'Raw Data'!BL:BL),"")</f>
        <v/>
      </c>
      <c r="AB250" s="227" t="str">
        <f>IFERROR(_xlfn.XLOOKUP($A250,'Raw Data'!$A:$A,'Raw Data'!$H:$H),"")</f>
        <v/>
      </c>
      <c r="AC250" s="145">
        <f>IFERROR(_xlfn.XLOOKUP($D250,'Modelling New'!$D:$D,'Modelling New'!$P:$P),"")</f>
        <v>6.4806451612903224</v>
      </c>
      <c r="AD250" s="227">
        <f>IFERROR(_xlfn.XLOOKUP($D250,'Modelling New'!$D:$D,'Modelling New'!$T:$T)*1000,"")</f>
        <v>111806.4041783969</v>
      </c>
      <c r="AE250" s="234">
        <f>IFERROR(_xlfn.XLOOKUP($D250,'Modelling New'!$D:$D,'Modelling New'!$O:$O),"")</f>
        <v>0.709882979577386</v>
      </c>
      <c r="AF250" s="234">
        <f>IFERROR(_xlfn.XLOOKUP($D250,'Modelling New'!$D:$D,'Modelling New'!$W:$W),"")</f>
        <v>0.19168748736168928</v>
      </c>
      <c r="AG250" s="234">
        <f>IFERROR(_xlfn.XLOOKUP($D250,'Modelling New'!$D:$D,'Modelling New'!AE:AE),"")</f>
        <v>0.995</v>
      </c>
      <c r="AH250" s="234">
        <v>0.99750000000000005</v>
      </c>
      <c r="AI250" s="6"/>
      <c r="AJ250" s="6"/>
      <c r="AK250" s="6"/>
      <c r="AL250" s="6"/>
      <c r="AM250" s="6"/>
      <c r="AN250" s="231"/>
      <c r="AO250" s="234"/>
      <c r="AP250" s="234"/>
      <c r="AQ250" s="234"/>
      <c r="AR250" s="227">
        <f>IFERROR(_xlfn.XLOOKUP($D250,'Modelling New'!$D:$D,'Modelling New'!$N:$N),"")</f>
        <v>24.303100000000001</v>
      </c>
      <c r="AS250" s="227"/>
    </row>
    <row r="251" spans="1:45" x14ac:dyDescent="0.35">
      <c r="A251" s="226">
        <f t="shared" si="18"/>
        <v>45994</v>
      </c>
      <c r="B251" s="227">
        <f>YEAR(Daily_KPI[[#This Row],[Date]])+IF(MONTH(Daily_KPI[[#This Row],[Date]])&gt;=4,1,0)</f>
        <v>2026</v>
      </c>
      <c r="C251" s="6">
        <f>YEAR(Daily_KPI[[#This Row],[Date]])</f>
        <v>2025</v>
      </c>
      <c r="D251" s="228">
        <f>Daily_KPI[[#This Row],[Date]]-DAY(Daily_KPI[[#This Row],[Date]])+1</f>
        <v>45992</v>
      </c>
      <c r="E251" s="6">
        <f t="shared" si="20"/>
        <v>31</v>
      </c>
      <c r="F251" s="229" t="str">
        <f>IFERROR(_xlfn.XLOOKUP($A251,'Raw Data'!$A:$A,'Raw Data'!$BR:$BR),"")</f>
        <v/>
      </c>
      <c r="G251" s="230" t="str">
        <f>IFERROR(_xlfn.XLOOKUP($A251,'Raw Data'!$A:$A,'Raw Data'!$AO:$AO),"")</f>
        <v/>
      </c>
      <c r="H251" s="230"/>
      <c r="I251" s="230" t="str">
        <f>IFERROR(_xlfn.XLOOKUP($A251,'Raw Data'!$A:$A,'Raw Data'!$AR:$AR),"")</f>
        <v/>
      </c>
      <c r="J251" s="230"/>
      <c r="K251" s="230" t="str">
        <f>IFERROR(_xlfn.XLOOKUP($A251,'Raw Data'!$A:$A,'Raw Data'!$AV:$AV),"")</f>
        <v/>
      </c>
      <c r="L251" s="230" t="str">
        <f>IFERROR(_xlfn.XLOOKUP($A251,'Raw Data'!$A:$A,'Raw Data'!$AW:$AW),"")</f>
        <v/>
      </c>
      <c r="M251" s="230" t="str">
        <f>IFERROR(_xlfn.XLOOKUP($A251,'Raw Data'!$A:$A,'Raw Data'!$AX:$AX),"")</f>
        <v/>
      </c>
      <c r="N251" s="230" t="str">
        <f>IFERROR(_xlfn.XLOOKUP($A251,'Raw Data'!$A:$A,'Raw Data'!$AY:$AY),"")</f>
        <v/>
      </c>
      <c r="O251" s="231" t="str">
        <f>IFERROR(1-(SUMIF('Plant BD'!$B:$B,A251,'Plant BD'!$AE:$AE)/(AA251+SUMIF('Plant BD'!$B:$B,A251,'Plant BD'!$AE:$AE))),"")</f>
        <v/>
      </c>
      <c r="P251" s="231"/>
      <c r="Q251" s="232"/>
      <c r="R251" s="231" t="str">
        <f>IFERROR(1-(SUMIF('Grid BD'!$B:$B,$A251,'Grid BD'!$AD:$AD)/($AA251+SUMIF('Grid BD'!$B:$B,$A251,'Grid BD'!AD:AD))),"")</f>
        <v/>
      </c>
      <c r="S251" s="6"/>
      <c r="T251" s="232"/>
      <c r="U251" s="233" t="str">
        <f t="shared" si="17"/>
        <v/>
      </c>
      <c r="V251" s="233"/>
      <c r="W251" s="234" t="str">
        <f t="shared" si="19"/>
        <v/>
      </c>
      <c r="X251" s="227" t="str">
        <f>IFERROR(_xlfn.XLOOKUP($A251,'Raw Data'!$A:$A,'Raw Data'!$BA:$BA),"")</f>
        <v/>
      </c>
      <c r="Y251" s="227" t="str">
        <f>IFERROR(_xlfn.XLOOKUP($A251,'Raw Data'!$A:$A,'Raw Data'!BJ:BJ),"")</f>
        <v/>
      </c>
      <c r="Z251" s="227" t="str">
        <f>IFERROR(_xlfn.XLOOKUP($A251,'Raw Data'!$A:$A,'Raw Data'!BK:BK),"")</f>
        <v/>
      </c>
      <c r="AA251" s="227" t="str">
        <f>IFERROR(_xlfn.XLOOKUP($A251,'Raw Data'!$A:$A,'Raw Data'!BL:BL),"")</f>
        <v/>
      </c>
      <c r="AB251" s="227" t="str">
        <f>IFERROR(_xlfn.XLOOKUP($A251,'Raw Data'!$A:$A,'Raw Data'!$H:$H),"")</f>
        <v/>
      </c>
      <c r="AC251" s="145">
        <f>IFERROR(_xlfn.XLOOKUP($D251,'Modelling New'!$D:$D,'Modelling New'!$P:$P),"")</f>
        <v>6.4806451612903224</v>
      </c>
      <c r="AD251" s="227">
        <f>IFERROR(_xlfn.XLOOKUP($D251,'Modelling New'!$D:$D,'Modelling New'!$T:$T)*1000,"")</f>
        <v>111806.4041783969</v>
      </c>
      <c r="AE251" s="234">
        <f>IFERROR(_xlfn.XLOOKUP($D251,'Modelling New'!$D:$D,'Modelling New'!$O:$O),"")</f>
        <v>0.709882979577386</v>
      </c>
      <c r="AF251" s="234">
        <f>IFERROR(_xlfn.XLOOKUP($D251,'Modelling New'!$D:$D,'Modelling New'!$W:$W),"")</f>
        <v>0.19168748736168928</v>
      </c>
      <c r="AG251" s="234">
        <f>IFERROR(_xlfn.XLOOKUP($D251,'Modelling New'!$D:$D,'Modelling New'!AE:AE),"")</f>
        <v>0.995</v>
      </c>
      <c r="AH251" s="234">
        <v>0.99750000000000005</v>
      </c>
      <c r="AI251" s="6"/>
      <c r="AJ251" s="6"/>
      <c r="AK251" s="6"/>
      <c r="AL251" s="6"/>
      <c r="AM251" s="6"/>
      <c r="AN251" s="231"/>
      <c r="AO251" s="234"/>
      <c r="AP251" s="234"/>
      <c r="AQ251" s="234"/>
      <c r="AR251" s="227">
        <f>IFERROR(_xlfn.XLOOKUP($D251,'Modelling New'!$D:$D,'Modelling New'!$N:$N),"")</f>
        <v>24.303100000000001</v>
      </c>
      <c r="AS251" s="227"/>
    </row>
    <row r="252" spans="1:45" x14ac:dyDescent="0.35">
      <c r="A252" s="226">
        <f t="shared" si="18"/>
        <v>45995</v>
      </c>
      <c r="B252" s="227">
        <f>YEAR(Daily_KPI[[#This Row],[Date]])+IF(MONTH(Daily_KPI[[#This Row],[Date]])&gt;=4,1,0)</f>
        <v>2026</v>
      </c>
      <c r="C252" s="6">
        <f>YEAR(Daily_KPI[[#This Row],[Date]])</f>
        <v>2025</v>
      </c>
      <c r="D252" s="228">
        <f>Daily_KPI[[#This Row],[Date]]-DAY(Daily_KPI[[#This Row],[Date]])+1</f>
        <v>45992</v>
      </c>
      <c r="E252" s="6">
        <f t="shared" si="20"/>
        <v>31</v>
      </c>
      <c r="F252" s="229" t="str">
        <f>IFERROR(_xlfn.XLOOKUP($A252,'Raw Data'!$A:$A,'Raw Data'!$BR:$BR),"")</f>
        <v/>
      </c>
      <c r="G252" s="230" t="str">
        <f>IFERROR(_xlfn.XLOOKUP($A252,'Raw Data'!$A:$A,'Raw Data'!$AO:$AO),"")</f>
        <v/>
      </c>
      <c r="H252" s="230"/>
      <c r="I252" s="230" t="str">
        <f>IFERROR(_xlfn.XLOOKUP($A252,'Raw Data'!$A:$A,'Raw Data'!$AR:$AR),"")</f>
        <v/>
      </c>
      <c r="J252" s="230"/>
      <c r="K252" s="230" t="str">
        <f>IFERROR(_xlfn.XLOOKUP($A252,'Raw Data'!$A:$A,'Raw Data'!$AV:$AV),"")</f>
        <v/>
      </c>
      <c r="L252" s="230" t="str">
        <f>IFERROR(_xlfn.XLOOKUP($A252,'Raw Data'!$A:$A,'Raw Data'!$AW:$AW),"")</f>
        <v/>
      </c>
      <c r="M252" s="230" t="str">
        <f>IFERROR(_xlfn.XLOOKUP($A252,'Raw Data'!$A:$A,'Raw Data'!$AX:$AX),"")</f>
        <v/>
      </c>
      <c r="N252" s="230" t="str">
        <f>IFERROR(_xlfn.XLOOKUP($A252,'Raw Data'!$A:$A,'Raw Data'!$AY:$AY),"")</f>
        <v/>
      </c>
      <c r="O252" s="231" t="str">
        <f>IFERROR(1-(SUMIF('Plant BD'!$B:$B,A252,'Plant BD'!$AE:$AE)/(AA252+SUMIF('Plant BD'!$B:$B,A252,'Plant BD'!$AE:$AE))),"")</f>
        <v/>
      </c>
      <c r="P252" s="231"/>
      <c r="Q252" s="232"/>
      <c r="R252" s="231" t="str">
        <f>IFERROR(1-(SUMIF('Grid BD'!$B:$B,$A252,'Grid BD'!$AD:$AD)/($AA252+SUMIF('Grid BD'!$B:$B,$A252,'Grid BD'!AD:AD))),"")</f>
        <v/>
      </c>
      <c r="S252" s="6"/>
      <c r="T252" s="232"/>
      <c r="U252" s="233" t="str">
        <f t="shared" si="17"/>
        <v/>
      </c>
      <c r="V252" s="233"/>
      <c r="W252" s="234" t="str">
        <f t="shared" si="19"/>
        <v/>
      </c>
      <c r="X252" s="227" t="str">
        <f>IFERROR(_xlfn.XLOOKUP($A252,'Raw Data'!$A:$A,'Raw Data'!$BA:$BA),"")</f>
        <v/>
      </c>
      <c r="Y252" s="227" t="str">
        <f>IFERROR(_xlfn.XLOOKUP($A252,'Raw Data'!$A:$A,'Raw Data'!BJ:BJ),"")</f>
        <v/>
      </c>
      <c r="Z252" s="227" t="str">
        <f>IFERROR(_xlfn.XLOOKUP($A252,'Raw Data'!$A:$A,'Raw Data'!BK:BK),"")</f>
        <v/>
      </c>
      <c r="AA252" s="227" t="str">
        <f>IFERROR(_xlfn.XLOOKUP($A252,'Raw Data'!$A:$A,'Raw Data'!BL:BL),"")</f>
        <v/>
      </c>
      <c r="AB252" s="227" t="str">
        <f>IFERROR(_xlfn.XLOOKUP($A252,'Raw Data'!$A:$A,'Raw Data'!$H:$H),"")</f>
        <v/>
      </c>
      <c r="AC252" s="145">
        <f>IFERROR(_xlfn.XLOOKUP($D252,'Modelling New'!$D:$D,'Modelling New'!$P:$P),"")</f>
        <v>6.4806451612903224</v>
      </c>
      <c r="AD252" s="227">
        <f>IFERROR(_xlfn.XLOOKUP($D252,'Modelling New'!$D:$D,'Modelling New'!$T:$T)*1000,"")</f>
        <v>111806.4041783969</v>
      </c>
      <c r="AE252" s="234">
        <f>IFERROR(_xlfn.XLOOKUP($D252,'Modelling New'!$D:$D,'Modelling New'!$O:$O),"")</f>
        <v>0.709882979577386</v>
      </c>
      <c r="AF252" s="234">
        <f>IFERROR(_xlfn.XLOOKUP($D252,'Modelling New'!$D:$D,'Modelling New'!$W:$W),"")</f>
        <v>0.19168748736168928</v>
      </c>
      <c r="AG252" s="234">
        <f>IFERROR(_xlfn.XLOOKUP($D252,'Modelling New'!$D:$D,'Modelling New'!AE:AE),"")</f>
        <v>0.995</v>
      </c>
      <c r="AH252" s="234">
        <v>0.99750000000000005</v>
      </c>
      <c r="AI252" s="6"/>
      <c r="AJ252" s="6"/>
      <c r="AK252" s="6"/>
      <c r="AL252" s="6"/>
      <c r="AM252" s="6"/>
      <c r="AN252" s="231"/>
      <c r="AO252" s="234"/>
      <c r="AP252" s="234"/>
      <c r="AQ252" s="234"/>
      <c r="AR252" s="227">
        <f>IFERROR(_xlfn.XLOOKUP($D252,'Modelling New'!$D:$D,'Modelling New'!$N:$N),"")</f>
        <v>24.303100000000001</v>
      </c>
      <c r="AS252" s="227"/>
    </row>
    <row r="253" spans="1:45" x14ac:dyDescent="0.35">
      <c r="A253" s="226">
        <f t="shared" si="18"/>
        <v>45996</v>
      </c>
      <c r="B253" s="227">
        <f>YEAR(Daily_KPI[[#This Row],[Date]])+IF(MONTH(Daily_KPI[[#This Row],[Date]])&gt;=4,1,0)</f>
        <v>2026</v>
      </c>
      <c r="C253" s="6">
        <f>YEAR(Daily_KPI[[#This Row],[Date]])</f>
        <v>2025</v>
      </c>
      <c r="D253" s="228">
        <f>Daily_KPI[[#This Row],[Date]]-DAY(Daily_KPI[[#This Row],[Date]])+1</f>
        <v>45992</v>
      </c>
      <c r="E253" s="6">
        <f t="shared" si="20"/>
        <v>31</v>
      </c>
      <c r="F253" s="229" t="str">
        <f>IFERROR(_xlfn.XLOOKUP($A253,'Raw Data'!$A:$A,'Raw Data'!$BR:$BR),"")</f>
        <v/>
      </c>
      <c r="G253" s="230" t="str">
        <f>IFERROR(_xlfn.XLOOKUP($A253,'Raw Data'!$A:$A,'Raw Data'!$AO:$AO),"")</f>
        <v/>
      </c>
      <c r="H253" s="230"/>
      <c r="I253" s="230" t="str">
        <f>IFERROR(_xlfn.XLOOKUP($A253,'Raw Data'!$A:$A,'Raw Data'!$AR:$AR),"")</f>
        <v/>
      </c>
      <c r="J253" s="230"/>
      <c r="K253" s="230" t="str">
        <f>IFERROR(_xlfn.XLOOKUP($A253,'Raw Data'!$A:$A,'Raw Data'!$AV:$AV),"")</f>
        <v/>
      </c>
      <c r="L253" s="230" t="str">
        <f>IFERROR(_xlfn.XLOOKUP($A253,'Raw Data'!$A:$A,'Raw Data'!$AW:$AW),"")</f>
        <v/>
      </c>
      <c r="M253" s="230" t="str">
        <f>IFERROR(_xlfn.XLOOKUP($A253,'Raw Data'!$A:$A,'Raw Data'!$AX:$AX),"")</f>
        <v/>
      </c>
      <c r="N253" s="230" t="str">
        <f>IFERROR(_xlfn.XLOOKUP($A253,'Raw Data'!$A:$A,'Raw Data'!$AY:$AY),"")</f>
        <v/>
      </c>
      <c r="O253" s="231" t="str">
        <f>IFERROR(1-(SUMIF('Plant BD'!$B:$B,A253,'Plant BD'!$AE:$AE)/(AA253+SUMIF('Plant BD'!$B:$B,A253,'Plant BD'!$AE:$AE))),"")</f>
        <v/>
      </c>
      <c r="P253" s="231"/>
      <c r="Q253" s="232"/>
      <c r="R253" s="231" t="str">
        <f>IFERROR(1-(SUMIF('Grid BD'!$B:$B,$A253,'Grid BD'!$AD:$AD)/($AA253+SUMIF('Grid BD'!$B:$B,$A253,'Grid BD'!AD:AD))),"")</f>
        <v/>
      </c>
      <c r="S253" s="6"/>
      <c r="T253" s="232"/>
      <c r="U253" s="233" t="str">
        <f t="shared" si="17"/>
        <v/>
      </c>
      <c r="V253" s="233"/>
      <c r="W253" s="234" t="str">
        <f t="shared" si="19"/>
        <v/>
      </c>
      <c r="X253" s="227" t="str">
        <f>IFERROR(_xlfn.XLOOKUP($A253,'Raw Data'!$A:$A,'Raw Data'!$BA:$BA),"")</f>
        <v/>
      </c>
      <c r="Y253" s="227" t="str">
        <f>IFERROR(_xlfn.XLOOKUP($A253,'Raw Data'!$A:$A,'Raw Data'!BJ:BJ),"")</f>
        <v/>
      </c>
      <c r="Z253" s="227" t="str">
        <f>IFERROR(_xlfn.XLOOKUP($A253,'Raw Data'!$A:$A,'Raw Data'!BK:BK),"")</f>
        <v/>
      </c>
      <c r="AA253" s="227" t="str">
        <f>IFERROR(_xlfn.XLOOKUP($A253,'Raw Data'!$A:$A,'Raw Data'!BL:BL),"")</f>
        <v/>
      </c>
      <c r="AB253" s="227" t="str">
        <f>IFERROR(_xlfn.XLOOKUP($A253,'Raw Data'!$A:$A,'Raw Data'!$H:$H),"")</f>
        <v/>
      </c>
      <c r="AC253" s="145">
        <f>IFERROR(_xlfn.XLOOKUP($D253,'Modelling New'!$D:$D,'Modelling New'!$P:$P),"")</f>
        <v>6.4806451612903224</v>
      </c>
      <c r="AD253" s="227">
        <f>IFERROR(_xlfn.XLOOKUP($D253,'Modelling New'!$D:$D,'Modelling New'!$T:$T)*1000,"")</f>
        <v>111806.4041783969</v>
      </c>
      <c r="AE253" s="234">
        <f>IFERROR(_xlfn.XLOOKUP($D253,'Modelling New'!$D:$D,'Modelling New'!$O:$O),"")</f>
        <v>0.709882979577386</v>
      </c>
      <c r="AF253" s="234">
        <f>IFERROR(_xlfn.XLOOKUP($D253,'Modelling New'!$D:$D,'Modelling New'!$W:$W),"")</f>
        <v>0.19168748736168928</v>
      </c>
      <c r="AG253" s="234">
        <f>IFERROR(_xlfn.XLOOKUP($D253,'Modelling New'!$D:$D,'Modelling New'!AE:AE),"")</f>
        <v>0.995</v>
      </c>
      <c r="AH253" s="234">
        <v>0.99750000000000005</v>
      </c>
      <c r="AI253" s="6"/>
      <c r="AJ253" s="6"/>
      <c r="AK253" s="6"/>
      <c r="AL253" s="6"/>
      <c r="AM253" s="6"/>
      <c r="AN253" s="231"/>
      <c r="AO253" s="234"/>
      <c r="AP253" s="234"/>
      <c r="AQ253" s="234"/>
      <c r="AR253" s="227">
        <f>IFERROR(_xlfn.XLOOKUP($D253,'Modelling New'!$D:$D,'Modelling New'!$N:$N),"")</f>
        <v>24.303100000000001</v>
      </c>
      <c r="AS253" s="227"/>
    </row>
    <row r="254" spans="1:45" x14ac:dyDescent="0.35">
      <c r="A254" s="226">
        <f t="shared" si="18"/>
        <v>45997</v>
      </c>
      <c r="B254" s="227">
        <f>YEAR(Daily_KPI[[#This Row],[Date]])+IF(MONTH(Daily_KPI[[#This Row],[Date]])&gt;=4,1,0)</f>
        <v>2026</v>
      </c>
      <c r="C254" s="6">
        <f>YEAR(Daily_KPI[[#This Row],[Date]])</f>
        <v>2025</v>
      </c>
      <c r="D254" s="228">
        <f>Daily_KPI[[#This Row],[Date]]-DAY(Daily_KPI[[#This Row],[Date]])+1</f>
        <v>45992</v>
      </c>
      <c r="E254" s="6">
        <f t="shared" si="20"/>
        <v>31</v>
      </c>
      <c r="F254" s="229" t="str">
        <f>IFERROR(_xlfn.XLOOKUP($A254,'Raw Data'!$A:$A,'Raw Data'!$BR:$BR),"")</f>
        <v/>
      </c>
      <c r="G254" s="230" t="str">
        <f>IFERROR(_xlfn.XLOOKUP($A254,'Raw Data'!$A:$A,'Raw Data'!$AO:$AO),"")</f>
        <v/>
      </c>
      <c r="H254" s="230"/>
      <c r="I254" s="230" t="str">
        <f>IFERROR(_xlfn.XLOOKUP($A254,'Raw Data'!$A:$A,'Raw Data'!$AR:$AR),"")</f>
        <v/>
      </c>
      <c r="J254" s="230"/>
      <c r="K254" s="230" t="str">
        <f>IFERROR(_xlfn.XLOOKUP($A254,'Raw Data'!$A:$A,'Raw Data'!$AV:$AV),"")</f>
        <v/>
      </c>
      <c r="L254" s="230" t="str">
        <f>IFERROR(_xlfn.XLOOKUP($A254,'Raw Data'!$A:$A,'Raw Data'!$AW:$AW),"")</f>
        <v/>
      </c>
      <c r="M254" s="230" t="str">
        <f>IFERROR(_xlfn.XLOOKUP($A254,'Raw Data'!$A:$A,'Raw Data'!$AX:$AX),"")</f>
        <v/>
      </c>
      <c r="N254" s="230" t="str">
        <f>IFERROR(_xlfn.XLOOKUP($A254,'Raw Data'!$A:$A,'Raw Data'!$AY:$AY),"")</f>
        <v/>
      </c>
      <c r="O254" s="231" t="str">
        <f>IFERROR(1-(SUMIF('Plant BD'!$B:$B,A254,'Plant BD'!$AE:$AE)/(AA254+SUMIF('Plant BD'!$B:$B,A254,'Plant BD'!$AE:$AE))),"")</f>
        <v/>
      </c>
      <c r="P254" s="231"/>
      <c r="Q254" s="232"/>
      <c r="R254" s="231" t="str">
        <f>IFERROR(1-(SUMIF('Grid BD'!$B:$B,$A254,'Grid BD'!$AD:$AD)/($AA254+SUMIF('Grid BD'!$B:$B,$A254,'Grid BD'!AD:AD))),"")</f>
        <v/>
      </c>
      <c r="S254" s="6"/>
      <c r="T254" s="232"/>
      <c r="U254" s="233" t="str">
        <f t="shared" si="17"/>
        <v/>
      </c>
      <c r="V254" s="233"/>
      <c r="W254" s="234" t="str">
        <f t="shared" si="19"/>
        <v/>
      </c>
      <c r="X254" s="227" t="str">
        <f>IFERROR(_xlfn.XLOOKUP($A254,'Raw Data'!$A:$A,'Raw Data'!$BA:$BA),"")</f>
        <v/>
      </c>
      <c r="Y254" s="227" t="str">
        <f>IFERROR(_xlfn.XLOOKUP($A254,'Raw Data'!$A:$A,'Raw Data'!BJ:BJ),"")</f>
        <v/>
      </c>
      <c r="Z254" s="227" t="str">
        <f>IFERROR(_xlfn.XLOOKUP($A254,'Raw Data'!$A:$A,'Raw Data'!BK:BK),"")</f>
        <v/>
      </c>
      <c r="AA254" s="227" t="str">
        <f>IFERROR(_xlfn.XLOOKUP($A254,'Raw Data'!$A:$A,'Raw Data'!BL:BL),"")</f>
        <v/>
      </c>
      <c r="AB254" s="227" t="str">
        <f>IFERROR(_xlfn.XLOOKUP($A254,'Raw Data'!$A:$A,'Raw Data'!$H:$H),"")</f>
        <v/>
      </c>
      <c r="AC254" s="145">
        <f>IFERROR(_xlfn.XLOOKUP($D254,'Modelling New'!$D:$D,'Modelling New'!$P:$P),"")</f>
        <v>6.4806451612903224</v>
      </c>
      <c r="AD254" s="227">
        <f>IFERROR(_xlfn.XLOOKUP($D254,'Modelling New'!$D:$D,'Modelling New'!$T:$T)*1000,"")</f>
        <v>111806.4041783969</v>
      </c>
      <c r="AE254" s="234">
        <f>IFERROR(_xlfn.XLOOKUP($D254,'Modelling New'!$D:$D,'Modelling New'!$O:$O),"")</f>
        <v>0.709882979577386</v>
      </c>
      <c r="AF254" s="234">
        <f>IFERROR(_xlfn.XLOOKUP($D254,'Modelling New'!$D:$D,'Modelling New'!$W:$W),"")</f>
        <v>0.19168748736168928</v>
      </c>
      <c r="AG254" s="234">
        <f>IFERROR(_xlfn.XLOOKUP($D254,'Modelling New'!$D:$D,'Modelling New'!AE:AE),"")</f>
        <v>0.995</v>
      </c>
      <c r="AH254" s="234">
        <v>0.99750000000000005</v>
      </c>
      <c r="AI254" s="6"/>
      <c r="AJ254" s="6"/>
      <c r="AK254" s="6"/>
      <c r="AL254" s="6"/>
      <c r="AM254" s="6"/>
      <c r="AN254" s="231"/>
      <c r="AO254" s="234"/>
      <c r="AP254" s="234"/>
      <c r="AQ254" s="234"/>
      <c r="AR254" s="227">
        <f>IFERROR(_xlfn.XLOOKUP($D254,'Modelling New'!$D:$D,'Modelling New'!$N:$N),"")</f>
        <v>24.303100000000001</v>
      </c>
      <c r="AS254" s="227"/>
    </row>
    <row r="255" spans="1:45" x14ac:dyDescent="0.35">
      <c r="A255" s="226">
        <f t="shared" si="18"/>
        <v>45998</v>
      </c>
      <c r="B255" s="227">
        <f>YEAR(Daily_KPI[[#This Row],[Date]])+IF(MONTH(Daily_KPI[[#This Row],[Date]])&gt;=4,1,0)</f>
        <v>2026</v>
      </c>
      <c r="C255" s="6">
        <f>YEAR(Daily_KPI[[#This Row],[Date]])</f>
        <v>2025</v>
      </c>
      <c r="D255" s="228">
        <f>Daily_KPI[[#This Row],[Date]]-DAY(Daily_KPI[[#This Row],[Date]])+1</f>
        <v>45992</v>
      </c>
      <c r="E255" s="6">
        <f t="shared" si="20"/>
        <v>31</v>
      </c>
      <c r="F255" s="229" t="str">
        <f>IFERROR(_xlfn.XLOOKUP($A255,'Raw Data'!$A:$A,'Raw Data'!$BR:$BR),"")</f>
        <v/>
      </c>
      <c r="G255" s="230" t="str">
        <f>IFERROR(_xlfn.XLOOKUP($A255,'Raw Data'!$A:$A,'Raw Data'!$AO:$AO),"")</f>
        <v/>
      </c>
      <c r="H255" s="230"/>
      <c r="I255" s="230" t="str">
        <f>IFERROR(_xlfn.XLOOKUP($A255,'Raw Data'!$A:$A,'Raw Data'!$AR:$AR),"")</f>
        <v/>
      </c>
      <c r="J255" s="230"/>
      <c r="K255" s="230" t="str">
        <f>IFERROR(_xlfn.XLOOKUP($A255,'Raw Data'!$A:$A,'Raw Data'!$AV:$AV),"")</f>
        <v/>
      </c>
      <c r="L255" s="230" t="str">
        <f>IFERROR(_xlfn.XLOOKUP($A255,'Raw Data'!$A:$A,'Raw Data'!$AW:$AW),"")</f>
        <v/>
      </c>
      <c r="M255" s="230" t="str">
        <f>IFERROR(_xlfn.XLOOKUP($A255,'Raw Data'!$A:$A,'Raw Data'!$AX:$AX),"")</f>
        <v/>
      </c>
      <c r="N255" s="230" t="str">
        <f>IFERROR(_xlfn.XLOOKUP($A255,'Raw Data'!$A:$A,'Raw Data'!$AY:$AY),"")</f>
        <v/>
      </c>
      <c r="O255" s="231" t="str">
        <f>IFERROR(1-(SUMIF('Plant BD'!$B:$B,A255,'Plant BD'!$AE:$AE)/(AA255+SUMIF('Plant BD'!$B:$B,A255,'Plant BD'!$AE:$AE))),"")</f>
        <v/>
      </c>
      <c r="P255" s="231"/>
      <c r="Q255" s="232"/>
      <c r="R255" s="231" t="str">
        <f>IFERROR(1-(SUMIF('Grid BD'!$B:$B,$A255,'Grid BD'!$AD:$AD)/($AA255+SUMIF('Grid BD'!$B:$B,$A255,'Grid BD'!AD:AD))),"")</f>
        <v/>
      </c>
      <c r="S255" s="6"/>
      <c r="T255" s="232"/>
      <c r="U255" s="233" t="str">
        <f t="shared" si="17"/>
        <v/>
      </c>
      <c r="V255" s="233"/>
      <c r="W255" s="234" t="str">
        <f t="shared" si="19"/>
        <v/>
      </c>
      <c r="X255" s="227" t="str">
        <f>IFERROR(_xlfn.XLOOKUP($A255,'Raw Data'!$A:$A,'Raw Data'!$BA:$BA),"")</f>
        <v/>
      </c>
      <c r="Y255" s="227" t="str">
        <f>IFERROR(_xlfn.XLOOKUP($A255,'Raw Data'!$A:$A,'Raw Data'!BJ:BJ),"")</f>
        <v/>
      </c>
      <c r="Z255" s="227" t="str">
        <f>IFERROR(_xlfn.XLOOKUP($A255,'Raw Data'!$A:$A,'Raw Data'!BK:BK),"")</f>
        <v/>
      </c>
      <c r="AA255" s="227" t="str">
        <f>IFERROR(_xlfn.XLOOKUP($A255,'Raw Data'!$A:$A,'Raw Data'!BL:BL),"")</f>
        <v/>
      </c>
      <c r="AB255" s="227" t="str">
        <f>IFERROR(_xlfn.XLOOKUP($A255,'Raw Data'!$A:$A,'Raw Data'!$H:$H),"")</f>
        <v/>
      </c>
      <c r="AC255" s="145">
        <f>IFERROR(_xlfn.XLOOKUP($D255,'Modelling New'!$D:$D,'Modelling New'!$P:$P),"")</f>
        <v>6.4806451612903224</v>
      </c>
      <c r="AD255" s="227">
        <f>IFERROR(_xlfn.XLOOKUP($D255,'Modelling New'!$D:$D,'Modelling New'!$T:$T)*1000,"")</f>
        <v>111806.4041783969</v>
      </c>
      <c r="AE255" s="234">
        <f>IFERROR(_xlfn.XLOOKUP($D255,'Modelling New'!$D:$D,'Modelling New'!$O:$O),"")</f>
        <v>0.709882979577386</v>
      </c>
      <c r="AF255" s="234">
        <f>IFERROR(_xlfn.XLOOKUP($D255,'Modelling New'!$D:$D,'Modelling New'!$W:$W),"")</f>
        <v>0.19168748736168928</v>
      </c>
      <c r="AG255" s="234">
        <f>IFERROR(_xlfn.XLOOKUP($D255,'Modelling New'!$D:$D,'Modelling New'!AE:AE),"")</f>
        <v>0.995</v>
      </c>
      <c r="AH255" s="234">
        <v>0.99750000000000005</v>
      </c>
      <c r="AI255" s="6"/>
      <c r="AJ255" s="6"/>
      <c r="AK255" s="6"/>
      <c r="AL255" s="6"/>
      <c r="AM255" s="6"/>
      <c r="AN255" s="231"/>
      <c r="AO255" s="234"/>
      <c r="AP255" s="234"/>
      <c r="AQ255" s="234"/>
      <c r="AR255" s="227">
        <f>IFERROR(_xlfn.XLOOKUP($D255,'Modelling New'!$D:$D,'Modelling New'!$N:$N),"")</f>
        <v>24.303100000000001</v>
      </c>
      <c r="AS255" s="227"/>
    </row>
    <row r="256" spans="1:45" x14ac:dyDescent="0.35">
      <c r="A256" s="226">
        <f t="shared" si="18"/>
        <v>45999</v>
      </c>
      <c r="B256" s="227">
        <f>YEAR(Daily_KPI[[#This Row],[Date]])+IF(MONTH(Daily_KPI[[#This Row],[Date]])&gt;=4,1,0)</f>
        <v>2026</v>
      </c>
      <c r="C256" s="6">
        <f>YEAR(Daily_KPI[[#This Row],[Date]])</f>
        <v>2025</v>
      </c>
      <c r="D256" s="228">
        <f>Daily_KPI[[#This Row],[Date]]-DAY(Daily_KPI[[#This Row],[Date]])+1</f>
        <v>45992</v>
      </c>
      <c r="E256" s="6">
        <f t="shared" si="20"/>
        <v>31</v>
      </c>
      <c r="F256" s="229" t="str">
        <f>IFERROR(_xlfn.XLOOKUP($A256,'Raw Data'!$A:$A,'Raw Data'!$BR:$BR),"")</f>
        <v/>
      </c>
      <c r="G256" s="230" t="str">
        <f>IFERROR(_xlfn.XLOOKUP($A256,'Raw Data'!$A:$A,'Raw Data'!$AO:$AO),"")</f>
        <v/>
      </c>
      <c r="H256" s="230"/>
      <c r="I256" s="230" t="str">
        <f>IFERROR(_xlfn.XLOOKUP($A256,'Raw Data'!$A:$A,'Raw Data'!$AR:$AR),"")</f>
        <v/>
      </c>
      <c r="J256" s="230"/>
      <c r="K256" s="230" t="str">
        <f>IFERROR(_xlfn.XLOOKUP($A256,'Raw Data'!$A:$A,'Raw Data'!$AV:$AV),"")</f>
        <v/>
      </c>
      <c r="L256" s="230" t="str">
        <f>IFERROR(_xlfn.XLOOKUP($A256,'Raw Data'!$A:$A,'Raw Data'!$AW:$AW),"")</f>
        <v/>
      </c>
      <c r="M256" s="230" t="str">
        <f>IFERROR(_xlfn.XLOOKUP($A256,'Raw Data'!$A:$A,'Raw Data'!$AX:$AX),"")</f>
        <v/>
      </c>
      <c r="N256" s="230" t="str">
        <f>IFERROR(_xlfn.XLOOKUP($A256,'Raw Data'!$A:$A,'Raw Data'!$AY:$AY),"")</f>
        <v/>
      </c>
      <c r="O256" s="231" t="str">
        <f>IFERROR(1-(SUMIF('Plant BD'!$B:$B,A256,'Plant BD'!$AE:$AE)/(AA256+SUMIF('Plant BD'!$B:$B,A256,'Plant BD'!$AE:$AE))),"")</f>
        <v/>
      </c>
      <c r="P256" s="231"/>
      <c r="Q256" s="232"/>
      <c r="R256" s="231" t="str">
        <f>IFERROR(1-(SUMIF('Grid BD'!$B:$B,$A256,'Grid BD'!$AD:$AD)/($AA256+SUMIF('Grid BD'!$B:$B,$A256,'Grid BD'!AD:AD))),"")</f>
        <v/>
      </c>
      <c r="S256" s="6"/>
      <c r="T256" s="232"/>
      <c r="U256" s="233" t="str">
        <f t="shared" si="17"/>
        <v/>
      </c>
      <c r="V256" s="233"/>
      <c r="W256" s="234" t="str">
        <f t="shared" si="19"/>
        <v/>
      </c>
      <c r="X256" s="227" t="str">
        <f>IFERROR(_xlfn.XLOOKUP($A256,'Raw Data'!$A:$A,'Raw Data'!$BA:$BA),"")</f>
        <v/>
      </c>
      <c r="Y256" s="227" t="str">
        <f>IFERROR(_xlfn.XLOOKUP($A256,'Raw Data'!$A:$A,'Raw Data'!BJ:BJ),"")</f>
        <v/>
      </c>
      <c r="Z256" s="227" t="str">
        <f>IFERROR(_xlfn.XLOOKUP($A256,'Raw Data'!$A:$A,'Raw Data'!BK:BK),"")</f>
        <v/>
      </c>
      <c r="AA256" s="227" t="str">
        <f>IFERROR(_xlfn.XLOOKUP($A256,'Raw Data'!$A:$A,'Raw Data'!BL:BL),"")</f>
        <v/>
      </c>
      <c r="AB256" s="227" t="str">
        <f>IFERROR(_xlfn.XLOOKUP($A256,'Raw Data'!$A:$A,'Raw Data'!$H:$H),"")</f>
        <v/>
      </c>
      <c r="AC256" s="145">
        <f>IFERROR(_xlfn.XLOOKUP($D256,'Modelling New'!$D:$D,'Modelling New'!$P:$P),"")</f>
        <v>6.4806451612903224</v>
      </c>
      <c r="AD256" s="227">
        <f>IFERROR(_xlfn.XLOOKUP($D256,'Modelling New'!$D:$D,'Modelling New'!$T:$T)*1000,"")</f>
        <v>111806.4041783969</v>
      </c>
      <c r="AE256" s="234">
        <f>IFERROR(_xlfn.XLOOKUP($D256,'Modelling New'!$D:$D,'Modelling New'!$O:$O),"")</f>
        <v>0.709882979577386</v>
      </c>
      <c r="AF256" s="234">
        <f>IFERROR(_xlfn.XLOOKUP($D256,'Modelling New'!$D:$D,'Modelling New'!$W:$W),"")</f>
        <v>0.19168748736168928</v>
      </c>
      <c r="AG256" s="234">
        <f>IFERROR(_xlfn.XLOOKUP($D256,'Modelling New'!$D:$D,'Modelling New'!AE:AE),"")</f>
        <v>0.995</v>
      </c>
      <c r="AH256" s="234">
        <v>0.99750000000000005</v>
      </c>
      <c r="AI256" s="6"/>
      <c r="AJ256" s="6"/>
      <c r="AK256" s="6"/>
      <c r="AL256" s="6"/>
      <c r="AM256" s="6"/>
      <c r="AN256" s="231"/>
      <c r="AO256" s="234"/>
      <c r="AP256" s="234"/>
      <c r="AQ256" s="234"/>
      <c r="AR256" s="227">
        <f>IFERROR(_xlfn.XLOOKUP($D256,'Modelling New'!$D:$D,'Modelling New'!$N:$N),"")</f>
        <v>24.303100000000001</v>
      </c>
      <c r="AS256" s="227"/>
    </row>
    <row r="257" spans="1:45" x14ac:dyDescent="0.35">
      <c r="A257" s="226">
        <f t="shared" si="18"/>
        <v>46000</v>
      </c>
      <c r="B257" s="227">
        <f>YEAR(Daily_KPI[[#This Row],[Date]])+IF(MONTH(Daily_KPI[[#This Row],[Date]])&gt;=4,1,0)</f>
        <v>2026</v>
      </c>
      <c r="C257" s="6">
        <f>YEAR(Daily_KPI[[#This Row],[Date]])</f>
        <v>2025</v>
      </c>
      <c r="D257" s="228">
        <f>Daily_KPI[[#This Row],[Date]]-DAY(Daily_KPI[[#This Row],[Date]])+1</f>
        <v>45992</v>
      </c>
      <c r="E257" s="6">
        <f t="shared" si="20"/>
        <v>31</v>
      </c>
      <c r="F257" s="229" t="str">
        <f>IFERROR(_xlfn.XLOOKUP($A257,'Raw Data'!$A:$A,'Raw Data'!$BR:$BR),"")</f>
        <v/>
      </c>
      <c r="G257" s="230" t="str">
        <f>IFERROR(_xlfn.XLOOKUP($A257,'Raw Data'!$A:$A,'Raw Data'!$AO:$AO),"")</f>
        <v/>
      </c>
      <c r="H257" s="230"/>
      <c r="I257" s="230" t="str">
        <f>IFERROR(_xlfn.XLOOKUP($A257,'Raw Data'!$A:$A,'Raw Data'!$AR:$AR),"")</f>
        <v/>
      </c>
      <c r="J257" s="230"/>
      <c r="K257" s="230" t="str">
        <f>IFERROR(_xlfn.XLOOKUP($A257,'Raw Data'!$A:$A,'Raw Data'!$AV:$AV),"")</f>
        <v/>
      </c>
      <c r="L257" s="230" t="str">
        <f>IFERROR(_xlfn.XLOOKUP($A257,'Raw Data'!$A:$A,'Raw Data'!$AW:$AW),"")</f>
        <v/>
      </c>
      <c r="M257" s="230" t="str">
        <f>IFERROR(_xlfn.XLOOKUP($A257,'Raw Data'!$A:$A,'Raw Data'!$AX:$AX),"")</f>
        <v/>
      </c>
      <c r="N257" s="230" t="str">
        <f>IFERROR(_xlfn.XLOOKUP($A257,'Raw Data'!$A:$A,'Raw Data'!$AY:$AY),"")</f>
        <v/>
      </c>
      <c r="O257" s="231" t="str">
        <f>IFERROR(1-(SUMIF('Plant BD'!$B:$B,A257,'Plant BD'!$AE:$AE)/(AA257+SUMIF('Plant BD'!$B:$B,A257,'Plant BD'!$AE:$AE))),"")</f>
        <v/>
      </c>
      <c r="P257" s="231"/>
      <c r="Q257" s="232"/>
      <c r="R257" s="231" t="str">
        <f>IFERROR(1-(SUMIF('Grid BD'!$B:$B,$A257,'Grid BD'!$AD:$AD)/($AA257+SUMIF('Grid BD'!$B:$B,$A257,'Grid BD'!AD:AD))),"")</f>
        <v/>
      </c>
      <c r="S257" s="6"/>
      <c r="T257" s="232"/>
      <c r="U257" s="233" t="str">
        <f t="shared" si="17"/>
        <v/>
      </c>
      <c r="V257" s="233"/>
      <c r="W257" s="234" t="str">
        <f t="shared" si="19"/>
        <v/>
      </c>
      <c r="X257" s="227" t="str">
        <f>IFERROR(_xlfn.XLOOKUP($A257,'Raw Data'!$A:$A,'Raw Data'!$BA:$BA),"")</f>
        <v/>
      </c>
      <c r="Y257" s="227" t="str">
        <f>IFERROR(_xlfn.XLOOKUP($A257,'Raw Data'!$A:$A,'Raw Data'!BJ:BJ),"")</f>
        <v/>
      </c>
      <c r="Z257" s="227" t="str">
        <f>IFERROR(_xlfn.XLOOKUP($A257,'Raw Data'!$A:$A,'Raw Data'!BK:BK),"")</f>
        <v/>
      </c>
      <c r="AA257" s="227" t="str">
        <f>IFERROR(_xlfn.XLOOKUP($A257,'Raw Data'!$A:$A,'Raw Data'!BL:BL),"")</f>
        <v/>
      </c>
      <c r="AB257" s="227" t="str">
        <f>IFERROR(_xlfn.XLOOKUP($A257,'Raw Data'!$A:$A,'Raw Data'!$H:$H),"")</f>
        <v/>
      </c>
      <c r="AC257" s="145">
        <f>IFERROR(_xlfn.XLOOKUP($D257,'Modelling New'!$D:$D,'Modelling New'!$P:$P),"")</f>
        <v>6.4806451612903224</v>
      </c>
      <c r="AD257" s="227">
        <f>IFERROR(_xlfn.XLOOKUP($D257,'Modelling New'!$D:$D,'Modelling New'!$T:$T)*1000,"")</f>
        <v>111806.4041783969</v>
      </c>
      <c r="AE257" s="234">
        <f>IFERROR(_xlfn.XLOOKUP($D257,'Modelling New'!$D:$D,'Modelling New'!$O:$O),"")</f>
        <v>0.709882979577386</v>
      </c>
      <c r="AF257" s="234">
        <f>IFERROR(_xlfn.XLOOKUP($D257,'Modelling New'!$D:$D,'Modelling New'!$W:$W),"")</f>
        <v>0.19168748736168928</v>
      </c>
      <c r="AG257" s="234">
        <f>IFERROR(_xlfn.XLOOKUP($D257,'Modelling New'!$D:$D,'Modelling New'!AE:AE),"")</f>
        <v>0.995</v>
      </c>
      <c r="AH257" s="234">
        <v>0.99750000000000005</v>
      </c>
      <c r="AI257" s="6"/>
      <c r="AJ257" s="6"/>
      <c r="AK257" s="6"/>
      <c r="AL257" s="6"/>
      <c r="AM257" s="6"/>
      <c r="AN257" s="231"/>
      <c r="AO257" s="234"/>
      <c r="AP257" s="234"/>
      <c r="AQ257" s="234"/>
      <c r="AR257" s="227">
        <f>IFERROR(_xlfn.XLOOKUP($D257,'Modelling New'!$D:$D,'Modelling New'!$N:$N),"")</f>
        <v>24.303100000000001</v>
      </c>
      <c r="AS257" s="227"/>
    </row>
    <row r="258" spans="1:45" x14ac:dyDescent="0.35">
      <c r="A258" s="226">
        <f t="shared" si="18"/>
        <v>46001</v>
      </c>
      <c r="B258" s="227">
        <f>YEAR(Daily_KPI[[#This Row],[Date]])+IF(MONTH(Daily_KPI[[#This Row],[Date]])&gt;=4,1,0)</f>
        <v>2026</v>
      </c>
      <c r="C258" s="6">
        <f>YEAR(Daily_KPI[[#This Row],[Date]])</f>
        <v>2025</v>
      </c>
      <c r="D258" s="228">
        <f>Daily_KPI[[#This Row],[Date]]-DAY(Daily_KPI[[#This Row],[Date]])+1</f>
        <v>45992</v>
      </c>
      <c r="E258" s="6">
        <f t="shared" si="20"/>
        <v>31</v>
      </c>
      <c r="F258" s="229" t="str">
        <f>IFERROR(_xlfn.XLOOKUP($A258,'Raw Data'!$A:$A,'Raw Data'!$BR:$BR),"")</f>
        <v/>
      </c>
      <c r="G258" s="230" t="str">
        <f>IFERROR(_xlfn.XLOOKUP($A258,'Raw Data'!$A:$A,'Raw Data'!$AO:$AO),"")</f>
        <v/>
      </c>
      <c r="H258" s="230"/>
      <c r="I258" s="230" t="str">
        <f>IFERROR(_xlfn.XLOOKUP($A258,'Raw Data'!$A:$A,'Raw Data'!$AR:$AR),"")</f>
        <v/>
      </c>
      <c r="J258" s="230"/>
      <c r="K258" s="230" t="str">
        <f>IFERROR(_xlfn.XLOOKUP($A258,'Raw Data'!$A:$A,'Raw Data'!$AV:$AV),"")</f>
        <v/>
      </c>
      <c r="L258" s="230" t="str">
        <f>IFERROR(_xlfn.XLOOKUP($A258,'Raw Data'!$A:$A,'Raw Data'!$AW:$AW),"")</f>
        <v/>
      </c>
      <c r="M258" s="230" t="str">
        <f>IFERROR(_xlfn.XLOOKUP($A258,'Raw Data'!$A:$A,'Raw Data'!$AX:$AX),"")</f>
        <v/>
      </c>
      <c r="N258" s="230" t="str">
        <f>IFERROR(_xlfn.XLOOKUP($A258,'Raw Data'!$A:$A,'Raw Data'!$AY:$AY),"")</f>
        <v/>
      </c>
      <c r="O258" s="231" t="str">
        <f>IFERROR(1-(SUMIF('Plant BD'!$B:$B,A258,'Plant BD'!$AE:$AE)/(AA258+SUMIF('Plant BD'!$B:$B,A258,'Plant BD'!$AE:$AE))),"")</f>
        <v/>
      </c>
      <c r="P258" s="231"/>
      <c r="Q258" s="232"/>
      <c r="R258" s="231" t="str">
        <f>IFERROR(1-(SUMIF('Grid BD'!$B:$B,$A258,'Grid BD'!$AD:$AD)/($AA258+SUMIF('Grid BD'!$B:$B,$A258,'Grid BD'!AD:AD))),"")</f>
        <v/>
      </c>
      <c r="S258" s="6"/>
      <c r="T258" s="232"/>
      <c r="U258" s="233" t="str">
        <f t="shared" si="17"/>
        <v/>
      </c>
      <c r="V258" s="233"/>
      <c r="W258" s="234" t="str">
        <f t="shared" si="19"/>
        <v/>
      </c>
      <c r="X258" s="227" t="str">
        <f>IFERROR(_xlfn.XLOOKUP($A258,'Raw Data'!$A:$A,'Raw Data'!$BA:$BA),"")</f>
        <v/>
      </c>
      <c r="Y258" s="227" t="str">
        <f>IFERROR(_xlfn.XLOOKUP($A258,'Raw Data'!$A:$A,'Raw Data'!BJ:BJ),"")</f>
        <v/>
      </c>
      <c r="Z258" s="227" t="str">
        <f>IFERROR(_xlfn.XLOOKUP($A258,'Raw Data'!$A:$A,'Raw Data'!BK:BK),"")</f>
        <v/>
      </c>
      <c r="AA258" s="227" t="str">
        <f>IFERROR(_xlfn.XLOOKUP($A258,'Raw Data'!$A:$A,'Raw Data'!BL:BL),"")</f>
        <v/>
      </c>
      <c r="AB258" s="227" t="str">
        <f>IFERROR(_xlfn.XLOOKUP($A258,'Raw Data'!$A:$A,'Raw Data'!$H:$H),"")</f>
        <v/>
      </c>
      <c r="AC258" s="145">
        <f>IFERROR(_xlfn.XLOOKUP($D258,'Modelling New'!$D:$D,'Modelling New'!$P:$P),"")</f>
        <v>6.4806451612903224</v>
      </c>
      <c r="AD258" s="227">
        <f>IFERROR(_xlfn.XLOOKUP($D258,'Modelling New'!$D:$D,'Modelling New'!$T:$T)*1000,"")</f>
        <v>111806.4041783969</v>
      </c>
      <c r="AE258" s="234">
        <f>IFERROR(_xlfn.XLOOKUP($D258,'Modelling New'!$D:$D,'Modelling New'!$O:$O),"")</f>
        <v>0.709882979577386</v>
      </c>
      <c r="AF258" s="234">
        <f>IFERROR(_xlfn.XLOOKUP($D258,'Modelling New'!$D:$D,'Modelling New'!$W:$W),"")</f>
        <v>0.19168748736168928</v>
      </c>
      <c r="AG258" s="234">
        <f>IFERROR(_xlfn.XLOOKUP($D258,'Modelling New'!$D:$D,'Modelling New'!AE:AE),"")</f>
        <v>0.995</v>
      </c>
      <c r="AH258" s="234">
        <v>0.99750000000000005</v>
      </c>
      <c r="AI258" s="6"/>
      <c r="AJ258" s="6"/>
      <c r="AK258" s="6"/>
      <c r="AL258" s="6"/>
      <c r="AM258" s="6"/>
      <c r="AN258" s="231"/>
      <c r="AO258" s="234"/>
      <c r="AP258" s="234"/>
      <c r="AQ258" s="234"/>
      <c r="AR258" s="227">
        <f>IFERROR(_xlfn.XLOOKUP($D258,'Modelling New'!$D:$D,'Modelling New'!$N:$N),"")</f>
        <v>24.303100000000001</v>
      </c>
      <c r="AS258" s="227"/>
    </row>
    <row r="259" spans="1:45" x14ac:dyDescent="0.35">
      <c r="A259" s="226">
        <f t="shared" si="18"/>
        <v>46002</v>
      </c>
      <c r="B259" s="227">
        <f>YEAR(Daily_KPI[[#This Row],[Date]])+IF(MONTH(Daily_KPI[[#This Row],[Date]])&gt;=4,1,0)</f>
        <v>2026</v>
      </c>
      <c r="C259" s="6">
        <f>YEAR(Daily_KPI[[#This Row],[Date]])</f>
        <v>2025</v>
      </c>
      <c r="D259" s="228">
        <f>Daily_KPI[[#This Row],[Date]]-DAY(Daily_KPI[[#This Row],[Date]])+1</f>
        <v>45992</v>
      </c>
      <c r="E259" s="6">
        <f t="shared" si="20"/>
        <v>31</v>
      </c>
      <c r="F259" s="229" t="str">
        <f>IFERROR(_xlfn.XLOOKUP($A259,'Raw Data'!$A:$A,'Raw Data'!$BR:$BR),"")</f>
        <v/>
      </c>
      <c r="G259" s="230" t="str">
        <f>IFERROR(_xlfn.XLOOKUP($A259,'Raw Data'!$A:$A,'Raw Data'!$AO:$AO),"")</f>
        <v/>
      </c>
      <c r="H259" s="230"/>
      <c r="I259" s="230" t="str">
        <f>IFERROR(_xlfn.XLOOKUP($A259,'Raw Data'!$A:$A,'Raw Data'!$AR:$AR),"")</f>
        <v/>
      </c>
      <c r="J259" s="230"/>
      <c r="K259" s="230" t="str">
        <f>IFERROR(_xlfn.XLOOKUP($A259,'Raw Data'!$A:$A,'Raw Data'!$AV:$AV),"")</f>
        <v/>
      </c>
      <c r="L259" s="230" t="str">
        <f>IFERROR(_xlfn.XLOOKUP($A259,'Raw Data'!$A:$A,'Raw Data'!$AW:$AW),"")</f>
        <v/>
      </c>
      <c r="M259" s="230" t="str">
        <f>IFERROR(_xlfn.XLOOKUP($A259,'Raw Data'!$A:$A,'Raw Data'!$AX:$AX),"")</f>
        <v/>
      </c>
      <c r="N259" s="230" t="str">
        <f>IFERROR(_xlfn.XLOOKUP($A259,'Raw Data'!$A:$A,'Raw Data'!$AY:$AY),"")</f>
        <v/>
      </c>
      <c r="O259" s="231" t="str">
        <f>IFERROR(1-(SUMIF('Plant BD'!$B:$B,A259,'Plant BD'!$AE:$AE)/(AA259+SUMIF('Plant BD'!$B:$B,A259,'Plant BD'!$AE:$AE))),"")</f>
        <v/>
      </c>
      <c r="P259" s="231"/>
      <c r="Q259" s="232"/>
      <c r="R259" s="231" t="str">
        <f>IFERROR(1-(SUMIF('Grid BD'!$B:$B,$A259,'Grid BD'!$AD:$AD)/($AA259+SUMIF('Grid BD'!$B:$B,$A259,'Grid BD'!AD:AD))),"")</f>
        <v/>
      </c>
      <c r="S259" s="6"/>
      <c r="T259" s="232"/>
      <c r="U259" s="233" t="str">
        <f t="shared" si="17"/>
        <v/>
      </c>
      <c r="V259" s="233"/>
      <c r="W259" s="234" t="str">
        <f t="shared" si="19"/>
        <v/>
      </c>
      <c r="X259" s="227" t="str">
        <f>IFERROR(_xlfn.XLOOKUP($A259,'Raw Data'!$A:$A,'Raw Data'!$BA:$BA),"")</f>
        <v/>
      </c>
      <c r="Y259" s="227" t="str">
        <f>IFERROR(_xlfn.XLOOKUP($A259,'Raw Data'!$A:$A,'Raw Data'!BJ:BJ),"")</f>
        <v/>
      </c>
      <c r="Z259" s="227" t="str">
        <f>IFERROR(_xlfn.XLOOKUP($A259,'Raw Data'!$A:$A,'Raw Data'!BK:BK),"")</f>
        <v/>
      </c>
      <c r="AA259" s="227" t="str">
        <f>IFERROR(_xlfn.XLOOKUP($A259,'Raw Data'!$A:$A,'Raw Data'!BL:BL),"")</f>
        <v/>
      </c>
      <c r="AB259" s="227" t="str">
        <f>IFERROR(_xlfn.XLOOKUP($A259,'Raw Data'!$A:$A,'Raw Data'!$H:$H),"")</f>
        <v/>
      </c>
      <c r="AC259" s="145">
        <f>IFERROR(_xlfn.XLOOKUP($D259,'Modelling New'!$D:$D,'Modelling New'!$P:$P),"")</f>
        <v>6.4806451612903224</v>
      </c>
      <c r="AD259" s="227">
        <f>IFERROR(_xlfn.XLOOKUP($D259,'Modelling New'!$D:$D,'Modelling New'!$T:$T)*1000,"")</f>
        <v>111806.4041783969</v>
      </c>
      <c r="AE259" s="234">
        <f>IFERROR(_xlfn.XLOOKUP($D259,'Modelling New'!$D:$D,'Modelling New'!$O:$O),"")</f>
        <v>0.709882979577386</v>
      </c>
      <c r="AF259" s="234">
        <f>IFERROR(_xlfn.XLOOKUP($D259,'Modelling New'!$D:$D,'Modelling New'!$W:$W),"")</f>
        <v>0.19168748736168928</v>
      </c>
      <c r="AG259" s="234">
        <f>IFERROR(_xlfn.XLOOKUP($D259,'Modelling New'!$D:$D,'Modelling New'!AE:AE),"")</f>
        <v>0.995</v>
      </c>
      <c r="AH259" s="234">
        <v>0.99750000000000005</v>
      </c>
      <c r="AI259" s="6"/>
      <c r="AJ259" s="6"/>
      <c r="AK259" s="6"/>
      <c r="AL259" s="6"/>
      <c r="AM259" s="6"/>
      <c r="AN259" s="231"/>
      <c r="AO259" s="234"/>
      <c r="AP259" s="234"/>
      <c r="AQ259" s="234"/>
      <c r="AR259" s="227">
        <f>IFERROR(_xlfn.XLOOKUP($D259,'Modelling New'!$D:$D,'Modelling New'!$N:$N),"")</f>
        <v>24.303100000000001</v>
      </c>
      <c r="AS259" s="227"/>
    </row>
    <row r="260" spans="1:45" x14ac:dyDescent="0.35">
      <c r="A260" s="226">
        <f t="shared" si="18"/>
        <v>46003</v>
      </c>
      <c r="B260" s="227">
        <f>YEAR(Daily_KPI[[#This Row],[Date]])+IF(MONTH(Daily_KPI[[#This Row],[Date]])&gt;=4,1,0)</f>
        <v>2026</v>
      </c>
      <c r="C260" s="6">
        <f>YEAR(Daily_KPI[[#This Row],[Date]])</f>
        <v>2025</v>
      </c>
      <c r="D260" s="228">
        <f>Daily_KPI[[#This Row],[Date]]-DAY(Daily_KPI[[#This Row],[Date]])+1</f>
        <v>45992</v>
      </c>
      <c r="E260" s="6">
        <f t="shared" si="20"/>
        <v>31</v>
      </c>
      <c r="F260" s="229" t="str">
        <f>IFERROR(_xlfn.XLOOKUP($A260,'Raw Data'!$A:$A,'Raw Data'!$BR:$BR),"")</f>
        <v/>
      </c>
      <c r="G260" s="230" t="str">
        <f>IFERROR(_xlfn.XLOOKUP($A260,'Raw Data'!$A:$A,'Raw Data'!$AO:$AO),"")</f>
        <v/>
      </c>
      <c r="H260" s="230"/>
      <c r="I260" s="230" t="str">
        <f>IFERROR(_xlfn.XLOOKUP($A260,'Raw Data'!$A:$A,'Raw Data'!$AR:$AR),"")</f>
        <v/>
      </c>
      <c r="J260" s="230"/>
      <c r="K260" s="230" t="str">
        <f>IFERROR(_xlfn.XLOOKUP($A260,'Raw Data'!$A:$A,'Raw Data'!$AV:$AV),"")</f>
        <v/>
      </c>
      <c r="L260" s="230" t="str">
        <f>IFERROR(_xlfn.XLOOKUP($A260,'Raw Data'!$A:$A,'Raw Data'!$AW:$AW),"")</f>
        <v/>
      </c>
      <c r="M260" s="230" t="str">
        <f>IFERROR(_xlfn.XLOOKUP($A260,'Raw Data'!$A:$A,'Raw Data'!$AX:$AX),"")</f>
        <v/>
      </c>
      <c r="N260" s="230" t="str">
        <f>IFERROR(_xlfn.XLOOKUP($A260,'Raw Data'!$A:$A,'Raw Data'!$AY:$AY),"")</f>
        <v/>
      </c>
      <c r="O260" s="231" t="str">
        <f>IFERROR(1-(SUMIF('Plant BD'!$B:$B,A260,'Plant BD'!$AE:$AE)/(AA260+SUMIF('Plant BD'!$B:$B,A260,'Plant BD'!$AE:$AE))),"")</f>
        <v/>
      </c>
      <c r="P260" s="231"/>
      <c r="Q260" s="232"/>
      <c r="R260" s="231" t="str">
        <f>IFERROR(1-(SUMIF('Grid BD'!$B:$B,$A260,'Grid BD'!$AD:$AD)/($AA260+SUMIF('Grid BD'!$B:$B,$A260,'Grid BD'!AD:AD))),"")</f>
        <v/>
      </c>
      <c r="S260" s="6"/>
      <c r="T260" s="232"/>
      <c r="U260" s="233" t="str">
        <f t="shared" si="17"/>
        <v/>
      </c>
      <c r="V260" s="233"/>
      <c r="W260" s="234" t="str">
        <f t="shared" si="19"/>
        <v/>
      </c>
      <c r="X260" s="227" t="str">
        <f>IFERROR(_xlfn.XLOOKUP($A260,'Raw Data'!$A:$A,'Raw Data'!$BA:$BA),"")</f>
        <v/>
      </c>
      <c r="Y260" s="227" t="str">
        <f>IFERROR(_xlfn.XLOOKUP($A260,'Raw Data'!$A:$A,'Raw Data'!BJ:BJ),"")</f>
        <v/>
      </c>
      <c r="Z260" s="227" t="str">
        <f>IFERROR(_xlfn.XLOOKUP($A260,'Raw Data'!$A:$A,'Raw Data'!BK:BK),"")</f>
        <v/>
      </c>
      <c r="AA260" s="227" t="str">
        <f>IFERROR(_xlfn.XLOOKUP($A260,'Raw Data'!$A:$A,'Raw Data'!BL:BL),"")</f>
        <v/>
      </c>
      <c r="AB260" s="227" t="str">
        <f>IFERROR(_xlfn.XLOOKUP($A260,'Raw Data'!$A:$A,'Raw Data'!$H:$H),"")</f>
        <v/>
      </c>
      <c r="AC260" s="145">
        <f>IFERROR(_xlfn.XLOOKUP($D260,'Modelling New'!$D:$D,'Modelling New'!$P:$P),"")</f>
        <v>6.4806451612903224</v>
      </c>
      <c r="AD260" s="227">
        <f>IFERROR(_xlfn.XLOOKUP($D260,'Modelling New'!$D:$D,'Modelling New'!$T:$T)*1000,"")</f>
        <v>111806.4041783969</v>
      </c>
      <c r="AE260" s="234">
        <f>IFERROR(_xlfn.XLOOKUP($D260,'Modelling New'!$D:$D,'Modelling New'!$O:$O),"")</f>
        <v>0.709882979577386</v>
      </c>
      <c r="AF260" s="234">
        <f>IFERROR(_xlfn.XLOOKUP($D260,'Modelling New'!$D:$D,'Modelling New'!$W:$W),"")</f>
        <v>0.19168748736168928</v>
      </c>
      <c r="AG260" s="234">
        <f>IFERROR(_xlfn.XLOOKUP($D260,'Modelling New'!$D:$D,'Modelling New'!AE:AE),"")</f>
        <v>0.995</v>
      </c>
      <c r="AH260" s="234">
        <v>0.99750000000000005</v>
      </c>
      <c r="AI260" s="6"/>
      <c r="AJ260" s="6"/>
      <c r="AK260" s="6"/>
      <c r="AL260" s="6"/>
      <c r="AM260" s="6"/>
      <c r="AN260" s="231"/>
      <c r="AO260" s="234"/>
      <c r="AP260" s="234"/>
      <c r="AQ260" s="234"/>
      <c r="AR260" s="227">
        <f>IFERROR(_xlfn.XLOOKUP($D260,'Modelling New'!$D:$D,'Modelling New'!$N:$N),"")</f>
        <v>24.303100000000001</v>
      </c>
      <c r="AS260" s="227"/>
    </row>
    <row r="261" spans="1:45" x14ac:dyDescent="0.35">
      <c r="A261" s="226">
        <f t="shared" si="18"/>
        <v>46004</v>
      </c>
      <c r="B261" s="227">
        <f>YEAR(Daily_KPI[[#This Row],[Date]])+IF(MONTH(Daily_KPI[[#This Row],[Date]])&gt;=4,1,0)</f>
        <v>2026</v>
      </c>
      <c r="C261" s="6">
        <f>YEAR(Daily_KPI[[#This Row],[Date]])</f>
        <v>2025</v>
      </c>
      <c r="D261" s="228">
        <f>Daily_KPI[[#This Row],[Date]]-DAY(Daily_KPI[[#This Row],[Date]])+1</f>
        <v>45992</v>
      </c>
      <c r="E261" s="6">
        <f t="shared" si="20"/>
        <v>31</v>
      </c>
      <c r="F261" s="229" t="str">
        <f>IFERROR(_xlfn.XLOOKUP($A261,'Raw Data'!$A:$A,'Raw Data'!$BR:$BR),"")</f>
        <v/>
      </c>
      <c r="G261" s="230" t="str">
        <f>IFERROR(_xlfn.XLOOKUP($A261,'Raw Data'!$A:$A,'Raw Data'!$AO:$AO),"")</f>
        <v/>
      </c>
      <c r="H261" s="230"/>
      <c r="I261" s="230" t="str">
        <f>IFERROR(_xlfn.XLOOKUP($A261,'Raw Data'!$A:$A,'Raw Data'!$AR:$AR),"")</f>
        <v/>
      </c>
      <c r="J261" s="230"/>
      <c r="K261" s="230" t="str">
        <f>IFERROR(_xlfn.XLOOKUP($A261,'Raw Data'!$A:$A,'Raw Data'!$AV:$AV),"")</f>
        <v/>
      </c>
      <c r="L261" s="230" t="str">
        <f>IFERROR(_xlfn.XLOOKUP($A261,'Raw Data'!$A:$A,'Raw Data'!$AW:$AW),"")</f>
        <v/>
      </c>
      <c r="M261" s="230" t="str">
        <f>IFERROR(_xlfn.XLOOKUP($A261,'Raw Data'!$A:$A,'Raw Data'!$AX:$AX),"")</f>
        <v/>
      </c>
      <c r="N261" s="230" t="str">
        <f>IFERROR(_xlfn.XLOOKUP($A261,'Raw Data'!$A:$A,'Raw Data'!$AY:$AY),"")</f>
        <v/>
      </c>
      <c r="O261" s="231" t="str">
        <f>IFERROR(1-(SUMIF('Plant BD'!$B:$B,A261,'Plant BD'!$AE:$AE)/(AA261+SUMIF('Plant BD'!$B:$B,A261,'Plant BD'!$AE:$AE))),"")</f>
        <v/>
      </c>
      <c r="P261" s="231"/>
      <c r="Q261" s="232"/>
      <c r="R261" s="231" t="str">
        <f>IFERROR(1-(SUMIF('Grid BD'!$B:$B,$A261,'Grid BD'!$AD:$AD)/($AA261+SUMIF('Grid BD'!$B:$B,$A261,'Grid BD'!AD:AD))),"")</f>
        <v/>
      </c>
      <c r="S261" s="6"/>
      <c r="T261" s="232"/>
      <c r="U261" s="233" t="str">
        <f t="shared" si="17"/>
        <v/>
      </c>
      <c r="V261" s="233"/>
      <c r="W261" s="234" t="str">
        <f t="shared" si="19"/>
        <v/>
      </c>
      <c r="X261" s="227" t="str">
        <f>IFERROR(_xlfn.XLOOKUP($A261,'Raw Data'!$A:$A,'Raw Data'!$BA:$BA),"")</f>
        <v/>
      </c>
      <c r="Y261" s="227" t="str">
        <f>IFERROR(_xlfn.XLOOKUP($A261,'Raw Data'!$A:$A,'Raw Data'!BJ:BJ),"")</f>
        <v/>
      </c>
      <c r="Z261" s="227" t="str">
        <f>IFERROR(_xlfn.XLOOKUP($A261,'Raw Data'!$A:$A,'Raw Data'!BK:BK),"")</f>
        <v/>
      </c>
      <c r="AA261" s="227" t="str">
        <f>IFERROR(_xlfn.XLOOKUP($A261,'Raw Data'!$A:$A,'Raw Data'!BL:BL),"")</f>
        <v/>
      </c>
      <c r="AB261" s="227" t="str">
        <f>IFERROR(_xlfn.XLOOKUP($A261,'Raw Data'!$A:$A,'Raw Data'!$H:$H),"")</f>
        <v/>
      </c>
      <c r="AC261" s="145">
        <f>IFERROR(_xlfn.XLOOKUP($D261,'Modelling New'!$D:$D,'Modelling New'!$P:$P),"")</f>
        <v>6.4806451612903224</v>
      </c>
      <c r="AD261" s="227">
        <f>IFERROR(_xlfn.XLOOKUP($D261,'Modelling New'!$D:$D,'Modelling New'!$T:$T)*1000,"")</f>
        <v>111806.4041783969</v>
      </c>
      <c r="AE261" s="234">
        <f>IFERROR(_xlfn.XLOOKUP($D261,'Modelling New'!$D:$D,'Modelling New'!$O:$O),"")</f>
        <v>0.709882979577386</v>
      </c>
      <c r="AF261" s="234">
        <f>IFERROR(_xlfn.XLOOKUP($D261,'Modelling New'!$D:$D,'Modelling New'!$W:$W),"")</f>
        <v>0.19168748736168928</v>
      </c>
      <c r="AG261" s="234">
        <f>IFERROR(_xlfn.XLOOKUP($D261,'Modelling New'!$D:$D,'Modelling New'!AE:AE),"")</f>
        <v>0.995</v>
      </c>
      <c r="AH261" s="234">
        <v>0.99750000000000005</v>
      </c>
      <c r="AI261" s="6"/>
      <c r="AJ261" s="6"/>
      <c r="AK261" s="6"/>
      <c r="AL261" s="6"/>
      <c r="AM261" s="6"/>
      <c r="AN261" s="231"/>
      <c r="AO261" s="234"/>
      <c r="AP261" s="234"/>
      <c r="AQ261" s="234"/>
      <c r="AR261" s="227">
        <f>IFERROR(_xlfn.XLOOKUP($D261,'Modelling New'!$D:$D,'Modelling New'!$N:$N),"")</f>
        <v>24.303100000000001</v>
      </c>
      <c r="AS261" s="227"/>
    </row>
    <row r="262" spans="1:45" x14ac:dyDescent="0.35">
      <c r="A262" s="226">
        <f t="shared" si="18"/>
        <v>46005</v>
      </c>
      <c r="B262" s="227">
        <f>YEAR(Daily_KPI[[#This Row],[Date]])+IF(MONTH(Daily_KPI[[#This Row],[Date]])&gt;=4,1,0)</f>
        <v>2026</v>
      </c>
      <c r="C262" s="6">
        <f>YEAR(Daily_KPI[[#This Row],[Date]])</f>
        <v>2025</v>
      </c>
      <c r="D262" s="228">
        <f>Daily_KPI[[#This Row],[Date]]-DAY(Daily_KPI[[#This Row],[Date]])+1</f>
        <v>45992</v>
      </c>
      <c r="E262" s="6">
        <f t="shared" si="20"/>
        <v>31</v>
      </c>
      <c r="F262" s="229" t="str">
        <f>IFERROR(_xlfn.XLOOKUP($A262,'Raw Data'!$A:$A,'Raw Data'!$BR:$BR),"")</f>
        <v/>
      </c>
      <c r="G262" s="230" t="str">
        <f>IFERROR(_xlfn.XLOOKUP($A262,'Raw Data'!$A:$A,'Raw Data'!$AO:$AO),"")</f>
        <v/>
      </c>
      <c r="H262" s="230"/>
      <c r="I262" s="230" t="str">
        <f>IFERROR(_xlfn.XLOOKUP($A262,'Raw Data'!$A:$A,'Raw Data'!$AR:$AR),"")</f>
        <v/>
      </c>
      <c r="J262" s="230"/>
      <c r="K262" s="230" t="str">
        <f>IFERROR(_xlfn.XLOOKUP($A262,'Raw Data'!$A:$A,'Raw Data'!$AV:$AV),"")</f>
        <v/>
      </c>
      <c r="L262" s="230" t="str">
        <f>IFERROR(_xlfn.XLOOKUP($A262,'Raw Data'!$A:$A,'Raw Data'!$AW:$AW),"")</f>
        <v/>
      </c>
      <c r="M262" s="230" t="str">
        <f>IFERROR(_xlfn.XLOOKUP($A262,'Raw Data'!$A:$A,'Raw Data'!$AX:$AX),"")</f>
        <v/>
      </c>
      <c r="N262" s="230" t="str">
        <f>IFERROR(_xlfn.XLOOKUP($A262,'Raw Data'!$A:$A,'Raw Data'!$AY:$AY),"")</f>
        <v/>
      </c>
      <c r="O262" s="231" t="str">
        <f>IFERROR(1-(SUMIF('Plant BD'!$B:$B,A262,'Plant BD'!$AE:$AE)/(AA262+SUMIF('Plant BD'!$B:$B,A262,'Plant BD'!$AE:$AE))),"")</f>
        <v/>
      </c>
      <c r="P262" s="231"/>
      <c r="Q262" s="232"/>
      <c r="R262" s="231" t="str">
        <f>IFERROR(1-(SUMIF('Grid BD'!$B:$B,$A262,'Grid BD'!$AD:$AD)/($AA262+SUMIF('Grid BD'!$B:$B,$A262,'Grid BD'!AD:AD))),"")</f>
        <v/>
      </c>
      <c r="S262" s="6"/>
      <c r="T262" s="232"/>
      <c r="U262" s="233" t="str">
        <f t="shared" si="17"/>
        <v/>
      </c>
      <c r="V262" s="233"/>
      <c r="W262" s="234" t="str">
        <f t="shared" si="19"/>
        <v/>
      </c>
      <c r="X262" s="227" t="str">
        <f>IFERROR(_xlfn.XLOOKUP($A262,'Raw Data'!$A:$A,'Raw Data'!$BA:$BA),"")</f>
        <v/>
      </c>
      <c r="Y262" s="227" t="str">
        <f>IFERROR(_xlfn.XLOOKUP($A262,'Raw Data'!$A:$A,'Raw Data'!BJ:BJ),"")</f>
        <v/>
      </c>
      <c r="Z262" s="227" t="str">
        <f>IFERROR(_xlfn.XLOOKUP($A262,'Raw Data'!$A:$A,'Raw Data'!BK:BK),"")</f>
        <v/>
      </c>
      <c r="AA262" s="227" t="str">
        <f>IFERROR(_xlfn.XLOOKUP($A262,'Raw Data'!$A:$A,'Raw Data'!BL:BL),"")</f>
        <v/>
      </c>
      <c r="AB262" s="227" t="str">
        <f>IFERROR(_xlfn.XLOOKUP($A262,'Raw Data'!$A:$A,'Raw Data'!$H:$H),"")</f>
        <v/>
      </c>
      <c r="AC262" s="145">
        <f>IFERROR(_xlfn.XLOOKUP($D262,'Modelling New'!$D:$D,'Modelling New'!$P:$P),"")</f>
        <v>6.4806451612903224</v>
      </c>
      <c r="AD262" s="227">
        <f>IFERROR(_xlfn.XLOOKUP($D262,'Modelling New'!$D:$D,'Modelling New'!$T:$T)*1000,"")</f>
        <v>111806.4041783969</v>
      </c>
      <c r="AE262" s="234">
        <f>IFERROR(_xlfn.XLOOKUP($D262,'Modelling New'!$D:$D,'Modelling New'!$O:$O),"")</f>
        <v>0.709882979577386</v>
      </c>
      <c r="AF262" s="234">
        <f>IFERROR(_xlfn.XLOOKUP($D262,'Modelling New'!$D:$D,'Modelling New'!$W:$W),"")</f>
        <v>0.19168748736168928</v>
      </c>
      <c r="AG262" s="234">
        <f>IFERROR(_xlfn.XLOOKUP($D262,'Modelling New'!$D:$D,'Modelling New'!AE:AE),"")</f>
        <v>0.995</v>
      </c>
      <c r="AH262" s="234">
        <v>0.99750000000000005</v>
      </c>
      <c r="AI262" s="6"/>
      <c r="AJ262" s="6"/>
      <c r="AK262" s="6"/>
      <c r="AL262" s="6"/>
      <c r="AM262" s="6"/>
      <c r="AN262" s="231"/>
      <c r="AO262" s="234"/>
      <c r="AP262" s="234"/>
      <c r="AQ262" s="234"/>
      <c r="AR262" s="227">
        <f>IFERROR(_xlfn.XLOOKUP($D262,'Modelling New'!$D:$D,'Modelling New'!$N:$N),"")</f>
        <v>24.303100000000001</v>
      </c>
      <c r="AS262" s="227"/>
    </row>
    <row r="263" spans="1:45" x14ac:dyDescent="0.35">
      <c r="A263" s="226">
        <f t="shared" si="18"/>
        <v>46006</v>
      </c>
      <c r="B263" s="227">
        <f>YEAR(Daily_KPI[[#This Row],[Date]])+IF(MONTH(Daily_KPI[[#This Row],[Date]])&gt;=4,1,0)</f>
        <v>2026</v>
      </c>
      <c r="C263" s="6">
        <f>YEAR(Daily_KPI[[#This Row],[Date]])</f>
        <v>2025</v>
      </c>
      <c r="D263" s="228">
        <f>Daily_KPI[[#This Row],[Date]]-DAY(Daily_KPI[[#This Row],[Date]])+1</f>
        <v>45992</v>
      </c>
      <c r="E263" s="6">
        <f t="shared" si="20"/>
        <v>31</v>
      </c>
      <c r="F263" s="229" t="str">
        <f>IFERROR(_xlfn.XLOOKUP($A263,'Raw Data'!$A:$A,'Raw Data'!$BR:$BR),"")</f>
        <v/>
      </c>
      <c r="G263" s="230" t="str">
        <f>IFERROR(_xlfn.XLOOKUP($A263,'Raw Data'!$A:$A,'Raw Data'!$AO:$AO),"")</f>
        <v/>
      </c>
      <c r="H263" s="230"/>
      <c r="I263" s="230" t="str">
        <f>IFERROR(_xlfn.XLOOKUP($A263,'Raw Data'!$A:$A,'Raw Data'!$AR:$AR),"")</f>
        <v/>
      </c>
      <c r="J263" s="230"/>
      <c r="K263" s="230" t="str">
        <f>IFERROR(_xlfn.XLOOKUP($A263,'Raw Data'!$A:$A,'Raw Data'!$AV:$AV),"")</f>
        <v/>
      </c>
      <c r="L263" s="230" t="str">
        <f>IFERROR(_xlfn.XLOOKUP($A263,'Raw Data'!$A:$A,'Raw Data'!$AW:$AW),"")</f>
        <v/>
      </c>
      <c r="M263" s="230" t="str">
        <f>IFERROR(_xlfn.XLOOKUP($A263,'Raw Data'!$A:$A,'Raw Data'!$AX:$AX),"")</f>
        <v/>
      </c>
      <c r="N263" s="230" t="str">
        <f>IFERROR(_xlfn.XLOOKUP($A263,'Raw Data'!$A:$A,'Raw Data'!$AY:$AY),"")</f>
        <v/>
      </c>
      <c r="O263" s="231" t="str">
        <f>IFERROR(1-(SUMIF('Plant BD'!$B:$B,A263,'Plant BD'!$AE:$AE)/(AA263+SUMIF('Plant BD'!$B:$B,A263,'Plant BD'!$AE:$AE))),"")</f>
        <v/>
      </c>
      <c r="P263" s="231"/>
      <c r="Q263" s="232"/>
      <c r="R263" s="231" t="str">
        <f>IFERROR(1-(SUMIF('Grid BD'!$B:$B,$A263,'Grid BD'!$AD:$AD)/($AA263+SUMIF('Grid BD'!$B:$B,$A263,'Grid BD'!AD:AD))),"")</f>
        <v/>
      </c>
      <c r="S263" s="6"/>
      <c r="T263" s="232"/>
      <c r="U263" s="233" t="str">
        <f t="shared" si="17"/>
        <v/>
      </c>
      <c r="V263" s="233"/>
      <c r="W263" s="234" t="str">
        <f t="shared" si="19"/>
        <v/>
      </c>
      <c r="X263" s="227" t="str">
        <f>IFERROR(_xlfn.XLOOKUP($A263,'Raw Data'!$A:$A,'Raw Data'!$BA:$BA),"")</f>
        <v/>
      </c>
      <c r="Y263" s="227" t="str">
        <f>IFERROR(_xlfn.XLOOKUP($A263,'Raw Data'!$A:$A,'Raw Data'!BJ:BJ),"")</f>
        <v/>
      </c>
      <c r="Z263" s="227" t="str">
        <f>IFERROR(_xlfn.XLOOKUP($A263,'Raw Data'!$A:$A,'Raw Data'!BK:BK),"")</f>
        <v/>
      </c>
      <c r="AA263" s="227" t="str">
        <f>IFERROR(_xlfn.XLOOKUP($A263,'Raw Data'!$A:$A,'Raw Data'!BL:BL),"")</f>
        <v/>
      </c>
      <c r="AB263" s="227" t="str">
        <f>IFERROR(_xlfn.XLOOKUP($A263,'Raw Data'!$A:$A,'Raw Data'!$H:$H),"")</f>
        <v/>
      </c>
      <c r="AC263" s="145">
        <f>IFERROR(_xlfn.XLOOKUP($D263,'Modelling New'!$D:$D,'Modelling New'!$P:$P),"")</f>
        <v>6.4806451612903224</v>
      </c>
      <c r="AD263" s="227">
        <f>IFERROR(_xlfn.XLOOKUP($D263,'Modelling New'!$D:$D,'Modelling New'!$T:$T)*1000,"")</f>
        <v>111806.4041783969</v>
      </c>
      <c r="AE263" s="234">
        <f>IFERROR(_xlfn.XLOOKUP($D263,'Modelling New'!$D:$D,'Modelling New'!$O:$O),"")</f>
        <v>0.709882979577386</v>
      </c>
      <c r="AF263" s="234">
        <f>IFERROR(_xlfn.XLOOKUP($D263,'Modelling New'!$D:$D,'Modelling New'!$W:$W),"")</f>
        <v>0.19168748736168928</v>
      </c>
      <c r="AG263" s="234">
        <f>IFERROR(_xlfn.XLOOKUP($D263,'Modelling New'!$D:$D,'Modelling New'!AE:AE),"")</f>
        <v>0.995</v>
      </c>
      <c r="AH263" s="234">
        <v>0.99750000000000005</v>
      </c>
      <c r="AI263" s="6"/>
      <c r="AJ263" s="6"/>
      <c r="AK263" s="6"/>
      <c r="AL263" s="6"/>
      <c r="AM263" s="6"/>
      <c r="AN263" s="231"/>
      <c r="AO263" s="234"/>
      <c r="AP263" s="234"/>
      <c r="AQ263" s="234"/>
      <c r="AR263" s="227">
        <f>IFERROR(_xlfn.XLOOKUP($D263,'Modelling New'!$D:$D,'Modelling New'!$N:$N),"")</f>
        <v>24.303100000000001</v>
      </c>
      <c r="AS263" s="227"/>
    </row>
    <row r="264" spans="1:45" x14ac:dyDescent="0.35">
      <c r="A264" s="226">
        <f t="shared" si="18"/>
        <v>46007</v>
      </c>
      <c r="B264" s="227">
        <f>YEAR(Daily_KPI[[#This Row],[Date]])+IF(MONTH(Daily_KPI[[#This Row],[Date]])&gt;=4,1,0)</f>
        <v>2026</v>
      </c>
      <c r="C264" s="6">
        <f>YEAR(Daily_KPI[[#This Row],[Date]])</f>
        <v>2025</v>
      </c>
      <c r="D264" s="228">
        <f>Daily_KPI[[#This Row],[Date]]-DAY(Daily_KPI[[#This Row],[Date]])+1</f>
        <v>45992</v>
      </c>
      <c r="E264" s="6">
        <f t="shared" si="20"/>
        <v>31</v>
      </c>
      <c r="F264" s="229" t="str">
        <f>IFERROR(_xlfn.XLOOKUP($A264,'Raw Data'!$A:$A,'Raw Data'!$BR:$BR),"")</f>
        <v/>
      </c>
      <c r="G264" s="230" t="str">
        <f>IFERROR(_xlfn.XLOOKUP($A264,'Raw Data'!$A:$A,'Raw Data'!$AO:$AO),"")</f>
        <v/>
      </c>
      <c r="H264" s="230"/>
      <c r="I264" s="230" t="str">
        <f>IFERROR(_xlfn.XLOOKUP($A264,'Raw Data'!$A:$A,'Raw Data'!$AR:$AR),"")</f>
        <v/>
      </c>
      <c r="J264" s="230"/>
      <c r="K264" s="230" t="str">
        <f>IFERROR(_xlfn.XLOOKUP($A264,'Raw Data'!$A:$A,'Raw Data'!$AV:$AV),"")</f>
        <v/>
      </c>
      <c r="L264" s="230" t="str">
        <f>IFERROR(_xlfn.XLOOKUP($A264,'Raw Data'!$A:$A,'Raw Data'!$AW:$AW),"")</f>
        <v/>
      </c>
      <c r="M264" s="230" t="str">
        <f>IFERROR(_xlfn.XLOOKUP($A264,'Raw Data'!$A:$A,'Raw Data'!$AX:$AX),"")</f>
        <v/>
      </c>
      <c r="N264" s="230" t="str">
        <f>IFERROR(_xlfn.XLOOKUP($A264,'Raw Data'!$A:$A,'Raw Data'!$AY:$AY),"")</f>
        <v/>
      </c>
      <c r="O264" s="231" t="str">
        <f>IFERROR(1-(SUMIF('Plant BD'!$B:$B,A264,'Plant BD'!$AE:$AE)/(AA264+SUMIF('Plant BD'!$B:$B,A264,'Plant BD'!$AE:$AE))),"")</f>
        <v/>
      </c>
      <c r="P264" s="231"/>
      <c r="Q264" s="232"/>
      <c r="R264" s="231" t="str">
        <f>IFERROR(1-(SUMIF('Grid BD'!$B:$B,$A264,'Grid BD'!$AD:$AD)/($AA264+SUMIF('Grid BD'!$B:$B,$A264,'Grid BD'!AD:AD))),"")</f>
        <v/>
      </c>
      <c r="S264" s="6"/>
      <c r="T264" s="232"/>
      <c r="U264" s="233" t="str">
        <f t="shared" si="17"/>
        <v/>
      </c>
      <c r="V264" s="233"/>
      <c r="W264" s="234" t="str">
        <f t="shared" si="19"/>
        <v/>
      </c>
      <c r="X264" s="227" t="str">
        <f>IFERROR(_xlfn.XLOOKUP($A264,'Raw Data'!$A:$A,'Raw Data'!$BA:$BA),"")</f>
        <v/>
      </c>
      <c r="Y264" s="227" t="str">
        <f>IFERROR(_xlfn.XLOOKUP($A264,'Raw Data'!$A:$A,'Raw Data'!BJ:BJ),"")</f>
        <v/>
      </c>
      <c r="Z264" s="227" t="str">
        <f>IFERROR(_xlfn.XLOOKUP($A264,'Raw Data'!$A:$A,'Raw Data'!BK:BK),"")</f>
        <v/>
      </c>
      <c r="AA264" s="227" t="str">
        <f>IFERROR(_xlfn.XLOOKUP($A264,'Raw Data'!$A:$A,'Raw Data'!BL:BL),"")</f>
        <v/>
      </c>
      <c r="AB264" s="227" t="str">
        <f>IFERROR(_xlfn.XLOOKUP($A264,'Raw Data'!$A:$A,'Raw Data'!$H:$H),"")</f>
        <v/>
      </c>
      <c r="AC264" s="145">
        <f>IFERROR(_xlfn.XLOOKUP($D264,'Modelling New'!$D:$D,'Modelling New'!$P:$P),"")</f>
        <v>6.4806451612903224</v>
      </c>
      <c r="AD264" s="227">
        <f>IFERROR(_xlfn.XLOOKUP($D264,'Modelling New'!$D:$D,'Modelling New'!$T:$T)*1000,"")</f>
        <v>111806.4041783969</v>
      </c>
      <c r="AE264" s="234">
        <f>IFERROR(_xlfn.XLOOKUP($D264,'Modelling New'!$D:$D,'Modelling New'!$O:$O),"")</f>
        <v>0.709882979577386</v>
      </c>
      <c r="AF264" s="234">
        <f>IFERROR(_xlfn.XLOOKUP($D264,'Modelling New'!$D:$D,'Modelling New'!$W:$W),"")</f>
        <v>0.19168748736168928</v>
      </c>
      <c r="AG264" s="234">
        <f>IFERROR(_xlfn.XLOOKUP($D264,'Modelling New'!$D:$D,'Modelling New'!AE:AE),"")</f>
        <v>0.995</v>
      </c>
      <c r="AH264" s="234">
        <v>0.99750000000000005</v>
      </c>
      <c r="AI264" s="6"/>
      <c r="AJ264" s="6"/>
      <c r="AK264" s="6"/>
      <c r="AL264" s="6"/>
      <c r="AM264" s="6"/>
      <c r="AN264" s="231"/>
      <c r="AO264" s="234"/>
      <c r="AP264" s="234"/>
      <c r="AQ264" s="234"/>
      <c r="AR264" s="227">
        <f>IFERROR(_xlfn.XLOOKUP($D264,'Modelling New'!$D:$D,'Modelling New'!$N:$N),"")</f>
        <v>24.303100000000001</v>
      </c>
      <c r="AS264" s="227"/>
    </row>
    <row r="265" spans="1:45" x14ac:dyDescent="0.35">
      <c r="A265" s="226">
        <f t="shared" si="18"/>
        <v>46008</v>
      </c>
      <c r="B265" s="227">
        <f>YEAR(Daily_KPI[[#This Row],[Date]])+IF(MONTH(Daily_KPI[[#This Row],[Date]])&gt;=4,1,0)</f>
        <v>2026</v>
      </c>
      <c r="C265" s="6">
        <f>YEAR(Daily_KPI[[#This Row],[Date]])</f>
        <v>2025</v>
      </c>
      <c r="D265" s="228">
        <f>Daily_KPI[[#This Row],[Date]]-DAY(Daily_KPI[[#This Row],[Date]])+1</f>
        <v>45992</v>
      </c>
      <c r="E265" s="6">
        <f t="shared" si="20"/>
        <v>31</v>
      </c>
      <c r="F265" s="229" t="str">
        <f>IFERROR(_xlfn.XLOOKUP($A265,'Raw Data'!$A:$A,'Raw Data'!$BR:$BR),"")</f>
        <v/>
      </c>
      <c r="G265" s="230" t="str">
        <f>IFERROR(_xlfn.XLOOKUP($A265,'Raw Data'!$A:$A,'Raw Data'!$AO:$AO),"")</f>
        <v/>
      </c>
      <c r="H265" s="230"/>
      <c r="I265" s="230" t="str">
        <f>IFERROR(_xlfn.XLOOKUP($A265,'Raw Data'!$A:$A,'Raw Data'!$AR:$AR),"")</f>
        <v/>
      </c>
      <c r="J265" s="230"/>
      <c r="K265" s="230" t="str">
        <f>IFERROR(_xlfn.XLOOKUP($A265,'Raw Data'!$A:$A,'Raw Data'!$AV:$AV),"")</f>
        <v/>
      </c>
      <c r="L265" s="230" t="str">
        <f>IFERROR(_xlfn.XLOOKUP($A265,'Raw Data'!$A:$A,'Raw Data'!$AW:$AW),"")</f>
        <v/>
      </c>
      <c r="M265" s="230" t="str">
        <f>IFERROR(_xlfn.XLOOKUP($A265,'Raw Data'!$A:$A,'Raw Data'!$AX:$AX),"")</f>
        <v/>
      </c>
      <c r="N265" s="230" t="str">
        <f>IFERROR(_xlfn.XLOOKUP($A265,'Raw Data'!$A:$A,'Raw Data'!$AY:$AY),"")</f>
        <v/>
      </c>
      <c r="O265" s="231" t="str">
        <f>IFERROR(1-(SUMIF('Plant BD'!$B:$B,A265,'Plant BD'!$AE:$AE)/(AA265+SUMIF('Plant BD'!$B:$B,A265,'Plant BD'!$AE:$AE))),"")</f>
        <v/>
      </c>
      <c r="P265" s="231"/>
      <c r="Q265" s="232"/>
      <c r="R265" s="231" t="str">
        <f>IFERROR(1-(SUMIF('Grid BD'!$B:$B,$A265,'Grid BD'!$AD:$AD)/($AA265+SUMIF('Grid BD'!$B:$B,$A265,'Grid BD'!AD:AD))),"")</f>
        <v/>
      </c>
      <c r="S265" s="6"/>
      <c r="T265" s="232"/>
      <c r="U265" s="233" t="str">
        <f t="shared" si="17"/>
        <v/>
      </c>
      <c r="V265" s="233"/>
      <c r="W265" s="234" t="str">
        <f t="shared" si="19"/>
        <v/>
      </c>
      <c r="X265" s="227" t="str">
        <f>IFERROR(_xlfn.XLOOKUP($A265,'Raw Data'!$A:$A,'Raw Data'!$BA:$BA),"")</f>
        <v/>
      </c>
      <c r="Y265" s="227" t="str">
        <f>IFERROR(_xlfn.XLOOKUP($A265,'Raw Data'!$A:$A,'Raw Data'!BJ:BJ),"")</f>
        <v/>
      </c>
      <c r="Z265" s="227" t="str">
        <f>IFERROR(_xlfn.XLOOKUP($A265,'Raw Data'!$A:$A,'Raw Data'!BK:BK),"")</f>
        <v/>
      </c>
      <c r="AA265" s="227" t="str">
        <f>IFERROR(_xlfn.XLOOKUP($A265,'Raw Data'!$A:$A,'Raw Data'!BL:BL),"")</f>
        <v/>
      </c>
      <c r="AB265" s="227" t="str">
        <f>IFERROR(_xlfn.XLOOKUP($A265,'Raw Data'!$A:$A,'Raw Data'!$H:$H),"")</f>
        <v/>
      </c>
      <c r="AC265" s="145">
        <f>IFERROR(_xlfn.XLOOKUP($D265,'Modelling New'!$D:$D,'Modelling New'!$P:$P),"")</f>
        <v>6.4806451612903224</v>
      </c>
      <c r="AD265" s="227">
        <f>IFERROR(_xlfn.XLOOKUP($D265,'Modelling New'!$D:$D,'Modelling New'!$T:$T)*1000,"")</f>
        <v>111806.4041783969</v>
      </c>
      <c r="AE265" s="234">
        <f>IFERROR(_xlfn.XLOOKUP($D265,'Modelling New'!$D:$D,'Modelling New'!$O:$O),"")</f>
        <v>0.709882979577386</v>
      </c>
      <c r="AF265" s="234">
        <f>IFERROR(_xlfn.XLOOKUP($D265,'Modelling New'!$D:$D,'Modelling New'!$W:$W),"")</f>
        <v>0.19168748736168928</v>
      </c>
      <c r="AG265" s="234">
        <f>IFERROR(_xlfn.XLOOKUP($D265,'Modelling New'!$D:$D,'Modelling New'!AE:AE),"")</f>
        <v>0.995</v>
      </c>
      <c r="AH265" s="234">
        <v>0.99750000000000005</v>
      </c>
      <c r="AI265" s="6"/>
      <c r="AJ265" s="6"/>
      <c r="AK265" s="6"/>
      <c r="AL265" s="6"/>
      <c r="AM265" s="6"/>
      <c r="AN265" s="231"/>
      <c r="AO265" s="234"/>
      <c r="AP265" s="234"/>
      <c r="AQ265" s="234"/>
      <c r="AR265" s="227">
        <f>IFERROR(_xlfn.XLOOKUP($D265,'Modelling New'!$D:$D,'Modelling New'!$N:$N),"")</f>
        <v>24.303100000000001</v>
      </c>
      <c r="AS265" s="227"/>
    </row>
    <row r="266" spans="1:45" x14ac:dyDescent="0.35">
      <c r="A266" s="226">
        <f t="shared" si="18"/>
        <v>46009</v>
      </c>
      <c r="B266" s="227">
        <f>YEAR(Daily_KPI[[#This Row],[Date]])+IF(MONTH(Daily_KPI[[#This Row],[Date]])&gt;=4,1,0)</f>
        <v>2026</v>
      </c>
      <c r="C266" s="6">
        <f>YEAR(Daily_KPI[[#This Row],[Date]])</f>
        <v>2025</v>
      </c>
      <c r="D266" s="228">
        <f>Daily_KPI[[#This Row],[Date]]-DAY(Daily_KPI[[#This Row],[Date]])+1</f>
        <v>45992</v>
      </c>
      <c r="E266" s="6">
        <f t="shared" si="20"/>
        <v>31</v>
      </c>
      <c r="F266" s="229" t="str">
        <f>IFERROR(_xlfn.XLOOKUP($A266,'Raw Data'!$A:$A,'Raw Data'!$BR:$BR),"")</f>
        <v/>
      </c>
      <c r="G266" s="230" t="str">
        <f>IFERROR(_xlfn.XLOOKUP($A266,'Raw Data'!$A:$A,'Raw Data'!$AO:$AO),"")</f>
        <v/>
      </c>
      <c r="H266" s="230"/>
      <c r="I266" s="230" t="str">
        <f>IFERROR(_xlfn.XLOOKUP($A266,'Raw Data'!$A:$A,'Raw Data'!$AR:$AR),"")</f>
        <v/>
      </c>
      <c r="J266" s="230"/>
      <c r="K266" s="230" t="str">
        <f>IFERROR(_xlfn.XLOOKUP($A266,'Raw Data'!$A:$A,'Raw Data'!$AV:$AV),"")</f>
        <v/>
      </c>
      <c r="L266" s="230" t="str">
        <f>IFERROR(_xlfn.XLOOKUP($A266,'Raw Data'!$A:$A,'Raw Data'!$AW:$AW),"")</f>
        <v/>
      </c>
      <c r="M266" s="230" t="str">
        <f>IFERROR(_xlfn.XLOOKUP($A266,'Raw Data'!$A:$A,'Raw Data'!$AX:$AX),"")</f>
        <v/>
      </c>
      <c r="N266" s="230" t="str">
        <f>IFERROR(_xlfn.XLOOKUP($A266,'Raw Data'!$A:$A,'Raw Data'!$AY:$AY),"")</f>
        <v/>
      </c>
      <c r="O266" s="231" t="str">
        <f>IFERROR(1-(SUMIF('Plant BD'!$B:$B,A266,'Plant BD'!$AE:$AE)/(AA266+SUMIF('Plant BD'!$B:$B,A266,'Plant BD'!$AE:$AE))),"")</f>
        <v/>
      </c>
      <c r="P266" s="231"/>
      <c r="Q266" s="232"/>
      <c r="R266" s="231" t="str">
        <f>IFERROR(1-(SUMIF('Grid BD'!$B:$B,$A266,'Grid BD'!$AD:$AD)/($AA266+SUMIF('Grid BD'!$B:$B,$A266,'Grid BD'!AD:AD))),"")</f>
        <v/>
      </c>
      <c r="S266" s="6"/>
      <c r="T266" s="232"/>
      <c r="U266" s="233" t="str">
        <f t="shared" si="17"/>
        <v/>
      </c>
      <c r="V266" s="233"/>
      <c r="W266" s="234" t="str">
        <f t="shared" si="19"/>
        <v/>
      </c>
      <c r="X266" s="227" t="str">
        <f>IFERROR(_xlfn.XLOOKUP($A266,'Raw Data'!$A:$A,'Raw Data'!$BA:$BA),"")</f>
        <v/>
      </c>
      <c r="Y266" s="227" t="str">
        <f>IFERROR(_xlfn.XLOOKUP($A266,'Raw Data'!$A:$A,'Raw Data'!BJ:BJ),"")</f>
        <v/>
      </c>
      <c r="Z266" s="227" t="str">
        <f>IFERROR(_xlfn.XLOOKUP($A266,'Raw Data'!$A:$A,'Raw Data'!BK:BK),"")</f>
        <v/>
      </c>
      <c r="AA266" s="227" t="str">
        <f>IFERROR(_xlfn.XLOOKUP($A266,'Raw Data'!$A:$A,'Raw Data'!BL:BL),"")</f>
        <v/>
      </c>
      <c r="AB266" s="227" t="str">
        <f>IFERROR(_xlfn.XLOOKUP($A266,'Raw Data'!$A:$A,'Raw Data'!$H:$H),"")</f>
        <v/>
      </c>
      <c r="AC266" s="145">
        <f>IFERROR(_xlfn.XLOOKUP($D266,'Modelling New'!$D:$D,'Modelling New'!$P:$P),"")</f>
        <v>6.4806451612903224</v>
      </c>
      <c r="AD266" s="227">
        <f>IFERROR(_xlfn.XLOOKUP($D266,'Modelling New'!$D:$D,'Modelling New'!$T:$T)*1000,"")</f>
        <v>111806.4041783969</v>
      </c>
      <c r="AE266" s="234">
        <f>IFERROR(_xlfn.XLOOKUP($D266,'Modelling New'!$D:$D,'Modelling New'!$O:$O),"")</f>
        <v>0.709882979577386</v>
      </c>
      <c r="AF266" s="234">
        <f>IFERROR(_xlfn.XLOOKUP($D266,'Modelling New'!$D:$D,'Modelling New'!$W:$W),"")</f>
        <v>0.19168748736168928</v>
      </c>
      <c r="AG266" s="234">
        <f>IFERROR(_xlfn.XLOOKUP($D266,'Modelling New'!$D:$D,'Modelling New'!AE:AE),"")</f>
        <v>0.995</v>
      </c>
      <c r="AH266" s="234">
        <v>0.99750000000000005</v>
      </c>
      <c r="AI266" s="6"/>
      <c r="AJ266" s="6"/>
      <c r="AK266" s="6"/>
      <c r="AL266" s="6"/>
      <c r="AM266" s="6"/>
      <c r="AN266" s="231"/>
      <c r="AO266" s="234"/>
      <c r="AP266" s="234"/>
      <c r="AQ266" s="234"/>
      <c r="AR266" s="227">
        <f>IFERROR(_xlfn.XLOOKUP($D266,'Modelling New'!$D:$D,'Modelling New'!$N:$N),"")</f>
        <v>24.303100000000001</v>
      </c>
      <c r="AS266" s="227"/>
    </row>
    <row r="267" spans="1:45" x14ac:dyDescent="0.35">
      <c r="A267" s="226">
        <f t="shared" si="18"/>
        <v>46010</v>
      </c>
      <c r="B267" s="227">
        <f>YEAR(Daily_KPI[[#This Row],[Date]])+IF(MONTH(Daily_KPI[[#This Row],[Date]])&gt;=4,1,0)</f>
        <v>2026</v>
      </c>
      <c r="C267" s="6">
        <f>YEAR(Daily_KPI[[#This Row],[Date]])</f>
        <v>2025</v>
      </c>
      <c r="D267" s="228">
        <f>Daily_KPI[[#This Row],[Date]]-DAY(Daily_KPI[[#This Row],[Date]])+1</f>
        <v>45992</v>
      </c>
      <c r="E267" s="6">
        <f t="shared" si="20"/>
        <v>31</v>
      </c>
      <c r="F267" s="229" t="str">
        <f>IFERROR(_xlfn.XLOOKUP($A267,'Raw Data'!$A:$A,'Raw Data'!$BR:$BR),"")</f>
        <v/>
      </c>
      <c r="G267" s="230" t="str">
        <f>IFERROR(_xlfn.XLOOKUP($A267,'Raw Data'!$A:$A,'Raw Data'!$AO:$AO),"")</f>
        <v/>
      </c>
      <c r="H267" s="230"/>
      <c r="I267" s="230" t="str">
        <f>IFERROR(_xlfn.XLOOKUP($A267,'Raw Data'!$A:$A,'Raw Data'!$AR:$AR),"")</f>
        <v/>
      </c>
      <c r="J267" s="230"/>
      <c r="K267" s="230" t="str">
        <f>IFERROR(_xlfn.XLOOKUP($A267,'Raw Data'!$A:$A,'Raw Data'!$AV:$AV),"")</f>
        <v/>
      </c>
      <c r="L267" s="230" t="str">
        <f>IFERROR(_xlfn.XLOOKUP($A267,'Raw Data'!$A:$A,'Raw Data'!$AW:$AW),"")</f>
        <v/>
      </c>
      <c r="M267" s="230" t="str">
        <f>IFERROR(_xlfn.XLOOKUP($A267,'Raw Data'!$A:$A,'Raw Data'!$AX:$AX),"")</f>
        <v/>
      </c>
      <c r="N267" s="230" t="str">
        <f>IFERROR(_xlfn.XLOOKUP($A267,'Raw Data'!$A:$A,'Raw Data'!$AY:$AY),"")</f>
        <v/>
      </c>
      <c r="O267" s="231" t="str">
        <f>IFERROR(1-(SUMIF('Plant BD'!$B:$B,A267,'Plant BD'!$AE:$AE)/(AA267+SUMIF('Plant BD'!$B:$B,A267,'Plant BD'!$AE:$AE))),"")</f>
        <v/>
      </c>
      <c r="P267" s="231"/>
      <c r="Q267" s="232"/>
      <c r="R267" s="231" t="str">
        <f>IFERROR(1-(SUMIF('Grid BD'!$B:$B,$A267,'Grid BD'!$AD:$AD)/($AA267+SUMIF('Grid BD'!$B:$B,$A267,'Grid BD'!AD:AD))),"")</f>
        <v/>
      </c>
      <c r="S267" s="6"/>
      <c r="T267" s="232"/>
      <c r="U267" s="233" t="str">
        <f t="shared" si="17"/>
        <v/>
      </c>
      <c r="V267" s="233"/>
      <c r="W267" s="234" t="str">
        <f t="shared" si="19"/>
        <v/>
      </c>
      <c r="X267" s="227" t="str">
        <f>IFERROR(_xlfn.XLOOKUP($A267,'Raw Data'!$A:$A,'Raw Data'!$BA:$BA),"")</f>
        <v/>
      </c>
      <c r="Y267" s="227" t="str">
        <f>IFERROR(_xlfn.XLOOKUP($A267,'Raw Data'!$A:$A,'Raw Data'!BJ:BJ),"")</f>
        <v/>
      </c>
      <c r="Z267" s="227" t="str">
        <f>IFERROR(_xlfn.XLOOKUP($A267,'Raw Data'!$A:$A,'Raw Data'!BK:BK),"")</f>
        <v/>
      </c>
      <c r="AA267" s="227" t="str">
        <f>IFERROR(_xlfn.XLOOKUP($A267,'Raw Data'!$A:$A,'Raw Data'!BL:BL),"")</f>
        <v/>
      </c>
      <c r="AB267" s="227" t="str">
        <f>IFERROR(_xlfn.XLOOKUP($A267,'Raw Data'!$A:$A,'Raw Data'!$H:$H),"")</f>
        <v/>
      </c>
      <c r="AC267" s="145">
        <f>IFERROR(_xlfn.XLOOKUP($D267,'Modelling New'!$D:$D,'Modelling New'!$P:$P),"")</f>
        <v>6.4806451612903224</v>
      </c>
      <c r="AD267" s="227">
        <f>IFERROR(_xlfn.XLOOKUP($D267,'Modelling New'!$D:$D,'Modelling New'!$T:$T)*1000,"")</f>
        <v>111806.4041783969</v>
      </c>
      <c r="AE267" s="234">
        <f>IFERROR(_xlfn.XLOOKUP($D267,'Modelling New'!$D:$D,'Modelling New'!$O:$O),"")</f>
        <v>0.709882979577386</v>
      </c>
      <c r="AF267" s="234">
        <f>IFERROR(_xlfn.XLOOKUP($D267,'Modelling New'!$D:$D,'Modelling New'!$W:$W),"")</f>
        <v>0.19168748736168928</v>
      </c>
      <c r="AG267" s="234">
        <f>IFERROR(_xlfn.XLOOKUP($D267,'Modelling New'!$D:$D,'Modelling New'!AE:AE),"")</f>
        <v>0.995</v>
      </c>
      <c r="AH267" s="234">
        <v>0.99750000000000005</v>
      </c>
      <c r="AI267" s="6"/>
      <c r="AJ267" s="6"/>
      <c r="AK267" s="6"/>
      <c r="AL267" s="6"/>
      <c r="AM267" s="6"/>
      <c r="AN267" s="231"/>
      <c r="AO267" s="234"/>
      <c r="AP267" s="234"/>
      <c r="AQ267" s="234"/>
      <c r="AR267" s="227">
        <f>IFERROR(_xlfn.XLOOKUP($D267,'Modelling New'!$D:$D,'Modelling New'!$N:$N),"")</f>
        <v>24.303100000000001</v>
      </c>
      <c r="AS267" s="227"/>
    </row>
    <row r="268" spans="1:45" x14ac:dyDescent="0.35">
      <c r="A268" s="226">
        <f t="shared" si="18"/>
        <v>46011</v>
      </c>
      <c r="B268" s="227">
        <f>YEAR(Daily_KPI[[#This Row],[Date]])+IF(MONTH(Daily_KPI[[#This Row],[Date]])&gt;=4,1,0)</f>
        <v>2026</v>
      </c>
      <c r="C268" s="6">
        <f>YEAR(Daily_KPI[[#This Row],[Date]])</f>
        <v>2025</v>
      </c>
      <c r="D268" s="228">
        <f>Daily_KPI[[#This Row],[Date]]-DAY(Daily_KPI[[#This Row],[Date]])+1</f>
        <v>45992</v>
      </c>
      <c r="E268" s="6">
        <f t="shared" si="20"/>
        <v>31</v>
      </c>
      <c r="F268" s="229" t="str">
        <f>IFERROR(_xlfn.XLOOKUP($A268,'Raw Data'!$A:$A,'Raw Data'!$BR:$BR),"")</f>
        <v/>
      </c>
      <c r="G268" s="230" t="str">
        <f>IFERROR(_xlfn.XLOOKUP($A268,'Raw Data'!$A:$A,'Raw Data'!$AO:$AO),"")</f>
        <v/>
      </c>
      <c r="H268" s="230"/>
      <c r="I268" s="230" t="str">
        <f>IFERROR(_xlfn.XLOOKUP($A268,'Raw Data'!$A:$A,'Raw Data'!$AR:$AR),"")</f>
        <v/>
      </c>
      <c r="J268" s="230"/>
      <c r="K268" s="230" t="str">
        <f>IFERROR(_xlfn.XLOOKUP($A268,'Raw Data'!$A:$A,'Raw Data'!$AV:$AV),"")</f>
        <v/>
      </c>
      <c r="L268" s="230" t="str">
        <f>IFERROR(_xlfn.XLOOKUP($A268,'Raw Data'!$A:$A,'Raw Data'!$AW:$AW),"")</f>
        <v/>
      </c>
      <c r="M268" s="230" t="str">
        <f>IFERROR(_xlfn.XLOOKUP($A268,'Raw Data'!$A:$A,'Raw Data'!$AX:$AX),"")</f>
        <v/>
      </c>
      <c r="N268" s="230" t="str">
        <f>IFERROR(_xlfn.XLOOKUP($A268,'Raw Data'!$A:$A,'Raw Data'!$AY:$AY),"")</f>
        <v/>
      </c>
      <c r="O268" s="231" t="str">
        <f>IFERROR(1-(SUMIF('Plant BD'!$B:$B,A268,'Plant BD'!$AE:$AE)/(AA268+SUMIF('Plant BD'!$B:$B,A268,'Plant BD'!$AE:$AE))),"")</f>
        <v/>
      </c>
      <c r="P268" s="231"/>
      <c r="Q268" s="232"/>
      <c r="R268" s="231" t="str">
        <f>IFERROR(1-(SUMIF('Grid BD'!$B:$B,$A268,'Grid BD'!$AD:$AD)/($AA268+SUMIF('Grid BD'!$B:$B,$A268,'Grid BD'!AD:AD))),"")</f>
        <v/>
      </c>
      <c r="S268" s="6"/>
      <c r="T268" s="232"/>
      <c r="U268" s="233" t="str">
        <f t="shared" si="17"/>
        <v/>
      </c>
      <c r="V268" s="233"/>
      <c r="W268" s="234" t="str">
        <f t="shared" si="19"/>
        <v/>
      </c>
      <c r="X268" s="227" t="str">
        <f>IFERROR(_xlfn.XLOOKUP($A268,'Raw Data'!$A:$A,'Raw Data'!$BA:$BA),"")</f>
        <v/>
      </c>
      <c r="Y268" s="227" t="str">
        <f>IFERROR(_xlfn.XLOOKUP($A268,'Raw Data'!$A:$A,'Raw Data'!BJ:BJ),"")</f>
        <v/>
      </c>
      <c r="Z268" s="227" t="str">
        <f>IFERROR(_xlfn.XLOOKUP($A268,'Raw Data'!$A:$A,'Raw Data'!BK:BK),"")</f>
        <v/>
      </c>
      <c r="AA268" s="227" t="str">
        <f>IFERROR(_xlfn.XLOOKUP($A268,'Raw Data'!$A:$A,'Raw Data'!BL:BL),"")</f>
        <v/>
      </c>
      <c r="AB268" s="227" t="str">
        <f>IFERROR(_xlfn.XLOOKUP($A268,'Raw Data'!$A:$A,'Raw Data'!$H:$H),"")</f>
        <v/>
      </c>
      <c r="AC268" s="145">
        <f>IFERROR(_xlfn.XLOOKUP($D268,'Modelling New'!$D:$D,'Modelling New'!$P:$P),"")</f>
        <v>6.4806451612903224</v>
      </c>
      <c r="AD268" s="227">
        <f>IFERROR(_xlfn.XLOOKUP($D268,'Modelling New'!$D:$D,'Modelling New'!$T:$T)*1000,"")</f>
        <v>111806.4041783969</v>
      </c>
      <c r="AE268" s="234">
        <f>IFERROR(_xlfn.XLOOKUP($D268,'Modelling New'!$D:$D,'Modelling New'!$O:$O),"")</f>
        <v>0.709882979577386</v>
      </c>
      <c r="AF268" s="234">
        <f>IFERROR(_xlfn.XLOOKUP($D268,'Modelling New'!$D:$D,'Modelling New'!$W:$W),"")</f>
        <v>0.19168748736168928</v>
      </c>
      <c r="AG268" s="234">
        <f>IFERROR(_xlfn.XLOOKUP($D268,'Modelling New'!$D:$D,'Modelling New'!AE:AE),"")</f>
        <v>0.995</v>
      </c>
      <c r="AH268" s="234">
        <v>0.99750000000000005</v>
      </c>
      <c r="AI268" s="6"/>
      <c r="AJ268" s="6"/>
      <c r="AK268" s="6"/>
      <c r="AL268" s="6"/>
      <c r="AM268" s="6"/>
      <c r="AN268" s="231"/>
      <c r="AO268" s="234"/>
      <c r="AP268" s="234"/>
      <c r="AQ268" s="234"/>
      <c r="AR268" s="227">
        <f>IFERROR(_xlfn.XLOOKUP($D268,'Modelling New'!$D:$D,'Modelling New'!$N:$N),"")</f>
        <v>24.303100000000001</v>
      </c>
      <c r="AS268" s="227"/>
    </row>
    <row r="269" spans="1:45" x14ac:dyDescent="0.35">
      <c r="A269" s="226">
        <f t="shared" si="18"/>
        <v>46012</v>
      </c>
      <c r="B269" s="227">
        <f>YEAR(Daily_KPI[[#This Row],[Date]])+IF(MONTH(Daily_KPI[[#This Row],[Date]])&gt;=4,1,0)</f>
        <v>2026</v>
      </c>
      <c r="C269" s="6">
        <f>YEAR(Daily_KPI[[#This Row],[Date]])</f>
        <v>2025</v>
      </c>
      <c r="D269" s="228">
        <f>Daily_KPI[[#This Row],[Date]]-DAY(Daily_KPI[[#This Row],[Date]])+1</f>
        <v>45992</v>
      </c>
      <c r="E269" s="6">
        <f t="shared" si="20"/>
        <v>31</v>
      </c>
      <c r="F269" s="229" t="str">
        <f>IFERROR(_xlfn.XLOOKUP($A269,'Raw Data'!$A:$A,'Raw Data'!$BR:$BR),"")</f>
        <v/>
      </c>
      <c r="G269" s="230" t="str">
        <f>IFERROR(_xlfn.XLOOKUP($A269,'Raw Data'!$A:$A,'Raw Data'!$AO:$AO),"")</f>
        <v/>
      </c>
      <c r="H269" s="230"/>
      <c r="I269" s="230" t="str">
        <f>IFERROR(_xlfn.XLOOKUP($A269,'Raw Data'!$A:$A,'Raw Data'!$AR:$AR),"")</f>
        <v/>
      </c>
      <c r="J269" s="230"/>
      <c r="K269" s="230" t="str">
        <f>IFERROR(_xlfn.XLOOKUP($A269,'Raw Data'!$A:$A,'Raw Data'!$AV:$AV),"")</f>
        <v/>
      </c>
      <c r="L269" s="230" t="str">
        <f>IFERROR(_xlfn.XLOOKUP($A269,'Raw Data'!$A:$A,'Raw Data'!$AW:$AW),"")</f>
        <v/>
      </c>
      <c r="M269" s="230" t="str">
        <f>IFERROR(_xlfn.XLOOKUP($A269,'Raw Data'!$A:$A,'Raw Data'!$AX:$AX),"")</f>
        <v/>
      </c>
      <c r="N269" s="230" t="str">
        <f>IFERROR(_xlfn.XLOOKUP($A269,'Raw Data'!$A:$A,'Raw Data'!$AY:$AY),"")</f>
        <v/>
      </c>
      <c r="O269" s="231" t="str">
        <f>IFERROR(1-(SUMIF('Plant BD'!$B:$B,A269,'Plant BD'!$AE:$AE)/(AA269+SUMIF('Plant BD'!$B:$B,A269,'Plant BD'!$AE:$AE))),"")</f>
        <v/>
      </c>
      <c r="P269" s="231"/>
      <c r="Q269" s="232"/>
      <c r="R269" s="231" t="str">
        <f>IFERROR(1-(SUMIF('Grid BD'!$B:$B,$A269,'Grid BD'!$AD:$AD)/($AA269+SUMIF('Grid BD'!$B:$B,$A269,'Grid BD'!AD:AD))),"")</f>
        <v/>
      </c>
      <c r="S269" s="6"/>
      <c r="T269" s="232"/>
      <c r="U269" s="233" t="str">
        <f t="shared" si="17"/>
        <v/>
      </c>
      <c r="V269" s="233"/>
      <c r="W269" s="234" t="str">
        <f t="shared" si="19"/>
        <v/>
      </c>
      <c r="X269" s="227" t="str">
        <f>IFERROR(_xlfn.XLOOKUP($A269,'Raw Data'!$A:$A,'Raw Data'!$BA:$BA),"")</f>
        <v/>
      </c>
      <c r="Y269" s="227" t="str">
        <f>IFERROR(_xlfn.XLOOKUP($A269,'Raw Data'!$A:$A,'Raw Data'!BJ:BJ),"")</f>
        <v/>
      </c>
      <c r="Z269" s="227" t="str">
        <f>IFERROR(_xlfn.XLOOKUP($A269,'Raw Data'!$A:$A,'Raw Data'!BK:BK),"")</f>
        <v/>
      </c>
      <c r="AA269" s="227" t="str">
        <f>IFERROR(_xlfn.XLOOKUP($A269,'Raw Data'!$A:$A,'Raw Data'!BL:BL),"")</f>
        <v/>
      </c>
      <c r="AB269" s="227" t="str">
        <f>IFERROR(_xlfn.XLOOKUP($A269,'Raw Data'!$A:$A,'Raw Data'!$H:$H),"")</f>
        <v/>
      </c>
      <c r="AC269" s="145">
        <f>IFERROR(_xlfn.XLOOKUP($D269,'Modelling New'!$D:$D,'Modelling New'!$P:$P),"")</f>
        <v>6.4806451612903224</v>
      </c>
      <c r="AD269" s="227">
        <f>IFERROR(_xlfn.XLOOKUP($D269,'Modelling New'!$D:$D,'Modelling New'!$T:$T)*1000,"")</f>
        <v>111806.4041783969</v>
      </c>
      <c r="AE269" s="234">
        <f>IFERROR(_xlfn.XLOOKUP($D269,'Modelling New'!$D:$D,'Modelling New'!$O:$O),"")</f>
        <v>0.709882979577386</v>
      </c>
      <c r="AF269" s="234">
        <f>IFERROR(_xlfn.XLOOKUP($D269,'Modelling New'!$D:$D,'Modelling New'!$W:$W),"")</f>
        <v>0.19168748736168928</v>
      </c>
      <c r="AG269" s="234">
        <f>IFERROR(_xlfn.XLOOKUP($D269,'Modelling New'!$D:$D,'Modelling New'!AE:AE),"")</f>
        <v>0.995</v>
      </c>
      <c r="AH269" s="234">
        <v>0.99750000000000005</v>
      </c>
      <c r="AI269" s="6"/>
      <c r="AJ269" s="6"/>
      <c r="AK269" s="6"/>
      <c r="AL269" s="6"/>
      <c r="AM269" s="6"/>
      <c r="AN269" s="231"/>
      <c r="AO269" s="234"/>
      <c r="AP269" s="234"/>
      <c r="AQ269" s="234"/>
      <c r="AR269" s="227">
        <f>IFERROR(_xlfn.XLOOKUP($D269,'Modelling New'!$D:$D,'Modelling New'!$N:$N),"")</f>
        <v>24.303100000000001</v>
      </c>
      <c r="AS269" s="227"/>
    </row>
    <row r="270" spans="1:45" x14ac:dyDescent="0.35">
      <c r="A270" s="226">
        <f t="shared" si="18"/>
        <v>46013</v>
      </c>
      <c r="B270" s="227">
        <f>YEAR(Daily_KPI[[#This Row],[Date]])+IF(MONTH(Daily_KPI[[#This Row],[Date]])&gt;=4,1,0)</f>
        <v>2026</v>
      </c>
      <c r="C270" s="6">
        <f>YEAR(Daily_KPI[[#This Row],[Date]])</f>
        <v>2025</v>
      </c>
      <c r="D270" s="228">
        <f>Daily_KPI[[#This Row],[Date]]-DAY(Daily_KPI[[#This Row],[Date]])+1</f>
        <v>45992</v>
      </c>
      <c r="E270" s="6">
        <f t="shared" si="20"/>
        <v>31</v>
      </c>
      <c r="F270" s="229" t="str">
        <f>IFERROR(_xlfn.XLOOKUP($A270,'Raw Data'!$A:$A,'Raw Data'!$BR:$BR),"")</f>
        <v/>
      </c>
      <c r="G270" s="230" t="str">
        <f>IFERROR(_xlfn.XLOOKUP($A270,'Raw Data'!$A:$A,'Raw Data'!$AO:$AO),"")</f>
        <v/>
      </c>
      <c r="H270" s="230"/>
      <c r="I270" s="230" t="str">
        <f>IFERROR(_xlfn.XLOOKUP($A270,'Raw Data'!$A:$A,'Raw Data'!$AR:$AR),"")</f>
        <v/>
      </c>
      <c r="J270" s="230"/>
      <c r="K270" s="230" t="str">
        <f>IFERROR(_xlfn.XLOOKUP($A270,'Raw Data'!$A:$A,'Raw Data'!$AV:$AV),"")</f>
        <v/>
      </c>
      <c r="L270" s="230" t="str">
        <f>IFERROR(_xlfn.XLOOKUP($A270,'Raw Data'!$A:$A,'Raw Data'!$AW:$AW),"")</f>
        <v/>
      </c>
      <c r="M270" s="230" t="str">
        <f>IFERROR(_xlfn.XLOOKUP($A270,'Raw Data'!$A:$A,'Raw Data'!$AX:$AX),"")</f>
        <v/>
      </c>
      <c r="N270" s="230" t="str">
        <f>IFERROR(_xlfn.XLOOKUP($A270,'Raw Data'!$A:$A,'Raw Data'!$AY:$AY),"")</f>
        <v/>
      </c>
      <c r="O270" s="231" t="str">
        <f>IFERROR(1-(SUMIF('Plant BD'!$B:$B,A270,'Plant BD'!$AE:$AE)/(AA270+SUMIF('Plant BD'!$B:$B,A270,'Plant BD'!$AE:$AE))),"")</f>
        <v/>
      </c>
      <c r="P270" s="231"/>
      <c r="Q270" s="232"/>
      <c r="R270" s="231" t="str">
        <f>IFERROR(1-(SUMIF('Grid BD'!$B:$B,$A270,'Grid BD'!$AD:$AD)/($AA270+SUMIF('Grid BD'!$B:$B,$A270,'Grid BD'!AD:AD))),"")</f>
        <v/>
      </c>
      <c r="S270" s="6"/>
      <c r="T270" s="232"/>
      <c r="U270" s="233" t="str">
        <f t="shared" si="17"/>
        <v/>
      </c>
      <c r="V270" s="233"/>
      <c r="W270" s="234" t="str">
        <f t="shared" si="19"/>
        <v/>
      </c>
      <c r="X270" s="227" t="str">
        <f>IFERROR(_xlfn.XLOOKUP($A270,'Raw Data'!$A:$A,'Raw Data'!$BA:$BA),"")</f>
        <v/>
      </c>
      <c r="Y270" s="227" t="str">
        <f>IFERROR(_xlfn.XLOOKUP($A270,'Raw Data'!$A:$A,'Raw Data'!BJ:BJ),"")</f>
        <v/>
      </c>
      <c r="Z270" s="227" t="str">
        <f>IFERROR(_xlfn.XLOOKUP($A270,'Raw Data'!$A:$A,'Raw Data'!BK:BK),"")</f>
        <v/>
      </c>
      <c r="AA270" s="227" t="str">
        <f>IFERROR(_xlfn.XLOOKUP($A270,'Raw Data'!$A:$A,'Raw Data'!BL:BL),"")</f>
        <v/>
      </c>
      <c r="AB270" s="227" t="str">
        <f>IFERROR(_xlfn.XLOOKUP($A270,'Raw Data'!$A:$A,'Raw Data'!$H:$H),"")</f>
        <v/>
      </c>
      <c r="AC270" s="145">
        <f>IFERROR(_xlfn.XLOOKUP($D270,'Modelling New'!$D:$D,'Modelling New'!$P:$P),"")</f>
        <v>6.4806451612903224</v>
      </c>
      <c r="AD270" s="227">
        <f>IFERROR(_xlfn.XLOOKUP($D270,'Modelling New'!$D:$D,'Modelling New'!$T:$T)*1000,"")</f>
        <v>111806.4041783969</v>
      </c>
      <c r="AE270" s="234">
        <f>IFERROR(_xlfn.XLOOKUP($D270,'Modelling New'!$D:$D,'Modelling New'!$O:$O),"")</f>
        <v>0.709882979577386</v>
      </c>
      <c r="AF270" s="234">
        <f>IFERROR(_xlfn.XLOOKUP($D270,'Modelling New'!$D:$D,'Modelling New'!$W:$W),"")</f>
        <v>0.19168748736168928</v>
      </c>
      <c r="AG270" s="234">
        <f>IFERROR(_xlfn.XLOOKUP($D270,'Modelling New'!$D:$D,'Modelling New'!AE:AE),"")</f>
        <v>0.995</v>
      </c>
      <c r="AH270" s="234">
        <v>0.99750000000000005</v>
      </c>
      <c r="AI270" s="6"/>
      <c r="AJ270" s="6"/>
      <c r="AK270" s="6"/>
      <c r="AL270" s="6"/>
      <c r="AM270" s="6"/>
      <c r="AN270" s="231"/>
      <c r="AO270" s="234"/>
      <c r="AP270" s="234"/>
      <c r="AQ270" s="234"/>
      <c r="AR270" s="227">
        <f>IFERROR(_xlfn.XLOOKUP($D270,'Modelling New'!$D:$D,'Modelling New'!$N:$N),"")</f>
        <v>24.303100000000001</v>
      </c>
      <c r="AS270" s="227"/>
    </row>
    <row r="271" spans="1:45" x14ac:dyDescent="0.35">
      <c r="A271" s="226">
        <f t="shared" si="18"/>
        <v>46014</v>
      </c>
      <c r="B271" s="227">
        <f>YEAR(Daily_KPI[[#This Row],[Date]])+IF(MONTH(Daily_KPI[[#This Row],[Date]])&gt;=4,1,0)</f>
        <v>2026</v>
      </c>
      <c r="C271" s="6">
        <f>YEAR(Daily_KPI[[#This Row],[Date]])</f>
        <v>2025</v>
      </c>
      <c r="D271" s="228">
        <f>Daily_KPI[[#This Row],[Date]]-DAY(Daily_KPI[[#This Row],[Date]])+1</f>
        <v>45992</v>
      </c>
      <c r="E271" s="6">
        <f t="shared" si="20"/>
        <v>31</v>
      </c>
      <c r="F271" s="229" t="str">
        <f>IFERROR(_xlfn.XLOOKUP($A271,'Raw Data'!$A:$A,'Raw Data'!$BR:$BR),"")</f>
        <v/>
      </c>
      <c r="G271" s="230" t="str">
        <f>IFERROR(_xlfn.XLOOKUP($A271,'Raw Data'!$A:$A,'Raw Data'!$AO:$AO),"")</f>
        <v/>
      </c>
      <c r="H271" s="230"/>
      <c r="I271" s="230" t="str">
        <f>IFERROR(_xlfn.XLOOKUP($A271,'Raw Data'!$A:$A,'Raw Data'!$AR:$AR),"")</f>
        <v/>
      </c>
      <c r="J271" s="230"/>
      <c r="K271" s="230" t="str">
        <f>IFERROR(_xlfn.XLOOKUP($A271,'Raw Data'!$A:$A,'Raw Data'!$AV:$AV),"")</f>
        <v/>
      </c>
      <c r="L271" s="230" t="str">
        <f>IFERROR(_xlfn.XLOOKUP($A271,'Raw Data'!$A:$A,'Raw Data'!$AW:$AW),"")</f>
        <v/>
      </c>
      <c r="M271" s="230" t="str">
        <f>IFERROR(_xlfn.XLOOKUP($A271,'Raw Data'!$A:$A,'Raw Data'!$AX:$AX),"")</f>
        <v/>
      </c>
      <c r="N271" s="230" t="str">
        <f>IFERROR(_xlfn.XLOOKUP($A271,'Raw Data'!$A:$A,'Raw Data'!$AY:$AY),"")</f>
        <v/>
      </c>
      <c r="O271" s="231" t="str">
        <f>IFERROR(1-(SUMIF('Plant BD'!$B:$B,A271,'Plant BD'!$AE:$AE)/(AA271+SUMIF('Plant BD'!$B:$B,A271,'Plant BD'!$AE:$AE))),"")</f>
        <v/>
      </c>
      <c r="P271" s="231"/>
      <c r="Q271" s="232"/>
      <c r="R271" s="231" t="str">
        <f>IFERROR(1-(SUMIF('Grid BD'!$B:$B,$A271,'Grid BD'!$AD:$AD)/($AA271+SUMIF('Grid BD'!$B:$B,$A271,'Grid BD'!AD:AD))),"")</f>
        <v/>
      </c>
      <c r="S271" s="6"/>
      <c r="T271" s="232"/>
      <c r="U271" s="233" t="str">
        <f t="shared" si="17"/>
        <v/>
      </c>
      <c r="V271" s="233"/>
      <c r="W271" s="234" t="str">
        <f t="shared" si="19"/>
        <v/>
      </c>
      <c r="X271" s="227" t="str">
        <f>IFERROR(_xlfn.XLOOKUP($A271,'Raw Data'!$A:$A,'Raw Data'!$BA:$BA),"")</f>
        <v/>
      </c>
      <c r="Y271" s="227" t="str">
        <f>IFERROR(_xlfn.XLOOKUP($A271,'Raw Data'!$A:$A,'Raw Data'!BJ:BJ),"")</f>
        <v/>
      </c>
      <c r="Z271" s="227" t="str">
        <f>IFERROR(_xlfn.XLOOKUP($A271,'Raw Data'!$A:$A,'Raw Data'!BK:BK),"")</f>
        <v/>
      </c>
      <c r="AA271" s="227" t="str">
        <f>IFERROR(_xlfn.XLOOKUP($A271,'Raw Data'!$A:$A,'Raw Data'!BL:BL),"")</f>
        <v/>
      </c>
      <c r="AB271" s="227" t="str">
        <f>IFERROR(_xlfn.XLOOKUP($A271,'Raw Data'!$A:$A,'Raw Data'!$H:$H),"")</f>
        <v/>
      </c>
      <c r="AC271" s="145">
        <f>IFERROR(_xlfn.XLOOKUP($D271,'Modelling New'!$D:$D,'Modelling New'!$P:$P),"")</f>
        <v>6.4806451612903224</v>
      </c>
      <c r="AD271" s="227">
        <f>IFERROR(_xlfn.XLOOKUP($D271,'Modelling New'!$D:$D,'Modelling New'!$T:$T)*1000,"")</f>
        <v>111806.4041783969</v>
      </c>
      <c r="AE271" s="234">
        <f>IFERROR(_xlfn.XLOOKUP($D271,'Modelling New'!$D:$D,'Modelling New'!$O:$O),"")</f>
        <v>0.709882979577386</v>
      </c>
      <c r="AF271" s="234">
        <f>IFERROR(_xlfn.XLOOKUP($D271,'Modelling New'!$D:$D,'Modelling New'!$W:$W),"")</f>
        <v>0.19168748736168928</v>
      </c>
      <c r="AG271" s="234">
        <f>IFERROR(_xlfn.XLOOKUP($D271,'Modelling New'!$D:$D,'Modelling New'!AE:AE),"")</f>
        <v>0.995</v>
      </c>
      <c r="AH271" s="234">
        <v>0.99750000000000005</v>
      </c>
      <c r="AI271" s="6"/>
      <c r="AJ271" s="6"/>
      <c r="AK271" s="6"/>
      <c r="AL271" s="6"/>
      <c r="AM271" s="6"/>
      <c r="AN271" s="231"/>
      <c r="AO271" s="234"/>
      <c r="AP271" s="234"/>
      <c r="AQ271" s="234"/>
      <c r="AR271" s="227">
        <f>IFERROR(_xlfn.XLOOKUP($D271,'Modelling New'!$D:$D,'Modelling New'!$N:$N),"")</f>
        <v>24.303100000000001</v>
      </c>
      <c r="AS271" s="227"/>
    </row>
    <row r="272" spans="1:45" x14ac:dyDescent="0.35">
      <c r="A272" s="226">
        <f t="shared" si="18"/>
        <v>46015</v>
      </c>
      <c r="B272" s="227">
        <f>YEAR(Daily_KPI[[#This Row],[Date]])+IF(MONTH(Daily_KPI[[#This Row],[Date]])&gt;=4,1,0)</f>
        <v>2026</v>
      </c>
      <c r="C272" s="6">
        <f>YEAR(Daily_KPI[[#This Row],[Date]])</f>
        <v>2025</v>
      </c>
      <c r="D272" s="228">
        <f>Daily_KPI[[#This Row],[Date]]-DAY(Daily_KPI[[#This Row],[Date]])+1</f>
        <v>45992</v>
      </c>
      <c r="E272" s="6">
        <f t="shared" si="20"/>
        <v>31</v>
      </c>
      <c r="F272" s="229" t="str">
        <f>IFERROR(_xlfn.XLOOKUP($A272,'Raw Data'!$A:$A,'Raw Data'!$BR:$BR),"")</f>
        <v/>
      </c>
      <c r="G272" s="230" t="str">
        <f>IFERROR(_xlfn.XLOOKUP($A272,'Raw Data'!$A:$A,'Raw Data'!$AO:$AO),"")</f>
        <v/>
      </c>
      <c r="H272" s="230"/>
      <c r="I272" s="230" t="str">
        <f>IFERROR(_xlfn.XLOOKUP($A272,'Raw Data'!$A:$A,'Raw Data'!$AR:$AR),"")</f>
        <v/>
      </c>
      <c r="J272" s="230"/>
      <c r="K272" s="230" t="str">
        <f>IFERROR(_xlfn.XLOOKUP($A272,'Raw Data'!$A:$A,'Raw Data'!$AV:$AV),"")</f>
        <v/>
      </c>
      <c r="L272" s="230" t="str">
        <f>IFERROR(_xlfn.XLOOKUP($A272,'Raw Data'!$A:$A,'Raw Data'!$AW:$AW),"")</f>
        <v/>
      </c>
      <c r="M272" s="230" t="str">
        <f>IFERROR(_xlfn.XLOOKUP($A272,'Raw Data'!$A:$A,'Raw Data'!$AX:$AX),"")</f>
        <v/>
      </c>
      <c r="N272" s="230" t="str">
        <f>IFERROR(_xlfn.XLOOKUP($A272,'Raw Data'!$A:$A,'Raw Data'!$AY:$AY),"")</f>
        <v/>
      </c>
      <c r="O272" s="231" t="str">
        <f>IFERROR(1-(SUMIF('Plant BD'!$B:$B,A272,'Plant BD'!$AE:$AE)/(AA272+SUMIF('Plant BD'!$B:$B,A272,'Plant BD'!$AE:$AE))),"")</f>
        <v/>
      </c>
      <c r="P272" s="231"/>
      <c r="Q272" s="232"/>
      <c r="R272" s="231" t="str">
        <f>IFERROR(1-(SUMIF('Grid BD'!$B:$B,$A272,'Grid BD'!$AD:$AD)/($AA272+SUMIF('Grid BD'!$B:$B,$A272,'Grid BD'!AD:AD))),"")</f>
        <v/>
      </c>
      <c r="S272" s="6"/>
      <c r="T272" s="232"/>
      <c r="U272" s="233" t="str">
        <f t="shared" si="17"/>
        <v/>
      </c>
      <c r="V272" s="233"/>
      <c r="W272" s="234" t="str">
        <f t="shared" si="19"/>
        <v/>
      </c>
      <c r="X272" s="227" t="str">
        <f>IFERROR(_xlfn.XLOOKUP($A272,'Raw Data'!$A:$A,'Raw Data'!$BA:$BA),"")</f>
        <v/>
      </c>
      <c r="Y272" s="227" t="str">
        <f>IFERROR(_xlfn.XLOOKUP($A272,'Raw Data'!$A:$A,'Raw Data'!BJ:BJ),"")</f>
        <v/>
      </c>
      <c r="Z272" s="227" t="str">
        <f>IFERROR(_xlfn.XLOOKUP($A272,'Raw Data'!$A:$A,'Raw Data'!BK:BK),"")</f>
        <v/>
      </c>
      <c r="AA272" s="227" t="str">
        <f>IFERROR(_xlfn.XLOOKUP($A272,'Raw Data'!$A:$A,'Raw Data'!BL:BL),"")</f>
        <v/>
      </c>
      <c r="AB272" s="227" t="str">
        <f>IFERROR(_xlfn.XLOOKUP($A272,'Raw Data'!$A:$A,'Raw Data'!$H:$H),"")</f>
        <v/>
      </c>
      <c r="AC272" s="145">
        <f>IFERROR(_xlfn.XLOOKUP($D272,'Modelling New'!$D:$D,'Modelling New'!$P:$P),"")</f>
        <v>6.4806451612903224</v>
      </c>
      <c r="AD272" s="227">
        <f>IFERROR(_xlfn.XLOOKUP($D272,'Modelling New'!$D:$D,'Modelling New'!$T:$T)*1000,"")</f>
        <v>111806.4041783969</v>
      </c>
      <c r="AE272" s="234">
        <f>IFERROR(_xlfn.XLOOKUP($D272,'Modelling New'!$D:$D,'Modelling New'!$O:$O),"")</f>
        <v>0.709882979577386</v>
      </c>
      <c r="AF272" s="234">
        <f>IFERROR(_xlfn.XLOOKUP($D272,'Modelling New'!$D:$D,'Modelling New'!$W:$W),"")</f>
        <v>0.19168748736168928</v>
      </c>
      <c r="AG272" s="234">
        <f>IFERROR(_xlfn.XLOOKUP($D272,'Modelling New'!$D:$D,'Modelling New'!AE:AE),"")</f>
        <v>0.995</v>
      </c>
      <c r="AH272" s="234">
        <v>0.99750000000000005</v>
      </c>
      <c r="AI272" s="6"/>
      <c r="AJ272" s="6"/>
      <c r="AK272" s="6"/>
      <c r="AL272" s="6"/>
      <c r="AM272" s="6"/>
      <c r="AN272" s="231"/>
      <c r="AO272" s="234"/>
      <c r="AP272" s="234"/>
      <c r="AQ272" s="234"/>
      <c r="AR272" s="227">
        <f>IFERROR(_xlfn.XLOOKUP($D272,'Modelling New'!$D:$D,'Modelling New'!$N:$N),"")</f>
        <v>24.303100000000001</v>
      </c>
      <c r="AS272" s="227"/>
    </row>
    <row r="273" spans="1:45" x14ac:dyDescent="0.35">
      <c r="A273" s="226">
        <f t="shared" si="18"/>
        <v>46016</v>
      </c>
      <c r="B273" s="227">
        <f>YEAR(Daily_KPI[[#This Row],[Date]])+IF(MONTH(Daily_KPI[[#This Row],[Date]])&gt;=4,1,0)</f>
        <v>2026</v>
      </c>
      <c r="C273" s="6">
        <f>YEAR(Daily_KPI[[#This Row],[Date]])</f>
        <v>2025</v>
      </c>
      <c r="D273" s="228">
        <f>Daily_KPI[[#This Row],[Date]]-DAY(Daily_KPI[[#This Row],[Date]])+1</f>
        <v>45992</v>
      </c>
      <c r="E273" s="6">
        <f t="shared" si="20"/>
        <v>31</v>
      </c>
      <c r="F273" s="229" t="str">
        <f>IFERROR(_xlfn.XLOOKUP($A273,'Raw Data'!$A:$A,'Raw Data'!$BR:$BR),"")</f>
        <v/>
      </c>
      <c r="G273" s="230" t="str">
        <f>IFERROR(_xlfn.XLOOKUP($A273,'Raw Data'!$A:$A,'Raw Data'!$AO:$AO),"")</f>
        <v/>
      </c>
      <c r="H273" s="230"/>
      <c r="I273" s="230" t="str">
        <f>IFERROR(_xlfn.XLOOKUP($A273,'Raw Data'!$A:$A,'Raw Data'!$AR:$AR),"")</f>
        <v/>
      </c>
      <c r="J273" s="230"/>
      <c r="K273" s="230" t="str">
        <f>IFERROR(_xlfn.XLOOKUP($A273,'Raw Data'!$A:$A,'Raw Data'!$AV:$AV),"")</f>
        <v/>
      </c>
      <c r="L273" s="230" t="str">
        <f>IFERROR(_xlfn.XLOOKUP($A273,'Raw Data'!$A:$A,'Raw Data'!$AW:$AW),"")</f>
        <v/>
      </c>
      <c r="M273" s="230" t="str">
        <f>IFERROR(_xlfn.XLOOKUP($A273,'Raw Data'!$A:$A,'Raw Data'!$AX:$AX),"")</f>
        <v/>
      </c>
      <c r="N273" s="230" t="str">
        <f>IFERROR(_xlfn.XLOOKUP($A273,'Raw Data'!$A:$A,'Raw Data'!$AY:$AY),"")</f>
        <v/>
      </c>
      <c r="O273" s="231" t="str">
        <f>IFERROR(1-(SUMIF('Plant BD'!$B:$B,A273,'Plant BD'!$AE:$AE)/(AA273+SUMIF('Plant BD'!$B:$B,A273,'Plant BD'!$AE:$AE))),"")</f>
        <v/>
      </c>
      <c r="P273" s="231"/>
      <c r="Q273" s="232"/>
      <c r="R273" s="231" t="str">
        <f>IFERROR(1-(SUMIF('Grid BD'!$B:$B,$A273,'Grid BD'!$AD:$AD)/($AA273+SUMIF('Grid BD'!$B:$B,$A273,'Grid BD'!AD:AD))),"")</f>
        <v/>
      </c>
      <c r="S273" s="6"/>
      <c r="T273" s="232"/>
      <c r="U273" s="233" t="str">
        <f t="shared" si="17"/>
        <v/>
      </c>
      <c r="V273" s="233"/>
      <c r="W273" s="234" t="str">
        <f t="shared" si="19"/>
        <v/>
      </c>
      <c r="X273" s="227" t="str">
        <f>IFERROR(_xlfn.XLOOKUP($A273,'Raw Data'!$A:$A,'Raw Data'!$BA:$BA),"")</f>
        <v/>
      </c>
      <c r="Y273" s="227" t="str">
        <f>IFERROR(_xlfn.XLOOKUP($A273,'Raw Data'!$A:$A,'Raw Data'!BJ:BJ),"")</f>
        <v/>
      </c>
      <c r="Z273" s="227" t="str">
        <f>IFERROR(_xlfn.XLOOKUP($A273,'Raw Data'!$A:$A,'Raw Data'!BK:BK),"")</f>
        <v/>
      </c>
      <c r="AA273" s="227" t="str">
        <f>IFERROR(_xlfn.XLOOKUP($A273,'Raw Data'!$A:$A,'Raw Data'!BL:BL),"")</f>
        <v/>
      </c>
      <c r="AB273" s="227" t="str">
        <f>IFERROR(_xlfn.XLOOKUP($A273,'Raw Data'!$A:$A,'Raw Data'!$H:$H),"")</f>
        <v/>
      </c>
      <c r="AC273" s="145">
        <f>IFERROR(_xlfn.XLOOKUP($D273,'Modelling New'!$D:$D,'Modelling New'!$P:$P),"")</f>
        <v>6.4806451612903224</v>
      </c>
      <c r="AD273" s="227">
        <f>IFERROR(_xlfn.XLOOKUP($D273,'Modelling New'!$D:$D,'Modelling New'!$T:$T)*1000,"")</f>
        <v>111806.4041783969</v>
      </c>
      <c r="AE273" s="234">
        <f>IFERROR(_xlfn.XLOOKUP($D273,'Modelling New'!$D:$D,'Modelling New'!$O:$O),"")</f>
        <v>0.709882979577386</v>
      </c>
      <c r="AF273" s="234">
        <f>IFERROR(_xlfn.XLOOKUP($D273,'Modelling New'!$D:$D,'Modelling New'!$W:$W),"")</f>
        <v>0.19168748736168928</v>
      </c>
      <c r="AG273" s="234">
        <f>IFERROR(_xlfn.XLOOKUP($D273,'Modelling New'!$D:$D,'Modelling New'!AE:AE),"")</f>
        <v>0.995</v>
      </c>
      <c r="AH273" s="234">
        <v>0.99750000000000005</v>
      </c>
      <c r="AI273" s="6"/>
      <c r="AJ273" s="6"/>
      <c r="AK273" s="6"/>
      <c r="AL273" s="6"/>
      <c r="AM273" s="6"/>
      <c r="AN273" s="231"/>
      <c r="AO273" s="234"/>
      <c r="AP273" s="234"/>
      <c r="AQ273" s="234"/>
      <c r="AR273" s="227">
        <f>IFERROR(_xlfn.XLOOKUP($D273,'Modelling New'!$D:$D,'Modelling New'!$N:$N),"")</f>
        <v>24.303100000000001</v>
      </c>
      <c r="AS273" s="227"/>
    </row>
    <row r="274" spans="1:45" x14ac:dyDescent="0.35">
      <c r="A274" s="226">
        <f t="shared" si="18"/>
        <v>46017</v>
      </c>
      <c r="B274" s="227">
        <f>YEAR(Daily_KPI[[#This Row],[Date]])+IF(MONTH(Daily_KPI[[#This Row],[Date]])&gt;=4,1,0)</f>
        <v>2026</v>
      </c>
      <c r="C274" s="6">
        <f>YEAR(Daily_KPI[[#This Row],[Date]])</f>
        <v>2025</v>
      </c>
      <c r="D274" s="228">
        <f>Daily_KPI[[#This Row],[Date]]-DAY(Daily_KPI[[#This Row],[Date]])+1</f>
        <v>45992</v>
      </c>
      <c r="E274" s="6">
        <f t="shared" si="20"/>
        <v>31</v>
      </c>
      <c r="F274" s="229" t="str">
        <f>IFERROR(_xlfn.XLOOKUP($A274,'Raw Data'!$A:$A,'Raw Data'!$BR:$BR),"")</f>
        <v/>
      </c>
      <c r="G274" s="230" t="str">
        <f>IFERROR(_xlfn.XLOOKUP($A274,'Raw Data'!$A:$A,'Raw Data'!$AO:$AO),"")</f>
        <v/>
      </c>
      <c r="H274" s="230"/>
      <c r="I274" s="230" t="str">
        <f>IFERROR(_xlfn.XLOOKUP($A274,'Raw Data'!$A:$A,'Raw Data'!$AR:$AR),"")</f>
        <v/>
      </c>
      <c r="J274" s="230"/>
      <c r="K274" s="230" t="str">
        <f>IFERROR(_xlfn.XLOOKUP($A274,'Raw Data'!$A:$A,'Raw Data'!$AV:$AV),"")</f>
        <v/>
      </c>
      <c r="L274" s="230" t="str">
        <f>IFERROR(_xlfn.XLOOKUP($A274,'Raw Data'!$A:$A,'Raw Data'!$AW:$AW),"")</f>
        <v/>
      </c>
      <c r="M274" s="230" t="str">
        <f>IFERROR(_xlfn.XLOOKUP($A274,'Raw Data'!$A:$A,'Raw Data'!$AX:$AX),"")</f>
        <v/>
      </c>
      <c r="N274" s="230" t="str">
        <f>IFERROR(_xlfn.XLOOKUP($A274,'Raw Data'!$A:$A,'Raw Data'!$AY:$AY),"")</f>
        <v/>
      </c>
      <c r="O274" s="231" t="str">
        <f>IFERROR(1-(SUMIF('Plant BD'!$B:$B,A274,'Plant BD'!$AE:$AE)/(AA274+SUMIF('Plant BD'!$B:$B,A274,'Plant BD'!$AE:$AE))),"")</f>
        <v/>
      </c>
      <c r="P274" s="231"/>
      <c r="Q274" s="232"/>
      <c r="R274" s="231" t="str">
        <f>IFERROR(1-(SUMIF('Grid BD'!$B:$B,$A274,'Grid BD'!$AD:$AD)/($AA274+SUMIF('Grid BD'!$B:$B,$A274,'Grid BD'!AD:AD))),"")</f>
        <v/>
      </c>
      <c r="S274" s="6"/>
      <c r="T274" s="232"/>
      <c r="U274" s="233" t="str">
        <f t="shared" ref="U274:U337" si="21">IFERROR(AA274/I274/AB274/1000,"")</f>
        <v/>
      </c>
      <c r="V274" s="233"/>
      <c r="W274" s="234" t="str">
        <f t="shared" si="19"/>
        <v/>
      </c>
      <c r="X274" s="227" t="str">
        <f>IFERROR(_xlfn.XLOOKUP($A274,'Raw Data'!$A:$A,'Raw Data'!$BA:$BA),"")</f>
        <v/>
      </c>
      <c r="Y274" s="227" t="str">
        <f>IFERROR(_xlfn.XLOOKUP($A274,'Raw Data'!$A:$A,'Raw Data'!BJ:BJ),"")</f>
        <v/>
      </c>
      <c r="Z274" s="227" t="str">
        <f>IFERROR(_xlfn.XLOOKUP($A274,'Raw Data'!$A:$A,'Raw Data'!BK:BK),"")</f>
        <v/>
      </c>
      <c r="AA274" s="227" t="str">
        <f>IFERROR(_xlfn.XLOOKUP($A274,'Raw Data'!$A:$A,'Raw Data'!BL:BL),"")</f>
        <v/>
      </c>
      <c r="AB274" s="227" t="str">
        <f>IFERROR(_xlfn.XLOOKUP($A274,'Raw Data'!$A:$A,'Raw Data'!$H:$H),"")</f>
        <v/>
      </c>
      <c r="AC274" s="145">
        <f>IFERROR(_xlfn.XLOOKUP($D274,'Modelling New'!$D:$D,'Modelling New'!$P:$P),"")</f>
        <v>6.4806451612903224</v>
      </c>
      <c r="AD274" s="227">
        <f>IFERROR(_xlfn.XLOOKUP($D274,'Modelling New'!$D:$D,'Modelling New'!$T:$T)*1000,"")</f>
        <v>111806.4041783969</v>
      </c>
      <c r="AE274" s="234">
        <f>IFERROR(_xlfn.XLOOKUP($D274,'Modelling New'!$D:$D,'Modelling New'!$O:$O),"")</f>
        <v>0.709882979577386</v>
      </c>
      <c r="AF274" s="234">
        <f>IFERROR(_xlfn.XLOOKUP($D274,'Modelling New'!$D:$D,'Modelling New'!$W:$W),"")</f>
        <v>0.19168748736168928</v>
      </c>
      <c r="AG274" s="234">
        <f>IFERROR(_xlfn.XLOOKUP($D274,'Modelling New'!$D:$D,'Modelling New'!AE:AE),"")</f>
        <v>0.995</v>
      </c>
      <c r="AH274" s="234">
        <v>0.99750000000000005</v>
      </c>
      <c r="AI274" s="6"/>
      <c r="AJ274" s="6"/>
      <c r="AK274" s="6"/>
      <c r="AL274" s="6"/>
      <c r="AM274" s="6"/>
      <c r="AN274" s="231"/>
      <c r="AO274" s="234"/>
      <c r="AP274" s="234"/>
      <c r="AQ274" s="234"/>
      <c r="AR274" s="227">
        <f>IFERROR(_xlfn.XLOOKUP($D274,'Modelling New'!$D:$D,'Modelling New'!$N:$N),"")</f>
        <v>24.303100000000001</v>
      </c>
      <c r="AS274" s="227"/>
    </row>
    <row r="275" spans="1:45" x14ac:dyDescent="0.35">
      <c r="A275" s="226">
        <f t="shared" si="18"/>
        <v>46018</v>
      </c>
      <c r="B275" s="227">
        <f>YEAR(Daily_KPI[[#This Row],[Date]])+IF(MONTH(Daily_KPI[[#This Row],[Date]])&gt;=4,1,0)</f>
        <v>2026</v>
      </c>
      <c r="C275" s="6">
        <f>YEAR(Daily_KPI[[#This Row],[Date]])</f>
        <v>2025</v>
      </c>
      <c r="D275" s="228">
        <f>Daily_KPI[[#This Row],[Date]]-DAY(Daily_KPI[[#This Row],[Date]])+1</f>
        <v>45992</v>
      </c>
      <c r="E275" s="6">
        <f t="shared" si="20"/>
        <v>31</v>
      </c>
      <c r="F275" s="229" t="str">
        <f>IFERROR(_xlfn.XLOOKUP($A275,'Raw Data'!$A:$A,'Raw Data'!$BR:$BR),"")</f>
        <v/>
      </c>
      <c r="G275" s="230" t="str">
        <f>IFERROR(_xlfn.XLOOKUP($A275,'Raw Data'!$A:$A,'Raw Data'!$AO:$AO),"")</f>
        <v/>
      </c>
      <c r="H275" s="230"/>
      <c r="I275" s="230" t="str">
        <f>IFERROR(_xlfn.XLOOKUP($A275,'Raw Data'!$A:$A,'Raw Data'!$AR:$AR),"")</f>
        <v/>
      </c>
      <c r="J275" s="230"/>
      <c r="K275" s="230" t="str">
        <f>IFERROR(_xlfn.XLOOKUP($A275,'Raw Data'!$A:$A,'Raw Data'!$AV:$AV),"")</f>
        <v/>
      </c>
      <c r="L275" s="230" t="str">
        <f>IFERROR(_xlfn.XLOOKUP($A275,'Raw Data'!$A:$A,'Raw Data'!$AW:$AW),"")</f>
        <v/>
      </c>
      <c r="M275" s="230" t="str">
        <f>IFERROR(_xlfn.XLOOKUP($A275,'Raw Data'!$A:$A,'Raw Data'!$AX:$AX),"")</f>
        <v/>
      </c>
      <c r="N275" s="230" t="str">
        <f>IFERROR(_xlfn.XLOOKUP($A275,'Raw Data'!$A:$A,'Raw Data'!$AY:$AY),"")</f>
        <v/>
      </c>
      <c r="O275" s="231" t="str">
        <f>IFERROR(1-(SUMIF('Plant BD'!$B:$B,A275,'Plant BD'!$AE:$AE)/(AA275+SUMIF('Plant BD'!$B:$B,A275,'Plant BD'!$AE:$AE))),"")</f>
        <v/>
      </c>
      <c r="P275" s="231"/>
      <c r="Q275" s="232"/>
      <c r="R275" s="231" t="str">
        <f>IFERROR(1-(SUMIF('Grid BD'!$B:$B,$A275,'Grid BD'!$AD:$AD)/($AA275+SUMIF('Grid BD'!$B:$B,$A275,'Grid BD'!AD:AD))),"")</f>
        <v/>
      </c>
      <c r="S275" s="6"/>
      <c r="T275" s="232"/>
      <c r="U275" s="233" t="str">
        <f t="shared" si="21"/>
        <v/>
      </c>
      <c r="V275" s="233"/>
      <c r="W275" s="234" t="str">
        <f t="shared" si="19"/>
        <v/>
      </c>
      <c r="X275" s="227" t="str">
        <f>IFERROR(_xlfn.XLOOKUP($A275,'Raw Data'!$A:$A,'Raw Data'!$BA:$BA),"")</f>
        <v/>
      </c>
      <c r="Y275" s="227" t="str">
        <f>IFERROR(_xlfn.XLOOKUP($A275,'Raw Data'!$A:$A,'Raw Data'!BJ:BJ),"")</f>
        <v/>
      </c>
      <c r="Z275" s="227" t="str">
        <f>IFERROR(_xlfn.XLOOKUP($A275,'Raw Data'!$A:$A,'Raw Data'!BK:BK),"")</f>
        <v/>
      </c>
      <c r="AA275" s="227" t="str">
        <f>IFERROR(_xlfn.XLOOKUP($A275,'Raw Data'!$A:$A,'Raw Data'!BL:BL),"")</f>
        <v/>
      </c>
      <c r="AB275" s="227" t="str">
        <f>IFERROR(_xlfn.XLOOKUP($A275,'Raw Data'!$A:$A,'Raw Data'!$H:$H),"")</f>
        <v/>
      </c>
      <c r="AC275" s="145">
        <f>IFERROR(_xlfn.XLOOKUP($D275,'Modelling New'!$D:$D,'Modelling New'!$P:$P),"")</f>
        <v>6.4806451612903224</v>
      </c>
      <c r="AD275" s="227">
        <f>IFERROR(_xlfn.XLOOKUP($D275,'Modelling New'!$D:$D,'Modelling New'!$T:$T)*1000,"")</f>
        <v>111806.4041783969</v>
      </c>
      <c r="AE275" s="234">
        <f>IFERROR(_xlfn.XLOOKUP($D275,'Modelling New'!$D:$D,'Modelling New'!$O:$O),"")</f>
        <v>0.709882979577386</v>
      </c>
      <c r="AF275" s="234">
        <f>IFERROR(_xlfn.XLOOKUP($D275,'Modelling New'!$D:$D,'Modelling New'!$W:$W),"")</f>
        <v>0.19168748736168928</v>
      </c>
      <c r="AG275" s="234">
        <f>IFERROR(_xlfn.XLOOKUP($D275,'Modelling New'!$D:$D,'Modelling New'!AE:AE),"")</f>
        <v>0.995</v>
      </c>
      <c r="AH275" s="234">
        <v>0.99750000000000005</v>
      </c>
      <c r="AI275" s="6"/>
      <c r="AJ275" s="6"/>
      <c r="AK275" s="6"/>
      <c r="AL275" s="6"/>
      <c r="AM275" s="6"/>
      <c r="AN275" s="231"/>
      <c r="AO275" s="234"/>
      <c r="AP275" s="234"/>
      <c r="AQ275" s="234"/>
      <c r="AR275" s="227">
        <f>IFERROR(_xlfn.XLOOKUP($D275,'Modelling New'!$D:$D,'Modelling New'!$N:$N),"")</f>
        <v>24.303100000000001</v>
      </c>
      <c r="AS275" s="227"/>
    </row>
    <row r="276" spans="1:45" x14ac:dyDescent="0.35">
      <c r="A276" s="226">
        <f t="shared" ref="A276:A339" si="22">A275+1</f>
        <v>46019</v>
      </c>
      <c r="B276" s="227">
        <f>YEAR(Daily_KPI[[#This Row],[Date]])+IF(MONTH(Daily_KPI[[#This Row],[Date]])&gt;=4,1,0)</f>
        <v>2026</v>
      </c>
      <c r="C276" s="6">
        <f>YEAR(Daily_KPI[[#This Row],[Date]])</f>
        <v>2025</v>
      </c>
      <c r="D276" s="228">
        <f>Daily_KPI[[#This Row],[Date]]-DAY(Daily_KPI[[#This Row],[Date]])+1</f>
        <v>45992</v>
      </c>
      <c r="E276" s="6">
        <f t="shared" si="20"/>
        <v>31</v>
      </c>
      <c r="F276" s="229" t="str">
        <f>IFERROR(_xlfn.XLOOKUP($A276,'Raw Data'!$A:$A,'Raw Data'!$BR:$BR),"")</f>
        <v/>
      </c>
      <c r="G276" s="230" t="str">
        <f>IFERROR(_xlfn.XLOOKUP($A276,'Raw Data'!$A:$A,'Raw Data'!$AO:$AO),"")</f>
        <v/>
      </c>
      <c r="H276" s="230"/>
      <c r="I276" s="230" t="str">
        <f>IFERROR(_xlfn.XLOOKUP($A276,'Raw Data'!$A:$A,'Raw Data'!$AR:$AR),"")</f>
        <v/>
      </c>
      <c r="J276" s="230"/>
      <c r="K276" s="230" t="str">
        <f>IFERROR(_xlfn.XLOOKUP($A276,'Raw Data'!$A:$A,'Raw Data'!$AV:$AV),"")</f>
        <v/>
      </c>
      <c r="L276" s="230" t="str">
        <f>IFERROR(_xlfn.XLOOKUP($A276,'Raw Data'!$A:$A,'Raw Data'!$AW:$AW),"")</f>
        <v/>
      </c>
      <c r="M276" s="230" t="str">
        <f>IFERROR(_xlfn.XLOOKUP($A276,'Raw Data'!$A:$A,'Raw Data'!$AX:$AX),"")</f>
        <v/>
      </c>
      <c r="N276" s="230" t="str">
        <f>IFERROR(_xlfn.XLOOKUP($A276,'Raw Data'!$A:$A,'Raw Data'!$AY:$AY),"")</f>
        <v/>
      </c>
      <c r="O276" s="231" t="str">
        <f>IFERROR(1-(SUMIF('Plant BD'!$B:$B,A276,'Plant BD'!$AE:$AE)/(AA276+SUMIF('Plant BD'!$B:$B,A276,'Plant BD'!$AE:$AE))),"")</f>
        <v/>
      </c>
      <c r="P276" s="231"/>
      <c r="Q276" s="232"/>
      <c r="R276" s="231" t="str">
        <f>IFERROR(1-(SUMIF('Grid BD'!$B:$B,$A276,'Grid BD'!$AD:$AD)/($AA276+SUMIF('Grid BD'!$B:$B,$A276,'Grid BD'!AD:AD))),"")</f>
        <v/>
      </c>
      <c r="S276" s="6"/>
      <c r="T276" s="232"/>
      <c r="U276" s="233" t="str">
        <f t="shared" si="21"/>
        <v/>
      </c>
      <c r="V276" s="233"/>
      <c r="W276" s="234" t="str">
        <f t="shared" si="19"/>
        <v/>
      </c>
      <c r="X276" s="227" t="str">
        <f>IFERROR(_xlfn.XLOOKUP($A276,'Raw Data'!$A:$A,'Raw Data'!$BA:$BA),"")</f>
        <v/>
      </c>
      <c r="Y276" s="227" t="str">
        <f>IFERROR(_xlfn.XLOOKUP($A276,'Raw Data'!$A:$A,'Raw Data'!BJ:BJ),"")</f>
        <v/>
      </c>
      <c r="Z276" s="227" t="str">
        <f>IFERROR(_xlfn.XLOOKUP($A276,'Raw Data'!$A:$A,'Raw Data'!BK:BK),"")</f>
        <v/>
      </c>
      <c r="AA276" s="227" t="str">
        <f>IFERROR(_xlfn.XLOOKUP($A276,'Raw Data'!$A:$A,'Raw Data'!BL:BL),"")</f>
        <v/>
      </c>
      <c r="AB276" s="227" t="str">
        <f>IFERROR(_xlfn.XLOOKUP($A276,'Raw Data'!$A:$A,'Raw Data'!$H:$H),"")</f>
        <v/>
      </c>
      <c r="AC276" s="145">
        <f>IFERROR(_xlfn.XLOOKUP($D276,'Modelling New'!$D:$D,'Modelling New'!$P:$P),"")</f>
        <v>6.4806451612903224</v>
      </c>
      <c r="AD276" s="227">
        <f>IFERROR(_xlfn.XLOOKUP($D276,'Modelling New'!$D:$D,'Modelling New'!$T:$T)*1000,"")</f>
        <v>111806.4041783969</v>
      </c>
      <c r="AE276" s="234">
        <f>IFERROR(_xlfn.XLOOKUP($D276,'Modelling New'!$D:$D,'Modelling New'!$O:$O),"")</f>
        <v>0.709882979577386</v>
      </c>
      <c r="AF276" s="234">
        <f>IFERROR(_xlfn.XLOOKUP($D276,'Modelling New'!$D:$D,'Modelling New'!$W:$W),"")</f>
        <v>0.19168748736168928</v>
      </c>
      <c r="AG276" s="234">
        <f>IFERROR(_xlfn.XLOOKUP($D276,'Modelling New'!$D:$D,'Modelling New'!AE:AE),"")</f>
        <v>0.995</v>
      </c>
      <c r="AH276" s="234">
        <v>0.99750000000000005</v>
      </c>
      <c r="AI276" s="6"/>
      <c r="AJ276" s="6"/>
      <c r="AK276" s="6"/>
      <c r="AL276" s="6"/>
      <c r="AM276" s="6"/>
      <c r="AN276" s="231"/>
      <c r="AO276" s="234"/>
      <c r="AP276" s="234"/>
      <c r="AQ276" s="234"/>
      <c r="AR276" s="227">
        <f>IFERROR(_xlfn.XLOOKUP($D276,'Modelling New'!$D:$D,'Modelling New'!$N:$N),"")</f>
        <v>24.303100000000001</v>
      </c>
      <c r="AS276" s="227"/>
    </row>
    <row r="277" spans="1:45" x14ac:dyDescent="0.35">
      <c r="A277" s="226">
        <f t="shared" si="22"/>
        <v>46020</v>
      </c>
      <c r="B277" s="227">
        <f>YEAR(Daily_KPI[[#This Row],[Date]])+IF(MONTH(Daily_KPI[[#This Row],[Date]])&gt;=4,1,0)</f>
        <v>2026</v>
      </c>
      <c r="C277" s="6">
        <f>YEAR(Daily_KPI[[#This Row],[Date]])</f>
        <v>2025</v>
      </c>
      <c r="D277" s="228">
        <f>Daily_KPI[[#This Row],[Date]]-DAY(Daily_KPI[[#This Row],[Date]])+1</f>
        <v>45992</v>
      </c>
      <c r="E277" s="6">
        <f t="shared" si="20"/>
        <v>31</v>
      </c>
      <c r="F277" s="229" t="str">
        <f>IFERROR(_xlfn.XLOOKUP($A277,'Raw Data'!$A:$A,'Raw Data'!$BR:$BR),"")</f>
        <v/>
      </c>
      <c r="G277" s="230" t="str">
        <f>IFERROR(_xlfn.XLOOKUP($A277,'Raw Data'!$A:$A,'Raw Data'!$AO:$AO),"")</f>
        <v/>
      </c>
      <c r="H277" s="230"/>
      <c r="I277" s="230" t="str">
        <f>IFERROR(_xlfn.XLOOKUP($A277,'Raw Data'!$A:$A,'Raw Data'!$AR:$AR),"")</f>
        <v/>
      </c>
      <c r="J277" s="230"/>
      <c r="K277" s="230" t="str">
        <f>IFERROR(_xlfn.XLOOKUP($A277,'Raw Data'!$A:$A,'Raw Data'!$AV:$AV),"")</f>
        <v/>
      </c>
      <c r="L277" s="230" t="str">
        <f>IFERROR(_xlfn.XLOOKUP($A277,'Raw Data'!$A:$A,'Raw Data'!$AW:$AW),"")</f>
        <v/>
      </c>
      <c r="M277" s="230" t="str">
        <f>IFERROR(_xlfn.XLOOKUP($A277,'Raw Data'!$A:$A,'Raw Data'!$AX:$AX),"")</f>
        <v/>
      </c>
      <c r="N277" s="230" t="str">
        <f>IFERROR(_xlfn.XLOOKUP($A277,'Raw Data'!$A:$A,'Raw Data'!$AY:$AY),"")</f>
        <v/>
      </c>
      <c r="O277" s="231" t="str">
        <f>IFERROR(1-(SUMIF('Plant BD'!$B:$B,A277,'Plant BD'!$AE:$AE)/(AA277+SUMIF('Plant BD'!$B:$B,A277,'Plant BD'!$AE:$AE))),"")</f>
        <v/>
      </c>
      <c r="P277" s="231"/>
      <c r="Q277" s="232"/>
      <c r="R277" s="231" t="str">
        <f>IFERROR(1-(SUMIF('Grid BD'!$B:$B,$A277,'Grid BD'!$AD:$AD)/($AA277+SUMIF('Grid BD'!$B:$B,$A277,'Grid BD'!AD:AD))),"")</f>
        <v/>
      </c>
      <c r="S277" s="6"/>
      <c r="T277" s="232"/>
      <c r="U277" s="233" t="str">
        <f t="shared" si="21"/>
        <v/>
      </c>
      <c r="V277" s="233"/>
      <c r="W277" s="234" t="str">
        <f t="shared" si="19"/>
        <v/>
      </c>
      <c r="X277" s="227" t="str">
        <f>IFERROR(_xlfn.XLOOKUP($A277,'Raw Data'!$A:$A,'Raw Data'!$BA:$BA),"")</f>
        <v/>
      </c>
      <c r="Y277" s="227" t="str">
        <f>IFERROR(_xlfn.XLOOKUP($A277,'Raw Data'!$A:$A,'Raw Data'!BJ:BJ),"")</f>
        <v/>
      </c>
      <c r="Z277" s="227" t="str">
        <f>IFERROR(_xlfn.XLOOKUP($A277,'Raw Data'!$A:$A,'Raw Data'!BK:BK),"")</f>
        <v/>
      </c>
      <c r="AA277" s="227" t="str">
        <f>IFERROR(_xlfn.XLOOKUP($A277,'Raw Data'!$A:$A,'Raw Data'!BL:BL),"")</f>
        <v/>
      </c>
      <c r="AB277" s="227" t="str">
        <f>IFERROR(_xlfn.XLOOKUP($A277,'Raw Data'!$A:$A,'Raw Data'!$H:$H),"")</f>
        <v/>
      </c>
      <c r="AC277" s="145">
        <f>IFERROR(_xlfn.XLOOKUP($D277,'Modelling New'!$D:$D,'Modelling New'!$P:$P),"")</f>
        <v>6.4806451612903224</v>
      </c>
      <c r="AD277" s="227">
        <f>IFERROR(_xlfn.XLOOKUP($D277,'Modelling New'!$D:$D,'Modelling New'!$T:$T)*1000,"")</f>
        <v>111806.4041783969</v>
      </c>
      <c r="AE277" s="234">
        <f>IFERROR(_xlfn.XLOOKUP($D277,'Modelling New'!$D:$D,'Modelling New'!$O:$O),"")</f>
        <v>0.709882979577386</v>
      </c>
      <c r="AF277" s="234">
        <f>IFERROR(_xlfn.XLOOKUP($D277,'Modelling New'!$D:$D,'Modelling New'!$W:$W),"")</f>
        <v>0.19168748736168928</v>
      </c>
      <c r="AG277" s="234">
        <f>IFERROR(_xlfn.XLOOKUP($D277,'Modelling New'!$D:$D,'Modelling New'!AE:AE),"")</f>
        <v>0.995</v>
      </c>
      <c r="AH277" s="234">
        <v>0.99750000000000005</v>
      </c>
      <c r="AI277" s="6"/>
      <c r="AJ277" s="6"/>
      <c r="AK277" s="6"/>
      <c r="AL277" s="6"/>
      <c r="AM277" s="6"/>
      <c r="AN277" s="231"/>
      <c r="AO277" s="234"/>
      <c r="AP277" s="234"/>
      <c r="AQ277" s="234"/>
      <c r="AR277" s="227">
        <f>IFERROR(_xlfn.XLOOKUP($D277,'Modelling New'!$D:$D,'Modelling New'!$N:$N),"")</f>
        <v>24.303100000000001</v>
      </c>
      <c r="AS277" s="227"/>
    </row>
    <row r="278" spans="1:45" x14ac:dyDescent="0.35">
      <c r="A278" s="226">
        <f t="shared" si="22"/>
        <v>46021</v>
      </c>
      <c r="B278" s="227">
        <f>YEAR(Daily_KPI[[#This Row],[Date]])+IF(MONTH(Daily_KPI[[#This Row],[Date]])&gt;=4,1,0)</f>
        <v>2026</v>
      </c>
      <c r="C278" s="6">
        <f>YEAR(Daily_KPI[[#This Row],[Date]])</f>
        <v>2025</v>
      </c>
      <c r="D278" s="228">
        <f>Daily_KPI[[#This Row],[Date]]-DAY(Daily_KPI[[#This Row],[Date]])+1</f>
        <v>45992</v>
      </c>
      <c r="E278" s="6">
        <f t="shared" si="20"/>
        <v>31</v>
      </c>
      <c r="F278" s="229" t="str">
        <f>IFERROR(_xlfn.XLOOKUP($A278,'Raw Data'!$A:$A,'Raw Data'!$BR:$BR),"")</f>
        <v/>
      </c>
      <c r="G278" s="230" t="str">
        <f>IFERROR(_xlfn.XLOOKUP($A278,'Raw Data'!$A:$A,'Raw Data'!$AO:$AO),"")</f>
        <v/>
      </c>
      <c r="H278" s="230"/>
      <c r="I278" s="230" t="str">
        <f>IFERROR(_xlfn.XLOOKUP($A278,'Raw Data'!$A:$A,'Raw Data'!$AR:$AR),"")</f>
        <v/>
      </c>
      <c r="J278" s="230"/>
      <c r="K278" s="230" t="str">
        <f>IFERROR(_xlfn.XLOOKUP($A278,'Raw Data'!$A:$A,'Raw Data'!$AV:$AV),"")</f>
        <v/>
      </c>
      <c r="L278" s="230" t="str">
        <f>IFERROR(_xlfn.XLOOKUP($A278,'Raw Data'!$A:$A,'Raw Data'!$AW:$AW),"")</f>
        <v/>
      </c>
      <c r="M278" s="230" t="str">
        <f>IFERROR(_xlfn.XLOOKUP($A278,'Raw Data'!$A:$A,'Raw Data'!$AX:$AX),"")</f>
        <v/>
      </c>
      <c r="N278" s="230" t="str">
        <f>IFERROR(_xlfn.XLOOKUP($A278,'Raw Data'!$A:$A,'Raw Data'!$AY:$AY),"")</f>
        <v/>
      </c>
      <c r="O278" s="231" t="str">
        <f>IFERROR(1-(SUMIF('Plant BD'!$B:$B,A278,'Plant BD'!$AE:$AE)/(AA278+SUMIF('Plant BD'!$B:$B,A278,'Plant BD'!$AE:$AE))),"")</f>
        <v/>
      </c>
      <c r="P278" s="231"/>
      <c r="Q278" s="232"/>
      <c r="R278" s="231" t="str">
        <f>IFERROR(1-(SUMIF('Grid BD'!$B:$B,$A278,'Grid BD'!$AD:$AD)/($AA278+SUMIF('Grid BD'!$B:$B,$A278,'Grid BD'!AD:AD))),"")</f>
        <v/>
      </c>
      <c r="S278" s="6"/>
      <c r="T278" s="232"/>
      <c r="U278" s="233" t="str">
        <f t="shared" si="21"/>
        <v/>
      </c>
      <c r="V278" s="233"/>
      <c r="W278" s="234" t="str">
        <f t="shared" si="19"/>
        <v/>
      </c>
      <c r="X278" s="227" t="str">
        <f>IFERROR(_xlfn.XLOOKUP($A278,'Raw Data'!$A:$A,'Raw Data'!$BA:$BA),"")</f>
        <v/>
      </c>
      <c r="Y278" s="227" t="str">
        <f>IFERROR(_xlfn.XLOOKUP($A278,'Raw Data'!$A:$A,'Raw Data'!BJ:BJ),"")</f>
        <v/>
      </c>
      <c r="Z278" s="227" t="str">
        <f>IFERROR(_xlfn.XLOOKUP($A278,'Raw Data'!$A:$A,'Raw Data'!BK:BK),"")</f>
        <v/>
      </c>
      <c r="AA278" s="227" t="str">
        <f>IFERROR(_xlfn.XLOOKUP($A278,'Raw Data'!$A:$A,'Raw Data'!BL:BL),"")</f>
        <v/>
      </c>
      <c r="AB278" s="227" t="str">
        <f>IFERROR(_xlfn.XLOOKUP($A278,'Raw Data'!$A:$A,'Raw Data'!$H:$H),"")</f>
        <v/>
      </c>
      <c r="AC278" s="145">
        <f>IFERROR(_xlfn.XLOOKUP($D278,'Modelling New'!$D:$D,'Modelling New'!$P:$P),"")</f>
        <v>6.4806451612903224</v>
      </c>
      <c r="AD278" s="227">
        <f>IFERROR(_xlfn.XLOOKUP($D278,'Modelling New'!$D:$D,'Modelling New'!$T:$T)*1000,"")</f>
        <v>111806.4041783969</v>
      </c>
      <c r="AE278" s="234">
        <f>IFERROR(_xlfn.XLOOKUP($D278,'Modelling New'!$D:$D,'Modelling New'!$O:$O),"")</f>
        <v>0.709882979577386</v>
      </c>
      <c r="AF278" s="234">
        <f>IFERROR(_xlfn.XLOOKUP($D278,'Modelling New'!$D:$D,'Modelling New'!$W:$W),"")</f>
        <v>0.19168748736168928</v>
      </c>
      <c r="AG278" s="234">
        <f>IFERROR(_xlfn.XLOOKUP($D278,'Modelling New'!$D:$D,'Modelling New'!AE:AE),"")</f>
        <v>0.995</v>
      </c>
      <c r="AH278" s="234">
        <v>0.99750000000000005</v>
      </c>
      <c r="AI278" s="6"/>
      <c r="AJ278" s="6"/>
      <c r="AK278" s="6"/>
      <c r="AL278" s="6"/>
      <c r="AM278" s="6"/>
      <c r="AN278" s="231"/>
      <c r="AO278" s="234"/>
      <c r="AP278" s="234"/>
      <c r="AQ278" s="234"/>
      <c r="AR278" s="227">
        <f>IFERROR(_xlfn.XLOOKUP($D278,'Modelling New'!$D:$D,'Modelling New'!$N:$N),"")</f>
        <v>24.303100000000001</v>
      </c>
      <c r="AS278" s="227"/>
    </row>
    <row r="279" spans="1:45" x14ac:dyDescent="0.35">
      <c r="A279" s="226">
        <f t="shared" si="22"/>
        <v>46022</v>
      </c>
      <c r="B279" s="227">
        <f>YEAR(Daily_KPI[[#This Row],[Date]])+IF(MONTH(Daily_KPI[[#This Row],[Date]])&gt;=4,1,0)</f>
        <v>2026</v>
      </c>
      <c r="C279" s="6">
        <f>YEAR(Daily_KPI[[#This Row],[Date]])</f>
        <v>2025</v>
      </c>
      <c r="D279" s="228">
        <f>Daily_KPI[[#This Row],[Date]]-DAY(Daily_KPI[[#This Row],[Date]])+1</f>
        <v>45992</v>
      </c>
      <c r="E279" s="6">
        <f t="shared" si="20"/>
        <v>31</v>
      </c>
      <c r="F279" s="229" t="str">
        <f>IFERROR(_xlfn.XLOOKUP($A279,'Raw Data'!$A:$A,'Raw Data'!$BR:$BR),"")</f>
        <v/>
      </c>
      <c r="G279" s="230" t="str">
        <f>IFERROR(_xlfn.XLOOKUP($A279,'Raw Data'!$A:$A,'Raw Data'!$AO:$AO),"")</f>
        <v/>
      </c>
      <c r="H279" s="230"/>
      <c r="I279" s="230" t="str">
        <f>IFERROR(_xlfn.XLOOKUP($A279,'Raw Data'!$A:$A,'Raw Data'!$AR:$AR),"")</f>
        <v/>
      </c>
      <c r="J279" s="230"/>
      <c r="K279" s="230" t="str">
        <f>IFERROR(_xlfn.XLOOKUP($A279,'Raw Data'!$A:$A,'Raw Data'!$AV:$AV),"")</f>
        <v/>
      </c>
      <c r="L279" s="230" t="str">
        <f>IFERROR(_xlfn.XLOOKUP($A279,'Raw Data'!$A:$A,'Raw Data'!$AW:$AW),"")</f>
        <v/>
      </c>
      <c r="M279" s="230" t="str">
        <f>IFERROR(_xlfn.XLOOKUP($A279,'Raw Data'!$A:$A,'Raw Data'!$AX:$AX),"")</f>
        <v/>
      </c>
      <c r="N279" s="230" t="str">
        <f>IFERROR(_xlfn.XLOOKUP($A279,'Raw Data'!$A:$A,'Raw Data'!$AY:$AY),"")</f>
        <v/>
      </c>
      <c r="O279" s="231" t="str">
        <f>IFERROR(1-(SUMIF('Plant BD'!$B:$B,A279,'Plant BD'!$AE:$AE)/(AA279+SUMIF('Plant BD'!$B:$B,A279,'Plant BD'!$AE:$AE))),"")</f>
        <v/>
      </c>
      <c r="P279" s="231"/>
      <c r="Q279" s="232"/>
      <c r="R279" s="231" t="str">
        <f>IFERROR(1-(SUMIF('Grid BD'!$B:$B,$A279,'Grid BD'!$AD:$AD)/($AA279+SUMIF('Grid BD'!$B:$B,$A279,'Grid BD'!AD:AD))),"")</f>
        <v/>
      </c>
      <c r="S279" s="6"/>
      <c r="T279" s="232"/>
      <c r="U279" s="233" t="str">
        <f t="shared" si="21"/>
        <v/>
      </c>
      <c r="V279" s="233"/>
      <c r="W279" s="234" t="str">
        <f t="shared" si="19"/>
        <v/>
      </c>
      <c r="X279" s="227" t="str">
        <f>IFERROR(_xlfn.XLOOKUP($A279,'Raw Data'!$A:$A,'Raw Data'!$BA:$BA),"")</f>
        <v/>
      </c>
      <c r="Y279" s="227" t="str">
        <f>IFERROR(_xlfn.XLOOKUP($A279,'Raw Data'!$A:$A,'Raw Data'!BJ:BJ),"")</f>
        <v/>
      </c>
      <c r="Z279" s="227" t="str">
        <f>IFERROR(_xlfn.XLOOKUP($A279,'Raw Data'!$A:$A,'Raw Data'!BK:BK),"")</f>
        <v/>
      </c>
      <c r="AA279" s="227" t="str">
        <f>IFERROR(_xlfn.XLOOKUP($A279,'Raw Data'!$A:$A,'Raw Data'!BL:BL),"")</f>
        <v/>
      </c>
      <c r="AB279" s="227" t="str">
        <f>IFERROR(_xlfn.XLOOKUP($A279,'Raw Data'!$A:$A,'Raw Data'!$H:$H),"")</f>
        <v/>
      </c>
      <c r="AC279" s="145">
        <f>IFERROR(_xlfn.XLOOKUP($D279,'Modelling New'!$D:$D,'Modelling New'!$P:$P),"")</f>
        <v>6.4806451612903224</v>
      </c>
      <c r="AD279" s="227">
        <f>IFERROR(_xlfn.XLOOKUP($D279,'Modelling New'!$D:$D,'Modelling New'!$T:$T)*1000,"")</f>
        <v>111806.4041783969</v>
      </c>
      <c r="AE279" s="234">
        <f>IFERROR(_xlfn.XLOOKUP($D279,'Modelling New'!$D:$D,'Modelling New'!$O:$O),"")</f>
        <v>0.709882979577386</v>
      </c>
      <c r="AF279" s="234">
        <f>IFERROR(_xlfn.XLOOKUP($D279,'Modelling New'!$D:$D,'Modelling New'!$W:$W),"")</f>
        <v>0.19168748736168928</v>
      </c>
      <c r="AG279" s="234">
        <f>IFERROR(_xlfn.XLOOKUP($D279,'Modelling New'!$D:$D,'Modelling New'!AE:AE),"")</f>
        <v>0.995</v>
      </c>
      <c r="AH279" s="234">
        <v>0.99750000000000005</v>
      </c>
      <c r="AI279" s="6"/>
      <c r="AJ279" s="6"/>
      <c r="AK279" s="6"/>
      <c r="AL279" s="6"/>
      <c r="AM279" s="6"/>
      <c r="AN279" s="231"/>
      <c r="AO279" s="234"/>
      <c r="AP279" s="234"/>
      <c r="AQ279" s="234"/>
      <c r="AR279" s="227">
        <f>IFERROR(_xlfn.XLOOKUP($D279,'Modelling New'!$D:$D,'Modelling New'!$N:$N),"")</f>
        <v>24.303100000000001</v>
      </c>
      <c r="AS279" s="227"/>
    </row>
    <row r="280" spans="1:45" x14ac:dyDescent="0.35">
      <c r="A280" s="226">
        <f t="shared" si="22"/>
        <v>46023</v>
      </c>
      <c r="B280" s="227">
        <f>YEAR(Daily_KPI[[#This Row],[Date]])+IF(MONTH(Daily_KPI[[#This Row],[Date]])&gt;=4,1,0)</f>
        <v>2026</v>
      </c>
      <c r="C280" s="6">
        <f>YEAR(Daily_KPI[[#This Row],[Date]])</f>
        <v>2026</v>
      </c>
      <c r="D280" s="228">
        <f>Daily_KPI[[#This Row],[Date]]-DAY(Daily_KPI[[#This Row],[Date]])+1</f>
        <v>46023</v>
      </c>
      <c r="E280" s="6">
        <f t="shared" si="20"/>
        <v>31</v>
      </c>
      <c r="F280" s="229" t="str">
        <f>IFERROR(_xlfn.XLOOKUP($A280,'Raw Data'!$A:$A,'Raw Data'!$BR:$BR),"")</f>
        <v/>
      </c>
      <c r="G280" s="230" t="str">
        <f>IFERROR(_xlfn.XLOOKUP($A280,'Raw Data'!$A:$A,'Raw Data'!$AO:$AO),"")</f>
        <v/>
      </c>
      <c r="H280" s="230"/>
      <c r="I280" s="230" t="str">
        <f>IFERROR(_xlfn.XLOOKUP($A280,'Raw Data'!$A:$A,'Raw Data'!$AR:$AR),"")</f>
        <v/>
      </c>
      <c r="J280" s="230"/>
      <c r="K280" s="230" t="str">
        <f>IFERROR(_xlfn.XLOOKUP($A280,'Raw Data'!$A:$A,'Raw Data'!$AV:$AV),"")</f>
        <v/>
      </c>
      <c r="L280" s="230" t="str">
        <f>IFERROR(_xlfn.XLOOKUP($A280,'Raw Data'!$A:$A,'Raw Data'!$AW:$AW),"")</f>
        <v/>
      </c>
      <c r="M280" s="230" t="str">
        <f>IFERROR(_xlfn.XLOOKUP($A280,'Raw Data'!$A:$A,'Raw Data'!$AX:$AX),"")</f>
        <v/>
      </c>
      <c r="N280" s="230" t="str">
        <f>IFERROR(_xlfn.XLOOKUP($A280,'Raw Data'!$A:$A,'Raw Data'!$AY:$AY),"")</f>
        <v/>
      </c>
      <c r="O280" s="231" t="str">
        <f>IFERROR(1-(SUMIF('Plant BD'!$B:$B,A280,'Plant BD'!$AE:$AE)/(AA280+SUMIF('Plant BD'!$B:$B,A280,'Plant BD'!$AE:$AE))),"")</f>
        <v/>
      </c>
      <c r="P280" s="231"/>
      <c r="Q280" s="232"/>
      <c r="R280" s="231" t="str">
        <f>IFERROR(1-(SUMIF('Grid BD'!$B:$B,$A280,'Grid BD'!$AD:$AD)/($AA280+SUMIF('Grid BD'!$B:$B,$A280,'Grid BD'!AD:AD))),"")</f>
        <v/>
      </c>
      <c r="S280" s="6"/>
      <c r="T280" s="232"/>
      <c r="U280" s="233" t="str">
        <f t="shared" si="21"/>
        <v/>
      </c>
      <c r="V280" s="233"/>
      <c r="W280" s="234" t="str">
        <f t="shared" si="19"/>
        <v/>
      </c>
      <c r="X280" s="227" t="str">
        <f>IFERROR(_xlfn.XLOOKUP($A280,'Raw Data'!$A:$A,'Raw Data'!$BA:$BA),"")</f>
        <v/>
      </c>
      <c r="Y280" s="227" t="str">
        <f>IFERROR(_xlfn.XLOOKUP($A280,'Raw Data'!$A:$A,'Raw Data'!BJ:BJ),"")</f>
        <v/>
      </c>
      <c r="Z280" s="227" t="str">
        <f>IFERROR(_xlfn.XLOOKUP($A280,'Raw Data'!$A:$A,'Raw Data'!BK:BK),"")</f>
        <v/>
      </c>
      <c r="AA280" s="227" t="str">
        <f>IFERROR(_xlfn.XLOOKUP($A280,'Raw Data'!$A:$A,'Raw Data'!BL:BL),"")</f>
        <v/>
      </c>
      <c r="AB280" s="227" t="str">
        <f>IFERROR(_xlfn.XLOOKUP($A280,'Raw Data'!$A:$A,'Raw Data'!$H:$H),"")</f>
        <v/>
      </c>
      <c r="AC280" s="145">
        <f>IFERROR(_xlfn.XLOOKUP($D280,'Modelling New'!$D:$D,'Modelling New'!$P:$P),"")</f>
        <v>6.790322580645161</v>
      </c>
      <c r="AD280" s="227">
        <f>IFERROR(_xlfn.XLOOKUP($D280,'Modelling New'!$D:$D,'Modelling New'!$T:$T)*1000,"")</f>
        <v>114636.64210349345</v>
      </c>
      <c r="AE280" s="234">
        <f>IFERROR(_xlfn.XLOOKUP($D280,'Modelling New'!$D:$D,'Modelling New'!$O:$O),"")</f>
        <v>0.69465853509305142</v>
      </c>
      <c r="AF280" s="234">
        <f>IFERROR(_xlfn.XLOOKUP($D280,'Modelling New'!$D:$D,'Modelling New'!$W:$W),"")</f>
        <v>0.19653981402834317</v>
      </c>
      <c r="AG280" s="234">
        <f>IFERROR(_xlfn.XLOOKUP($D280,'Modelling New'!$D:$D,'Modelling New'!AE:AE),"")</f>
        <v>0.995</v>
      </c>
      <c r="AH280" s="234">
        <v>0.99750000000000005</v>
      </c>
      <c r="AI280" s="6"/>
      <c r="AJ280" s="6"/>
      <c r="AK280" s="6"/>
      <c r="AL280" s="6"/>
      <c r="AM280" s="6"/>
      <c r="AN280" s="231"/>
      <c r="AO280" s="234"/>
      <c r="AP280" s="234"/>
      <c r="AQ280" s="234"/>
      <c r="AR280" s="227">
        <f>IFERROR(_xlfn.XLOOKUP($D280,'Modelling New'!$D:$D,'Modelling New'!$N:$N),"")</f>
        <v>24.303100000000001</v>
      </c>
      <c r="AS280" s="227"/>
    </row>
    <row r="281" spans="1:45" x14ac:dyDescent="0.35">
      <c r="A281" s="226">
        <f t="shared" si="22"/>
        <v>46024</v>
      </c>
      <c r="B281" s="227">
        <f>YEAR(Daily_KPI[[#This Row],[Date]])+IF(MONTH(Daily_KPI[[#This Row],[Date]])&gt;=4,1,0)</f>
        <v>2026</v>
      </c>
      <c r="C281" s="6">
        <f>YEAR(Daily_KPI[[#This Row],[Date]])</f>
        <v>2026</v>
      </c>
      <c r="D281" s="228">
        <f>Daily_KPI[[#This Row],[Date]]-DAY(Daily_KPI[[#This Row],[Date]])+1</f>
        <v>46023</v>
      </c>
      <c r="E281" s="6">
        <f t="shared" si="20"/>
        <v>31</v>
      </c>
      <c r="F281" s="229" t="str">
        <f>IFERROR(_xlfn.XLOOKUP($A281,'Raw Data'!$A:$A,'Raw Data'!$BR:$BR),"")</f>
        <v/>
      </c>
      <c r="G281" s="230" t="str">
        <f>IFERROR(_xlfn.XLOOKUP($A281,'Raw Data'!$A:$A,'Raw Data'!$AO:$AO),"")</f>
        <v/>
      </c>
      <c r="H281" s="230"/>
      <c r="I281" s="230" t="str">
        <f>IFERROR(_xlfn.XLOOKUP($A281,'Raw Data'!$A:$A,'Raw Data'!$AR:$AR),"")</f>
        <v/>
      </c>
      <c r="J281" s="230"/>
      <c r="K281" s="230" t="str">
        <f>IFERROR(_xlfn.XLOOKUP($A281,'Raw Data'!$A:$A,'Raw Data'!$AV:$AV),"")</f>
        <v/>
      </c>
      <c r="L281" s="230" t="str">
        <f>IFERROR(_xlfn.XLOOKUP($A281,'Raw Data'!$A:$A,'Raw Data'!$AW:$AW),"")</f>
        <v/>
      </c>
      <c r="M281" s="230" t="str">
        <f>IFERROR(_xlfn.XLOOKUP($A281,'Raw Data'!$A:$A,'Raw Data'!$AX:$AX),"")</f>
        <v/>
      </c>
      <c r="N281" s="230" t="str">
        <f>IFERROR(_xlfn.XLOOKUP($A281,'Raw Data'!$A:$A,'Raw Data'!$AY:$AY),"")</f>
        <v/>
      </c>
      <c r="O281" s="231" t="str">
        <f>IFERROR(1-(SUMIF('Plant BD'!$B:$B,A281,'Plant BD'!$AE:$AE)/(AA281+SUMIF('Plant BD'!$B:$B,A281,'Plant BD'!$AE:$AE))),"")</f>
        <v/>
      </c>
      <c r="P281" s="231"/>
      <c r="Q281" s="232"/>
      <c r="R281" s="231" t="str">
        <f>IFERROR(1-(SUMIF('Grid BD'!$B:$B,$A281,'Grid BD'!$AD:$AD)/($AA281+SUMIF('Grid BD'!$B:$B,$A281,'Grid BD'!AD:AD))),"")</f>
        <v/>
      </c>
      <c r="S281" s="6"/>
      <c r="T281" s="232"/>
      <c r="U281" s="233" t="str">
        <f t="shared" si="21"/>
        <v/>
      </c>
      <c r="V281" s="233"/>
      <c r="W281" s="234" t="str">
        <f t="shared" si="19"/>
        <v/>
      </c>
      <c r="X281" s="227" t="str">
        <f>IFERROR(_xlfn.XLOOKUP($A281,'Raw Data'!$A:$A,'Raw Data'!$BA:$BA),"")</f>
        <v/>
      </c>
      <c r="Y281" s="227" t="str">
        <f>IFERROR(_xlfn.XLOOKUP($A281,'Raw Data'!$A:$A,'Raw Data'!BJ:BJ),"")</f>
        <v/>
      </c>
      <c r="Z281" s="227" t="str">
        <f>IFERROR(_xlfn.XLOOKUP($A281,'Raw Data'!$A:$A,'Raw Data'!BK:BK),"")</f>
        <v/>
      </c>
      <c r="AA281" s="227" t="str">
        <f>IFERROR(_xlfn.XLOOKUP($A281,'Raw Data'!$A:$A,'Raw Data'!BL:BL),"")</f>
        <v/>
      </c>
      <c r="AB281" s="227" t="str">
        <f>IFERROR(_xlfn.XLOOKUP($A281,'Raw Data'!$A:$A,'Raw Data'!$H:$H),"")</f>
        <v/>
      </c>
      <c r="AC281" s="145">
        <f>IFERROR(_xlfn.XLOOKUP($D281,'Modelling New'!$D:$D,'Modelling New'!$P:$P),"")</f>
        <v>6.790322580645161</v>
      </c>
      <c r="AD281" s="227">
        <f>IFERROR(_xlfn.XLOOKUP($D281,'Modelling New'!$D:$D,'Modelling New'!$T:$T)*1000,"")</f>
        <v>114636.64210349345</v>
      </c>
      <c r="AE281" s="234">
        <f>IFERROR(_xlfn.XLOOKUP($D281,'Modelling New'!$D:$D,'Modelling New'!$O:$O),"")</f>
        <v>0.69465853509305142</v>
      </c>
      <c r="AF281" s="234">
        <f>IFERROR(_xlfn.XLOOKUP($D281,'Modelling New'!$D:$D,'Modelling New'!$W:$W),"")</f>
        <v>0.19653981402834317</v>
      </c>
      <c r="AG281" s="234">
        <f>IFERROR(_xlfn.XLOOKUP($D281,'Modelling New'!$D:$D,'Modelling New'!AE:AE),"")</f>
        <v>0.995</v>
      </c>
      <c r="AH281" s="234">
        <v>0.99750000000000005</v>
      </c>
      <c r="AI281" s="6"/>
      <c r="AJ281" s="6"/>
      <c r="AK281" s="6"/>
      <c r="AL281" s="6"/>
      <c r="AM281" s="6"/>
      <c r="AN281" s="231"/>
      <c r="AO281" s="234"/>
      <c r="AP281" s="234"/>
      <c r="AQ281" s="234"/>
      <c r="AR281" s="227">
        <f>IFERROR(_xlfn.XLOOKUP($D281,'Modelling New'!$D:$D,'Modelling New'!$N:$N),"")</f>
        <v>24.303100000000001</v>
      </c>
      <c r="AS281" s="227"/>
    </row>
    <row r="282" spans="1:45" x14ac:dyDescent="0.35">
      <c r="A282" s="226">
        <f t="shared" si="22"/>
        <v>46025</v>
      </c>
      <c r="B282" s="227">
        <f>YEAR(Daily_KPI[[#This Row],[Date]])+IF(MONTH(Daily_KPI[[#This Row],[Date]])&gt;=4,1,0)</f>
        <v>2026</v>
      </c>
      <c r="C282" s="6">
        <f>YEAR(Daily_KPI[[#This Row],[Date]])</f>
        <v>2026</v>
      </c>
      <c r="D282" s="228">
        <f>Daily_KPI[[#This Row],[Date]]-DAY(Daily_KPI[[#This Row],[Date]])+1</f>
        <v>46023</v>
      </c>
      <c r="E282" s="6">
        <f t="shared" si="20"/>
        <v>31</v>
      </c>
      <c r="F282" s="229" t="str">
        <f>IFERROR(_xlfn.XLOOKUP($A282,'Raw Data'!$A:$A,'Raw Data'!$BR:$BR),"")</f>
        <v/>
      </c>
      <c r="G282" s="230" t="str">
        <f>IFERROR(_xlfn.XLOOKUP($A282,'Raw Data'!$A:$A,'Raw Data'!$AO:$AO),"")</f>
        <v/>
      </c>
      <c r="H282" s="230"/>
      <c r="I282" s="230" t="str">
        <f>IFERROR(_xlfn.XLOOKUP($A282,'Raw Data'!$A:$A,'Raw Data'!$AR:$AR),"")</f>
        <v/>
      </c>
      <c r="J282" s="230"/>
      <c r="K282" s="230" t="str">
        <f>IFERROR(_xlfn.XLOOKUP($A282,'Raw Data'!$A:$A,'Raw Data'!$AV:$AV),"")</f>
        <v/>
      </c>
      <c r="L282" s="230" t="str">
        <f>IFERROR(_xlfn.XLOOKUP($A282,'Raw Data'!$A:$A,'Raw Data'!$AW:$AW),"")</f>
        <v/>
      </c>
      <c r="M282" s="230" t="str">
        <f>IFERROR(_xlfn.XLOOKUP($A282,'Raw Data'!$A:$A,'Raw Data'!$AX:$AX),"")</f>
        <v/>
      </c>
      <c r="N282" s="230" t="str">
        <f>IFERROR(_xlfn.XLOOKUP($A282,'Raw Data'!$A:$A,'Raw Data'!$AY:$AY),"")</f>
        <v/>
      </c>
      <c r="O282" s="231" t="str">
        <f>IFERROR(1-(SUMIF('Plant BD'!$B:$B,A282,'Plant BD'!$AE:$AE)/(AA282+SUMIF('Plant BD'!$B:$B,A282,'Plant BD'!$AE:$AE))),"")</f>
        <v/>
      </c>
      <c r="P282" s="231"/>
      <c r="Q282" s="232"/>
      <c r="R282" s="231" t="str">
        <f>IFERROR(1-(SUMIF('Grid BD'!$B:$B,$A282,'Grid BD'!$AD:$AD)/($AA282+SUMIF('Grid BD'!$B:$B,$A282,'Grid BD'!AD:AD))),"")</f>
        <v/>
      </c>
      <c r="S282" s="6"/>
      <c r="T282" s="232"/>
      <c r="U282" s="233" t="str">
        <f t="shared" si="21"/>
        <v/>
      </c>
      <c r="V282" s="233"/>
      <c r="W282" s="234" t="str">
        <f t="shared" si="19"/>
        <v/>
      </c>
      <c r="X282" s="227" t="str">
        <f>IFERROR(_xlfn.XLOOKUP($A282,'Raw Data'!$A:$A,'Raw Data'!$BA:$BA),"")</f>
        <v/>
      </c>
      <c r="Y282" s="227" t="str">
        <f>IFERROR(_xlfn.XLOOKUP($A282,'Raw Data'!$A:$A,'Raw Data'!BJ:BJ),"")</f>
        <v/>
      </c>
      <c r="Z282" s="227" t="str">
        <f>IFERROR(_xlfn.XLOOKUP($A282,'Raw Data'!$A:$A,'Raw Data'!BK:BK),"")</f>
        <v/>
      </c>
      <c r="AA282" s="227" t="str">
        <f>IFERROR(_xlfn.XLOOKUP($A282,'Raw Data'!$A:$A,'Raw Data'!BL:BL),"")</f>
        <v/>
      </c>
      <c r="AB282" s="227" t="str">
        <f>IFERROR(_xlfn.XLOOKUP($A282,'Raw Data'!$A:$A,'Raw Data'!$H:$H),"")</f>
        <v/>
      </c>
      <c r="AC282" s="145">
        <f>IFERROR(_xlfn.XLOOKUP($D282,'Modelling New'!$D:$D,'Modelling New'!$P:$P),"")</f>
        <v>6.790322580645161</v>
      </c>
      <c r="AD282" s="227">
        <f>IFERROR(_xlfn.XLOOKUP($D282,'Modelling New'!$D:$D,'Modelling New'!$T:$T)*1000,"")</f>
        <v>114636.64210349345</v>
      </c>
      <c r="AE282" s="234">
        <f>IFERROR(_xlfn.XLOOKUP($D282,'Modelling New'!$D:$D,'Modelling New'!$O:$O),"")</f>
        <v>0.69465853509305142</v>
      </c>
      <c r="AF282" s="234">
        <f>IFERROR(_xlfn.XLOOKUP($D282,'Modelling New'!$D:$D,'Modelling New'!$W:$W),"")</f>
        <v>0.19653981402834317</v>
      </c>
      <c r="AG282" s="234">
        <f>IFERROR(_xlfn.XLOOKUP($D282,'Modelling New'!$D:$D,'Modelling New'!AE:AE),"")</f>
        <v>0.995</v>
      </c>
      <c r="AH282" s="234">
        <v>0.99750000000000005</v>
      </c>
      <c r="AI282" s="6"/>
      <c r="AJ282" s="6"/>
      <c r="AK282" s="6"/>
      <c r="AL282" s="6"/>
      <c r="AM282" s="6"/>
      <c r="AN282" s="231"/>
      <c r="AO282" s="234"/>
      <c r="AP282" s="234"/>
      <c r="AQ282" s="234"/>
      <c r="AR282" s="227">
        <f>IFERROR(_xlfn.XLOOKUP($D282,'Modelling New'!$D:$D,'Modelling New'!$N:$N),"")</f>
        <v>24.303100000000001</v>
      </c>
      <c r="AS282" s="227"/>
    </row>
    <row r="283" spans="1:45" x14ac:dyDescent="0.35">
      <c r="A283" s="226">
        <f t="shared" si="22"/>
        <v>46026</v>
      </c>
      <c r="B283" s="227">
        <f>YEAR(Daily_KPI[[#This Row],[Date]])+IF(MONTH(Daily_KPI[[#This Row],[Date]])&gt;=4,1,0)</f>
        <v>2026</v>
      </c>
      <c r="C283" s="6">
        <f>YEAR(Daily_KPI[[#This Row],[Date]])</f>
        <v>2026</v>
      </c>
      <c r="D283" s="228">
        <f>Daily_KPI[[#This Row],[Date]]-DAY(Daily_KPI[[#This Row],[Date]])+1</f>
        <v>46023</v>
      </c>
      <c r="E283" s="6">
        <f t="shared" si="20"/>
        <v>31</v>
      </c>
      <c r="F283" s="229" t="str">
        <f>IFERROR(_xlfn.XLOOKUP($A283,'Raw Data'!$A:$A,'Raw Data'!$BR:$BR),"")</f>
        <v/>
      </c>
      <c r="G283" s="230" t="str">
        <f>IFERROR(_xlfn.XLOOKUP($A283,'Raw Data'!$A:$A,'Raw Data'!$AO:$AO),"")</f>
        <v/>
      </c>
      <c r="H283" s="230"/>
      <c r="I283" s="230" t="str">
        <f>IFERROR(_xlfn.XLOOKUP($A283,'Raw Data'!$A:$A,'Raw Data'!$AR:$AR),"")</f>
        <v/>
      </c>
      <c r="J283" s="230"/>
      <c r="K283" s="230" t="str">
        <f>IFERROR(_xlfn.XLOOKUP($A283,'Raw Data'!$A:$A,'Raw Data'!$AV:$AV),"")</f>
        <v/>
      </c>
      <c r="L283" s="230" t="str">
        <f>IFERROR(_xlfn.XLOOKUP($A283,'Raw Data'!$A:$A,'Raw Data'!$AW:$AW),"")</f>
        <v/>
      </c>
      <c r="M283" s="230" t="str">
        <f>IFERROR(_xlfn.XLOOKUP($A283,'Raw Data'!$A:$A,'Raw Data'!$AX:$AX),"")</f>
        <v/>
      </c>
      <c r="N283" s="230" t="str">
        <f>IFERROR(_xlfn.XLOOKUP($A283,'Raw Data'!$A:$A,'Raw Data'!$AY:$AY),"")</f>
        <v/>
      </c>
      <c r="O283" s="231" t="str">
        <f>IFERROR(1-(SUMIF('Plant BD'!$B:$B,A283,'Plant BD'!$AE:$AE)/(AA283+SUMIF('Plant BD'!$B:$B,A283,'Plant BD'!$AE:$AE))),"")</f>
        <v/>
      </c>
      <c r="P283" s="231"/>
      <c r="Q283" s="232"/>
      <c r="R283" s="231" t="str">
        <f>IFERROR(1-(SUMIF('Grid BD'!$B:$B,$A283,'Grid BD'!$AD:$AD)/($AA283+SUMIF('Grid BD'!$B:$B,$A283,'Grid BD'!AD:AD))),"")</f>
        <v/>
      </c>
      <c r="S283" s="6"/>
      <c r="T283" s="232"/>
      <c r="U283" s="233" t="str">
        <f t="shared" si="21"/>
        <v/>
      </c>
      <c r="V283" s="233"/>
      <c r="W283" s="234" t="str">
        <f t="shared" si="19"/>
        <v/>
      </c>
      <c r="X283" s="227" t="str">
        <f>IFERROR(_xlfn.XLOOKUP($A283,'Raw Data'!$A:$A,'Raw Data'!$BA:$BA),"")</f>
        <v/>
      </c>
      <c r="Y283" s="227" t="str">
        <f>IFERROR(_xlfn.XLOOKUP($A283,'Raw Data'!$A:$A,'Raw Data'!BJ:BJ),"")</f>
        <v/>
      </c>
      <c r="Z283" s="227" t="str">
        <f>IFERROR(_xlfn.XLOOKUP($A283,'Raw Data'!$A:$A,'Raw Data'!BK:BK),"")</f>
        <v/>
      </c>
      <c r="AA283" s="227" t="str">
        <f>IFERROR(_xlfn.XLOOKUP($A283,'Raw Data'!$A:$A,'Raw Data'!BL:BL),"")</f>
        <v/>
      </c>
      <c r="AB283" s="227" t="str">
        <f>IFERROR(_xlfn.XLOOKUP($A283,'Raw Data'!$A:$A,'Raw Data'!$H:$H),"")</f>
        <v/>
      </c>
      <c r="AC283" s="145">
        <f>IFERROR(_xlfn.XLOOKUP($D283,'Modelling New'!$D:$D,'Modelling New'!$P:$P),"")</f>
        <v>6.790322580645161</v>
      </c>
      <c r="AD283" s="227">
        <f>IFERROR(_xlfn.XLOOKUP($D283,'Modelling New'!$D:$D,'Modelling New'!$T:$T)*1000,"")</f>
        <v>114636.64210349345</v>
      </c>
      <c r="AE283" s="234">
        <f>IFERROR(_xlfn.XLOOKUP($D283,'Modelling New'!$D:$D,'Modelling New'!$O:$O),"")</f>
        <v>0.69465853509305142</v>
      </c>
      <c r="AF283" s="234">
        <f>IFERROR(_xlfn.XLOOKUP($D283,'Modelling New'!$D:$D,'Modelling New'!$W:$W),"")</f>
        <v>0.19653981402834317</v>
      </c>
      <c r="AG283" s="234">
        <f>IFERROR(_xlfn.XLOOKUP($D283,'Modelling New'!$D:$D,'Modelling New'!AE:AE),"")</f>
        <v>0.995</v>
      </c>
      <c r="AH283" s="234">
        <v>0.99750000000000005</v>
      </c>
      <c r="AI283" s="6"/>
      <c r="AJ283" s="6"/>
      <c r="AK283" s="6"/>
      <c r="AL283" s="6"/>
      <c r="AM283" s="6"/>
      <c r="AN283" s="231"/>
      <c r="AO283" s="234"/>
      <c r="AP283" s="234"/>
      <c r="AQ283" s="234"/>
      <c r="AR283" s="227">
        <f>IFERROR(_xlfn.XLOOKUP($D283,'Modelling New'!$D:$D,'Modelling New'!$N:$N),"")</f>
        <v>24.303100000000001</v>
      </c>
      <c r="AS283" s="227"/>
    </row>
    <row r="284" spans="1:45" x14ac:dyDescent="0.35">
      <c r="A284" s="226">
        <f t="shared" si="22"/>
        <v>46027</v>
      </c>
      <c r="B284" s="227">
        <f>YEAR(Daily_KPI[[#This Row],[Date]])+IF(MONTH(Daily_KPI[[#This Row],[Date]])&gt;=4,1,0)</f>
        <v>2026</v>
      </c>
      <c r="C284" s="6">
        <f>YEAR(Daily_KPI[[#This Row],[Date]])</f>
        <v>2026</v>
      </c>
      <c r="D284" s="228">
        <f>Daily_KPI[[#This Row],[Date]]-DAY(Daily_KPI[[#This Row],[Date]])+1</f>
        <v>46023</v>
      </c>
      <c r="E284" s="6">
        <f t="shared" si="20"/>
        <v>31</v>
      </c>
      <c r="F284" s="229" t="str">
        <f>IFERROR(_xlfn.XLOOKUP($A284,'Raw Data'!$A:$A,'Raw Data'!$BR:$BR),"")</f>
        <v/>
      </c>
      <c r="G284" s="230" t="str">
        <f>IFERROR(_xlfn.XLOOKUP($A284,'Raw Data'!$A:$A,'Raw Data'!$AO:$AO),"")</f>
        <v/>
      </c>
      <c r="H284" s="230"/>
      <c r="I284" s="230" t="str">
        <f>IFERROR(_xlfn.XLOOKUP($A284,'Raw Data'!$A:$A,'Raw Data'!$AR:$AR),"")</f>
        <v/>
      </c>
      <c r="J284" s="230"/>
      <c r="K284" s="230" t="str">
        <f>IFERROR(_xlfn.XLOOKUP($A284,'Raw Data'!$A:$A,'Raw Data'!$AV:$AV),"")</f>
        <v/>
      </c>
      <c r="L284" s="230" t="str">
        <f>IFERROR(_xlfn.XLOOKUP($A284,'Raw Data'!$A:$A,'Raw Data'!$AW:$AW),"")</f>
        <v/>
      </c>
      <c r="M284" s="230" t="str">
        <f>IFERROR(_xlfn.XLOOKUP($A284,'Raw Data'!$A:$A,'Raw Data'!$AX:$AX),"")</f>
        <v/>
      </c>
      <c r="N284" s="230" t="str">
        <f>IFERROR(_xlfn.XLOOKUP($A284,'Raw Data'!$A:$A,'Raw Data'!$AY:$AY),"")</f>
        <v/>
      </c>
      <c r="O284" s="231" t="str">
        <f>IFERROR(1-(SUMIF('Plant BD'!$B:$B,A284,'Plant BD'!$AE:$AE)/(AA284+SUMIF('Plant BD'!$B:$B,A284,'Plant BD'!$AE:$AE))),"")</f>
        <v/>
      </c>
      <c r="P284" s="231"/>
      <c r="Q284" s="232"/>
      <c r="R284" s="231" t="str">
        <f>IFERROR(1-(SUMIF('Grid BD'!$B:$B,$A284,'Grid BD'!$AD:$AD)/($AA284+SUMIF('Grid BD'!$B:$B,$A284,'Grid BD'!AD:AD))),"")</f>
        <v/>
      </c>
      <c r="S284" s="6"/>
      <c r="T284" s="232"/>
      <c r="U284" s="233" t="str">
        <f t="shared" si="21"/>
        <v/>
      </c>
      <c r="V284" s="233"/>
      <c r="W284" s="234" t="str">
        <f t="shared" si="19"/>
        <v/>
      </c>
      <c r="X284" s="227" t="str">
        <f>IFERROR(_xlfn.XLOOKUP($A284,'Raw Data'!$A:$A,'Raw Data'!$BA:$BA),"")</f>
        <v/>
      </c>
      <c r="Y284" s="227" t="str">
        <f>IFERROR(_xlfn.XLOOKUP($A284,'Raw Data'!$A:$A,'Raw Data'!BJ:BJ),"")</f>
        <v/>
      </c>
      <c r="Z284" s="227" t="str">
        <f>IFERROR(_xlfn.XLOOKUP($A284,'Raw Data'!$A:$A,'Raw Data'!BK:BK),"")</f>
        <v/>
      </c>
      <c r="AA284" s="227" t="str">
        <f>IFERROR(_xlfn.XLOOKUP($A284,'Raw Data'!$A:$A,'Raw Data'!BL:BL),"")</f>
        <v/>
      </c>
      <c r="AB284" s="227" t="str">
        <f>IFERROR(_xlfn.XLOOKUP($A284,'Raw Data'!$A:$A,'Raw Data'!$H:$H),"")</f>
        <v/>
      </c>
      <c r="AC284" s="145">
        <f>IFERROR(_xlfn.XLOOKUP($D284,'Modelling New'!$D:$D,'Modelling New'!$P:$P),"")</f>
        <v>6.790322580645161</v>
      </c>
      <c r="AD284" s="227">
        <f>IFERROR(_xlfn.XLOOKUP($D284,'Modelling New'!$D:$D,'Modelling New'!$T:$T)*1000,"")</f>
        <v>114636.64210349345</v>
      </c>
      <c r="AE284" s="234">
        <f>IFERROR(_xlfn.XLOOKUP($D284,'Modelling New'!$D:$D,'Modelling New'!$O:$O),"")</f>
        <v>0.69465853509305142</v>
      </c>
      <c r="AF284" s="234">
        <f>IFERROR(_xlfn.XLOOKUP($D284,'Modelling New'!$D:$D,'Modelling New'!$W:$W),"")</f>
        <v>0.19653981402834317</v>
      </c>
      <c r="AG284" s="234">
        <f>IFERROR(_xlfn.XLOOKUP($D284,'Modelling New'!$D:$D,'Modelling New'!AE:AE),"")</f>
        <v>0.995</v>
      </c>
      <c r="AH284" s="234">
        <v>0.99750000000000005</v>
      </c>
      <c r="AI284" s="6"/>
      <c r="AJ284" s="6"/>
      <c r="AK284" s="6"/>
      <c r="AL284" s="6"/>
      <c r="AM284" s="6"/>
      <c r="AN284" s="231"/>
      <c r="AO284" s="234"/>
      <c r="AP284" s="234"/>
      <c r="AQ284" s="234"/>
      <c r="AR284" s="227">
        <f>IFERROR(_xlfn.XLOOKUP($D284,'Modelling New'!$D:$D,'Modelling New'!$N:$N),"")</f>
        <v>24.303100000000001</v>
      </c>
      <c r="AS284" s="227"/>
    </row>
    <row r="285" spans="1:45" x14ac:dyDescent="0.35">
      <c r="A285" s="226">
        <f t="shared" si="22"/>
        <v>46028</v>
      </c>
      <c r="B285" s="227">
        <f>YEAR(Daily_KPI[[#This Row],[Date]])+IF(MONTH(Daily_KPI[[#This Row],[Date]])&gt;=4,1,0)</f>
        <v>2026</v>
      </c>
      <c r="C285" s="6">
        <f>YEAR(Daily_KPI[[#This Row],[Date]])</f>
        <v>2026</v>
      </c>
      <c r="D285" s="228">
        <f>Daily_KPI[[#This Row],[Date]]-DAY(Daily_KPI[[#This Row],[Date]])+1</f>
        <v>46023</v>
      </c>
      <c r="E285" s="6">
        <f t="shared" si="20"/>
        <v>31</v>
      </c>
      <c r="F285" s="229" t="str">
        <f>IFERROR(_xlfn.XLOOKUP($A285,'Raw Data'!$A:$A,'Raw Data'!$BR:$BR),"")</f>
        <v/>
      </c>
      <c r="G285" s="230" t="str">
        <f>IFERROR(_xlfn.XLOOKUP($A285,'Raw Data'!$A:$A,'Raw Data'!$AO:$AO),"")</f>
        <v/>
      </c>
      <c r="H285" s="230"/>
      <c r="I285" s="230" t="str">
        <f>IFERROR(_xlfn.XLOOKUP($A285,'Raw Data'!$A:$A,'Raw Data'!$AR:$AR),"")</f>
        <v/>
      </c>
      <c r="J285" s="230"/>
      <c r="K285" s="230" t="str">
        <f>IFERROR(_xlfn.XLOOKUP($A285,'Raw Data'!$A:$A,'Raw Data'!$AV:$AV),"")</f>
        <v/>
      </c>
      <c r="L285" s="230" t="str">
        <f>IFERROR(_xlfn.XLOOKUP($A285,'Raw Data'!$A:$A,'Raw Data'!$AW:$AW),"")</f>
        <v/>
      </c>
      <c r="M285" s="230" t="str">
        <f>IFERROR(_xlfn.XLOOKUP($A285,'Raw Data'!$A:$A,'Raw Data'!$AX:$AX),"")</f>
        <v/>
      </c>
      <c r="N285" s="230" t="str">
        <f>IFERROR(_xlfn.XLOOKUP($A285,'Raw Data'!$A:$A,'Raw Data'!$AY:$AY),"")</f>
        <v/>
      </c>
      <c r="O285" s="231" t="str">
        <f>IFERROR(1-(SUMIF('Plant BD'!$B:$B,A285,'Plant BD'!$AE:$AE)/(AA285+SUMIF('Plant BD'!$B:$B,A285,'Plant BD'!$AE:$AE))),"")</f>
        <v/>
      </c>
      <c r="P285" s="231"/>
      <c r="Q285" s="232"/>
      <c r="R285" s="231" t="str">
        <f>IFERROR(1-(SUMIF('Grid BD'!$B:$B,$A285,'Grid BD'!$AD:$AD)/($AA285+SUMIF('Grid BD'!$B:$B,$A285,'Grid BD'!AD:AD))),"")</f>
        <v/>
      </c>
      <c r="S285" s="6"/>
      <c r="T285" s="232"/>
      <c r="U285" s="233" t="str">
        <f t="shared" si="21"/>
        <v/>
      </c>
      <c r="V285" s="233"/>
      <c r="W285" s="234" t="str">
        <f t="shared" si="19"/>
        <v/>
      </c>
      <c r="X285" s="227" t="str">
        <f>IFERROR(_xlfn.XLOOKUP($A285,'Raw Data'!$A:$A,'Raw Data'!$BA:$BA),"")</f>
        <v/>
      </c>
      <c r="Y285" s="227" t="str">
        <f>IFERROR(_xlfn.XLOOKUP($A285,'Raw Data'!$A:$A,'Raw Data'!BJ:BJ),"")</f>
        <v/>
      </c>
      <c r="Z285" s="227" t="str">
        <f>IFERROR(_xlfn.XLOOKUP($A285,'Raw Data'!$A:$A,'Raw Data'!BK:BK),"")</f>
        <v/>
      </c>
      <c r="AA285" s="227" t="str">
        <f>IFERROR(_xlfn.XLOOKUP($A285,'Raw Data'!$A:$A,'Raw Data'!BL:BL),"")</f>
        <v/>
      </c>
      <c r="AB285" s="227" t="str">
        <f>IFERROR(_xlfn.XLOOKUP($A285,'Raw Data'!$A:$A,'Raw Data'!$H:$H),"")</f>
        <v/>
      </c>
      <c r="AC285" s="145">
        <f>IFERROR(_xlfn.XLOOKUP($D285,'Modelling New'!$D:$D,'Modelling New'!$P:$P),"")</f>
        <v>6.790322580645161</v>
      </c>
      <c r="AD285" s="227">
        <f>IFERROR(_xlfn.XLOOKUP($D285,'Modelling New'!$D:$D,'Modelling New'!$T:$T)*1000,"")</f>
        <v>114636.64210349345</v>
      </c>
      <c r="AE285" s="234">
        <f>IFERROR(_xlfn.XLOOKUP($D285,'Modelling New'!$D:$D,'Modelling New'!$O:$O),"")</f>
        <v>0.69465853509305142</v>
      </c>
      <c r="AF285" s="234">
        <f>IFERROR(_xlfn.XLOOKUP($D285,'Modelling New'!$D:$D,'Modelling New'!$W:$W),"")</f>
        <v>0.19653981402834317</v>
      </c>
      <c r="AG285" s="234">
        <f>IFERROR(_xlfn.XLOOKUP($D285,'Modelling New'!$D:$D,'Modelling New'!AE:AE),"")</f>
        <v>0.995</v>
      </c>
      <c r="AH285" s="234">
        <v>0.99750000000000005</v>
      </c>
      <c r="AI285" s="6"/>
      <c r="AJ285" s="6"/>
      <c r="AK285" s="6"/>
      <c r="AL285" s="6"/>
      <c r="AM285" s="6"/>
      <c r="AN285" s="231"/>
      <c r="AO285" s="234"/>
      <c r="AP285" s="234"/>
      <c r="AQ285" s="234"/>
      <c r="AR285" s="227">
        <f>IFERROR(_xlfn.XLOOKUP($D285,'Modelling New'!$D:$D,'Modelling New'!$N:$N),"")</f>
        <v>24.303100000000001</v>
      </c>
      <c r="AS285" s="227"/>
    </row>
    <row r="286" spans="1:45" x14ac:dyDescent="0.35">
      <c r="A286" s="226">
        <f t="shared" si="22"/>
        <v>46029</v>
      </c>
      <c r="B286" s="227">
        <f>YEAR(Daily_KPI[[#This Row],[Date]])+IF(MONTH(Daily_KPI[[#This Row],[Date]])&gt;=4,1,0)</f>
        <v>2026</v>
      </c>
      <c r="C286" s="6">
        <f>YEAR(Daily_KPI[[#This Row],[Date]])</f>
        <v>2026</v>
      </c>
      <c r="D286" s="228">
        <f>Daily_KPI[[#This Row],[Date]]-DAY(Daily_KPI[[#This Row],[Date]])+1</f>
        <v>46023</v>
      </c>
      <c r="E286" s="6">
        <f t="shared" si="20"/>
        <v>31</v>
      </c>
      <c r="F286" s="229" t="str">
        <f>IFERROR(_xlfn.XLOOKUP($A286,'Raw Data'!$A:$A,'Raw Data'!$BR:$BR),"")</f>
        <v/>
      </c>
      <c r="G286" s="230" t="str">
        <f>IFERROR(_xlfn.XLOOKUP($A286,'Raw Data'!$A:$A,'Raw Data'!$AO:$AO),"")</f>
        <v/>
      </c>
      <c r="H286" s="230"/>
      <c r="I286" s="230" t="str">
        <f>IFERROR(_xlfn.XLOOKUP($A286,'Raw Data'!$A:$A,'Raw Data'!$AR:$AR),"")</f>
        <v/>
      </c>
      <c r="J286" s="230"/>
      <c r="K286" s="230" t="str">
        <f>IFERROR(_xlfn.XLOOKUP($A286,'Raw Data'!$A:$A,'Raw Data'!$AV:$AV),"")</f>
        <v/>
      </c>
      <c r="L286" s="230" t="str">
        <f>IFERROR(_xlfn.XLOOKUP($A286,'Raw Data'!$A:$A,'Raw Data'!$AW:$AW),"")</f>
        <v/>
      </c>
      <c r="M286" s="230" t="str">
        <f>IFERROR(_xlfn.XLOOKUP($A286,'Raw Data'!$A:$A,'Raw Data'!$AX:$AX),"")</f>
        <v/>
      </c>
      <c r="N286" s="230" t="str">
        <f>IFERROR(_xlfn.XLOOKUP($A286,'Raw Data'!$A:$A,'Raw Data'!$AY:$AY),"")</f>
        <v/>
      </c>
      <c r="O286" s="231" t="str">
        <f>IFERROR(1-(SUMIF('Plant BD'!$B:$B,A286,'Plant BD'!$AE:$AE)/(AA286+SUMIF('Plant BD'!$B:$B,A286,'Plant BD'!$AE:$AE))),"")</f>
        <v/>
      </c>
      <c r="P286" s="231"/>
      <c r="Q286" s="232"/>
      <c r="R286" s="231" t="str">
        <f>IFERROR(1-(SUMIF('Grid BD'!$B:$B,$A286,'Grid BD'!$AD:$AD)/($AA286+SUMIF('Grid BD'!$B:$B,$A286,'Grid BD'!AD:AD))),"")</f>
        <v/>
      </c>
      <c r="S286" s="6"/>
      <c r="T286" s="232"/>
      <c r="U286" s="233" t="str">
        <f t="shared" si="21"/>
        <v/>
      </c>
      <c r="V286" s="233"/>
      <c r="W286" s="234" t="str">
        <f t="shared" si="19"/>
        <v/>
      </c>
      <c r="X286" s="227" t="str">
        <f>IFERROR(_xlfn.XLOOKUP($A286,'Raw Data'!$A:$A,'Raw Data'!$BA:$BA),"")</f>
        <v/>
      </c>
      <c r="Y286" s="227" t="str">
        <f>IFERROR(_xlfn.XLOOKUP($A286,'Raw Data'!$A:$A,'Raw Data'!BJ:BJ),"")</f>
        <v/>
      </c>
      <c r="Z286" s="227" t="str">
        <f>IFERROR(_xlfn.XLOOKUP($A286,'Raw Data'!$A:$A,'Raw Data'!BK:BK),"")</f>
        <v/>
      </c>
      <c r="AA286" s="227" t="str">
        <f>IFERROR(_xlfn.XLOOKUP($A286,'Raw Data'!$A:$A,'Raw Data'!BL:BL),"")</f>
        <v/>
      </c>
      <c r="AB286" s="227" t="str">
        <f>IFERROR(_xlfn.XLOOKUP($A286,'Raw Data'!$A:$A,'Raw Data'!$H:$H),"")</f>
        <v/>
      </c>
      <c r="AC286" s="145">
        <f>IFERROR(_xlfn.XLOOKUP($D286,'Modelling New'!$D:$D,'Modelling New'!$P:$P),"")</f>
        <v>6.790322580645161</v>
      </c>
      <c r="AD286" s="227">
        <f>IFERROR(_xlfn.XLOOKUP($D286,'Modelling New'!$D:$D,'Modelling New'!$T:$T)*1000,"")</f>
        <v>114636.64210349345</v>
      </c>
      <c r="AE286" s="234">
        <f>IFERROR(_xlfn.XLOOKUP($D286,'Modelling New'!$D:$D,'Modelling New'!$O:$O),"")</f>
        <v>0.69465853509305142</v>
      </c>
      <c r="AF286" s="234">
        <f>IFERROR(_xlfn.XLOOKUP($D286,'Modelling New'!$D:$D,'Modelling New'!$W:$W),"")</f>
        <v>0.19653981402834317</v>
      </c>
      <c r="AG286" s="234">
        <f>IFERROR(_xlfn.XLOOKUP($D286,'Modelling New'!$D:$D,'Modelling New'!AE:AE),"")</f>
        <v>0.995</v>
      </c>
      <c r="AH286" s="234">
        <v>0.99750000000000005</v>
      </c>
      <c r="AI286" s="6"/>
      <c r="AJ286" s="6"/>
      <c r="AK286" s="6"/>
      <c r="AL286" s="6"/>
      <c r="AM286" s="6"/>
      <c r="AN286" s="231"/>
      <c r="AO286" s="234"/>
      <c r="AP286" s="234"/>
      <c r="AQ286" s="234"/>
      <c r="AR286" s="227">
        <f>IFERROR(_xlfn.XLOOKUP($D286,'Modelling New'!$D:$D,'Modelling New'!$N:$N),"")</f>
        <v>24.303100000000001</v>
      </c>
      <c r="AS286" s="227"/>
    </row>
    <row r="287" spans="1:45" x14ac:dyDescent="0.35">
      <c r="A287" s="226">
        <f t="shared" si="22"/>
        <v>46030</v>
      </c>
      <c r="B287" s="227">
        <f>YEAR(Daily_KPI[[#This Row],[Date]])+IF(MONTH(Daily_KPI[[#This Row],[Date]])&gt;=4,1,0)</f>
        <v>2026</v>
      </c>
      <c r="C287" s="6">
        <f>YEAR(Daily_KPI[[#This Row],[Date]])</f>
        <v>2026</v>
      </c>
      <c r="D287" s="228">
        <f>Daily_KPI[[#This Row],[Date]]-DAY(Daily_KPI[[#This Row],[Date]])+1</f>
        <v>46023</v>
      </c>
      <c r="E287" s="6">
        <f t="shared" si="20"/>
        <v>31</v>
      </c>
      <c r="F287" s="229" t="str">
        <f>IFERROR(_xlfn.XLOOKUP($A287,'Raw Data'!$A:$A,'Raw Data'!$BR:$BR),"")</f>
        <v/>
      </c>
      <c r="G287" s="230" t="str">
        <f>IFERROR(_xlfn.XLOOKUP($A287,'Raw Data'!$A:$A,'Raw Data'!$AO:$AO),"")</f>
        <v/>
      </c>
      <c r="H287" s="230"/>
      <c r="I287" s="230" t="str">
        <f>IFERROR(_xlfn.XLOOKUP($A287,'Raw Data'!$A:$A,'Raw Data'!$AR:$AR),"")</f>
        <v/>
      </c>
      <c r="J287" s="230"/>
      <c r="K287" s="230" t="str">
        <f>IFERROR(_xlfn.XLOOKUP($A287,'Raw Data'!$A:$A,'Raw Data'!$AV:$AV),"")</f>
        <v/>
      </c>
      <c r="L287" s="230" t="str">
        <f>IFERROR(_xlfn.XLOOKUP($A287,'Raw Data'!$A:$A,'Raw Data'!$AW:$AW),"")</f>
        <v/>
      </c>
      <c r="M287" s="230" t="str">
        <f>IFERROR(_xlfn.XLOOKUP($A287,'Raw Data'!$A:$A,'Raw Data'!$AX:$AX),"")</f>
        <v/>
      </c>
      <c r="N287" s="230" t="str">
        <f>IFERROR(_xlfn.XLOOKUP($A287,'Raw Data'!$A:$A,'Raw Data'!$AY:$AY),"")</f>
        <v/>
      </c>
      <c r="O287" s="231" t="str">
        <f>IFERROR(1-(SUMIF('Plant BD'!$B:$B,A287,'Plant BD'!$AE:$AE)/(AA287+SUMIF('Plant BD'!$B:$B,A287,'Plant BD'!$AE:$AE))),"")</f>
        <v/>
      </c>
      <c r="P287" s="231"/>
      <c r="Q287" s="232"/>
      <c r="R287" s="231" t="str">
        <f>IFERROR(1-(SUMIF('Grid BD'!$B:$B,$A287,'Grid BD'!$AD:$AD)/($AA287+SUMIF('Grid BD'!$B:$B,$A287,'Grid BD'!AD:AD))),"")</f>
        <v/>
      </c>
      <c r="S287" s="6"/>
      <c r="T287" s="232"/>
      <c r="U287" s="233" t="str">
        <f t="shared" si="21"/>
        <v/>
      </c>
      <c r="V287" s="233"/>
      <c r="W287" s="234" t="str">
        <f t="shared" si="19"/>
        <v/>
      </c>
      <c r="X287" s="227" t="str">
        <f>IFERROR(_xlfn.XLOOKUP($A287,'Raw Data'!$A:$A,'Raw Data'!$BA:$BA),"")</f>
        <v/>
      </c>
      <c r="Y287" s="227" t="str">
        <f>IFERROR(_xlfn.XLOOKUP($A287,'Raw Data'!$A:$A,'Raw Data'!BJ:BJ),"")</f>
        <v/>
      </c>
      <c r="Z287" s="227" t="str">
        <f>IFERROR(_xlfn.XLOOKUP($A287,'Raw Data'!$A:$A,'Raw Data'!BK:BK),"")</f>
        <v/>
      </c>
      <c r="AA287" s="227" t="str">
        <f>IFERROR(_xlfn.XLOOKUP($A287,'Raw Data'!$A:$A,'Raw Data'!BL:BL),"")</f>
        <v/>
      </c>
      <c r="AB287" s="227" t="str">
        <f>IFERROR(_xlfn.XLOOKUP($A287,'Raw Data'!$A:$A,'Raw Data'!$H:$H),"")</f>
        <v/>
      </c>
      <c r="AC287" s="145">
        <f>IFERROR(_xlfn.XLOOKUP($D287,'Modelling New'!$D:$D,'Modelling New'!$P:$P),"")</f>
        <v>6.790322580645161</v>
      </c>
      <c r="AD287" s="227">
        <f>IFERROR(_xlfn.XLOOKUP($D287,'Modelling New'!$D:$D,'Modelling New'!$T:$T)*1000,"")</f>
        <v>114636.64210349345</v>
      </c>
      <c r="AE287" s="234">
        <f>IFERROR(_xlfn.XLOOKUP($D287,'Modelling New'!$D:$D,'Modelling New'!$O:$O),"")</f>
        <v>0.69465853509305142</v>
      </c>
      <c r="AF287" s="234">
        <f>IFERROR(_xlfn.XLOOKUP($D287,'Modelling New'!$D:$D,'Modelling New'!$W:$W),"")</f>
        <v>0.19653981402834317</v>
      </c>
      <c r="AG287" s="234">
        <f>IFERROR(_xlfn.XLOOKUP($D287,'Modelling New'!$D:$D,'Modelling New'!AE:AE),"")</f>
        <v>0.995</v>
      </c>
      <c r="AH287" s="234">
        <v>0.99750000000000005</v>
      </c>
      <c r="AI287" s="6"/>
      <c r="AJ287" s="6"/>
      <c r="AK287" s="6"/>
      <c r="AL287" s="6"/>
      <c r="AM287" s="6"/>
      <c r="AN287" s="231"/>
      <c r="AO287" s="234"/>
      <c r="AP287" s="234"/>
      <c r="AQ287" s="234"/>
      <c r="AR287" s="227">
        <f>IFERROR(_xlfn.XLOOKUP($D287,'Modelling New'!$D:$D,'Modelling New'!$N:$N),"")</f>
        <v>24.303100000000001</v>
      </c>
      <c r="AS287" s="227"/>
    </row>
    <row r="288" spans="1:45" x14ac:dyDescent="0.35">
      <c r="A288" s="226">
        <f t="shared" si="22"/>
        <v>46031</v>
      </c>
      <c r="B288" s="227">
        <f>YEAR(Daily_KPI[[#This Row],[Date]])+IF(MONTH(Daily_KPI[[#This Row],[Date]])&gt;=4,1,0)</f>
        <v>2026</v>
      </c>
      <c r="C288" s="6">
        <f>YEAR(Daily_KPI[[#This Row],[Date]])</f>
        <v>2026</v>
      </c>
      <c r="D288" s="228">
        <f>Daily_KPI[[#This Row],[Date]]-DAY(Daily_KPI[[#This Row],[Date]])+1</f>
        <v>46023</v>
      </c>
      <c r="E288" s="6">
        <f t="shared" si="20"/>
        <v>31</v>
      </c>
      <c r="F288" s="229" t="str">
        <f>IFERROR(_xlfn.XLOOKUP($A288,'Raw Data'!$A:$A,'Raw Data'!$BR:$BR),"")</f>
        <v/>
      </c>
      <c r="G288" s="230" t="str">
        <f>IFERROR(_xlfn.XLOOKUP($A288,'Raw Data'!$A:$A,'Raw Data'!$AO:$AO),"")</f>
        <v/>
      </c>
      <c r="H288" s="230"/>
      <c r="I288" s="230" t="str">
        <f>IFERROR(_xlfn.XLOOKUP($A288,'Raw Data'!$A:$A,'Raw Data'!$AR:$AR),"")</f>
        <v/>
      </c>
      <c r="J288" s="230"/>
      <c r="K288" s="230" t="str">
        <f>IFERROR(_xlfn.XLOOKUP($A288,'Raw Data'!$A:$A,'Raw Data'!$AV:$AV),"")</f>
        <v/>
      </c>
      <c r="L288" s="230" t="str">
        <f>IFERROR(_xlfn.XLOOKUP($A288,'Raw Data'!$A:$A,'Raw Data'!$AW:$AW),"")</f>
        <v/>
      </c>
      <c r="M288" s="230" t="str">
        <f>IFERROR(_xlfn.XLOOKUP($A288,'Raw Data'!$A:$A,'Raw Data'!$AX:$AX),"")</f>
        <v/>
      </c>
      <c r="N288" s="230" t="str">
        <f>IFERROR(_xlfn.XLOOKUP($A288,'Raw Data'!$A:$A,'Raw Data'!$AY:$AY),"")</f>
        <v/>
      </c>
      <c r="O288" s="231" t="str">
        <f>IFERROR(1-(SUMIF('Plant BD'!$B:$B,A288,'Plant BD'!$AE:$AE)/(AA288+SUMIF('Plant BD'!$B:$B,A288,'Plant BD'!$AE:$AE))),"")</f>
        <v/>
      </c>
      <c r="P288" s="231"/>
      <c r="Q288" s="232"/>
      <c r="R288" s="231" t="str">
        <f>IFERROR(1-(SUMIF('Grid BD'!$B:$B,$A288,'Grid BD'!$AD:$AD)/($AA288+SUMIF('Grid BD'!$B:$B,$A288,'Grid BD'!AD:AD))),"")</f>
        <v/>
      </c>
      <c r="S288" s="6"/>
      <c r="T288" s="232"/>
      <c r="U288" s="233" t="str">
        <f t="shared" si="21"/>
        <v/>
      </c>
      <c r="V288" s="233"/>
      <c r="W288" s="234" t="str">
        <f t="shared" si="19"/>
        <v/>
      </c>
      <c r="X288" s="227" t="str">
        <f>IFERROR(_xlfn.XLOOKUP($A288,'Raw Data'!$A:$A,'Raw Data'!$BA:$BA),"")</f>
        <v/>
      </c>
      <c r="Y288" s="227" t="str">
        <f>IFERROR(_xlfn.XLOOKUP($A288,'Raw Data'!$A:$A,'Raw Data'!BJ:BJ),"")</f>
        <v/>
      </c>
      <c r="Z288" s="227" t="str">
        <f>IFERROR(_xlfn.XLOOKUP($A288,'Raw Data'!$A:$A,'Raw Data'!BK:BK),"")</f>
        <v/>
      </c>
      <c r="AA288" s="227" t="str">
        <f>IFERROR(_xlfn.XLOOKUP($A288,'Raw Data'!$A:$A,'Raw Data'!BL:BL),"")</f>
        <v/>
      </c>
      <c r="AB288" s="227" t="str">
        <f>IFERROR(_xlfn.XLOOKUP($A288,'Raw Data'!$A:$A,'Raw Data'!$H:$H),"")</f>
        <v/>
      </c>
      <c r="AC288" s="145">
        <f>IFERROR(_xlfn.XLOOKUP($D288,'Modelling New'!$D:$D,'Modelling New'!$P:$P),"")</f>
        <v>6.790322580645161</v>
      </c>
      <c r="AD288" s="227">
        <f>IFERROR(_xlfn.XLOOKUP($D288,'Modelling New'!$D:$D,'Modelling New'!$T:$T)*1000,"")</f>
        <v>114636.64210349345</v>
      </c>
      <c r="AE288" s="234">
        <f>IFERROR(_xlfn.XLOOKUP($D288,'Modelling New'!$D:$D,'Modelling New'!$O:$O),"")</f>
        <v>0.69465853509305142</v>
      </c>
      <c r="AF288" s="234">
        <f>IFERROR(_xlfn.XLOOKUP($D288,'Modelling New'!$D:$D,'Modelling New'!$W:$W),"")</f>
        <v>0.19653981402834317</v>
      </c>
      <c r="AG288" s="234">
        <f>IFERROR(_xlfn.XLOOKUP($D288,'Modelling New'!$D:$D,'Modelling New'!AE:AE),"")</f>
        <v>0.995</v>
      </c>
      <c r="AH288" s="234">
        <v>0.99750000000000005</v>
      </c>
      <c r="AI288" s="6"/>
      <c r="AJ288" s="6"/>
      <c r="AK288" s="6"/>
      <c r="AL288" s="6"/>
      <c r="AM288" s="6"/>
      <c r="AN288" s="231"/>
      <c r="AO288" s="234"/>
      <c r="AP288" s="234"/>
      <c r="AQ288" s="234"/>
      <c r="AR288" s="227">
        <f>IFERROR(_xlfn.XLOOKUP($D288,'Modelling New'!$D:$D,'Modelling New'!$N:$N),"")</f>
        <v>24.303100000000001</v>
      </c>
      <c r="AS288" s="227"/>
    </row>
    <row r="289" spans="1:45" x14ac:dyDescent="0.35">
      <c r="A289" s="226">
        <f t="shared" si="22"/>
        <v>46032</v>
      </c>
      <c r="B289" s="227">
        <f>YEAR(Daily_KPI[[#This Row],[Date]])+IF(MONTH(Daily_KPI[[#This Row],[Date]])&gt;=4,1,0)</f>
        <v>2026</v>
      </c>
      <c r="C289" s="6">
        <f>YEAR(Daily_KPI[[#This Row],[Date]])</f>
        <v>2026</v>
      </c>
      <c r="D289" s="228">
        <f>Daily_KPI[[#This Row],[Date]]-DAY(Daily_KPI[[#This Row],[Date]])+1</f>
        <v>46023</v>
      </c>
      <c r="E289" s="6">
        <f t="shared" si="20"/>
        <v>31</v>
      </c>
      <c r="F289" s="229" t="str">
        <f>IFERROR(_xlfn.XLOOKUP($A289,'Raw Data'!$A:$A,'Raw Data'!$BR:$BR),"")</f>
        <v/>
      </c>
      <c r="G289" s="230" t="str">
        <f>IFERROR(_xlfn.XLOOKUP($A289,'Raw Data'!$A:$A,'Raw Data'!$AO:$AO),"")</f>
        <v/>
      </c>
      <c r="H289" s="230"/>
      <c r="I289" s="230" t="str">
        <f>IFERROR(_xlfn.XLOOKUP($A289,'Raw Data'!$A:$A,'Raw Data'!$AR:$AR),"")</f>
        <v/>
      </c>
      <c r="J289" s="230"/>
      <c r="K289" s="230" t="str">
        <f>IFERROR(_xlfn.XLOOKUP($A289,'Raw Data'!$A:$A,'Raw Data'!$AV:$AV),"")</f>
        <v/>
      </c>
      <c r="L289" s="230" t="str">
        <f>IFERROR(_xlfn.XLOOKUP($A289,'Raw Data'!$A:$A,'Raw Data'!$AW:$AW),"")</f>
        <v/>
      </c>
      <c r="M289" s="230" t="str">
        <f>IFERROR(_xlfn.XLOOKUP($A289,'Raw Data'!$A:$A,'Raw Data'!$AX:$AX),"")</f>
        <v/>
      </c>
      <c r="N289" s="230" t="str">
        <f>IFERROR(_xlfn.XLOOKUP($A289,'Raw Data'!$A:$A,'Raw Data'!$AY:$AY),"")</f>
        <v/>
      </c>
      <c r="O289" s="231" t="str">
        <f>IFERROR(1-(SUMIF('Plant BD'!$B:$B,A289,'Plant BD'!$AE:$AE)/(AA289+SUMIF('Plant BD'!$B:$B,A289,'Plant BD'!$AE:$AE))),"")</f>
        <v/>
      </c>
      <c r="P289" s="231"/>
      <c r="Q289" s="232"/>
      <c r="R289" s="231" t="str">
        <f>IFERROR(1-(SUMIF('Grid BD'!$B:$B,$A289,'Grid BD'!$AD:$AD)/($AA289+SUMIF('Grid BD'!$B:$B,$A289,'Grid BD'!AD:AD))),"")</f>
        <v/>
      </c>
      <c r="S289" s="6"/>
      <c r="T289" s="232"/>
      <c r="U289" s="233" t="str">
        <f t="shared" si="21"/>
        <v/>
      </c>
      <c r="V289" s="233"/>
      <c r="W289" s="234" t="str">
        <f t="shared" si="19"/>
        <v/>
      </c>
      <c r="X289" s="227" t="str">
        <f>IFERROR(_xlfn.XLOOKUP($A289,'Raw Data'!$A:$A,'Raw Data'!$BA:$BA),"")</f>
        <v/>
      </c>
      <c r="Y289" s="227" t="str">
        <f>IFERROR(_xlfn.XLOOKUP($A289,'Raw Data'!$A:$A,'Raw Data'!BJ:BJ),"")</f>
        <v/>
      </c>
      <c r="Z289" s="227" t="str">
        <f>IFERROR(_xlfn.XLOOKUP($A289,'Raw Data'!$A:$A,'Raw Data'!BK:BK),"")</f>
        <v/>
      </c>
      <c r="AA289" s="227" t="str">
        <f>IFERROR(_xlfn.XLOOKUP($A289,'Raw Data'!$A:$A,'Raw Data'!BL:BL),"")</f>
        <v/>
      </c>
      <c r="AB289" s="227" t="str">
        <f>IFERROR(_xlfn.XLOOKUP($A289,'Raw Data'!$A:$A,'Raw Data'!$H:$H),"")</f>
        <v/>
      </c>
      <c r="AC289" s="145">
        <f>IFERROR(_xlfn.XLOOKUP($D289,'Modelling New'!$D:$D,'Modelling New'!$P:$P),"")</f>
        <v>6.790322580645161</v>
      </c>
      <c r="AD289" s="227">
        <f>IFERROR(_xlfn.XLOOKUP($D289,'Modelling New'!$D:$D,'Modelling New'!$T:$T)*1000,"")</f>
        <v>114636.64210349345</v>
      </c>
      <c r="AE289" s="234">
        <f>IFERROR(_xlfn.XLOOKUP($D289,'Modelling New'!$D:$D,'Modelling New'!$O:$O),"")</f>
        <v>0.69465853509305142</v>
      </c>
      <c r="AF289" s="234">
        <f>IFERROR(_xlfn.XLOOKUP($D289,'Modelling New'!$D:$D,'Modelling New'!$W:$W),"")</f>
        <v>0.19653981402834317</v>
      </c>
      <c r="AG289" s="234">
        <f>IFERROR(_xlfn.XLOOKUP($D289,'Modelling New'!$D:$D,'Modelling New'!AE:AE),"")</f>
        <v>0.995</v>
      </c>
      <c r="AH289" s="234">
        <v>0.99750000000000005</v>
      </c>
      <c r="AI289" s="6"/>
      <c r="AJ289" s="6"/>
      <c r="AK289" s="6"/>
      <c r="AL289" s="6"/>
      <c r="AM289" s="6"/>
      <c r="AN289" s="231"/>
      <c r="AO289" s="234"/>
      <c r="AP289" s="234"/>
      <c r="AQ289" s="234"/>
      <c r="AR289" s="227">
        <f>IFERROR(_xlfn.XLOOKUP($D289,'Modelling New'!$D:$D,'Modelling New'!$N:$N),"")</f>
        <v>24.303100000000001</v>
      </c>
      <c r="AS289" s="227"/>
    </row>
    <row r="290" spans="1:45" x14ac:dyDescent="0.35">
      <c r="A290" s="226">
        <f t="shared" si="22"/>
        <v>46033</v>
      </c>
      <c r="B290" s="227">
        <f>YEAR(Daily_KPI[[#This Row],[Date]])+IF(MONTH(Daily_KPI[[#This Row],[Date]])&gt;=4,1,0)</f>
        <v>2026</v>
      </c>
      <c r="C290" s="6">
        <f>YEAR(Daily_KPI[[#This Row],[Date]])</f>
        <v>2026</v>
      </c>
      <c r="D290" s="228">
        <f>Daily_KPI[[#This Row],[Date]]-DAY(Daily_KPI[[#This Row],[Date]])+1</f>
        <v>46023</v>
      </c>
      <c r="E290" s="6">
        <f t="shared" si="20"/>
        <v>31</v>
      </c>
      <c r="F290" s="229" t="str">
        <f>IFERROR(_xlfn.XLOOKUP($A290,'Raw Data'!$A:$A,'Raw Data'!$BR:$BR),"")</f>
        <v/>
      </c>
      <c r="G290" s="230" t="str">
        <f>IFERROR(_xlfn.XLOOKUP($A290,'Raw Data'!$A:$A,'Raw Data'!$AO:$AO),"")</f>
        <v/>
      </c>
      <c r="H290" s="230"/>
      <c r="I290" s="230" t="str">
        <f>IFERROR(_xlfn.XLOOKUP($A290,'Raw Data'!$A:$A,'Raw Data'!$AR:$AR),"")</f>
        <v/>
      </c>
      <c r="J290" s="230"/>
      <c r="K290" s="230" t="str">
        <f>IFERROR(_xlfn.XLOOKUP($A290,'Raw Data'!$A:$A,'Raw Data'!$AV:$AV),"")</f>
        <v/>
      </c>
      <c r="L290" s="230" t="str">
        <f>IFERROR(_xlfn.XLOOKUP($A290,'Raw Data'!$A:$A,'Raw Data'!$AW:$AW),"")</f>
        <v/>
      </c>
      <c r="M290" s="230" t="str">
        <f>IFERROR(_xlfn.XLOOKUP($A290,'Raw Data'!$A:$A,'Raw Data'!$AX:$AX),"")</f>
        <v/>
      </c>
      <c r="N290" s="230" t="str">
        <f>IFERROR(_xlfn.XLOOKUP($A290,'Raw Data'!$A:$A,'Raw Data'!$AY:$AY),"")</f>
        <v/>
      </c>
      <c r="O290" s="231" t="str">
        <f>IFERROR(1-(SUMIF('Plant BD'!$B:$B,A290,'Plant BD'!$AE:$AE)/(AA290+SUMIF('Plant BD'!$B:$B,A290,'Plant BD'!$AE:$AE))),"")</f>
        <v/>
      </c>
      <c r="P290" s="231"/>
      <c r="Q290" s="232"/>
      <c r="R290" s="231" t="str">
        <f>IFERROR(1-(SUMIF('Grid BD'!$B:$B,$A290,'Grid BD'!$AD:$AD)/($AA290+SUMIF('Grid BD'!$B:$B,$A290,'Grid BD'!AD:AD))),"")</f>
        <v/>
      </c>
      <c r="S290" s="6"/>
      <c r="T290" s="232"/>
      <c r="U290" s="233" t="str">
        <f t="shared" si="21"/>
        <v/>
      </c>
      <c r="V290" s="233"/>
      <c r="W290" s="234" t="str">
        <f t="shared" si="19"/>
        <v/>
      </c>
      <c r="X290" s="227" t="str">
        <f>IFERROR(_xlfn.XLOOKUP($A290,'Raw Data'!$A:$A,'Raw Data'!$BA:$BA),"")</f>
        <v/>
      </c>
      <c r="Y290" s="227" t="str">
        <f>IFERROR(_xlfn.XLOOKUP($A290,'Raw Data'!$A:$A,'Raw Data'!BJ:BJ),"")</f>
        <v/>
      </c>
      <c r="Z290" s="227" t="str">
        <f>IFERROR(_xlfn.XLOOKUP($A290,'Raw Data'!$A:$A,'Raw Data'!BK:BK),"")</f>
        <v/>
      </c>
      <c r="AA290" s="227" t="str">
        <f>IFERROR(_xlfn.XLOOKUP($A290,'Raw Data'!$A:$A,'Raw Data'!BL:BL),"")</f>
        <v/>
      </c>
      <c r="AB290" s="227" t="str">
        <f>IFERROR(_xlfn.XLOOKUP($A290,'Raw Data'!$A:$A,'Raw Data'!$H:$H),"")</f>
        <v/>
      </c>
      <c r="AC290" s="145">
        <f>IFERROR(_xlfn.XLOOKUP($D290,'Modelling New'!$D:$D,'Modelling New'!$P:$P),"")</f>
        <v>6.790322580645161</v>
      </c>
      <c r="AD290" s="227">
        <f>IFERROR(_xlfn.XLOOKUP($D290,'Modelling New'!$D:$D,'Modelling New'!$T:$T)*1000,"")</f>
        <v>114636.64210349345</v>
      </c>
      <c r="AE290" s="234">
        <f>IFERROR(_xlfn.XLOOKUP($D290,'Modelling New'!$D:$D,'Modelling New'!$O:$O),"")</f>
        <v>0.69465853509305142</v>
      </c>
      <c r="AF290" s="234">
        <f>IFERROR(_xlfn.XLOOKUP($D290,'Modelling New'!$D:$D,'Modelling New'!$W:$W),"")</f>
        <v>0.19653981402834317</v>
      </c>
      <c r="AG290" s="234">
        <f>IFERROR(_xlfn.XLOOKUP($D290,'Modelling New'!$D:$D,'Modelling New'!AE:AE),"")</f>
        <v>0.995</v>
      </c>
      <c r="AH290" s="234">
        <v>0.99750000000000005</v>
      </c>
      <c r="AI290" s="6"/>
      <c r="AJ290" s="6"/>
      <c r="AK290" s="6"/>
      <c r="AL290" s="6"/>
      <c r="AM290" s="6"/>
      <c r="AN290" s="231"/>
      <c r="AO290" s="234"/>
      <c r="AP290" s="234"/>
      <c r="AQ290" s="234"/>
      <c r="AR290" s="227">
        <f>IFERROR(_xlfn.XLOOKUP($D290,'Modelling New'!$D:$D,'Modelling New'!$N:$N),"")</f>
        <v>24.303100000000001</v>
      </c>
      <c r="AS290" s="227"/>
    </row>
    <row r="291" spans="1:45" x14ac:dyDescent="0.35">
      <c r="A291" s="226">
        <f t="shared" si="22"/>
        <v>46034</v>
      </c>
      <c r="B291" s="227">
        <f>YEAR(Daily_KPI[[#This Row],[Date]])+IF(MONTH(Daily_KPI[[#This Row],[Date]])&gt;=4,1,0)</f>
        <v>2026</v>
      </c>
      <c r="C291" s="6">
        <f>YEAR(Daily_KPI[[#This Row],[Date]])</f>
        <v>2026</v>
      </c>
      <c r="D291" s="228">
        <f>Daily_KPI[[#This Row],[Date]]-DAY(Daily_KPI[[#This Row],[Date]])+1</f>
        <v>46023</v>
      </c>
      <c r="E291" s="6">
        <f t="shared" si="20"/>
        <v>31</v>
      </c>
      <c r="F291" s="229" t="str">
        <f>IFERROR(_xlfn.XLOOKUP($A291,'Raw Data'!$A:$A,'Raw Data'!$BR:$BR),"")</f>
        <v/>
      </c>
      <c r="G291" s="230" t="str">
        <f>IFERROR(_xlfn.XLOOKUP($A291,'Raw Data'!$A:$A,'Raw Data'!$AO:$AO),"")</f>
        <v/>
      </c>
      <c r="H291" s="230"/>
      <c r="I291" s="230" t="str">
        <f>IFERROR(_xlfn.XLOOKUP($A291,'Raw Data'!$A:$A,'Raw Data'!$AR:$AR),"")</f>
        <v/>
      </c>
      <c r="J291" s="230"/>
      <c r="K291" s="230" t="str">
        <f>IFERROR(_xlfn.XLOOKUP($A291,'Raw Data'!$A:$A,'Raw Data'!$AV:$AV),"")</f>
        <v/>
      </c>
      <c r="L291" s="230" t="str">
        <f>IFERROR(_xlfn.XLOOKUP($A291,'Raw Data'!$A:$A,'Raw Data'!$AW:$AW),"")</f>
        <v/>
      </c>
      <c r="M291" s="230" t="str">
        <f>IFERROR(_xlfn.XLOOKUP($A291,'Raw Data'!$A:$A,'Raw Data'!$AX:$AX),"")</f>
        <v/>
      </c>
      <c r="N291" s="230" t="str">
        <f>IFERROR(_xlfn.XLOOKUP($A291,'Raw Data'!$A:$A,'Raw Data'!$AY:$AY),"")</f>
        <v/>
      </c>
      <c r="O291" s="231" t="str">
        <f>IFERROR(1-(SUMIF('Plant BD'!$B:$B,A291,'Plant BD'!$AE:$AE)/(AA291+SUMIF('Plant BD'!$B:$B,A291,'Plant BD'!$AE:$AE))),"")</f>
        <v/>
      </c>
      <c r="P291" s="231"/>
      <c r="Q291" s="232"/>
      <c r="R291" s="231" t="str">
        <f>IFERROR(1-(SUMIF('Grid BD'!$B:$B,$A291,'Grid BD'!$AD:$AD)/($AA291+SUMIF('Grid BD'!$B:$B,$A291,'Grid BD'!AD:AD))),"")</f>
        <v/>
      </c>
      <c r="S291" s="6"/>
      <c r="T291" s="232"/>
      <c r="U291" s="233" t="str">
        <f t="shared" si="21"/>
        <v/>
      </c>
      <c r="V291" s="233"/>
      <c r="W291" s="234" t="str">
        <f t="shared" si="19"/>
        <v/>
      </c>
      <c r="X291" s="227" t="str">
        <f>IFERROR(_xlfn.XLOOKUP($A291,'Raw Data'!$A:$A,'Raw Data'!$BA:$BA),"")</f>
        <v/>
      </c>
      <c r="Y291" s="227" t="str">
        <f>IFERROR(_xlfn.XLOOKUP($A291,'Raw Data'!$A:$A,'Raw Data'!BJ:BJ),"")</f>
        <v/>
      </c>
      <c r="Z291" s="227" t="str">
        <f>IFERROR(_xlfn.XLOOKUP($A291,'Raw Data'!$A:$A,'Raw Data'!BK:BK),"")</f>
        <v/>
      </c>
      <c r="AA291" s="227" t="str">
        <f>IFERROR(_xlfn.XLOOKUP($A291,'Raw Data'!$A:$A,'Raw Data'!BL:BL),"")</f>
        <v/>
      </c>
      <c r="AB291" s="227" t="str">
        <f>IFERROR(_xlfn.XLOOKUP($A291,'Raw Data'!$A:$A,'Raw Data'!$H:$H),"")</f>
        <v/>
      </c>
      <c r="AC291" s="145">
        <f>IFERROR(_xlfn.XLOOKUP($D291,'Modelling New'!$D:$D,'Modelling New'!$P:$P),"")</f>
        <v>6.790322580645161</v>
      </c>
      <c r="AD291" s="227">
        <f>IFERROR(_xlfn.XLOOKUP($D291,'Modelling New'!$D:$D,'Modelling New'!$T:$T)*1000,"")</f>
        <v>114636.64210349345</v>
      </c>
      <c r="AE291" s="234">
        <f>IFERROR(_xlfn.XLOOKUP($D291,'Modelling New'!$D:$D,'Modelling New'!$O:$O),"")</f>
        <v>0.69465853509305142</v>
      </c>
      <c r="AF291" s="234">
        <f>IFERROR(_xlfn.XLOOKUP($D291,'Modelling New'!$D:$D,'Modelling New'!$W:$W),"")</f>
        <v>0.19653981402834317</v>
      </c>
      <c r="AG291" s="234">
        <f>IFERROR(_xlfn.XLOOKUP($D291,'Modelling New'!$D:$D,'Modelling New'!AE:AE),"")</f>
        <v>0.995</v>
      </c>
      <c r="AH291" s="234">
        <v>0.99750000000000005</v>
      </c>
      <c r="AI291" s="6"/>
      <c r="AJ291" s="6"/>
      <c r="AK291" s="6"/>
      <c r="AL291" s="6"/>
      <c r="AM291" s="6"/>
      <c r="AN291" s="231"/>
      <c r="AO291" s="234"/>
      <c r="AP291" s="234"/>
      <c r="AQ291" s="234"/>
      <c r="AR291" s="227">
        <f>IFERROR(_xlfn.XLOOKUP($D291,'Modelling New'!$D:$D,'Modelling New'!$N:$N),"")</f>
        <v>24.303100000000001</v>
      </c>
      <c r="AS291" s="227"/>
    </row>
    <row r="292" spans="1:45" x14ac:dyDescent="0.35">
      <c r="A292" s="226">
        <f t="shared" si="22"/>
        <v>46035</v>
      </c>
      <c r="B292" s="227">
        <f>YEAR(Daily_KPI[[#This Row],[Date]])+IF(MONTH(Daily_KPI[[#This Row],[Date]])&gt;=4,1,0)</f>
        <v>2026</v>
      </c>
      <c r="C292" s="6">
        <f>YEAR(Daily_KPI[[#This Row],[Date]])</f>
        <v>2026</v>
      </c>
      <c r="D292" s="228">
        <f>Daily_KPI[[#This Row],[Date]]-DAY(Daily_KPI[[#This Row],[Date]])+1</f>
        <v>46023</v>
      </c>
      <c r="E292" s="6">
        <f t="shared" si="20"/>
        <v>31</v>
      </c>
      <c r="F292" s="229" t="str">
        <f>IFERROR(_xlfn.XLOOKUP($A292,'Raw Data'!$A:$A,'Raw Data'!$BR:$BR),"")</f>
        <v/>
      </c>
      <c r="G292" s="230" t="str">
        <f>IFERROR(_xlfn.XLOOKUP($A292,'Raw Data'!$A:$A,'Raw Data'!$AO:$AO),"")</f>
        <v/>
      </c>
      <c r="H292" s="230"/>
      <c r="I292" s="230" t="str">
        <f>IFERROR(_xlfn.XLOOKUP($A292,'Raw Data'!$A:$A,'Raw Data'!$AR:$AR),"")</f>
        <v/>
      </c>
      <c r="J292" s="230"/>
      <c r="K292" s="230" t="str">
        <f>IFERROR(_xlfn.XLOOKUP($A292,'Raw Data'!$A:$A,'Raw Data'!$AV:$AV),"")</f>
        <v/>
      </c>
      <c r="L292" s="230" t="str">
        <f>IFERROR(_xlfn.XLOOKUP($A292,'Raw Data'!$A:$A,'Raw Data'!$AW:$AW),"")</f>
        <v/>
      </c>
      <c r="M292" s="230" t="str">
        <f>IFERROR(_xlfn.XLOOKUP($A292,'Raw Data'!$A:$A,'Raw Data'!$AX:$AX),"")</f>
        <v/>
      </c>
      <c r="N292" s="230" t="str">
        <f>IFERROR(_xlfn.XLOOKUP($A292,'Raw Data'!$A:$A,'Raw Data'!$AY:$AY),"")</f>
        <v/>
      </c>
      <c r="O292" s="231" t="str">
        <f>IFERROR(1-(SUMIF('Plant BD'!$B:$B,A292,'Plant BD'!$AE:$AE)/(AA292+SUMIF('Plant BD'!$B:$B,A292,'Plant BD'!$AE:$AE))),"")</f>
        <v/>
      </c>
      <c r="P292" s="231"/>
      <c r="Q292" s="232"/>
      <c r="R292" s="231" t="str">
        <f>IFERROR(1-(SUMIF('Grid BD'!$B:$B,$A292,'Grid BD'!$AD:$AD)/($AA292+SUMIF('Grid BD'!$B:$B,$A292,'Grid BD'!AD:AD))),"")</f>
        <v/>
      </c>
      <c r="S292" s="6"/>
      <c r="T292" s="232"/>
      <c r="U292" s="233" t="str">
        <f t="shared" si="21"/>
        <v/>
      </c>
      <c r="V292" s="233"/>
      <c r="W292" s="234" t="str">
        <f t="shared" si="19"/>
        <v/>
      </c>
      <c r="X292" s="227" t="str">
        <f>IFERROR(_xlfn.XLOOKUP($A292,'Raw Data'!$A:$A,'Raw Data'!$BA:$BA),"")</f>
        <v/>
      </c>
      <c r="Y292" s="227" t="str">
        <f>IFERROR(_xlfn.XLOOKUP($A292,'Raw Data'!$A:$A,'Raw Data'!BJ:BJ),"")</f>
        <v/>
      </c>
      <c r="Z292" s="227" t="str">
        <f>IFERROR(_xlfn.XLOOKUP($A292,'Raw Data'!$A:$A,'Raw Data'!BK:BK),"")</f>
        <v/>
      </c>
      <c r="AA292" s="227" t="str">
        <f>IFERROR(_xlfn.XLOOKUP($A292,'Raw Data'!$A:$A,'Raw Data'!BL:BL),"")</f>
        <v/>
      </c>
      <c r="AB292" s="227" t="str">
        <f>IFERROR(_xlfn.XLOOKUP($A292,'Raw Data'!$A:$A,'Raw Data'!$H:$H),"")</f>
        <v/>
      </c>
      <c r="AC292" s="145">
        <f>IFERROR(_xlfn.XLOOKUP($D292,'Modelling New'!$D:$D,'Modelling New'!$P:$P),"")</f>
        <v>6.790322580645161</v>
      </c>
      <c r="AD292" s="227">
        <f>IFERROR(_xlfn.XLOOKUP($D292,'Modelling New'!$D:$D,'Modelling New'!$T:$T)*1000,"")</f>
        <v>114636.64210349345</v>
      </c>
      <c r="AE292" s="234">
        <f>IFERROR(_xlfn.XLOOKUP($D292,'Modelling New'!$D:$D,'Modelling New'!$O:$O),"")</f>
        <v>0.69465853509305142</v>
      </c>
      <c r="AF292" s="234">
        <f>IFERROR(_xlfn.XLOOKUP($D292,'Modelling New'!$D:$D,'Modelling New'!$W:$W),"")</f>
        <v>0.19653981402834317</v>
      </c>
      <c r="AG292" s="234">
        <f>IFERROR(_xlfn.XLOOKUP($D292,'Modelling New'!$D:$D,'Modelling New'!AE:AE),"")</f>
        <v>0.995</v>
      </c>
      <c r="AH292" s="234">
        <v>0.99750000000000005</v>
      </c>
      <c r="AI292" s="6"/>
      <c r="AJ292" s="6"/>
      <c r="AK292" s="6"/>
      <c r="AL292" s="6"/>
      <c r="AM292" s="6"/>
      <c r="AN292" s="231"/>
      <c r="AO292" s="234"/>
      <c r="AP292" s="234"/>
      <c r="AQ292" s="234"/>
      <c r="AR292" s="227">
        <f>IFERROR(_xlfn.XLOOKUP($D292,'Modelling New'!$D:$D,'Modelling New'!$N:$N),"")</f>
        <v>24.303100000000001</v>
      </c>
      <c r="AS292" s="227"/>
    </row>
    <row r="293" spans="1:45" x14ac:dyDescent="0.35">
      <c r="A293" s="226">
        <f t="shared" si="22"/>
        <v>46036</v>
      </c>
      <c r="B293" s="227">
        <f>YEAR(Daily_KPI[[#This Row],[Date]])+IF(MONTH(Daily_KPI[[#This Row],[Date]])&gt;=4,1,0)</f>
        <v>2026</v>
      </c>
      <c r="C293" s="6">
        <f>YEAR(Daily_KPI[[#This Row],[Date]])</f>
        <v>2026</v>
      </c>
      <c r="D293" s="228">
        <f>Daily_KPI[[#This Row],[Date]]-DAY(Daily_KPI[[#This Row],[Date]])+1</f>
        <v>46023</v>
      </c>
      <c r="E293" s="6">
        <f t="shared" si="20"/>
        <v>31</v>
      </c>
      <c r="F293" s="229" t="str">
        <f>IFERROR(_xlfn.XLOOKUP($A293,'Raw Data'!$A:$A,'Raw Data'!$BR:$BR),"")</f>
        <v/>
      </c>
      <c r="G293" s="230" t="str">
        <f>IFERROR(_xlfn.XLOOKUP($A293,'Raw Data'!$A:$A,'Raw Data'!$AO:$AO),"")</f>
        <v/>
      </c>
      <c r="H293" s="230"/>
      <c r="I293" s="230" t="str">
        <f>IFERROR(_xlfn.XLOOKUP($A293,'Raw Data'!$A:$A,'Raw Data'!$AR:$AR),"")</f>
        <v/>
      </c>
      <c r="J293" s="230"/>
      <c r="K293" s="230" t="str">
        <f>IFERROR(_xlfn.XLOOKUP($A293,'Raw Data'!$A:$A,'Raw Data'!$AV:$AV),"")</f>
        <v/>
      </c>
      <c r="L293" s="230" t="str">
        <f>IFERROR(_xlfn.XLOOKUP($A293,'Raw Data'!$A:$A,'Raw Data'!$AW:$AW),"")</f>
        <v/>
      </c>
      <c r="M293" s="230" t="str">
        <f>IFERROR(_xlfn.XLOOKUP($A293,'Raw Data'!$A:$A,'Raw Data'!$AX:$AX),"")</f>
        <v/>
      </c>
      <c r="N293" s="230" t="str">
        <f>IFERROR(_xlfn.XLOOKUP($A293,'Raw Data'!$A:$A,'Raw Data'!$AY:$AY),"")</f>
        <v/>
      </c>
      <c r="O293" s="231" t="str">
        <f>IFERROR(1-(SUMIF('Plant BD'!$B:$B,A293,'Plant BD'!$AE:$AE)/(AA293+SUMIF('Plant BD'!$B:$B,A293,'Plant BD'!$AE:$AE))),"")</f>
        <v/>
      </c>
      <c r="P293" s="231"/>
      <c r="Q293" s="232"/>
      <c r="R293" s="231" t="str">
        <f>IFERROR(1-(SUMIF('Grid BD'!$B:$B,$A293,'Grid BD'!$AD:$AD)/($AA293+SUMIF('Grid BD'!$B:$B,$A293,'Grid BD'!AD:AD))),"")</f>
        <v/>
      </c>
      <c r="S293" s="6"/>
      <c r="T293" s="232"/>
      <c r="U293" s="233" t="str">
        <f t="shared" si="21"/>
        <v/>
      </c>
      <c r="V293" s="233"/>
      <c r="W293" s="234" t="str">
        <f t="shared" si="19"/>
        <v/>
      </c>
      <c r="X293" s="227" t="str">
        <f>IFERROR(_xlfn.XLOOKUP($A293,'Raw Data'!$A:$A,'Raw Data'!$BA:$BA),"")</f>
        <v/>
      </c>
      <c r="Y293" s="227" t="str">
        <f>IFERROR(_xlfn.XLOOKUP($A293,'Raw Data'!$A:$A,'Raw Data'!BJ:BJ),"")</f>
        <v/>
      </c>
      <c r="Z293" s="227" t="str">
        <f>IFERROR(_xlfn.XLOOKUP($A293,'Raw Data'!$A:$A,'Raw Data'!BK:BK),"")</f>
        <v/>
      </c>
      <c r="AA293" s="227" t="str">
        <f>IFERROR(_xlfn.XLOOKUP($A293,'Raw Data'!$A:$A,'Raw Data'!BL:BL),"")</f>
        <v/>
      </c>
      <c r="AB293" s="227" t="str">
        <f>IFERROR(_xlfn.XLOOKUP($A293,'Raw Data'!$A:$A,'Raw Data'!$H:$H),"")</f>
        <v/>
      </c>
      <c r="AC293" s="145">
        <f>IFERROR(_xlfn.XLOOKUP($D293,'Modelling New'!$D:$D,'Modelling New'!$P:$P),"")</f>
        <v>6.790322580645161</v>
      </c>
      <c r="AD293" s="227">
        <f>IFERROR(_xlfn.XLOOKUP($D293,'Modelling New'!$D:$D,'Modelling New'!$T:$T)*1000,"")</f>
        <v>114636.64210349345</v>
      </c>
      <c r="AE293" s="234">
        <f>IFERROR(_xlfn.XLOOKUP($D293,'Modelling New'!$D:$D,'Modelling New'!$O:$O),"")</f>
        <v>0.69465853509305142</v>
      </c>
      <c r="AF293" s="234">
        <f>IFERROR(_xlfn.XLOOKUP($D293,'Modelling New'!$D:$D,'Modelling New'!$W:$W),"")</f>
        <v>0.19653981402834317</v>
      </c>
      <c r="AG293" s="234">
        <f>IFERROR(_xlfn.XLOOKUP($D293,'Modelling New'!$D:$D,'Modelling New'!AE:AE),"")</f>
        <v>0.995</v>
      </c>
      <c r="AH293" s="234">
        <v>0.99750000000000005</v>
      </c>
      <c r="AI293" s="6"/>
      <c r="AJ293" s="6"/>
      <c r="AK293" s="6"/>
      <c r="AL293" s="6"/>
      <c r="AM293" s="6"/>
      <c r="AN293" s="231"/>
      <c r="AO293" s="234"/>
      <c r="AP293" s="234"/>
      <c r="AQ293" s="234"/>
      <c r="AR293" s="227">
        <f>IFERROR(_xlfn.XLOOKUP($D293,'Modelling New'!$D:$D,'Modelling New'!$N:$N),"")</f>
        <v>24.303100000000001</v>
      </c>
      <c r="AS293" s="227"/>
    </row>
    <row r="294" spans="1:45" x14ac:dyDescent="0.35">
      <c r="A294" s="226">
        <f t="shared" si="22"/>
        <v>46037</v>
      </c>
      <c r="B294" s="227">
        <f>YEAR(Daily_KPI[[#This Row],[Date]])+IF(MONTH(Daily_KPI[[#This Row],[Date]])&gt;=4,1,0)</f>
        <v>2026</v>
      </c>
      <c r="C294" s="6">
        <f>YEAR(Daily_KPI[[#This Row],[Date]])</f>
        <v>2026</v>
      </c>
      <c r="D294" s="228">
        <f>Daily_KPI[[#This Row],[Date]]-DAY(Daily_KPI[[#This Row],[Date]])+1</f>
        <v>46023</v>
      </c>
      <c r="E294" s="6">
        <f t="shared" si="20"/>
        <v>31</v>
      </c>
      <c r="F294" s="229" t="str">
        <f>IFERROR(_xlfn.XLOOKUP($A294,'Raw Data'!$A:$A,'Raw Data'!$BR:$BR),"")</f>
        <v/>
      </c>
      <c r="G294" s="230" t="str">
        <f>IFERROR(_xlfn.XLOOKUP($A294,'Raw Data'!$A:$A,'Raw Data'!$AO:$AO),"")</f>
        <v/>
      </c>
      <c r="H294" s="230"/>
      <c r="I294" s="230" t="str">
        <f>IFERROR(_xlfn.XLOOKUP($A294,'Raw Data'!$A:$A,'Raw Data'!$AR:$AR),"")</f>
        <v/>
      </c>
      <c r="J294" s="230"/>
      <c r="K294" s="230" t="str">
        <f>IFERROR(_xlfn.XLOOKUP($A294,'Raw Data'!$A:$A,'Raw Data'!$AV:$AV),"")</f>
        <v/>
      </c>
      <c r="L294" s="230" t="str">
        <f>IFERROR(_xlfn.XLOOKUP($A294,'Raw Data'!$A:$A,'Raw Data'!$AW:$AW),"")</f>
        <v/>
      </c>
      <c r="M294" s="230" t="str">
        <f>IFERROR(_xlfn.XLOOKUP($A294,'Raw Data'!$A:$A,'Raw Data'!$AX:$AX),"")</f>
        <v/>
      </c>
      <c r="N294" s="230" t="str">
        <f>IFERROR(_xlfn.XLOOKUP($A294,'Raw Data'!$A:$A,'Raw Data'!$AY:$AY),"")</f>
        <v/>
      </c>
      <c r="O294" s="231" t="str">
        <f>IFERROR(1-(SUMIF('Plant BD'!$B:$B,A294,'Plant BD'!$AE:$AE)/(AA294+SUMIF('Plant BD'!$B:$B,A294,'Plant BD'!$AE:$AE))),"")</f>
        <v/>
      </c>
      <c r="P294" s="231"/>
      <c r="Q294" s="232"/>
      <c r="R294" s="231" t="str">
        <f>IFERROR(1-(SUMIF('Grid BD'!$B:$B,$A294,'Grid BD'!$AD:$AD)/($AA294+SUMIF('Grid BD'!$B:$B,$A294,'Grid BD'!AD:AD))),"")</f>
        <v/>
      </c>
      <c r="S294" s="6"/>
      <c r="T294" s="232"/>
      <c r="U294" s="233" t="str">
        <f t="shared" si="21"/>
        <v/>
      </c>
      <c r="V294" s="233"/>
      <c r="W294" s="234" t="str">
        <f t="shared" si="19"/>
        <v/>
      </c>
      <c r="X294" s="227" t="str">
        <f>IFERROR(_xlfn.XLOOKUP($A294,'Raw Data'!$A:$A,'Raw Data'!$BA:$BA),"")</f>
        <v/>
      </c>
      <c r="Y294" s="227" t="str">
        <f>IFERROR(_xlfn.XLOOKUP($A294,'Raw Data'!$A:$A,'Raw Data'!BJ:BJ),"")</f>
        <v/>
      </c>
      <c r="Z294" s="227" t="str">
        <f>IFERROR(_xlfn.XLOOKUP($A294,'Raw Data'!$A:$A,'Raw Data'!BK:BK),"")</f>
        <v/>
      </c>
      <c r="AA294" s="227" t="str">
        <f>IFERROR(_xlfn.XLOOKUP($A294,'Raw Data'!$A:$A,'Raw Data'!BL:BL),"")</f>
        <v/>
      </c>
      <c r="AB294" s="227" t="str">
        <f>IFERROR(_xlfn.XLOOKUP($A294,'Raw Data'!$A:$A,'Raw Data'!$H:$H),"")</f>
        <v/>
      </c>
      <c r="AC294" s="145">
        <f>IFERROR(_xlfn.XLOOKUP($D294,'Modelling New'!$D:$D,'Modelling New'!$P:$P),"")</f>
        <v>6.790322580645161</v>
      </c>
      <c r="AD294" s="227">
        <f>IFERROR(_xlfn.XLOOKUP($D294,'Modelling New'!$D:$D,'Modelling New'!$T:$T)*1000,"")</f>
        <v>114636.64210349345</v>
      </c>
      <c r="AE294" s="234">
        <f>IFERROR(_xlfn.XLOOKUP($D294,'Modelling New'!$D:$D,'Modelling New'!$O:$O),"")</f>
        <v>0.69465853509305142</v>
      </c>
      <c r="AF294" s="234">
        <f>IFERROR(_xlfn.XLOOKUP($D294,'Modelling New'!$D:$D,'Modelling New'!$W:$W),"")</f>
        <v>0.19653981402834317</v>
      </c>
      <c r="AG294" s="234">
        <f>IFERROR(_xlfn.XLOOKUP($D294,'Modelling New'!$D:$D,'Modelling New'!AE:AE),"")</f>
        <v>0.995</v>
      </c>
      <c r="AH294" s="234">
        <v>0.99750000000000005</v>
      </c>
      <c r="AI294" s="6"/>
      <c r="AJ294" s="6"/>
      <c r="AK294" s="6"/>
      <c r="AL294" s="6"/>
      <c r="AM294" s="6"/>
      <c r="AN294" s="231"/>
      <c r="AO294" s="234"/>
      <c r="AP294" s="234"/>
      <c r="AQ294" s="234"/>
      <c r="AR294" s="227">
        <f>IFERROR(_xlfn.XLOOKUP($D294,'Modelling New'!$D:$D,'Modelling New'!$N:$N),"")</f>
        <v>24.303100000000001</v>
      </c>
      <c r="AS294" s="227"/>
    </row>
    <row r="295" spans="1:45" x14ac:dyDescent="0.35">
      <c r="A295" s="226">
        <f t="shared" si="22"/>
        <v>46038</v>
      </c>
      <c r="B295" s="227">
        <f>YEAR(Daily_KPI[[#This Row],[Date]])+IF(MONTH(Daily_KPI[[#This Row],[Date]])&gt;=4,1,0)</f>
        <v>2026</v>
      </c>
      <c r="C295" s="6">
        <f>YEAR(Daily_KPI[[#This Row],[Date]])</f>
        <v>2026</v>
      </c>
      <c r="D295" s="228">
        <f>Daily_KPI[[#This Row],[Date]]-DAY(Daily_KPI[[#This Row],[Date]])+1</f>
        <v>46023</v>
      </c>
      <c r="E295" s="6">
        <f t="shared" si="20"/>
        <v>31</v>
      </c>
      <c r="F295" s="229" t="str">
        <f>IFERROR(_xlfn.XLOOKUP($A295,'Raw Data'!$A:$A,'Raw Data'!$BR:$BR),"")</f>
        <v/>
      </c>
      <c r="G295" s="230" t="str">
        <f>IFERROR(_xlfn.XLOOKUP($A295,'Raw Data'!$A:$A,'Raw Data'!$AO:$AO),"")</f>
        <v/>
      </c>
      <c r="H295" s="230"/>
      <c r="I295" s="230" t="str">
        <f>IFERROR(_xlfn.XLOOKUP($A295,'Raw Data'!$A:$A,'Raw Data'!$AR:$AR),"")</f>
        <v/>
      </c>
      <c r="J295" s="230"/>
      <c r="K295" s="230" t="str">
        <f>IFERROR(_xlfn.XLOOKUP($A295,'Raw Data'!$A:$A,'Raw Data'!$AV:$AV),"")</f>
        <v/>
      </c>
      <c r="L295" s="230" t="str">
        <f>IFERROR(_xlfn.XLOOKUP($A295,'Raw Data'!$A:$A,'Raw Data'!$AW:$AW),"")</f>
        <v/>
      </c>
      <c r="M295" s="230" t="str">
        <f>IFERROR(_xlfn.XLOOKUP($A295,'Raw Data'!$A:$A,'Raw Data'!$AX:$AX),"")</f>
        <v/>
      </c>
      <c r="N295" s="230" t="str">
        <f>IFERROR(_xlfn.XLOOKUP($A295,'Raw Data'!$A:$A,'Raw Data'!$AY:$AY),"")</f>
        <v/>
      </c>
      <c r="O295" s="231" t="str">
        <f>IFERROR(1-(SUMIF('Plant BD'!$B:$B,A295,'Plant BD'!$AE:$AE)/(AA295+SUMIF('Plant BD'!$B:$B,A295,'Plant BD'!$AE:$AE))),"")</f>
        <v/>
      </c>
      <c r="P295" s="231"/>
      <c r="Q295" s="232"/>
      <c r="R295" s="231" t="str">
        <f>IFERROR(1-(SUMIF('Grid BD'!$B:$B,$A295,'Grid BD'!$AD:$AD)/($AA295+SUMIF('Grid BD'!$B:$B,$A295,'Grid BD'!AD:AD))),"")</f>
        <v/>
      </c>
      <c r="S295" s="6"/>
      <c r="T295" s="232"/>
      <c r="U295" s="233" t="str">
        <f t="shared" si="21"/>
        <v/>
      </c>
      <c r="V295" s="233"/>
      <c r="W295" s="234" t="str">
        <f t="shared" si="19"/>
        <v/>
      </c>
      <c r="X295" s="227" t="str">
        <f>IFERROR(_xlfn.XLOOKUP($A295,'Raw Data'!$A:$A,'Raw Data'!$BA:$BA),"")</f>
        <v/>
      </c>
      <c r="Y295" s="227" t="str">
        <f>IFERROR(_xlfn.XLOOKUP($A295,'Raw Data'!$A:$A,'Raw Data'!BJ:BJ),"")</f>
        <v/>
      </c>
      <c r="Z295" s="227" t="str">
        <f>IFERROR(_xlfn.XLOOKUP($A295,'Raw Data'!$A:$A,'Raw Data'!BK:BK),"")</f>
        <v/>
      </c>
      <c r="AA295" s="227" t="str">
        <f>IFERROR(_xlfn.XLOOKUP($A295,'Raw Data'!$A:$A,'Raw Data'!BL:BL),"")</f>
        <v/>
      </c>
      <c r="AB295" s="227" t="str">
        <f>IFERROR(_xlfn.XLOOKUP($A295,'Raw Data'!$A:$A,'Raw Data'!$H:$H),"")</f>
        <v/>
      </c>
      <c r="AC295" s="145">
        <f>IFERROR(_xlfn.XLOOKUP($D295,'Modelling New'!$D:$D,'Modelling New'!$P:$P),"")</f>
        <v>6.790322580645161</v>
      </c>
      <c r="AD295" s="227">
        <f>IFERROR(_xlfn.XLOOKUP($D295,'Modelling New'!$D:$D,'Modelling New'!$T:$T)*1000,"")</f>
        <v>114636.64210349345</v>
      </c>
      <c r="AE295" s="234">
        <f>IFERROR(_xlfn.XLOOKUP($D295,'Modelling New'!$D:$D,'Modelling New'!$O:$O),"")</f>
        <v>0.69465853509305142</v>
      </c>
      <c r="AF295" s="234">
        <f>IFERROR(_xlfn.XLOOKUP($D295,'Modelling New'!$D:$D,'Modelling New'!$W:$W),"")</f>
        <v>0.19653981402834317</v>
      </c>
      <c r="AG295" s="234">
        <f>IFERROR(_xlfn.XLOOKUP($D295,'Modelling New'!$D:$D,'Modelling New'!AE:AE),"")</f>
        <v>0.995</v>
      </c>
      <c r="AH295" s="234">
        <v>0.99750000000000005</v>
      </c>
      <c r="AI295" s="6"/>
      <c r="AJ295" s="6"/>
      <c r="AK295" s="6"/>
      <c r="AL295" s="6"/>
      <c r="AM295" s="6"/>
      <c r="AN295" s="231"/>
      <c r="AO295" s="234"/>
      <c r="AP295" s="234"/>
      <c r="AQ295" s="234"/>
      <c r="AR295" s="227">
        <f>IFERROR(_xlfn.XLOOKUP($D295,'Modelling New'!$D:$D,'Modelling New'!$N:$N),"")</f>
        <v>24.303100000000001</v>
      </c>
      <c r="AS295" s="227"/>
    </row>
    <row r="296" spans="1:45" x14ac:dyDescent="0.35">
      <c r="A296" s="226">
        <f t="shared" si="22"/>
        <v>46039</v>
      </c>
      <c r="B296" s="227">
        <f>YEAR(Daily_KPI[[#This Row],[Date]])+IF(MONTH(Daily_KPI[[#This Row],[Date]])&gt;=4,1,0)</f>
        <v>2026</v>
      </c>
      <c r="C296" s="6">
        <f>YEAR(Daily_KPI[[#This Row],[Date]])</f>
        <v>2026</v>
      </c>
      <c r="D296" s="228">
        <f>Daily_KPI[[#This Row],[Date]]-DAY(Daily_KPI[[#This Row],[Date]])+1</f>
        <v>46023</v>
      </c>
      <c r="E296" s="6">
        <f t="shared" si="20"/>
        <v>31</v>
      </c>
      <c r="F296" s="229" t="str">
        <f>IFERROR(_xlfn.XLOOKUP($A296,'Raw Data'!$A:$A,'Raw Data'!$BR:$BR),"")</f>
        <v/>
      </c>
      <c r="G296" s="230" t="str">
        <f>IFERROR(_xlfn.XLOOKUP($A296,'Raw Data'!$A:$A,'Raw Data'!$AO:$AO),"")</f>
        <v/>
      </c>
      <c r="H296" s="230"/>
      <c r="I296" s="230" t="str">
        <f>IFERROR(_xlfn.XLOOKUP($A296,'Raw Data'!$A:$A,'Raw Data'!$AR:$AR),"")</f>
        <v/>
      </c>
      <c r="J296" s="230"/>
      <c r="K296" s="230" t="str">
        <f>IFERROR(_xlfn.XLOOKUP($A296,'Raw Data'!$A:$A,'Raw Data'!$AV:$AV),"")</f>
        <v/>
      </c>
      <c r="L296" s="230" t="str">
        <f>IFERROR(_xlfn.XLOOKUP($A296,'Raw Data'!$A:$A,'Raw Data'!$AW:$AW),"")</f>
        <v/>
      </c>
      <c r="M296" s="230" t="str">
        <f>IFERROR(_xlfn.XLOOKUP($A296,'Raw Data'!$A:$A,'Raw Data'!$AX:$AX),"")</f>
        <v/>
      </c>
      <c r="N296" s="230" t="str">
        <f>IFERROR(_xlfn.XLOOKUP($A296,'Raw Data'!$A:$A,'Raw Data'!$AY:$AY),"")</f>
        <v/>
      </c>
      <c r="O296" s="231" t="str">
        <f>IFERROR(1-(SUMIF('Plant BD'!$B:$B,A296,'Plant BD'!$AE:$AE)/(AA296+SUMIF('Plant BD'!$B:$B,A296,'Plant BD'!$AE:$AE))),"")</f>
        <v/>
      </c>
      <c r="P296" s="231"/>
      <c r="Q296" s="232"/>
      <c r="R296" s="231" t="str">
        <f>IFERROR(1-(SUMIF('Grid BD'!$B:$B,$A296,'Grid BD'!$AD:$AD)/($AA296+SUMIF('Grid BD'!$B:$B,$A296,'Grid BD'!AD:AD))),"")</f>
        <v/>
      </c>
      <c r="S296" s="6"/>
      <c r="T296" s="232"/>
      <c r="U296" s="233" t="str">
        <f t="shared" si="21"/>
        <v/>
      </c>
      <c r="V296" s="233"/>
      <c r="W296" s="234" t="str">
        <f t="shared" si="19"/>
        <v/>
      </c>
      <c r="X296" s="227" t="str">
        <f>IFERROR(_xlfn.XLOOKUP($A296,'Raw Data'!$A:$A,'Raw Data'!$BA:$BA),"")</f>
        <v/>
      </c>
      <c r="Y296" s="227" t="str">
        <f>IFERROR(_xlfn.XLOOKUP($A296,'Raw Data'!$A:$A,'Raw Data'!BJ:BJ),"")</f>
        <v/>
      </c>
      <c r="Z296" s="227" t="str">
        <f>IFERROR(_xlfn.XLOOKUP($A296,'Raw Data'!$A:$A,'Raw Data'!BK:BK),"")</f>
        <v/>
      </c>
      <c r="AA296" s="227" t="str">
        <f>IFERROR(_xlfn.XLOOKUP($A296,'Raw Data'!$A:$A,'Raw Data'!BL:BL),"")</f>
        <v/>
      </c>
      <c r="AB296" s="227" t="str">
        <f>IFERROR(_xlfn.XLOOKUP($A296,'Raw Data'!$A:$A,'Raw Data'!$H:$H),"")</f>
        <v/>
      </c>
      <c r="AC296" s="145">
        <f>IFERROR(_xlfn.XLOOKUP($D296,'Modelling New'!$D:$D,'Modelling New'!$P:$P),"")</f>
        <v>6.790322580645161</v>
      </c>
      <c r="AD296" s="227">
        <f>IFERROR(_xlfn.XLOOKUP($D296,'Modelling New'!$D:$D,'Modelling New'!$T:$T)*1000,"")</f>
        <v>114636.64210349345</v>
      </c>
      <c r="AE296" s="234">
        <f>IFERROR(_xlfn.XLOOKUP($D296,'Modelling New'!$D:$D,'Modelling New'!$O:$O),"")</f>
        <v>0.69465853509305142</v>
      </c>
      <c r="AF296" s="234">
        <f>IFERROR(_xlfn.XLOOKUP($D296,'Modelling New'!$D:$D,'Modelling New'!$W:$W),"")</f>
        <v>0.19653981402834317</v>
      </c>
      <c r="AG296" s="234">
        <f>IFERROR(_xlfn.XLOOKUP($D296,'Modelling New'!$D:$D,'Modelling New'!AE:AE),"")</f>
        <v>0.995</v>
      </c>
      <c r="AH296" s="234">
        <v>0.99750000000000005</v>
      </c>
      <c r="AI296" s="6"/>
      <c r="AJ296" s="6"/>
      <c r="AK296" s="6"/>
      <c r="AL296" s="6"/>
      <c r="AM296" s="6"/>
      <c r="AN296" s="231"/>
      <c r="AO296" s="234"/>
      <c r="AP296" s="234"/>
      <c r="AQ296" s="234"/>
      <c r="AR296" s="227">
        <f>IFERROR(_xlfn.XLOOKUP($D296,'Modelling New'!$D:$D,'Modelling New'!$N:$N),"")</f>
        <v>24.303100000000001</v>
      </c>
      <c r="AS296" s="227"/>
    </row>
    <row r="297" spans="1:45" x14ac:dyDescent="0.35">
      <c r="A297" s="226">
        <f t="shared" si="22"/>
        <v>46040</v>
      </c>
      <c r="B297" s="227">
        <f>YEAR(Daily_KPI[[#This Row],[Date]])+IF(MONTH(Daily_KPI[[#This Row],[Date]])&gt;=4,1,0)</f>
        <v>2026</v>
      </c>
      <c r="C297" s="6">
        <f>YEAR(Daily_KPI[[#This Row],[Date]])</f>
        <v>2026</v>
      </c>
      <c r="D297" s="228">
        <f>Daily_KPI[[#This Row],[Date]]-DAY(Daily_KPI[[#This Row],[Date]])+1</f>
        <v>46023</v>
      </c>
      <c r="E297" s="6">
        <f t="shared" si="20"/>
        <v>31</v>
      </c>
      <c r="F297" s="229" t="str">
        <f>IFERROR(_xlfn.XLOOKUP($A297,'Raw Data'!$A:$A,'Raw Data'!$BR:$BR),"")</f>
        <v/>
      </c>
      <c r="G297" s="230" t="str">
        <f>IFERROR(_xlfn.XLOOKUP($A297,'Raw Data'!$A:$A,'Raw Data'!$AO:$AO),"")</f>
        <v/>
      </c>
      <c r="H297" s="230"/>
      <c r="I297" s="230" t="str">
        <f>IFERROR(_xlfn.XLOOKUP($A297,'Raw Data'!$A:$A,'Raw Data'!$AR:$AR),"")</f>
        <v/>
      </c>
      <c r="J297" s="230"/>
      <c r="K297" s="230" t="str">
        <f>IFERROR(_xlfn.XLOOKUP($A297,'Raw Data'!$A:$A,'Raw Data'!$AV:$AV),"")</f>
        <v/>
      </c>
      <c r="L297" s="230" t="str">
        <f>IFERROR(_xlfn.XLOOKUP($A297,'Raw Data'!$A:$A,'Raw Data'!$AW:$AW),"")</f>
        <v/>
      </c>
      <c r="M297" s="230" t="str">
        <f>IFERROR(_xlfn.XLOOKUP($A297,'Raw Data'!$A:$A,'Raw Data'!$AX:$AX),"")</f>
        <v/>
      </c>
      <c r="N297" s="230" t="str">
        <f>IFERROR(_xlfn.XLOOKUP($A297,'Raw Data'!$A:$A,'Raw Data'!$AY:$AY),"")</f>
        <v/>
      </c>
      <c r="O297" s="231" t="str">
        <f>IFERROR(1-(SUMIF('Plant BD'!$B:$B,A297,'Plant BD'!$AE:$AE)/(AA297+SUMIF('Plant BD'!$B:$B,A297,'Plant BD'!$AE:$AE))),"")</f>
        <v/>
      </c>
      <c r="P297" s="231"/>
      <c r="Q297" s="232"/>
      <c r="R297" s="231" t="str">
        <f>IFERROR(1-(SUMIF('Grid BD'!$B:$B,$A297,'Grid BD'!$AD:$AD)/($AA297+SUMIF('Grid BD'!$B:$B,$A297,'Grid BD'!AD:AD))),"")</f>
        <v/>
      </c>
      <c r="S297" s="6"/>
      <c r="T297" s="232"/>
      <c r="U297" s="233" t="str">
        <f t="shared" si="21"/>
        <v/>
      </c>
      <c r="V297" s="233"/>
      <c r="W297" s="234" t="str">
        <f t="shared" si="19"/>
        <v/>
      </c>
      <c r="X297" s="227" t="str">
        <f>IFERROR(_xlfn.XLOOKUP($A297,'Raw Data'!$A:$A,'Raw Data'!$BA:$BA),"")</f>
        <v/>
      </c>
      <c r="Y297" s="227" t="str">
        <f>IFERROR(_xlfn.XLOOKUP($A297,'Raw Data'!$A:$A,'Raw Data'!BJ:BJ),"")</f>
        <v/>
      </c>
      <c r="Z297" s="227" t="str">
        <f>IFERROR(_xlfn.XLOOKUP($A297,'Raw Data'!$A:$A,'Raw Data'!BK:BK),"")</f>
        <v/>
      </c>
      <c r="AA297" s="227" t="str">
        <f>IFERROR(_xlfn.XLOOKUP($A297,'Raw Data'!$A:$A,'Raw Data'!BL:BL),"")</f>
        <v/>
      </c>
      <c r="AB297" s="227" t="str">
        <f>IFERROR(_xlfn.XLOOKUP($A297,'Raw Data'!$A:$A,'Raw Data'!$H:$H),"")</f>
        <v/>
      </c>
      <c r="AC297" s="145">
        <f>IFERROR(_xlfn.XLOOKUP($D297,'Modelling New'!$D:$D,'Modelling New'!$P:$P),"")</f>
        <v>6.790322580645161</v>
      </c>
      <c r="AD297" s="227">
        <f>IFERROR(_xlfn.XLOOKUP($D297,'Modelling New'!$D:$D,'Modelling New'!$T:$T)*1000,"")</f>
        <v>114636.64210349345</v>
      </c>
      <c r="AE297" s="234">
        <f>IFERROR(_xlfn.XLOOKUP($D297,'Modelling New'!$D:$D,'Modelling New'!$O:$O),"")</f>
        <v>0.69465853509305142</v>
      </c>
      <c r="AF297" s="234">
        <f>IFERROR(_xlfn.XLOOKUP($D297,'Modelling New'!$D:$D,'Modelling New'!$W:$W),"")</f>
        <v>0.19653981402834317</v>
      </c>
      <c r="AG297" s="234">
        <f>IFERROR(_xlfn.XLOOKUP($D297,'Modelling New'!$D:$D,'Modelling New'!AE:AE),"")</f>
        <v>0.995</v>
      </c>
      <c r="AH297" s="234">
        <v>0.99750000000000005</v>
      </c>
      <c r="AI297" s="6"/>
      <c r="AJ297" s="6"/>
      <c r="AK297" s="6"/>
      <c r="AL297" s="6"/>
      <c r="AM297" s="6"/>
      <c r="AN297" s="231"/>
      <c r="AO297" s="234"/>
      <c r="AP297" s="234"/>
      <c r="AQ297" s="234"/>
      <c r="AR297" s="227">
        <f>IFERROR(_xlfn.XLOOKUP($D297,'Modelling New'!$D:$D,'Modelling New'!$N:$N),"")</f>
        <v>24.303100000000001</v>
      </c>
      <c r="AS297" s="227"/>
    </row>
    <row r="298" spans="1:45" x14ac:dyDescent="0.35">
      <c r="A298" s="226">
        <f t="shared" si="22"/>
        <v>46041</v>
      </c>
      <c r="B298" s="227">
        <f>YEAR(Daily_KPI[[#This Row],[Date]])+IF(MONTH(Daily_KPI[[#This Row],[Date]])&gt;=4,1,0)</f>
        <v>2026</v>
      </c>
      <c r="C298" s="6">
        <f>YEAR(Daily_KPI[[#This Row],[Date]])</f>
        <v>2026</v>
      </c>
      <c r="D298" s="228">
        <f>Daily_KPI[[#This Row],[Date]]-DAY(Daily_KPI[[#This Row],[Date]])+1</f>
        <v>46023</v>
      </c>
      <c r="E298" s="6">
        <f t="shared" si="20"/>
        <v>31</v>
      </c>
      <c r="F298" s="229" t="str">
        <f>IFERROR(_xlfn.XLOOKUP($A298,'Raw Data'!$A:$A,'Raw Data'!$BR:$BR),"")</f>
        <v/>
      </c>
      <c r="G298" s="230" t="str">
        <f>IFERROR(_xlfn.XLOOKUP($A298,'Raw Data'!$A:$A,'Raw Data'!$AO:$AO),"")</f>
        <v/>
      </c>
      <c r="H298" s="230"/>
      <c r="I298" s="230" t="str">
        <f>IFERROR(_xlfn.XLOOKUP($A298,'Raw Data'!$A:$A,'Raw Data'!$AR:$AR),"")</f>
        <v/>
      </c>
      <c r="J298" s="230"/>
      <c r="K298" s="230" t="str">
        <f>IFERROR(_xlfn.XLOOKUP($A298,'Raw Data'!$A:$A,'Raw Data'!$AV:$AV),"")</f>
        <v/>
      </c>
      <c r="L298" s="230" t="str">
        <f>IFERROR(_xlfn.XLOOKUP($A298,'Raw Data'!$A:$A,'Raw Data'!$AW:$AW),"")</f>
        <v/>
      </c>
      <c r="M298" s="230" t="str">
        <f>IFERROR(_xlfn.XLOOKUP($A298,'Raw Data'!$A:$A,'Raw Data'!$AX:$AX),"")</f>
        <v/>
      </c>
      <c r="N298" s="230" t="str">
        <f>IFERROR(_xlfn.XLOOKUP($A298,'Raw Data'!$A:$A,'Raw Data'!$AY:$AY),"")</f>
        <v/>
      </c>
      <c r="O298" s="231" t="str">
        <f>IFERROR(1-(SUMIF('Plant BD'!$B:$B,A298,'Plant BD'!$AE:$AE)/(AA298+SUMIF('Plant BD'!$B:$B,A298,'Plant BD'!$AE:$AE))),"")</f>
        <v/>
      </c>
      <c r="P298" s="231"/>
      <c r="Q298" s="232"/>
      <c r="R298" s="231" t="str">
        <f>IFERROR(1-(SUMIF('Grid BD'!$B:$B,$A298,'Grid BD'!$AD:$AD)/($AA298+SUMIF('Grid BD'!$B:$B,$A298,'Grid BD'!AD:AD))),"")</f>
        <v/>
      </c>
      <c r="S298" s="6"/>
      <c r="T298" s="232"/>
      <c r="U298" s="233" t="str">
        <f t="shared" si="21"/>
        <v/>
      </c>
      <c r="V298" s="233"/>
      <c r="W298" s="234" t="str">
        <f t="shared" si="19"/>
        <v/>
      </c>
      <c r="X298" s="227" t="str">
        <f>IFERROR(_xlfn.XLOOKUP($A298,'Raw Data'!$A:$A,'Raw Data'!$BA:$BA),"")</f>
        <v/>
      </c>
      <c r="Y298" s="227" t="str">
        <f>IFERROR(_xlfn.XLOOKUP($A298,'Raw Data'!$A:$A,'Raw Data'!BJ:BJ),"")</f>
        <v/>
      </c>
      <c r="Z298" s="227" t="str">
        <f>IFERROR(_xlfn.XLOOKUP($A298,'Raw Data'!$A:$A,'Raw Data'!BK:BK),"")</f>
        <v/>
      </c>
      <c r="AA298" s="227" t="str">
        <f>IFERROR(_xlfn.XLOOKUP($A298,'Raw Data'!$A:$A,'Raw Data'!BL:BL),"")</f>
        <v/>
      </c>
      <c r="AB298" s="227" t="str">
        <f>IFERROR(_xlfn.XLOOKUP($A298,'Raw Data'!$A:$A,'Raw Data'!$H:$H),"")</f>
        <v/>
      </c>
      <c r="AC298" s="145">
        <f>IFERROR(_xlfn.XLOOKUP($D298,'Modelling New'!$D:$D,'Modelling New'!$P:$P),"")</f>
        <v>6.790322580645161</v>
      </c>
      <c r="AD298" s="227">
        <f>IFERROR(_xlfn.XLOOKUP($D298,'Modelling New'!$D:$D,'Modelling New'!$T:$T)*1000,"")</f>
        <v>114636.64210349345</v>
      </c>
      <c r="AE298" s="234">
        <f>IFERROR(_xlfn.XLOOKUP($D298,'Modelling New'!$D:$D,'Modelling New'!$O:$O),"")</f>
        <v>0.69465853509305142</v>
      </c>
      <c r="AF298" s="234">
        <f>IFERROR(_xlfn.XLOOKUP($D298,'Modelling New'!$D:$D,'Modelling New'!$W:$W),"")</f>
        <v>0.19653981402834317</v>
      </c>
      <c r="AG298" s="234">
        <f>IFERROR(_xlfn.XLOOKUP($D298,'Modelling New'!$D:$D,'Modelling New'!AE:AE),"")</f>
        <v>0.995</v>
      </c>
      <c r="AH298" s="234">
        <v>0.99750000000000005</v>
      </c>
      <c r="AI298" s="6"/>
      <c r="AJ298" s="6"/>
      <c r="AK298" s="6"/>
      <c r="AL298" s="6"/>
      <c r="AM298" s="6"/>
      <c r="AN298" s="231"/>
      <c r="AO298" s="234"/>
      <c r="AP298" s="234"/>
      <c r="AQ298" s="234"/>
      <c r="AR298" s="227">
        <f>IFERROR(_xlfn.XLOOKUP($D298,'Modelling New'!$D:$D,'Modelling New'!$N:$N),"")</f>
        <v>24.303100000000001</v>
      </c>
      <c r="AS298" s="227"/>
    </row>
    <row r="299" spans="1:45" x14ac:dyDescent="0.35">
      <c r="A299" s="226">
        <f t="shared" si="22"/>
        <v>46042</v>
      </c>
      <c r="B299" s="227">
        <f>YEAR(Daily_KPI[[#This Row],[Date]])+IF(MONTH(Daily_KPI[[#This Row],[Date]])&gt;=4,1,0)</f>
        <v>2026</v>
      </c>
      <c r="C299" s="6">
        <f>YEAR(Daily_KPI[[#This Row],[Date]])</f>
        <v>2026</v>
      </c>
      <c r="D299" s="228">
        <f>Daily_KPI[[#This Row],[Date]]-DAY(Daily_KPI[[#This Row],[Date]])+1</f>
        <v>46023</v>
      </c>
      <c r="E299" s="6">
        <f t="shared" si="20"/>
        <v>31</v>
      </c>
      <c r="F299" s="229" t="str">
        <f>IFERROR(_xlfn.XLOOKUP($A299,'Raw Data'!$A:$A,'Raw Data'!$BR:$BR),"")</f>
        <v/>
      </c>
      <c r="G299" s="230" t="str">
        <f>IFERROR(_xlfn.XLOOKUP($A299,'Raw Data'!$A:$A,'Raw Data'!$AO:$AO),"")</f>
        <v/>
      </c>
      <c r="H299" s="230"/>
      <c r="I299" s="230" t="str">
        <f>IFERROR(_xlfn.XLOOKUP($A299,'Raw Data'!$A:$A,'Raw Data'!$AR:$AR),"")</f>
        <v/>
      </c>
      <c r="J299" s="230"/>
      <c r="K299" s="230" t="str">
        <f>IFERROR(_xlfn.XLOOKUP($A299,'Raw Data'!$A:$A,'Raw Data'!$AV:$AV),"")</f>
        <v/>
      </c>
      <c r="L299" s="230" t="str">
        <f>IFERROR(_xlfn.XLOOKUP($A299,'Raw Data'!$A:$A,'Raw Data'!$AW:$AW),"")</f>
        <v/>
      </c>
      <c r="M299" s="230" t="str">
        <f>IFERROR(_xlfn.XLOOKUP($A299,'Raw Data'!$A:$A,'Raw Data'!$AX:$AX),"")</f>
        <v/>
      </c>
      <c r="N299" s="230" t="str">
        <f>IFERROR(_xlfn.XLOOKUP($A299,'Raw Data'!$A:$A,'Raw Data'!$AY:$AY),"")</f>
        <v/>
      </c>
      <c r="O299" s="231" t="str">
        <f>IFERROR(1-(SUMIF('Plant BD'!$B:$B,A299,'Plant BD'!$AE:$AE)/(AA299+SUMIF('Plant BD'!$B:$B,A299,'Plant BD'!$AE:$AE))),"")</f>
        <v/>
      </c>
      <c r="P299" s="231"/>
      <c r="Q299" s="232"/>
      <c r="R299" s="231" t="str">
        <f>IFERROR(1-(SUMIF('Grid BD'!$B:$B,$A299,'Grid BD'!$AD:$AD)/($AA299+SUMIF('Grid BD'!$B:$B,$A299,'Grid BD'!AD:AD))),"")</f>
        <v/>
      </c>
      <c r="S299" s="6"/>
      <c r="T299" s="232"/>
      <c r="U299" s="233" t="str">
        <f t="shared" si="21"/>
        <v/>
      </c>
      <c r="V299" s="233"/>
      <c r="W299" s="234" t="str">
        <f t="shared" ref="W299:W362" si="23">IFERROR(AA299/(24*AR299*1000),"")</f>
        <v/>
      </c>
      <c r="X299" s="227" t="str">
        <f>IFERROR(_xlfn.XLOOKUP($A299,'Raw Data'!$A:$A,'Raw Data'!$BA:$BA),"")</f>
        <v/>
      </c>
      <c r="Y299" s="227" t="str">
        <f>IFERROR(_xlfn.XLOOKUP($A299,'Raw Data'!$A:$A,'Raw Data'!BJ:BJ),"")</f>
        <v/>
      </c>
      <c r="Z299" s="227" t="str">
        <f>IFERROR(_xlfn.XLOOKUP($A299,'Raw Data'!$A:$A,'Raw Data'!BK:BK),"")</f>
        <v/>
      </c>
      <c r="AA299" s="227" t="str">
        <f>IFERROR(_xlfn.XLOOKUP($A299,'Raw Data'!$A:$A,'Raw Data'!BL:BL),"")</f>
        <v/>
      </c>
      <c r="AB299" s="227" t="str">
        <f>IFERROR(_xlfn.XLOOKUP($A299,'Raw Data'!$A:$A,'Raw Data'!$H:$H),"")</f>
        <v/>
      </c>
      <c r="AC299" s="145">
        <f>IFERROR(_xlfn.XLOOKUP($D299,'Modelling New'!$D:$D,'Modelling New'!$P:$P),"")</f>
        <v>6.790322580645161</v>
      </c>
      <c r="AD299" s="227">
        <f>IFERROR(_xlfn.XLOOKUP($D299,'Modelling New'!$D:$D,'Modelling New'!$T:$T)*1000,"")</f>
        <v>114636.64210349345</v>
      </c>
      <c r="AE299" s="234">
        <f>IFERROR(_xlfn.XLOOKUP($D299,'Modelling New'!$D:$D,'Modelling New'!$O:$O),"")</f>
        <v>0.69465853509305142</v>
      </c>
      <c r="AF299" s="234">
        <f>IFERROR(_xlfn.XLOOKUP($D299,'Modelling New'!$D:$D,'Modelling New'!$W:$W),"")</f>
        <v>0.19653981402834317</v>
      </c>
      <c r="AG299" s="234">
        <f>IFERROR(_xlfn.XLOOKUP($D299,'Modelling New'!$D:$D,'Modelling New'!AE:AE),"")</f>
        <v>0.995</v>
      </c>
      <c r="AH299" s="234">
        <v>0.99750000000000005</v>
      </c>
      <c r="AI299" s="6"/>
      <c r="AJ299" s="6"/>
      <c r="AK299" s="6"/>
      <c r="AL299" s="6"/>
      <c r="AM299" s="6"/>
      <c r="AN299" s="231"/>
      <c r="AO299" s="234"/>
      <c r="AP299" s="234"/>
      <c r="AQ299" s="234"/>
      <c r="AR299" s="227">
        <f>IFERROR(_xlfn.XLOOKUP($D299,'Modelling New'!$D:$D,'Modelling New'!$N:$N),"")</f>
        <v>24.303100000000001</v>
      </c>
      <c r="AS299" s="227"/>
    </row>
    <row r="300" spans="1:45" x14ac:dyDescent="0.35">
      <c r="A300" s="226">
        <f t="shared" si="22"/>
        <v>46043</v>
      </c>
      <c r="B300" s="227">
        <f>YEAR(Daily_KPI[[#This Row],[Date]])+IF(MONTH(Daily_KPI[[#This Row],[Date]])&gt;=4,1,0)</f>
        <v>2026</v>
      </c>
      <c r="C300" s="6">
        <f>YEAR(Daily_KPI[[#This Row],[Date]])</f>
        <v>2026</v>
      </c>
      <c r="D300" s="228">
        <f>Daily_KPI[[#This Row],[Date]]-DAY(Daily_KPI[[#This Row],[Date]])+1</f>
        <v>46023</v>
      </c>
      <c r="E300" s="6">
        <f t="shared" si="20"/>
        <v>31</v>
      </c>
      <c r="F300" s="229" t="str">
        <f>IFERROR(_xlfn.XLOOKUP($A300,'Raw Data'!$A:$A,'Raw Data'!$BR:$BR),"")</f>
        <v/>
      </c>
      <c r="G300" s="230" t="str">
        <f>IFERROR(_xlfn.XLOOKUP($A300,'Raw Data'!$A:$A,'Raw Data'!$AO:$AO),"")</f>
        <v/>
      </c>
      <c r="H300" s="230"/>
      <c r="I300" s="230" t="str">
        <f>IFERROR(_xlfn.XLOOKUP($A300,'Raw Data'!$A:$A,'Raw Data'!$AR:$AR),"")</f>
        <v/>
      </c>
      <c r="J300" s="230"/>
      <c r="K300" s="230" t="str">
        <f>IFERROR(_xlfn.XLOOKUP($A300,'Raw Data'!$A:$A,'Raw Data'!$AV:$AV),"")</f>
        <v/>
      </c>
      <c r="L300" s="230" t="str">
        <f>IFERROR(_xlfn.XLOOKUP($A300,'Raw Data'!$A:$A,'Raw Data'!$AW:$AW),"")</f>
        <v/>
      </c>
      <c r="M300" s="230" t="str">
        <f>IFERROR(_xlfn.XLOOKUP($A300,'Raw Data'!$A:$A,'Raw Data'!$AX:$AX),"")</f>
        <v/>
      </c>
      <c r="N300" s="230" t="str">
        <f>IFERROR(_xlfn.XLOOKUP($A300,'Raw Data'!$A:$A,'Raw Data'!$AY:$AY),"")</f>
        <v/>
      </c>
      <c r="O300" s="231" t="str">
        <f>IFERROR(1-(SUMIF('Plant BD'!$B:$B,A300,'Plant BD'!$AE:$AE)/(AA300+SUMIF('Plant BD'!$B:$B,A300,'Plant BD'!$AE:$AE))),"")</f>
        <v/>
      </c>
      <c r="P300" s="231"/>
      <c r="Q300" s="232"/>
      <c r="R300" s="231" t="str">
        <f>IFERROR(1-(SUMIF('Grid BD'!$B:$B,$A300,'Grid BD'!$AD:$AD)/($AA300+SUMIF('Grid BD'!$B:$B,$A300,'Grid BD'!AD:AD))),"")</f>
        <v/>
      </c>
      <c r="S300" s="6"/>
      <c r="T300" s="232"/>
      <c r="U300" s="233" t="str">
        <f t="shared" si="21"/>
        <v/>
      </c>
      <c r="V300" s="233"/>
      <c r="W300" s="234" t="str">
        <f t="shared" si="23"/>
        <v/>
      </c>
      <c r="X300" s="227" t="str">
        <f>IFERROR(_xlfn.XLOOKUP($A300,'Raw Data'!$A:$A,'Raw Data'!$BA:$BA),"")</f>
        <v/>
      </c>
      <c r="Y300" s="227" t="str">
        <f>IFERROR(_xlfn.XLOOKUP($A300,'Raw Data'!$A:$A,'Raw Data'!BJ:BJ),"")</f>
        <v/>
      </c>
      <c r="Z300" s="227" t="str">
        <f>IFERROR(_xlfn.XLOOKUP($A300,'Raw Data'!$A:$A,'Raw Data'!BK:BK),"")</f>
        <v/>
      </c>
      <c r="AA300" s="227" t="str">
        <f>IFERROR(_xlfn.XLOOKUP($A300,'Raw Data'!$A:$A,'Raw Data'!BL:BL),"")</f>
        <v/>
      </c>
      <c r="AB300" s="227" t="str">
        <f>IFERROR(_xlfn.XLOOKUP($A300,'Raw Data'!$A:$A,'Raw Data'!$H:$H),"")</f>
        <v/>
      </c>
      <c r="AC300" s="145">
        <f>IFERROR(_xlfn.XLOOKUP($D300,'Modelling New'!$D:$D,'Modelling New'!$P:$P),"")</f>
        <v>6.790322580645161</v>
      </c>
      <c r="AD300" s="227">
        <f>IFERROR(_xlfn.XLOOKUP($D300,'Modelling New'!$D:$D,'Modelling New'!$T:$T)*1000,"")</f>
        <v>114636.64210349345</v>
      </c>
      <c r="AE300" s="234">
        <f>IFERROR(_xlfn.XLOOKUP($D300,'Modelling New'!$D:$D,'Modelling New'!$O:$O),"")</f>
        <v>0.69465853509305142</v>
      </c>
      <c r="AF300" s="234">
        <f>IFERROR(_xlfn.XLOOKUP($D300,'Modelling New'!$D:$D,'Modelling New'!$W:$W),"")</f>
        <v>0.19653981402834317</v>
      </c>
      <c r="AG300" s="234">
        <f>IFERROR(_xlfn.XLOOKUP($D300,'Modelling New'!$D:$D,'Modelling New'!AE:AE),"")</f>
        <v>0.995</v>
      </c>
      <c r="AH300" s="234">
        <v>0.99750000000000005</v>
      </c>
      <c r="AI300" s="6"/>
      <c r="AJ300" s="6"/>
      <c r="AK300" s="6"/>
      <c r="AL300" s="6"/>
      <c r="AM300" s="6"/>
      <c r="AN300" s="231"/>
      <c r="AO300" s="234"/>
      <c r="AP300" s="234"/>
      <c r="AQ300" s="234"/>
      <c r="AR300" s="227">
        <f>IFERROR(_xlfn.XLOOKUP($D300,'Modelling New'!$D:$D,'Modelling New'!$N:$N),"")</f>
        <v>24.303100000000001</v>
      </c>
      <c r="AS300" s="227"/>
    </row>
    <row r="301" spans="1:45" x14ac:dyDescent="0.35">
      <c r="A301" s="226">
        <f t="shared" si="22"/>
        <v>46044</v>
      </c>
      <c r="B301" s="227">
        <f>YEAR(Daily_KPI[[#This Row],[Date]])+IF(MONTH(Daily_KPI[[#This Row],[Date]])&gt;=4,1,0)</f>
        <v>2026</v>
      </c>
      <c r="C301" s="6">
        <f>YEAR(Daily_KPI[[#This Row],[Date]])</f>
        <v>2026</v>
      </c>
      <c r="D301" s="228">
        <f>Daily_KPI[[#This Row],[Date]]-DAY(Daily_KPI[[#This Row],[Date]])+1</f>
        <v>46023</v>
      </c>
      <c r="E301" s="6">
        <f t="shared" si="20"/>
        <v>31</v>
      </c>
      <c r="F301" s="229" t="str">
        <f>IFERROR(_xlfn.XLOOKUP($A301,'Raw Data'!$A:$A,'Raw Data'!$BR:$BR),"")</f>
        <v/>
      </c>
      <c r="G301" s="230" t="str">
        <f>IFERROR(_xlfn.XLOOKUP($A301,'Raw Data'!$A:$A,'Raw Data'!$AO:$AO),"")</f>
        <v/>
      </c>
      <c r="H301" s="230"/>
      <c r="I301" s="230" t="str">
        <f>IFERROR(_xlfn.XLOOKUP($A301,'Raw Data'!$A:$A,'Raw Data'!$AR:$AR),"")</f>
        <v/>
      </c>
      <c r="J301" s="230"/>
      <c r="K301" s="230" t="str">
        <f>IFERROR(_xlfn.XLOOKUP($A301,'Raw Data'!$A:$A,'Raw Data'!$AV:$AV),"")</f>
        <v/>
      </c>
      <c r="L301" s="230" t="str">
        <f>IFERROR(_xlfn.XLOOKUP($A301,'Raw Data'!$A:$A,'Raw Data'!$AW:$AW),"")</f>
        <v/>
      </c>
      <c r="M301" s="230" t="str">
        <f>IFERROR(_xlfn.XLOOKUP($A301,'Raw Data'!$A:$A,'Raw Data'!$AX:$AX),"")</f>
        <v/>
      </c>
      <c r="N301" s="230" t="str">
        <f>IFERROR(_xlfn.XLOOKUP($A301,'Raw Data'!$A:$A,'Raw Data'!$AY:$AY),"")</f>
        <v/>
      </c>
      <c r="O301" s="231" t="str">
        <f>IFERROR(1-(SUMIF('Plant BD'!$B:$B,A301,'Plant BD'!$AE:$AE)/(AA301+SUMIF('Plant BD'!$B:$B,A301,'Plant BD'!$AE:$AE))),"")</f>
        <v/>
      </c>
      <c r="P301" s="231"/>
      <c r="Q301" s="232"/>
      <c r="R301" s="231" t="str">
        <f>IFERROR(1-(SUMIF('Grid BD'!$B:$B,$A301,'Grid BD'!$AD:$AD)/($AA301+SUMIF('Grid BD'!$B:$B,$A301,'Grid BD'!AD:AD))),"")</f>
        <v/>
      </c>
      <c r="S301" s="6"/>
      <c r="T301" s="232"/>
      <c r="U301" s="233" t="str">
        <f t="shared" si="21"/>
        <v/>
      </c>
      <c r="V301" s="233"/>
      <c r="W301" s="234" t="str">
        <f t="shared" si="23"/>
        <v/>
      </c>
      <c r="X301" s="227" t="str">
        <f>IFERROR(_xlfn.XLOOKUP($A301,'Raw Data'!$A:$A,'Raw Data'!$BA:$BA),"")</f>
        <v/>
      </c>
      <c r="Y301" s="227" t="str">
        <f>IFERROR(_xlfn.XLOOKUP($A301,'Raw Data'!$A:$A,'Raw Data'!BJ:BJ),"")</f>
        <v/>
      </c>
      <c r="Z301" s="227" t="str">
        <f>IFERROR(_xlfn.XLOOKUP($A301,'Raw Data'!$A:$A,'Raw Data'!BK:BK),"")</f>
        <v/>
      </c>
      <c r="AA301" s="227" t="str">
        <f>IFERROR(_xlfn.XLOOKUP($A301,'Raw Data'!$A:$A,'Raw Data'!BL:BL),"")</f>
        <v/>
      </c>
      <c r="AB301" s="227" t="str">
        <f>IFERROR(_xlfn.XLOOKUP($A301,'Raw Data'!$A:$A,'Raw Data'!$H:$H),"")</f>
        <v/>
      </c>
      <c r="AC301" s="145">
        <f>IFERROR(_xlfn.XLOOKUP($D301,'Modelling New'!$D:$D,'Modelling New'!$P:$P),"")</f>
        <v>6.790322580645161</v>
      </c>
      <c r="AD301" s="227">
        <f>IFERROR(_xlfn.XLOOKUP($D301,'Modelling New'!$D:$D,'Modelling New'!$T:$T)*1000,"")</f>
        <v>114636.64210349345</v>
      </c>
      <c r="AE301" s="234">
        <f>IFERROR(_xlfn.XLOOKUP($D301,'Modelling New'!$D:$D,'Modelling New'!$O:$O),"")</f>
        <v>0.69465853509305142</v>
      </c>
      <c r="AF301" s="234">
        <f>IFERROR(_xlfn.XLOOKUP($D301,'Modelling New'!$D:$D,'Modelling New'!$W:$W),"")</f>
        <v>0.19653981402834317</v>
      </c>
      <c r="AG301" s="234">
        <f>IFERROR(_xlfn.XLOOKUP($D301,'Modelling New'!$D:$D,'Modelling New'!AE:AE),"")</f>
        <v>0.995</v>
      </c>
      <c r="AH301" s="234">
        <v>0.99750000000000005</v>
      </c>
      <c r="AI301" s="6"/>
      <c r="AJ301" s="6"/>
      <c r="AK301" s="6"/>
      <c r="AL301" s="6"/>
      <c r="AM301" s="6"/>
      <c r="AN301" s="231"/>
      <c r="AO301" s="234"/>
      <c r="AP301" s="234"/>
      <c r="AQ301" s="234"/>
      <c r="AR301" s="227">
        <f>IFERROR(_xlfn.XLOOKUP($D301,'Modelling New'!$D:$D,'Modelling New'!$N:$N),"")</f>
        <v>24.303100000000001</v>
      </c>
      <c r="AS301" s="227"/>
    </row>
    <row r="302" spans="1:45" x14ac:dyDescent="0.35">
      <c r="A302" s="226">
        <f t="shared" si="22"/>
        <v>46045</v>
      </c>
      <c r="B302" s="227">
        <f>YEAR(Daily_KPI[[#This Row],[Date]])+IF(MONTH(Daily_KPI[[#This Row],[Date]])&gt;=4,1,0)</f>
        <v>2026</v>
      </c>
      <c r="C302" s="6">
        <f>YEAR(Daily_KPI[[#This Row],[Date]])</f>
        <v>2026</v>
      </c>
      <c r="D302" s="228">
        <f>Daily_KPI[[#This Row],[Date]]-DAY(Daily_KPI[[#This Row],[Date]])+1</f>
        <v>46023</v>
      </c>
      <c r="E302" s="6">
        <f t="shared" si="20"/>
        <v>31</v>
      </c>
      <c r="F302" s="229" t="str">
        <f>IFERROR(_xlfn.XLOOKUP($A302,'Raw Data'!$A:$A,'Raw Data'!$BR:$BR),"")</f>
        <v/>
      </c>
      <c r="G302" s="230" t="str">
        <f>IFERROR(_xlfn.XLOOKUP($A302,'Raw Data'!$A:$A,'Raw Data'!$AO:$AO),"")</f>
        <v/>
      </c>
      <c r="H302" s="230"/>
      <c r="I302" s="230" t="str">
        <f>IFERROR(_xlfn.XLOOKUP($A302,'Raw Data'!$A:$A,'Raw Data'!$AR:$AR),"")</f>
        <v/>
      </c>
      <c r="J302" s="230"/>
      <c r="K302" s="230" t="str">
        <f>IFERROR(_xlfn.XLOOKUP($A302,'Raw Data'!$A:$A,'Raw Data'!$AV:$AV),"")</f>
        <v/>
      </c>
      <c r="L302" s="230" t="str">
        <f>IFERROR(_xlfn.XLOOKUP($A302,'Raw Data'!$A:$A,'Raw Data'!$AW:$AW),"")</f>
        <v/>
      </c>
      <c r="M302" s="230" t="str">
        <f>IFERROR(_xlfn.XLOOKUP($A302,'Raw Data'!$A:$A,'Raw Data'!$AX:$AX),"")</f>
        <v/>
      </c>
      <c r="N302" s="230" t="str">
        <f>IFERROR(_xlfn.XLOOKUP($A302,'Raw Data'!$A:$A,'Raw Data'!$AY:$AY),"")</f>
        <v/>
      </c>
      <c r="O302" s="231" t="str">
        <f>IFERROR(1-(SUMIF('Plant BD'!$B:$B,A302,'Plant BD'!$AE:$AE)/(AA302+SUMIF('Plant BD'!$B:$B,A302,'Plant BD'!$AE:$AE))),"")</f>
        <v/>
      </c>
      <c r="P302" s="231"/>
      <c r="Q302" s="232"/>
      <c r="R302" s="231" t="str">
        <f>IFERROR(1-(SUMIF('Grid BD'!$B:$B,$A302,'Grid BD'!$AD:$AD)/($AA302+SUMIF('Grid BD'!$B:$B,$A302,'Grid BD'!AD:AD))),"")</f>
        <v/>
      </c>
      <c r="S302" s="6"/>
      <c r="T302" s="232"/>
      <c r="U302" s="233" t="str">
        <f t="shared" si="21"/>
        <v/>
      </c>
      <c r="V302" s="233"/>
      <c r="W302" s="234" t="str">
        <f t="shared" si="23"/>
        <v/>
      </c>
      <c r="X302" s="227" t="str">
        <f>IFERROR(_xlfn.XLOOKUP($A302,'Raw Data'!$A:$A,'Raw Data'!$BA:$BA),"")</f>
        <v/>
      </c>
      <c r="Y302" s="227" t="str">
        <f>IFERROR(_xlfn.XLOOKUP($A302,'Raw Data'!$A:$A,'Raw Data'!BJ:BJ),"")</f>
        <v/>
      </c>
      <c r="Z302" s="227" t="str">
        <f>IFERROR(_xlfn.XLOOKUP($A302,'Raw Data'!$A:$A,'Raw Data'!BK:BK),"")</f>
        <v/>
      </c>
      <c r="AA302" s="227" t="str">
        <f>IFERROR(_xlfn.XLOOKUP($A302,'Raw Data'!$A:$A,'Raw Data'!BL:BL),"")</f>
        <v/>
      </c>
      <c r="AB302" s="227" t="str">
        <f>IFERROR(_xlfn.XLOOKUP($A302,'Raw Data'!$A:$A,'Raw Data'!$H:$H),"")</f>
        <v/>
      </c>
      <c r="AC302" s="145">
        <f>IFERROR(_xlfn.XLOOKUP($D302,'Modelling New'!$D:$D,'Modelling New'!$P:$P),"")</f>
        <v>6.790322580645161</v>
      </c>
      <c r="AD302" s="227">
        <f>IFERROR(_xlfn.XLOOKUP($D302,'Modelling New'!$D:$D,'Modelling New'!$T:$T)*1000,"")</f>
        <v>114636.64210349345</v>
      </c>
      <c r="AE302" s="234">
        <f>IFERROR(_xlfn.XLOOKUP($D302,'Modelling New'!$D:$D,'Modelling New'!$O:$O),"")</f>
        <v>0.69465853509305142</v>
      </c>
      <c r="AF302" s="234">
        <f>IFERROR(_xlfn.XLOOKUP($D302,'Modelling New'!$D:$D,'Modelling New'!$W:$W),"")</f>
        <v>0.19653981402834317</v>
      </c>
      <c r="AG302" s="234">
        <f>IFERROR(_xlfn.XLOOKUP($D302,'Modelling New'!$D:$D,'Modelling New'!AE:AE),"")</f>
        <v>0.995</v>
      </c>
      <c r="AH302" s="234">
        <v>0.99750000000000005</v>
      </c>
      <c r="AI302" s="6"/>
      <c r="AJ302" s="6"/>
      <c r="AK302" s="6"/>
      <c r="AL302" s="6"/>
      <c r="AM302" s="6"/>
      <c r="AN302" s="231"/>
      <c r="AO302" s="234"/>
      <c r="AP302" s="234"/>
      <c r="AQ302" s="234"/>
      <c r="AR302" s="227">
        <f>IFERROR(_xlfn.XLOOKUP($D302,'Modelling New'!$D:$D,'Modelling New'!$N:$N),"")</f>
        <v>24.303100000000001</v>
      </c>
      <c r="AS302" s="227"/>
    </row>
    <row r="303" spans="1:45" x14ac:dyDescent="0.35">
      <c r="A303" s="226">
        <f t="shared" si="22"/>
        <v>46046</v>
      </c>
      <c r="B303" s="227">
        <f>YEAR(Daily_KPI[[#This Row],[Date]])+IF(MONTH(Daily_KPI[[#This Row],[Date]])&gt;=4,1,0)</f>
        <v>2026</v>
      </c>
      <c r="C303" s="6">
        <f>YEAR(Daily_KPI[[#This Row],[Date]])</f>
        <v>2026</v>
      </c>
      <c r="D303" s="228">
        <f>Daily_KPI[[#This Row],[Date]]-DAY(Daily_KPI[[#This Row],[Date]])+1</f>
        <v>46023</v>
      </c>
      <c r="E303" s="6">
        <f t="shared" si="20"/>
        <v>31</v>
      </c>
      <c r="F303" s="229" t="str">
        <f>IFERROR(_xlfn.XLOOKUP($A303,'Raw Data'!$A:$A,'Raw Data'!$BR:$BR),"")</f>
        <v/>
      </c>
      <c r="G303" s="230" t="str">
        <f>IFERROR(_xlfn.XLOOKUP($A303,'Raw Data'!$A:$A,'Raw Data'!$AO:$AO),"")</f>
        <v/>
      </c>
      <c r="H303" s="230"/>
      <c r="I303" s="230" t="str">
        <f>IFERROR(_xlfn.XLOOKUP($A303,'Raw Data'!$A:$A,'Raw Data'!$AR:$AR),"")</f>
        <v/>
      </c>
      <c r="J303" s="230"/>
      <c r="K303" s="230" t="str">
        <f>IFERROR(_xlfn.XLOOKUP($A303,'Raw Data'!$A:$A,'Raw Data'!$AV:$AV),"")</f>
        <v/>
      </c>
      <c r="L303" s="230" t="str">
        <f>IFERROR(_xlfn.XLOOKUP($A303,'Raw Data'!$A:$A,'Raw Data'!$AW:$AW),"")</f>
        <v/>
      </c>
      <c r="M303" s="230" t="str">
        <f>IFERROR(_xlfn.XLOOKUP($A303,'Raw Data'!$A:$A,'Raw Data'!$AX:$AX),"")</f>
        <v/>
      </c>
      <c r="N303" s="230" t="str">
        <f>IFERROR(_xlfn.XLOOKUP($A303,'Raw Data'!$A:$A,'Raw Data'!$AY:$AY),"")</f>
        <v/>
      </c>
      <c r="O303" s="231" t="str">
        <f>IFERROR(1-(SUMIF('Plant BD'!$B:$B,A303,'Plant BD'!$AE:$AE)/(AA303+SUMIF('Plant BD'!$B:$B,A303,'Plant BD'!$AE:$AE))),"")</f>
        <v/>
      </c>
      <c r="P303" s="231"/>
      <c r="Q303" s="232"/>
      <c r="R303" s="231" t="str">
        <f>IFERROR(1-(SUMIF('Grid BD'!$B:$B,$A303,'Grid BD'!$AD:$AD)/($AA303+SUMIF('Grid BD'!$B:$B,$A303,'Grid BD'!AD:AD))),"")</f>
        <v/>
      </c>
      <c r="S303" s="6"/>
      <c r="T303" s="232"/>
      <c r="U303" s="233" t="str">
        <f t="shared" si="21"/>
        <v/>
      </c>
      <c r="V303" s="233"/>
      <c r="W303" s="234" t="str">
        <f t="shared" si="23"/>
        <v/>
      </c>
      <c r="X303" s="227" t="str">
        <f>IFERROR(_xlfn.XLOOKUP($A303,'Raw Data'!$A:$A,'Raw Data'!$BA:$BA),"")</f>
        <v/>
      </c>
      <c r="Y303" s="227" t="str">
        <f>IFERROR(_xlfn.XLOOKUP($A303,'Raw Data'!$A:$A,'Raw Data'!BJ:BJ),"")</f>
        <v/>
      </c>
      <c r="Z303" s="227" t="str">
        <f>IFERROR(_xlfn.XLOOKUP($A303,'Raw Data'!$A:$A,'Raw Data'!BK:BK),"")</f>
        <v/>
      </c>
      <c r="AA303" s="227" t="str">
        <f>IFERROR(_xlfn.XLOOKUP($A303,'Raw Data'!$A:$A,'Raw Data'!BL:BL),"")</f>
        <v/>
      </c>
      <c r="AB303" s="227" t="str">
        <f>IFERROR(_xlfn.XLOOKUP($A303,'Raw Data'!$A:$A,'Raw Data'!$H:$H),"")</f>
        <v/>
      </c>
      <c r="AC303" s="145">
        <f>IFERROR(_xlfn.XLOOKUP($D303,'Modelling New'!$D:$D,'Modelling New'!$P:$P),"")</f>
        <v>6.790322580645161</v>
      </c>
      <c r="AD303" s="227">
        <f>IFERROR(_xlfn.XLOOKUP($D303,'Modelling New'!$D:$D,'Modelling New'!$T:$T)*1000,"")</f>
        <v>114636.64210349345</v>
      </c>
      <c r="AE303" s="234">
        <f>IFERROR(_xlfn.XLOOKUP($D303,'Modelling New'!$D:$D,'Modelling New'!$O:$O),"")</f>
        <v>0.69465853509305142</v>
      </c>
      <c r="AF303" s="234">
        <f>IFERROR(_xlfn.XLOOKUP($D303,'Modelling New'!$D:$D,'Modelling New'!$W:$W),"")</f>
        <v>0.19653981402834317</v>
      </c>
      <c r="AG303" s="234">
        <f>IFERROR(_xlfn.XLOOKUP($D303,'Modelling New'!$D:$D,'Modelling New'!AE:AE),"")</f>
        <v>0.995</v>
      </c>
      <c r="AH303" s="234">
        <v>0.99750000000000005</v>
      </c>
      <c r="AI303" s="6"/>
      <c r="AJ303" s="6"/>
      <c r="AK303" s="6"/>
      <c r="AL303" s="6"/>
      <c r="AM303" s="6"/>
      <c r="AN303" s="231"/>
      <c r="AO303" s="234"/>
      <c r="AP303" s="234"/>
      <c r="AQ303" s="234"/>
      <c r="AR303" s="227">
        <f>IFERROR(_xlfn.XLOOKUP($D303,'Modelling New'!$D:$D,'Modelling New'!$N:$N),"")</f>
        <v>24.303100000000001</v>
      </c>
      <c r="AS303" s="227"/>
    </row>
    <row r="304" spans="1:45" x14ac:dyDescent="0.35">
      <c r="A304" s="226">
        <f t="shared" si="22"/>
        <v>46047</v>
      </c>
      <c r="B304" s="227">
        <f>YEAR(Daily_KPI[[#This Row],[Date]])+IF(MONTH(Daily_KPI[[#This Row],[Date]])&gt;=4,1,0)</f>
        <v>2026</v>
      </c>
      <c r="C304" s="6">
        <f>YEAR(Daily_KPI[[#This Row],[Date]])</f>
        <v>2026</v>
      </c>
      <c r="D304" s="228">
        <f>Daily_KPI[[#This Row],[Date]]-DAY(Daily_KPI[[#This Row],[Date]])+1</f>
        <v>46023</v>
      </c>
      <c r="E304" s="6">
        <f t="shared" si="20"/>
        <v>31</v>
      </c>
      <c r="F304" s="229" t="str">
        <f>IFERROR(_xlfn.XLOOKUP($A304,'Raw Data'!$A:$A,'Raw Data'!$BR:$BR),"")</f>
        <v/>
      </c>
      <c r="G304" s="230" t="str">
        <f>IFERROR(_xlfn.XLOOKUP($A304,'Raw Data'!$A:$A,'Raw Data'!$AO:$AO),"")</f>
        <v/>
      </c>
      <c r="H304" s="230"/>
      <c r="I304" s="230" t="str">
        <f>IFERROR(_xlfn.XLOOKUP($A304,'Raw Data'!$A:$A,'Raw Data'!$AR:$AR),"")</f>
        <v/>
      </c>
      <c r="J304" s="230"/>
      <c r="K304" s="230" t="str">
        <f>IFERROR(_xlfn.XLOOKUP($A304,'Raw Data'!$A:$A,'Raw Data'!$AV:$AV),"")</f>
        <v/>
      </c>
      <c r="L304" s="230" t="str">
        <f>IFERROR(_xlfn.XLOOKUP($A304,'Raw Data'!$A:$A,'Raw Data'!$AW:$AW),"")</f>
        <v/>
      </c>
      <c r="M304" s="230" t="str">
        <f>IFERROR(_xlfn.XLOOKUP($A304,'Raw Data'!$A:$A,'Raw Data'!$AX:$AX),"")</f>
        <v/>
      </c>
      <c r="N304" s="230" t="str">
        <f>IFERROR(_xlfn.XLOOKUP($A304,'Raw Data'!$A:$A,'Raw Data'!$AY:$AY),"")</f>
        <v/>
      </c>
      <c r="O304" s="231" t="str">
        <f>IFERROR(1-(SUMIF('Plant BD'!$B:$B,A304,'Plant BD'!$AE:$AE)/(AA304+SUMIF('Plant BD'!$B:$B,A304,'Plant BD'!$AE:$AE))),"")</f>
        <v/>
      </c>
      <c r="P304" s="231"/>
      <c r="Q304" s="232"/>
      <c r="R304" s="231" t="str">
        <f>IFERROR(1-(SUMIF('Grid BD'!$B:$B,$A304,'Grid BD'!$AD:$AD)/($AA304+SUMIF('Grid BD'!$B:$B,$A304,'Grid BD'!AD:AD))),"")</f>
        <v/>
      </c>
      <c r="S304" s="6"/>
      <c r="T304" s="232"/>
      <c r="U304" s="233" t="str">
        <f t="shared" si="21"/>
        <v/>
      </c>
      <c r="V304" s="233"/>
      <c r="W304" s="234" t="str">
        <f t="shared" si="23"/>
        <v/>
      </c>
      <c r="X304" s="227" t="str">
        <f>IFERROR(_xlfn.XLOOKUP($A304,'Raw Data'!$A:$A,'Raw Data'!$BA:$BA),"")</f>
        <v/>
      </c>
      <c r="Y304" s="227" t="str">
        <f>IFERROR(_xlfn.XLOOKUP($A304,'Raw Data'!$A:$A,'Raw Data'!BJ:BJ),"")</f>
        <v/>
      </c>
      <c r="Z304" s="227" t="str">
        <f>IFERROR(_xlfn.XLOOKUP($A304,'Raw Data'!$A:$A,'Raw Data'!BK:BK),"")</f>
        <v/>
      </c>
      <c r="AA304" s="227" t="str">
        <f>IFERROR(_xlfn.XLOOKUP($A304,'Raw Data'!$A:$A,'Raw Data'!BL:BL),"")</f>
        <v/>
      </c>
      <c r="AB304" s="227" t="str">
        <f>IFERROR(_xlfn.XLOOKUP($A304,'Raw Data'!$A:$A,'Raw Data'!$H:$H),"")</f>
        <v/>
      </c>
      <c r="AC304" s="145">
        <f>IFERROR(_xlfn.XLOOKUP($D304,'Modelling New'!$D:$D,'Modelling New'!$P:$P),"")</f>
        <v>6.790322580645161</v>
      </c>
      <c r="AD304" s="227">
        <f>IFERROR(_xlfn.XLOOKUP($D304,'Modelling New'!$D:$D,'Modelling New'!$T:$T)*1000,"")</f>
        <v>114636.64210349345</v>
      </c>
      <c r="AE304" s="234">
        <f>IFERROR(_xlfn.XLOOKUP($D304,'Modelling New'!$D:$D,'Modelling New'!$O:$O),"")</f>
        <v>0.69465853509305142</v>
      </c>
      <c r="AF304" s="234">
        <f>IFERROR(_xlfn.XLOOKUP($D304,'Modelling New'!$D:$D,'Modelling New'!$W:$W),"")</f>
        <v>0.19653981402834317</v>
      </c>
      <c r="AG304" s="234">
        <f>IFERROR(_xlfn.XLOOKUP($D304,'Modelling New'!$D:$D,'Modelling New'!AE:AE),"")</f>
        <v>0.995</v>
      </c>
      <c r="AH304" s="234">
        <v>0.99750000000000005</v>
      </c>
      <c r="AI304" s="6"/>
      <c r="AJ304" s="6"/>
      <c r="AK304" s="6"/>
      <c r="AL304" s="6"/>
      <c r="AM304" s="6"/>
      <c r="AN304" s="231"/>
      <c r="AO304" s="234"/>
      <c r="AP304" s="234"/>
      <c r="AQ304" s="234"/>
      <c r="AR304" s="227">
        <f>IFERROR(_xlfn.XLOOKUP($D304,'Modelling New'!$D:$D,'Modelling New'!$N:$N),"")</f>
        <v>24.303100000000001</v>
      </c>
      <c r="AS304" s="227"/>
    </row>
    <row r="305" spans="1:45" x14ac:dyDescent="0.35">
      <c r="A305" s="226">
        <f t="shared" si="22"/>
        <v>46048</v>
      </c>
      <c r="B305" s="227">
        <f>YEAR(Daily_KPI[[#This Row],[Date]])+IF(MONTH(Daily_KPI[[#This Row],[Date]])&gt;=4,1,0)</f>
        <v>2026</v>
      </c>
      <c r="C305" s="6">
        <f>YEAR(Daily_KPI[[#This Row],[Date]])</f>
        <v>2026</v>
      </c>
      <c r="D305" s="228">
        <f>Daily_KPI[[#This Row],[Date]]-DAY(Daily_KPI[[#This Row],[Date]])+1</f>
        <v>46023</v>
      </c>
      <c r="E305" s="6">
        <f t="shared" si="20"/>
        <v>31</v>
      </c>
      <c r="F305" s="229" t="str">
        <f>IFERROR(_xlfn.XLOOKUP($A305,'Raw Data'!$A:$A,'Raw Data'!$BR:$BR),"")</f>
        <v/>
      </c>
      <c r="G305" s="230" t="str">
        <f>IFERROR(_xlfn.XLOOKUP($A305,'Raw Data'!$A:$A,'Raw Data'!$AO:$AO),"")</f>
        <v/>
      </c>
      <c r="H305" s="230"/>
      <c r="I305" s="230" t="str">
        <f>IFERROR(_xlfn.XLOOKUP($A305,'Raw Data'!$A:$A,'Raw Data'!$AR:$AR),"")</f>
        <v/>
      </c>
      <c r="J305" s="230"/>
      <c r="K305" s="230" t="str">
        <f>IFERROR(_xlfn.XLOOKUP($A305,'Raw Data'!$A:$A,'Raw Data'!$AV:$AV),"")</f>
        <v/>
      </c>
      <c r="L305" s="230" t="str">
        <f>IFERROR(_xlfn.XLOOKUP($A305,'Raw Data'!$A:$A,'Raw Data'!$AW:$AW),"")</f>
        <v/>
      </c>
      <c r="M305" s="230" t="str">
        <f>IFERROR(_xlfn.XLOOKUP($A305,'Raw Data'!$A:$A,'Raw Data'!$AX:$AX),"")</f>
        <v/>
      </c>
      <c r="N305" s="230" t="str">
        <f>IFERROR(_xlfn.XLOOKUP($A305,'Raw Data'!$A:$A,'Raw Data'!$AY:$AY),"")</f>
        <v/>
      </c>
      <c r="O305" s="231" t="str">
        <f>IFERROR(1-(SUMIF('Plant BD'!$B:$B,A305,'Plant BD'!$AE:$AE)/(AA305+SUMIF('Plant BD'!$B:$B,A305,'Plant BD'!$AE:$AE))),"")</f>
        <v/>
      </c>
      <c r="P305" s="231"/>
      <c r="Q305" s="232"/>
      <c r="R305" s="231" t="str">
        <f>IFERROR(1-(SUMIF('Grid BD'!$B:$B,$A305,'Grid BD'!$AD:$AD)/($AA305+SUMIF('Grid BD'!$B:$B,$A305,'Grid BD'!AD:AD))),"")</f>
        <v/>
      </c>
      <c r="S305" s="6"/>
      <c r="T305" s="232"/>
      <c r="U305" s="233" t="str">
        <f t="shared" si="21"/>
        <v/>
      </c>
      <c r="V305" s="233"/>
      <c r="W305" s="234" t="str">
        <f t="shared" si="23"/>
        <v/>
      </c>
      <c r="X305" s="227" t="str">
        <f>IFERROR(_xlfn.XLOOKUP($A305,'Raw Data'!$A:$A,'Raw Data'!$BA:$BA),"")</f>
        <v/>
      </c>
      <c r="Y305" s="227" t="str">
        <f>IFERROR(_xlfn.XLOOKUP($A305,'Raw Data'!$A:$A,'Raw Data'!BJ:BJ),"")</f>
        <v/>
      </c>
      <c r="Z305" s="227" t="str">
        <f>IFERROR(_xlfn.XLOOKUP($A305,'Raw Data'!$A:$A,'Raw Data'!BK:BK),"")</f>
        <v/>
      </c>
      <c r="AA305" s="227" t="str">
        <f>IFERROR(_xlfn.XLOOKUP($A305,'Raw Data'!$A:$A,'Raw Data'!BL:BL),"")</f>
        <v/>
      </c>
      <c r="AB305" s="227" t="str">
        <f>IFERROR(_xlfn.XLOOKUP($A305,'Raw Data'!$A:$A,'Raw Data'!$H:$H),"")</f>
        <v/>
      </c>
      <c r="AC305" s="145">
        <f>IFERROR(_xlfn.XLOOKUP($D305,'Modelling New'!$D:$D,'Modelling New'!$P:$P),"")</f>
        <v>6.790322580645161</v>
      </c>
      <c r="AD305" s="227">
        <f>IFERROR(_xlfn.XLOOKUP($D305,'Modelling New'!$D:$D,'Modelling New'!$T:$T)*1000,"")</f>
        <v>114636.64210349345</v>
      </c>
      <c r="AE305" s="234">
        <f>IFERROR(_xlfn.XLOOKUP($D305,'Modelling New'!$D:$D,'Modelling New'!$O:$O),"")</f>
        <v>0.69465853509305142</v>
      </c>
      <c r="AF305" s="234">
        <f>IFERROR(_xlfn.XLOOKUP($D305,'Modelling New'!$D:$D,'Modelling New'!$W:$W),"")</f>
        <v>0.19653981402834317</v>
      </c>
      <c r="AG305" s="234">
        <f>IFERROR(_xlfn.XLOOKUP($D305,'Modelling New'!$D:$D,'Modelling New'!AE:AE),"")</f>
        <v>0.995</v>
      </c>
      <c r="AH305" s="234">
        <v>0.99750000000000005</v>
      </c>
      <c r="AI305" s="6"/>
      <c r="AJ305" s="6"/>
      <c r="AK305" s="6"/>
      <c r="AL305" s="6"/>
      <c r="AM305" s="6"/>
      <c r="AN305" s="231"/>
      <c r="AO305" s="234"/>
      <c r="AP305" s="234"/>
      <c r="AQ305" s="234"/>
      <c r="AR305" s="227">
        <f>IFERROR(_xlfn.XLOOKUP($D305,'Modelling New'!$D:$D,'Modelling New'!$N:$N),"")</f>
        <v>24.303100000000001</v>
      </c>
      <c r="AS305" s="227"/>
    </row>
    <row r="306" spans="1:45" x14ac:dyDescent="0.35">
      <c r="A306" s="226">
        <f t="shared" si="22"/>
        <v>46049</v>
      </c>
      <c r="B306" s="227">
        <f>YEAR(Daily_KPI[[#This Row],[Date]])+IF(MONTH(Daily_KPI[[#This Row],[Date]])&gt;=4,1,0)</f>
        <v>2026</v>
      </c>
      <c r="C306" s="6">
        <f>YEAR(Daily_KPI[[#This Row],[Date]])</f>
        <v>2026</v>
      </c>
      <c r="D306" s="228">
        <f>Daily_KPI[[#This Row],[Date]]-DAY(Daily_KPI[[#This Row],[Date]])+1</f>
        <v>46023</v>
      </c>
      <c r="E306" s="6">
        <f t="shared" si="20"/>
        <v>31</v>
      </c>
      <c r="F306" s="229" t="str">
        <f>IFERROR(_xlfn.XLOOKUP($A306,'Raw Data'!$A:$A,'Raw Data'!$BR:$BR),"")</f>
        <v/>
      </c>
      <c r="G306" s="230" t="str">
        <f>IFERROR(_xlfn.XLOOKUP($A306,'Raw Data'!$A:$A,'Raw Data'!$AO:$AO),"")</f>
        <v/>
      </c>
      <c r="H306" s="230"/>
      <c r="I306" s="230" t="str">
        <f>IFERROR(_xlfn.XLOOKUP($A306,'Raw Data'!$A:$A,'Raw Data'!$AR:$AR),"")</f>
        <v/>
      </c>
      <c r="J306" s="230"/>
      <c r="K306" s="230" t="str">
        <f>IFERROR(_xlfn.XLOOKUP($A306,'Raw Data'!$A:$A,'Raw Data'!$AV:$AV),"")</f>
        <v/>
      </c>
      <c r="L306" s="230" t="str">
        <f>IFERROR(_xlfn.XLOOKUP($A306,'Raw Data'!$A:$A,'Raw Data'!$AW:$AW),"")</f>
        <v/>
      </c>
      <c r="M306" s="230" t="str">
        <f>IFERROR(_xlfn.XLOOKUP($A306,'Raw Data'!$A:$A,'Raw Data'!$AX:$AX),"")</f>
        <v/>
      </c>
      <c r="N306" s="230" t="str">
        <f>IFERROR(_xlfn.XLOOKUP($A306,'Raw Data'!$A:$A,'Raw Data'!$AY:$AY),"")</f>
        <v/>
      </c>
      <c r="O306" s="231" t="str">
        <f>IFERROR(1-(SUMIF('Plant BD'!$B:$B,A306,'Plant BD'!$AE:$AE)/(AA306+SUMIF('Plant BD'!$B:$B,A306,'Plant BD'!$AE:$AE))),"")</f>
        <v/>
      </c>
      <c r="P306" s="231"/>
      <c r="Q306" s="232"/>
      <c r="R306" s="231" t="str">
        <f>IFERROR(1-(SUMIF('Grid BD'!$B:$B,$A306,'Grid BD'!$AD:$AD)/($AA306+SUMIF('Grid BD'!$B:$B,$A306,'Grid BD'!AD:AD))),"")</f>
        <v/>
      </c>
      <c r="S306" s="6"/>
      <c r="T306" s="232"/>
      <c r="U306" s="233" t="str">
        <f t="shared" si="21"/>
        <v/>
      </c>
      <c r="V306" s="233"/>
      <c r="W306" s="234" t="str">
        <f t="shared" si="23"/>
        <v/>
      </c>
      <c r="X306" s="227" t="str">
        <f>IFERROR(_xlfn.XLOOKUP($A306,'Raw Data'!$A:$A,'Raw Data'!$BA:$BA),"")</f>
        <v/>
      </c>
      <c r="Y306" s="227" t="str">
        <f>IFERROR(_xlfn.XLOOKUP($A306,'Raw Data'!$A:$A,'Raw Data'!BJ:BJ),"")</f>
        <v/>
      </c>
      <c r="Z306" s="227" t="str">
        <f>IFERROR(_xlfn.XLOOKUP($A306,'Raw Data'!$A:$A,'Raw Data'!BK:BK),"")</f>
        <v/>
      </c>
      <c r="AA306" s="227" t="str">
        <f>IFERROR(_xlfn.XLOOKUP($A306,'Raw Data'!$A:$A,'Raw Data'!BL:BL),"")</f>
        <v/>
      </c>
      <c r="AB306" s="227" t="str">
        <f>IFERROR(_xlfn.XLOOKUP($A306,'Raw Data'!$A:$A,'Raw Data'!$H:$H),"")</f>
        <v/>
      </c>
      <c r="AC306" s="145">
        <f>IFERROR(_xlfn.XLOOKUP($D306,'Modelling New'!$D:$D,'Modelling New'!$P:$P),"")</f>
        <v>6.790322580645161</v>
      </c>
      <c r="AD306" s="227">
        <f>IFERROR(_xlfn.XLOOKUP($D306,'Modelling New'!$D:$D,'Modelling New'!$T:$T)*1000,"")</f>
        <v>114636.64210349345</v>
      </c>
      <c r="AE306" s="234">
        <f>IFERROR(_xlfn.XLOOKUP($D306,'Modelling New'!$D:$D,'Modelling New'!$O:$O),"")</f>
        <v>0.69465853509305142</v>
      </c>
      <c r="AF306" s="234">
        <f>IFERROR(_xlfn.XLOOKUP($D306,'Modelling New'!$D:$D,'Modelling New'!$W:$W),"")</f>
        <v>0.19653981402834317</v>
      </c>
      <c r="AG306" s="234">
        <f>IFERROR(_xlfn.XLOOKUP($D306,'Modelling New'!$D:$D,'Modelling New'!AE:AE),"")</f>
        <v>0.995</v>
      </c>
      <c r="AH306" s="234">
        <v>0.99750000000000005</v>
      </c>
      <c r="AI306" s="6"/>
      <c r="AJ306" s="6"/>
      <c r="AK306" s="6"/>
      <c r="AL306" s="6"/>
      <c r="AM306" s="6"/>
      <c r="AN306" s="231"/>
      <c r="AO306" s="234"/>
      <c r="AP306" s="234"/>
      <c r="AQ306" s="234"/>
      <c r="AR306" s="227">
        <f>IFERROR(_xlfn.XLOOKUP($D306,'Modelling New'!$D:$D,'Modelling New'!$N:$N),"")</f>
        <v>24.303100000000001</v>
      </c>
      <c r="AS306" s="227"/>
    </row>
    <row r="307" spans="1:45" x14ac:dyDescent="0.35">
      <c r="A307" s="226">
        <f t="shared" si="22"/>
        <v>46050</v>
      </c>
      <c r="B307" s="227">
        <f>YEAR(Daily_KPI[[#This Row],[Date]])+IF(MONTH(Daily_KPI[[#This Row],[Date]])&gt;=4,1,0)</f>
        <v>2026</v>
      </c>
      <c r="C307" s="6">
        <f>YEAR(Daily_KPI[[#This Row],[Date]])</f>
        <v>2026</v>
      </c>
      <c r="D307" s="228">
        <f>Daily_KPI[[#This Row],[Date]]-DAY(Daily_KPI[[#This Row],[Date]])+1</f>
        <v>46023</v>
      </c>
      <c r="E307" s="6">
        <f t="shared" si="20"/>
        <v>31</v>
      </c>
      <c r="F307" s="229" t="str">
        <f>IFERROR(_xlfn.XLOOKUP($A307,'Raw Data'!$A:$A,'Raw Data'!$BR:$BR),"")</f>
        <v/>
      </c>
      <c r="G307" s="230" t="str">
        <f>IFERROR(_xlfn.XLOOKUP($A307,'Raw Data'!$A:$A,'Raw Data'!$AO:$AO),"")</f>
        <v/>
      </c>
      <c r="H307" s="230"/>
      <c r="I307" s="230" t="str">
        <f>IFERROR(_xlfn.XLOOKUP($A307,'Raw Data'!$A:$A,'Raw Data'!$AR:$AR),"")</f>
        <v/>
      </c>
      <c r="J307" s="230"/>
      <c r="K307" s="230" t="str">
        <f>IFERROR(_xlfn.XLOOKUP($A307,'Raw Data'!$A:$A,'Raw Data'!$AV:$AV),"")</f>
        <v/>
      </c>
      <c r="L307" s="230" t="str">
        <f>IFERROR(_xlfn.XLOOKUP($A307,'Raw Data'!$A:$A,'Raw Data'!$AW:$AW),"")</f>
        <v/>
      </c>
      <c r="M307" s="230" t="str">
        <f>IFERROR(_xlfn.XLOOKUP($A307,'Raw Data'!$A:$A,'Raw Data'!$AX:$AX),"")</f>
        <v/>
      </c>
      <c r="N307" s="230" t="str">
        <f>IFERROR(_xlfn.XLOOKUP($A307,'Raw Data'!$A:$A,'Raw Data'!$AY:$AY),"")</f>
        <v/>
      </c>
      <c r="O307" s="231" t="str">
        <f>IFERROR(1-(SUMIF('Plant BD'!$B:$B,A307,'Plant BD'!$AE:$AE)/(AA307+SUMIF('Plant BD'!$B:$B,A307,'Plant BD'!$AE:$AE))),"")</f>
        <v/>
      </c>
      <c r="P307" s="231"/>
      <c r="Q307" s="232"/>
      <c r="R307" s="231" t="str">
        <f>IFERROR(1-(SUMIF('Grid BD'!$B:$B,$A307,'Grid BD'!$AD:$AD)/($AA307+SUMIF('Grid BD'!$B:$B,$A307,'Grid BD'!AD:AD))),"")</f>
        <v/>
      </c>
      <c r="S307" s="6"/>
      <c r="T307" s="232"/>
      <c r="U307" s="233" t="str">
        <f t="shared" si="21"/>
        <v/>
      </c>
      <c r="V307" s="233"/>
      <c r="W307" s="234" t="str">
        <f t="shared" si="23"/>
        <v/>
      </c>
      <c r="X307" s="227" t="str">
        <f>IFERROR(_xlfn.XLOOKUP($A307,'Raw Data'!$A:$A,'Raw Data'!$BA:$BA),"")</f>
        <v/>
      </c>
      <c r="Y307" s="227" t="str">
        <f>IFERROR(_xlfn.XLOOKUP($A307,'Raw Data'!$A:$A,'Raw Data'!BJ:BJ),"")</f>
        <v/>
      </c>
      <c r="Z307" s="227" t="str">
        <f>IFERROR(_xlfn.XLOOKUP($A307,'Raw Data'!$A:$A,'Raw Data'!BK:BK),"")</f>
        <v/>
      </c>
      <c r="AA307" s="227" t="str">
        <f>IFERROR(_xlfn.XLOOKUP($A307,'Raw Data'!$A:$A,'Raw Data'!BL:BL),"")</f>
        <v/>
      </c>
      <c r="AB307" s="227" t="str">
        <f>IFERROR(_xlfn.XLOOKUP($A307,'Raw Data'!$A:$A,'Raw Data'!$H:$H),"")</f>
        <v/>
      </c>
      <c r="AC307" s="145">
        <f>IFERROR(_xlfn.XLOOKUP($D307,'Modelling New'!$D:$D,'Modelling New'!$P:$P),"")</f>
        <v>6.790322580645161</v>
      </c>
      <c r="AD307" s="227">
        <f>IFERROR(_xlfn.XLOOKUP($D307,'Modelling New'!$D:$D,'Modelling New'!$T:$T)*1000,"")</f>
        <v>114636.64210349345</v>
      </c>
      <c r="AE307" s="234">
        <f>IFERROR(_xlfn.XLOOKUP($D307,'Modelling New'!$D:$D,'Modelling New'!$O:$O),"")</f>
        <v>0.69465853509305142</v>
      </c>
      <c r="AF307" s="234">
        <f>IFERROR(_xlfn.XLOOKUP($D307,'Modelling New'!$D:$D,'Modelling New'!$W:$W),"")</f>
        <v>0.19653981402834317</v>
      </c>
      <c r="AG307" s="234">
        <f>IFERROR(_xlfn.XLOOKUP($D307,'Modelling New'!$D:$D,'Modelling New'!AE:AE),"")</f>
        <v>0.995</v>
      </c>
      <c r="AH307" s="234">
        <v>0.99750000000000005</v>
      </c>
      <c r="AI307" s="6"/>
      <c r="AJ307" s="6"/>
      <c r="AK307" s="6"/>
      <c r="AL307" s="6"/>
      <c r="AM307" s="6"/>
      <c r="AN307" s="231"/>
      <c r="AO307" s="234"/>
      <c r="AP307" s="234"/>
      <c r="AQ307" s="234"/>
      <c r="AR307" s="227">
        <f>IFERROR(_xlfn.XLOOKUP($D307,'Modelling New'!$D:$D,'Modelling New'!$N:$N),"")</f>
        <v>24.303100000000001</v>
      </c>
      <c r="AS307" s="227"/>
    </row>
    <row r="308" spans="1:45" x14ac:dyDescent="0.35">
      <c r="A308" s="226">
        <f t="shared" si="22"/>
        <v>46051</v>
      </c>
      <c r="B308" s="227">
        <f>YEAR(Daily_KPI[[#This Row],[Date]])+IF(MONTH(Daily_KPI[[#This Row],[Date]])&gt;=4,1,0)</f>
        <v>2026</v>
      </c>
      <c r="C308" s="6">
        <f>YEAR(Daily_KPI[[#This Row],[Date]])</f>
        <v>2026</v>
      </c>
      <c r="D308" s="228">
        <f>Daily_KPI[[#This Row],[Date]]-DAY(Daily_KPI[[#This Row],[Date]])+1</f>
        <v>46023</v>
      </c>
      <c r="E308" s="6">
        <f t="shared" si="20"/>
        <v>31</v>
      </c>
      <c r="F308" s="229" t="str">
        <f>IFERROR(_xlfn.XLOOKUP($A308,'Raw Data'!$A:$A,'Raw Data'!$BR:$BR),"")</f>
        <v/>
      </c>
      <c r="G308" s="230" t="str">
        <f>IFERROR(_xlfn.XLOOKUP($A308,'Raw Data'!$A:$A,'Raw Data'!$AO:$AO),"")</f>
        <v/>
      </c>
      <c r="H308" s="230"/>
      <c r="I308" s="230" t="str">
        <f>IFERROR(_xlfn.XLOOKUP($A308,'Raw Data'!$A:$A,'Raw Data'!$AR:$AR),"")</f>
        <v/>
      </c>
      <c r="J308" s="230"/>
      <c r="K308" s="230" t="str">
        <f>IFERROR(_xlfn.XLOOKUP($A308,'Raw Data'!$A:$A,'Raw Data'!$AV:$AV),"")</f>
        <v/>
      </c>
      <c r="L308" s="230" t="str">
        <f>IFERROR(_xlfn.XLOOKUP($A308,'Raw Data'!$A:$A,'Raw Data'!$AW:$AW),"")</f>
        <v/>
      </c>
      <c r="M308" s="230" t="str">
        <f>IFERROR(_xlfn.XLOOKUP($A308,'Raw Data'!$A:$A,'Raw Data'!$AX:$AX),"")</f>
        <v/>
      </c>
      <c r="N308" s="230" t="str">
        <f>IFERROR(_xlfn.XLOOKUP($A308,'Raw Data'!$A:$A,'Raw Data'!$AY:$AY),"")</f>
        <v/>
      </c>
      <c r="O308" s="231" t="str">
        <f>IFERROR(1-(SUMIF('Plant BD'!$B:$B,A308,'Plant BD'!$AE:$AE)/(AA308+SUMIF('Plant BD'!$B:$B,A308,'Plant BD'!$AE:$AE))),"")</f>
        <v/>
      </c>
      <c r="P308" s="231"/>
      <c r="Q308" s="232"/>
      <c r="R308" s="231" t="str">
        <f>IFERROR(1-(SUMIF('Grid BD'!$B:$B,$A308,'Grid BD'!$AD:$AD)/($AA308+SUMIF('Grid BD'!$B:$B,$A308,'Grid BD'!AD:AD))),"")</f>
        <v/>
      </c>
      <c r="S308" s="6"/>
      <c r="T308" s="232"/>
      <c r="U308" s="233" t="str">
        <f t="shared" si="21"/>
        <v/>
      </c>
      <c r="V308" s="233"/>
      <c r="W308" s="234" t="str">
        <f t="shared" si="23"/>
        <v/>
      </c>
      <c r="X308" s="227" t="str">
        <f>IFERROR(_xlfn.XLOOKUP($A308,'Raw Data'!$A:$A,'Raw Data'!$BA:$BA),"")</f>
        <v/>
      </c>
      <c r="Y308" s="227" t="str">
        <f>IFERROR(_xlfn.XLOOKUP($A308,'Raw Data'!$A:$A,'Raw Data'!BJ:BJ),"")</f>
        <v/>
      </c>
      <c r="Z308" s="227" t="str">
        <f>IFERROR(_xlfn.XLOOKUP($A308,'Raw Data'!$A:$A,'Raw Data'!BK:BK),"")</f>
        <v/>
      </c>
      <c r="AA308" s="227" t="str">
        <f>IFERROR(_xlfn.XLOOKUP($A308,'Raw Data'!$A:$A,'Raw Data'!BL:BL),"")</f>
        <v/>
      </c>
      <c r="AB308" s="227" t="str">
        <f>IFERROR(_xlfn.XLOOKUP($A308,'Raw Data'!$A:$A,'Raw Data'!$H:$H),"")</f>
        <v/>
      </c>
      <c r="AC308" s="145">
        <f>IFERROR(_xlfn.XLOOKUP($D308,'Modelling New'!$D:$D,'Modelling New'!$P:$P),"")</f>
        <v>6.790322580645161</v>
      </c>
      <c r="AD308" s="227">
        <f>IFERROR(_xlfn.XLOOKUP($D308,'Modelling New'!$D:$D,'Modelling New'!$T:$T)*1000,"")</f>
        <v>114636.64210349345</v>
      </c>
      <c r="AE308" s="234">
        <f>IFERROR(_xlfn.XLOOKUP($D308,'Modelling New'!$D:$D,'Modelling New'!$O:$O),"")</f>
        <v>0.69465853509305142</v>
      </c>
      <c r="AF308" s="234">
        <f>IFERROR(_xlfn.XLOOKUP($D308,'Modelling New'!$D:$D,'Modelling New'!$W:$W),"")</f>
        <v>0.19653981402834317</v>
      </c>
      <c r="AG308" s="234">
        <f>IFERROR(_xlfn.XLOOKUP($D308,'Modelling New'!$D:$D,'Modelling New'!AE:AE),"")</f>
        <v>0.995</v>
      </c>
      <c r="AH308" s="234">
        <v>0.99750000000000005</v>
      </c>
      <c r="AI308" s="6"/>
      <c r="AJ308" s="6"/>
      <c r="AK308" s="6"/>
      <c r="AL308" s="6"/>
      <c r="AM308" s="6"/>
      <c r="AN308" s="231"/>
      <c r="AO308" s="234"/>
      <c r="AP308" s="234"/>
      <c r="AQ308" s="234"/>
      <c r="AR308" s="227">
        <f>IFERROR(_xlfn.XLOOKUP($D308,'Modelling New'!$D:$D,'Modelling New'!$N:$N),"")</f>
        <v>24.303100000000001</v>
      </c>
      <c r="AS308" s="227"/>
    </row>
    <row r="309" spans="1:45" x14ac:dyDescent="0.35">
      <c r="A309" s="226">
        <f t="shared" si="22"/>
        <v>46052</v>
      </c>
      <c r="B309" s="227">
        <f>YEAR(Daily_KPI[[#This Row],[Date]])+IF(MONTH(Daily_KPI[[#This Row],[Date]])&gt;=4,1,0)</f>
        <v>2026</v>
      </c>
      <c r="C309" s="6">
        <f>YEAR(Daily_KPI[[#This Row],[Date]])</f>
        <v>2026</v>
      </c>
      <c r="D309" s="228">
        <f>Daily_KPI[[#This Row],[Date]]-DAY(Daily_KPI[[#This Row],[Date]])+1</f>
        <v>46023</v>
      </c>
      <c r="E309" s="6">
        <f t="shared" ref="E309:E369" si="24">DAY(EOMONTH(A309,0))</f>
        <v>31</v>
      </c>
      <c r="F309" s="229" t="str">
        <f>IFERROR(_xlfn.XLOOKUP($A309,'Raw Data'!$A:$A,'Raw Data'!$BR:$BR),"")</f>
        <v/>
      </c>
      <c r="G309" s="230" t="str">
        <f>IFERROR(_xlfn.XLOOKUP($A309,'Raw Data'!$A:$A,'Raw Data'!$AO:$AO),"")</f>
        <v/>
      </c>
      <c r="H309" s="230"/>
      <c r="I309" s="230" t="str">
        <f>IFERROR(_xlfn.XLOOKUP($A309,'Raw Data'!$A:$A,'Raw Data'!$AR:$AR),"")</f>
        <v/>
      </c>
      <c r="J309" s="230"/>
      <c r="K309" s="230" t="str">
        <f>IFERROR(_xlfn.XLOOKUP($A309,'Raw Data'!$A:$A,'Raw Data'!$AV:$AV),"")</f>
        <v/>
      </c>
      <c r="L309" s="230" t="str">
        <f>IFERROR(_xlfn.XLOOKUP($A309,'Raw Data'!$A:$A,'Raw Data'!$AW:$AW),"")</f>
        <v/>
      </c>
      <c r="M309" s="230" t="str">
        <f>IFERROR(_xlfn.XLOOKUP($A309,'Raw Data'!$A:$A,'Raw Data'!$AX:$AX),"")</f>
        <v/>
      </c>
      <c r="N309" s="230" t="str">
        <f>IFERROR(_xlfn.XLOOKUP($A309,'Raw Data'!$A:$A,'Raw Data'!$AY:$AY),"")</f>
        <v/>
      </c>
      <c r="O309" s="231" t="str">
        <f>IFERROR(1-(SUMIF('Plant BD'!$B:$B,A309,'Plant BD'!$AE:$AE)/(AA309+SUMIF('Plant BD'!$B:$B,A309,'Plant BD'!$AE:$AE))),"")</f>
        <v/>
      </c>
      <c r="P309" s="231"/>
      <c r="Q309" s="232"/>
      <c r="R309" s="231" t="str">
        <f>IFERROR(1-(SUMIF('Grid BD'!$B:$B,$A309,'Grid BD'!$AD:$AD)/($AA309+SUMIF('Grid BD'!$B:$B,$A309,'Grid BD'!AD:AD))),"")</f>
        <v/>
      </c>
      <c r="S309" s="6"/>
      <c r="T309" s="232"/>
      <c r="U309" s="233" t="str">
        <f t="shared" si="21"/>
        <v/>
      </c>
      <c r="V309" s="233"/>
      <c r="W309" s="234" t="str">
        <f t="shared" si="23"/>
        <v/>
      </c>
      <c r="X309" s="227" t="str">
        <f>IFERROR(_xlfn.XLOOKUP($A309,'Raw Data'!$A:$A,'Raw Data'!$BA:$BA),"")</f>
        <v/>
      </c>
      <c r="Y309" s="227" t="str">
        <f>IFERROR(_xlfn.XLOOKUP($A309,'Raw Data'!$A:$A,'Raw Data'!BJ:BJ),"")</f>
        <v/>
      </c>
      <c r="Z309" s="227" t="str">
        <f>IFERROR(_xlfn.XLOOKUP($A309,'Raw Data'!$A:$A,'Raw Data'!BK:BK),"")</f>
        <v/>
      </c>
      <c r="AA309" s="227" t="str">
        <f>IFERROR(_xlfn.XLOOKUP($A309,'Raw Data'!$A:$A,'Raw Data'!BL:BL),"")</f>
        <v/>
      </c>
      <c r="AB309" s="227" t="str">
        <f>IFERROR(_xlfn.XLOOKUP($A309,'Raw Data'!$A:$A,'Raw Data'!$H:$H),"")</f>
        <v/>
      </c>
      <c r="AC309" s="145">
        <f>IFERROR(_xlfn.XLOOKUP($D309,'Modelling New'!$D:$D,'Modelling New'!$P:$P),"")</f>
        <v>6.790322580645161</v>
      </c>
      <c r="AD309" s="227">
        <f>IFERROR(_xlfn.XLOOKUP($D309,'Modelling New'!$D:$D,'Modelling New'!$T:$T)*1000,"")</f>
        <v>114636.64210349345</v>
      </c>
      <c r="AE309" s="234">
        <f>IFERROR(_xlfn.XLOOKUP($D309,'Modelling New'!$D:$D,'Modelling New'!$O:$O),"")</f>
        <v>0.69465853509305142</v>
      </c>
      <c r="AF309" s="234">
        <f>IFERROR(_xlfn.XLOOKUP($D309,'Modelling New'!$D:$D,'Modelling New'!$W:$W),"")</f>
        <v>0.19653981402834317</v>
      </c>
      <c r="AG309" s="234">
        <f>IFERROR(_xlfn.XLOOKUP($D309,'Modelling New'!$D:$D,'Modelling New'!AE:AE),"")</f>
        <v>0.995</v>
      </c>
      <c r="AH309" s="234">
        <v>0.99750000000000005</v>
      </c>
      <c r="AI309" s="6"/>
      <c r="AJ309" s="6"/>
      <c r="AK309" s="6"/>
      <c r="AL309" s="6"/>
      <c r="AM309" s="6"/>
      <c r="AN309" s="231"/>
      <c r="AO309" s="234"/>
      <c r="AP309" s="234"/>
      <c r="AQ309" s="234"/>
      <c r="AR309" s="227">
        <f>IFERROR(_xlfn.XLOOKUP($D309,'Modelling New'!$D:$D,'Modelling New'!$N:$N),"")</f>
        <v>24.303100000000001</v>
      </c>
      <c r="AS309" s="227"/>
    </row>
    <row r="310" spans="1:45" x14ac:dyDescent="0.35">
      <c r="A310" s="226">
        <f t="shared" si="22"/>
        <v>46053</v>
      </c>
      <c r="B310" s="227">
        <f>YEAR(Daily_KPI[[#This Row],[Date]])+IF(MONTH(Daily_KPI[[#This Row],[Date]])&gt;=4,1,0)</f>
        <v>2026</v>
      </c>
      <c r="C310" s="6">
        <f>YEAR(Daily_KPI[[#This Row],[Date]])</f>
        <v>2026</v>
      </c>
      <c r="D310" s="228">
        <f>Daily_KPI[[#This Row],[Date]]-DAY(Daily_KPI[[#This Row],[Date]])+1</f>
        <v>46023</v>
      </c>
      <c r="E310" s="6">
        <f t="shared" si="24"/>
        <v>31</v>
      </c>
      <c r="F310" s="229" t="str">
        <f>IFERROR(_xlfn.XLOOKUP($A310,'Raw Data'!$A:$A,'Raw Data'!$BR:$BR),"")</f>
        <v/>
      </c>
      <c r="G310" s="230" t="str">
        <f>IFERROR(_xlfn.XLOOKUP($A310,'Raw Data'!$A:$A,'Raw Data'!$AO:$AO),"")</f>
        <v/>
      </c>
      <c r="H310" s="230"/>
      <c r="I310" s="230" t="str">
        <f>IFERROR(_xlfn.XLOOKUP($A310,'Raw Data'!$A:$A,'Raw Data'!$AR:$AR),"")</f>
        <v/>
      </c>
      <c r="J310" s="230"/>
      <c r="K310" s="230" t="str">
        <f>IFERROR(_xlfn.XLOOKUP($A310,'Raw Data'!$A:$A,'Raw Data'!$AV:$AV),"")</f>
        <v/>
      </c>
      <c r="L310" s="230" t="str">
        <f>IFERROR(_xlfn.XLOOKUP($A310,'Raw Data'!$A:$A,'Raw Data'!$AW:$AW),"")</f>
        <v/>
      </c>
      <c r="M310" s="230" t="str">
        <f>IFERROR(_xlfn.XLOOKUP($A310,'Raw Data'!$A:$A,'Raw Data'!$AX:$AX),"")</f>
        <v/>
      </c>
      <c r="N310" s="230" t="str">
        <f>IFERROR(_xlfn.XLOOKUP($A310,'Raw Data'!$A:$A,'Raw Data'!$AY:$AY),"")</f>
        <v/>
      </c>
      <c r="O310" s="231" t="str">
        <f>IFERROR(1-(SUMIF('Plant BD'!$B:$B,A310,'Plant BD'!$AE:$AE)/(AA310+SUMIF('Plant BD'!$B:$B,A310,'Plant BD'!$AE:$AE))),"")</f>
        <v/>
      </c>
      <c r="P310" s="231"/>
      <c r="Q310" s="232"/>
      <c r="R310" s="231" t="str">
        <f>IFERROR(1-(SUMIF('Grid BD'!$B:$B,$A310,'Grid BD'!$AD:$AD)/($AA310+SUMIF('Grid BD'!$B:$B,$A310,'Grid BD'!AD:AD))),"")</f>
        <v/>
      </c>
      <c r="S310" s="6"/>
      <c r="T310" s="232"/>
      <c r="U310" s="233" t="str">
        <f t="shared" si="21"/>
        <v/>
      </c>
      <c r="V310" s="233"/>
      <c r="W310" s="234" t="str">
        <f t="shared" si="23"/>
        <v/>
      </c>
      <c r="X310" s="227" t="str">
        <f>IFERROR(_xlfn.XLOOKUP($A310,'Raw Data'!$A:$A,'Raw Data'!$BA:$BA),"")</f>
        <v/>
      </c>
      <c r="Y310" s="227" t="str">
        <f>IFERROR(_xlfn.XLOOKUP($A310,'Raw Data'!$A:$A,'Raw Data'!BJ:BJ),"")</f>
        <v/>
      </c>
      <c r="Z310" s="227" t="str">
        <f>IFERROR(_xlfn.XLOOKUP($A310,'Raw Data'!$A:$A,'Raw Data'!BK:BK),"")</f>
        <v/>
      </c>
      <c r="AA310" s="227" t="str">
        <f>IFERROR(_xlfn.XLOOKUP($A310,'Raw Data'!$A:$A,'Raw Data'!BL:BL),"")</f>
        <v/>
      </c>
      <c r="AB310" s="227" t="str">
        <f>IFERROR(_xlfn.XLOOKUP($A310,'Raw Data'!$A:$A,'Raw Data'!$H:$H),"")</f>
        <v/>
      </c>
      <c r="AC310" s="145">
        <f>IFERROR(_xlfn.XLOOKUP($D310,'Modelling New'!$D:$D,'Modelling New'!$P:$P),"")</f>
        <v>6.790322580645161</v>
      </c>
      <c r="AD310" s="227">
        <f>IFERROR(_xlfn.XLOOKUP($D310,'Modelling New'!$D:$D,'Modelling New'!$T:$T)*1000,"")</f>
        <v>114636.64210349345</v>
      </c>
      <c r="AE310" s="234">
        <f>IFERROR(_xlfn.XLOOKUP($D310,'Modelling New'!$D:$D,'Modelling New'!$O:$O),"")</f>
        <v>0.69465853509305142</v>
      </c>
      <c r="AF310" s="234">
        <f>IFERROR(_xlfn.XLOOKUP($D310,'Modelling New'!$D:$D,'Modelling New'!$W:$W),"")</f>
        <v>0.19653981402834317</v>
      </c>
      <c r="AG310" s="234">
        <f>IFERROR(_xlfn.XLOOKUP($D310,'Modelling New'!$D:$D,'Modelling New'!AE:AE),"")</f>
        <v>0.995</v>
      </c>
      <c r="AH310" s="234">
        <v>0.99750000000000005</v>
      </c>
      <c r="AI310" s="6"/>
      <c r="AJ310" s="6"/>
      <c r="AK310" s="6"/>
      <c r="AL310" s="6"/>
      <c r="AM310" s="6"/>
      <c r="AN310" s="231"/>
      <c r="AO310" s="234"/>
      <c r="AP310" s="234"/>
      <c r="AQ310" s="234"/>
      <c r="AR310" s="227">
        <f>IFERROR(_xlfn.XLOOKUP($D310,'Modelling New'!$D:$D,'Modelling New'!$N:$N),"")</f>
        <v>24.303100000000001</v>
      </c>
      <c r="AS310" s="227"/>
    </row>
    <row r="311" spans="1:45" x14ac:dyDescent="0.35">
      <c r="A311" s="226">
        <f t="shared" si="22"/>
        <v>46054</v>
      </c>
      <c r="B311" s="227">
        <f>YEAR(Daily_KPI[[#This Row],[Date]])+IF(MONTH(Daily_KPI[[#This Row],[Date]])&gt;=4,1,0)</f>
        <v>2026</v>
      </c>
      <c r="C311" s="6">
        <f>YEAR(Daily_KPI[[#This Row],[Date]])</f>
        <v>2026</v>
      </c>
      <c r="D311" s="228">
        <f>Daily_KPI[[#This Row],[Date]]-DAY(Daily_KPI[[#This Row],[Date]])+1</f>
        <v>46054</v>
      </c>
      <c r="E311" s="6">
        <f t="shared" si="24"/>
        <v>28</v>
      </c>
      <c r="F311" s="229" t="str">
        <f>IFERROR(_xlfn.XLOOKUP($A311,'Raw Data'!$A:$A,'Raw Data'!$BR:$BR),"")</f>
        <v/>
      </c>
      <c r="G311" s="230" t="str">
        <f>IFERROR(_xlfn.XLOOKUP($A311,'Raw Data'!$A:$A,'Raw Data'!$AO:$AO),"")</f>
        <v/>
      </c>
      <c r="H311" s="230"/>
      <c r="I311" s="230" t="str">
        <f>IFERROR(_xlfn.XLOOKUP($A311,'Raw Data'!$A:$A,'Raw Data'!$AR:$AR),"")</f>
        <v/>
      </c>
      <c r="J311" s="230"/>
      <c r="K311" s="230" t="str">
        <f>IFERROR(_xlfn.XLOOKUP($A311,'Raw Data'!$A:$A,'Raw Data'!$AV:$AV),"")</f>
        <v/>
      </c>
      <c r="L311" s="230" t="str">
        <f>IFERROR(_xlfn.XLOOKUP($A311,'Raw Data'!$A:$A,'Raw Data'!$AW:$AW),"")</f>
        <v/>
      </c>
      <c r="M311" s="230" t="str">
        <f>IFERROR(_xlfn.XLOOKUP($A311,'Raw Data'!$A:$A,'Raw Data'!$AX:$AX),"")</f>
        <v/>
      </c>
      <c r="N311" s="230" t="str">
        <f>IFERROR(_xlfn.XLOOKUP($A311,'Raw Data'!$A:$A,'Raw Data'!$AY:$AY),"")</f>
        <v/>
      </c>
      <c r="O311" s="231" t="str">
        <f>IFERROR(1-(SUMIF('Plant BD'!$B:$B,A311,'Plant BD'!$AE:$AE)/(AA311+SUMIF('Plant BD'!$B:$B,A311,'Plant BD'!$AE:$AE))),"")</f>
        <v/>
      </c>
      <c r="P311" s="231"/>
      <c r="Q311" s="232"/>
      <c r="R311" s="231" t="str">
        <f>IFERROR(1-(SUMIF('Grid BD'!$B:$B,$A311,'Grid BD'!$AD:$AD)/($AA311+SUMIF('Grid BD'!$B:$B,$A311,'Grid BD'!AD:AD))),"")</f>
        <v/>
      </c>
      <c r="S311" s="6"/>
      <c r="T311" s="232"/>
      <c r="U311" s="233" t="str">
        <f t="shared" si="21"/>
        <v/>
      </c>
      <c r="V311" s="233"/>
      <c r="W311" s="234" t="str">
        <f t="shared" si="23"/>
        <v/>
      </c>
      <c r="X311" s="227" t="str">
        <f>IFERROR(_xlfn.XLOOKUP($A311,'Raw Data'!$A:$A,'Raw Data'!$BA:$BA),"")</f>
        <v/>
      </c>
      <c r="Y311" s="227" t="str">
        <f>IFERROR(_xlfn.XLOOKUP($A311,'Raw Data'!$A:$A,'Raw Data'!BJ:BJ),"")</f>
        <v/>
      </c>
      <c r="Z311" s="227" t="str">
        <f>IFERROR(_xlfn.XLOOKUP($A311,'Raw Data'!$A:$A,'Raw Data'!BK:BK),"")</f>
        <v/>
      </c>
      <c r="AA311" s="227" t="str">
        <f>IFERROR(_xlfn.XLOOKUP($A311,'Raw Data'!$A:$A,'Raw Data'!BL:BL),"")</f>
        <v/>
      </c>
      <c r="AB311" s="227" t="str">
        <f>IFERROR(_xlfn.XLOOKUP($A311,'Raw Data'!$A:$A,'Raw Data'!$H:$H),"")</f>
        <v/>
      </c>
      <c r="AC311" s="145">
        <f>IFERROR(_xlfn.XLOOKUP($D311,'Modelling New'!$D:$D,'Modelling New'!$P:$P),"")</f>
        <v>6.8928571428571432</v>
      </c>
      <c r="AD311" s="227">
        <f>IFERROR(_xlfn.XLOOKUP($D311,'Modelling New'!$D:$D,'Modelling New'!$T:$T)*1000,"")</f>
        <v>114630.12204031929</v>
      </c>
      <c r="AE311" s="234">
        <f>IFERROR(_xlfn.XLOOKUP($D311,'Modelling New'!$D:$D,'Modelling New'!$O:$O),"")</f>
        <v>0.68428623396557675</v>
      </c>
      <c r="AF311" s="234">
        <f>IFERROR(_xlfn.XLOOKUP($D311,'Modelling New'!$D:$D,'Modelling New'!$W:$W),"")</f>
        <v>0.19652863564785167</v>
      </c>
      <c r="AG311" s="234">
        <f>IFERROR(_xlfn.XLOOKUP($D311,'Modelling New'!$D:$D,'Modelling New'!AE:AE),"")</f>
        <v>0.995</v>
      </c>
      <c r="AH311" s="234">
        <v>0.99750000000000005</v>
      </c>
      <c r="AI311" s="6"/>
      <c r="AJ311" s="6"/>
      <c r="AK311" s="6"/>
      <c r="AL311" s="6"/>
      <c r="AM311" s="6"/>
      <c r="AN311" s="231"/>
      <c r="AO311" s="234"/>
      <c r="AP311" s="234"/>
      <c r="AQ311" s="234"/>
      <c r="AR311" s="227">
        <f>IFERROR(_xlfn.XLOOKUP($D311,'Modelling New'!$D:$D,'Modelling New'!$N:$N),"")</f>
        <v>24.303100000000001</v>
      </c>
      <c r="AS311" s="227"/>
    </row>
    <row r="312" spans="1:45" x14ac:dyDescent="0.35">
      <c r="A312" s="226">
        <f t="shared" si="22"/>
        <v>46055</v>
      </c>
      <c r="B312" s="227">
        <f>YEAR(Daily_KPI[[#This Row],[Date]])+IF(MONTH(Daily_KPI[[#This Row],[Date]])&gt;=4,1,0)</f>
        <v>2026</v>
      </c>
      <c r="C312" s="6">
        <f>YEAR(Daily_KPI[[#This Row],[Date]])</f>
        <v>2026</v>
      </c>
      <c r="D312" s="228">
        <f>Daily_KPI[[#This Row],[Date]]-DAY(Daily_KPI[[#This Row],[Date]])+1</f>
        <v>46054</v>
      </c>
      <c r="E312" s="6">
        <f t="shared" si="24"/>
        <v>28</v>
      </c>
      <c r="F312" s="229" t="str">
        <f>IFERROR(_xlfn.XLOOKUP($A312,'Raw Data'!$A:$A,'Raw Data'!$BR:$BR),"")</f>
        <v/>
      </c>
      <c r="G312" s="230" t="str">
        <f>IFERROR(_xlfn.XLOOKUP($A312,'Raw Data'!$A:$A,'Raw Data'!$AO:$AO),"")</f>
        <v/>
      </c>
      <c r="H312" s="230"/>
      <c r="I312" s="230" t="str">
        <f>IFERROR(_xlfn.XLOOKUP($A312,'Raw Data'!$A:$A,'Raw Data'!$AR:$AR),"")</f>
        <v/>
      </c>
      <c r="J312" s="230"/>
      <c r="K312" s="230" t="str">
        <f>IFERROR(_xlfn.XLOOKUP($A312,'Raw Data'!$A:$A,'Raw Data'!$AV:$AV),"")</f>
        <v/>
      </c>
      <c r="L312" s="230" t="str">
        <f>IFERROR(_xlfn.XLOOKUP($A312,'Raw Data'!$A:$A,'Raw Data'!$AW:$AW),"")</f>
        <v/>
      </c>
      <c r="M312" s="230" t="str">
        <f>IFERROR(_xlfn.XLOOKUP($A312,'Raw Data'!$A:$A,'Raw Data'!$AX:$AX),"")</f>
        <v/>
      </c>
      <c r="N312" s="230" t="str">
        <f>IFERROR(_xlfn.XLOOKUP($A312,'Raw Data'!$A:$A,'Raw Data'!$AY:$AY),"")</f>
        <v/>
      </c>
      <c r="O312" s="231" t="str">
        <f>IFERROR(1-(SUMIF('Plant BD'!$B:$B,A312,'Plant BD'!$AE:$AE)/(AA312+SUMIF('Plant BD'!$B:$B,A312,'Plant BD'!$AE:$AE))),"")</f>
        <v/>
      </c>
      <c r="P312" s="231"/>
      <c r="Q312" s="232"/>
      <c r="R312" s="231" t="str">
        <f>IFERROR(1-(SUMIF('Grid BD'!$B:$B,$A312,'Grid BD'!$AD:$AD)/($AA312+SUMIF('Grid BD'!$B:$B,$A312,'Grid BD'!AD:AD))),"")</f>
        <v/>
      </c>
      <c r="S312" s="6"/>
      <c r="T312" s="232"/>
      <c r="U312" s="233" t="str">
        <f t="shared" si="21"/>
        <v/>
      </c>
      <c r="V312" s="233"/>
      <c r="W312" s="234" t="str">
        <f t="shared" si="23"/>
        <v/>
      </c>
      <c r="X312" s="227" t="str">
        <f>IFERROR(_xlfn.XLOOKUP($A312,'Raw Data'!$A:$A,'Raw Data'!$BA:$BA),"")</f>
        <v/>
      </c>
      <c r="Y312" s="227" t="str">
        <f>IFERROR(_xlfn.XLOOKUP($A312,'Raw Data'!$A:$A,'Raw Data'!BJ:BJ),"")</f>
        <v/>
      </c>
      <c r="Z312" s="227" t="str">
        <f>IFERROR(_xlfn.XLOOKUP($A312,'Raw Data'!$A:$A,'Raw Data'!BK:BK),"")</f>
        <v/>
      </c>
      <c r="AA312" s="227" t="str">
        <f>IFERROR(_xlfn.XLOOKUP($A312,'Raw Data'!$A:$A,'Raw Data'!BL:BL),"")</f>
        <v/>
      </c>
      <c r="AB312" s="227" t="str">
        <f>IFERROR(_xlfn.XLOOKUP($A312,'Raw Data'!$A:$A,'Raw Data'!$H:$H),"")</f>
        <v/>
      </c>
      <c r="AC312" s="145">
        <f>IFERROR(_xlfn.XLOOKUP($D312,'Modelling New'!$D:$D,'Modelling New'!$P:$P),"")</f>
        <v>6.8928571428571432</v>
      </c>
      <c r="AD312" s="227">
        <f>IFERROR(_xlfn.XLOOKUP($D312,'Modelling New'!$D:$D,'Modelling New'!$T:$T)*1000,"")</f>
        <v>114630.12204031929</v>
      </c>
      <c r="AE312" s="234">
        <f>IFERROR(_xlfn.XLOOKUP($D312,'Modelling New'!$D:$D,'Modelling New'!$O:$O),"")</f>
        <v>0.68428623396557675</v>
      </c>
      <c r="AF312" s="234">
        <f>IFERROR(_xlfn.XLOOKUP($D312,'Modelling New'!$D:$D,'Modelling New'!$W:$W),"")</f>
        <v>0.19652863564785167</v>
      </c>
      <c r="AG312" s="234">
        <f>IFERROR(_xlfn.XLOOKUP($D312,'Modelling New'!$D:$D,'Modelling New'!AE:AE),"")</f>
        <v>0.995</v>
      </c>
      <c r="AH312" s="234">
        <v>0.99750000000000005</v>
      </c>
      <c r="AI312" s="6"/>
      <c r="AJ312" s="6"/>
      <c r="AK312" s="6"/>
      <c r="AL312" s="6"/>
      <c r="AM312" s="6"/>
      <c r="AN312" s="231"/>
      <c r="AO312" s="234"/>
      <c r="AP312" s="234"/>
      <c r="AQ312" s="234"/>
      <c r="AR312" s="227">
        <f>IFERROR(_xlfn.XLOOKUP($D312,'Modelling New'!$D:$D,'Modelling New'!$N:$N),"")</f>
        <v>24.303100000000001</v>
      </c>
      <c r="AS312" s="227"/>
    </row>
    <row r="313" spans="1:45" x14ac:dyDescent="0.35">
      <c r="A313" s="226">
        <f t="shared" si="22"/>
        <v>46056</v>
      </c>
      <c r="B313" s="227">
        <f>YEAR(Daily_KPI[[#This Row],[Date]])+IF(MONTH(Daily_KPI[[#This Row],[Date]])&gt;=4,1,0)</f>
        <v>2026</v>
      </c>
      <c r="C313" s="6">
        <f>YEAR(Daily_KPI[[#This Row],[Date]])</f>
        <v>2026</v>
      </c>
      <c r="D313" s="228">
        <f>Daily_KPI[[#This Row],[Date]]-DAY(Daily_KPI[[#This Row],[Date]])+1</f>
        <v>46054</v>
      </c>
      <c r="E313" s="6">
        <f t="shared" si="24"/>
        <v>28</v>
      </c>
      <c r="F313" s="229" t="str">
        <f>IFERROR(_xlfn.XLOOKUP($A313,'Raw Data'!$A:$A,'Raw Data'!$BR:$BR),"")</f>
        <v/>
      </c>
      <c r="G313" s="230" t="str">
        <f>IFERROR(_xlfn.XLOOKUP($A313,'Raw Data'!$A:$A,'Raw Data'!$AO:$AO),"")</f>
        <v/>
      </c>
      <c r="H313" s="230"/>
      <c r="I313" s="230" t="str">
        <f>IFERROR(_xlfn.XLOOKUP($A313,'Raw Data'!$A:$A,'Raw Data'!$AR:$AR),"")</f>
        <v/>
      </c>
      <c r="J313" s="230"/>
      <c r="K313" s="230" t="str">
        <f>IFERROR(_xlfn.XLOOKUP($A313,'Raw Data'!$A:$A,'Raw Data'!$AV:$AV),"")</f>
        <v/>
      </c>
      <c r="L313" s="230" t="str">
        <f>IFERROR(_xlfn.XLOOKUP($A313,'Raw Data'!$A:$A,'Raw Data'!$AW:$AW),"")</f>
        <v/>
      </c>
      <c r="M313" s="230" t="str">
        <f>IFERROR(_xlfn.XLOOKUP($A313,'Raw Data'!$A:$A,'Raw Data'!$AX:$AX),"")</f>
        <v/>
      </c>
      <c r="N313" s="230" t="str">
        <f>IFERROR(_xlfn.XLOOKUP($A313,'Raw Data'!$A:$A,'Raw Data'!$AY:$AY),"")</f>
        <v/>
      </c>
      <c r="O313" s="231" t="str">
        <f>IFERROR(1-(SUMIF('Plant BD'!$B:$B,A313,'Plant BD'!$AE:$AE)/(AA313+SUMIF('Plant BD'!$B:$B,A313,'Plant BD'!$AE:$AE))),"")</f>
        <v/>
      </c>
      <c r="P313" s="231"/>
      <c r="Q313" s="232"/>
      <c r="R313" s="231" t="str">
        <f>IFERROR(1-(SUMIF('Grid BD'!$B:$B,$A313,'Grid BD'!$AD:$AD)/($AA313+SUMIF('Grid BD'!$B:$B,$A313,'Grid BD'!AD:AD))),"")</f>
        <v/>
      </c>
      <c r="S313" s="6"/>
      <c r="T313" s="232"/>
      <c r="U313" s="233" t="str">
        <f t="shared" si="21"/>
        <v/>
      </c>
      <c r="V313" s="233"/>
      <c r="W313" s="234" t="str">
        <f t="shared" si="23"/>
        <v/>
      </c>
      <c r="X313" s="227" t="str">
        <f>IFERROR(_xlfn.XLOOKUP($A313,'Raw Data'!$A:$A,'Raw Data'!$BA:$BA),"")</f>
        <v/>
      </c>
      <c r="Y313" s="227" t="str">
        <f>IFERROR(_xlfn.XLOOKUP($A313,'Raw Data'!$A:$A,'Raw Data'!BJ:BJ),"")</f>
        <v/>
      </c>
      <c r="Z313" s="227" t="str">
        <f>IFERROR(_xlfn.XLOOKUP($A313,'Raw Data'!$A:$A,'Raw Data'!BK:BK),"")</f>
        <v/>
      </c>
      <c r="AA313" s="227" t="str">
        <f>IFERROR(_xlfn.XLOOKUP($A313,'Raw Data'!$A:$A,'Raw Data'!BL:BL),"")</f>
        <v/>
      </c>
      <c r="AB313" s="227" t="str">
        <f>IFERROR(_xlfn.XLOOKUP($A313,'Raw Data'!$A:$A,'Raw Data'!$H:$H),"")</f>
        <v/>
      </c>
      <c r="AC313" s="145">
        <f>IFERROR(_xlfn.XLOOKUP($D313,'Modelling New'!$D:$D,'Modelling New'!$P:$P),"")</f>
        <v>6.8928571428571432</v>
      </c>
      <c r="AD313" s="227">
        <f>IFERROR(_xlfn.XLOOKUP($D313,'Modelling New'!$D:$D,'Modelling New'!$T:$T)*1000,"")</f>
        <v>114630.12204031929</v>
      </c>
      <c r="AE313" s="234">
        <f>IFERROR(_xlfn.XLOOKUP($D313,'Modelling New'!$D:$D,'Modelling New'!$O:$O),"")</f>
        <v>0.68428623396557675</v>
      </c>
      <c r="AF313" s="234">
        <f>IFERROR(_xlfn.XLOOKUP($D313,'Modelling New'!$D:$D,'Modelling New'!$W:$W),"")</f>
        <v>0.19652863564785167</v>
      </c>
      <c r="AG313" s="234">
        <f>IFERROR(_xlfn.XLOOKUP($D313,'Modelling New'!$D:$D,'Modelling New'!AE:AE),"")</f>
        <v>0.995</v>
      </c>
      <c r="AH313" s="234">
        <v>0.99750000000000005</v>
      </c>
      <c r="AI313" s="6"/>
      <c r="AJ313" s="6"/>
      <c r="AK313" s="6"/>
      <c r="AL313" s="6"/>
      <c r="AM313" s="6"/>
      <c r="AN313" s="231"/>
      <c r="AO313" s="234"/>
      <c r="AP313" s="234"/>
      <c r="AQ313" s="234"/>
      <c r="AR313" s="227">
        <f>IFERROR(_xlfn.XLOOKUP($D313,'Modelling New'!$D:$D,'Modelling New'!$N:$N),"")</f>
        <v>24.303100000000001</v>
      </c>
      <c r="AS313" s="227"/>
    </row>
    <row r="314" spans="1:45" x14ac:dyDescent="0.35">
      <c r="A314" s="226">
        <f t="shared" si="22"/>
        <v>46057</v>
      </c>
      <c r="B314" s="227">
        <f>YEAR(Daily_KPI[[#This Row],[Date]])+IF(MONTH(Daily_KPI[[#This Row],[Date]])&gt;=4,1,0)</f>
        <v>2026</v>
      </c>
      <c r="C314" s="6">
        <f>YEAR(Daily_KPI[[#This Row],[Date]])</f>
        <v>2026</v>
      </c>
      <c r="D314" s="228">
        <f>Daily_KPI[[#This Row],[Date]]-DAY(Daily_KPI[[#This Row],[Date]])+1</f>
        <v>46054</v>
      </c>
      <c r="E314" s="6">
        <f t="shared" si="24"/>
        <v>28</v>
      </c>
      <c r="F314" s="229" t="str">
        <f>IFERROR(_xlfn.XLOOKUP($A314,'Raw Data'!$A:$A,'Raw Data'!$BR:$BR),"")</f>
        <v/>
      </c>
      <c r="G314" s="230" t="str">
        <f>IFERROR(_xlfn.XLOOKUP($A314,'Raw Data'!$A:$A,'Raw Data'!$AO:$AO),"")</f>
        <v/>
      </c>
      <c r="H314" s="230"/>
      <c r="I314" s="230" t="str">
        <f>IFERROR(_xlfn.XLOOKUP($A314,'Raw Data'!$A:$A,'Raw Data'!$AR:$AR),"")</f>
        <v/>
      </c>
      <c r="J314" s="230"/>
      <c r="K314" s="230" t="str">
        <f>IFERROR(_xlfn.XLOOKUP($A314,'Raw Data'!$A:$A,'Raw Data'!$AV:$AV),"")</f>
        <v/>
      </c>
      <c r="L314" s="230" t="str">
        <f>IFERROR(_xlfn.XLOOKUP($A314,'Raw Data'!$A:$A,'Raw Data'!$AW:$AW),"")</f>
        <v/>
      </c>
      <c r="M314" s="230" t="str">
        <f>IFERROR(_xlfn.XLOOKUP($A314,'Raw Data'!$A:$A,'Raw Data'!$AX:$AX),"")</f>
        <v/>
      </c>
      <c r="N314" s="230" t="str">
        <f>IFERROR(_xlfn.XLOOKUP($A314,'Raw Data'!$A:$A,'Raw Data'!$AY:$AY),"")</f>
        <v/>
      </c>
      <c r="O314" s="231" t="str">
        <f>IFERROR(1-(SUMIF('Plant BD'!$B:$B,A314,'Plant BD'!$AE:$AE)/(AA314+SUMIF('Plant BD'!$B:$B,A314,'Plant BD'!$AE:$AE))),"")</f>
        <v/>
      </c>
      <c r="P314" s="231"/>
      <c r="Q314" s="232"/>
      <c r="R314" s="231" t="str">
        <f>IFERROR(1-(SUMIF('Grid BD'!$B:$B,$A314,'Grid BD'!$AD:$AD)/($AA314+SUMIF('Grid BD'!$B:$B,$A314,'Grid BD'!AD:AD))),"")</f>
        <v/>
      </c>
      <c r="S314" s="6"/>
      <c r="T314" s="232"/>
      <c r="U314" s="233" t="str">
        <f t="shared" si="21"/>
        <v/>
      </c>
      <c r="V314" s="233"/>
      <c r="W314" s="234" t="str">
        <f t="shared" si="23"/>
        <v/>
      </c>
      <c r="X314" s="227" t="str">
        <f>IFERROR(_xlfn.XLOOKUP($A314,'Raw Data'!$A:$A,'Raw Data'!$BA:$BA),"")</f>
        <v/>
      </c>
      <c r="Y314" s="227" t="str">
        <f>IFERROR(_xlfn.XLOOKUP($A314,'Raw Data'!$A:$A,'Raw Data'!BJ:BJ),"")</f>
        <v/>
      </c>
      <c r="Z314" s="227" t="str">
        <f>IFERROR(_xlfn.XLOOKUP($A314,'Raw Data'!$A:$A,'Raw Data'!BK:BK),"")</f>
        <v/>
      </c>
      <c r="AA314" s="227" t="str">
        <f>IFERROR(_xlfn.XLOOKUP($A314,'Raw Data'!$A:$A,'Raw Data'!BL:BL),"")</f>
        <v/>
      </c>
      <c r="AB314" s="227" t="str">
        <f>IFERROR(_xlfn.XLOOKUP($A314,'Raw Data'!$A:$A,'Raw Data'!$H:$H),"")</f>
        <v/>
      </c>
      <c r="AC314" s="145">
        <f>IFERROR(_xlfn.XLOOKUP($D314,'Modelling New'!$D:$D,'Modelling New'!$P:$P),"")</f>
        <v>6.8928571428571432</v>
      </c>
      <c r="AD314" s="227">
        <f>IFERROR(_xlfn.XLOOKUP($D314,'Modelling New'!$D:$D,'Modelling New'!$T:$T)*1000,"")</f>
        <v>114630.12204031929</v>
      </c>
      <c r="AE314" s="234">
        <f>IFERROR(_xlfn.XLOOKUP($D314,'Modelling New'!$D:$D,'Modelling New'!$O:$O),"")</f>
        <v>0.68428623396557675</v>
      </c>
      <c r="AF314" s="234">
        <f>IFERROR(_xlfn.XLOOKUP($D314,'Modelling New'!$D:$D,'Modelling New'!$W:$W),"")</f>
        <v>0.19652863564785167</v>
      </c>
      <c r="AG314" s="234">
        <f>IFERROR(_xlfn.XLOOKUP($D314,'Modelling New'!$D:$D,'Modelling New'!AE:AE),"")</f>
        <v>0.995</v>
      </c>
      <c r="AH314" s="234">
        <v>0.99750000000000005</v>
      </c>
      <c r="AI314" s="6"/>
      <c r="AJ314" s="6"/>
      <c r="AK314" s="6"/>
      <c r="AL314" s="6"/>
      <c r="AM314" s="6"/>
      <c r="AN314" s="231"/>
      <c r="AO314" s="234"/>
      <c r="AP314" s="234"/>
      <c r="AQ314" s="234"/>
      <c r="AR314" s="227">
        <f>IFERROR(_xlfn.XLOOKUP($D314,'Modelling New'!$D:$D,'Modelling New'!$N:$N),"")</f>
        <v>24.303100000000001</v>
      </c>
      <c r="AS314" s="227"/>
    </row>
    <row r="315" spans="1:45" x14ac:dyDescent="0.35">
      <c r="A315" s="226">
        <f t="shared" si="22"/>
        <v>46058</v>
      </c>
      <c r="B315" s="227">
        <f>YEAR(Daily_KPI[[#This Row],[Date]])+IF(MONTH(Daily_KPI[[#This Row],[Date]])&gt;=4,1,0)</f>
        <v>2026</v>
      </c>
      <c r="C315" s="6">
        <f>YEAR(Daily_KPI[[#This Row],[Date]])</f>
        <v>2026</v>
      </c>
      <c r="D315" s="228">
        <f>Daily_KPI[[#This Row],[Date]]-DAY(Daily_KPI[[#This Row],[Date]])+1</f>
        <v>46054</v>
      </c>
      <c r="E315" s="6">
        <f t="shared" si="24"/>
        <v>28</v>
      </c>
      <c r="F315" s="229" t="str">
        <f>IFERROR(_xlfn.XLOOKUP($A315,'Raw Data'!$A:$A,'Raw Data'!$BR:$BR),"")</f>
        <v/>
      </c>
      <c r="G315" s="230" t="str">
        <f>IFERROR(_xlfn.XLOOKUP($A315,'Raw Data'!$A:$A,'Raw Data'!$AO:$AO),"")</f>
        <v/>
      </c>
      <c r="H315" s="230"/>
      <c r="I315" s="230" t="str">
        <f>IFERROR(_xlfn.XLOOKUP($A315,'Raw Data'!$A:$A,'Raw Data'!$AR:$AR),"")</f>
        <v/>
      </c>
      <c r="J315" s="230"/>
      <c r="K315" s="230" t="str">
        <f>IFERROR(_xlfn.XLOOKUP($A315,'Raw Data'!$A:$A,'Raw Data'!$AV:$AV),"")</f>
        <v/>
      </c>
      <c r="L315" s="230" t="str">
        <f>IFERROR(_xlfn.XLOOKUP($A315,'Raw Data'!$A:$A,'Raw Data'!$AW:$AW),"")</f>
        <v/>
      </c>
      <c r="M315" s="230" t="str">
        <f>IFERROR(_xlfn.XLOOKUP($A315,'Raw Data'!$A:$A,'Raw Data'!$AX:$AX),"")</f>
        <v/>
      </c>
      <c r="N315" s="230" t="str">
        <f>IFERROR(_xlfn.XLOOKUP($A315,'Raw Data'!$A:$A,'Raw Data'!$AY:$AY),"")</f>
        <v/>
      </c>
      <c r="O315" s="231" t="str">
        <f>IFERROR(1-(SUMIF('Plant BD'!$B:$B,A315,'Plant BD'!$AE:$AE)/(AA315+SUMIF('Plant BD'!$B:$B,A315,'Plant BD'!$AE:$AE))),"")</f>
        <v/>
      </c>
      <c r="P315" s="231"/>
      <c r="Q315" s="232"/>
      <c r="R315" s="231" t="str">
        <f>IFERROR(1-(SUMIF('Grid BD'!$B:$B,$A315,'Grid BD'!$AD:$AD)/($AA315+SUMIF('Grid BD'!$B:$B,$A315,'Grid BD'!AD:AD))),"")</f>
        <v/>
      </c>
      <c r="S315" s="6"/>
      <c r="T315" s="232"/>
      <c r="U315" s="233" t="str">
        <f t="shared" si="21"/>
        <v/>
      </c>
      <c r="V315" s="233"/>
      <c r="W315" s="234" t="str">
        <f t="shared" si="23"/>
        <v/>
      </c>
      <c r="X315" s="227" t="str">
        <f>IFERROR(_xlfn.XLOOKUP($A315,'Raw Data'!$A:$A,'Raw Data'!$BA:$BA),"")</f>
        <v/>
      </c>
      <c r="Y315" s="227" t="str">
        <f>IFERROR(_xlfn.XLOOKUP($A315,'Raw Data'!$A:$A,'Raw Data'!BJ:BJ),"")</f>
        <v/>
      </c>
      <c r="Z315" s="227" t="str">
        <f>IFERROR(_xlfn.XLOOKUP($A315,'Raw Data'!$A:$A,'Raw Data'!BK:BK),"")</f>
        <v/>
      </c>
      <c r="AA315" s="227" t="str">
        <f>IFERROR(_xlfn.XLOOKUP($A315,'Raw Data'!$A:$A,'Raw Data'!BL:BL),"")</f>
        <v/>
      </c>
      <c r="AB315" s="227" t="str">
        <f>IFERROR(_xlfn.XLOOKUP($A315,'Raw Data'!$A:$A,'Raw Data'!$H:$H),"")</f>
        <v/>
      </c>
      <c r="AC315" s="145">
        <f>IFERROR(_xlfn.XLOOKUP($D315,'Modelling New'!$D:$D,'Modelling New'!$P:$P),"")</f>
        <v>6.8928571428571432</v>
      </c>
      <c r="AD315" s="227">
        <f>IFERROR(_xlfn.XLOOKUP($D315,'Modelling New'!$D:$D,'Modelling New'!$T:$T)*1000,"")</f>
        <v>114630.12204031929</v>
      </c>
      <c r="AE315" s="234">
        <f>IFERROR(_xlfn.XLOOKUP($D315,'Modelling New'!$D:$D,'Modelling New'!$O:$O),"")</f>
        <v>0.68428623396557675</v>
      </c>
      <c r="AF315" s="234">
        <f>IFERROR(_xlfn.XLOOKUP($D315,'Modelling New'!$D:$D,'Modelling New'!$W:$W),"")</f>
        <v>0.19652863564785167</v>
      </c>
      <c r="AG315" s="234">
        <f>IFERROR(_xlfn.XLOOKUP($D315,'Modelling New'!$D:$D,'Modelling New'!AE:AE),"")</f>
        <v>0.995</v>
      </c>
      <c r="AH315" s="234">
        <v>0.99750000000000005</v>
      </c>
      <c r="AI315" s="6"/>
      <c r="AJ315" s="6"/>
      <c r="AK315" s="6"/>
      <c r="AL315" s="6"/>
      <c r="AM315" s="6"/>
      <c r="AN315" s="231"/>
      <c r="AO315" s="234"/>
      <c r="AP315" s="234"/>
      <c r="AQ315" s="234"/>
      <c r="AR315" s="227">
        <f>IFERROR(_xlfn.XLOOKUP($D315,'Modelling New'!$D:$D,'Modelling New'!$N:$N),"")</f>
        <v>24.303100000000001</v>
      </c>
      <c r="AS315" s="227"/>
    </row>
    <row r="316" spans="1:45" x14ac:dyDescent="0.35">
      <c r="A316" s="226">
        <f t="shared" si="22"/>
        <v>46059</v>
      </c>
      <c r="B316" s="227">
        <f>YEAR(Daily_KPI[[#This Row],[Date]])+IF(MONTH(Daily_KPI[[#This Row],[Date]])&gt;=4,1,0)</f>
        <v>2026</v>
      </c>
      <c r="C316" s="6">
        <f>YEAR(Daily_KPI[[#This Row],[Date]])</f>
        <v>2026</v>
      </c>
      <c r="D316" s="228">
        <f>Daily_KPI[[#This Row],[Date]]-DAY(Daily_KPI[[#This Row],[Date]])+1</f>
        <v>46054</v>
      </c>
      <c r="E316" s="6">
        <f t="shared" si="24"/>
        <v>28</v>
      </c>
      <c r="F316" s="229" t="str">
        <f>IFERROR(_xlfn.XLOOKUP($A316,'Raw Data'!$A:$A,'Raw Data'!$BR:$BR),"")</f>
        <v/>
      </c>
      <c r="G316" s="230" t="str">
        <f>IFERROR(_xlfn.XLOOKUP($A316,'Raw Data'!$A:$A,'Raw Data'!$AO:$AO),"")</f>
        <v/>
      </c>
      <c r="H316" s="230"/>
      <c r="I316" s="230" t="str">
        <f>IFERROR(_xlfn.XLOOKUP($A316,'Raw Data'!$A:$A,'Raw Data'!$AR:$AR),"")</f>
        <v/>
      </c>
      <c r="J316" s="230"/>
      <c r="K316" s="230" t="str">
        <f>IFERROR(_xlfn.XLOOKUP($A316,'Raw Data'!$A:$A,'Raw Data'!$AV:$AV),"")</f>
        <v/>
      </c>
      <c r="L316" s="230" t="str">
        <f>IFERROR(_xlfn.XLOOKUP($A316,'Raw Data'!$A:$A,'Raw Data'!$AW:$AW),"")</f>
        <v/>
      </c>
      <c r="M316" s="230" t="str">
        <f>IFERROR(_xlfn.XLOOKUP($A316,'Raw Data'!$A:$A,'Raw Data'!$AX:$AX),"")</f>
        <v/>
      </c>
      <c r="N316" s="230" t="str">
        <f>IFERROR(_xlfn.XLOOKUP($A316,'Raw Data'!$A:$A,'Raw Data'!$AY:$AY),"")</f>
        <v/>
      </c>
      <c r="O316" s="231" t="str">
        <f>IFERROR(1-(SUMIF('Plant BD'!$B:$B,A316,'Plant BD'!$AE:$AE)/(AA316+SUMIF('Plant BD'!$B:$B,A316,'Plant BD'!$AE:$AE))),"")</f>
        <v/>
      </c>
      <c r="P316" s="231"/>
      <c r="Q316" s="232"/>
      <c r="R316" s="231" t="str">
        <f>IFERROR(1-(SUMIF('Grid BD'!$B:$B,$A316,'Grid BD'!$AD:$AD)/($AA316+SUMIF('Grid BD'!$B:$B,$A316,'Grid BD'!AD:AD))),"")</f>
        <v/>
      </c>
      <c r="S316" s="6"/>
      <c r="T316" s="232"/>
      <c r="U316" s="233" t="str">
        <f t="shared" si="21"/>
        <v/>
      </c>
      <c r="V316" s="233"/>
      <c r="W316" s="234" t="str">
        <f t="shared" si="23"/>
        <v/>
      </c>
      <c r="X316" s="227" t="str">
        <f>IFERROR(_xlfn.XLOOKUP($A316,'Raw Data'!$A:$A,'Raw Data'!$BA:$BA),"")</f>
        <v/>
      </c>
      <c r="Y316" s="227" t="str">
        <f>IFERROR(_xlfn.XLOOKUP($A316,'Raw Data'!$A:$A,'Raw Data'!BJ:BJ),"")</f>
        <v/>
      </c>
      <c r="Z316" s="227" t="str">
        <f>IFERROR(_xlfn.XLOOKUP($A316,'Raw Data'!$A:$A,'Raw Data'!BK:BK),"")</f>
        <v/>
      </c>
      <c r="AA316" s="227" t="str">
        <f>IFERROR(_xlfn.XLOOKUP($A316,'Raw Data'!$A:$A,'Raw Data'!BL:BL),"")</f>
        <v/>
      </c>
      <c r="AB316" s="227" t="str">
        <f>IFERROR(_xlfn.XLOOKUP($A316,'Raw Data'!$A:$A,'Raw Data'!$H:$H),"")</f>
        <v/>
      </c>
      <c r="AC316" s="145">
        <f>IFERROR(_xlfn.XLOOKUP($D316,'Modelling New'!$D:$D,'Modelling New'!$P:$P),"")</f>
        <v>6.8928571428571432</v>
      </c>
      <c r="AD316" s="227">
        <f>IFERROR(_xlfn.XLOOKUP($D316,'Modelling New'!$D:$D,'Modelling New'!$T:$T)*1000,"")</f>
        <v>114630.12204031929</v>
      </c>
      <c r="AE316" s="234">
        <f>IFERROR(_xlfn.XLOOKUP($D316,'Modelling New'!$D:$D,'Modelling New'!$O:$O),"")</f>
        <v>0.68428623396557675</v>
      </c>
      <c r="AF316" s="234">
        <f>IFERROR(_xlfn.XLOOKUP($D316,'Modelling New'!$D:$D,'Modelling New'!$W:$W),"")</f>
        <v>0.19652863564785167</v>
      </c>
      <c r="AG316" s="234">
        <f>IFERROR(_xlfn.XLOOKUP($D316,'Modelling New'!$D:$D,'Modelling New'!AE:AE),"")</f>
        <v>0.995</v>
      </c>
      <c r="AH316" s="234">
        <v>0.99750000000000005</v>
      </c>
      <c r="AI316" s="6"/>
      <c r="AJ316" s="6"/>
      <c r="AK316" s="6"/>
      <c r="AL316" s="6"/>
      <c r="AM316" s="6"/>
      <c r="AN316" s="231"/>
      <c r="AO316" s="234"/>
      <c r="AP316" s="234"/>
      <c r="AQ316" s="234"/>
      <c r="AR316" s="227">
        <f>IFERROR(_xlfn.XLOOKUP($D316,'Modelling New'!$D:$D,'Modelling New'!$N:$N),"")</f>
        <v>24.303100000000001</v>
      </c>
      <c r="AS316" s="227"/>
    </row>
    <row r="317" spans="1:45" x14ac:dyDescent="0.35">
      <c r="A317" s="226">
        <f t="shared" si="22"/>
        <v>46060</v>
      </c>
      <c r="B317" s="227">
        <f>YEAR(Daily_KPI[[#This Row],[Date]])+IF(MONTH(Daily_KPI[[#This Row],[Date]])&gt;=4,1,0)</f>
        <v>2026</v>
      </c>
      <c r="C317" s="6">
        <f>YEAR(Daily_KPI[[#This Row],[Date]])</f>
        <v>2026</v>
      </c>
      <c r="D317" s="228">
        <f>Daily_KPI[[#This Row],[Date]]-DAY(Daily_KPI[[#This Row],[Date]])+1</f>
        <v>46054</v>
      </c>
      <c r="E317" s="6">
        <f t="shared" si="24"/>
        <v>28</v>
      </c>
      <c r="F317" s="229" t="str">
        <f>IFERROR(_xlfn.XLOOKUP($A317,'Raw Data'!$A:$A,'Raw Data'!$BR:$BR),"")</f>
        <v/>
      </c>
      <c r="G317" s="230" t="str">
        <f>IFERROR(_xlfn.XLOOKUP($A317,'Raw Data'!$A:$A,'Raw Data'!$AO:$AO),"")</f>
        <v/>
      </c>
      <c r="H317" s="230"/>
      <c r="I317" s="230" t="str">
        <f>IFERROR(_xlfn.XLOOKUP($A317,'Raw Data'!$A:$A,'Raw Data'!$AR:$AR),"")</f>
        <v/>
      </c>
      <c r="J317" s="230"/>
      <c r="K317" s="230" t="str">
        <f>IFERROR(_xlfn.XLOOKUP($A317,'Raw Data'!$A:$A,'Raw Data'!$AV:$AV),"")</f>
        <v/>
      </c>
      <c r="L317" s="230" t="str">
        <f>IFERROR(_xlfn.XLOOKUP($A317,'Raw Data'!$A:$A,'Raw Data'!$AW:$AW),"")</f>
        <v/>
      </c>
      <c r="M317" s="230" t="str">
        <f>IFERROR(_xlfn.XLOOKUP($A317,'Raw Data'!$A:$A,'Raw Data'!$AX:$AX),"")</f>
        <v/>
      </c>
      <c r="N317" s="230" t="str">
        <f>IFERROR(_xlfn.XLOOKUP($A317,'Raw Data'!$A:$A,'Raw Data'!$AY:$AY),"")</f>
        <v/>
      </c>
      <c r="O317" s="231" t="str">
        <f>IFERROR(1-(SUMIF('Plant BD'!$B:$B,A317,'Plant BD'!$AE:$AE)/(AA317+SUMIF('Plant BD'!$B:$B,A317,'Plant BD'!$AE:$AE))),"")</f>
        <v/>
      </c>
      <c r="P317" s="231"/>
      <c r="Q317" s="232"/>
      <c r="R317" s="231" t="str">
        <f>IFERROR(1-(SUMIF('Grid BD'!$B:$B,$A317,'Grid BD'!$AD:$AD)/($AA317+SUMIF('Grid BD'!$B:$B,$A317,'Grid BD'!AD:AD))),"")</f>
        <v/>
      </c>
      <c r="S317" s="6"/>
      <c r="T317" s="232"/>
      <c r="U317" s="233" t="str">
        <f t="shared" si="21"/>
        <v/>
      </c>
      <c r="V317" s="233"/>
      <c r="W317" s="234" t="str">
        <f t="shared" si="23"/>
        <v/>
      </c>
      <c r="X317" s="227" t="str">
        <f>IFERROR(_xlfn.XLOOKUP($A317,'Raw Data'!$A:$A,'Raw Data'!$BA:$BA),"")</f>
        <v/>
      </c>
      <c r="Y317" s="227" t="str">
        <f>IFERROR(_xlfn.XLOOKUP($A317,'Raw Data'!$A:$A,'Raw Data'!BJ:BJ),"")</f>
        <v/>
      </c>
      <c r="Z317" s="227" t="str">
        <f>IFERROR(_xlfn.XLOOKUP($A317,'Raw Data'!$A:$A,'Raw Data'!BK:BK),"")</f>
        <v/>
      </c>
      <c r="AA317" s="227" t="str">
        <f>IFERROR(_xlfn.XLOOKUP($A317,'Raw Data'!$A:$A,'Raw Data'!BL:BL),"")</f>
        <v/>
      </c>
      <c r="AB317" s="227" t="str">
        <f>IFERROR(_xlfn.XLOOKUP($A317,'Raw Data'!$A:$A,'Raw Data'!$H:$H),"")</f>
        <v/>
      </c>
      <c r="AC317" s="145">
        <f>IFERROR(_xlfn.XLOOKUP($D317,'Modelling New'!$D:$D,'Modelling New'!$P:$P),"")</f>
        <v>6.8928571428571432</v>
      </c>
      <c r="AD317" s="227">
        <f>IFERROR(_xlfn.XLOOKUP($D317,'Modelling New'!$D:$D,'Modelling New'!$T:$T)*1000,"")</f>
        <v>114630.12204031929</v>
      </c>
      <c r="AE317" s="234">
        <f>IFERROR(_xlfn.XLOOKUP($D317,'Modelling New'!$D:$D,'Modelling New'!$O:$O),"")</f>
        <v>0.68428623396557675</v>
      </c>
      <c r="AF317" s="234">
        <f>IFERROR(_xlfn.XLOOKUP($D317,'Modelling New'!$D:$D,'Modelling New'!$W:$W),"")</f>
        <v>0.19652863564785167</v>
      </c>
      <c r="AG317" s="234">
        <f>IFERROR(_xlfn.XLOOKUP($D317,'Modelling New'!$D:$D,'Modelling New'!AE:AE),"")</f>
        <v>0.995</v>
      </c>
      <c r="AH317" s="234">
        <v>0.99750000000000005</v>
      </c>
      <c r="AI317" s="6"/>
      <c r="AJ317" s="6"/>
      <c r="AK317" s="6"/>
      <c r="AL317" s="6"/>
      <c r="AM317" s="6"/>
      <c r="AN317" s="231"/>
      <c r="AO317" s="234"/>
      <c r="AP317" s="234"/>
      <c r="AQ317" s="234"/>
      <c r="AR317" s="227">
        <f>IFERROR(_xlfn.XLOOKUP($D317,'Modelling New'!$D:$D,'Modelling New'!$N:$N),"")</f>
        <v>24.303100000000001</v>
      </c>
      <c r="AS317" s="227"/>
    </row>
    <row r="318" spans="1:45" x14ac:dyDescent="0.35">
      <c r="A318" s="226">
        <f t="shared" si="22"/>
        <v>46061</v>
      </c>
      <c r="B318" s="227">
        <f>YEAR(Daily_KPI[[#This Row],[Date]])+IF(MONTH(Daily_KPI[[#This Row],[Date]])&gt;=4,1,0)</f>
        <v>2026</v>
      </c>
      <c r="C318" s="6">
        <f>YEAR(Daily_KPI[[#This Row],[Date]])</f>
        <v>2026</v>
      </c>
      <c r="D318" s="228">
        <f>Daily_KPI[[#This Row],[Date]]-DAY(Daily_KPI[[#This Row],[Date]])+1</f>
        <v>46054</v>
      </c>
      <c r="E318" s="6">
        <f t="shared" si="24"/>
        <v>28</v>
      </c>
      <c r="F318" s="229" t="str">
        <f>IFERROR(_xlfn.XLOOKUP($A318,'Raw Data'!$A:$A,'Raw Data'!$BR:$BR),"")</f>
        <v/>
      </c>
      <c r="G318" s="230" t="str">
        <f>IFERROR(_xlfn.XLOOKUP($A318,'Raw Data'!$A:$A,'Raw Data'!$AO:$AO),"")</f>
        <v/>
      </c>
      <c r="H318" s="230"/>
      <c r="I318" s="230" t="str">
        <f>IFERROR(_xlfn.XLOOKUP($A318,'Raw Data'!$A:$A,'Raw Data'!$AR:$AR),"")</f>
        <v/>
      </c>
      <c r="J318" s="230"/>
      <c r="K318" s="230" t="str">
        <f>IFERROR(_xlfn.XLOOKUP($A318,'Raw Data'!$A:$A,'Raw Data'!$AV:$AV),"")</f>
        <v/>
      </c>
      <c r="L318" s="230" t="str">
        <f>IFERROR(_xlfn.XLOOKUP($A318,'Raw Data'!$A:$A,'Raw Data'!$AW:$AW),"")</f>
        <v/>
      </c>
      <c r="M318" s="230" t="str">
        <f>IFERROR(_xlfn.XLOOKUP($A318,'Raw Data'!$A:$A,'Raw Data'!$AX:$AX),"")</f>
        <v/>
      </c>
      <c r="N318" s="230" t="str">
        <f>IFERROR(_xlfn.XLOOKUP($A318,'Raw Data'!$A:$A,'Raw Data'!$AY:$AY),"")</f>
        <v/>
      </c>
      <c r="O318" s="231" t="str">
        <f>IFERROR(1-(SUMIF('Plant BD'!$B:$B,A318,'Plant BD'!$AE:$AE)/(AA318+SUMIF('Plant BD'!$B:$B,A318,'Plant BD'!$AE:$AE))),"")</f>
        <v/>
      </c>
      <c r="P318" s="231"/>
      <c r="Q318" s="232"/>
      <c r="R318" s="231" t="str">
        <f>IFERROR(1-(SUMIF('Grid BD'!$B:$B,$A318,'Grid BD'!$AD:$AD)/($AA318+SUMIF('Grid BD'!$B:$B,$A318,'Grid BD'!AD:AD))),"")</f>
        <v/>
      </c>
      <c r="S318" s="6"/>
      <c r="T318" s="232"/>
      <c r="U318" s="233" t="str">
        <f t="shared" si="21"/>
        <v/>
      </c>
      <c r="V318" s="233"/>
      <c r="W318" s="234" t="str">
        <f t="shared" si="23"/>
        <v/>
      </c>
      <c r="X318" s="227" t="str">
        <f>IFERROR(_xlfn.XLOOKUP($A318,'Raw Data'!$A:$A,'Raw Data'!$BA:$BA),"")</f>
        <v/>
      </c>
      <c r="Y318" s="227" t="str">
        <f>IFERROR(_xlfn.XLOOKUP($A318,'Raw Data'!$A:$A,'Raw Data'!BJ:BJ),"")</f>
        <v/>
      </c>
      <c r="Z318" s="227" t="str">
        <f>IFERROR(_xlfn.XLOOKUP($A318,'Raw Data'!$A:$A,'Raw Data'!BK:BK),"")</f>
        <v/>
      </c>
      <c r="AA318" s="227" t="str">
        <f>IFERROR(_xlfn.XLOOKUP($A318,'Raw Data'!$A:$A,'Raw Data'!BL:BL),"")</f>
        <v/>
      </c>
      <c r="AB318" s="227" t="str">
        <f>IFERROR(_xlfn.XLOOKUP($A318,'Raw Data'!$A:$A,'Raw Data'!$H:$H),"")</f>
        <v/>
      </c>
      <c r="AC318" s="145">
        <f>IFERROR(_xlfn.XLOOKUP($D318,'Modelling New'!$D:$D,'Modelling New'!$P:$P),"")</f>
        <v>6.8928571428571432</v>
      </c>
      <c r="AD318" s="227">
        <f>IFERROR(_xlfn.XLOOKUP($D318,'Modelling New'!$D:$D,'Modelling New'!$T:$T)*1000,"")</f>
        <v>114630.12204031929</v>
      </c>
      <c r="AE318" s="234">
        <f>IFERROR(_xlfn.XLOOKUP($D318,'Modelling New'!$D:$D,'Modelling New'!$O:$O),"")</f>
        <v>0.68428623396557675</v>
      </c>
      <c r="AF318" s="234">
        <f>IFERROR(_xlfn.XLOOKUP($D318,'Modelling New'!$D:$D,'Modelling New'!$W:$W),"")</f>
        <v>0.19652863564785167</v>
      </c>
      <c r="AG318" s="234">
        <f>IFERROR(_xlfn.XLOOKUP($D318,'Modelling New'!$D:$D,'Modelling New'!AE:AE),"")</f>
        <v>0.995</v>
      </c>
      <c r="AH318" s="234">
        <v>0.99750000000000005</v>
      </c>
      <c r="AI318" s="6"/>
      <c r="AJ318" s="6"/>
      <c r="AK318" s="6"/>
      <c r="AL318" s="6"/>
      <c r="AM318" s="6"/>
      <c r="AN318" s="231"/>
      <c r="AO318" s="234"/>
      <c r="AP318" s="234"/>
      <c r="AQ318" s="234"/>
      <c r="AR318" s="227">
        <f>IFERROR(_xlfn.XLOOKUP($D318,'Modelling New'!$D:$D,'Modelling New'!$N:$N),"")</f>
        <v>24.303100000000001</v>
      </c>
      <c r="AS318" s="227"/>
    </row>
    <row r="319" spans="1:45" x14ac:dyDescent="0.35">
      <c r="A319" s="226">
        <f t="shared" si="22"/>
        <v>46062</v>
      </c>
      <c r="B319" s="227">
        <f>YEAR(Daily_KPI[[#This Row],[Date]])+IF(MONTH(Daily_KPI[[#This Row],[Date]])&gt;=4,1,0)</f>
        <v>2026</v>
      </c>
      <c r="C319" s="6">
        <f>YEAR(Daily_KPI[[#This Row],[Date]])</f>
        <v>2026</v>
      </c>
      <c r="D319" s="228">
        <f>Daily_KPI[[#This Row],[Date]]-DAY(Daily_KPI[[#This Row],[Date]])+1</f>
        <v>46054</v>
      </c>
      <c r="E319" s="6">
        <f t="shared" si="24"/>
        <v>28</v>
      </c>
      <c r="F319" s="229" t="str">
        <f>IFERROR(_xlfn.XLOOKUP($A319,'Raw Data'!$A:$A,'Raw Data'!$BR:$BR),"")</f>
        <v/>
      </c>
      <c r="G319" s="230" t="str">
        <f>IFERROR(_xlfn.XLOOKUP($A319,'Raw Data'!$A:$A,'Raw Data'!$AO:$AO),"")</f>
        <v/>
      </c>
      <c r="H319" s="230"/>
      <c r="I319" s="230" t="str">
        <f>IFERROR(_xlfn.XLOOKUP($A319,'Raw Data'!$A:$A,'Raw Data'!$AR:$AR),"")</f>
        <v/>
      </c>
      <c r="J319" s="230"/>
      <c r="K319" s="230" t="str">
        <f>IFERROR(_xlfn.XLOOKUP($A319,'Raw Data'!$A:$A,'Raw Data'!$AV:$AV),"")</f>
        <v/>
      </c>
      <c r="L319" s="230" t="str">
        <f>IFERROR(_xlfn.XLOOKUP($A319,'Raw Data'!$A:$A,'Raw Data'!$AW:$AW),"")</f>
        <v/>
      </c>
      <c r="M319" s="230" t="str">
        <f>IFERROR(_xlfn.XLOOKUP($A319,'Raw Data'!$A:$A,'Raw Data'!$AX:$AX),"")</f>
        <v/>
      </c>
      <c r="N319" s="230" t="str">
        <f>IFERROR(_xlfn.XLOOKUP($A319,'Raw Data'!$A:$A,'Raw Data'!$AY:$AY),"")</f>
        <v/>
      </c>
      <c r="O319" s="231" t="str">
        <f>IFERROR(1-(SUMIF('Plant BD'!$B:$B,A319,'Plant BD'!$AE:$AE)/(AA319+SUMIF('Plant BD'!$B:$B,A319,'Plant BD'!$AE:$AE))),"")</f>
        <v/>
      </c>
      <c r="P319" s="231"/>
      <c r="Q319" s="232"/>
      <c r="R319" s="231" t="str">
        <f>IFERROR(1-(SUMIF('Grid BD'!$B:$B,$A319,'Grid BD'!$AD:$AD)/($AA319+SUMIF('Grid BD'!$B:$B,$A319,'Grid BD'!AD:AD))),"")</f>
        <v/>
      </c>
      <c r="S319" s="6"/>
      <c r="T319" s="232"/>
      <c r="U319" s="233" t="str">
        <f t="shared" si="21"/>
        <v/>
      </c>
      <c r="V319" s="233"/>
      <c r="W319" s="234" t="str">
        <f t="shared" si="23"/>
        <v/>
      </c>
      <c r="X319" s="227" t="str">
        <f>IFERROR(_xlfn.XLOOKUP($A319,'Raw Data'!$A:$A,'Raw Data'!$BA:$BA),"")</f>
        <v/>
      </c>
      <c r="Y319" s="227" t="str">
        <f>IFERROR(_xlfn.XLOOKUP($A319,'Raw Data'!$A:$A,'Raw Data'!BJ:BJ),"")</f>
        <v/>
      </c>
      <c r="Z319" s="227" t="str">
        <f>IFERROR(_xlfn.XLOOKUP($A319,'Raw Data'!$A:$A,'Raw Data'!BK:BK),"")</f>
        <v/>
      </c>
      <c r="AA319" s="227" t="str">
        <f>IFERROR(_xlfn.XLOOKUP($A319,'Raw Data'!$A:$A,'Raw Data'!BL:BL),"")</f>
        <v/>
      </c>
      <c r="AB319" s="227" t="str">
        <f>IFERROR(_xlfn.XLOOKUP($A319,'Raw Data'!$A:$A,'Raw Data'!$H:$H),"")</f>
        <v/>
      </c>
      <c r="AC319" s="145">
        <f>IFERROR(_xlfn.XLOOKUP($D319,'Modelling New'!$D:$D,'Modelling New'!$P:$P),"")</f>
        <v>6.8928571428571432</v>
      </c>
      <c r="AD319" s="227">
        <f>IFERROR(_xlfn.XLOOKUP($D319,'Modelling New'!$D:$D,'Modelling New'!$T:$T)*1000,"")</f>
        <v>114630.12204031929</v>
      </c>
      <c r="AE319" s="234">
        <f>IFERROR(_xlfn.XLOOKUP($D319,'Modelling New'!$D:$D,'Modelling New'!$O:$O),"")</f>
        <v>0.68428623396557675</v>
      </c>
      <c r="AF319" s="234">
        <f>IFERROR(_xlfn.XLOOKUP($D319,'Modelling New'!$D:$D,'Modelling New'!$W:$W),"")</f>
        <v>0.19652863564785167</v>
      </c>
      <c r="AG319" s="234">
        <f>IFERROR(_xlfn.XLOOKUP($D319,'Modelling New'!$D:$D,'Modelling New'!AE:AE),"")</f>
        <v>0.995</v>
      </c>
      <c r="AH319" s="234">
        <v>0.99750000000000005</v>
      </c>
      <c r="AI319" s="6"/>
      <c r="AJ319" s="6"/>
      <c r="AK319" s="6"/>
      <c r="AL319" s="6"/>
      <c r="AM319" s="6"/>
      <c r="AN319" s="231"/>
      <c r="AO319" s="234"/>
      <c r="AP319" s="234"/>
      <c r="AQ319" s="234"/>
      <c r="AR319" s="227">
        <f>IFERROR(_xlfn.XLOOKUP($D319,'Modelling New'!$D:$D,'Modelling New'!$N:$N),"")</f>
        <v>24.303100000000001</v>
      </c>
      <c r="AS319" s="227"/>
    </row>
    <row r="320" spans="1:45" x14ac:dyDescent="0.35">
      <c r="A320" s="226">
        <f t="shared" si="22"/>
        <v>46063</v>
      </c>
      <c r="B320" s="227">
        <f>YEAR(Daily_KPI[[#This Row],[Date]])+IF(MONTH(Daily_KPI[[#This Row],[Date]])&gt;=4,1,0)</f>
        <v>2026</v>
      </c>
      <c r="C320" s="6">
        <f>YEAR(Daily_KPI[[#This Row],[Date]])</f>
        <v>2026</v>
      </c>
      <c r="D320" s="228">
        <f>Daily_KPI[[#This Row],[Date]]-DAY(Daily_KPI[[#This Row],[Date]])+1</f>
        <v>46054</v>
      </c>
      <c r="E320" s="6">
        <f t="shared" si="24"/>
        <v>28</v>
      </c>
      <c r="F320" s="229" t="str">
        <f>IFERROR(_xlfn.XLOOKUP($A320,'Raw Data'!$A:$A,'Raw Data'!$BR:$BR),"")</f>
        <v/>
      </c>
      <c r="G320" s="230" t="str">
        <f>IFERROR(_xlfn.XLOOKUP($A320,'Raw Data'!$A:$A,'Raw Data'!$AO:$AO),"")</f>
        <v/>
      </c>
      <c r="H320" s="230"/>
      <c r="I320" s="230" t="str">
        <f>IFERROR(_xlfn.XLOOKUP($A320,'Raw Data'!$A:$A,'Raw Data'!$AR:$AR),"")</f>
        <v/>
      </c>
      <c r="J320" s="230"/>
      <c r="K320" s="230" t="str">
        <f>IFERROR(_xlfn.XLOOKUP($A320,'Raw Data'!$A:$A,'Raw Data'!$AV:$AV),"")</f>
        <v/>
      </c>
      <c r="L320" s="230" t="str">
        <f>IFERROR(_xlfn.XLOOKUP($A320,'Raw Data'!$A:$A,'Raw Data'!$AW:$AW),"")</f>
        <v/>
      </c>
      <c r="M320" s="230" t="str">
        <f>IFERROR(_xlfn.XLOOKUP($A320,'Raw Data'!$A:$A,'Raw Data'!$AX:$AX),"")</f>
        <v/>
      </c>
      <c r="N320" s="230" t="str">
        <f>IFERROR(_xlfn.XLOOKUP($A320,'Raw Data'!$A:$A,'Raw Data'!$AY:$AY),"")</f>
        <v/>
      </c>
      <c r="O320" s="231" t="str">
        <f>IFERROR(1-(SUMIF('Plant BD'!$B:$B,A320,'Plant BD'!$AE:$AE)/(AA320+SUMIF('Plant BD'!$B:$B,A320,'Plant BD'!$AE:$AE))),"")</f>
        <v/>
      </c>
      <c r="P320" s="231"/>
      <c r="Q320" s="232"/>
      <c r="R320" s="231" t="str">
        <f>IFERROR(1-(SUMIF('Grid BD'!$B:$B,$A320,'Grid BD'!$AD:$AD)/($AA320+SUMIF('Grid BD'!$B:$B,$A320,'Grid BD'!AD:AD))),"")</f>
        <v/>
      </c>
      <c r="S320" s="6"/>
      <c r="T320" s="232"/>
      <c r="U320" s="233" t="str">
        <f t="shared" si="21"/>
        <v/>
      </c>
      <c r="V320" s="233"/>
      <c r="W320" s="234" t="str">
        <f t="shared" si="23"/>
        <v/>
      </c>
      <c r="X320" s="227" t="str">
        <f>IFERROR(_xlfn.XLOOKUP($A320,'Raw Data'!$A:$A,'Raw Data'!$BA:$BA),"")</f>
        <v/>
      </c>
      <c r="Y320" s="227" t="str">
        <f>IFERROR(_xlfn.XLOOKUP($A320,'Raw Data'!$A:$A,'Raw Data'!BJ:BJ),"")</f>
        <v/>
      </c>
      <c r="Z320" s="227" t="str">
        <f>IFERROR(_xlfn.XLOOKUP($A320,'Raw Data'!$A:$A,'Raw Data'!BK:BK),"")</f>
        <v/>
      </c>
      <c r="AA320" s="227" t="str">
        <f>IFERROR(_xlfn.XLOOKUP($A320,'Raw Data'!$A:$A,'Raw Data'!BL:BL),"")</f>
        <v/>
      </c>
      <c r="AB320" s="227" t="str">
        <f>IFERROR(_xlfn.XLOOKUP($A320,'Raw Data'!$A:$A,'Raw Data'!$H:$H),"")</f>
        <v/>
      </c>
      <c r="AC320" s="145">
        <f>IFERROR(_xlfn.XLOOKUP($D320,'Modelling New'!$D:$D,'Modelling New'!$P:$P),"")</f>
        <v>6.8928571428571432</v>
      </c>
      <c r="AD320" s="227">
        <f>IFERROR(_xlfn.XLOOKUP($D320,'Modelling New'!$D:$D,'Modelling New'!$T:$T)*1000,"")</f>
        <v>114630.12204031929</v>
      </c>
      <c r="AE320" s="234">
        <f>IFERROR(_xlfn.XLOOKUP($D320,'Modelling New'!$D:$D,'Modelling New'!$O:$O),"")</f>
        <v>0.68428623396557675</v>
      </c>
      <c r="AF320" s="234">
        <f>IFERROR(_xlfn.XLOOKUP($D320,'Modelling New'!$D:$D,'Modelling New'!$W:$W),"")</f>
        <v>0.19652863564785167</v>
      </c>
      <c r="AG320" s="234">
        <f>IFERROR(_xlfn.XLOOKUP($D320,'Modelling New'!$D:$D,'Modelling New'!AE:AE),"")</f>
        <v>0.995</v>
      </c>
      <c r="AH320" s="234">
        <v>0.99750000000000005</v>
      </c>
      <c r="AI320" s="6"/>
      <c r="AJ320" s="6"/>
      <c r="AK320" s="6"/>
      <c r="AL320" s="6"/>
      <c r="AM320" s="6"/>
      <c r="AN320" s="231"/>
      <c r="AO320" s="234"/>
      <c r="AP320" s="234"/>
      <c r="AQ320" s="234"/>
      <c r="AR320" s="227">
        <f>IFERROR(_xlfn.XLOOKUP($D320,'Modelling New'!$D:$D,'Modelling New'!$N:$N),"")</f>
        <v>24.303100000000001</v>
      </c>
      <c r="AS320" s="227"/>
    </row>
    <row r="321" spans="1:45" x14ac:dyDescent="0.35">
      <c r="A321" s="226">
        <f t="shared" si="22"/>
        <v>46064</v>
      </c>
      <c r="B321" s="227">
        <f>YEAR(Daily_KPI[[#This Row],[Date]])+IF(MONTH(Daily_KPI[[#This Row],[Date]])&gt;=4,1,0)</f>
        <v>2026</v>
      </c>
      <c r="C321" s="6">
        <f>YEAR(Daily_KPI[[#This Row],[Date]])</f>
        <v>2026</v>
      </c>
      <c r="D321" s="228">
        <f>Daily_KPI[[#This Row],[Date]]-DAY(Daily_KPI[[#This Row],[Date]])+1</f>
        <v>46054</v>
      </c>
      <c r="E321" s="6">
        <f t="shared" si="24"/>
        <v>28</v>
      </c>
      <c r="F321" s="229" t="str">
        <f>IFERROR(_xlfn.XLOOKUP($A321,'Raw Data'!$A:$A,'Raw Data'!$BR:$BR),"")</f>
        <v/>
      </c>
      <c r="G321" s="230" t="str">
        <f>IFERROR(_xlfn.XLOOKUP($A321,'Raw Data'!$A:$A,'Raw Data'!$AO:$AO),"")</f>
        <v/>
      </c>
      <c r="H321" s="230"/>
      <c r="I321" s="230" t="str">
        <f>IFERROR(_xlfn.XLOOKUP($A321,'Raw Data'!$A:$A,'Raw Data'!$AR:$AR),"")</f>
        <v/>
      </c>
      <c r="J321" s="230"/>
      <c r="K321" s="230" t="str">
        <f>IFERROR(_xlfn.XLOOKUP($A321,'Raw Data'!$A:$A,'Raw Data'!$AV:$AV),"")</f>
        <v/>
      </c>
      <c r="L321" s="230" t="str">
        <f>IFERROR(_xlfn.XLOOKUP($A321,'Raw Data'!$A:$A,'Raw Data'!$AW:$AW),"")</f>
        <v/>
      </c>
      <c r="M321" s="230" t="str">
        <f>IFERROR(_xlfn.XLOOKUP($A321,'Raw Data'!$A:$A,'Raw Data'!$AX:$AX),"")</f>
        <v/>
      </c>
      <c r="N321" s="230" t="str">
        <f>IFERROR(_xlfn.XLOOKUP($A321,'Raw Data'!$A:$A,'Raw Data'!$AY:$AY),"")</f>
        <v/>
      </c>
      <c r="O321" s="231" t="str">
        <f>IFERROR(1-(SUMIF('Plant BD'!$B:$B,A321,'Plant BD'!$AE:$AE)/(AA321+SUMIF('Plant BD'!$B:$B,A321,'Plant BD'!$AE:$AE))),"")</f>
        <v/>
      </c>
      <c r="P321" s="231"/>
      <c r="Q321" s="232"/>
      <c r="R321" s="231" t="str">
        <f>IFERROR(1-(SUMIF('Grid BD'!$B:$B,$A321,'Grid BD'!$AD:$AD)/($AA321+SUMIF('Grid BD'!$B:$B,$A321,'Grid BD'!AD:AD))),"")</f>
        <v/>
      </c>
      <c r="S321" s="6"/>
      <c r="T321" s="232"/>
      <c r="U321" s="233" t="str">
        <f t="shared" si="21"/>
        <v/>
      </c>
      <c r="V321" s="233"/>
      <c r="W321" s="234" t="str">
        <f t="shared" si="23"/>
        <v/>
      </c>
      <c r="X321" s="227" t="str">
        <f>IFERROR(_xlfn.XLOOKUP($A321,'Raw Data'!$A:$A,'Raw Data'!$BA:$BA),"")</f>
        <v/>
      </c>
      <c r="Y321" s="227" t="str">
        <f>IFERROR(_xlfn.XLOOKUP($A321,'Raw Data'!$A:$A,'Raw Data'!BJ:BJ),"")</f>
        <v/>
      </c>
      <c r="Z321" s="227" t="str">
        <f>IFERROR(_xlfn.XLOOKUP($A321,'Raw Data'!$A:$A,'Raw Data'!BK:BK),"")</f>
        <v/>
      </c>
      <c r="AA321" s="227" t="str">
        <f>IFERROR(_xlfn.XLOOKUP($A321,'Raw Data'!$A:$A,'Raw Data'!BL:BL),"")</f>
        <v/>
      </c>
      <c r="AB321" s="227" t="str">
        <f>IFERROR(_xlfn.XLOOKUP($A321,'Raw Data'!$A:$A,'Raw Data'!$H:$H),"")</f>
        <v/>
      </c>
      <c r="AC321" s="145">
        <f>IFERROR(_xlfn.XLOOKUP($D321,'Modelling New'!$D:$D,'Modelling New'!$P:$P),"")</f>
        <v>6.8928571428571432</v>
      </c>
      <c r="AD321" s="227">
        <f>IFERROR(_xlfn.XLOOKUP($D321,'Modelling New'!$D:$D,'Modelling New'!$T:$T)*1000,"")</f>
        <v>114630.12204031929</v>
      </c>
      <c r="AE321" s="234">
        <f>IFERROR(_xlfn.XLOOKUP($D321,'Modelling New'!$D:$D,'Modelling New'!$O:$O),"")</f>
        <v>0.68428623396557675</v>
      </c>
      <c r="AF321" s="234">
        <f>IFERROR(_xlfn.XLOOKUP($D321,'Modelling New'!$D:$D,'Modelling New'!$W:$W),"")</f>
        <v>0.19652863564785167</v>
      </c>
      <c r="AG321" s="234">
        <f>IFERROR(_xlfn.XLOOKUP($D321,'Modelling New'!$D:$D,'Modelling New'!AE:AE),"")</f>
        <v>0.995</v>
      </c>
      <c r="AH321" s="234">
        <v>0.99750000000000005</v>
      </c>
      <c r="AI321" s="6"/>
      <c r="AJ321" s="6"/>
      <c r="AK321" s="6"/>
      <c r="AL321" s="6"/>
      <c r="AM321" s="6"/>
      <c r="AN321" s="231"/>
      <c r="AO321" s="234"/>
      <c r="AP321" s="234"/>
      <c r="AQ321" s="234"/>
      <c r="AR321" s="227">
        <f>IFERROR(_xlfn.XLOOKUP($D321,'Modelling New'!$D:$D,'Modelling New'!$N:$N),"")</f>
        <v>24.303100000000001</v>
      </c>
      <c r="AS321" s="227"/>
    </row>
    <row r="322" spans="1:45" x14ac:dyDescent="0.35">
      <c r="A322" s="226">
        <f t="shared" si="22"/>
        <v>46065</v>
      </c>
      <c r="B322" s="227">
        <f>YEAR(Daily_KPI[[#This Row],[Date]])+IF(MONTH(Daily_KPI[[#This Row],[Date]])&gt;=4,1,0)</f>
        <v>2026</v>
      </c>
      <c r="C322" s="6">
        <f>YEAR(Daily_KPI[[#This Row],[Date]])</f>
        <v>2026</v>
      </c>
      <c r="D322" s="228">
        <f>Daily_KPI[[#This Row],[Date]]-DAY(Daily_KPI[[#This Row],[Date]])+1</f>
        <v>46054</v>
      </c>
      <c r="E322" s="6">
        <f t="shared" si="24"/>
        <v>28</v>
      </c>
      <c r="F322" s="229" t="str">
        <f>IFERROR(_xlfn.XLOOKUP($A322,'Raw Data'!$A:$A,'Raw Data'!$BR:$BR),"")</f>
        <v/>
      </c>
      <c r="G322" s="230" t="str">
        <f>IFERROR(_xlfn.XLOOKUP($A322,'Raw Data'!$A:$A,'Raw Data'!$AO:$AO),"")</f>
        <v/>
      </c>
      <c r="H322" s="230"/>
      <c r="I322" s="230" t="str">
        <f>IFERROR(_xlfn.XLOOKUP($A322,'Raw Data'!$A:$A,'Raw Data'!$AR:$AR),"")</f>
        <v/>
      </c>
      <c r="J322" s="230"/>
      <c r="K322" s="230" t="str">
        <f>IFERROR(_xlfn.XLOOKUP($A322,'Raw Data'!$A:$A,'Raw Data'!$AV:$AV),"")</f>
        <v/>
      </c>
      <c r="L322" s="230" t="str">
        <f>IFERROR(_xlfn.XLOOKUP($A322,'Raw Data'!$A:$A,'Raw Data'!$AW:$AW),"")</f>
        <v/>
      </c>
      <c r="M322" s="230" t="str">
        <f>IFERROR(_xlfn.XLOOKUP($A322,'Raw Data'!$A:$A,'Raw Data'!$AX:$AX),"")</f>
        <v/>
      </c>
      <c r="N322" s="230" t="str">
        <f>IFERROR(_xlfn.XLOOKUP($A322,'Raw Data'!$A:$A,'Raw Data'!$AY:$AY),"")</f>
        <v/>
      </c>
      <c r="O322" s="231" t="str">
        <f>IFERROR(1-(SUMIF('Plant BD'!$B:$B,A322,'Plant BD'!$AE:$AE)/(AA322+SUMIF('Plant BD'!$B:$B,A322,'Plant BD'!$AE:$AE))),"")</f>
        <v/>
      </c>
      <c r="P322" s="231"/>
      <c r="Q322" s="232"/>
      <c r="R322" s="231" t="str">
        <f>IFERROR(1-(SUMIF('Grid BD'!$B:$B,$A322,'Grid BD'!$AD:$AD)/($AA322+SUMIF('Grid BD'!$B:$B,$A322,'Grid BD'!AD:AD))),"")</f>
        <v/>
      </c>
      <c r="S322" s="6"/>
      <c r="T322" s="232"/>
      <c r="U322" s="233" t="str">
        <f t="shared" si="21"/>
        <v/>
      </c>
      <c r="V322" s="233"/>
      <c r="W322" s="234" t="str">
        <f t="shared" si="23"/>
        <v/>
      </c>
      <c r="X322" s="227" t="str">
        <f>IFERROR(_xlfn.XLOOKUP($A322,'Raw Data'!$A:$A,'Raw Data'!$BA:$BA),"")</f>
        <v/>
      </c>
      <c r="Y322" s="227" t="str">
        <f>IFERROR(_xlfn.XLOOKUP($A322,'Raw Data'!$A:$A,'Raw Data'!BJ:BJ),"")</f>
        <v/>
      </c>
      <c r="Z322" s="227" t="str">
        <f>IFERROR(_xlfn.XLOOKUP($A322,'Raw Data'!$A:$A,'Raw Data'!BK:BK),"")</f>
        <v/>
      </c>
      <c r="AA322" s="227" t="str">
        <f>IFERROR(_xlfn.XLOOKUP($A322,'Raw Data'!$A:$A,'Raw Data'!BL:BL),"")</f>
        <v/>
      </c>
      <c r="AB322" s="227" t="str">
        <f>IFERROR(_xlfn.XLOOKUP($A322,'Raw Data'!$A:$A,'Raw Data'!$H:$H),"")</f>
        <v/>
      </c>
      <c r="AC322" s="145">
        <f>IFERROR(_xlfn.XLOOKUP($D322,'Modelling New'!$D:$D,'Modelling New'!$P:$P),"")</f>
        <v>6.8928571428571432</v>
      </c>
      <c r="AD322" s="227">
        <f>IFERROR(_xlfn.XLOOKUP($D322,'Modelling New'!$D:$D,'Modelling New'!$T:$T)*1000,"")</f>
        <v>114630.12204031929</v>
      </c>
      <c r="AE322" s="234">
        <f>IFERROR(_xlfn.XLOOKUP($D322,'Modelling New'!$D:$D,'Modelling New'!$O:$O),"")</f>
        <v>0.68428623396557675</v>
      </c>
      <c r="AF322" s="234">
        <f>IFERROR(_xlfn.XLOOKUP($D322,'Modelling New'!$D:$D,'Modelling New'!$W:$W),"")</f>
        <v>0.19652863564785167</v>
      </c>
      <c r="AG322" s="234">
        <f>IFERROR(_xlfn.XLOOKUP($D322,'Modelling New'!$D:$D,'Modelling New'!AE:AE),"")</f>
        <v>0.995</v>
      </c>
      <c r="AH322" s="234">
        <v>0.99750000000000005</v>
      </c>
      <c r="AI322" s="6"/>
      <c r="AJ322" s="6"/>
      <c r="AK322" s="6"/>
      <c r="AL322" s="6"/>
      <c r="AM322" s="6"/>
      <c r="AN322" s="231"/>
      <c r="AO322" s="234"/>
      <c r="AP322" s="234"/>
      <c r="AQ322" s="234"/>
      <c r="AR322" s="227">
        <f>IFERROR(_xlfn.XLOOKUP($D322,'Modelling New'!$D:$D,'Modelling New'!$N:$N),"")</f>
        <v>24.303100000000001</v>
      </c>
      <c r="AS322" s="227"/>
    </row>
    <row r="323" spans="1:45" x14ac:dyDescent="0.35">
      <c r="A323" s="226">
        <f t="shared" si="22"/>
        <v>46066</v>
      </c>
      <c r="B323" s="227">
        <f>YEAR(Daily_KPI[[#This Row],[Date]])+IF(MONTH(Daily_KPI[[#This Row],[Date]])&gt;=4,1,0)</f>
        <v>2026</v>
      </c>
      <c r="C323" s="6">
        <f>YEAR(Daily_KPI[[#This Row],[Date]])</f>
        <v>2026</v>
      </c>
      <c r="D323" s="228">
        <f>Daily_KPI[[#This Row],[Date]]-DAY(Daily_KPI[[#This Row],[Date]])+1</f>
        <v>46054</v>
      </c>
      <c r="E323" s="6">
        <f t="shared" si="24"/>
        <v>28</v>
      </c>
      <c r="F323" s="229" t="str">
        <f>IFERROR(_xlfn.XLOOKUP($A323,'Raw Data'!$A:$A,'Raw Data'!$BR:$BR),"")</f>
        <v/>
      </c>
      <c r="G323" s="230" t="str">
        <f>IFERROR(_xlfn.XLOOKUP($A323,'Raw Data'!$A:$A,'Raw Data'!$AO:$AO),"")</f>
        <v/>
      </c>
      <c r="H323" s="230"/>
      <c r="I323" s="230" t="str">
        <f>IFERROR(_xlfn.XLOOKUP($A323,'Raw Data'!$A:$A,'Raw Data'!$AR:$AR),"")</f>
        <v/>
      </c>
      <c r="J323" s="230"/>
      <c r="K323" s="230" t="str">
        <f>IFERROR(_xlfn.XLOOKUP($A323,'Raw Data'!$A:$A,'Raw Data'!$AV:$AV),"")</f>
        <v/>
      </c>
      <c r="L323" s="230" t="str">
        <f>IFERROR(_xlfn.XLOOKUP($A323,'Raw Data'!$A:$A,'Raw Data'!$AW:$AW),"")</f>
        <v/>
      </c>
      <c r="M323" s="230" t="str">
        <f>IFERROR(_xlfn.XLOOKUP($A323,'Raw Data'!$A:$A,'Raw Data'!$AX:$AX),"")</f>
        <v/>
      </c>
      <c r="N323" s="230" t="str">
        <f>IFERROR(_xlfn.XLOOKUP($A323,'Raw Data'!$A:$A,'Raw Data'!$AY:$AY),"")</f>
        <v/>
      </c>
      <c r="O323" s="231" t="str">
        <f>IFERROR(1-(SUMIF('Plant BD'!$B:$B,A323,'Plant BD'!$AE:$AE)/(AA323+SUMIF('Plant BD'!$B:$B,A323,'Plant BD'!$AE:$AE))),"")</f>
        <v/>
      </c>
      <c r="P323" s="231"/>
      <c r="Q323" s="232"/>
      <c r="R323" s="231" t="str">
        <f>IFERROR(1-(SUMIF('Grid BD'!$B:$B,$A323,'Grid BD'!$AD:$AD)/($AA323+SUMIF('Grid BD'!$B:$B,$A323,'Grid BD'!AD:AD))),"")</f>
        <v/>
      </c>
      <c r="S323" s="6"/>
      <c r="T323" s="232"/>
      <c r="U323" s="233" t="str">
        <f t="shared" si="21"/>
        <v/>
      </c>
      <c r="V323" s="233"/>
      <c r="W323" s="234" t="str">
        <f t="shared" si="23"/>
        <v/>
      </c>
      <c r="X323" s="227" t="str">
        <f>IFERROR(_xlfn.XLOOKUP($A323,'Raw Data'!$A:$A,'Raw Data'!$BA:$BA),"")</f>
        <v/>
      </c>
      <c r="Y323" s="227" t="str">
        <f>IFERROR(_xlfn.XLOOKUP($A323,'Raw Data'!$A:$A,'Raw Data'!BJ:BJ),"")</f>
        <v/>
      </c>
      <c r="Z323" s="227" t="str">
        <f>IFERROR(_xlfn.XLOOKUP($A323,'Raw Data'!$A:$A,'Raw Data'!BK:BK),"")</f>
        <v/>
      </c>
      <c r="AA323" s="227" t="str">
        <f>IFERROR(_xlfn.XLOOKUP($A323,'Raw Data'!$A:$A,'Raw Data'!BL:BL),"")</f>
        <v/>
      </c>
      <c r="AB323" s="227" t="str">
        <f>IFERROR(_xlfn.XLOOKUP($A323,'Raw Data'!$A:$A,'Raw Data'!$H:$H),"")</f>
        <v/>
      </c>
      <c r="AC323" s="145">
        <f>IFERROR(_xlfn.XLOOKUP($D323,'Modelling New'!$D:$D,'Modelling New'!$P:$P),"")</f>
        <v>6.8928571428571432</v>
      </c>
      <c r="AD323" s="227">
        <f>IFERROR(_xlfn.XLOOKUP($D323,'Modelling New'!$D:$D,'Modelling New'!$T:$T)*1000,"")</f>
        <v>114630.12204031929</v>
      </c>
      <c r="AE323" s="234">
        <f>IFERROR(_xlfn.XLOOKUP($D323,'Modelling New'!$D:$D,'Modelling New'!$O:$O),"")</f>
        <v>0.68428623396557675</v>
      </c>
      <c r="AF323" s="234">
        <f>IFERROR(_xlfn.XLOOKUP($D323,'Modelling New'!$D:$D,'Modelling New'!$W:$W),"")</f>
        <v>0.19652863564785167</v>
      </c>
      <c r="AG323" s="234">
        <f>IFERROR(_xlfn.XLOOKUP($D323,'Modelling New'!$D:$D,'Modelling New'!AE:AE),"")</f>
        <v>0.995</v>
      </c>
      <c r="AH323" s="234">
        <v>0.99750000000000005</v>
      </c>
      <c r="AI323" s="6"/>
      <c r="AJ323" s="6"/>
      <c r="AK323" s="6"/>
      <c r="AL323" s="6"/>
      <c r="AM323" s="6"/>
      <c r="AN323" s="231"/>
      <c r="AO323" s="234"/>
      <c r="AP323" s="234"/>
      <c r="AQ323" s="234"/>
      <c r="AR323" s="227">
        <f>IFERROR(_xlfn.XLOOKUP($D323,'Modelling New'!$D:$D,'Modelling New'!$N:$N),"")</f>
        <v>24.303100000000001</v>
      </c>
      <c r="AS323" s="227"/>
    </row>
    <row r="324" spans="1:45" x14ac:dyDescent="0.35">
      <c r="A324" s="226">
        <f t="shared" si="22"/>
        <v>46067</v>
      </c>
      <c r="B324" s="227">
        <f>YEAR(Daily_KPI[[#This Row],[Date]])+IF(MONTH(Daily_KPI[[#This Row],[Date]])&gt;=4,1,0)</f>
        <v>2026</v>
      </c>
      <c r="C324" s="6">
        <f>YEAR(Daily_KPI[[#This Row],[Date]])</f>
        <v>2026</v>
      </c>
      <c r="D324" s="228">
        <f>Daily_KPI[[#This Row],[Date]]-DAY(Daily_KPI[[#This Row],[Date]])+1</f>
        <v>46054</v>
      </c>
      <c r="E324" s="6">
        <f t="shared" si="24"/>
        <v>28</v>
      </c>
      <c r="F324" s="229" t="str">
        <f>IFERROR(_xlfn.XLOOKUP($A324,'Raw Data'!$A:$A,'Raw Data'!$BR:$BR),"")</f>
        <v/>
      </c>
      <c r="G324" s="230" t="str">
        <f>IFERROR(_xlfn.XLOOKUP($A324,'Raw Data'!$A:$A,'Raw Data'!$AO:$AO),"")</f>
        <v/>
      </c>
      <c r="H324" s="230"/>
      <c r="I324" s="230" t="str">
        <f>IFERROR(_xlfn.XLOOKUP($A324,'Raw Data'!$A:$A,'Raw Data'!$AR:$AR),"")</f>
        <v/>
      </c>
      <c r="J324" s="230"/>
      <c r="K324" s="230" t="str">
        <f>IFERROR(_xlfn.XLOOKUP($A324,'Raw Data'!$A:$A,'Raw Data'!$AV:$AV),"")</f>
        <v/>
      </c>
      <c r="L324" s="230" t="str">
        <f>IFERROR(_xlfn.XLOOKUP($A324,'Raw Data'!$A:$A,'Raw Data'!$AW:$AW),"")</f>
        <v/>
      </c>
      <c r="M324" s="230" t="str">
        <f>IFERROR(_xlfn.XLOOKUP($A324,'Raw Data'!$A:$A,'Raw Data'!$AX:$AX),"")</f>
        <v/>
      </c>
      <c r="N324" s="230" t="str">
        <f>IFERROR(_xlfn.XLOOKUP($A324,'Raw Data'!$A:$A,'Raw Data'!$AY:$AY),"")</f>
        <v/>
      </c>
      <c r="O324" s="231" t="str">
        <f>IFERROR(1-(SUMIF('Plant BD'!$B:$B,A324,'Plant BD'!$AE:$AE)/(AA324+SUMIF('Plant BD'!$B:$B,A324,'Plant BD'!$AE:$AE))),"")</f>
        <v/>
      </c>
      <c r="P324" s="231"/>
      <c r="Q324" s="232"/>
      <c r="R324" s="231" t="str">
        <f>IFERROR(1-(SUMIF('Grid BD'!$B:$B,$A324,'Grid BD'!$AD:$AD)/($AA324+SUMIF('Grid BD'!$B:$B,$A324,'Grid BD'!AD:AD))),"")</f>
        <v/>
      </c>
      <c r="S324" s="6"/>
      <c r="T324" s="232"/>
      <c r="U324" s="233" t="str">
        <f t="shared" si="21"/>
        <v/>
      </c>
      <c r="V324" s="233"/>
      <c r="W324" s="234" t="str">
        <f t="shared" si="23"/>
        <v/>
      </c>
      <c r="X324" s="227" t="str">
        <f>IFERROR(_xlfn.XLOOKUP($A324,'Raw Data'!$A:$A,'Raw Data'!$BA:$BA),"")</f>
        <v/>
      </c>
      <c r="Y324" s="227" t="str">
        <f>IFERROR(_xlfn.XLOOKUP($A324,'Raw Data'!$A:$A,'Raw Data'!BJ:BJ),"")</f>
        <v/>
      </c>
      <c r="Z324" s="227" t="str">
        <f>IFERROR(_xlfn.XLOOKUP($A324,'Raw Data'!$A:$A,'Raw Data'!BK:BK),"")</f>
        <v/>
      </c>
      <c r="AA324" s="227" t="str">
        <f>IFERROR(_xlfn.XLOOKUP($A324,'Raw Data'!$A:$A,'Raw Data'!BL:BL),"")</f>
        <v/>
      </c>
      <c r="AB324" s="227" t="str">
        <f>IFERROR(_xlfn.XLOOKUP($A324,'Raw Data'!$A:$A,'Raw Data'!$H:$H),"")</f>
        <v/>
      </c>
      <c r="AC324" s="145">
        <f>IFERROR(_xlfn.XLOOKUP($D324,'Modelling New'!$D:$D,'Modelling New'!$P:$P),"")</f>
        <v>6.8928571428571432</v>
      </c>
      <c r="AD324" s="227">
        <f>IFERROR(_xlfn.XLOOKUP($D324,'Modelling New'!$D:$D,'Modelling New'!$T:$T)*1000,"")</f>
        <v>114630.12204031929</v>
      </c>
      <c r="AE324" s="234">
        <f>IFERROR(_xlfn.XLOOKUP($D324,'Modelling New'!$D:$D,'Modelling New'!$O:$O),"")</f>
        <v>0.68428623396557675</v>
      </c>
      <c r="AF324" s="234">
        <f>IFERROR(_xlfn.XLOOKUP($D324,'Modelling New'!$D:$D,'Modelling New'!$W:$W),"")</f>
        <v>0.19652863564785167</v>
      </c>
      <c r="AG324" s="234">
        <f>IFERROR(_xlfn.XLOOKUP($D324,'Modelling New'!$D:$D,'Modelling New'!AE:AE),"")</f>
        <v>0.995</v>
      </c>
      <c r="AH324" s="234">
        <v>0.99750000000000005</v>
      </c>
      <c r="AI324" s="6"/>
      <c r="AJ324" s="6"/>
      <c r="AK324" s="6"/>
      <c r="AL324" s="6"/>
      <c r="AM324" s="6"/>
      <c r="AN324" s="231"/>
      <c r="AO324" s="234"/>
      <c r="AP324" s="234"/>
      <c r="AQ324" s="234"/>
      <c r="AR324" s="227">
        <f>IFERROR(_xlfn.XLOOKUP($D324,'Modelling New'!$D:$D,'Modelling New'!$N:$N),"")</f>
        <v>24.303100000000001</v>
      </c>
      <c r="AS324" s="227"/>
    </row>
    <row r="325" spans="1:45" x14ac:dyDescent="0.35">
      <c r="A325" s="226">
        <f t="shared" si="22"/>
        <v>46068</v>
      </c>
      <c r="B325" s="227">
        <f>YEAR(Daily_KPI[[#This Row],[Date]])+IF(MONTH(Daily_KPI[[#This Row],[Date]])&gt;=4,1,0)</f>
        <v>2026</v>
      </c>
      <c r="C325" s="6">
        <f>YEAR(Daily_KPI[[#This Row],[Date]])</f>
        <v>2026</v>
      </c>
      <c r="D325" s="228">
        <f>Daily_KPI[[#This Row],[Date]]-DAY(Daily_KPI[[#This Row],[Date]])+1</f>
        <v>46054</v>
      </c>
      <c r="E325" s="6">
        <f t="shared" si="24"/>
        <v>28</v>
      </c>
      <c r="F325" s="229" t="str">
        <f>IFERROR(_xlfn.XLOOKUP($A325,'Raw Data'!$A:$A,'Raw Data'!$BR:$BR),"")</f>
        <v/>
      </c>
      <c r="G325" s="230" t="str">
        <f>IFERROR(_xlfn.XLOOKUP($A325,'Raw Data'!$A:$A,'Raw Data'!$AO:$AO),"")</f>
        <v/>
      </c>
      <c r="H325" s="230"/>
      <c r="I325" s="230" t="str">
        <f>IFERROR(_xlfn.XLOOKUP($A325,'Raw Data'!$A:$A,'Raw Data'!$AR:$AR),"")</f>
        <v/>
      </c>
      <c r="J325" s="230"/>
      <c r="K325" s="230" t="str">
        <f>IFERROR(_xlfn.XLOOKUP($A325,'Raw Data'!$A:$A,'Raw Data'!$AV:$AV),"")</f>
        <v/>
      </c>
      <c r="L325" s="230" t="str">
        <f>IFERROR(_xlfn.XLOOKUP($A325,'Raw Data'!$A:$A,'Raw Data'!$AW:$AW),"")</f>
        <v/>
      </c>
      <c r="M325" s="230" t="str">
        <f>IFERROR(_xlfn.XLOOKUP($A325,'Raw Data'!$A:$A,'Raw Data'!$AX:$AX),"")</f>
        <v/>
      </c>
      <c r="N325" s="230" t="str">
        <f>IFERROR(_xlfn.XLOOKUP($A325,'Raw Data'!$A:$A,'Raw Data'!$AY:$AY),"")</f>
        <v/>
      </c>
      <c r="O325" s="231" t="str">
        <f>IFERROR(1-(SUMIF('Plant BD'!$B:$B,A325,'Plant BD'!$AE:$AE)/(AA325+SUMIF('Plant BD'!$B:$B,A325,'Plant BD'!$AE:$AE))),"")</f>
        <v/>
      </c>
      <c r="P325" s="231"/>
      <c r="Q325" s="232"/>
      <c r="R325" s="231" t="str">
        <f>IFERROR(1-(SUMIF('Grid BD'!$B:$B,$A325,'Grid BD'!$AD:$AD)/($AA325+SUMIF('Grid BD'!$B:$B,$A325,'Grid BD'!AD:AD))),"")</f>
        <v/>
      </c>
      <c r="S325" s="6"/>
      <c r="T325" s="232"/>
      <c r="U325" s="233" t="str">
        <f t="shared" si="21"/>
        <v/>
      </c>
      <c r="V325" s="233"/>
      <c r="W325" s="234" t="str">
        <f t="shared" si="23"/>
        <v/>
      </c>
      <c r="X325" s="227" t="str">
        <f>IFERROR(_xlfn.XLOOKUP($A325,'Raw Data'!$A:$A,'Raw Data'!$BA:$BA),"")</f>
        <v/>
      </c>
      <c r="Y325" s="227" t="str">
        <f>IFERROR(_xlfn.XLOOKUP($A325,'Raw Data'!$A:$A,'Raw Data'!BJ:BJ),"")</f>
        <v/>
      </c>
      <c r="Z325" s="227" t="str">
        <f>IFERROR(_xlfn.XLOOKUP($A325,'Raw Data'!$A:$A,'Raw Data'!BK:BK),"")</f>
        <v/>
      </c>
      <c r="AA325" s="227" t="str">
        <f>IFERROR(_xlfn.XLOOKUP($A325,'Raw Data'!$A:$A,'Raw Data'!BL:BL),"")</f>
        <v/>
      </c>
      <c r="AB325" s="227" t="str">
        <f>IFERROR(_xlfn.XLOOKUP($A325,'Raw Data'!$A:$A,'Raw Data'!$H:$H),"")</f>
        <v/>
      </c>
      <c r="AC325" s="145">
        <f>IFERROR(_xlfn.XLOOKUP($D325,'Modelling New'!$D:$D,'Modelling New'!$P:$P),"")</f>
        <v>6.8928571428571432</v>
      </c>
      <c r="AD325" s="227">
        <f>IFERROR(_xlfn.XLOOKUP($D325,'Modelling New'!$D:$D,'Modelling New'!$T:$T)*1000,"")</f>
        <v>114630.12204031929</v>
      </c>
      <c r="AE325" s="234">
        <f>IFERROR(_xlfn.XLOOKUP($D325,'Modelling New'!$D:$D,'Modelling New'!$O:$O),"")</f>
        <v>0.68428623396557675</v>
      </c>
      <c r="AF325" s="234">
        <f>IFERROR(_xlfn.XLOOKUP($D325,'Modelling New'!$D:$D,'Modelling New'!$W:$W),"")</f>
        <v>0.19652863564785167</v>
      </c>
      <c r="AG325" s="234">
        <f>IFERROR(_xlfn.XLOOKUP($D325,'Modelling New'!$D:$D,'Modelling New'!AE:AE),"")</f>
        <v>0.995</v>
      </c>
      <c r="AH325" s="234">
        <v>0.99750000000000005</v>
      </c>
      <c r="AI325" s="6"/>
      <c r="AJ325" s="6"/>
      <c r="AK325" s="6"/>
      <c r="AL325" s="6"/>
      <c r="AM325" s="6"/>
      <c r="AN325" s="231"/>
      <c r="AO325" s="234"/>
      <c r="AP325" s="234"/>
      <c r="AQ325" s="234"/>
      <c r="AR325" s="227">
        <f>IFERROR(_xlfn.XLOOKUP($D325,'Modelling New'!$D:$D,'Modelling New'!$N:$N),"")</f>
        <v>24.303100000000001</v>
      </c>
      <c r="AS325" s="227"/>
    </row>
    <row r="326" spans="1:45" x14ac:dyDescent="0.35">
      <c r="A326" s="226">
        <f t="shared" si="22"/>
        <v>46069</v>
      </c>
      <c r="B326" s="227">
        <f>YEAR(Daily_KPI[[#This Row],[Date]])+IF(MONTH(Daily_KPI[[#This Row],[Date]])&gt;=4,1,0)</f>
        <v>2026</v>
      </c>
      <c r="C326" s="6">
        <f>YEAR(Daily_KPI[[#This Row],[Date]])</f>
        <v>2026</v>
      </c>
      <c r="D326" s="228">
        <f>Daily_KPI[[#This Row],[Date]]-DAY(Daily_KPI[[#This Row],[Date]])+1</f>
        <v>46054</v>
      </c>
      <c r="E326" s="6">
        <f t="shared" si="24"/>
        <v>28</v>
      </c>
      <c r="F326" s="229" t="str">
        <f>IFERROR(_xlfn.XLOOKUP($A326,'Raw Data'!$A:$A,'Raw Data'!$BR:$BR),"")</f>
        <v/>
      </c>
      <c r="G326" s="230" t="str">
        <f>IFERROR(_xlfn.XLOOKUP($A326,'Raw Data'!$A:$A,'Raw Data'!$AO:$AO),"")</f>
        <v/>
      </c>
      <c r="H326" s="230"/>
      <c r="I326" s="230" t="str">
        <f>IFERROR(_xlfn.XLOOKUP($A326,'Raw Data'!$A:$A,'Raw Data'!$AR:$AR),"")</f>
        <v/>
      </c>
      <c r="J326" s="230"/>
      <c r="K326" s="230" t="str">
        <f>IFERROR(_xlfn.XLOOKUP($A326,'Raw Data'!$A:$A,'Raw Data'!$AV:$AV),"")</f>
        <v/>
      </c>
      <c r="L326" s="230" t="str">
        <f>IFERROR(_xlfn.XLOOKUP($A326,'Raw Data'!$A:$A,'Raw Data'!$AW:$AW),"")</f>
        <v/>
      </c>
      <c r="M326" s="230" t="str">
        <f>IFERROR(_xlfn.XLOOKUP($A326,'Raw Data'!$A:$A,'Raw Data'!$AX:$AX),"")</f>
        <v/>
      </c>
      <c r="N326" s="230" t="str">
        <f>IFERROR(_xlfn.XLOOKUP($A326,'Raw Data'!$A:$A,'Raw Data'!$AY:$AY),"")</f>
        <v/>
      </c>
      <c r="O326" s="231" t="str">
        <f>IFERROR(1-(SUMIF('Plant BD'!$B:$B,A326,'Plant BD'!$AE:$AE)/(AA326+SUMIF('Plant BD'!$B:$B,A326,'Plant BD'!$AE:$AE))),"")</f>
        <v/>
      </c>
      <c r="P326" s="231"/>
      <c r="Q326" s="232"/>
      <c r="R326" s="231" t="str">
        <f>IFERROR(1-(SUMIF('Grid BD'!$B:$B,$A326,'Grid BD'!$AD:$AD)/($AA326+SUMIF('Grid BD'!$B:$B,$A326,'Grid BD'!AD:AD))),"")</f>
        <v/>
      </c>
      <c r="S326" s="6"/>
      <c r="T326" s="232"/>
      <c r="U326" s="233" t="str">
        <f t="shared" si="21"/>
        <v/>
      </c>
      <c r="V326" s="233"/>
      <c r="W326" s="234" t="str">
        <f t="shared" si="23"/>
        <v/>
      </c>
      <c r="X326" s="227" t="str">
        <f>IFERROR(_xlfn.XLOOKUP($A326,'Raw Data'!$A:$A,'Raw Data'!$BA:$BA),"")</f>
        <v/>
      </c>
      <c r="Y326" s="227" t="str">
        <f>IFERROR(_xlfn.XLOOKUP($A326,'Raw Data'!$A:$A,'Raw Data'!BJ:BJ),"")</f>
        <v/>
      </c>
      <c r="Z326" s="227" t="str">
        <f>IFERROR(_xlfn.XLOOKUP($A326,'Raw Data'!$A:$A,'Raw Data'!BK:BK),"")</f>
        <v/>
      </c>
      <c r="AA326" s="227" t="str">
        <f>IFERROR(_xlfn.XLOOKUP($A326,'Raw Data'!$A:$A,'Raw Data'!BL:BL),"")</f>
        <v/>
      </c>
      <c r="AB326" s="227" t="str">
        <f>IFERROR(_xlfn.XLOOKUP($A326,'Raw Data'!$A:$A,'Raw Data'!$H:$H),"")</f>
        <v/>
      </c>
      <c r="AC326" s="145">
        <f>IFERROR(_xlfn.XLOOKUP($D326,'Modelling New'!$D:$D,'Modelling New'!$P:$P),"")</f>
        <v>6.8928571428571432</v>
      </c>
      <c r="AD326" s="227">
        <f>IFERROR(_xlfn.XLOOKUP($D326,'Modelling New'!$D:$D,'Modelling New'!$T:$T)*1000,"")</f>
        <v>114630.12204031929</v>
      </c>
      <c r="AE326" s="234">
        <f>IFERROR(_xlfn.XLOOKUP($D326,'Modelling New'!$D:$D,'Modelling New'!$O:$O),"")</f>
        <v>0.68428623396557675</v>
      </c>
      <c r="AF326" s="234">
        <f>IFERROR(_xlfn.XLOOKUP($D326,'Modelling New'!$D:$D,'Modelling New'!$W:$W),"")</f>
        <v>0.19652863564785167</v>
      </c>
      <c r="AG326" s="234">
        <f>IFERROR(_xlfn.XLOOKUP($D326,'Modelling New'!$D:$D,'Modelling New'!AE:AE),"")</f>
        <v>0.995</v>
      </c>
      <c r="AH326" s="234">
        <v>0.99750000000000005</v>
      </c>
      <c r="AI326" s="6"/>
      <c r="AJ326" s="6"/>
      <c r="AK326" s="6"/>
      <c r="AL326" s="6"/>
      <c r="AM326" s="6"/>
      <c r="AN326" s="231"/>
      <c r="AO326" s="234"/>
      <c r="AP326" s="234"/>
      <c r="AQ326" s="234"/>
      <c r="AR326" s="227">
        <f>IFERROR(_xlfn.XLOOKUP($D326,'Modelling New'!$D:$D,'Modelling New'!$N:$N),"")</f>
        <v>24.303100000000001</v>
      </c>
      <c r="AS326" s="227"/>
    </row>
    <row r="327" spans="1:45" x14ac:dyDescent="0.35">
      <c r="A327" s="226">
        <f t="shared" si="22"/>
        <v>46070</v>
      </c>
      <c r="B327" s="227">
        <f>YEAR(Daily_KPI[[#This Row],[Date]])+IF(MONTH(Daily_KPI[[#This Row],[Date]])&gt;=4,1,0)</f>
        <v>2026</v>
      </c>
      <c r="C327" s="6">
        <f>YEAR(Daily_KPI[[#This Row],[Date]])</f>
        <v>2026</v>
      </c>
      <c r="D327" s="228">
        <f>Daily_KPI[[#This Row],[Date]]-DAY(Daily_KPI[[#This Row],[Date]])+1</f>
        <v>46054</v>
      </c>
      <c r="E327" s="6">
        <f t="shared" si="24"/>
        <v>28</v>
      </c>
      <c r="F327" s="229" t="str">
        <f>IFERROR(_xlfn.XLOOKUP($A327,'Raw Data'!$A:$A,'Raw Data'!$BR:$BR),"")</f>
        <v/>
      </c>
      <c r="G327" s="230" t="str">
        <f>IFERROR(_xlfn.XLOOKUP($A327,'Raw Data'!$A:$A,'Raw Data'!$AO:$AO),"")</f>
        <v/>
      </c>
      <c r="H327" s="230"/>
      <c r="I327" s="230" t="str">
        <f>IFERROR(_xlfn.XLOOKUP($A327,'Raw Data'!$A:$A,'Raw Data'!$AR:$AR),"")</f>
        <v/>
      </c>
      <c r="J327" s="230"/>
      <c r="K327" s="230" t="str">
        <f>IFERROR(_xlfn.XLOOKUP($A327,'Raw Data'!$A:$A,'Raw Data'!$AV:$AV),"")</f>
        <v/>
      </c>
      <c r="L327" s="230" t="str">
        <f>IFERROR(_xlfn.XLOOKUP($A327,'Raw Data'!$A:$A,'Raw Data'!$AW:$AW),"")</f>
        <v/>
      </c>
      <c r="M327" s="230" t="str">
        <f>IFERROR(_xlfn.XLOOKUP($A327,'Raw Data'!$A:$A,'Raw Data'!$AX:$AX),"")</f>
        <v/>
      </c>
      <c r="N327" s="230" t="str">
        <f>IFERROR(_xlfn.XLOOKUP($A327,'Raw Data'!$A:$A,'Raw Data'!$AY:$AY),"")</f>
        <v/>
      </c>
      <c r="O327" s="231" t="str">
        <f>IFERROR(1-(SUMIF('Plant BD'!$B:$B,A327,'Plant BD'!$AE:$AE)/(AA327+SUMIF('Plant BD'!$B:$B,A327,'Plant BD'!$AE:$AE))),"")</f>
        <v/>
      </c>
      <c r="P327" s="231"/>
      <c r="Q327" s="232"/>
      <c r="R327" s="231" t="str">
        <f>IFERROR(1-(SUMIF('Grid BD'!$B:$B,$A327,'Grid BD'!$AD:$AD)/($AA327+SUMIF('Grid BD'!$B:$B,$A327,'Grid BD'!AD:AD))),"")</f>
        <v/>
      </c>
      <c r="S327" s="6"/>
      <c r="T327" s="232"/>
      <c r="U327" s="233" t="str">
        <f t="shared" si="21"/>
        <v/>
      </c>
      <c r="V327" s="233"/>
      <c r="W327" s="234" t="str">
        <f t="shared" si="23"/>
        <v/>
      </c>
      <c r="X327" s="227" t="str">
        <f>IFERROR(_xlfn.XLOOKUP($A327,'Raw Data'!$A:$A,'Raw Data'!$BA:$BA),"")</f>
        <v/>
      </c>
      <c r="Y327" s="227" t="str">
        <f>IFERROR(_xlfn.XLOOKUP($A327,'Raw Data'!$A:$A,'Raw Data'!BJ:BJ),"")</f>
        <v/>
      </c>
      <c r="Z327" s="227" t="str">
        <f>IFERROR(_xlfn.XLOOKUP($A327,'Raw Data'!$A:$A,'Raw Data'!BK:BK),"")</f>
        <v/>
      </c>
      <c r="AA327" s="227" t="str">
        <f>IFERROR(_xlfn.XLOOKUP($A327,'Raw Data'!$A:$A,'Raw Data'!BL:BL),"")</f>
        <v/>
      </c>
      <c r="AB327" s="227" t="str">
        <f>IFERROR(_xlfn.XLOOKUP($A327,'Raw Data'!$A:$A,'Raw Data'!$H:$H),"")</f>
        <v/>
      </c>
      <c r="AC327" s="145">
        <f>IFERROR(_xlfn.XLOOKUP($D327,'Modelling New'!$D:$D,'Modelling New'!$P:$P),"")</f>
        <v>6.8928571428571432</v>
      </c>
      <c r="AD327" s="227">
        <f>IFERROR(_xlfn.XLOOKUP($D327,'Modelling New'!$D:$D,'Modelling New'!$T:$T)*1000,"")</f>
        <v>114630.12204031929</v>
      </c>
      <c r="AE327" s="234">
        <f>IFERROR(_xlfn.XLOOKUP($D327,'Modelling New'!$D:$D,'Modelling New'!$O:$O),"")</f>
        <v>0.68428623396557675</v>
      </c>
      <c r="AF327" s="234">
        <f>IFERROR(_xlfn.XLOOKUP($D327,'Modelling New'!$D:$D,'Modelling New'!$W:$W),"")</f>
        <v>0.19652863564785167</v>
      </c>
      <c r="AG327" s="234">
        <f>IFERROR(_xlfn.XLOOKUP($D327,'Modelling New'!$D:$D,'Modelling New'!AE:AE),"")</f>
        <v>0.995</v>
      </c>
      <c r="AH327" s="234">
        <v>0.99750000000000005</v>
      </c>
      <c r="AI327" s="6"/>
      <c r="AJ327" s="6"/>
      <c r="AK327" s="6"/>
      <c r="AL327" s="6"/>
      <c r="AM327" s="6"/>
      <c r="AN327" s="231"/>
      <c r="AO327" s="234"/>
      <c r="AP327" s="234"/>
      <c r="AQ327" s="234"/>
      <c r="AR327" s="227">
        <f>IFERROR(_xlfn.XLOOKUP($D327,'Modelling New'!$D:$D,'Modelling New'!$N:$N),"")</f>
        <v>24.303100000000001</v>
      </c>
      <c r="AS327" s="227"/>
    </row>
    <row r="328" spans="1:45" x14ac:dyDescent="0.35">
      <c r="A328" s="226">
        <f t="shared" si="22"/>
        <v>46071</v>
      </c>
      <c r="B328" s="227">
        <f>YEAR(Daily_KPI[[#This Row],[Date]])+IF(MONTH(Daily_KPI[[#This Row],[Date]])&gt;=4,1,0)</f>
        <v>2026</v>
      </c>
      <c r="C328" s="6">
        <f>YEAR(Daily_KPI[[#This Row],[Date]])</f>
        <v>2026</v>
      </c>
      <c r="D328" s="228">
        <f>Daily_KPI[[#This Row],[Date]]-DAY(Daily_KPI[[#This Row],[Date]])+1</f>
        <v>46054</v>
      </c>
      <c r="E328" s="6">
        <f t="shared" si="24"/>
        <v>28</v>
      </c>
      <c r="F328" s="229" t="str">
        <f>IFERROR(_xlfn.XLOOKUP($A328,'Raw Data'!$A:$A,'Raw Data'!$BR:$BR),"")</f>
        <v/>
      </c>
      <c r="G328" s="230" t="str">
        <f>IFERROR(_xlfn.XLOOKUP($A328,'Raw Data'!$A:$A,'Raw Data'!$AO:$AO),"")</f>
        <v/>
      </c>
      <c r="H328" s="230"/>
      <c r="I328" s="230" t="str">
        <f>IFERROR(_xlfn.XLOOKUP($A328,'Raw Data'!$A:$A,'Raw Data'!$AR:$AR),"")</f>
        <v/>
      </c>
      <c r="J328" s="230"/>
      <c r="K328" s="230" t="str">
        <f>IFERROR(_xlfn.XLOOKUP($A328,'Raw Data'!$A:$A,'Raw Data'!$AV:$AV),"")</f>
        <v/>
      </c>
      <c r="L328" s="230" t="str">
        <f>IFERROR(_xlfn.XLOOKUP($A328,'Raw Data'!$A:$A,'Raw Data'!$AW:$AW),"")</f>
        <v/>
      </c>
      <c r="M328" s="230" t="str">
        <f>IFERROR(_xlfn.XLOOKUP($A328,'Raw Data'!$A:$A,'Raw Data'!$AX:$AX),"")</f>
        <v/>
      </c>
      <c r="N328" s="230" t="str">
        <f>IFERROR(_xlfn.XLOOKUP($A328,'Raw Data'!$A:$A,'Raw Data'!$AY:$AY),"")</f>
        <v/>
      </c>
      <c r="O328" s="231" t="str">
        <f>IFERROR(1-(SUMIF('Plant BD'!$B:$B,A328,'Plant BD'!$AE:$AE)/(AA328+SUMIF('Plant BD'!$B:$B,A328,'Plant BD'!$AE:$AE))),"")</f>
        <v/>
      </c>
      <c r="P328" s="231"/>
      <c r="Q328" s="232"/>
      <c r="R328" s="231" t="str">
        <f>IFERROR(1-(SUMIF('Grid BD'!$B:$B,$A328,'Grid BD'!$AD:$AD)/($AA328+SUMIF('Grid BD'!$B:$B,$A328,'Grid BD'!AD:AD))),"")</f>
        <v/>
      </c>
      <c r="S328" s="6"/>
      <c r="T328" s="232"/>
      <c r="U328" s="233" t="str">
        <f t="shared" si="21"/>
        <v/>
      </c>
      <c r="V328" s="233"/>
      <c r="W328" s="234" t="str">
        <f t="shared" si="23"/>
        <v/>
      </c>
      <c r="X328" s="227" t="str">
        <f>IFERROR(_xlfn.XLOOKUP($A328,'Raw Data'!$A:$A,'Raw Data'!$BA:$BA),"")</f>
        <v/>
      </c>
      <c r="Y328" s="227" t="str">
        <f>IFERROR(_xlfn.XLOOKUP($A328,'Raw Data'!$A:$A,'Raw Data'!BJ:BJ),"")</f>
        <v/>
      </c>
      <c r="Z328" s="227" t="str">
        <f>IFERROR(_xlfn.XLOOKUP($A328,'Raw Data'!$A:$A,'Raw Data'!BK:BK),"")</f>
        <v/>
      </c>
      <c r="AA328" s="227" t="str">
        <f>IFERROR(_xlfn.XLOOKUP($A328,'Raw Data'!$A:$A,'Raw Data'!BL:BL),"")</f>
        <v/>
      </c>
      <c r="AB328" s="227" t="str">
        <f>IFERROR(_xlfn.XLOOKUP($A328,'Raw Data'!$A:$A,'Raw Data'!$H:$H),"")</f>
        <v/>
      </c>
      <c r="AC328" s="145">
        <f>IFERROR(_xlfn.XLOOKUP($D328,'Modelling New'!$D:$D,'Modelling New'!$P:$P),"")</f>
        <v>6.8928571428571432</v>
      </c>
      <c r="AD328" s="227">
        <f>IFERROR(_xlfn.XLOOKUP($D328,'Modelling New'!$D:$D,'Modelling New'!$T:$T)*1000,"")</f>
        <v>114630.12204031929</v>
      </c>
      <c r="AE328" s="234">
        <f>IFERROR(_xlfn.XLOOKUP($D328,'Modelling New'!$D:$D,'Modelling New'!$O:$O),"")</f>
        <v>0.68428623396557675</v>
      </c>
      <c r="AF328" s="234">
        <f>IFERROR(_xlfn.XLOOKUP($D328,'Modelling New'!$D:$D,'Modelling New'!$W:$W),"")</f>
        <v>0.19652863564785167</v>
      </c>
      <c r="AG328" s="234">
        <f>IFERROR(_xlfn.XLOOKUP($D328,'Modelling New'!$D:$D,'Modelling New'!AE:AE),"")</f>
        <v>0.995</v>
      </c>
      <c r="AH328" s="234">
        <v>0.99750000000000005</v>
      </c>
      <c r="AI328" s="6"/>
      <c r="AJ328" s="6"/>
      <c r="AK328" s="6"/>
      <c r="AL328" s="6"/>
      <c r="AM328" s="6"/>
      <c r="AN328" s="231"/>
      <c r="AO328" s="234"/>
      <c r="AP328" s="234"/>
      <c r="AQ328" s="234"/>
      <c r="AR328" s="227">
        <f>IFERROR(_xlfn.XLOOKUP($D328,'Modelling New'!$D:$D,'Modelling New'!$N:$N),"")</f>
        <v>24.303100000000001</v>
      </c>
      <c r="AS328" s="227"/>
    </row>
    <row r="329" spans="1:45" x14ac:dyDescent="0.35">
      <c r="A329" s="226">
        <f t="shared" si="22"/>
        <v>46072</v>
      </c>
      <c r="B329" s="227">
        <f>YEAR(Daily_KPI[[#This Row],[Date]])+IF(MONTH(Daily_KPI[[#This Row],[Date]])&gt;=4,1,0)</f>
        <v>2026</v>
      </c>
      <c r="C329" s="6">
        <f>YEAR(Daily_KPI[[#This Row],[Date]])</f>
        <v>2026</v>
      </c>
      <c r="D329" s="228">
        <f>Daily_KPI[[#This Row],[Date]]-DAY(Daily_KPI[[#This Row],[Date]])+1</f>
        <v>46054</v>
      </c>
      <c r="E329" s="6">
        <f t="shared" si="24"/>
        <v>28</v>
      </c>
      <c r="F329" s="229" t="str">
        <f>IFERROR(_xlfn.XLOOKUP($A329,'Raw Data'!$A:$A,'Raw Data'!$BR:$BR),"")</f>
        <v/>
      </c>
      <c r="G329" s="230" t="str">
        <f>IFERROR(_xlfn.XLOOKUP($A329,'Raw Data'!$A:$A,'Raw Data'!$AO:$AO),"")</f>
        <v/>
      </c>
      <c r="H329" s="230"/>
      <c r="I329" s="230" t="str">
        <f>IFERROR(_xlfn.XLOOKUP($A329,'Raw Data'!$A:$A,'Raw Data'!$AR:$AR),"")</f>
        <v/>
      </c>
      <c r="J329" s="230"/>
      <c r="K329" s="230" t="str">
        <f>IFERROR(_xlfn.XLOOKUP($A329,'Raw Data'!$A:$A,'Raw Data'!$AV:$AV),"")</f>
        <v/>
      </c>
      <c r="L329" s="230" t="str">
        <f>IFERROR(_xlfn.XLOOKUP($A329,'Raw Data'!$A:$A,'Raw Data'!$AW:$AW),"")</f>
        <v/>
      </c>
      <c r="M329" s="230" t="str">
        <f>IFERROR(_xlfn.XLOOKUP($A329,'Raw Data'!$A:$A,'Raw Data'!$AX:$AX),"")</f>
        <v/>
      </c>
      <c r="N329" s="230" t="str">
        <f>IFERROR(_xlfn.XLOOKUP($A329,'Raw Data'!$A:$A,'Raw Data'!$AY:$AY),"")</f>
        <v/>
      </c>
      <c r="O329" s="231" t="str">
        <f>IFERROR(1-(SUMIF('Plant BD'!$B:$B,A329,'Plant BD'!$AE:$AE)/(AA329+SUMIF('Plant BD'!$B:$B,A329,'Plant BD'!$AE:$AE))),"")</f>
        <v/>
      </c>
      <c r="P329" s="231"/>
      <c r="Q329" s="232"/>
      <c r="R329" s="231" t="str">
        <f>IFERROR(1-(SUMIF('Grid BD'!$B:$B,$A329,'Grid BD'!$AD:$AD)/($AA329+SUMIF('Grid BD'!$B:$B,$A329,'Grid BD'!AD:AD))),"")</f>
        <v/>
      </c>
      <c r="S329" s="6"/>
      <c r="T329" s="232"/>
      <c r="U329" s="233" t="str">
        <f t="shared" si="21"/>
        <v/>
      </c>
      <c r="V329" s="233"/>
      <c r="W329" s="234" t="str">
        <f t="shared" si="23"/>
        <v/>
      </c>
      <c r="X329" s="227" t="str">
        <f>IFERROR(_xlfn.XLOOKUP($A329,'Raw Data'!$A:$A,'Raw Data'!$BA:$BA),"")</f>
        <v/>
      </c>
      <c r="Y329" s="227" t="str">
        <f>IFERROR(_xlfn.XLOOKUP($A329,'Raw Data'!$A:$A,'Raw Data'!BJ:BJ),"")</f>
        <v/>
      </c>
      <c r="Z329" s="227" t="str">
        <f>IFERROR(_xlfn.XLOOKUP($A329,'Raw Data'!$A:$A,'Raw Data'!BK:BK),"")</f>
        <v/>
      </c>
      <c r="AA329" s="227" t="str">
        <f>IFERROR(_xlfn.XLOOKUP($A329,'Raw Data'!$A:$A,'Raw Data'!BL:BL),"")</f>
        <v/>
      </c>
      <c r="AB329" s="227" t="str">
        <f>IFERROR(_xlfn.XLOOKUP($A329,'Raw Data'!$A:$A,'Raw Data'!$H:$H),"")</f>
        <v/>
      </c>
      <c r="AC329" s="145">
        <f>IFERROR(_xlfn.XLOOKUP($D329,'Modelling New'!$D:$D,'Modelling New'!$P:$P),"")</f>
        <v>6.8928571428571432</v>
      </c>
      <c r="AD329" s="227">
        <f>IFERROR(_xlfn.XLOOKUP($D329,'Modelling New'!$D:$D,'Modelling New'!$T:$T)*1000,"")</f>
        <v>114630.12204031929</v>
      </c>
      <c r="AE329" s="234">
        <f>IFERROR(_xlfn.XLOOKUP($D329,'Modelling New'!$D:$D,'Modelling New'!$O:$O),"")</f>
        <v>0.68428623396557675</v>
      </c>
      <c r="AF329" s="234">
        <f>IFERROR(_xlfn.XLOOKUP($D329,'Modelling New'!$D:$D,'Modelling New'!$W:$W),"")</f>
        <v>0.19652863564785167</v>
      </c>
      <c r="AG329" s="234">
        <f>IFERROR(_xlfn.XLOOKUP($D329,'Modelling New'!$D:$D,'Modelling New'!AE:AE),"")</f>
        <v>0.995</v>
      </c>
      <c r="AH329" s="234">
        <v>0.99750000000000005</v>
      </c>
      <c r="AI329" s="6"/>
      <c r="AJ329" s="6"/>
      <c r="AK329" s="6"/>
      <c r="AL329" s="6"/>
      <c r="AM329" s="6"/>
      <c r="AN329" s="231"/>
      <c r="AO329" s="234"/>
      <c r="AP329" s="234"/>
      <c r="AQ329" s="234"/>
      <c r="AR329" s="227">
        <f>IFERROR(_xlfn.XLOOKUP($D329,'Modelling New'!$D:$D,'Modelling New'!$N:$N),"")</f>
        <v>24.303100000000001</v>
      </c>
      <c r="AS329" s="227"/>
    </row>
    <row r="330" spans="1:45" x14ac:dyDescent="0.35">
      <c r="A330" s="226">
        <f t="shared" si="22"/>
        <v>46073</v>
      </c>
      <c r="B330" s="227">
        <f>YEAR(Daily_KPI[[#This Row],[Date]])+IF(MONTH(Daily_KPI[[#This Row],[Date]])&gt;=4,1,0)</f>
        <v>2026</v>
      </c>
      <c r="C330" s="6">
        <f>YEAR(Daily_KPI[[#This Row],[Date]])</f>
        <v>2026</v>
      </c>
      <c r="D330" s="228">
        <f>Daily_KPI[[#This Row],[Date]]-DAY(Daily_KPI[[#This Row],[Date]])+1</f>
        <v>46054</v>
      </c>
      <c r="E330" s="6">
        <f t="shared" si="24"/>
        <v>28</v>
      </c>
      <c r="F330" s="229" t="str">
        <f>IFERROR(_xlfn.XLOOKUP($A330,'Raw Data'!$A:$A,'Raw Data'!$BR:$BR),"")</f>
        <v/>
      </c>
      <c r="G330" s="230" t="str">
        <f>IFERROR(_xlfn.XLOOKUP($A330,'Raw Data'!$A:$A,'Raw Data'!$AO:$AO),"")</f>
        <v/>
      </c>
      <c r="H330" s="230"/>
      <c r="I330" s="230" t="str">
        <f>IFERROR(_xlfn.XLOOKUP($A330,'Raw Data'!$A:$A,'Raw Data'!$AR:$AR),"")</f>
        <v/>
      </c>
      <c r="J330" s="230"/>
      <c r="K330" s="230" t="str">
        <f>IFERROR(_xlfn.XLOOKUP($A330,'Raw Data'!$A:$A,'Raw Data'!$AV:$AV),"")</f>
        <v/>
      </c>
      <c r="L330" s="230" t="str">
        <f>IFERROR(_xlfn.XLOOKUP($A330,'Raw Data'!$A:$A,'Raw Data'!$AW:$AW),"")</f>
        <v/>
      </c>
      <c r="M330" s="230" t="str">
        <f>IFERROR(_xlfn.XLOOKUP($A330,'Raw Data'!$A:$A,'Raw Data'!$AX:$AX),"")</f>
        <v/>
      </c>
      <c r="N330" s="230" t="str">
        <f>IFERROR(_xlfn.XLOOKUP($A330,'Raw Data'!$A:$A,'Raw Data'!$AY:$AY),"")</f>
        <v/>
      </c>
      <c r="O330" s="231" t="str">
        <f>IFERROR(1-(SUMIF('Plant BD'!$B:$B,A330,'Plant BD'!$AE:$AE)/(AA330+SUMIF('Plant BD'!$B:$B,A330,'Plant BD'!$AE:$AE))),"")</f>
        <v/>
      </c>
      <c r="P330" s="231"/>
      <c r="Q330" s="232"/>
      <c r="R330" s="231" t="str">
        <f>IFERROR(1-(SUMIF('Grid BD'!$B:$B,$A330,'Grid BD'!$AD:$AD)/($AA330+SUMIF('Grid BD'!$B:$B,$A330,'Grid BD'!AD:AD))),"")</f>
        <v/>
      </c>
      <c r="S330" s="6"/>
      <c r="T330" s="232"/>
      <c r="U330" s="233" t="str">
        <f t="shared" si="21"/>
        <v/>
      </c>
      <c r="V330" s="233"/>
      <c r="W330" s="234" t="str">
        <f t="shared" si="23"/>
        <v/>
      </c>
      <c r="X330" s="227" t="str">
        <f>IFERROR(_xlfn.XLOOKUP($A330,'Raw Data'!$A:$A,'Raw Data'!$BA:$BA),"")</f>
        <v/>
      </c>
      <c r="Y330" s="227" t="str">
        <f>IFERROR(_xlfn.XLOOKUP($A330,'Raw Data'!$A:$A,'Raw Data'!BJ:BJ),"")</f>
        <v/>
      </c>
      <c r="Z330" s="227" t="str">
        <f>IFERROR(_xlfn.XLOOKUP($A330,'Raw Data'!$A:$A,'Raw Data'!BK:BK),"")</f>
        <v/>
      </c>
      <c r="AA330" s="227" t="str">
        <f>IFERROR(_xlfn.XLOOKUP($A330,'Raw Data'!$A:$A,'Raw Data'!BL:BL),"")</f>
        <v/>
      </c>
      <c r="AB330" s="227" t="str">
        <f>IFERROR(_xlfn.XLOOKUP($A330,'Raw Data'!$A:$A,'Raw Data'!$H:$H),"")</f>
        <v/>
      </c>
      <c r="AC330" s="145">
        <f>IFERROR(_xlfn.XLOOKUP($D330,'Modelling New'!$D:$D,'Modelling New'!$P:$P),"")</f>
        <v>6.8928571428571432</v>
      </c>
      <c r="AD330" s="227">
        <f>IFERROR(_xlfn.XLOOKUP($D330,'Modelling New'!$D:$D,'Modelling New'!$T:$T)*1000,"")</f>
        <v>114630.12204031929</v>
      </c>
      <c r="AE330" s="234">
        <f>IFERROR(_xlfn.XLOOKUP($D330,'Modelling New'!$D:$D,'Modelling New'!$O:$O),"")</f>
        <v>0.68428623396557675</v>
      </c>
      <c r="AF330" s="234">
        <f>IFERROR(_xlfn.XLOOKUP($D330,'Modelling New'!$D:$D,'Modelling New'!$W:$W),"")</f>
        <v>0.19652863564785167</v>
      </c>
      <c r="AG330" s="234">
        <f>IFERROR(_xlfn.XLOOKUP($D330,'Modelling New'!$D:$D,'Modelling New'!AE:AE),"")</f>
        <v>0.995</v>
      </c>
      <c r="AH330" s="234">
        <v>0.99750000000000005</v>
      </c>
      <c r="AI330" s="6"/>
      <c r="AJ330" s="6"/>
      <c r="AK330" s="6"/>
      <c r="AL330" s="6"/>
      <c r="AM330" s="6"/>
      <c r="AN330" s="231"/>
      <c r="AO330" s="234"/>
      <c r="AP330" s="234"/>
      <c r="AQ330" s="234"/>
      <c r="AR330" s="227">
        <f>IFERROR(_xlfn.XLOOKUP($D330,'Modelling New'!$D:$D,'Modelling New'!$N:$N),"")</f>
        <v>24.303100000000001</v>
      </c>
      <c r="AS330" s="227"/>
    </row>
    <row r="331" spans="1:45" x14ac:dyDescent="0.35">
      <c r="A331" s="226">
        <f t="shared" si="22"/>
        <v>46074</v>
      </c>
      <c r="B331" s="227">
        <f>YEAR(Daily_KPI[[#This Row],[Date]])+IF(MONTH(Daily_KPI[[#This Row],[Date]])&gt;=4,1,0)</f>
        <v>2026</v>
      </c>
      <c r="C331" s="6">
        <f>YEAR(Daily_KPI[[#This Row],[Date]])</f>
        <v>2026</v>
      </c>
      <c r="D331" s="228">
        <f>Daily_KPI[[#This Row],[Date]]-DAY(Daily_KPI[[#This Row],[Date]])+1</f>
        <v>46054</v>
      </c>
      <c r="E331" s="6">
        <f t="shared" si="24"/>
        <v>28</v>
      </c>
      <c r="F331" s="229" t="str">
        <f>IFERROR(_xlfn.XLOOKUP($A331,'Raw Data'!$A:$A,'Raw Data'!$BR:$BR),"")</f>
        <v/>
      </c>
      <c r="G331" s="230" t="str">
        <f>IFERROR(_xlfn.XLOOKUP($A331,'Raw Data'!$A:$A,'Raw Data'!$AO:$AO),"")</f>
        <v/>
      </c>
      <c r="H331" s="230"/>
      <c r="I331" s="230" t="str">
        <f>IFERROR(_xlfn.XLOOKUP($A331,'Raw Data'!$A:$A,'Raw Data'!$AR:$AR),"")</f>
        <v/>
      </c>
      <c r="J331" s="230"/>
      <c r="K331" s="230" t="str">
        <f>IFERROR(_xlfn.XLOOKUP($A331,'Raw Data'!$A:$A,'Raw Data'!$AV:$AV),"")</f>
        <v/>
      </c>
      <c r="L331" s="230" t="str">
        <f>IFERROR(_xlfn.XLOOKUP($A331,'Raw Data'!$A:$A,'Raw Data'!$AW:$AW),"")</f>
        <v/>
      </c>
      <c r="M331" s="230" t="str">
        <f>IFERROR(_xlfn.XLOOKUP($A331,'Raw Data'!$A:$A,'Raw Data'!$AX:$AX),"")</f>
        <v/>
      </c>
      <c r="N331" s="230" t="str">
        <f>IFERROR(_xlfn.XLOOKUP($A331,'Raw Data'!$A:$A,'Raw Data'!$AY:$AY),"")</f>
        <v/>
      </c>
      <c r="O331" s="231" t="str">
        <f>IFERROR(1-(SUMIF('Plant BD'!$B:$B,A331,'Plant BD'!$AE:$AE)/(AA331+SUMIF('Plant BD'!$B:$B,A331,'Plant BD'!$AE:$AE))),"")</f>
        <v/>
      </c>
      <c r="P331" s="231"/>
      <c r="Q331" s="232"/>
      <c r="R331" s="231" t="str">
        <f>IFERROR(1-(SUMIF('Grid BD'!$B:$B,$A331,'Grid BD'!$AD:$AD)/($AA331+SUMIF('Grid BD'!$B:$B,$A331,'Grid BD'!AD:AD))),"")</f>
        <v/>
      </c>
      <c r="S331" s="6"/>
      <c r="T331" s="232"/>
      <c r="U331" s="233" t="str">
        <f t="shared" si="21"/>
        <v/>
      </c>
      <c r="V331" s="233"/>
      <c r="W331" s="234" t="str">
        <f t="shared" si="23"/>
        <v/>
      </c>
      <c r="X331" s="227" t="str">
        <f>IFERROR(_xlfn.XLOOKUP($A331,'Raw Data'!$A:$A,'Raw Data'!$BA:$BA),"")</f>
        <v/>
      </c>
      <c r="Y331" s="227" t="str">
        <f>IFERROR(_xlfn.XLOOKUP($A331,'Raw Data'!$A:$A,'Raw Data'!BJ:BJ),"")</f>
        <v/>
      </c>
      <c r="Z331" s="227" t="str">
        <f>IFERROR(_xlfn.XLOOKUP($A331,'Raw Data'!$A:$A,'Raw Data'!BK:BK),"")</f>
        <v/>
      </c>
      <c r="AA331" s="227" t="str">
        <f>IFERROR(_xlfn.XLOOKUP($A331,'Raw Data'!$A:$A,'Raw Data'!BL:BL),"")</f>
        <v/>
      </c>
      <c r="AB331" s="227" t="str">
        <f>IFERROR(_xlfn.XLOOKUP($A331,'Raw Data'!$A:$A,'Raw Data'!$H:$H),"")</f>
        <v/>
      </c>
      <c r="AC331" s="145">
        <f>IFERROR(_xlfn.XLOOKUP($D331,'Modelling New'!$D:$D,'Modelling New'!$P:$P),"")</f>
        <v>6.8928571428571432</v>
      </c>
      <c r="AD331" s="227">
        <f>IFERROR(_xlfn.XLOOKUP($D331,'Modelling New'!$D:$D,'Modelling New'!$T:$T)*1000,"")</f>
        <v>114630.12204031929</v>
      </c>
      <c r="AE331" s="234">
        <f>IFERROR(_xlfn.XLOOKUP($D331,'Modelling New'!$D:$D,'Modelling New'!$O:$O),"")</f>
        <v>0.68428623396557675</v>
      </c>
      <c r="AF331" s="234">
        <f>IFERROR(_xlfn.XLOOKUP($D331,'Modelling New'!$D:$D,'Modelling New'!$W:$W),"")</f>
        <v>0.19652863564785167</v>
      </c>
      <c r="AG331" s="234">
        <f>IFERROR(_xlfn.XLOOKUP($D331,'Modelling New'!$D:$D,'Modelling New'!AE:AE),"")</f>
        <v>0.995</v>
      </c>
      <c r="AH331" s="234">
        <v>0.99750000000000005</v>
      </c>
      <c r="AI331" s="6"/>
      <c r="AJ331" s="6"/>
      <c r="AK331" s="6"/>
      <c r="AL331" s="6"/>
      <c r="AM331" s="6"/>
      <c r="AN331" s="231"/>
      <c r="AO331" s="234"/>
      <c r="AP331" s="234"/>
      <c r="AQ331" s="234"/>
      <c r="AR331" s="227">
        <f>IFERROR(_xlfn.XLOOKUP($D331,'Modelling New'!$D:$D,'Modelling New'!$N:$N),"")</f>
        <v>24.303100000000001</v>
      </c>
      <c r="AS331" s="227"/>
    </row>
    <row r="332" spans="1:45" x14ac:dyDescent="0.35">
      <c r="A332" s="226">
        <f t="shared" si="22"/>
        <v>46075</v>
      </c>
      <c r="B332" s="227">
        <f>YEAR(Daily_KPI[[#This Row],[Date]])+IF(MONTH(Daily_KPI[[#This Row],[Date]])&gt;=4,1,0)</f>
        <v>2026</v>
      </c>
      <c r="C332" s="6">
        <f>YEAR(Daily_KPI[[#This Row],[Date]])</f>
        <v>2026</v>
      </c>
      <c r="D332" s="228">
        <f>Daily_KPI[[#This Row],[Date]]-DAY(Daily_KPI[[#This Row],[Date]])+1</f>
        <v>46054</v>
      </c>
      <c r="E332" s="6">
        <f t="shared" si="24"/>
        <v>28</v>
      </c>
      <c r="F332" s="229" t="str">
        <f>IFERROR(_xlfn.XLOOKUP($A332,'Raw Data'!$A:$A,'Raw Data'!$BR:$BR),"")</f>
        <v/>
      </c>
      <c r="G332" s="230" t="str">
        <f>IFERROR(_xlfn.XLOOKUP($A332,'Raw Data'!$A:$A,'Raw Data'!$AO:$AO),"")</f>
        <v/>
      </c>
      <c r="H332" s="230"/>
      <c r="I332" s="230" t="str">
        <f>IFERROR(_xlfn.XLOOKUP($A332,'Raw Data'!$A:$A,'Raw Data'!$AR:$AR),"")</f>
        <v/>
      </c>
      <c r="J332" s="230"/>
      <c r="K332" s="230" t="str">
        <f>IFERROR(_xlfn.XLOOKUP($A332,'Raw Data'!$A:$A,'Raw Data'!$AV:$AV),"")</f>
        <v/>
      </c>
      <c r="L332" s="230" t="str">
        <f>IFERROR(_xlfn.XLOOKUP($A332,'Raw Data'!$A:$A,'Raw Data'!$AW:$AW),"")</f>
        <v/>
      </c>
      <c r="M332" s="230" t="str">
        <f>IFERROR(_xlfn.XLOOKUP($A332,'Raw Data'!$A:$A,'Raw Data'!$AX:$AX),"")</f>
        <v/>
      </c>
      <c r="N332" s="230" t="str">
        <f>IFERROR(_xlfn.XLOOKUP($A332,'Raw Data'!$A:$A,'Raw Data'!$AY:$AY),"")</f>
        <v/>
      </c>
      <c r="O332" s="231" t="str">
        <f>IFERROR(1-(SUMIF('Plant BD'!$B:$B,A332,'Plant BD'!$AE:$AE)/(AA332+SUMIF('Plant BD'!$B:$B,A332,'Plant BD'!$AE:$AE))),"")</f>
        <v/>
      </c>
      <c r="P332" s="231"/>
      <c r="Q332" s="232"/>
      <c r="R332" s="231" t="str">
        <f>IFERROR(1-(SUMIF('Grid BD'!$B:$B,$A332,'Grid BD'!$AD:$AD)/($AA332+SUMIF('Grid BD'!$B:$B,$A332,'Grid BD'!AD:AD))),"")</f>
        <v/>
      </c>
      <c r="S332" s="6"/>
      <c r="T332" s="232"/>
      <c r="U332" s="233" t="str">
        <f t="shared" si="21"/>
        <v/>
      </c>
      <c r="V332" s="233"/>
      <c r="W332" s="234" t="str">
        <f t="shared" si="23"/>
        <v/>
      </c>
      <c r="X332" s="227" t="str">
        <f>IFERROR(_xlfn.XLOOKUP($A332,'Raw Data'!$A:$A,'Raw Data'!$BA:$BA),"")</f>
        <v/>
      </c>
      <c r="Y332" s="227" t="str">
        <f>IFERROR(_xlfn.XLOOKUP($A332,'Raw Data'!$A:$A,'Raw Data'!BJ:BJ),"")</f>
        <v/>
      </c>
      <c r="Z332" s="227" t="str">
        <f>IFERROR(_xlfn.XLOOKUP($A332,'Raw Data'!$A:$A,'Raw Data'!BK:BK),"")</f>
        <v/>
      </c>
      <c r="AA332" s="227" t="str">
        <f>IFERROR(_xlfn.XLOOKUP($A332,'Raw Data'!$A:$A,'Raw Data'!BL:BL),"")</f>
        <v/>
      </c>
      <c r="AB332" s="227" t="str">
        <f>IFERROR(_xlfn.XLOOKUP($A332,'Raw Data'!$A:$A,'Raw Data'!$H:$H),"")</f>
        <v/>
      </c>
      <c r="AC332" s="145">
        <f>IFERROR(_xlfn.XLOOKUP($D332,'Modelling New'!$D:$D,'Modelling New'!$P:$P),"")</f>
        <v>6.8928571428571432</v>
      </c>
      <c r="AD332" s="227">
        <f>IFERROR(_xlfn.XLOOKUP($D332,'Modelling New'!$D:$D,'Modelling New'!$T:$T)*1000,"")</f>
        <v>114630.12204031929</v>
      </c>
      <c r="AE332" s="234">
        <f>IFERROR(_xlfn.XLOOKUP($D332,'Modelling New'!$D:$D,'Modelling New'!$O:$O),"")</f>
        <v>0.68428623396557675</v>
      </c>
      <c r="AF332" s="234">
        <f>IFERROR(_xlfn.XLOOKUP($D332,'Modelling New'!$D:$D,'Modelling New'!$W:$W),"")</f>
        <v>0.19652863564785167</v>
      </c>
      <c r="AG332" s="234">
        <f>IFERROR(_xlfn.XLOOKUP($D332,'Modelling New'!$D:$D,'Modelling New'!AE:AE),"")</f>
        <v>0.995</v>
      </c>
      <c r="AH332" s="234">
        <v>0.99750000000000005</v>
      </c>
      <c r="AI332" s="6"/>
      <c r="AJ332" s="6"/>
      <c r="AK332" s="6"/>
      <c r="AL332" s="6"/>
      <c r="AM332" s="6"/>
      <c r="AN332" s="231"/>
      <c r="AO332" s="234"/>
      <c r="AP332" s="234"/>
      <c r="AQ332" s="234"/>
      <c r="AR332" s="227">
        <f>IFERROR(_xlfn.XLOOKUP($D332,'Modelling New'!$D:$D,'Modelling New'!$N:$N),"")</f>
        <v>24.303100000000001</v>
      </c>
      <c r="AS332" s="227"/>
    </row>
    <row r="333" spans="1:45" x14ac:dyDescent="0.35">
      <c r="A333" s="226">
        <f t="shared" si="22"/>
        <v>46076</v>
      </c>
      <c r="B333" s="227">
        <f>YEAR(Daily_KPI[[#This Row],[Date]])+IF(MONTH(Daily_KPI[[#This Row],[Date]])&gt;=4,1,0)</f>
        <v>2026</v>
      </c>
      <c r="C333" s="6">
        <f>YEAR(Daily_KPI[[#This Row],[Date]])</f>
        <v>2026</v>
      </c>
      <c r="D333" s="228">
        <f>Daily_KPI[[#This Row],[Date]]-DAY(Daily_KPI[[#This Row],[Date]])+1</f>
        <v>46054</v>
      </c>
      <c r="E333" s="6">
        <f t="shared" si="24"/>
        <v>28</v>
      </c>
      <c r="F333" s="229" t="str">
        <f>IFERROR(_xlfn.XLOOKUP($A333,'Raw Data'!$A:$A,'Raw Data'!$BR:$BR),"")</f>
        <v/>
      </c>
      <c r="G333" s="230" t="str">
        <f>IFERROR(_xlfn.XLOOKUP($A333,'Raw Data'!$A:$A,'Raw Data'!$AO:$AO),"")</f>
        <v/>
      </c>
      <c r="H333" s="230"/>
      <c r="I333" s="230" t="str">
        <f>IFERROR(_xlfn.XLOOKUP($A333,'Raw Data'!$A:$A,'Raw Data'!$AR:$AR),"")</f>
        <v/>
      </c>
      <c r="J333" s="230"/>
      <c r="K333" s="230" t="str">
        <f>IFERROR(_xlfn.XLOOKUP($A333,'Raw Data'!$A:$A,'Raw Data'!$AV:$AV),"")</f>
        <v/>
      </c>
      <c r="L333" s="230" t="str">
        <f>IFERROR(_xlfn.XLOOKUP($A333,'Raw Data'!$A:$A,'Raw Data'!$AW:$AW),"")</f>
        <v/>
      </c>
      <c r="M333" s="230" t="str">
        <f>IFERROR(_xlfn.XLOOKUP($A333,'Raw Data'!$A:$A,'Raw Data'!$AX:$AX),"")</f>
        <v/>
      </c>
      <c r="N333" s="230" t="str">
        <f>IFERROR(_xlfn.XLOOKUP($A333,'Raw Data'!$A:$A,'Raw Data'!$AY:$AY),"")</f>
        <v/>
      </c>
      <c r="O333" s="231" t="str">
        <f>IFERROR(1-(SUMIF('Plant BD'!$B:$B,A333,'Plant BD'!$AE:$AE)/(AA333+SUMIF('Plant BD'!$B:$B,A333,'Plant BD'!$AE:$AE))),"")</f>
        <v/>
      </c>
      <c r="P333" s="231"/>
      <c r="Q333" s="232"/>
      <c r="R333" s="231" t="str">
        <f>IFERROR(1-(SUMIF('Grid BD'!$B:$B,$A333,'Grid BD'!$AD:$AD)/($AA333+SUMIF('Grid BD'!$B:$B,$A333,'Grid BD'!AD:AD))),"")</f>
        <v/>
      </c>
      <c r="S333" s="6"/>
      <c r="T333" s="232"/>
      <c r="U333" s="233" t="str">
        <f t="shared" si="21"/>
        <v/>
      </c>
      <c r="V333" s="233"/>
      <c r="W333" s="234" t="str">
        <f t="shared" si="23"/>
        <v/>
      </c>
      <c r="X333" s="227" t="str">
        <f>IFERROR(_xlfn.XLOOKUP($A333,'Raw Data'!$A:$A,'Raw Data'!$BA:$BA),"")</f>
        <v/>
      </c>
      <c r="Y333" s="227" t="str">
        <f>IFERROR(_xlfn.XLOOKUP($A333,'Raw Data'!$A:$A,'Raw Data'!BJ:BJ),"")</f>
        <v/>
      </c>
      <c r="Z333" s="227" t="str">
        <f>IFERROR(_xlfn.XLOOKUP($A333,'Raw Data'!$A:$A,'Raw Data'!BK:BK),"")</f>
        <v/>
      </c>
      <c r="AA333" s="227" t="str">
        <f>IFERROR(_xlfn.XLOOKUP($A333,'Raw Data'!$A:$A,'Raw Data'!BL:BL),"")</f>
        <v/>
      </c>
      <c r="AB333" s="227" t="str">
        <f>IFERROR(_xlfn.XLOOKUP($A333,'Raw Data'!$A:$A,'Raw Data'!$H:$H),"")</f>
        <v/>
      </c>
      <c r="AC333" s="145">
        <f>IFERROR(_xlfn.XLOOKUP($D333,'Modelling New'!$D:$D,'Modelling New'!$P:$P),"")</f>
        <v>6.8928571428571432</v>
      </c>
      <c r="AD333" s="227">
        <f>IFERROR(_xlfn.XLOOKUP($D333,'Modelling New'!$D:$D,'Modelling New'!$T:$T)*1000,"")</f>
        <v>114630.12204031929</v>
      </c>
      <c r="AE333" s="234">
        <f>IFERROR(_xlfn.XLOOKUP($D333,'Modelling New'!$D:$D,'Modelling New'!$O:$O),"")</f>
        <v>0.68428623396557675</v>
      </c>
      <c r="AF333" s="234">
        <f>IFERROR(_xlfn.XLOOKUP($D333,'Modelling New'!$D:$D,'Modelling New'!$W:$W),"")</f>
        <v>0.19652863564785167</v>
      </c>
      <c r="AG333" s="234">
        <f>IFERROR(_xlfn.XLOOKUP($D333,'Modelling New'!$D:$D,'Modelling New'!AE:AE),"")</f>
        <v>0.995</v>
      </c>
      <c r="AH333" s="234">
        <v>0.99750000000000005</v>
      </c>
      <c r="AI333" s="6"/>
      <c r="AJ333" s="6"/>
      <c r="AK333" s="6"/>
      <c r="AL333" s="6"/>
      <c r="AM333" s="6"/>
      <c r="AN333" s="231"/>
      <c r="AO333" s="234"/>
      <c r="AP333" s="234"/>
      <c r="AQ333" s="234"/>
      <c r="AR333" s="227">
        <f>IFERROR(_xlfn.XLOOKUP($D333,'Modelling New'!$D:$D,'Modelling New'!$N:$N),"")</f>
        <v>24.303100000000001</v>
      </c>
      <c r="AS333" s="227"/>
    </row>
    <row r="334" spans="1:45" x14ac:dyDescent="0.35">
      <c r="A334" s="226">
        <f t="shared" si="22"/>
        <v>46077</v>
      </c>
      <c r="B334" s="227">
        <f>YEAR(Daily_KPI[[#This Row],[Date]])+IF(MONTH(Daily_KPI[[#This Row],[Date]])&gt;=4,1,0)</f>
        <v>2026</v>
      </c>
      <c r="C334" s="6">
        <f>YEAR(Daily_KPI[[#This Row],[Date]])</f>
        <v>2026</v>
      </c>
      <c r="D334" s="228">
        <f>Daily_KPI[[#This Row],[Date]]-DAY(Daily_KPI[[#This Row],[Date]])+1</f>
        <v>46054</v>
      </c>
      <c r="E334" s="6">
        <f t="shared" si="24"/>
        <v>28</v>
      </c>
      <c r="F334" s="229" t="str">
        <f>IFERROR(_xlfn.XLOOKUP($A334,'Raw Data'!$A:$A,'Raw Data'!$BR:$BR),"")</f>
        <v/>
      </c>
      <c r="G334" s="230" t="str">
        <f>IFERROR(_xlfn.XLOOKUP($A334,'Raw Data'!$A:$A,'Raw Data'!$AO:$AO),"")</f>
        <v/>
      </c>
      <c r="H334" s="230"/>
      <c r="I334" s="230" t="str">
        <f>IFERROR(_xlfn.XLOOKUP($A334,'Raw Data'!$A:$A,'Raw Data'!$AR:$AR),"")</f>
        <v/>
      </c>
      <c r="J334" s="230"/>
      <c r="K334" s="230" t="str">
        <f>IFERROR(_xlfn.XLOOKUP($A334,'Raw Data'!$A:$A,'Raw Data'!$AV:$AV),"")</f>
        <v/>
      </c>
      <c r="L334" s="230" t="str">
        <f>IFERROR(_xlfn.XLOOKUP($A334,'Raw Data'!$A:$A,'Raw Data'!$AW:$AW),"")</f>
        <v/>
      </c>
      <c r="M334" s="230" t="str">
        <f>IFERROR(_xlfn.XLOOKUP($A334,'Raw Data'!$A:$A,'Raw Data'!$AX:$AX),"")</f>
        <v/>
      </c>
      <c r="N334" s="230" t="str">
        <f>IFERROR(_xlfn.XLOOKUP($A334,'Raw Data'!$A:$A,'Raw Data'!$AY:$AY),"")</f>
        <v/>
      </c>
      <c r="O334" s="231" t="str">
        <f>IFERROR(1-(SUMIF('Plant BD'!$B:$B,A334,'Plant BD'!$AE:$AE)/(AA334+SUMIF('Plant BD'!$B:$B,A334,'Plant BD'!$AE:$AE))),"")</f>
        <v/>
      </c>
      <c r="P334" s="231"/>
      <c r="Q334" s="232"/>
      <c r="R334" s="231" t="str">
        <f>IFERROR(1-(SUMIF('Grid BD'!$B:$B,$A334,'Grid BD'!$AD:$AD)/($AA334+SUMIF('Grid BD'!$B:$B,$A334,'Grid BD'!AD:AD))),"")</f>
        <v/>
      </c>
      <c r="S334" s="6"/>
      <c r="T334" s="232"/>
      <c r="U334" s="233" t="str">
        <f t="shared" si="21"/>
        <v/>
      </c>
      <c r="V334" s="233"/>
      <c r="W334" s="234" t="str">
        <f t="shared" si="23"/>
        <v/>
      </c>
      <c r="X334" s="227" t="str">
        <f>IFERROR(_xlfn.XLOOKUP($A334,'Raw Data'!$A:$A,'Raw Data'!$BA:$BA),"")</f>
        <v/>
      </c>
      <c r="Y334" s="227" t="str">
        <f>IFERROR(_xlfn.XLOOKUP($A334,'Raw Data'!$A:$A,'Raw Data'!BJ:BJ),"")</f>
        <v/>
      </c>
      <c r="Z334" s="227" t="str">
        <f>IFERROR(_xlfn.XLOOKUP($A334,'Raw Data'!$A:$A,'Raw Data'!BK:BK),"")</f>
        <v/>
      </c>
      <c r="AA334" s="227" t="str">
        <f>IFERROR(_xlfn.XLOOKUP($A334,'Raw Data'!$A:$A,'Raw Data'!BL:BL),"")</f>
        <v/>
      </c>
      <c r="AB334" s="227" t="str">
        <f>IFERROR(_xlfn.XLOOKUP($A334,'Raw Data'!$A:$A,'Raw Data'!$H:$H),"")</f>
        <v/>
      </c>
      <c r="AC334" s="145">
        <f>IFERROR(_xlfn.XLOOKUP($D334,'Modelling New'!$D:$D,'Modelling New'!$P:$P),"")</f>
        <v>6.8928571428571432</v>
      </c>
      <c r="AD334" s="227">
        <f>IFERROR(_xlfn.XLOOKUP($D334,'Modelling New'!$D:$D,'Modelling New'!$T:$T)*1000,"")</f>
        <v>114630.12204031929</v>
      </c>
      <c r="AE334" s="234">
        <f>IFERROR(_xlfn.XLOOKUP($D334,'Modelling New'!$D:$D,'Modelling New'!$O:$O),"")</f>
        <v>0.68428623396557675</v>
      </c>
      <c r="AF334" s="234">
        <f>IFERROR(_xlfn.XLOOKUP($D334,'Modelling New'!$D:$D,'Modelling New'!$W:$W),"")</f>
        <v>0.19652863564785167</v>
      </c>
      <c r="AG334" s="234">
        <f>IFERROR(_xlfn.XLOOKUP($D334,'Modelling New'!$D:$D,'Modelling New'!AE:AE),"")</f>
        <v>0.995</v>
      </c>
      <c r="AH334" s="234">
        <v>0.99750000000000005</v>
      </c>
      <c r="AI334" s="6"/>
      <c r="AJ334" s="6"/>
      <c r="AK334" s="6"/>
      <c r="AL334" s="6"/>
      <c r="AM334" s="6"/>
      <c r="AN334" s="231"/>
      <c r="AO334" s="234"/>
      <c r="AP334" s="234"/>
      <c r="AQ334" s="234"/>
      <c r="AR334" s="227">
        <f>IFERROR(_xlfn.XLOOKUP($D334,'Modelling New'!$D:$D,'Modelling New'!$N:$N),"")</f>
        <v>24.303100000000001</v>
      </c>
      <c r="AS334" s="227"/>
    </row>
    <row r="335" spans="1:45" x14ac:dyDescent="0.35">
      <c r="A335" s="226">
        <f t="shared" si="22"/>
        <v>46078</v>
      </c>
      <c r="B335" s="227">
        <f>YEAR(Daily_KPI[[#This Row],[Date]])+IF(MONTH(Daily_KPI[[#This Row],[Date]])&gt;=4,1,0)</f>
        <v>2026</v>
      </c>
      <c r="C335" s="6">
        <f>YEAR(Daily_KPI[[#This Row],[Date]])</f>
        <v>2026</v>
      </c>
      <c r="D335" s="228">
        <f>Daily_KPI[[#This Row],[Date]]-DAY(Daily_KPI[[#This Row],[Date]])+1</f>
        <v>46054</v>
      </c>
      <c r="E335" s="6">
        <f t="shared" si="24"/>
        <v>28</v>
      </c>
      <c r="F335" s="229" t="str">
        <f>IFERROR(_xlfn.XLOOKUP($A335,'Raw Data'!$A:$A,'Raw Data'!$BR:$BR),"")</f>
        <v/>
      </c>
      <c r="G335" s="230" t="str">
        <f>IFERROR(_xlfn.XLOOKUP($A335,'Raw Data'!$A:$A,'Raw Data'!$AO:$AO),"")</f>
        <v/>
      </c>
      <c r="H335" s="230"/>
      <c r="I335" s="230" t="str">
        <f>IFERROR(_xlfn.XLOOKUP($A335,'Raw Data'!$A:$A,'Raw Data'!$AR:$AR),"")</f>
        <v/>
      </c>
      <c r="J335" s="230"/>
      <c r="K335" s="230" t="str">
        <f>IFERROR(_xlfn.XLOOKUP($A335,'Raw Data'!$A:$A,'Raw Data'!$AV:$AV),"")</f>
        <v/>
      </c>
      <c r="L335" s="230" t="str">
        <f>IFERROR(_xlfn.XLOOKUP($A335,'Raw Data'!$A:$A,'Raw Data'!$AW:$AW),"")</f>
        <v/>
      </c>
      <c r="M335" s="230" t="str">
        <f>IFERROR(_xlfn.XLOOKUP($A335,'Raw Data'!$A:$A,'Raw Data'!$AX:$AX),"")</f>
        <v/>
      </c>
      <c r="N335" s="230" t="str">
        <f>IFERROR(_xlfn.XLOOKUP($A335,'Raw Data'!$A:$A,'Raw Data'!$AY:$AY),"")</f>
        <v/>
      </c>
      <c r="O335" s="231" t="str">
        <f>IFERROR(1-(SUMIF('Plant BD'!$B:$B,A335,'Plant BD'!$AE:$AE)/(AA335+SUMIF('Plant BD'!$B:$B,A335,'Plant BD'!$AE:$AE))),"")</f>
        <v/>
      </c>
      <c r="P335" s="231"/>
      <c r="Q335" s="232"/>
      <c r="R335" s="231" t="str">
        <f>IFERROR(1-(SUMIF('Grid BD'!$B:$B,$A335,'Grid BD'!$AD:$AD)/($AA335+SUMIF('Grid BD'!$B:$B,$A335,'Grid BD'!AD:AD))),"")</f>
        <v/>
      </c>
      <c r="S335" s="6"/>
      <c r="T335" s="232"/>
      <c r="U335" s="233" t="str">
        <f t="shared" si="21"/>
        <v/>
      </c>
      <c r="V335" s="233"/>
      <c r="W335" s="234" t="str">
        <f t="shared" si="23"/>
        <v/>
      </c>
      <c r="X335" s="227" t="str">
        <f>IFERROR(_xlfn.XLOOKUP($A335,'Raw Data'!$A:$A,'Raw Data'!$BA:$BA),"")</f>
        <v/>
      </c>
      <c r="Y335" s="227" t="str">
        <f>IFERROR(_xlfn.XLOOKUP($A335,'Raw Data'!$A:$A,'Raw Data'!BJ:BJ),"")</f>
        <v/>
      </c>
      <c r="Z335" s="227" t="str">
        <f>IFERROR(_xlfn.XLOOKUP($A335,'Raw Data'!$A:$A,'Raw Data'!BK:BK),"")</f>
        <v/>
      </c>
      <c r="AA335" s="227" t="str">
        <f>IFERROR(_xlfn.XLOOKUP($A335,'Raw Data'!$A:$A,'Raw Data'!BL:BL),"")</f>
        <v/>
      </c>
      <c r="AB335" s="227" t="str">
        <f>IFERROR(_xlfn.XLOOKUP($A335,'Raw Data'!$A:$A,'Raw Data'!$H:$H),"")</f>
        <v/>
      </c>
      <c r="AC335" s="145">
        <f>IFERROR(_xlfn.XLOOKUP($D335,'Modelling New'!$D:$D,'Modelling New'!$P:$P),"")</f>
        <v>6.8928571428571432</v>
      </c>
      <c r="AD335" s="227">
        <f>IFERROR(_xlfn.XLOOKUP($D335,'Modelling New'!$D:$D,'Modelling New'!$T:$T)*1000,"")</f>
        <v>114630.12204031929</v>
      </c>
      <c r="AE335" s="234">
        <f>IFERROR(_xlfn.XLOOKUP($D335,'Modelling New'!$D:$D,'Modelling New'!$O:$O),"")</f>
        <v>0.68428623396557675</v>
      </c>
      <c r="AF335" s="234">
        <f>IFERROR(_xlfn.XLOOKUP($D335,'Modelling New'!$D:$D,'Modelling New'!$W:$W),"")</f>
        <v>0.19652863564785167</v>
      </c>
      <c r="AG335" s="234">
        <f>IFERROR(_xlfn.XLOOKUP($D335,'Modelling New'!$D:$D,'Modelling New'!AE:AE),"")</f>
        <v>0.995</v>
      </c>
      <c r="AH335" s="234">
        <v>0.99750000000000005</v>
      </c>
      <c r="AI335" s="6"/>
      <c r="AJ335" s="6"/>
      <c r="AK335" s="6"/>
      <c r="AL335" s="6"/>
      <c r="AM335" s="6"/>
      <c r="AN335" s="231"/>
      <c r="AO335" s="234"/>
      <c r="AP335" s="234"/>
      <c r="AQ335" s="234"/>
      <c r="AR335" s="227">
        <f>IFERROR(_xlfn.XLOOKUP($D335,'Modelling New'!$D:$D,'Modelling New'!$N:$N),"")</f>
        <v>24.303100000000001</v>
      </c>
      <c r="AS335" s="227"/>
    </row>
    <row r="336" spans="1:45" x14ac:dyDescent="0.35">
      <c r="A336" s="226">
        <f t="shared" si="22"/>
        <v>46079</v>
      </c>
      <c r="B336" s="227">
        <f>YEAR(Daily_KPI[[#This Row],[Date]])+IF(MONTH(Daily_KPI[[#This Row],[Date]])&gt;=4,1,0)</f>
        <v>2026</v>
      </c>
      <c r="C336" s="6">
        <f>YEAR(Daily_KPI[[#This Row],[Date]])</f>
        <v>2026</v>
      </c>
      <c r="D336" s="228">
        <f>Daily_KPI[[#This Row],[Date]]-DAY(Daily_KPI[[#This Row],[Date]])+1</f>
        <v>46054</v>
      </c>
      <c r="E336" s="6">
        <f t="shared" si="24"/>
        <v>28</v>
      </c>
      <c r="F336" s="229" t="str">
        <f>IFERROR(_xlfn.XLOOKUP($A336,'Raw Data'!$A:$A,'Raw Data'!$BR:$BR),"")</f>
        <v/>
      </c>
      <c r="G336" s="230" t="str">
        <f>IFERROR(_xlfn.XLOOKUP($A336,'Raw Data'!$A:$A,'Raw Data'!$AO:$AO),"")</f>
        <v/>
      </c>
      <c r="H336" s="230"/>
      <c r="I336" s="230" t="str">
        <f>IFERROR(_xlfn.XLOOKUP($A336,'Raw Data'!$A:$A,'Raw Data'!$AR:$AR),"")</f>
        <v/>
      </c>
      <c r="J336" s="230"/>
      <c r="K336" s="230" t="str">
        <f>IFERROR(_xlfn.XLOOKUP($A336,'Raw Data'!$A:$A,'Raw Data'!$AV:$AV),"")</f>
        <v/>
      </c>
      <c r="L336" s="230" t="str">
        <f>IFERROR(_xlfn.XLOOKUP($A336,'Raw Data'!$A:$A,'Raw Data'!$AW:$AW),"")</f>
        <v/>
      </c>
      <c r="M336" s="230" t="str">
        <f>IFERROR(_xlfn.XLOOKUP($A336,'Raw Data'!$A:$A,'Raw Data'!$AX:$AX),"")</f>
        <v/>
      </c>
      <c r="N336" s="230" t="str">
        <f>IFERROR(_xlfn.XLOOKUP($A336,'Raw Data'!$A:$A,'Raw Data'!$AY:$AY),"")</f>
        <v/>
      </c>
      <c r="O336" s="231" t="str">
        <f>IFERROR(1-(SUMIF('Plant BD'!$B:$B,A336,'Plant BD'!$AE:$AE)/(AA336+SUMIF('Plant BD'!$B:$B,A336,'Plant BD'!$AE:$AE))),"")</f>
        <v/>
      </c>
      <c r="P336" s="231"/>
      <c r="Q336" s="232"/>
      <c r="R336" s="231" t="str">
        <f>IFERROR(1-(SUMIF('Grid BD'!$B:$B,$A336,'Grid BD'!$AD:$AD)/($AA336+SUMIF('Grid BD'!$B:$B,$A336,'Grid BD'!AD:AD))),"")</f>
        <v/>
      </c>
      <c r="S336" s="6"/>
      <c r="T336" s="232"/>
      <c r="U336" s="233" t="str">
        <f t="shared" si="21"/>
        <v/>
      </c>
      <c r="V336" s="233"/>
      <c r="W336" s="234" t="str">
        <f t="shared" si="23"/>
        <v/>
      </c>
      <c r="X336" s="227" t="str">
        <f>IFERROR(_xlfn.XLOOKUP($A336,'Raw Data'!$A:$A,'Raw Data'!$BA:$BA),"")</f>
        <v/>
      </c>
      <c r="Y336" s="227" t="str">
        <f>IFERROR(_xlfn.XLOOKUP($A336,'Raw Data'!$A:$A,'Raw Data'!BJ:BJ),"")</f>
        <v/>
      </c>
      <c r="Z336" s="227" t="str">
        <f>IFERROR(_xlfn.XLOOKUP($A336,'Raw Data'!$A:$A,'Raw Data'!BK:BK),"")</f>
        <v/>
      </c>
      <c r="AA336" s="227" t="str">
        <f>IFERROR(_xlfn.XLOOKUP($A336,'Raw Data'!$A:$A,'Raw Data'!BL:BL),"")</f>
        <v/>
      </c>
      <c r="AB336" s="227" t="str">
        <f>IFERROR(_xlfn.XLOOKUP($A336,'Raw Data'!$A:$A,'Raw Data'!$H:$H),"")</f>
        <v/>
      </c>
      <c r="AC336" s="145">
        <f>IFERROR(_xlfn.XLOOKUP($D336,'Modelling New'!$D:$D,'Modelling New'!$P:$P),"")</f>
        <v>6.8928571428571432</v>
      </c>
      <c r="AD336" s="227">
        <f>IFERROR(_xlfn.XLOOKUP($D336,'Modelling New'!$D:$D,'Modelling New'!$T:$T)*1000,"")</f>
        <v>114630.12204031929</v>
      </c>
      <c r="AE336" s="234">
        <f>IFERROR(_xlfn.XLOOKUP($D336,'Modelling New'!$D:$D,'Modelling New'!$O:$O),"")</f>
        <v>0.68428623396557675</v>
      </c>
      <c r="AF336" s="234">
        <f>IFERROR(_xlfn.XLOOKUP($D336,'Modelling New'!$D:$D,'Modelling New'!$W:$W),"")</f>
        <v>0.19652863564785167</v>
      </c>
      <c r="AG336" s="234">
        <f>IFERROR(_xlfn.XLOOKUP($D336,'Modelling New'!$D:$D,'Modelling New'!AE:AE),"")</f>
        <v>0.995</v>
      </c>
      <c r="AH336" s="234">
        <v>0.99750000000000005</v>
      </c>
      <c r="AI336" s="6"/>
      <c r="AJ336" s="6"/>
      <c r="AK336" s="6"/>
      <c r="AL336" s="6"/>
      <c r="AM336" s="6"/>
      <c r="AN336" s="231"/>
      <c r="AO336" s="234"/>
      <c r="AP336" s="234"/>
      <c r="AQ336" s="234"/>
      <c r="AR336" s="227">
        <f>IFERROR(_xlfn.XLOOKUP($D336,'Modelling New'!$D:$D,'Modelling New'!$N:$N),"")</f>
        <v>24.303100000000001</v>
      </c>
      <c r="AS336" s="227"/>
    </row>
    <row r="337" spans="1:45" x14ac:dyDescent="0.35">
      <c r="A337" s="226">
        <f t="shared" si="22"/>
        <v>46080</v>
      </c>
      <c r="B337" s="227">
        <f>YEAR(Daily_KPI[[#This Row],[Date]])+IF(MONTH(Daily_KPI[[#This Row],[Date]])&gt;=4,1,0)</f>
        <v>2026</v>
      </c>
      <c r="C337" s="6">
        <f>YEAR(Daily_KPI[[#This Row],[Date]])</f>
        <v>2026</v>
      </c>
      <c r="D337" s="228">
        <f>Daily_KPI[[#This Row],[Date]]-DAY(Daily_KPI[[#This Row],[Date]])+1</f>
        <v>46054</v>
      </c>
      <c r="E337" s="6">
        <f t="shared" si="24"/>
        <v>28</v>
      </c>
      <c r="F337" s="229" t="str">
        <f>IFERROR(_xlfn.XLOOKUP($A337,'Raw Data'!$A:$A,'Raw Data'!$BR:$BR),"")</f>
        <v/>
      </c>
      <c r="G337" s="230" t="str">
        <f>IFERROR(_xlfn.XLOOKUP($A337,'Raw Data'!$A:$A,'Raw Data'!$AO:$AO),"")</f>
        <v/>
      </c>
      <c r="H337" s="230"/>
      <c r="I337" s="230" t="str">
        <f>IFERROR(_xlfn.XLOOKUP($A337,'Raw Data'!$A:$A,'Raw Data'!$AR:$AR),"")</f>
        <v/>
      </c>
      <c r="J337" s="230"/>
      <c r="K337" s="230" t="str">
        <f>IFERROR(_xlfn.XLOOKUP($A337,'Raw Data'!$A:$A,'Raw Data'!$AV:$AV),"")</f>
        <v/>
      </c>
      <c r="L337" s="230" t="str">
        <f>IFERROR(_xlfn.XLOOKUP($A337,'Raw Data'!$A:$A,'Raw Data'!$AW:$AW),"")</f>
        <v/>
      </c>
      <c r="M337" s="230" t="str">
        <f>IFERROR(_xlfn.XLOOKUP($A337,'Raw Data'!$A:$A,'Raw Data'!$AX:$AX),"")</f>
        <v/>
      </c>
      <c r="N337" s="230" t="str">
        <f>IFERROR(_xlfn.XLOOKUP($A337,'Raw Data'!$A:$A,'Raw Data'!$AY:$AY),"")</f>
        <v/>
      </c>
      <c r="O337" s="231" t="str">
        <f>IFERROR(1-(SUMIF('Plant BD'!$B:$B,A337,'Plant BD'!$AE:$AE)/(AA337+SUMIF('Plant BD'!$B:$B,A337,'Plant BD'!$AE:$AE))),"")</f>
        <v/>
      </c>
      <c r="P337" s="231"/>
      <c r="Q337" s="232"/>
      <c r="R337" s="231" t="str">
        <f>IFERROR(1-(SUMIF('Grid BD'!$B:$B,$A337,'Grid BD'!$AD:$AD)/($AA337+SUMIF('Grid BD'!$B:$B,$A337,'Grid BD'!AD:AD))),"")</f>
        <v/>
      </c>
      <c r="S337" s="6"/>
      <c r="T337" s="232"/>
      <c r="U337" s="233" t="str">
        <f t="shared" si="21"/>
        <v/>
      </c>
      <c r="V337" s="233"/>
      <c r="W337" s="234" t="str">
        <f t="shared" si="23"/>
        <v/>
      </c>
      <c r="X337" s="227" t="str">
        <f>IFERROR(_xlfn.XLOOKUP($A337,'Raw Data'!$A:$A,'Raw Data'!$BA:$BA),"")</f>
        <v/>
      </c>
      <c r="Y337" s="227" t="str">
        <f>IFERROR(_xlfn.XLOOKUP($A337,'Raw Data'!$A:$A,'Raw Data'!BJ:BJ),"")</f>
        <v/>
      </c>
      <c r="Z337" s="227" t="str">
        <f>IFERROR(_xlfn.XLOOKUP($A337,'Raw Data'!$A:$A,'Raw Data'!BK:BK),"")</f>
        <v/>
      </c>
      <c r="AA337" s="227" t="str">
        <f>IFERROR(_xlfn.XLOOKUP($A337,'Raw Data'!$A:$A,'Raw Data'!BL:BL),"")</f>
        <v/>
      </c>
      <c r="AB337" s="227" t="str">
        <f>IFERROR(_xlfn.XLOOKUP($A337,'Raw Data'!$A:$A,'Raw Data'!$H:$H),"")</f>
        <v/>
      </c>
      <c r="AC337" s="145">
        <f>IFERROR(_xlfn.XLOOKUP($D337,'Modelling New'!$D:$D,'Modelling New'!$P:$P),"")</f>
        <v>6.8928571428571432</v>
      </c>
      <c r="AD337" s="227">
        <f>IFERROR(_xlfn.XLOOKUP($D337,'Modelling New'!$D:$D,'Modelling New'!$T:$T)*1000,"")</f>
        <v>114630.12204031929</v>
      </c>
      <c r="AE337" s="234">
        <f>IFERROR(_xlfn.XLOOKUP($D337,'Modelling New'!$D:$D,'Modelling New'!$O:$O),"")</f>
        <v>0.68428623396557675</v>
      </c>
      <c r="AF337" s="234">
        <f>IFERROR(_xlfn.XLOOKUP($D337,'Modelling New'!$D:$D,'Modelling New'!$W:$W),"")</f>
        <v>0.19652863564785167</v>
      </c>
      <c r="AG337" s="234">
        <f>IFERROR(_xlfn.XLOOKUP($D337,'Modelling New'!$D:$D,'Modelling New'!AE:AE),"")</f>
        <v>0.995</v>
      </c>
      <c r="AH337" s="234">
        <v>0.99750000000000005</v>
      </c>
      <c r="AI337" s="6"/>
      <c r="AJ337" s="6"/>
      <c r="AK337" s="6"/>
      <c r="AL337" s="6"/>
      <c r="AM337" s="6"/>
      <c r="AN337" s="231"/>
      <c r="AO337" s="234"/>
      <c r="AP337" s="234"/>
      <c r="AQ337" s="234"/>
      <c r="AR337" s="227">
        <f>IFERROR(_xlfn.XLOOKUP($D337,'Modelling New'!$D:$D,'Modelling New'!$N:$N),"")</f>
        <v>24.303100000000001</v>
      </c>
      <c r="AS337" s="227"/>
    </row>
    <row r="338" spans="1:45" x14ac:dyDescent="0.35">
      <c r="A338" s="226">
        <f t="shared" si="22"/>
        <v>46081</v>
      </c>
      <c r="B338" s="227">
        <f>YEAR(Daily_KPI[[#This Row],[Date]])+IF(MONTH(Daily_KPI[[#This Row],[Date]])&gt;=4,1,0)</f>
        <v>2026</v>
      </c>
      <c r="C338" s="6">
        <f>YEAR(Daily_KPI[[#This Row],[Date]])</f>
        <v>2026</v>
      </c>
      <c r="D338" s="228">
        <f>Daily_KPI[[#This Row],[Date]]-DAY(Daily_KPI[[#This Row],[Date]])+1</f>
        <v>46054</v>
      </c>
      <c r="E338" s="6">
        <f t="shared" si="24"/>
        <v>28</v>
      </c>
      <c r="F338" s="229" t="str">
        <f>IFERROR(_xlfn.XLOOKUP($A338,'Raw Data'!$A:$A,'Raw Data'!$BR:$BR),"")</f>
        <v/>
      </c>
      <c r="G338" s="230" t="str">
        <f>IFERROR(_xlfn.XLOOKUP($A338,'Raw Data'!$A:$A,'Raw Data'!$AO:$AO),"")</f>
        <v/>
      </c>
      <c r="H338" s="230"/>
      <c r="I338" s="230" t="str">
        <f>IFERROR(_xlfn.XLOOKUP($A338,'Raw Data'!$A:$A,'Raw Data'!$AR:$AR),"")</f>
        <v/>
      </c>
      <c r="J338" s="230"/>
      <c r="K338" s="230" t="str">
        <f>IFERROR(_xlfn.XLOOKUP($A338,'Raw Data'!$A:$A,'Raw Data'!$AV:$AV),"")</f>
        <v/>
      </c>
      <c r="L338" s="230" t="str">
        <f>IFERROR(_xlfn.XLOOKUP($A338,'Raw Data'!$A:$A,'Raw Data'!$AW:$AW),"")</f>
        <v/>
      </c>
      <c r="M338" s="230" t="str">
        <f>IFERROR(_xlfn.XLOOKUP($A338,'Raw Data'!$A:$A,'Raw Data'!$AX:$AX),"")</f>
        <v/>
      </c>
      <c r="N338" s="230" t="str">
        <f>IFERROR(_xlfn.XLOOKUP($A338,'Raw Data'!$A:$A,'Raw Data'!$AY:$AY),"")</f>
        <v/>
      </c>
      <c r="O338" s="231" t="str">
        <f>IFERROR(1-(SUMIF('Plant BD'!$B:$B,A338,'Plant BD'!$AE:$AE)/(AA338+SUMIF('Plant BD'!$B:$B,A338,'Plant BD'!$AE:$AE))),"")</f>
        <v/>
      </c>
      <c r="P338" s="231"/>
      <c r="Q338" s="232"/>
      <c r="R338" s="231" t="str">
        <f>IFERROR(1-(SUMIF('Grid BD'!$B:$B,$A338,'Grid BD'!$AD:$AD)/($AA338+SUMIF('Grid BD'!$B:$B,$A338,'Grid BD'!AD:AD))),"")</f>
        <v/>
      </c>
      <c r="S338" s="6"/>
      <c r="T338" s="232"/>
      <c r="U338" s="233" t="str">
        <f t="shared" ref="U338:U369" si="25">IFERROR(AA338/I338/AB338/1000,"")</f>
        <v/>
      </c>
      <c r="V338" s="233"/>
      <c r="W338" s="234" t="str">
        <f t="shared" si="23"/>
        <v/>
      </c>
      <c r="X338" s="227" t="str">
        <f>IFERROR(_xlfn.XLOOKUP($A338,'Raw Data'!$A:$A,'Raw Data'!$BA:$BA),"")</f>
        <v/>
      </c>
      <c r="Y338" s="227" t="str">
        <f>IFERROR(_xlfn.XLOOKUP($A338,'Raw Data'!$A:$A,'Raw Data'!BJ:BJ),"")</f>
        <v/>
      </c>
      <c r="Z338" s="227" t="str">
        <f>IFERROR(_xlfn.XLOOKUP($A338,'Raw Data'!$A:$A,'Raw Data'!BK:BK),"")</f>
        <v/>
      </c>
      <c r="AA338" s="227" t="str">
        <f>IFERROR(_xlfn.XLOOKUP($A338,'Raw Data'!$A:$A,'Raw Data'!BL:BL),"")</f>
        <v/>
      </c>
      <c r="AB338" s="227" t="str">
        <f>IFERROR(_xlfn.XLOOKUP($A338,'Raw Data'!$A:$A,'Raw Data'!$H:$H),"")</f>
        <v/>
      </c>
      <c r="AC338" s="145">
        <f>IFERROR(_xlfn.XLOOKUP($D338,'Modelling New'!$D:$D,'Modelling New'!$P:$P),"")</f>
        <v>6.8928571428571432</v>
      </c>
      <c r="AD338" s="227">
        <f>IFERROR(_xlfn.XLOOKUP($D338,'Modelling New'!$D:$D,'Modelling New'!$T:$T)*1000,"")</f>
        <v>114630.12204031929</v>
      </c>
      <c r="AE338" s="234">
        <f>IFERROR(_xlfn.XLOOKUP($D338,'Modelling New'!$D:$D,'Modelling New'!$O:$O),"")</f>
        <v>0.68428623396557675</v>
      </c>
      <c r="AF338" s="234">
        <f>IFERROR(_xlfn.XLOOKUP($D338,'Modelling New'!$D:$D,'Modelling New'!$W:$W),"")</f>
        <v>0.19652863564785167</v>
      </c>
      <c r="AG338" s="234">
        <f>IFERROR(_xlfn.XLOOKUP($D338,'Modelling New'!$D:$D,'Modelling New'!AE:AE),"")</f>
        <v>0.995</v>
      </c>
      <c r="AH338" s="234">
        <v>0.99750000000000005</v>
      </c>
      <c r="AI338" s="6"/>
      <c r="AJ338" s="6"/>
      <c r="AK338" s="6"/>
      <c r="AL338" s="6"/>
      <c r="AM338" s="6"/>
      <c r="AN338" s="231"/>
      <c r="AO338" s="234"/>
      <c r="AP338" s="234"/>
      <c r="AQ338" s="234"/>
      <c r="AR338" s="227">
        <f>IFERROR(_xlfn.XLOOKUP($D338,'Modelling New'!$D:$D,'Modelling New'!$N:$N),"")</f>
        <v>24.303100000000001</v>
      </c>
      <c r="AS338" s="227"/>
    </row>
    <row r="339" spans="1:45" x14ac:dyDescent="0.35">
      <c r="A339" s="226">
        <f t="shared" si="22"/>
        <v>46082</v>
      </c>
      <c r="B339" s="227">
        <f>YEAR(Daily_KPI[[#This Row],[Date]])+IF(MONTH(Daily_KPI[[#This Row],[Date]])&gt;=4,1,0)</f>
        <v>2026</v>
      </c>
      <c r="C339" s="6">
        <f>YEAR(Daily_KPI[[#This Row],[Date]])</f>
        <v>2026</v>
      </c>
      <c r="D339" s="228">
        <f>Daily_KPI[[#This Row],[Date]]-DAY(Daily_KPI[[#This Row],[Date]])+1</f>
        <v>46082</v>
      </c>
      <c r="E339" s="6">
        <f t="shared" si="24"/>
        <v>31</v>
      </c>
      <c r="F339" s="229" t="str">
        <f>IFERROR(_xlfn.XLOOKUP($A339,'Raw Data'!$A:$A,'Raw Data'!$BR:$BR),"")</f>
        <v/>
      </c>
      <c r="G339" s="230" t="str">
        <f>IFERROR(_xlfn.XLOOKUP($A339,'Raw Data'!$A:$A,'Raw Data'!$AO:$AO),"")</f>
        <v/>
      </c>
      <c r="H339" s="230"/>
      <c r="I339" s="230" t="str">
        <f>IFERROR(_xlfn.XLOOKUP($A339,'Raw Data'!$A:$A,'Raw Data'!$AR:$AR),"")</f>
        <v/>
      </c>
      <c r="J339" s="230"/>
      <c r="K339" s="230" t="str">
        <f>IFERROR(_xlfn.XLOOKUP($A339,'Raw Data'!$A:$A,'Raw Data'!$AV:$AV),"")</f>
        <v/>
      </c>
      <c r="L339" s="230" t="str">
        <f>IFERROR(_xlfn.XLOOKUP($A339,'Raw Data'!$A:$A,'Raw Data'!$AW:$AW),"")</f>
        <v/>
      </c>
      <c r="M339" s="230" t="str">
        <f>IFERROR(_xlfn.XLOOKUP($A339,'Raw Data'!$A:$A,'Raw Data'!$AX:$AX),"")</f>
        <v/>
      </c>
      <c r="N339" s="230" t="str">
        <f>IFERROR(_xlfn.XLOOKUP($A339,'Raw Data'!$A:$A,'Raw Data'!$AY:$AY),"")</f>
        <v/>
      </c>
      <c r="O339" s="231" t="str">
        <f>IFERROR(1-(SUMIF('Plant BD'!$B:$B,A339,'Plant BD'!$AE:$AE)/(AA339+SUMIF('Plant BD'!$B:$B,A339,'Plant BD'!$AE:$AE))),"")</f>
        <v/>
      </c>
      <c r="P339" s="231"/>
      <c r="Q339" s="232"/>
      <c r="R339" s="231" t="str">
        <f>IFERROR(1-(SUMIF('Grid BD'!$B:$B,$A339,'Grid BD'!$AD:$AD)/($AA339+SUMIF('Grid BD'!$B:$B,$A339,'Grid BD'!AD:AD))),"")</f>
        <v/>
      </c>
      <c r="S339" s="6"/>
      <c r="T339" s="232"/>
      <c r="U339" s="233" t="str">
        <f t="shared" si="25"/>
        <v/>
      </c>
      <c r="V339" s="233"/>
      <c r="W339" s="234" t="str">
        <f t="shared" si="23"/>
        <v/>
      </c>
      <c r="X339" s="227" t="str">
        <f>IFERROR(_xlfn.XLOOKUP($A339,'Raw Data'!$A:$A,'Raw Data'!$BA:$BA),"")</f>
        <v/>
      </c>
      <c r="Y339" s="227" t="str">
        <f>IFERROR(_xlfn.XLOOKUP($A339,'Raw Data'!$A:$A,'Raw Data'!BJ:BJ),"")</f>
        <v/>
      </c>
      <c r="Z339" s="227" t="str">
        <f>IFERROR(_xlfn.XLOOKUP($A339,'Raw Data'!$A:$A,'Raw Data'!BK:BK),"")</f>
        <v/>
      </c>
      <c r="AA339" s="227" t="str">
        <f>IFERROR(_xlfn.XLOOKUP($A339,'Raw Data'!$A:$A,'Raw Data'!BL:BL),"")</f>
        <v/>
      </c>
      <c r="AB339" s="227" t="str">
        <f>IFERROR(_xlfn.XLOOKUP($A339,'Raw Data'!$A:$A,'Raw Data'!$H:$H),"")</f>
        <v/>
      </c>
      <c r="AC339" s="145">
        <f>IFERROR(_xlfn.XLOOKUP($D339,'Modelling New'!$D:$D,'Modelling New'!$P:$P),"")</f>
        <v>6.9</v>
      </c>
      <c r="AD339" s="227">
        <f>IFERROR(_xlfn.XLOOKUP($D339,'Modelling New'!$D:$D,'Modelling New'!$T:$T)*1000,"")</f>
        <v>124131.0967036221</v>
      </c>
      <c r="AE339" s="234">
        <f>IFERROR(_xlfn.XLOOKUP($D339,'Modelling New'!$D:$D,'Modelling New'!$O:$O),"")</f>
        <v>0.74023536153896807</v>
      </c>
      <c r="AF339" s="234">
        <f>IFERROR(_xlfn.XLOOKUP($D339,'Modelling New'!$D:$D,'Modelling New'!$W:$W),"")</f>
        <v>0.21281766644245331</v>
      </c>
      <c r="AG339" s="234">
        <f>IFERROR(_xlfn.XLOOKUP($D339,'Modelling New'!$D:$D,'Modelling New'!AE:AE),"")</f>
        <v>0.995</v>
      </c>
      <c r="AH339" s="234">
        <v>0.99750000000000005</v>
      </c>
      <c r="AI339" s="6"/>
      <c r="AJ339" s="6"/>
      <c r="AK339" s="6"/>
      <c r="AL339" s="6"/>
      <c r="AM339" s="6"/>
      <c r="AN339" s="231"/>
      <c r="AO339" s="234"/>
      <c r="AP339" s="234"/>
      <c r="AQ339" s="234"/>
      <c r="AR339" s="227">
        <f>IFERROR(_xlfn.XLOOKUP($D339,'Modelling New'!$D:$D,'Modelling New'!$N:$N),"")</f>
        <v>24.303100000000001</v>
      </c>
      <c r="AS339" s="227"/>
    </row>
    <row r="340" spans="1:45" x14ac:dyDescent="0.35">
      <c r="A340" s="226">
        <f t="shared" ref="A340:A369" si="26">A339+1</f>
        <v>46083</v>
      </c>
      <c r="B340" s="227">
        <f>YEAR(Daily_KPI[[#This Row],[Date]])+IF(MONTH(Daily_KPI[[#This Row],[Date]])&gt;=4,1,0)</f>
        <v>2026</v>
      </c>
      <c r="C340" s="6">
        <f>YEAR(Daily_KPI[[#This Row],[Date]])</f>
        <v>2026</v>
      </c>
      <c r="D340" s="228">
        <f>Daily_KPI[[#This Row],[Date]]-DAY(Daily_KPI[[#This Row],[Date]])+1</f>
        <v>46082</v>
      </c>
      <c r="E340" s="6">
        <f t="shared" si="24"/>
        <v>31</v>
      </c>
      <c r="F340" s="229" t="str">
        <f>IFERROR(_xlfn.XLOOKUP($A340,'Raw Data'!$A:$A,'Raw Data'!$BR:$BR),"")</f>
        <v/>
      </c>
      <c r="G340" s="230" t="str">
        <f>IFERROR(_xlfn.XLOOKUP($A340,'Raw Data'!$A:$A,'Raw Data'!$AO:$AO),"")</f>
        <v/>
      </c>
      <c r="H340" s="230"/>
      <c r="I340" s="230" t="str">
        <f>IFERROR(_xlfn.XLOOKUP($A340,'Raw Data'!$A:$A,'Raw Data'!$AR:$AR),"")</f>
        <v/>
      </c>
      <c r="J340" s="230"/>
      <c r="K340" s="230" t="str">
        <f>IFERROR(_xlfn.XLOOKUP($A340,'Raw Data'!$A:$A,'Raw Data'!$AV:$AV),"")</f>
        <v/>
      </c>
      <c r="L340" s="230" t="str">
        <f>IFERROR(_xlfn.XLOOKUP($A340,'Raw Data'!$A:$A,'Raw Data'!$AW:$AW),"")</f>
        <v/>
      </c>
      <c r="M340" s="230" t="str">
        <f>IFERROR(_xlfn.XLOOKUP($A340,'Raw Data'!$A:$A,'Raw Data'!$AX:$AX),"")</f>
        <v/>
      </c>
      <c r="N340" s="230" t="str">
        <f>IFERROR(_xlfn.XLOOKUP($A340,'Raw Data'!$A:$A,'Raw Data'!$AY:$AY),"")</f>
        <v/>
      </c>
      <c r="O340" s="231" t="str">
        <f>IFERROR(1-(SUMIF('Plant BD'!$B:$B,A340,'Plant BD'!$AE:$AE)/(AA340+SUMIF('Plant BD'!$B:$B,A340,'Plant BD'!$AE:$AE))),"")</f>
        <v/>
      </c>
      <c r="P340" s="231"/>
      <c r="Q340" s="232"/>
      <c r="R340" s="231" t="str">
        <f>IFERROR(1-(SUMIF('Grid BD'!$B:$B,$A340,'Grid BD'!$AD:$AD)/($AA340+SUMIF('Grid BD'!$B:$B,$A340,'Grid BD'!AD:AD))),"")</f>
        <v/>
      </c>
      <c r="S340" s="6"/>
      <c r="T340" s="232"/>
      <c r="U340" s="233" t="str">
        <f t="shared" si="25"/>
        <v/>
      </c>
      <c r="V340" s="233"/>
      <c r="W340" s="234" t="str">
        <f t="shared" si="23"/>
        <v/>
      </c>
      <c r="X340" s="227" t="str">
        <f>IFERROR(_xlfn.XLOOKUP($A340,'Raw Data'!$A:$A,'Raw Data'!$BA:$BA),"")</f>
        <v/>
      </c>
      <c r="Y340" s="227" t="str">
        <f>IFERROR(_xlfn.XLOOKUP($A340,'Raw Data'!$A:$A,'Raw Data'!BJ:BJ),"")</f>
        <v/>
      </c>
      <c r="Z340" s="227" t="str">
        <f>IFERROR(_xlfn.XLOOKUP($A340,'Raw Data'!$A:$A,'Raw Data'!BK:BK),"")</f>
        <v/>
      </c>
      <c r="AA340" s="227" t="str">
        <f>IFERROR(_xlfn.XLOOKUP($A340,'Raw Data'!$A:$A,'Raw Data'!BL:BL),"")</f>
        <v/>
      </c>
      <c r="AB340" s="227" t="str">
        <f>IFERROR(_xlfn.XLOOKUP($A340,'Raw Data'!$A:$A,'Raw Data'!$H:$H),"")</f>
        <v/>
      </c>
      <c r="AC340" s="145">
        <f>IFERROR(_xlfn.XLOOKUP($D340,'Modelling New'!$D:$D,'Modelling New'!$P:$P),"")</f>
        <v>6.9</v>
      </c>
      <c r="AD340" s="227">
        <f>IFERROR(_xlfn.XLOOKUP($D340,'Modelling New'!$D:$D,'Modelling New'!$T:$T)*1000,"")</f>
        <v>124131.0967036221</v>
      </c>
      <c r="AE340" s="234">
        <f>IFERROR(_xlfn.XLOOKUP($D340,'Modelling New'!$D:$D,'Modelling New'!$O:$O),"")</f>
        <v>0.74023536153896807</v>
      </c>
      <c r="AF340" s="234">
        <f>IFERROR(_xlfn.XLOOKUP($D340,'Modelling New'!$D:$D,'Modelling New'!$W:$W),"")</f>
        <v>0.21281766644245331</v>
      </c>
      <c r="AG340" s="234">
        <f>IFERROR(_xlfn.XLOOKUP($D340,'Modelling New'!$D:$D,'Modelling New'!AE:AE),"")</f>
        <v>0.995</v>
      </c>
      <c r="AH340" s="234">
        <v>0.99750000000000005</v>
      </c>
      <c r="AI340" s="6"/>
      <c r="AJ340" s="6"/>
      <c r="AK340" s="6"/>
      <c r="AL340" s="6"/>
      <c r="AM340" s="6"/>
      <c r="AN340" s="231"/>
      <c r="AO340" s="234"/>
      <c r="AP340" s="234"/>
      <c r="AQ340" s="234"/>
      <c r="AR340" s="227">
        <f>IFERROR(_xlfn.XLOOKUP($D340,'Modelling New'!$D:$D,'Modelling New'!$N:$N),"")</f>
        <v>24.303100000000001</v>
      </c>
      <c r="AS340" s="227"/>
    </row>
    <row r="341" spans="1:45" x14ac:dyDescent="0.35">
      <c r="A341" s="226">
        <f t="shared" si="26"/>
        <v>46084</v>
      </c>
      <c r="B341" s="227">
        <f>YEAR(Daily_KPI[[#This Row],[Date]])+IF(MONTH(Daily_KPI[[#This Row],[Date]])&gt;=4,1,0)</f>
        <v>2026</v>
      </c>
      <c r="C341" s="6">
        <f>YEAR(Daily_KPI[[#This Row],[Date]])</f>
        <v>2026</v>
      </c>
      <c r="D341" s="228">
        <f>Daily_KPI[[#This Row],[Date]]-DAY(Daily_KPI[[#This Row],[Date]])+1</f>
        <v>46082</v>
      </c>
      <c r="E341" s="6">
        <f t="shared" si="24"/>
        <v>31</v>
      </c>
      <c r="F341" s="229" t="str">
        <f>IFERROR(_xlfn.XLOOKUP($A341,'Raw Data'!$A:$A,'Raw Data'!$BR:$BR),"")</f>
        <v/>
      </c>
      <c r="G341" s="230" t="str">
        <f>IFERROR(_xlfn.XLOOKUP($A341,'Raw Data'!$A:$A,'Raw Data'!$AO:$AO),"")</f>
        <v/>
      </c>
      <c r="H341" s="230"/>
      <c r="I341" s="230" t="str">
        <f>IFERROR(_xlfn.XLOOKUP($A341,'Raw Data'!$A:$A,'Raw Data'!$AR:$AR),"")</f>
        <v/>
      </c>
      <c r="J341" s="230"/>
      <c r="K341" s="230" t="str">
        <f>IFERROR(_xlfn.XLOOKUP($A341,'Raw Data'!$A:$A,'Raw Data'!$AV:$AV),"")</f>
        <v/>
      </c>
      <c r="L341" s="230" t="str">
        <f>IFERROR(_xlfn.XLOOKUP($A341,'Raw Data'!$A:$A,'Raw Data'!$AW:$AW),"")</f>
        <v/>
      </c>
      <c r="M341" s="230" t="str">
        <f>IFERROR(_xlfn.XLOOKUP($A341,'Raw Data'!$A:$A,'Raw Data'!$AX:$AX),"")</f>
        <v/>
      </c>
      <c r="N341" s="230" t="str">
        <f>IFERROR(_xlfn.XLOOKUP($A341,'Raw Data'!$A:$A,'Raw Data'!$AY:$AY),"")</f>
        <v/>
      </c>
      <c r="O341" s="231" t="str">
        <f>IFERROR(1-(SUMIF('Plant BD'!$B:$B,A341,'Plant BD'!$AE:$AE)/(AA341+SUMIF('Plant BD'!$B:$B,A341,'Plant BD'!$AE:$AE))),"")</f>
        <v/>
      </c>
      <c r="P341" s="231"/>
      <c r="Q341" s="232"/>
      <c r="R341" s="231" t="str">
        <f>IFERROR(1-(SUMIF('Grid BD'!$B:$B,$A341,'Grid BD'!$AD:$AD)/($AA341+SUMIF('Grid BD'!$B:$B,$A341,'Grid BD'!AD:AD))),"")</f>
        <v/>
      </c>
      <c r="S341" s="6"/>
      <c r="T341" s="232"/>
      <c r="U341" s="233" t="str">
        <f t="shared" si="25"/>
        <v/>
      </c>
      <c r="V341" s="233"/>
      <c r="W341" s="234" t="str">
        <f t="shared" si="23"/>
        <v/>
      </c>
      <c r="X341" s="227" t="str">
        <f>IFERROR(_xlfn.XLOOKUP($A341,'Raw Data'!$A:$A,'Raw Data'!$BA:$BA),"")</f>
        <v/>
      </c>
      <c r="Y341" s="227" t="str">
        <f>IFERROR(_xlfn.XLOOKUP($A341,'Raw Data'!$A:$A,'Raw Data'!BJ:BJ),"")</f>
        <v/>
      </c>
      <c r="Z341" s="227" t="str">
        <f>IFERROR(_xlfn.XLOOKUP($A341,'Raw Data'!$A:$A,'Raw Data'!BK:BK),"")</f>
        <v/>
      </c>
      <c r="AA341" s="227" t="str">
        <f>IFERROR(_xlfn.XLOOKUP($A341,'Raw Data'!$A:$A,'Raw Data'!BL:BL),"")</f>
        <v/>
      </c>
      <c r="AB341" s="227" t="str">
        <f>IFERROR(_xlfn.XLOOKUP($A341,'Raw Data'!$A:$A,'Raw Data'!$H:$H),"")</f>
        <v/>
      </c>
      <c r="AC341" s="145">
        <f>IFERROR(_xlfn.XLOOKUP($D341,'Modelling New'!$D:$D,'Modelling New'!$P:$P),"")</f>
        <v>6.9</v>
      </c>
      <c r="AD341" s="227">
        <f>IFERROR(_xlfn.XLOOKUP($D341,'Modelling New'!$D:$D,'Modelling New'!$T:$T)*1000,"")</f>
        <v>124131.0967036221</v>
      </c>
      <c r="AE341" s="234">
        <f>IFERROR(_xlfn.XLOOKUP($D341,'Modelling New'!$D:$D,'Modelling New'!$O:$O),"")</f>
        <v>0.74023536153896807</v>
      </c>
      <c r="AF341" s="234">
        <f>IFERROR(_xlfn.XLOOKUP($D341,'Modelling New'!$D:$D,'Modelling New'!$W:$W),"")</f>
        <v>0.21281766644245331</v>
      </c>
      <c r="AG341" s="234">
        <f>IFERROR(_xlfn.XLOOKUP($D341,'Modelling New'!$D:$D,'Modelling New'!AE:AE),"")</f>
        <v>0.995</v>
      </c>
      <c r="AH341" s="234">
        <v>0.99750000000000005</v>
      </c>
      <c r="AI341" s="6"/>
      <c r="AJ341" s="6"/>
      <c r="AK341" s="6"/>
      <c r="AL341" s="6"/>
      <c r="AM341" s="6"/>
      <c r="AN341" s="231"/>
      <c r="AO341" s="234"/>
      <c r="AP341" s="234"/>
      <c r="AQ341" s="234"/>
      <c r="AR341" s="227">
        <f>IFERROR(_xlfn.XLOOKUP($D341,'Modelling New'!$D:$D,'Modelling New'!$N:$N),"")</f>
        <v>24.303100000000001</v>
      </c>
      <c r="AS341" s="227"/>
    </row>
    <row r="342" spans="1:45" x14ac:dyDescent="0.35">
      <c r="A342" s="226">
        <f t="shared" si="26"/>
        <v>46085</v>
      </c>
      <c r="B342" s="227">
        <f>YEAR(Daily_KPI[[#This Row],[Date]])+IF(MONTH(Daily_KPI[[#This Row],[Date]])&gt;=4,1,0)</f>
        <v>2026</v>
      </c>
      <c r="C342" s="6">
        <f>YEAR(Daily_KPI[[#This Row],[Date]])</f>
        <v>2026</v>
      </c>
      <c r="D342" s="228">
        <f>Daily_KPI[[#This Row],[Date]]-DAY(Daily_KPI[[#This Row],[Date]])+1</f>
        <v>46082</v>
      </c>
      <c r="E342" s="6">
        <f t="shared" si="24"/>
        <v>31</v>
      </c>
      <c r="F342" s="229" t="str">
        <f>IFERROR(_xlfn.XLOOKUP($A342,'Raw Data'!$A:$A,'Raw Data'!$BR:$BR),"")</f>
        <v/>
      </c>
      <c r="G342" s="230" t="str">
        <f>IFERROR(_xlfn.XLOOKUP($A342,'Raw Data'!$A:$A,'Raw Data'!$AO:$AO),"")</f>
        <v/>
      </c>
      <c r="H342" s="230"/>
      <c r="I342" s="230" t="str">
        <f>IFERROR(_xlfn.XLOOKUP($A342,'Raw Data'!$A:$A,'Raw Data'!$AR:$AR),"")</f>
        <v/>
      </c>
      <c r="J342" s="230"/>
      <c r="K342" s="230" t="str">
        <f>IFERROR(_xlfn.XLOOKUP($A342,'Raw Data'!$A:$A,'Raw Data'!$AV:$AV),"")</f>
        <v/>
      </c>
      <c r="L342" s="230" t="str">
        <f>IFERROR(_xlfn.XLOOKUP($A342,'Raw Data'!$A:$A,'Raw Data'!$AW:$AW),"")</f>
        <v/>
      </c>
      <c r="M342" s="230" t="str">
        <f>IFERROR(_xlfn.XLOOKUP($A342,'Raw Data'!$A:$A,'Raw Data'!$AX:$AX),"")</f>
        <v/>
      </c>
      <c r="N342" s="230" t="str">
        <f>IFERROR(_xlfn.XLOOKUP($A342,'Raw Data'!$A:$A,'Raw Data'!$AY:$AY),"")</f>
        <v/>
      </c>
      <c r="O342" s="231" t="str">
        <f>IFERROR(1-(SUMIF('Plant BD'!$B:$B,A342,'Plant BD'!$AE:$AE)/(AA342+SUMIF('Plant BD'!$B:$B,A342,'Plant BD'!$AE:$AE))),"")</f>
        <v/>
      </c>
      <c r="P342" s="231"/>
      <c r="Q342" s="232"/>
      <c r="R342" s="231" t="str">
        <f>IFERROR(1-(SUMIF('Grid BD'!$B:$B,$A342,'Grid BD'!$AD:$AD)/($AA342+SUMIF('Grid BD'!$B:$B,$A342,'Grid BD'!AD:AD))),"")</f>
        <v/>
      </c>
      <c r="S342" s="6"/>
      <c r="T342" s="232"/>
      <c r="U342" s="233" t="str">
        <f t="shared" si="25"/>
        <v/>
      </c>
      <c r="V342" s="233"/>
      <c r="W342" s="234" t="str">
        <f t="shared" si="23"/>
        <v/>
      </c>
      <c r="X342" s="227" t="str">
        <f>IFERROR(_xlfn.XLOOKUP($A342,'Raw Data'!$A:$A,'Raw Data'!$BA:$BA),"")</f>
        <v/>
      </c>
      <c r="Y342" s="227" t="str">
        <f>IFERROR(_xlfn.XLOOKUP($A342,'Raw Data'!$A:$A,'Raw Data'!BJ:BJ),"")</f>
        <v/>
      </c>
      <c r="Z342" s="227" t="str">
        <f>IFERROR(_xlfn.XLOOKUP($A342,'Raw Data'!$A:$A,'Raw Data'!BK:BK),"")</f>
        <v/>
      </c>
      <c r="AA342" s="227" t="str">
        <f>IFERROR(_xlfn.XLOOKUP($A342,'Raw Data'!$A:$A,'Raw Data'!BL:BL),"")</f>
        <v/>
      </c>
      <c r="AB342" s="227" t="str">
        <f>IFERROR(_xlfn.XLOOKUP($A342,'Raw Data'!$A:$A,'Raw Data'!$H:$H),"")</f>
        <v/>
      </c>
      <c r="AC342" s="145">
        <f>IFERROR(_xlfn.XLOOKUP($D342,'Modelling New'!$D:$D,'Modelling New'!$P:$P),"")</f>
        <v>6.9</v>
      </c>
      <c r="AD342" s="227">
        <f>IFERROR(_xlfn.XLOOKUP($D342,'Modelling New'!$D:$D,'Modelling New'!$T:$T)*1000,"")</f>
        <v>124131.0967036221</v>
      </c>
      <c r="AE342" s="234">
        <f>IFERROR(_xlfn.XLOOKUP($D342,'Modelling New'!$D:$D,'Modelling New'!$O:$O),"")</f>
        <v>0.74023536153896807</v>
      </c>
      <c r="AF342" s="234">
        <f>IFERROR(_xlfn.XLOOKUP($D342,'Modelling New'!$D:$D,'Modelling New'!$W:$W),"")</f>
        <v>0.21281766644245331</v>
      </c>
      <c r="AG342" s="234">
        <f>IFERROR(_xlfn.XLOOKUP($D342,'Modelling New'!$D:$D,'Modelling New'!AE:AE),"")</f>
        <v>0.995</v>
      </c>
      <c r="AH342" s="234">
        <v>0.99750000000000005</v>
      </c>
      <c r="AI342" s="6"/>
      <c r="AJ342" s="6"/>
      <c r="AK342" s="6"/>
      <c r="AL342" s="6"/>
      <c r="AM342" s="6"/>
      <c r="AN342" s="231"/>
      <c r="AO342" s="234"/>
      <c r="AP342" s="234"/>
      <c r="AQ342" s="234"/>
      <c r="AR342" s="227">
        <f>IFERROR(_xlfn.XLOOKUP($D342,'Modelling New'!$D:$D,'Modelling New'!$N:$N),"")</f>
        <v>24.303100000000001</v>
      </c>
      <c r="AS342" s="227"/>
    </row>
    <row r="343" spans="1:45" x14ac:dyDescent="0.35">
      <c r="A343" s="226">
        <f t="shared" si="26"/>
        <v>46086</v>
      </c>
      <c r="B343" s="227">
        <f>YEAR(Daily_KPI[[#This Row],[Date]])+IF(MONTH(Daily_KPI[[#This Row],[Date]])&gt;=4,1,0)</f>
        <v>2026</v>
      </c>
      <c r="C343" s="6">
        <f>YEAR(Daily_KPI[[#This Row],[Date]])</f>
        <v>2026</v>
      </c>
      <c r="D343" s="228">
        <f>Daily_KPI[[#This Row],[Date]]-DAY(Daily_KPI[[#This Row],[Date]])+1</f>
        <v>46082</v>
      </c>
      <c r="E343" s="6">
        <f t="shared" si="24"/>
        <v>31</v>
      </c>
      <c r="F343" s="229" t="str">
        <f>IFERROR(_xlfn.XLOOKUP($A343,'Raw Data'!$A:$A,'Raw Data'!$BR:$BR),"")</f>
        <v/>
      </c>
      <c r="G343" s="230" t="str">
        <f>IFERROR(_xlfn.XLOOKUP($A343,'Raw Data'!$A:$A,'Raw Data'!$AO:$AO),"")</f>
        <v/>
      </c>
      <c r="H343" s="230"/>
      <c r="I343" s="230" t="str">
        <f>IFERROR(_xlfn.XLOOKUP($A343,'Raw Data'!$A:$A,'Raw Data'!$AR:$AR),"")</f>
        <v/>
      </c>
      <c r="J343" s="230"/>
      <c r="K343" s="230" t="str">
        <f>IFERROR(_xlfn.XLOOKUP($A343,'Raw Data'!$A:$A,'Raw Data'!$AV:$AV),"")</f>
        <v/>
      </c>
      <c r="L343" s="230" t="str">
        <f>IFERROR(_xlfn.XLOOKUP($A343,'Raw Data'!$A:$A,'Raw Data'!$AW:$AW),"")</f>
        <v/>
      </c>
      <c r="M343" s="230" t="str">
        <f>IFERROR(_xlfn.XLOOKUP($A343,'Raw Data'!$A:$A,'Raw Data'!$AX:$AX),"")</f>
        <v/>
      </c>
      <c r="N343" s="230" t="str">
        <f>IFERROR(_xlfn.XLOOKUP($A343,'Raw Data'!$A:$A,'Raw Data'!$AY:$AY),"")</f>
        <v/>
      </c>
      <c r="O343" s="231" t="str">
        <f>IFERROR(1-(SUMIF('Plant BD'!$B:$B,A343,'Plant BD'!$AE:$AE)/(AA343+SUMIF('Plant BD'!$B:$B,A343,'Plant BD'!$AE:$AE))),"")</f>
        <v/>
      </c>
      <c r="P343" s="231"/>
      <c r="Q343" s="232"/>
      <c r="R343" s="231" t="str">
        <f>IFERROR(1-(SUMIF('Grid BD'!$B:$B,$A343,'Grid BD'!$AD:$AD)/($AA343+SUMIF('Grid BD'!$B:$B,$A343,'Grid BD'!AD:AD))),"")</f>
        <v/>
      </c>
      <c r="S343" s="6"/>
      <c r="T343" s="232"/>
      <c r="U343" s="233" t="str">
        <f t="shared" si="25"/>
        <v/>
      </c>
      <c r="V343" s="233"/>
      <c r="W343" s="234" t="str">
        <f t="shared" si="23"/>
        <v/>
      </c>
      <c r="X343" s="227" t="str">
        <f>IFERROR(_xlfn.XLOOKUP($A343,'Raw Data'!$A:$A,'Raw Data'!$BA:$BA),"")</f>
        <v/>
      </c>
      <c r="Y343" s="227" t="str">
        <f>IFERROR(_xlfn.XLOOKUP($A343,'Raw Data'!$A:$A,'Raw Data'!BJ:BJ),"")</f>
        <v/>
      </c>
      <c r="Z343" s="227" t="str">
        <f>IFERROR(_xlfn.XLOOKUP($A343,'Raw Data'!$A:$A,'Raw Data'!BK:BK),"")</f>
        <v/>
      </c>
      <c r="AA343" s="227" t="str">
        <f>IFERROR(_xlfn.XLOOKUP($A343,'Raw Data'!$A:$A,'Raw Data'!BL:BL),"")</f>
        <v/>
      </c>
      <c r="AB343" s="227" t="str">
        <f>IFERROR(_xlfn.XLOOKUP($A343,'Raw Data'!$A:$A,'Raw Data'!$H:$H),"")</f>
        <v/>
      </c>
      <c r="AC343" s="145">
        <f>IFERROR(_xlfn.XLOOKUP($D343,'Modelling New'!$D:$D,'Modelling New'!$P:$P),"")</f>
        <v>6.9</v>
      </c>
      <c r="AD343" s="227">
        <f>IFERROR(_xlfn.XLOOKUP($D343,'Modelling New'!$D:$D,'Modelling New'!$T:$T)*1000,"")</f>
        <v>124131.0967036221</v>
      </c>
      <c r="AE343" s="234">
        <f>IFERROR(_xlfn.XLOOKUP($D343,'Modelling New'!$D:$D,'Modelling New'!$O:$O),"")</f>
        <v>0.74023536153896807</v>
      </c>
      <c r="AF343" s="234">
        <f>IFERROR(_xlfn.XLOOKUP($D343,'Modelling New'!$D:$D,'Modelling New'!$W:$W),"")</f>
        <v>0.21281766644245331</v>
      </c>
      <c r="AG343" s="234">
        <f>IFERROR(_xlfn.XLOOKUP($D343,'Modelling New'!$D:$D,'Modelling New'!AE:AE),"")</f>
        <v>0.995</v>
      </c>
      <c r="AH343" s="234">
        <v>0.99750000000000005</v>
      </c>
      <c r="AI343" s="6"/>
      <c r="AJ343" s="6"/>
      <c r="AK343" s="6"/>
      <c r="AL343" s="6"/>
      <c r="AM343" s="6"/>
      <c r="AN343" s="231"/>
      <c r="AO343" s="234"/>
      <c r="AP343" s="234"/>
      <c r="AQ343" s="234"/>
      <c r="AR343" s="227">
        <f>IFERROR(_xlfn.XLOOKUP($D343,'Modelling New'!$D:$D,'Modelling New'!$N:$N),"")</f>
        <v>24.303100000000001</v>
      </c>
      <c r="AS343" s="227"/>
    </row>
    <row r="344" spans="1:45" x14ac:dyDescent="0.35">
      <c r="A344" s="226">
        <f t="shared" si="26"/>
        <v>46087</v>
      </c>
      <c r="B344" s="227">
        <f>YEAR(Daily_KPI[[#This Row],[Date]])+IF(MONTH(Daily_KPI[[#This Row],[Date]])&gt;=4,1,0)</f>
        <v>2026</v>
      </c>
      <c r="C344" s="6">
        <f>YEAR(Daily_KPI[[#This Row],[Date]])</f>
        <v>2026</v>
      </c>
      <c r="D344" s="228">
        <f>Daily_KPI[[#This Row],[Date]]-DAY(Daily_KPI[[#This Row],[Date]])+1</f>
        <v>46082</v>
      </c>
      <c r="E344" s="6">
        <f t="shared" si="24"/>
        <v>31</v>
      </c>
      <c r="F344" s="229" t="str">
        <f>IFERROR(_xlfn.XLOOKUP($A344,'Raw Data'!$A:$A,'Raw Data'!$BR:$BR),"")</f>
        <v/>
      </c>
      <c r="G344" s="230" t="str">
        <f>IFERROR(_xlfn.XLOOKUP($A344,'Raw Data'!$A:$A,'Raw Data'!$AO:$AO),"")</f>
        <v/>
      </c>
      <c r="H344" s="230"/>
      <c r="I344" s="230" t="str">
        <f>IFERROR(_xlfn.XLOOKUP($A344,'Raw Data'!$A:$A,'Raw Data'!$AR:$AR),"")</f>
        <v/>
      </c>
      <c r="J344" s="230"/>
      <c r="K344" s="230" t="str">
        <f>IFERROR(_xlfn.XLOOKUP($A344,'Raw Data'!$A:$A,'Raw Data'!$AV:$AV),"")</f>
        <v/>
      </c>
      <c r="L344" s="230" t="str">
        <f>IFERROR(_xlfn.XLOOKUP($A344,'Raw Data'!$A:$A,'Raw Data'!$AW:$AW),"")</f>
        <v/>
      </c>
      <c r="M344" s="230" t="str">
        <f>IFERROR(_xlfn.XLOOKUP($A344,'Raw Data'!$A:$A,'Raw Data'!$AX:$AX),"")</f>
        <v/>
      </c>
      <c r="N344" s="230" t="str">
        <f>IFERROR(_xlfn.XLOOKUP($A344,'Raw Data'!$A:$A,'Raw Data'!$AY:$AY),"")</f>
        <v/>
      </c>
      <c r="O344" s="231" t="str">
        <f>IFERROR(1-(SUMIF('Plant BD'!$B:$B,A344,'Plant BD'!$AE:$AE)/(AA344+SUMIF('Plant BD'!$B:$B,A344,'Plant BD'!$AE:$AE))),"")</f>
        <v/>
      </c>
      <c r="P344" s="231"/>
      <c r="Q344" s="232"/>
      <c r="R344" s="231" t="str">
        <f>IFERROR(1-(SUMIF('Grid BD'!$B:$B,$A344,'Grid BD'!$AD:$AD)/($AA344+SUMIF('Grid BD'!$B:$B,$A344,'Grid BD'!AD:AD))),"")</f>
        <v/>
      </c>
      <c r="S344" s="6"/>
      <c r="T344" s="232"/>
      <c r="U344" s="233" t="str">
        <f t="shared" si="25"/>
        <v/>
      </c>
      <c r="V344" s="233"/>
      <c r="W344" s="234" t="str">
        <f t="shared" si="23"/>
        <v/>
      </c>
      <c r="X344" s="227" t="str">
        <f>IFERROR(_xlfn.XLOOKUP($A344,'Raw Data'!$A:$A,'Raw Data'!$BA:$BA),"")</f>
        <v/>
      </c>
      <c r="Y344" s="227" t="str">
        <f>IFERROR(_xlfn.XLOOKUP($A344,'Raw Data'!$A:$A,'Raw Data'!BJ:BJ),"")</f>
        <v/>
      </c>
      <c r="Z344" s="227" t="str">
        <f>IFERROR(_xlfn.XLOOKUP($A344,'Raw Data'!$A:$A,'Raw Data'!BK:BK),"")</f>
        <v/>
      </c>
      <c r="AA344" s="227" t="str">
        <f>IFERROR(_xlfn.XLOOKUP($A344,'Raw Data'!$A:$A,'Raw Data'!BL:BL),"")</f>
        <v/>
      </c>
      <c r="AB344" s="227" t="str">
        <f>IFERROR(_xlfn.XLOOKUP($A344,'Raw Data'!$A:$A,'Raw Data'!$H:$H),"")</f>
        <v/>
      </c>
      <c r="AC344" s="145">
        <f>IFERROR(_xlfn.XLOOKUP($D344,'Modelling New'!$D:$D,'Modelling New'!$P:$P),"")</f>
        <v>6.9</v>
      </c>
      <c r="AD344" s="227">
        <f>IFERROR(_xlfn.XLOOKUP($D344,'Modelling New'!$D:$D,'Modelling New'!$T:$T)*1000,"")</f>
        <v>124131.0967036221</v>
      </c>
      <c r="AE344" s="234">
        <f>IFERROR(_xlfn.XLOOKUP($D344,'Modelling New'!$D:$D,'Modelling New'!$O:$O),"")</f>
        <v>0.74023536153896807</v>
      </c>
      <c r="AF344" s="234">
        <f>IFERROR(_xlfn.XLOOKUP($D344,'Modelling New'!$D:$D,'Modelling New'!$W:$W),"")</f>
        <v>0.21281766644245331</v>
      </c>
      <c r="AG344" s="234">
        <f>IFERROR(_xlfn.XLOOKUP($D344,'Modelling New'!$D:$D,'Modelling New'!AE:AE),"")</f>
        <v>0.995</v>
      </c>
      <c r="AH344" s="234">
        <v>0.99750000000000005</v>
      </c>
      <c r="AI344" s="6"/>
      <c r="AJ344" s="6"/>
      <c r="AK344" s="6"/>
      <c r="AL344" s="6"/>
      <c r="AM344" s="6"/>
      <c r="AN344" s="231"/>
      <c r="AO344" s="234"/>
      <c r="AP344" s="234"/>
      <c r="AQ344" s="234"/>
      <c r="AR344" s="227">
        <f>IFERROR(_xlfn.XLOOKUP($D344,'Modelling New'!$D:$D,'Modelling New'!$N:$N),"")</f>
        <v>24.303100000000001</v>
      </c>
      <c r="AS344" s="227"/>
    </row>
    <row r="345" spans="1:45" x14ac:dyDescent="0.35">
      <c r="A345" s="226">
        <f t="shared" si="26"/>
        <v>46088</v>
      </c>
      <c r="B345" s="227">
        <f>YEAR(Daily_KPI[[#This Row],[Date]])+IF(MONTH(Daily_KPI[[#This Row],[Date]])&gt;=4,1,0)</f>
        <v>2026</v>
      </c>
      <c r="C345" s="6">
        <f>YEAR(Daily_KPI[[#This Row],[Date]])</f>
        <v>2026</v>
      </c>
      <c r="D345" s="228">
        <f>Daily_KPI[[#This Row],[Date]]-DAY(Daily_KPI[[#This Row],[Date]])+1</f>
        <v>46082</v>
      </c>
      <c r="E345" s="6">
        <f t="shared" si="24"/>
        <v>31</v>
      </c>
      <c r="F345" s="229" t="str">
        <f>IFERROR(_xlfn.XLOOKUP($A345,'Raw Data'!$A:$A,'Raw Data'!$BR:$BR),"")</f>
        <v/>
      </c>
      <c r="G345" s="230" t="str">
        <f>IFERROR(_xlfn.XLOOKUP($A345,'Raw Data'!$A:$A,'Raw Data'!$AO:$AO),"")</f>
        <v/>
      </c>
      <c r="H345" s="230"/>
      <c r="I345" s="230" t="str">
        <f>IFERROR(_xlfn.XLOOKUP($A345,'Raw Data'!$A:$A,'Raw Data'!$AR:$AR),"")</f>
        <v/>
      </c>
      <c r="J345" s="230"/>
      <c r="K345" s="230" t="str">
        <f>IFERROR(_xlfn.XLOOKUP($A345,'Raw Data'!$A:$A,'Raw Data'!$AV:$AV),"")</f>
        <v/>
      </c>
      <c r="L345" s="230" t="str">
        <f>IFERROR(_xlfn.XLOOKUP($A345,'Raw Data'!$A:$A,'Raw Data'!$AW:$AW),"")</f>
        <v/>
      </c>
      <c r="M345" s="230" t="str">
        <f>IFERROR(_xlfn.XLOOKUP($A345,'Raw Data'!$A:$A,'Raw Data'!$AX:$AX),"")</f>
        <v/>
      </c>
      <c r="N345" s="230" t="str">
        <f>IFERROR(_xlfn.XLOOKUP($A345,'Raw Data'!$A:$A,'Raw Data'!$AY:$AY),"")</f>
        <v/>
      </c>
      <c r="O345" s="231" t="str">
        <f>IFERROR(1-(SUMIF('Plant BD'!$B:$B,A345,'Plant BD'!$AE:$AE)/(AA345+SUMIF('Plant BD'!$B:$B,A345,'Plant BD'!$AE:$AE))),"")</f>
        <v/>
      </c>
      <c r="P345" s="231"/>
      <c r="Q345" s="232"/>
      <c r="R345" s="231" t="str">
        <f>IFERROR(1-(SUMIF('Grid BD'!$B:$B,$A345,'Grid BD'!$AD:$AD)/($AA345+SUMIF('Grid BD'!$B:$B,$A345,'Grid BD'!AD:AD))),"")</f>
        <v/>
      </c>
      <c r="S345" s="6"/>
      <c r="T345" s="232"/>
      <c r="U345" s="233" t="str">
        <f t="shared" si="25"/>
        <v/>
      </c>
      <c r="V345" s="233"/>
      <c r="W345" s="234" t="str">
        <f t="shared" si="23"/>
        <v/>
      </c>
      <c r="X345" s="227" t="str">
        <f>IFERROR(_xlfn.XLOOKUP($A345,'Raw Data'!$A:$A,'Raw Data'!$BA:$BA),"")</f>
        <v/>
      </c>
      <c r="Y345" s="227" t="str">
        <f>IFERROR(_xlfn.XLOOKUP($A345,'Raw Data'!$A:$A,'Raw Data'!BJ:BJ),"")</f>
        <v/>
      </c>
      <c r="Z345" s="227" t="str">
        <f>IFERROR(_xlfn.XLOOKUP($A345,'Raw Data'!$A:$A,'Raw Data'!BK:BK),"")</f>
        <v/>
      </c>
      <c r="AA345" s="227" t="str">
        <f>IFERROR(_xlfn.XLOOKUP($A345,'Raw Data'!$A:$A,'Raw Data'!BL:BL),"")</f>
        <v/>
      </c>
      <c r="AB345" s="227" t="str">
        <f>IFERROR(_xlfn.XLOOKUP($A345,'Raw Data'!$A:$A,'Raw Data'!$H:$H),"")</f>
        <v/>
      </c>
      <c r="AC345" s="145">
        <f>IFERROR(_xlfn.XLOOKUP($D345,'Modelling New'!$D:$D,'Modelling New'!$P:$P),"")</f>
        <v>6.9</v>
      </c>
      <c r="AD345" s="227">
        <f>IFERROR(_xlfn.XLOOKUP($D345,'Modelling New'!$D:$D,'Modelling New'!$T:$T)*1000,"")</f>
        <v>124131.0967036221</v>
      </c>
      <c r="AE345" s="234">
        <f>IFERROR(_xlfn.XLOOKUP($D345,'Modelling New'!$D:$D,'Modelling New'!$O:$O),"")</f>
        <v>0.74023536153896807</v>
      </c>
      <c r="AF345" s="234">
        <f>IFERROR(_xlfn.XLOOKUP($D345,'Modelling New'!$D:$D,'Modelling New'!$W:$W),"")</f>
        <v>0.21281766644245331</v>
      </c>
      <c r="AG345" s="234">
        <f>IFERROR(_xlfn.XLOOKUP($D345,'Modelling New'!$D:$D,'Modelling New'!AE:AE),"")</f>
        <v>0.995</v>
      </c>
      <c r="AH345" s="234">
        <v>0.99750000000000005</v>
      </c>
      <c r="AI345" s="6"/>
      <c r="AJ345" s="6"/>
      <c r="AK345" s="6"/>
      <c r="AL345" s="6"/>
      <c r="AM345" s="6"/>
      <c r="AN345" s="231"/>
      <c r="AO345" s="234"/>
      <c r="AP345" s="234"/>
      <c r="AQ345" s="234"/>
      <c r="AR345" s="227">
        <f>IFERROR(_xlfn.XLOOKUP($D345,'Modelling New'!$D:$D,'Modelling New'!$N:$N),"")</f>
        <v>24.303100000000001</v>
      </c>
      <c r="AS345" s="227"/>
    </row>
    <row r="346" spans="1:45" x14ac:dyDescent="0.35">
      <c r="A346" s="226">
        <f t="shared" si="26"/>
        <v>46089</v>
      </c>
      <c r="B346" s="227">
        <f>YEAR(Daily_KPI[[#This Row],[Date]])+IF(MONTH(Daily_KPI[[#This Row],[Date]])&gt;=4,1,0)</f>
        <v>2026</v>
      </c>
      <c r="C346" s="6">
        <f>YEAR(Daily_KPI[[#This Row],[Date]])</f>
        <v>2026</v>
      </c>
      <c r="D346" s="228">
        <f>Daily_KPI[[#This Row],[Date]]-DAY(Daily_KPI[[#This Row],[Date]])+1</f>
        <v>46082</v>
      </c>
      <c r="E346" s="6">
        <f t="shared" si="24"/>
        <v>31</v>
      </c>
      <c r="F346" s="229" t="str">
        <f>IFERROR(_xlfn.XLOOKUP($A346,'Raw Data'!$A:$A,'Raw Data'!$BR:$BR),"")</f>
        <v/>
      </c>
      <c r="G346" s="230" t="str">
        <f>IFERROR(_xlfn.XLOOKUP($A346,'Raw Data'!$A:$A,'Raw Data'!$AO:$AO),"")</f>
        <v/>
      </c>
      <c r="H346" s="230"/>
      <c r="I346" s="230" t="str">
        <f>IFERROR(_xlfn.XLOOKUP($A346,'Raw Data'!$A:$A,'Raw Data'!$AR:$AR),"")</f>
        <v/>
      </c>
      <c r="J346" s="230"/>
      <c r="K346" s="230" t="str">
        <f>IFERROR(_xlfn.XLOOKUP($A346,'Raw Data'!$A:$A,'Raw Data'!$AV:$AV),"")</f>
        <v/>
      </c>
      <c r="L346" s="230" t="str">
        <f>IFERROR(_xlfn.XLOOKUP($A346,'Raw Data'!$A:$A,'Raw Data'!$AW:$AW),"")</f>
        <v/>
      </c>
      <c r="M346" s="230" t="str">
        <f>IFERROR(_xlfn.XLOOKUP($A346,'Raw Data'!$A:$A,'Raw Data'!$AX:$AX),"")</f>
        <v/>
      </c>
      <c r="N346" s="230" t="str">
        <f>IFERROR(_xlfn.XLOOKUP($A346,'Raw Data'!$A:$A,'Raw Data'!$AY:$AY),"")</f>
        <v/>
      </c>
      <c r="O346" s="231" t="str">
        <f>IFERROR(1-(SUMIF('Plant BD'!$B:$B,A346,'Plant BD'!$AE:$AE)/(AA346+SUMIF('Plant BD'!$B:$B,A346,'Plant BD'!$AE:$AE))),"")</f>
        <v/>
      </c>
      <c r="P346" s="231"/>
      <c r="Q346" s="232"/>
      <c r="R346" s="231" t="str">
        <f>IFERROR(1-(SUMIF('Grid BD'!$B:$B,$A346,'Grid BD'!$AD:$AD)/($AA346+SUMIF('Grid BD'!$B:$B,$A346,'Grid BD'!AD:AD))),"")</f>
        <v/>
      </c>
      <c r="S346" s="6"/>
      <c r="T346" s="232"/>
      <c r="U346" s="233" t="str">
        <f t="shared" si="25"/>
        <v/>
      </c>
      <c r="V346" s="233"/>
      <c r="W346" s="234" t="str">
        <f t="shared" si="23"/>
        <v/>
      </c>
      <c r="X346" s="227" t="str">
        <f>IFERROR(_xlfn.XLOOKUP($A346,'Raw Data'!$A:$A,'Raw Data'!$BA:$BA),"")</f>
        <v/>
      </c>
      <c r="Y346" s="227" t="str">
        <f>IFERROR(_xlfn.XLOOKUP($A346,'Raw Data'!$A:$A,'Raw Data'!BJ:BJ),"")</f>
        <v/>
      </c>
      <c r="Z346" s="227" t="str">
        <f>IFERROR(_xlfn.XLOOKUP($A346,'Raw Data'!$A:$A,'Raw Data'!BK:BK),"")</f>
        <v/>
      </c>
      <c r="AA346" s="227" t="str">
        <f>IFERROR(_xlfn.XLOOKUP($A346,'Raw Data'!$A:$A,'Raw Data'!BL:BL),"")</f>
        <v/>
      </c>
      <c r="AB346" s="227" t="str">
        <f>IFERROR(_xlfn.XLOOKUP($A346,'Raw Data'!$A:$A,'Raw Data'!$H:$H),"")</f>
        <v/>
      </c>
      <c r="AC346" s="145">
        <f>IFERROR(_xlfn.XLOOKUP($D346,'Modelling New'!$D:$D,'Modelling New'!$P:$P),"")</f>
        <v>6.9</v>
      </c>
      <c r="AD346" s="227">
        <f>IFERROR(_xlfn.XLOOKUP($D346,'Modelling New'!$D:$D,'Modelling New'!$T:$T)*1000,"")</f>
        <v>124131.0967036221</v>
      </c>
      <c r="AE346" s="234">
        <f>IFERROR(_xlfn.XLOOKUP($D346,'Modelling New'!$D:$D,'Modelling New'!$O:$O),"")</f>
        <v>0.74023536153896807</v>
      </c>
      <c r="AF346" s="234">
        <f>IFERROR(_xlfn.XLOOKUP($D346,'Modelling New'!$D:$D,'Modelling New'!$W:$W),"")</f>
        <v>0.21281766644245331</v>
      </c>
      <c r="AG346" s="234">
        <f>IFERROR(_xlfn.XLOOKUP($D346,'Modelling New'!$D:$D,'Modelling New'!AE:AE),"")</f>
        <v>0.995</v>
      </c>
      <c r="AH346" s="234">
        <v>0.99750000000000005</v>
      </c>
      <c r="AI346" s="6"/>
      <c r="AJ346" s="6"/>
      <c r="AK346" s="6"/>
      <c r="AL346" s="6"/>
      <c r="AM346" s="6"/>
      <c r="AN346" s="231"/>
      <c r="AO346" s="234"/>
      <c r="AP346" s="234"/>
      <c r="AQ346" s="234"/>
      <c r="AR346" s="227">
        <f>IFERROR(_xlfn.XLOOKUP($D346,'Modelling New'!$D:$D,'Modelling New'!$N:$N),"")</f>
        <v>24.303100000000001</v>
      </c>
      <c r="AS346" s="227"/>
    </row>
    <row r="347" spans="1:45" x14ac:dyDescent="0.35">
      <c r="A347" s="226">
        <f t="shared" si="26"/>
        <v>46090</v>
      </c>
      <c r="B347" s="227">
        <f>YEAR(Daily_KPI[[#This Row],[Date]])+IF(MONTH(Daily_KPI[[#This Row],[Date]])&gt;=4,1,0)</f>
        <v>2026</v>
      </c>
      <c r="C347" s="6">
        <f>YEAR(Daily_KPI[[#This Row],[Date]])</f>
        <v>2026</v>
      </c>
      <c r="D347" s="228">
        <f>Daily_KPI[[#This Row],[Date]]-DAY(Daily_KPI[[#This Row],[Date]])+1</f>
        <v>46082</v>
      </c>
      <c r="E347" s="6">
        <f t="shared" si="24"/>
        <v>31</v>
      </c>
      <c r="F347" s="229" t="str">
        <f>IFERROR(_xlfn.XLOOKUP($A347,'Raw Data'!$A:$A,'Raw Data'!$BR:$BR),"")</f>
        <v/>
      </c>
      <c r="G347" s="230" t="str">
        <f>IFERROR(_xlfn.XLOOKUP($A347,'Raw Data'!$A:$A,'Raw Data'!$AO:$AO),"")</f>
        <v/>
      </c>
      <c r="H347" s="230"/>
      <c r="I347" s="230" t="str">
        <f>IFERROR(_xlfn.XLOOKUP($A347,'Raw Data'!$A:$A,'Raw Data'!$AR:$AR),"")</f>
        <v/>
      </c>
      <c r="J347" s="230"/>
      <c r="K347" s="230" t="str">
        <f>IFERROR(_xlfn.XLOOKUP($A347,'Raw Data'!$A:$A,'Raw Data'!$AV:$AV),"")</f>
        <v/>
      </c>
      <c r="L347" s="230" t="str">
        <f>IFERROR(_xlfn.XLOOKUP($A347,'Raw Data'!$A:$A,'Raw Data'!$AW:$AW),"")</f>
        <v/>
      </c>
      <c r="M347" s="230" t="str">
        <f>IFERROR(_xlfn.XLOOKUP($A347,'Raw Data'!$A:$A,'Raw Data'!$AX:$AX),"")</f>
        <v/>
      </c>
      <c r="N347" s="230" t="str">
        <f>IFERROR(_xlfn.XLOOKUP($A347,'Raw Data'!$A:$A,'Raw Data'!$AY:$AY),"")</f>
        <v/>
      </c>
      <c r="O347" s="231" t="str">
        <f>IFERROR(1-(SUMIF('Plant BD'!$B:$B,A347,'Plant BD'!$AE:$AE)/(AA347+SUMIF('Plant BD'!$B:$B,A347,'Plant BD'!$AE:$AE))),"")</f>
        <v/>
      </c>
      <c r="P347" s="231"/>
      <c r="Q347" s="232"/>
      <c r="R347" s="231" t="str">
        <f>IFERROR(1-(SUMIF('Grid BD'!$B:$B,$A347,'Grid BD'!$AD:$AD)/($AA347+SUMIF('Grid BD'!$B:$B,$A347,'Grid BD'!AD:AD))),"")</f>
        <v/>
      </c>
      <c r="S347" s="6"/>
      <c r="T347" s="232"/>
      <c r="U347" s="233" t="str">
        <f t="shared" si="25"/>
        <v/>
      </c>
      <c r="V347" s="233"/>
      <c r="W347" s="234" t="str">
        <f t="shared" si="23"/>
        <v/>
      </c>
      <c r="X347" s="227" t="str">
        <f>IFERROR(_xlfn.XLOOKUP($A347,'Raw Data'!$A:$A,'Raw Data'!$BA:$BA),"")</f>
        <v/>
      </c>
      <c r="Y347" s="227" t="str">
        <f>IFERROR(_xlfn.XLOOKUP($A347,'Raw Data'!$A:$A,'Raw Data'!BJ:BJ),"")</f>
        <v/>
      </c>
      <c r="Z347" s="227" t="str">
        <f>IFERROR(_xlfn.XLOOKUP($A347,'Raw Data'!$A:$A,'Raw Data'!BK:BK),"")</f>
        <v/>
      </c>
      <c r="AA347" s="227" t="str">
        <f>IFERROR(_xlfn.XLOOKUP($A347,'Raw Data'!$A:$A,'Raw Data'!BL:BL),"")</f>
        <v/>
      </c>
      <c r="AB347" s="227" t="str">
        <f>IFERROR(_xlfn.XLOOKUP($A347,'Raw Data'!$A:$A,'Raw Data'!$H:$H),"")</f>
        <v/>
      </c>
      <c r="AC347" s="145">
        <f>IFERROR(_xlfn.XLOOKUP($D347,'Modelling New'!$D:$D,'Modelling New'!$P:$P),"")</f>
        <v>6.9</v>
      </c>
      <c r="AD347" s="227">
        <f>IFERROR(_xlfn.XLOOKUP($D347,'Modelling New'!$D:$D,'Modelling New'!$T:$T)*1000,"")</f>
        <v>124131.0967036221</v>
      </c>
      <c r="AE347" s="234">
        <f>IFERROR(_xlfn.XLOOKUP($D347,'Modelling New'!$D:$D,'Modelling New'!$O:$O),"")</f>
        <v>0.74023536153896807</v>
      </c>
      <c r="AF347" s="234">
        <f>IFERROR(_xlfn.XLOOKUP($D347,'Modelling New'!$D:$D,'Modelling New'!$W:$W),"")</f>
        <v>0.21281766644245331</v>
      </c>
      <c r="AG347" s="234">
        <f>IFERROR(_xlfn.XLOOKUP($D347,'Modelling New'!$D:$D,'Modelling New'!AE:AE),"")</f>
        <v>0.995</v>
      </c>
      <c r="AH347" s="234">
        <v>0.99750000000000005</v>
      </c>
      <c r="AI347" s="6"/>
      <c r="AJ347" s="6"/>
      <c r="AK347" s="6"/>
      <c r="AL347" s="6"/>
      <c r="AM347" s="6"/>
      <c r="AN347" s="231"/>
      <c r="AO347" s="234"/>
      <c r="AP347" s="234"/>
      <c r="AQ347" s="234"/>
      <c r="AR347" s="227">
        <f>IFERROR(_xlfn.XLOOKUP($D347,'Modelling New'!$D:$D,'Modelling New'!$N:$N),"")</f>
        <v>24.303100000000001</v>
      </c>
      <c r="AS347" s="227"/>
    </row>
    <row r="348" spans="1:45" x14ac:dyDescent="0.35">
      <c r="A348" s="226">
        <f t="shared" si="26"/>
        <v>46091</v>
      </c>
      <c r="B348" s="227">
        <f>YEAR(Daily_KPI[[#This Row],[Date]])+IF(MONTH(Daily_KPI[[#This Row],[Date]])&gt;=4,1,0)</f>
        <v>2026</v>
      </c>
      <c r="C348" s="6">
        <f>YEAR(Daily_KPI[[#This Row],[Date]])</f>
        <v>2026</v>
      </c>
      <c r="D348" s="228">
        <f>Daily_KPI[[#This Row],[Date]]-DAY(Daily_KPI[[#This Row],[Date]])+1</f>
        <v>46082</v>
      </c>
      <c r="E348" s="6">
        <f t="shared" si="24"/>
        <v>31</v>
      </c>
      <c r="F348" s="229" t="str">
        <f>IFERROR(_xlfn.XLOOKUP($A348,'Raw Data'!$A:$A,'Raw Data'!$BR:$BR),"")</f>
        <v/>
      </c>
      <c r="G348" s="230" t="str">
        <f>IFERROR(_xlfn.XLOOKUP($A348,'Raw Data'!$A:$A,'Raw Data'!$AO:$AO),"")</f>
        <v/>
      </c>
      <c r="H348" s="230"/>
      <c r="I348" s="230" t="str">
        <f>IFERROR(_xlfn.XLOOKUP($A348,'Raw Data'!$A:$A,'Raw Data'!$AR:$AR),"")</f>
        <v/>
      </c>
      <c r="J348" s="230"/>
      <c r="K348" s="230" t="str">
        <f>IFERROR(_xlfn.XLOOKUP($A348,'Raw Data'!$A:$A,'Raw Data'!$AV:$AV),"")</f>
        <v/>
      </c>
      <c r="L348" s="230" t="str">
        <f>IFERROR(_xlfn.XLOOKUP($A348,'Raw Data'!$A:$A,'Raw Data'!$AW:$AW),"")</f>
        <v/>
      </c>
      <c r="M348" s="230" t="str">
        <f>IFERROR(_xlfn.XLOOKUP($A348,'Raw Data'!$A:$A,'Raw Data'!$AX:$AX),"")</f>
        <v/>
      </c>
      <c r="N348" s="230" t="str">
        <f>IFERROR(_xlfn.XLOOKUP($A348,'Raw Data'!$A:$A,'Raw Data'!$AY:$AY),"")</f>
        <v/>
      </c>
      <c r="O348" s="231" t="str">
        <f>IFERROR(1-(SUMIF('Plant BD'!$B:$B,A348,'Plant BD'!$AE:$AE)/(AA348+SUMIF('Plant BD'!$B:$B,A348,'Plant BD'!$AE:$AE))),"")</f>
        <v/>
      </c>
      <c r="P348" s="231"/>
      <c r="Q348" s="232"/>
      <c r="R348" s="231" t="str">
        <f>IFERROR(1-(SUMIF('Grid BD'!$B:$B,$A348,'Grid BD'!$AD:$AD)/($AA348+SUMIF('Grid BD'!$B:$B,$A348,'Grid BD'!AD:AD))),"")</f>
        <v/>
      </c>
      <c r="S348" s="6"/>
      <c r="T348" s="232"/>
      <c r="U348" s="233" t="str">
        <f t="shared" si="25"/>
        <v/>
      </c>
      <c r="V348" s="233"/>
      <c r="W348" s="234" t="str">
        <f t="shared" si="23"/>
        <v/>
      </c>
      <c r="X348" s="227" t="str">
        <f>IFERROR(_xlfn.XLOOKUP($A348,'Raw Data'!$A:$A,'Raw Data'!$BA:$BA),"")</f>
        <v/>
      </c>
      <c r="Y348" s="227" t="str">
        <f>IFERROR(_xlfn.XLOOKUP($A348,'Raw Data'!$A:$A,'Raw Data'!BJ:BJ),"")</f>
        <v/>
      </c>
      <c r="Z348" s="227" t="str">
        <f>IFERROR(_xlfn.XLOOKUP($A348,'Raw Data'!$A:$A,'Raw Data'!BK:BK),"")</f>
        <v/>
      </c>
      <c r="AA348" s="227" t="str">
        <f>IFERROR(_xlfn.XLOOKUP($A348,'Raw Data'!$A:$A,'Raw Data'!BL:BL),"")</f>
        <v/>
      </c>
      <c r="AB348" s="227" t="str">
        <f>IFERROR(_xlfn.XLOOKUP($A348,'Raw Data'!$A:$A,'Raw Data'!$H:$H),"")</f>
        <v/>
      </c>
      <c r="AC348" s="145">
        <f>IFERROR(_xlfn.XLOOKUP($D348,'Modelling New'!$D:$D,'Modelling New'!$P:$P),"")</f>
        <v>6.9</v>
      </c>
      <c r="AD348" s="227">
        <f>IFERROR(_xlfn.XLOOKUP($D348,'Modelling New'!$D:$D,'Modelling New'!$T:$T)*1000,"")</f>
        <v>124131.0967036221</v>
      </c>
      <c r="AE348" s="234">
        <f>IFERROR(_xlfn.XLOOKUP($D348,'Modelling New'!$D:$D,'Modelling New'!$O:$O),"")</f>
        <v>0.74023536153896807</v>
      </c>
      <c r="AF348" s="234">
        <f>IFERROR(_xlfn.XLOOKUP($D348,'Modelling New'!$D:$D,'Modelling New'!$W:$W),"")</f>
        <v>0.21281766644245331</v>
      </c>
      <c r="AG348" s="234">
        <f>IFERROR(_xlfn.XLOOKUP($D348,'Modelling New'!$D:$D,'Modelling New'!AE:AE),"")</f>
        <v>0.995</v>
      </c>
      <c r="AH348" s="234">
        <v>0.99750000000000005</v>
      </c>
      <c r="AI348" s="6"/>
      <c r="AJ348" s="6"/>
      <c r="AK348" s="6"/>
      <c r="AL348" s="6"/>
      <c r="AM348" s="6"/>
      <c r="AN348" s="231"/>
      <c r="AO348" s="234"/>
      <c r="AP348" s="234"/>
      <c r="AQ348" s="234"/>
      <c r="AR348" s="227">
        <f>IFERROR(_xlfn.XLOOKUP($D348,'Modelling New'!$D:$D,'Modelling New'!$N:$N),"")</f>
        <v>24.303100000000001</v>
      </c>
      <c r="AS348" s="227"/>
    </row>
    <row r="349" spans="1:45" x14ac:dyDescent="0.35">
      <c r="A349" s="226">
        <f t="shared" si="26"/>
        <v>46092</v>
      </c>
      <c r="B349" s="227">
        <f>YEAR(Daily_KPI[[#This Row],[Date]])+IF(MONTH(Daily_KPI[[#This Row],[Date]])&gt;=4,1,0)</f>
        <v>2026</v>
      </c>
      <c r="C349" s="6">
        <f>YEAR(Daily_KPI[[#This Row],[Date]])</f>
        <v>2026</v>
      </c>
      <c r="D349" s="228">
        <f>Daily_KPI[[#This Row],[Date]]-DAY(Daily_KPI[[#This Row],[Date]])+1</f>
        <v>46082</v>
      </c>
      <c r="E349" s="6">
        <f t="shared" si="24"/>
        <v>31</v>
      </c>
      <c r="F349" s="229" t="str">
        <f>IFERROR(_xlfn.XLOOKUP($A349,'Raw Data'!$A:$A,'Raw Data'!$BR:$BR),"")</f>
        <v/>
      </c>
      <c r="G349" s="230" t="str">
        <f>IFERROR(_xlfn.XLOOKUP($A349,'Raw Data'!$A:$A,'Raw Data'!$AO:$AO),"")</f>
        <v/>
      </c>
      <c r="H349" s="230"/>
      <c r="I349" s="230" t="str">
        <f>IFERROR(_xlfn.XLOOKUP($A349,'Raw Data'!$A:$A,'Raw Data'!$AR:$AR),"")</f>
        <v/>
      </c>
      <c r="J349" s="230"/>
      <c r="K349" s="230" t="str">
        <f>IFERROR(_xlfn.XLOOKUP($A349,'Raw Data'!$A:$A,'Raw Data'!$AV:$AV),"")</f>
        <v/>
      </c>
      <c r="L349" s="230" t="str">
        <f>IFERROR(_xlfn.XLOOKUP($A349,'Raw Data'!$A:$A,'Raw Data'!$AW:$AW),"")</f>
        <v/>
      </c>
      <c r="M349" s="230" t="str">
        <f>IFERROR(_xlfn.XLOOKUP($A349,'Raw Data'!$A:$A,'Raw Data'!$AX:$AX),"")</f>
        <v/>
      </c>
      <c r="N349" s="230" t="str">
        <f>IFERROR(_xlfn.XLOOKUP($A349,'Raw Data'!$A:$A,'Raw Data'!$AY:$AY),"")</f>
        <v/>
      </c>
      <c r="O349" s="231" t="str">
        <f>IFERROR(1-(SUMIF('Plant BD'!$B:$B,A349,'Plant BD'!$AE:$AE)/(AA349+SUMIF('Plant BD'!$B:$B,A349,'Plant BD'!$AE:$AE))),"")</f>
        <v/>
      </c>
      <c r="P349" s="231"/>
      <c r="Q349" s="232"/>
      <c r="R349" s="231" t="str">
        <f>IFERROR(1-(SUMIF('Grid BD'!$B:$B,$A349,'Grid BD'!$AD:$AD)/($AA349+SUMIF('Grid BD'!$B:$B,$A349,'Grid BD'!AD:AD))),"")</f>
        <v/>
      </c>
      <c r="S349" s="6"/>
      <c r="T349" s="232"/>
      <c r="U349" s="233" t="str">
        <f t="shared" si="25"/>
        <v/>
      </c>
      <c r="V349" s="233"/>
      <c r="W349" s="234" t="str">
        <f t="shared" si="23"/>
        <v/>
      </c>
      <c r="X349" s="227" t="str">
        <f>IFERROR(_xlfn.XLOOKUP($A349,'Raw Data'!$A:$A,'Raw Data'!$BA:$BA),"")</f>
        <v/>
      </c>
      <c r="Y349" s="227" t="str">
        <f>IFERROR(_xlfn.XLOOKUP($A349,'Raw Data'!$A:$A,'Raw Data'!BJ:BJ),"")</f>
        <v/>
      </c>
      <c r="Z349" s="227" t="str">
        <f>IFERROR(_xlfn.XLOOKUP($A349,'Raw Data'!$A:$A,'Raw Data'!BK:BK),"")</f>
        <v/>
      </c>
      <c r="AA349" s="227" t="str">
        <f>IFERROR(_xlfn.XLOOKUP($A349,'Raw Data'!$A:$A,'Raw Data'!BL:BL),"")</f>
        <v/>
      </c>
      <c r="AB349" s="227" t="str">
        <f>IFERROR(_xlfn.XLOOKUP($A349,'Raw Data'!$A:$A,'Raw Data'!$H:$H),"")</f>
        <v/>
      </c>
      <c r="AC349" s="145">
        <f>IFERROR(_xlfn.XLOOKUP($D349,'Modelling New'!$D:$D,'Modelling New'!$P:$P),"")</f>
        <v>6.9</v>
      </c>
      <c r="AD349" s="227">
        <f>IFERROR(_xlfn.XLOOKUP($D349,'Modelling New'!$D:$D,'Modelling New'!$T:$T)*1000,"")</f>
        <v>124131.0967036221</v>
      </c>
      <c r="AE349" s="234">
        <f>IFERROR(_xlfn.XLOOKUP($D349,'Modelling New'!$D:$D,'Modelling New'!$O:$O),"")</f>
        <v>0.74023536153896807</v>
      </c>
      <c r="AF349" s="234">
        <f>IFERROR(_xlfn.XLOOKUP($D349,'Modelling New'!$D:$D,'Modelling New'!$W:$W),"")</f>
        <v>0.21281766644245331</v>
      </c>
      <c r="AG349" s="234">
        <f>IFERROR(_xlfn.XLOOKUP($D349,'Modelling New'!$D:$D,'Modelling New'!AE:AE),"")</f>
        <v>0.995</v>
      </c>
      <c r="AH349" s="234">
        <v>0.99750000000000005</v>
      </c>
      <c r="AI349" s="6"/>
      <c r="AJ349" s="6"/>
      <c r="AK349" s="6"/>
      <c r="AL349" s="6"/>
      <c r="AM349" s="6"/>
      <c r="AN349" s="231"/>
      <c r="AO349" s="234"/>
      <c r="AP349" s="234"/>
      <c r="AQ349" s="234"/>
      <c r="AR349" s="227">
        <f>IFERROR(_xlfn.XLOOKUP($D349,'Modelling New'!$D:$D,'Modelling New'!$N:$N),"")</f>
        <v>24.303100000000001</v>
      </c>
      <c r="AS349" s="227"/>
    </row>
    <row r="350" spans="1:45" x14ac:dyDescent="0.35">
      <c r="A350" s="226">
        <f t="shared" si="26"/>
        <v>46093</v>
      </c>
      <c r="B350" s="227">
        <f>YEAR(Daily_KPI[[#This Row],[Date]])+IF(MONTH(Daily_KPI[[#This Row],[Date]])&gt;=4,1,0)</f>
        <v>2026</v>
      </c>
      <c r="C350" s="6">
        <f>YEAR(Daily_KPI[[#This Row],[Date]])</f>
        <v>2026</v>
      </c>
      <c r="D350" s="228">
        <f>Daily_KPI[[#This Row],[Date]]-DAY(Daily_KPI[[#This Row],[Date]])+1</f>
        <v>46082</v>
      </c>
      <c r="E350" s="6">
        <f t="shared" si="24"/>
        <v>31</v>
      </c>
      <c r="F350" s="229" t="str">
        <f>IFERROR(_xlfn.XLOOKUP($A350,'Raw Data'!$A:$A,'Raw Data'!$BR:$BR),"")</f>
        <v/>
      </c>
      <c r="G350" s="230" t="str">
        <f>IFERROR(_xlfn.XLOOKUP($A350,'Raw Data'!$A:$A,'Raw Data'!$AO:$AO),"")</f>
        <v/>
      </c>
      <c r="H350" s="230"/>
      <c r="I350" s="230" t="str">
        <f>IFERROR(_xlfn.XLOOKUP($A350,'Raw Data'!$A:$A,'Raw Data'!$AR:$AR),"")</f>
        <v/>
      </c>
      <c r="J350" s="230"/>
      <c r="K350" s="230" t="str">
        <f>IFERROR(_xlfn.XLOOKUP($A350,'Raw Data'!$A:$A,'Raw Data'!$AV:$AV),"")</f>
        <v/>
      </c>
      <c r="L350" s="230" t="str">
        <f>IFERROR(_xlfn.XLOOKUP($A350,'Raw Data'!$A:$A,'Raw Data'!$AW:$AW),"")</f>
        <v/>
      </c>
      <c r="M350" s="230" t="str">
        <f>IFERROR(_xlfn.XLOOKUP($A350,'Raw Data'!$A:$A,'Raw Data'!$AX:$AX),"")</f>
        <v/>
      </c>
      <c r="N350" s="230" t="str">
        <f>IFERROR(_xlfn.XLOOKUP($A350,'Raw Data'!$A:$A,'Raw Data'!$AY:$AY),"")</f>
        <v/>
      </c>
      <c r="O350" s="231" t="str">
        <f>IFERROR(1-(SUMIF('Plant BD'!$B:$B,A350,'Plant BD'!$AE:$AE)/(AA350+SUMIF('Plant BD'!$B:$B,A350,'Plant BD'!$AE:$AE))),"")</f>
        <v/>
      </c>
      <c r="P350" s="231"/>
      <c r="Q350" s="232"/>
      <c r="R350" s="231" t="str">
        <f>IFERROR(1-(SUMIF('Grid BD'!$B:$B,$A350,'Grid BD'!$AD:$AD)/($AA350+SUMIF('Grid BD'!$B:$B,$A350,'Grid BD'!AD:AD))),"")</f>
        <v/>
      </c>
      <c r="S350" s="6"/>
      <c r="T350" s="232"/>
      <c r="U350" s="233" t="str">
        <f t="shared" si="25"/>
        <v/>
      </c>
      <c r="V350" s="233"/>
      <c r="W350" s="234" t="str">
        <f t="shared" si="23"/>
        <v/>
      </c>
      <c r="X350" s="227" t="str">
        <f>IFERROR(_xlfn.XLOOKUP($A350,'Raw Data'!$A:$A,'Raw Data'!$BA:$BA),"")</f>
        <v/>
      </c>
      <c r="Y350" s="227" t="str">
        <f>IFERROR(_xlfn.XLOOKUP($A350,'Raw Data'!$A:$A,'Raw Data'!BJ:BJ),"")</f>
        <v/>
      </c>
      <c r="Z350" s="227" t="str">
        <f>IFERROR(_xlfn.XLOOKUP($A350,'Raw Data'!$A:$A,'Raw Data'!BK:BK),"")</f>
        <v/>
      </c>
      <c r="AA350" s="227" t="str">
        <f>IFERROR(_xlfn.XLOOKUP($A350,'Raw Data'!$A:$A,'Raw Data'!BL:BL),"")</f>
        <v/>
      </c>
      <c r="AB350" s="227" t="str">
        <f>IFERROR(_xlfn.XLOOKUP($A350,'Raw Data'!$A:$A,'Raw Data'!$H:$H),"")</f>
        <v/>
      </c>
      <c r="AC350" s="145">
        <f>IFERROR(_xlfn.XLOOKUP($D350,'Modelling New'!$D:$D,'Modelling New'!$P:$P),"")</f>
        <v>6.9</v>
      </c>
      <c r="AD350" s="227">
        <f>IFERROR(_xlfn.XLOOKUP($D350,'Modelling New'!$D:$D,'Modelling New'!$T:$T)*1000,"")</f>
        <v>124131.0967036221</v>
      </c>
      <c r="AE350" s="234">
        <f>IFERROR(_xlfn.XLOOKUP($D350,'Modelling New'!$D:$D,'Modelling New'!$O:$O),"")</f>
        <v>0.74023536153896807</v>
      </c>
      <c r="AF350" s="234">
        <f>IFERROR(_xlfn.XLOOKUP($D350,'Modelling New'!$D:$D,'Modelling New'!$W:$W),"")</f>
        <v>0.21281766644245331</v>
      </c>
      <c r="AG350" s="234">
        <f>IFERROR(_xlfn.XLOOKUP($D350,'Modelling New'!$D:$D,'Modelling New'!AE:AE),"")</f>
        <v>0.995</v>
      </c>
      <c r="AH350" s="234">
        <v>0.99750000000000005</v>
      </c>
      <c r="AI350" s="6"/>
      <c r="AJ350" s="6"/>
      <c r="AK350" s="6"/>
      <c r="AL350" s="6"/>
      <c r="AM350" s="6"/>
      <c r="AN350" s="231"/>
      <c r="AO350" s="234"/>
      <c r="AP350" s="234"/>
      <c r="AQ350" s="234"/>
      <c r="AR350" s="227">
        <f>IFERROR(_xlfn.XLOOKUP($D350,'Modelling New'!$D:$D,'Modelling New'!$N:$N),"")</f>
        <v>24.303100000000001</v>
      </c>
      <c r="AS350" s="227"/>
    </row>
    <row r="351" spans="1:45" x14ac:dyDescent="0.35">
      <c r="A351" s="226">
        <f t="shared" si="26"/>
        <v>46094</v>
      </c>
      <c r="B351" s="227">
        <f>YEAR(Daily_KPI[[#This Row],[Date]])+IF(MONTH(Daily_KPI[[#This Row],[Date]])&gt;=4,1,0)</f>
        <v>2026</v>
      </c>
      <c r="C351" s="6">
        <f>YEAR(Daily_KPI[[#This Row],[Date]])</f>
        <v>2026</v>
      </c>
      <c r="D351" s="228">
        <f>Daily_KPI[[#This Row],[Date]]-DAY(Daily_KPI[[#This Row],[Date]])+1</f>
        <v>46082</v>
      </c>
      <c r="E351" s="6">
        <f t="shared" si="24"/>
        <v>31</v>
      </c>
      <c r="F351" s="229" t="str">
        <f>IFERROR(_xlfn.XLOOKUP($A351,'Raw Data'!$A:$A,'Raw Data'!$BR:$BR),"")</f>
        <v/>
      </c>
      <c r="G351" s="230" t="str">
        <f>IFERROR(_xlfn.XLOOKUP($A351,'Raw Data'!$A:$A,'Raw Data'!$AO:$AO),"")</f>
        <v/>
      </c>
      <c r="H351" s="230"/>
      <c r="I351" s="230" t="str">
        <f>IFERROR(_xlfn.XLOOKUP($A351,'Raw Data'!$A:$A,'Raw Data'!$AR:$AR),"")</f>
        <v/>
      </c>
      <c r="J351" s="230"/>
      <c r="K351" s="230" t="str">
        <f>IFERROR(_xlfn.XLOOKUP($A351,'Raw Data'!$A:$A,'Raw Data'!$AV:$AV),"")</f>
        <v/>
      </c>
      <c r="L351" s="230" t="str">
        <f>IFERROR(_xlfn.XLOOKUP($A351,'Raw Data'!$A:$A,'Raw Data'!$AW:$AW),"")</f>
        <v/>
      </c>
      <c r="M351" s="230" t="str">
        <f>IFERROR(_xlfn.XLOOKUP($A351,'Raw Data'!$A:$A,'Raw Data'!$AX:$AX),"")</f>
        <v/>
      </c>
      <c r="N351" s="230" t="str">
        <f>IFERROR(_xlfn.XLOOKUP($A351,'Raw Data'!$A:$A,'Raw Data'!$AY:$AY),"")</f>
        <v/>
      </c>
      <c r="O351" s="231" t="str">
        <f>IFERROR(1-(SUMIF('Plant BD'!$B:$B,A351,'Plant BD'!$AE:$AE)/(AA351+SUMIF('Plant BD'!$B:$B,A351,'Plant BD'!$AE:$AE))),"")</f>
        <v/>
      </c>
      <c r="P351" s="231"/>
      <c r="Q351" s="232"/>
      <c r="R351" s="231" t="str">
        <f>IFERROR(1-(SUMIF('Grid BD'!$B:$B,$A351,'Grid BD'!$AD:$AD)/($AA351+SUMIF('Grid BD'!$B:$B,$A351,'Grid BD'!AD:AD))),"")</f>
        <v/>
      </c>
      <c r="S351" s="6"/>
      <c r="T351" s="232"/>
      <c r="U351" s="233" t="str">
        <f t="shared" si="25"/>
        <v/>
      </c>
      <c r="V351" s="233"/>
      <c r="W351" s="234" t="str">
        <f t="shared" si="23"/>
        <v/>
      </c>
      <c r="X351" s="227" t="str">
        <f>IFERROR(_xlfn.XLOOKUP($A351,'Raw Data'!$A:$A,'Raw Data'!$BA:$BA),"")</f>
        <v/>
      </c>
      <c r="Y351" s="227" t="str">
        <f>IFERROR(_xlfn.XLOOKUP($A351,'Raw Data'!$A:$A,'Raw Data'!BJ:BJ),"")</f>
        <v/>
      </c>
      <c r="Z351" s="227" t="str">
        <f>IFERROR(_xlfn.XLOOKUP($A351,'Raw Data'!$A:$A,'Raw Data'!BK:BK),"")</f>
        <v/>
      </c>
      <c r="AA351" s="227" t="str">
        <f>IFERROR(_xlfn.XLOOKUP($A351,'Raw Data'!$A:$A,'Raw Data'!BL:BL),"")</f>
        <v/>
      </c>
      <c r="AB351" s="227" t="str">
        <f>IFERROR(_xlfn.XLOOKUP($A351,'Raw Data'!$A:$A,'Raw Data'!$H:$H),"")</f>
        <v/>
      </c>
      <c r="AC351" s="145">
        <f>IFERROR(_xlfn.XLOOKUP($D351,'Modelling New'!$D:$D,'Modelling New'!$P:$P),"")</f>
        <v>6.9</v>
      </c>
      <c r="AD351" s="227">
        <f>IFERROR(_xlfn.XLOOKUP($D351,'Modelling New'!$D:$D,'Modelling New'!$T:$T)*1000,"")</f>
        <v>124131.0967036221</v>
      </c>
      <c r="AE351" s="234">
        <f>IFERROR(_xlfn.XLOOKUP($D351,'Modelling New'!$D:$D,'Modelling New'!$O:$O),"")</f>
        <v>0.74023536153896807</v>
      </c>
      <c r="AF351" s="234">
        <f>IFERROR(_xlfn.XLOOKUP($D351,'Modelling New'!$D:$D,'Modelling New'!$W:$W),"")</f>
        <v>0.21281766644245331</v>
      </c>
      <c r="AG351" s="234">
        <f>IFERROR(_xlfn.XLOOKUP($D351,'Modelling New'!$D:$D,'Modelling New'!AE:AE),"")</f>
        <v>0.995</v>
      </c>
      <c r="AH351" s="234">
        <v>0.99750000000000005</v>
      </c>
      <c r="AI351" s="6"/>
      <c r="AJ351" s="6"/>
      <c r="AK351" s="6"/>
      <c r="AL351" s="6"/>
      <c r="AM351" s="6"/>
      <c r="AN351" s="231"/>
      <c r="AO351" s="234"/>
      <c r="AP351" s="234"/>
      <c r="AQ351" s="234"/>
      <c r="AR351" s="227">
        <f>IFERROR(_xlfn.XLOOKUP($D351,'Modelling New'!$D:$D,'Modelling New'!$N:$N),"")</f>
        <v>24.303100000000001</v>
      </c>
      <c r="AS351" s="227"/>
    </row>
    <row r="352" spans="1:45" x14ac:dyDescent="0.35">
      <c r="A352" s="226">
        <f t="shared" si="26"/>
        <v>46095</v>
      </c>
      <c r="B352" s="227">
        <f>YEAR(Daily_KPI[[#This Row],[Date]])+IF(MONTH(Daily_KPI[[#This Row],[Date]])&gt;=4,1,0)</f>
        <v>2026</v>
      </c>
      <c r="C352" s="6">
        <f>YEAR(Daily_KPI[[#This Row],[Date]])</f>
        <v>2026</v>
      </c>
      <c r="D352" s="228">
        <f>Daily_KPI[[#This Row],[Date]]-DAY(Daily_KPI[[#This Row],[Date]])+1</f>
        <v>46082</v>
      </c>
      <c r="E352" s="6">
        <f t="shared" si="24"/>
        <v>31</v>
      </c>
      <c r="F352" s="229" t="str">
        <f>IFERROR(_xlfn.XLOOKUP($A352,'Raw Data'!$A:$A,'Raw Data'!$BR:$BR),"")</f>
        <v/>
      </c>
      <c r="G352" s="230" t="str">
        <f>IFERROR(_xlfn.XLOOKUP($A352,'Raw Data'!$A:$A,'Raw Data'!$AO:$AO),"")</f>
        <v/>
      </c>
      <c r="H352" s="230"/>
      <c r="I352" s="230" t="str">
        <f>IFERROR(_xlfn.XLOOKUP($A352,'Raw Data'!$A:$A,'Raw Data'!$AR:$AR),"")</f>
        <v/>
      </c>
      <c r="J352" s="230"/>
      <c r="K352" s="230" t="str">
        <f>IFERROR(_xlfn.XLOOKUP($A352,'Raw Data'!$A:$A,'Raw Data'!$AV:$AV),"")</f>
        <v/>
      </c>
      <c r="L352" s="230" t="str">
        <f>IFERROR(_xlfn.XLOOKUP($A352,'Raw Data'!$A:$A,'Raw Data'!$AW:$AW),"")</f>
        <v/>
      </c>
      <c r="M352" s="230" t="str">
        <f>IFERROR(_xlfn.XLOOKUP($A352,'Raw Data'!$A:$A,'Raw Data'!$AX:$AX),"")</f>
        <v/>
      </c>
      <c r="N352" s="230" t="str">
        <f>IFERROR(_xlfn.XLOOKUP($A352,'Raw Data'!$A:$A,'Raw Data'!$AY:$AY),"")</f>
        <v/>
      </c>
      <c r="O352" s="231" t="str">
        <f>IFERROR(1-(SUMIF('Plant BD'!$B:$B,A352,'Plant BD'!$AE:$AE)/(AA352+SUMIF('Plant BD'!$B:$B,A352,'Plant BD'!$AE:$AE))),"")</f>
        <v/>
      </c>
      <c r="P352" s="231"/>
      <c r="Q352" s="232"/>
      <c r="R352" s="231" t="str">
        <f>IFERROR(1-(SUMIF('Grid BD'!$B:$B,$A352,'Grid BD'!$AD:$AD)/($AA352+SUMIF('Grid BD'!$B:$B,$A352,'Grid BD'!AD:AD))),"")</f>
        <v/>
      </c>
      <c r="S352" s="6"/>
      <c r="T352" s="232"/>
      <c r="U352" s="233" t="str">
        <f t="shared" si="25"/>
        <v/>
      </c>
      <c r="V352" s="233"/>
      <c r="W352" s="234" t="str">
        <f t="shared" si="23"/>
        <v/>
      </c>
      <c r="X352" s="227" t="str">
        <f>IFERROR(_xlfn.XLOOKUP($A352,'Raw Data'!$A:$A,'Raw Data'!$BA:$BA),"")</f>
        <v/>
      </c>
      <c r="Y352" s="227" t="str">
        <f>IFERROR(_xlfn.XLOOKUP($A352,'Raw Data'!$A:$A,'Raw Data'!BJ:BJ),"")</f>
        <v/>
      </c>
      <c r="Z352" s="227" t="str">
        <f>IFERROR(_xlfn.XLOOKUP($A352,'Raw Data'!$A:$A,'Raw Data'!BK:BK),"")</f>
        <v/>
      </c>
      <c r="AA352" s="227" t="str">
        <f>IFERROR(_xlfn.XLOOKUP($A352,'Raw Data'!$A:$A,'Raw Data'!BL:BL),"")</f>
        <v/>
      </c>
      <c r="AB352" s="227" t="str">
        <f>IFERROR(_xlfn.XLOOKUP($A352,'Raw Data'!$A:$A,'Raw Data'!$H:$H),"")</f>
        <v/>
      </c>
      <c r="AC352" s="145">
        <f>IFERROR(_xlfn.XLOOKUP($D352,'Modelling New'!$D:$D,'Modelling New'!$P:$P),"")</f>
        <v>6.9</v>
      </c>
      <c r="AD352" s="227">
        <f>IFERROR(_xlfn.XLOOKUP($D352,'Modelling New'!$D:$D,'Modelling New'!$T:$T)*1000,"")</f>
        <v>124131.0967036221</v>
      </c>
      <c r="AE352" s="234">
        <f>IFERROR(_xlfn.XLOOKUP($D352,'Modelling New'!$D:$D,'Modelling New'!$O:$O),"")</f>
        <v>0.74023536153896807</v>
      </c>
      <c r="AF352" s="234">
        <f>IFERROR(_xlfn.XLOOKUP($D352,'Modelling New'!$D:$D,'Modelling New'!$W:$W),"")</f>
        <v>0.21281766644245331</v>
      </c>
      <c r="AG352" s="234">
        <f>IFERROR(_xlfn.XLOOKUP($D352,'Modelling New'!$D:$D,'Modelling New'!AE:AE),"")</f>
        <v>0.995</v>
      </c>
      <c r="AH352" s="234">
        <v>0.99750000000000005</v>
      </c>
      <c r="AI352" s="6"/>
      <c r="AJ352" s="6"/>
      <c r="AK352" s="6"/>
      <c r="AL352" s="6"/>
      <c r="AM352" s="6"/>
      <c r="AN352" s="231"/>
      <c r="AO352" s="234"/>
      <c r="AP352" s="234"/>
      <c r="AQ352" s="234"/>
      <c r="AR352" s="227">
        <f>IFERROR(_xlfn.XLOOKUP($D352,'Modelling New'!$D:$D,'Modelling New'!$N:$N),"")</f>
        <v>24.303100000000001</v>
      </c>
      <c r="AS352" s="227"/>
    </row>
    <row r="353" spans="1:45" x14ac:dyDescent="0.35">
      <c r="A353" s="226">
        <f t="shared" si="26"/>
        <v>46096</v>
      </c>
      <c r="B353" s="227">
        <f>YEAR(Daily_KPI[[#This Row],[Date]])+IF(MONTH(Daily_KPI[[#This Row],[Date]])&gt;=4,1,0)</f>
        <v>2026</v>
      </c>
      <c r="C353" s="6">
        <f>YEAR(Daily_KPI[[#This Row],[Date]])</f>
        <v>2026</v>
      </c>
      <c r="D353" s="228">
        <f>Daily_KPI[[#This Row],[Date]]-DAY(Daily_KPI[[#This Row],[Date]])+1</f>
        <v>46082</v>
      </c>
      <c r="E353" s="6">
        <f t="shared" si="24"/>
        <v>31</v>
      </c>
      <c r="F353" s="229" t="str">
        <f>IFERROR(_xlfn.XLOOKUP($A353,'Raw Data'!$A:$A,'Raw Data'!$BR:$BR),"")</f>
        <v/>
      </c>
      <c r="G353" s="230" t="str">
        <f>IFERROR(_xlfn.XLOOKUP($A353,'Raw Data'!$A:$A,'Raw Data'!$AO:$AO),"")</f>
        <v/>
      </c>
      <c r="H353" s="230"/>
      <c r="I353" s="230" t="str">
        <f>IFERROR(_xlfn.XLOOKUP($A353,'Raw Data'!$A:$A,'Raw Data'!$AR:$AR),"")</f>
        <v/>
      </c>
      <c r="J353" s="230"/>
      <c r="K353" s="230" t="str">
        <f>IFERROR(_xlfn.XLOOKUP($A353,'Raw Data'!$A:$A,'Raw Data'!$AV:$AV),"")</f>
        <v/>
      </c>
      <c r="L353" s="230" t="str">
        <f>IFERROR(_xlfn.XLOOKUP($A353,'Raw Data'!$A:$A,'Raw Data'!$AW:$AW),"")</f>
        <v/>
      </c>
      <c r="M353" s="230" t="str">
        <f>IFERROR(_xlfn.XLOOKUP($A353,'Raw Data'!$A:$A,'Raw Data'!$AX:$AX),"")</f>
        <v/>
      </c>
      <c r="N353" s="230" t="str">
        <f>IFERROR(_xlfn.XLOOKUP($A353,'Raw Data'!$A:$A,'Raw Data'!$AY:$AY),"")</f>
        <v/>
      </c>
      <c r="O353" s="231" t="str">
        <f>IFERROR(1-(SUMIF('Plant BD'!$B:$B,A353,'Plant BD'!$AE:$AE)/(AA353+SUMIF('Plant BD'!$B:$B,A353,'Plant BD'!$AE:$AE))),"")</f>
        <v/>
      </c>
      <c r="P353" s="231"/>
      <c r="Q353" s="232"/>
      <c r="R353" s="231" t="str">
        <f>IFERROR(1-(SUMIF('Grid BD'!$B:$B,$A353,'Grid BD'!$AD:$AD)/($AA353+SUMIF('Grid BD'!$B:$B,$A353,'Grid BD'!AD:AD))),"")</f>
        <v/>
      </c>
      <c r="S353" s="6"/>
      <c r="T353" s="232"/>
      <c r="U353" s="233" t="str">
        <f t="shared" si="25"/>
        <v/>
      </c>
      <c r="V353" s="233"/>
      <c r="W353" s="234" t="str">
        <f t="shared" si="23"/>
        <v/>
      </c>
      <c r="X353" s="227" t="str">
        <f>IFERROR(_xlfn.XLOOKUP($A353,'Raw Data'!$A:$A,'Raw Data'!$BA:$BA),"")</f>
        <v/>
      </c>
      <c r="Y353" s="227" t="str">
        <f>IFERROR(_xlfn.XLOOKUP($A353,'Raw Data'!$A:$A,'Raw Data'!BJ:BJ),"")</f>
        <v/>
      </c>
      <c r="Z353" s="227" t="str">
        <f>IFERROR(_xlfn.XLOOKUP($A353,'Raw Data'!$A:$A,'Raw Data'!BK:BK),"")</f>
        <v/>
      </c>
      <c r="AA353" s="227" t="str">
        <f>IFERROR(_xlfn.XLOOKUP($A353,'Raw Data'!$A:$A,'Raw Data'!BL:BL),"")</f>
        <v/>
      </c>
      <c r="AB353" s="227" t="str">
        <f>IFERROR(_xlfn.XLOOKUP($A353,'Raw Data'!$A:$A,'Raw Data'!$H:$H),"")</f>
        <v/>
      </c>
      <c r="AC353" s="145">
        <f>IFERROR(_xlfn.XLOOKUP($D353,'Modelling New'!$D:$D,'Modelling New'!$P:$P),"")</f>
        <v>6.9</v>
      </c>
      <c r="AD353" s="227">
        <f>IFERROR(_xlfn.XLOOKUP($D353,'Modelling New'!$D:$D,'Modelling New'!$T:$T)*1000,"")</f>
        <v>124131.0967036221</v>
      </c>
      <c r="AE353" s="234">
        <f>IFERROR(_xlfn.XLOOKUP($D353,'Modelling New'!$D:$D,'Modelling New'!$O:$O),"")</f>
        <v>0.74023536153896807</v>
      </c>
      <c r="AF353" s="234">
        <f>IFERROR(_xlfn.XLOOKUP($D353,'Modelling New'!$D:$D,'Modelling New'!$W:$W),"")</f>
        <v>0.21281766644245331</v>
      </c>
      <c r="AG353" s="234">
        <f>IFERROR(_xlfn.XLOOKUP($D353,'Modelling New'!$D:$D,'Modelling New'!AE:AE),"")</f>
        <v>0.995</v>
      </c>
      <c r="AH353" s="234">
        <v>0.99750000000000005</v>
      </c>
      <c r="AI353" s="6"/>
      <c r="AJ353" s="6"/>
      <c r="AK353" s="6"/>
      <c r="AL353" s="6"/>
      <c r="AM353" s="6"/>
      <c r="AN353" s="231"/>
      <c r="AO353" s="234"/>
      <c r="AP353" s="234"/>
      <c r="AQ353" s="234"/>
      <c r="AR353" s="227">
        <f>IFERROR(_xlfn.XLOOKUP($D353,'Modelling New'!$D:$D,'Modelling New'!$N:$N),"")</f>
        <v>24.303100000000001</v>
      </c>
      <c r="AS353" s="227"/>
    </row>
    <row r="354" spans="1:45" x14ac:dyDescent="0.35">
      <c r="A354" s="226">
        <f t="shared" si="26"/>
        <v>46097</v>
      </c>
      <c r="B354" s="227">
        <f>YEAR(Daily_KPI[[#This Row],[Date]])+IF(MONTH(Daily_KPI[[#This Row],[Date]])&gt;=4,1,0)</f>
        <v>2026</v>
      </c>
      <c r="C354" s="6">
        <f>YEAR(Daily_KPI[[#This Row],[Date]])</f>
        <v>2026</v>
      </c>
      <c r="D354" s="228">
        <f>Daily_KPI[[#This Row],[Date]]-DAY(Daily_KPI[[#This Row],[Date]])+1</f>
        <v>46082</v>
      </c>
      <c r="E354" s="6">
        <f t="shared" si="24"/>
        <v>31</v>
      </c>
      <c r="F354" s="229" t="str">
        <f>IFERROR(_xlfn.XLOOKUP($A354,'Raw Data'!$A:$A,'Raw Data'!$BR:$BR),"")</f>
        <v/>
      </c>
      <c r="G354" s="230" t="str">
        <f>IFERROR(_xlfn.XLOOKUP($A354,'Raw Data'!$A:$A,'Raw Data'!$AO:$AO),"")</f>
        <v/>
      </c>
      <c r="H354" s="230"/>
      <c r="I354" s="230" t="str">
        <f>IFERROR(_xlfn.XLOOKUP($A354,'Raw Data'!$A:$A,'Raw Data'!$AR:$AR),"")</f>
        <v/>
      </c>
      <c r="J354" s="230"/>
      <c r="K354" s="230" t="str">
        <f>IFERROR(_xlfn.XLOOKUP($A354,'Raw Data'!$A:$A,'Raw Data'!$AV:$AV),"")</f>
        <v/>
      </c>
      <c r="L354" s="230" t="str">
        <f>IFERROR(_xlfn.XLOOKUP($A354,'Raw Data'!$A:$A,'Raw Data'!$AW:$AW),"")</f>
        <v/>
      </c>
      <c r="M354" s="230" t="str">
        <f>IFERROR(_xlfn.XLOOKUP($A354,'Raw Data'!$A:$A,'Raw Data'!$AX:$AX),"")</f>
        <v/>
      </c>
      <c r="N354" s="230" t="str">
        <f>IFERROR(_xlfn.XLOOKUP($A354,'Raw Data'!$A:$A,'Raw Data'!$AY:$AY),"")</f>
        <v/>
      </c>
      <c r="O354" s="231" t="str">
        <f>IFERROR(1-(SUMIF('Plant BD'!$B:$B,A354,'Plant BD'!$AE:$AE)/(AA354+SUMIF('Plant BD'!$B:$B,A354,'Plant BD'!$AE:$AE))),"")</f>
        <v/>
      </c>
      <c r="P354" s="231"/>
      <c r="Q354" s="232"/>
      <c r="R354" s="231" t="str">
        <f>IFERROR(1-(SUMIF('Grid BD'!$B:$B,$A354,'Grid BD'!$AD:$AD)/($AA354+SUMIF('Grid BD'!$B:$B,$A354,'Grid BD'!AD:AD))),"")</f>
        <v/>
      </c>
      <c r="S354" s="6"/>
      <c r="T354" s="232"/>
      <c r="U354" s="233" t="str">
        <f t="shared" si="25"/>
        <v/>
      </c>
      <c r="V354" s="233"/>
      <c r="W354" s="234" t="str">
        <f t="shared" si="23"/>
        <v/>
      </c>
      <c r="X354" s="227" t="str">
        <f>IFERROR(_xlfn.XLOOKUP($A354,'Raw Data'!$A:$A,'Raw Data'!$BA:$BA),"")</f>
        <v/>
      </c>
      <c r="Y354" s="227" t="str">
        <f>IFERROR(_xlfn.XLOOKUP($A354,'Raw Data'!$A:$A,'Raw Data'!BJ:BJ),"")</f>
        <v/>
      </c>
      <c r="Z354" s="227" t="str">
        <f>IFERROR(_xlfn.XLOOKUP($A354,'Raw Data'!$A:$A,'Raw Data'!BK:BK),"")</f>
        <v/>
      </c>
      <c r="AA354" s="227" t="str">
        <f>IFERROR(_xlfn.XLOOKUP($A354,'Raw Data'!$A:$A,'Raw Data'!BL:BL),"")</f>
        <v/>
      </c>
      <c r="AB354" s="227" t="str">
        <f>IFERROR(_xlfn.XLOOKUP($A354,'Raw Data'!$A:$A,'Raw Data'!$H:$H),"")</f>
        <v/>
      </c>
      <c r="AC354" s="145">
        <f>IFERROR(_xlfn.XLOOKUP($D354,'Modelling New'!$D:$D,'Modelling New'!$P:$P),"")</f>
        <v>6.9</v>
      </c>
      <c r="AD354" s="227">
        <f>IFERROR(_xlfn.XLOOKUP($D354,'Modelling New'!$D:$D,'Modelling New'!$T:$T)*1000,"")</f>
        <v>124131.0967036221</v>
      </c>
      <c r="AE354" s="234">
        <f>IFERROR(_xlfn.XLOOKUP($D354,'Modelling New'!$D:$D,'Modelling New'!$O:$O),"")</f>
        <v>0.74023536153896807</v>
      </c>
      <c r="AF354" s="234">
        <f>IFERROR(_xlfn.XLOOKUP($D354,'Modelling New'!$D:$D,'Modelling New'!$W:$W),"")</f>
        <v>0.21281766644245331</v>
      </c>
      <c r="AG354" s="234">
        <f>IFERROR(_xlfn.XLOOKUP($D354,'Modelling New'!$D:$D,'Modelling New'!AE:AE),"")</f>
        <v>0.995</v>
      </c>
      <c r="AH354" s="234">
        <v>0.99750000000000005</v>
      </c>
      <c r="AI354" s="6"/>
      <c r="AJ354" s="6"/>
      <c r="AK354" s="6"/>
      <c r="AL354" s="6"/>
      <c r="AM354" s="6"/>
      <c r="AN354" s="231"/>
      <c r="AO354" s="234"/>
      <c r="AP354" s="234"/>
      <c r="AQ354" s="234"/>
      <c r="AR354" s="227">
        <f>IFERROR(_xlfn.XLOOKUP($D354,'Modelling New'!$D:$D,'Modelling New'!$N:$N),"")</f>
        <v>24.303100000000001</v>
      </c>
      <c r="AS354" s="227"/>
    </row>
    <row r="355" spans="1:45" x14ac:dyDescent="0.35">
      <c r="A355" s="226">
        <f t="shared" si="26"/>
        <v>46098</v>
      </c>
      <c r="B355" s="227">
        <f>YEAR(Daily_KPI[[#This Row],[Date]])+IF(MONTH(Daily_KPI[[#This Row],[Date]])&gt;=4,1,0)</f>
        <v>2026</v>
      </c>
      <c r="C355" s="6">
        <f>YEAR(Daily_KPI[[#This Row],[Date]])</f>
        <v>2026</v>
      </c>
      <c r="D355" s="228">
        <f>Daily_KPI[[#This Row],[Date]]-DAY(Daily_KPI[[#This Row],[Date]])+1</f>
        <v>46082</v>
      </c>
      <c r="E355" s="6">
        <f t="shared" si="24"/>
        <v>31</v>
      </c>
      <c r="F355" s="229" t="str">
        <f>IFERROR(_xlfn.XLOOKUP($A355,'Raw Data'!$A:$A,'Raw Data'!$BR:$BR),"")</f>
        <v/>
      </c>
      <c r="G355" s="230" t="str">
        <f>IFERROR(_xlfn.XLOOKUP($A355,'Raw Data'!$A:$A,'Raw Data'!$AO:$AO),"")</f>
        <v/>
      </c>
      <c r="H355" s="230"/>
      <c r="I355" s="230" t="str">
        <f>IFERROR(_xlfn.XLOOKUP($A355,'Raw Data'!$A:$A,'Raw Data'!$AR:$AR),"")</f>
        <v/>
      </c>
      <c r="J355" s="230"/>
      <c r="K355" s="230" t="str">
        <f>IFERROR(_xlfn.XLOOKUP($A355,'Raw Data'!$A:$A,'Raw Data'!$AV:$AV),"")</f>
        <v/>
      </c>
      <c r="L355" s="230" t="str">
        <f>IFERROR(_xlfn.XLOOKUP($A355,'Raw Data'!$A:$A,'Raw Data'!$AW:$AW),"")</f>
        <v/>
      </c>
      <c r="M355" s="230" t="str">
        <f>IFERROR(_xlfn.XLOOKUP($A355,'Raw Data'!$A:$A,'Raw Data'!$AX:$AX),"")</f>
        <v/>
      </c>
      <c r="N355" s="230" t="str">
        <f>IFERROR(_xlfn.XLOOKUP($A355,'Raw Data'!$A:$A,'Raw Data'!$AY:$AY),"")</f>
        <v/>
      </c>
      <c r="O355" s="231" t="str">
        <f>IFERROR(1-(SUMIF('Plant BD'!$B:$B,A355,'Plant BD'!$AE:$AE)/(AA355+SUMIF('Plant BD'!$B:$B,A355,'Plant BD'!$AE:$AE))),"")</f>
        <v/>
      </c>
      <c r="P355" s="231"/>
      <c r="Q355" s="232"/>
      <c r="R355" s="231" t="str">
        <f>IFERROR(1-(SUMIF('Grid BD'!$B:$B,$A355,'Grid BD'!$AD:$AD)/($AA355+SUMIF('Grid BD'!$B:$B,$A355,'Grid BD'!AD:AD))),"")</f>
        <v/>
      </c>
      <c r="S355" s="6"/>
      <c r="T355" s="232"/>
      <c r="U355" s="233" t="str">
        <f t="shared" si="25"/>
        <v/>
      </c>
      <c r="V355" s="233"/>
      <c r="W355" s="234" t="str">
        <f t="shared" si="23"/>
        <v/>
      </c>
      <c r="X355" s="227" t="str">
        <f>IFERROR(_xlfn.XLOOKUP($A355,'Raw Data'!$A:$A,'Raw Data'!$BA:$BA),"")</f>
        <v/>
      </c>
      <c r="Y355" s="227" t="str">
        <f>IFERROR(_xlfn.XLOOKUP($A355,'Raw Data'!$A:$A,'Raw Data'!BJ:BJ),"")</f>
        <v/>
      </c>
      <c r="Z355" s="227" t="str">
        <f>IFERROR(_xlfn.XLOOKUP($A355,'Raw Data'!$A:$A,'Raw Data'!BK:BK),"")</f>
        <v/>
      </c>
      <c r="AA355" s="227" t="str">
        <f>IFERROR(_xlfn.XLOOKUP($A355,'Raw Data'!$A:$A,'Raw Data'!BL:BL),"")</f>
        <v/>
      </c>
      <c r="AB355" s="227" t="str">
        <f>IFERROR(_xlfn.XLOOKUP($A355,'Raw Data'!$A:$A,'Raw Data'!$H:$H),"")</f>
        <v/>
      </c>
      <c r="AC355" s="145">
        <f>IFERROR(_xlfn.XLOOKUP($D355,'Modelling New'!$D:$D,'Modelling New'!$P:$P),"")</f>
        <v>6.9</v>
      </c>
      <c r="AD355" s="227">
        <f>IFERROR(_xlfn.XLOOKUP($D355,'Modelling New'!$D:$D,'Modelling New'!$T:$T)*1000,"")</f>
        <v>124131.0967036221</v>
      </c>
      <c r="AE355" s="234">
        <f>IFERROR(_xlfn.XLOOKUP($D355,'Modelling New'!$D:$D,'Modelling New'!$O:$O),"")</f>
        <v>0.74023536153896807</v>
      </c>
      <c r="AF355" s="234">
        <f>IFERROR(_xlfn.XLOOKUP($D355,'Modelling New'!$D:$D,'Modelling New'!$W:$W),"")</f>
        <v>0.21281766644245331</v>
      </c>
      <c r="AG355" s="234">
        <f>IFERROR(_xlfn.XLOOKUP($D355,'Modelling New'!$D:$D,'Modelling New'!AE:AE),"")</f>
        <v>0.995</v>
      </c>
      <c r="AH355" s="234">
        <v>0.99750000000000005</v>
      </c>
      <c r="AI355" s="6"/>
      <c r="AJ355" s="6"/>
      <c r="AK355" s="6"/>
      <c r="AL355" s="6"/>
      <c r="AM355" s="6"/>
      <c r="AN355" s="231"/>
      <c r="AO355" s="234"/>
      <c r="AP355" s="234"/>
      <c r="AQ355" s="234"/>
      <c r="AR355" s="227">
        <f>IFERROR(_xlfn.XLOOKUP($D355,'Modelling New'!$D:$D,'Modelling New'!$N:$N),"")</f>
        <v>24.303100000000001</v>
      </c>
      <c r="AS355" s="227"/>
    </row>
    <row r="356" spans="1:45" x14ac:dyDescent="0.35">
      <c r="A356" s="226">
        <f t="shared" si="26"/>
        <v>46099</v>
      </c>
      <c r="B356" s="227">
        <f>YEAR(Daily_KPI[[#This Row],[Date]])+IF(MONTH(Daily_KPI[[#This Row],[Date]])&gt;=4,1,0)</f>
        <v>2026</v>
      </c>
      <c r="C356" s="6">
        <f>YEAR(Daily_KPI[[#This Row],[Date]])</f>
        <v>2026</v>
      </c>
      <c r="D356" s="228">
        <f>Daily_KPI[[#This Row],[Date]]-DAY(Daily_KPI[[#This Row],[Date]])+1</f>
        <v>46082</v>
      </c>
      <c r="E356" s="6">
        <f t="shared" si="24"/>
        <v>31</v>
      </c>
      <c r="F356" s="229" t="str">
        <f>IFERROR(_xlfn.XLOOKUP($A356,'Raw Data'!$A:$A,'Raw Data'!$BR:$BR),"")</f>
        <v/>
      </c>
      <c r="G356" s="230" t="str">
        <f>IFERROR(_xlfn.XLOOKUP($A356,'Raw Data'!$A:$A,'Raw Data'!$AO:$AO),"")</f>
        <v/>
      </c>
      <c r="H356" s="230"/>
      <c r="I356" s="230" t="str">
        <f>IFERROR(_xlfn.XLOOKUP($A356,'Raw Data'!$A:$A,'Raw Data'!$AR:$AR),"")</f>
        <v/>
      </c>
      <c r="J356" s="230"/>
      <c r="K356" s="230" t="str">
        <f>IFERROR(_xlfn.XLOOKUP($A356,'Raw Data'!$A:$A,'Raw Data'!$AV:$AV),"")</f>
        <v/>
      </c>
      <c r="L356" s="230" t="str">
        <f>IFERROR(_xlfn.XLOOKUP($A356,'Raw Data'!$A:$A,'Raw Data'!$AW:$AW),"")</f>
        <v/>
      </c>
      <c r="M356" s="230" t="str">
        <f>IFERROR(_xlfn.XLOOKUP($A356,'Raw Data'!$A:$A,'Raw Data'!$AX:$AX),"")</f>
        <v/>
      </c>
      <c r="N356" s="230" t="str">
        <f>IFERROR(_xlfn.XLOOKUP($A356,'Raw Data'!$A:$A,'Raw Data'!$AY:$AY),"")</f>
        <v/>
      </c>
      <c r="O356" s="231" t="str">
        <f>IFERROR(1-(SUMIF('Plant BD'!$B:$B,A356,'Plant BD'!$AE:$AE)/(AA356+SUMIF('Plant BD'!$B:$B,A356,'Plant BD'!$AE:$AE))),"")</f>
        <v/>
      </c>
      <c r="P356" s="231"/>
      <c r="Q356" s="232"/>
      <c r="R356" s="231" t="str">
        <f>IFERROR(1-(SUMIF('Grid BD'!$B:$B,$A356,'Grid BD'!$AD:$AD)/($AA356+SUMIF('Grid BD'!$B:$B,$A356,'Grid BD'!AD:AD))),"")</f>
        <v/>
      </c>
      <c r="S356" s="6"/>
      <c r="T356" s="232"/>
      <c r="U356" s="233" t="str">
        <f t="shared" si="25"/>
        <v/>
      </c>
      <c r="V356" s="233"/>
      <c r="W356" s="234" t="str">
        <f t="shared" si="23"/>
        <v/>
      </c>
      <c r="X356" s="227" t="str">
        <f>IFERROR(_xlfn.XLOOKUP($A356,'Raw Data'!$A:$A,'Raw Data'!$BA:$BA),"")</f>
        <v/>
      </c>
      <c r="Y356" s="227" t="str">
        <f>IFERROR(_xlfn.XLOOKUP($A356,'Raw Data'!$A:$A,'Raw Data'!BJ:BJ),"")</f>
        <v/>
      </c>
      <c r="Z356" s="227" t="str">
        <f>IFERROR(_xlfn.XLOOKUP($A356,'Raw Data'!$A:$A,'Raw Data'!BK:BK),"")</f>
        <v/>
      </c>
      <c r="AA356" s="227" t="str">
        <f>IFERROR(_xlfn.XLOOKUP($A356,'Raw Data'!$A:$A,'Raw Data'!BL:BL),"")</f>
        <v/>
      </c>
      <c r="AB356" s="227" t="str">
        <f>IFERROR(_xlfn.XLOOKUP($A356,'Raw Data'!$A:$A,'Raw Data'!$H:$H),"")</f>
        <v/>
      </c>
      <c r="AC356" s="145">
        <f>IFERROR(_xlfn.XLOOKUP($D356,'Modelling New'!$D:$D,'Modelling New'!$P:$P),"")</f>
        <v>6.9</v>
      </c>
      <c r="AD356" s="227">
        <f>IFERROR(_xlfn.XLOOKUP($D356,'Modelling New'!$D:$D,'Modelling New'!$T:$T)*1000,"")</f>
        <v>124131.0967036221</v>
      </c>
      <c r="AE356" s="234">
        <f>IFERROR(_xlfn.XLOOKUP($D356,'Modelling New'!$D:$D,'Modelling New'!$O:$O),"")</f>
        <v>0.74023536153896807</v>
      </c>
      <c r="AF356" s="234">
        <f>IFERROR(_xlfn.XLOOKUP($D356,'Modelling New'!$D:$D,'Modelling New'!$W:$W),"")</f>
        <v>0.21281766644245331</v>
      </c>
      <c r="AG356" s="234">
        <f>IFERROR(_xlfn.XLOOKUP($D356,'Modelling New'!$D:$D,'Modelling New'!AE:AE),"")</f>
        <v>0.995</v>
      </c>
      <c r="AH356" s="234">
        <v>0.99750000000000005</v>
      </c>
      <c r="AI356" s="6"/>
      <c r="AJ356" s="6"/>
      <c r="AK356" s="6"/>
      <c r="AL356" s="6"/>
      <c r="AM356" s="6"/>
      <c r="AN356" s="231"/>
      <c r="AO356" s="234"/>
      <c r="AP356" s="234"/>
      <c r="AQ356" s="234"/>
      <c r="AR356" s="227">
        <f>IFERROR(_xlfn.XLOOKUP($D356,'Modelling New'!$D:$D,'Modelling New'!$N:$N),"")</f>
        <v>24.303100000000001</v>
      </c>
      <c r="AS356" s="227"/>
    </row>
    <row r="357" spans="1:45" x14ac:dyDescent="0.35">
      <c r="A357" s="226">
        <f t="shared" si="26"/>
        <v>46100</v>
      </c>
      <c r="B357" s="227">
        <f>YEAR(Daily_KPI[[#This Row],[Date]])+IF(MONTH(Daily_KPI[[#This Row],[Date]])&gt;=4,1,0)</f>
        <v>2026</v>
      </c>
      <c r="C357" s="6">
        <f>YEAR(Daily_KPI[[#This Row],[Date]])</f>
        <v>2026</v>
      </c>
      <c r="D357" s="228">
        <f>Daily_KPI[[#This Row],[Date]]-DAY(Daily_KPI[[#This Row],[Date]])+1</f>
        <v>46082</v>
      </c>
      <c r="E357" s="6">
        <f t="shared" si="24"/>
        <v>31</v>
      </c>
      <c r="F357" s="229" t="str">
        <f>IFERROR(_xlfn.XLOOKUP($A357,'Raw Data'!$A:$A,'Raw Data'!$BR:$BR),"")</f>
        <v/>
      </c>
      <c r="G357" s="230" t="str">
        <f>IFERROR(_xlfn.XLOOKUP($A357,'Raw Data'!$A:$A,'Raw Data'!$AO:$AO),"")</f>
        <v/>
      </c>
      <c r="H357" s="230"/>
      <c r="I357" s="230" t="str">
        <f>IFERROR(_xlfn.XLOOKUP($A357,'Raw Data'!$A:$A,'Raw Data'!$AR:$AR),"")</f>
        <v/>
      </c>
      <c r="J357" s="230"/>
      <c r="K357" s="230" t="str">
        <f>IFERROR(_xlfn.XLOOKUP($A357,'Raw Data'!$A:$A,'Raw Data'!$AV:$AV),"")</f>
        <v/>
      </c>
      <c r="L357" s="230" t="str">
        <f>IFERROR(_xlfn.XLOOKUP($A357,'Raw Data'!$A:$A,'Raw Data'!$AW:$AW),"")</f>
        <v/>
      </c>
      <c r="M357" s="230" t="str">
        <f>IFERROR(_xlfn.XLOOKUP($A357,'Raw Data'!$A:$A,'Raw Data'!$AX:$AX),"")</f>
        <v/>
      </c>
      <c r="N357" s="230" t="str">
        <f>IFERROR(_xlfn.XLOOKUP($A357,'Raw Data'!$A:$A,'Raw Data'!$AY:$AY),"")</f>
        <v/>
      </c>
      <c r="O357" s="231" t="str">
        <f>IFERROR(1-(SUMIF('Plant BD'!$B:$B,A357,'Plant BD'!$AE:$AE)/(AA357+SUMIF('Plant BD'!$B:$B,A357,'Plant BD'!$AE:$AE))),"")</f>
        <v/>
      </c>
      <c r="P357" s="231"/>
      <c r="Q357" s="232"/>
      <c r="R357" s="231" t="str">
        <f>IFERROR(1-(SUMIF('Grid BD'!$B:$B,$A357,'Grid BD'!$AD:$AD)/($AA357+SUMIF('Grid BD'!$B:$B,$A357,'Grid BD'!AD:AD))),"")</f>
        <v/>
      </c>
      <c r="S357" s="6"/>
      <c r="T357" s="232"/>
      <c r="U357" s="233" t="str">
        <f t="shared" si="25"/>
        <v/>
      </c>
      <c r="V357" s="233"/>
      <c r="W357" s="234" t="str">
        <f t="shared" si="23"/>
        <v/>
      </c>
      <c r="X357" s="227" t="str">
        <f>IFERROR(_xlfn.XLOOKUP($A357,'Raw Data'!$A:$A,'Raw Data'!$BA:$BA),"")</f>
        <v/>
      </c>
      <c r="Y357" s="227" t="str">
        <f>IFERROR(_xlfn.XLOOKUP($A357,'Raw Data'!$A:$A,'Raw Data'!BJ:BJ),"")</f>
        <v/>
      </c>
      <c r="Z357" s="227" t="str">
        <f>IFERROR(_xlfn.XLOOKUP($A357,'Raw Data'!$A:$A,'Raw Data'!BK:BK),"")</f>
        <v/>
      </c>
      <c r="AA357" s="227" t="str">
        <f>IFERROR(_xlfn.XLOOKUP($A357,'Raw Data'!$A:$A,'Raw Data'!BL:BL),"")</f>
        <v/>
      </c>
      <c r="AB357" s="227" t="str">
        <f>IFERROR(_xlfn.XLOOKUP($A357,'Raw Data'!$A:$A,'Raw Data'!$H:$H),"")</f>
        <v/>
      </c>
      <c r="AC357" s="145">
        <f>IFERROR(_xlfn.XLOOKUP($D357,'Modelling New'!$D:$D,'Modelling New'!$P:$P),"")</f>
        <v>6.9</v>
      </c>
      <c r="AD357" s="227">
        <f>IFERROR(_xlfn.XLOOKUP($D357,'Modelling New'!$D:$D,'Modelling New'!$T:$T)*1000,"")</f>
        <v>124131.0967036221</v>
      </c>
      <c r="AE357" s="234">
        <f>IFERROR(_xlfn.XLOOKUP($D357,'Modelling New'!$D:$D,'Modelling New'!$O:$O),"")</f>
        <v>0.74023536153896807</v>
      </c>
      <c r="AF357" s="234">
        <f>IFERROR(_xlfn.XLOOKUP($D357,'Modelling New'!$D:$D,'Modelling New'!$W:$W),"")</f>
        <v>0.21281766644245331</v>
      </c>
      <c r="AG357" s="234">
        <f>IFERROR(_xlfn.XLOOKUP($D357,'Modelling New'!$D:$D,'Modelling New'!AE:AE),"")</f>
        <v>0.995</v>
      </c>
      <c r="AH357" s="234">
        <v>0.99750000000000005</v>
      </c>
      <c r="AI357" s="6"/>
      <c r="AJ357" s="6"/>
      <c r="AK357" s="6"/>
      <c r="AL357" s="6"/>
      <c r="AM357" s="6"/>
      <c r="AN357" s="231"/>
      <c r="AO357" s="234"/>
      <c r="AP357" s="234"/>
      <c r="AQ357" s="234"/>
      <c r="AR357" s="227">
        <f>IFERROR(_xlfn.XLOOKUP($D357,'Modelling New'!$D:$D,'Modelling New'!$N:$N),"")</f>
        <v>24.303100000000001</v>
      </c>
      <c r="AS357" s="227"/>
    </row>
    <row r="358" spans="1:45" x14ac:dyDescent="0.35">
      <c r="A358" s="226">
        <f t="shared" si="26"/>
        <v>46101</v>
      </c>
      <c r="B358" s="227">
        <f>YEAR(Daily_KPI[[#This Row],[Date]])+IF(MONTH(Daily_KPI[[#This Row],[Date]])&gt;=4,1,0)</f>
        <v>2026</v>
      </c>
      <c r="C358" s="6">
        <f>YEAR(Daily_KPI[[#This Row],[Date]])</f>
        <v>2026</v>
      </c>
      <c r="D358" s="228">
        <f>Daily_KPI[[#This Row],[Date]]-DAY(Daily_KPI[[#This Row],[Date]])+1</f>
        <v>46082</v>
      </c>
      <c r="E358" s="6">
        <f t="shared" si="24"/>
        <v>31</v>
      </c>
      <c r="F358" s="229" t="str">
        <f>IFERROR(_xlfn.XLOOKUP($A358,'Raw Data'!$A:$A,'Raw Data'!$BR:$BR),"")</f>
        <v/>
      </c>
      <c r="G358" s="230" t="str">
        <f>IFERROR(_xlfn.XLOOKUP($A358,'Raw Data'!$A:$A,'Raw Data'!$AO:$AO),"")</f>
        <v/>
      </c>
      <c r="H358" s="230"/>
      <c r="I358" s="230" t="str">
        <f>IFERROR(_xlfn.XLOOKUP($A358,'Raw Data'!$A:$A,'Raw Data'!$AR:$AR),"")</f>
        <v/>
      </c>
      <c r="J358" s="230"/>
      <c r="K358" s="230" t="str">
        <f>IFERROR(_xlfn.XLOOKUP($A358,'Raw Data'!$A:$A,'Raw Data'!$AV:$AV),"")</f>
        <v/>
      </c>
      <c r="L358" s="230" t="str">
        <f>IFERROR(_xlfn.XLOOKUP($A358,'Raw Data'!$A:$A,'Raw Data'!$AW:$AW),"")</f>
        <v/>
      </c>
      <c r="M358" s="230" t="str">
        <f>IFERROR(_xlfn.XLOOKUP($A358,'Raw Data'!$A:$A,'Raw Data'!$AX:$AX),"")</f>
        <v/>
      </c>
      <c r="N358" s="230" t="str">
        <f>IFERROR(_xlfn.XLOOKUP($A358,'Raw Data'!$A:$A,'Raw Data'!$AY:$AY),"")</f>
        <v/>
      </c>
      <c r="O358" s="231" t="str">
        <f>IFERROR(1-(SUMIF('Plant BD'!$B:$B,A358,'Plant BD'!$AE:$AE)/(AA358+SUMIF('Plant BD'!$B:$B,A358,'Plant BD'!$AE:$AE))),"")</f>
        <v/>
      </c>
      <c r="P358" s="231"/>
      <c r="Q358" s="232"/>
      <c r="R358" s="231" t="str">
        <f>IFERROR(1-(SUMIF('Grid BD'!$B:$B,$A358,'Grid BD'!$AD:$AD)/($AA358+SUMIF('Grid BD'!$B:$B,$A358,'Grid BD'!AD:AD))),"")</f>
        <v/>
      </c>
      <c r="S358" s="6"/>
      <c r="T358" s="232"/>
      <c r="U358" s="233" t="str">
        <f t="shared" si="25"/>
        <v/>
      </c>
      <c r="V358" s="233"/>
      <c r="W358" s="234" t="str">
        <f t="shared" si="23"/>
        <v/>
      </c>
      <c r="X358" s="227" t="str">
        <f>IFERROR(_xlfn.XLOOKUP($A358,'Raw Data'!$A:$A,'Raw Data'!$BA:$BA),"")</f>
        <v/>
      </c>
      <c r="Y358" s="227" t="str">
        <f>IFERROR(_xlfn.XLOOKUP($A358,'Raw Data'!$A:$A,'Raw Data'!BJ:BJ),"")</f>
        <v/>
      </c>
      <c r="Z358" s="227" t="str">
        <f>IFERROR(_xlfn.XLOOKUP($A358,'Raw Data'!$A:$A,'Raw Data'!BK:BK),"")</f>
        <v/>
      </c>
      <c r="AA358" s="227" t="str">
        <f>IFERROR(_xlfn.XLOOKUP($A358,'Raw Data'!$A:$A,'Raw Data'!BL:BL),"")</f>
        <v/>
      </c>
      <c r="AB358" s="227" t="str">
        <f>IFERROR(_xlfn.XLOOKUP($A358,'Raw Data'!$A:$A,'Raw Data'!$H:$H),"")</f>
        <v/>
      </c>
      <c r="AC358" s="145">
        <f>IFERROR(_xlfn.XLOOKUP($D358,'Modelling New'!$D:$D,'Modelling New'!$P:$P),"")</f>
        <v>6.9</v>
      </c>
      <c r="AD358" s="227">
        <f>IFERROR(_xlfn.XLOOKUP($D358,'Modelling New'!$D:$D,'Modelling New'!$T:$T)*1000,"")</f>
        <v>124131.0967036221</v>
      </c>
      <c r="AE358" s="234">
        <f>IFERROR(_xlfn.XLOOKUP($D358,'Modelling New'!$D:$D,'Modelling New'!$O:$O),"")</f>
        <v>0.74023536153896807</v>
      </c>
      <c r="AF358" s="234">
        <f>IFERROR(_xlfn.XLOOKUP($D358,'Modelling New'!$D:$D,'Modelling New'!$W:$W),"")</f>
        <v>0.21281766644245331</v>
      </c>
      <c r="AG358" s="234">
        <f>IFERROR(_xlfn.XLOOKUP($D358,'Modelling New'!$D:$D,'Modelling New'!AE:AE),"")</f>
        <v>0.995</v>
      </c>
      <c r="AH358" s="234">
        <v>0.99750000000000005</v>
      </c>
      <c r="AI358" s="6"/>
      <c r="AJ358" s="6"/>
      <c r="AK358" s="6"/>
      <c r="AL358" s="6"/>
      <c r="AM358" s="6"/>
      <c r="AN358" s="231"/>
      <c r="AO358" s="234"/>
      <c r="AP358" s="234"/>
      <c r="AQ358" s="234"/>
      <c r="AR358" s="227">
        <f>IFERROR(_xlfn.XLOOKUP($D358,'Modelling New'!$D:$D,'Modelling New'!$N:$N),"")</f>
        <v>24.303100000000001</v>
      </c>
      <c r="AS358" s="227"/>
    </row>
    <row r="359" spans="1:45" x14ac:dyDescent="0.35">
      <c r="A359" s="226">
        <f t="shared" si="26"/>
        <v>46102</v>
      </c>
      <c r="B359" s="227">
        <f>YEAR(Daily_KPI[[#This Row],[Date]])+IF(MONTH(Daily_KPI[[#This Row],[Date]])&gt;=4,1,0)</f>
        <v>2026</v>
      </c>
      <c r="C359" s="6">
        <f>YEAR(Daily_KPI[[#This Row],[Date]])</f>
        <v>2026</v>
      </c>
      <c r="D359" s="228">
        <f>Daily_KPI[[#This Row],[Date]]-DAY(Daily_KPI[[#This Row],[Date]])+1</f>
        <v>46082</v>
      </c>
      <c r="E359" s="6">
        <f t="shared" si="24"/>
        <v>31</v>
      </c>
      <c r="F359" s="229" t="str">
        <f>IFERROR(_xlfn.XLOOKUP($A359,'Raw Data'!$A:$A,'Raw Data'!$BR:$BR),"")</f>
        <v/>
      </c>
      <c r="G359" s="230" t="str">
        <f>IFERROR(_xlfn.XLOOKUP($A359,'Raw Data'!$A:$A,'Raw Data'!$AO:$AO),"")</f>
        <v/>
      </c>
      <c r="H359" s="230"/>
      <c r="I359" s="230" t="str">
        <f>IFERROR(_xlfn.XLOOKUP($A359,'Raw Data'!$A:$A,'Raw Data'!$AR:$AR),"")</f>
        <v/>
      </c>
      <c r="J359" s="230"/>
      <c r="K359" s="230" t="str">
        <f>IFERROR(_xlfn.XLOOKUP($A359,'Raw Data'!$A:$A,'Raw Data'!$AV:$AV),"")</f>
        <v/>
      </c>
      <c r="L359" s="230" t="str">
        <f>IFERROR(_xlfn.XLOOKUP($A359,'Raw Data'!$A:$A,'Raw Data'!$AW:$AW),"")</f>
        <v/>
      </c>
      <c r="M359" s="230" t="str">
        <f>IFERROR(_xlfn.XLOOKUP($A359,'Raw Data'!$A:$A,'Raw Data'!$AX:$AX),"")</f>
        <v/>
      </c>
      <c r="N359" s="230" t="str">
        <f>IFERROR(_xlfn.XLOOKUP($A359,'Raw Data'!$A:$A,'Raw Data'!$AY:$AY),"")</f>
        <v/>
      </c>
      <c r="O359" s="231" t="str">
        <f>IFERROR(1-(SUMIF('Plant BD'!$B:$B,A359,'Plant BD'!$AE:$AE)/(AA359+SUMIF('Plant BD'!$B:$B,A359,'Plant BD'!$AE:$AE))),"")</f>
        <v/>
      </c>
      <c r="P359" s="231"/>
      <c r="Q359" s="232"/>
      <c r="R359" s="231" t="str">
        <f>IFERROR(1-(SUMIF('Grid BD'!$B:$B,$A359,'Grid BD'!$AD:$AD)/($AA359+SUMIF('Grid BD'!$B:$B,$A359,'Grid BD'!AD:AD))),"")</f>
        <v/>
      </c>
      <c r="S359" s="6"/>
      <c r="T359" s="232"/>
      <c r="U359" s="233" t="str">
        <f t="shared" si="25"/>
        <v/>
      </c>
      <c r="V359" s="233"/>
      <c r="W359" s="234" t="str">
        <f t="shared" si="23"/>
        <v/>
      </c>
      <c r="X359" s="227" t="str">
        <f>IFERROR(_xlfn.XLOOKUP($A359,'Raw Data'!$A:$A,'Raw Data'!$BA:$BA),"")</f>
        <v/>
      </c>
      <c r="Y359" s="227" t="str">
        <f>IFERROR(_xlfn.XLOOKUP($A359,'Raw Data'!$A:$A,'Raw Data'!BJ:BJ),"")</f>
        <v/>
      </c>
      <c r="Z359" s="227" t="str">
        <f>IFERROR(_xlfn.XLOOKUP($A359,'Raw Data'!$A:$A,'Raw Data'!BK:BK),"")</f>
        <v/>
      </c>
      <c r="AA359" s="227" t="str">
        <f>IFERROR(_xlfn.XLOOKUP($A359,'Raw Data'!$A:$A,'Raw Data'!BL:BL),"")</f>
        <v/>
      </c>
      <c r="AB359" s="227" t="str">
        <f>IFERROR(_xlfn.XLOOKUP($A359,'Raw Data'!$A:$A,'Raw Data'!$H:$H),"")</f>
        <v/>
      </c>
      <c r="AC359" s="145">
        <f>IFERROR(_xlfn.XLOOKUP($D359,'Modelling New'!$D:$D,'Modelling New'!$P:$P),"")</f>
        <v>6.9</v>
      </c>
      <c r="AD359" s="227">
        <f>IFERROR(_xlfn.XLOOKUP($D359,'Modelling New'!$D:$D,'Modelling New'!$T:$T)*1000,"")</f>
        <v>124131.0967036221</v>
      </c>
      <c r="AE359" s="234">
        <f>IFERROR(_xlfn.XLOOKUP($D359,'Modelling New'!$D:$D,'Modelling New'!$O:$O),"")</f>
        <v>0.74023536153896807</v>
      </c>
      <c r="AF359" s="234">
        <f>IFERROR(_xlfn.XLOOKUP($D359,'Modelling New'!$D:$D,'Modelling New'!$W:$W),"")</f>
        <v>0.21281766644245331</v>
      </c>
      <c r="AG359" s="234">
        <f>IFERROR(_xlfn.XLOOKUP($D359,'Modelling New'!$D:$D,'Modelling New'!AE:AE),"")</f>
        <v>0.995</v>
      </c>
      <c r="AH359" s="234">
        <v>0.99750000000000005</v>
      </c>
      <c r="AI359" s="6"/>
      <c r="AJ359" s="6"/>
      <c r="AK359" s="6"/>
      <c r="AL359" s="6"/>
      <c r="AM359" s="6"/>
      <c r="AN359" s="231"/>
      <c r="AO359" s="234"/>
      <c r="AP359" s="234"/>
      <c r="AQ359" s="234"/>
      <c r="AR359" s="227">
        <f>IFERROR(_xlfn.XLOOKUP($D359,'Modelling New'!$D:$D,'Modelling New'!$N:$N),"")</f>
        <v>24.303100000000001</v>
      </c>
      <c r="AS359" s="227"/>
    </row>
    <row r="360" spans="1:45" x14ac:dyDescent="0.35">
      <c r="A360" s="226">
        <f t="shared" si="26"/>
        <v>46103</v>
      </c>
      <c r="B360" s="227">
        <f>YEAR(Daily_KPI[[#This Row],[Date]])+IF(MONTH(Daily_KPI[[#This Row],[Date]])&gt;=4,1,0)</f>
        <v>2026</v>
      </c>
      <c r="C360" s="6">
        <f>YEAR(Daily_KPI[[#This Row],[Date]])</f>
        <v>2026</v>
      </c>
      <c r="D360" s="228">
        <f>Daily_KPI[[#This Row],[Date]]-DAY(Daily_KPI[[#This Row],[Date]])+1</f>
        <v>46082</v>
      </c>
      <c r="E360" s="6">
        <f t="shared" si="24"/>
        <v>31</v>
      </c>
      <c r="F360" s="229" t="str">
        <f>IFERROR(_xlfn.XLOOKUP($A360,'Raw Data'!$A:$A,'Raw Data'!$BR:$BR),"")</f>
        <v/>
      </c>
      <c r="G360" s="230" t="str">
        <f>IFERROR(_xlfn.XLOOKUP($A360,'Raw Data'!$A:$A,'Raw Data'!$AO:$AO),"")</f>
        <v/>
      </c>
      <c r="H360" s="230"/>
      <c r="I360" s="230" t="str">
        <f>IFERROR(_xlfn.XLOOKUP($A360,'Raw Data'!$A:$A,'Raw Data'!$AR:$AR),"")</f>
        <v/>
      </c>
      <c r="J360" s="230"/>
      <c r="K360" s="230" t="str">
        <f>IFERROR(_xlfn.XLOOKUP($A360,'Raw Data'!$A:$A,'Raw Data'!$AV:$AV),"")</f>
        <v/>
      </c>
      <c r="L360" s="230" t="str">
        <f>IFERROR(_xlfn.XLOOKUP($A360,'Raw Data'!$A:$A,'Raw Data'!$AW:$AW),"")</f>
        <v/>
      </c>
      <c r="M360" s="230" t="str">
        <f>IFERROR(_xlfn.XLOOKUP($A360,'Raw Data'!$A:$A,'Raw Data'!$AX:$AX),"")</f>
        <v/>
      </c>
      <c r="N360" s="230" t="str">
        <f>IFERROR(_xlfn.XLOOKUP($A360,'Raw Data'!$A:$A,'Raw Data'!$AY:$AY),"")</f>
        <v/>
      </c>
      <c r="O360" s="231" t="str">
        <f>IFERROR(1-(SUMIF('Plant BD'!$B:$B,A360,'Plant BD'!$AE:$AE)/(AA360+SUMIF('Plant BD'!$B:$B,A360,'Plant BD'!$AE:$AE))),"")</f>
        <v/>
      </c>
      <c r="P360" s="231"/>
      <c r="Q360" s="232"/>
      <c r="R360" s="231" t="str">
        <f>IFERROR(1-(SUMIF('Grid BD'!$B:$B,$A360,'Grid BD'!$AD:$AD)/($AA360+SUMIF('Grid BD'!$B:$B,$A360,'Grid BD'!AD:AD))),"")</f>
        <v/>
      </c>
      <c r="S360" s="6"/>
      <c r="T360" s="232"/>
      <c r="U360" s="233" t="str">
        <f t="shared" si="25"/>
        <v/>
      </c>
      <c r="V360" s="233"/>
      <c r="W360" s="234" t="str">
        <f t="shared" si="23"/>
        <v/>
      </c>
      <c r="X360" s="227" t="str">
        <f>IFERROR(_xlfn.XLOOKUP($A360,'Raw Data'!$A:$A,'Raw Data'!$BA:$BA),"")</f>
        <v/>
      </c>
      <c r="Y360" s="227" t="str">
        <f>IFERROR(_xlfn.XLOOKUP($A360,'Raw Data'!$A:$A,'Raw Data'!BJ:BJ),"")</f>
        <v/>
      </c>
      <c r="Z360" s="227" t="str">
        <f>IFERROR(_xlfn.XLOOKUP($A360,'Raw Data'!$A:$A,'Raw Data'!BK:BK),"")</f>
        <v/>
      </c>
      <c r="AA360" s="227" t="str">
        <f>IFERROR(_xlfn.XLOOKUP($A360,'Raw Data'!$A:$A,'Raw Data'!BL:BL),"")</f>
        <v/>
      </c>
      <c r="AB360" s="227" t="str">
        <f>IFERROR(_xlfn.XLOOKUP($A360,'Raw Data'!$A:$A,'Raw Data'!$H:$H),"")</f>
        <v/>
      </c>
      <c r="AC360" s="145">
        <f>IFERROR(_xlfn.XLOOKUP($D360,'Modelling New'!$D:$D,'Modelling New'!$P:$P),"")</f>
        <v>6.9</v>
      </c>
      <c r="AD360" s="227">
        <f>IFERROR(_xlfn.XLOOKUP($D360,'Modelling New'!$D:$D,'Modelling New'!$T:$T)*1000,"")</f>
        <v>124131.0967036221</v>
      </c>
      <c r="AE360" s="234">
        <f>IFERROR(_xlfn.XLOOKUP($D360,'Modelling New'!$D:$D,'Modelling New'!$O:$O),"")</f>
        <v>0.74023536153896807</v>
      </c>
      <c r="AF360" s="234">
        <f>IFERROR(_xlfn.XLOOKUP($D360,'Modelling New'!$D:$D,'Modelling New'!$W:$W),"")</f>
        <v>0.21281766644245331</v>
      </c>
      <c r="AG360" s="234">
        <f>IFERROR(_xlfn.XLOOKUP($D360,'Modelling New'!$D:$D,'Modelling New'!AE:AE),"")</f>
        <v>0.995</v>
      </c>
      <c r="AH360" s="234">
        <v>0.99750000000000005</v>
      </c>
      <c r="AI360" s="6"/>
      <c r="AJ360" s="6"/>
      <c r="AK360" s="6"/>
      <c r="AL360" s="6"/>
      <c r="AM360" s="6"/>
      <c r="AN360" s="231"/>
      <c r="AO360" s="234"/>
      <c r="AP360" s="234"/>
      <c r="AQ360" s="234"/>
      <c r="AR360" s="227">
        <f>IFERROR(_xlfn.XLOOKUP($D360,'Modelling New'!$D:$D,'Modelling New'!$N:$N),"")</f>
        <v>24.303100000000001</v>
      </c>
      <c r="AS360" s="227"/>
    </row>
    <row r="361" spans="1:45" x14ac:dyDescent="0.35">
      <c r="A361" s="226">
        <f t="shared" si="26"/>
        <v>46104</v>
      </c>
      <c r="B361" s="227">
        <f>YEAR(Daily_KPI[[#This Row],[Date]])+IF(MONTH(Daily_KPI[[#This Row],[Date]])&gt;=4,1,0)</f>
        <v>2026</v>
      </c>
      <c r="C361" s="6">
        <f>YEAR(Daily_KPI[[#This Row],[Date]])</f>
        <v>2026</v>
      </c>
      <c r="D361" s="228">
        <f>Daily_KPI[[#This Row],[Date]]-DAY(Daily_KPI[[#This Row],[Date]])+1</f>
        <v>46082</v>
      </c>
      <c r="E361" s="6">
        <f t="shared" si="24"/>
        <v>31</v>
      </c>
      <c r="F361" s="229" t="str">
        <f>IFERROR(_xlfn.XLOOKUP($A361,'Raw Data'!$A:$A,'Raw Data'!$BR:$BR),"")</f>
        <v/>
      </c>
      <c r="G361" s="230" t="str">
        <f>IFERROR(_xlfn.XLOOKUP($A361,'Raw Data'!$A:$A,'Raw Data'!$AO:$AO),"")</f>
        <v/>
      </c>
      <c r="H361" s="230"/>
      <c r="I361" s="230" t="str">
        <f>IFERROR(_xlfn.XLOOKUP($A361,'Raw Data'!$A:$A,'Raw Data'!$AR:$AR),"")</f>
        <v/>
      </c>
      <c r="J361" s="230"/>
      <c r="K361" s="230" t="str">
        <f>IFERROR(_xlfn.XLOOKUP($A361,'Raw Data'!$A:$A,'Raw Data'!$AV:$AV),"")</f>
        <v/>
      </c>
      <c r="L361" s="230" t="str">
        <f>IFERROR(_xlfn.XLOOKUP($A361,'Raw Data'!$A:$A,'Raw Data'!$AW:$AW),"")</f>
        <v/>
      </c>
      <c r="M361" s="230" t="str">
        <f>IFERROR(_xlfn.XLOOKUP($A361,'Raw Data'!$A:$A,'Raw Data'!$AX:$AX),"")</f>
        <v/>
      </c>
      <c r="N361" s="230" t="str">
        <f>IFERROR(_xlfn.XLOOKUP($A361,'Raw Data'!$A:$A,'Raw Data'!$AY:$AY),"")</f>
        <v/>
      </c>
      <c r="O361" s="231" t="str">
        <f>IFERROR(1-(SUMIF('Plant BD'!$B:$B,A361,'Plant BD'!$AE:$AE)/(AA361+SUMIF('Plant BD'!$B:$B,A361,'Plant BD'!$AE:$AE))),"")</f>
        <v/>
      </c>
      <c r="P361" s="231"/>
      <c r="Q361" s="232"/>
      <c r="R361" s="231" t="str">
        <f>IFERROR(1-(SUMIF('Grid BD'!$B:$B,$A361,'Grid BD'!$AD:$AD)/($AA361+SUMIF('Grid BD'!$B:$B,$A361,'Grid BD'!AD:AD))),"")</f>
        <v/>
      </c>
      <c r="S361" s="6"/>
      <c r="T361" s="232"/>
      <c r="U361" s="233" t="str">
        <f t="shared" si="25"/>
        <v/>
      </c>
      <c r="V361" s="233"/>
      <c r="W361" s="234" t="str">
        <f t="shared" si="23"/>
        <v/>
      </c>
      <c r="X361" s="227" t="str">
        <f>IFERROR(_xlfn.XLOOKUP($A361,'Raw Data'!$A:$A,'Raw Data'!$BA:$BA),"")</f>
        <v/>
      </c>
      <c r="Y361" s="227" t="str">
        <f>IFERROR(_xlfn.XLOOKUP($A361,'Raw Data'!$A:$A,'Raw Data'!BJ:BJ),"")</f>
        <v/>
      </c>
      <c r="Z361" s="227" t="str">
        <f>IFERROR(_xlfn.XLOOKUP($A361,'Raw Data'!$A:$A,'Raw Data'!BK:BK),"")</f>
        <v/>
      </c>
      <c r="AA361" s="227" t="str">
        <f>IFERROR(_xlfn.XLOOKUP($A361,'Raw Data'!$A:$A,'Raw Data'!BL:BL),"")</f>
        <v/>
      </c>
      <c r="AB361" s="227" t="str">
        <f>IFERROR(_xlfn.XLOOKUP($A361,'Raw Data'!$A:$A,'Raw Data'!$H:$H),"")</f>
        <v/>
      </c>
      <c r="AC361" s="145">
        <f>IFERROR(_xlfn.XLOOKUP($D361,'Modelling New'!$D:$D,'Modelling New'!$P:$P),"")</f>
        <v>6.9</v>
      </c>
      <c r="AD361" s="227">
        <f>IFERROR(_xlfn.XLOOKUP($D361,'Modelling New'!$D:$D,'Modelling New'!$T:$T)*1000,"")</f>
        <v>124131.0967036221</v>
      </c>
      <c r="AE361" s="234">
        <f>IFERROR(_xlfn.XLOOKUP($D361,'Modelling New'!$D:$D,'Modelling New'!$O:$O),"")</f>
        <v>0.74023536153896807</v>
      </c>
      <c r="AF361" s="234">
        <f>IFERROR(_xlfn.XLOOKUP($D361,'Modelling New'!$D:$D,'Modelling New'!$W:$W),"")</f>
        <v>0.21281766644245331</v>
      </c>
      <c r="AG361" s="234">
        <f>IFERROR(_xlfn.XLOOKUP($D361,'Modelling New'!$D:$D,'Modelling New'!AE:AE),"")</f>
        <v>0.995</v>
      </c>
      <c r="AH361" s="234">
        <v>0.99750000000000005</v>
      </c>
      <c r="AI361" s="6"/>
      <c r="AJ361" s="6"/>
      <c r="AK361" s="6"/>
      <c r="AL361" s="6"/>
      <c r="AM361" s="6"/>
      <c r="AN361" s="231"/>
      <c r="AO361" s="234"/>
      <c r="AP361" s="234"/>
      <c r="AQ361" s="234"/>
      <c r="AR361" s="227">
        <f>IFERROR(_xlfn.XLOOKUP($D361,'Modelling New'!$D:$D,'Modelling New'!$N:$N),"")</f>
        <v>24.303100000000001</v>
      </c>
      <c r="AS361" s="227"/>
    </row>
    <row r="362" spans="1:45" x14ac:dyDescent="0.35">
      <c r="A362" s="226">
        <f t="shared" si="26"/>
        <v>46105</v>
      </c>
      <c r="B362" s="227">
        <f>YEAR(Daily_KPI[[#This Row],[Date]])+IF(MONTH(Daily_KPI[[#This Row],[Date]])&gt;=4,1,0)</f>
        <v>2026</v>
      </c>
      <c r="C362" s="6">
        <f>YEAR(Daily_KPI[[#This Row],[Date]])</f>
        <v>2026</v>
      </c>
      <c r="D362" s="228">
        <f>Daily_KPI[[#This Row],[Date]]-DAY(Daily_KPI[[#This Row],[Date]])+1</f>
        <v>46082</v>
      </c>
      <c r="E362" s="6">
        <f t="shared" si="24"/>
        <v>31</v>
      </c>
      <c r="F362" s="229" t="str">
        <f>IFERROR(_xlfn.XLOOKUP($A362,'Raw Data'!$A:$A,'Raw Data'!$BR:$BR),"")</f>
        <v/>
      </c>
      <c r="G362" s="230" t="str">
        <f>IFERROR(_xlfn.XLOOKUP($A362,'Raw Data'!$A:$A,'Raw Data'!$AO:$AO),"")</f>
        <v/>
      </c>
      <c r="H362" s="230"/>
      <c r="I362" s="230" t="str">
        <f>IFERROR(_xlfn.XLOOKUP($A362,'Raw Data'!$A:$A,'Raw Data'!$AR:$AR),"")</f>
        <v/>
      </c>
      <c r="J362" s="230"/>
      <c r="K362" s="230" t="str">
        <f>IFERROR(_xlfn.XLOOKUP($A362,'Raw Data'!$A:$A,'Raw Data'!$AV:$AV),"")</f>
        <v/>
      </c>
      <c r="L362" s="230" t="str">
        <f>IFERROR(_xlfn.XLOOKUP($A362,'Raw Data'!$A:$A,'Raw Data'!$AW:$AW),"")</f>
        <v/>
      </c>
      <c r="M362" s="230" t="str">
        <f>IFERROR(_xlfn.XLOOKUP($A362,'Raw Data'!$A:$A,'Raw Data'!$AX:$AX),"")</f>
        <v/>
      </c>
      <c r="N362" s="230" t="str">
        <f>IFERROR(_xlfn.XLOOKUP($A362,'Raw Data'!$A:$A,'Raw Data'!$AY:$AY),"")</f>
        <v/>
      </c>
      <c r="O362" s="231" t="str">
        <f>IFERROR(1-(SUMIF('Plant BD'!$B:$B,A362,'Plant BD'!$AE:$AE)/(AA362+SUMIF('Plant BD'!$B:$B,A362,'Plant BD'!$AE:$AE))),"")</f>
        <v/>
      </c>
      <c r="P362" s="231"/>
      <c r="Q362" s="232"/>
      <c r="R362" s="231" t="str">
        <f>IFERROR(1-(SUMIF('Grid BD'!$B:$B,$A362,'Grid BD'!$AD:$AD)/($AA362+SUMIF('Grid BD'!$B:$B,$A362,'Grid BD'!AD:AD))),"")</f>
        <v/>
      </c>
      <c r="S362" s="6"/>
      <c r="T362" s="232"/>
      <c r="U362" s="233" t="str">
        <f t="shared" si="25"/>
        <v/>
      </c>
      <c r="V362" s="233"/>
      <c r="W362" s="234" t="str">
        <f t="shared" si="23"/>
        <v/>
      </c>
      <c r="X362" s="227" t="str">
        <f>IFERROR(_xlfn.XLOOKUP($A362,'Raw Data'!$A:$A,'Raw Data'!$BA:$BA),"")</f>
        <v/>
      </c>
      <c r="Y362" s="227" t="str">
        <f>IFERROR(_xlfn.XLOOKUP($A362,'Raw Data'!$A:$A,'Raw Data'!BJ:BJ),"")</f>
        <v/>
      </c>
      <c r="Z362" s="227" t="str">
        <f>IFERROR(_xlfn.XLOOKUP($A362,'Raw Data'!$A:$A,'Raw Data'!BK:BK),"")</f>
        <v/>
      </c>
      <c r="AA362" s="227" t="str">
        <f>IFERROR(_xlfn.XLOOKUP($A362,'Raw Data'!$A:$A,'Raw Data'!BL:BL),"")</f>
        <v/>
      </c>
      <c r="AB362" s="227" t="str">
        <f>IFERROR(_xlfn.XLOOKUP($A362,'Raw Data'!$A:$A,'Raw Data'!$H:$H),"")</f>
        <v/>
      </c>
      <c r="AC362" s="145">
        <f>IFERROR(_xlfn.XLOOKUP($D362,'Modelling New'!$D:$D,'Modelling New'!$P:$P),"")</f>
        <v>6.9</v>
      </c>
      <c r="AD362" s="227">
        <f>IFERROR(_xlfn.XLOOKUP($D362,'Modelling New'!$D:$D,'Modelling New'!$T:$T)*1000,"")</f>
        <v>124131.0967036221</v>
      </c>
      <c r="AE362" s="234">
        <f>IFERROR(_xlfn.XLOOKUP($D362,'Modelling New'!$D:$D,'Modelling New'!$O:$O),"")</f>
        <v>0.74023536153896807</v>
      </c>
      <c r="AF362" s="234">
        <f>IFERROR(_xlfn.XLOOKUP($D362,'Modelling New'!$D:$D,'Modelling New'!$W:$W),"")</f>
        <v>0.21281766644245331</v>
      </c>
      <c r="AG362" s="234">
        <f>IFERROR(_xlfn.XLOOKUP($D362,'Modelling New'!$D:$D,'Modelling New'!AE:AE),"")</f>
        <v>0.995</v>
      </c>
      <c r="AH362" s="234">
        <v>0.99750000000000005</v>
      </c>
      <c r="AI362" s="6"/>
      <c r="AJ362" s="6"/>
      <c r="AK362" s="6"/>
      <c r="AL362" s="6"/>
      <c r="AM362" s="6"/>
      <c r="AN362" s="231"/>
      <c r="AO362" s="234"/>
      <c r="AP362" s="234"/>
      <c r="AQ362" s="234"/>
      <c r="AR362" s="227">
        <f>IFERROR(_xlfn.XLOOKUP($D362,'Modelling New'!$D:$D,'Modelling New'!$N:$N),"")</f>
        <v>24.303100000000001</v>
      </c>
      <c r="AS362" s="227"/>
    </row>
    <row r="363" spans="1:45" x14ac:dyDescent="0.35">
      <c r="A363" s="226">
        <f t="shared" si="26"/>
        <v>46106</v>
      </c>
      <c r="B363" s="227">
        <f>YEAR(Daily_KPI[[#This Row],[Date]])+IF(MONTH(Daily_KPI[[#This Row],[Date]])&gt;=4,1,0)</f>
        <v>2026</v>
      </c>
      <c r="C363" s="6">
        <f>YEAR(Daily_KPI[[#This Row],[Date]])</f>
        <v>2026</v>
      </c>
      <c r="D363" s="228">
        <f>Daily_KPI[[#This Row],[Date]]-DAY(Daily_KPI[[#This Row],[Date]])+1</f>
        <v>46082</v>
      </c>
      <c r="E363" s="6">
        <f t="shared" si="24"/>
        <v>31</v>
      </c>
      <c r="F363" s="229" t="str">
        <f>IFERROR(_xlfn.XLOOKUP($A363,'Raw Data'!$A:$A,'Raw Data'!$BR:$BR),"")</f>
        <v/>
      </c>
      <c r="G363" s="230" t="str">
        <f>IFERROR(_xlfn.XLOOKUP($A363,'Raw Data'!$A:$A,'Raw Data'!$AO:$AO),"")</f>
        <v/>
      </c>
      <c r="H363" s="230"/>
      <c r="I363" s="230" t="str">
        <f>IFERROR(_xlfn.XLOOKUP($A363,'Raw Data'!$A:$A,'Raw Data'!$AR:$AR),"")</f>
        <v/>
      </c>
      <c r="J363" s="230"/>
      <c r="K363" s="230" t="str">
        <f>IFERROR(_xlfn.XLOOKUP($A363,'Raw Data'!$A:$A,'Raw Data'!$AV:$AV),"")</f>
        <v/>
      </c>
      <c r="L363" s="230" t="str">
        <f>IFERROR(_xlfn.XLOOKUP($A363,'Raw Data'!$A:$A,'Raw Data'!$AW:$AW),"")</f>
        <v/>
      </c>
      <c r="M363" s="230" t="str">
        <f>IFERROR(_xlfn.XLOOKUP($A363,'Raw Data'!$A:$A,'Raw Data'!$AX:$AX),"")</f>
        <v/>
      </c>
      <c r="N363" s="230" t="str">
        <f>IFERROR(_xlfn.XLOOKUP($A363,'Raw Data'!$A:$A,'Raw Data'!$AY:$AY),"")</f>
        <v/>
      </c>
      <c r="O363" s="231" t="str">
        <f>IFERROR(1-(SUMIF('Plant BD'!$B:$B,A363,'Plant BD'!$AE:$AE)/(AA363+SUMIF('Plant BD'!$B:$B,A363,'Plant BD'!$AE:$AE))),"")</f>
        <v/>
      </c>
      <c r="P363" s="231"/>
      <c r="Q363" s="232"/>
      <c r="R363" s="231" t="str">
        <f>IFERROR(1-(SUMIF('Grid BD'!$B:$B,$A363,'Grid BD'!$AD:$AD)/($AA363+SUMIF('Grid BD'!$B:$B,$A363,'Grid BD'!AD:AD))),"")</f>
        <v/>
      </c>
      <c r="S363" s="6"/>
      <c r="T363" s="232"/>
      <c r="U363" s="233" t="str">
        <f t="shared" si="25"/>
        <v/>
      </c>
      <c r="V363" s="233"/>
      <c r="W363" s="234" t="str">
        <f t="shared" ref="W363:W369" si="27">IFERROR(AA363/(24*AR363*1000),"")</f>
        <v/>
      </c>
      <c r="X363" s="227" t="str">
        <f>IFERROR(_xlfn.XLOOKUP($A363,'Raw Data'!$A:$A,'Raw Data'!$BA:$BA),"")</f>
        <v/>
      </c>
      <c r="Y363" s="227" t="str">
        <f>IFERROR(_xlfn.XLOOKUP($A363,'Raw Data'!$A:$A,'Raw Data'!BJ:BJ),"")</f>
        <v/>
      </c>
      <c r="Z363" s="227" t="str">
        <f>IFERROR(_xlfn.XLOOKUP($A363,'Raw Data'!$A:$A,'Raw Data'!BK:BK),"")</f>
        <v/>
      </c>
      <c r="AA363" s="227" t="str">
        <f>IFERROR(_xlfn.XLOOKUP($A363,'Raw Data'!$A:$A,'Raw Data'!BL:BL),"")</f>
        <v/>
      </c>
      <c r="AB363" s="227" t="str">
        <f>IFERROR(_xlfn.XLOOKUP($A363,'Raw Data'!$A:$A,'Raw Data'!$H:$H),"")</f>
        <v/>
      </c>
      <c r="AC363" s="145">
        <f>IFERROR(_xlfn.XLOOKUP($D363,'Modelling New'!$D:$D,'Modelling New'!$P:$P),"")</f>
        <v>6.9</v>
      </c>
      <c r="AD363" s="227">
        <f>IFERROR(_xlfn.XLOOKUP($D363,'Modelling New'!$D:$D,'Modelling New'!$T:$T)*1000,"")</f>
        <v>124131.0967036221</v>
      </c>
      <c r="AE363" s="234">
        <f>IFERROR(_xlfn.XLOOKUP($D363,'Modelling New'!$D:$D,'Modelling New'!$O:$O),"")</f>
        <v>0.74023536153896807</v>
      </c>
      <c r="AF363" s="234">
        <f>IFERROR(_xlfn.XLOOKUP($D363,'Modelling New'!$D:$D,'Modelling New'!$W:$W),"")</f>
        <v>0.21281766644245331</v>
      </c>
      <c r="AG363" s="234">
        <f>IFERROR(_xlfn.XLOOKUP($D363,'Modelling New'!$D:$D,'Modelling New'!AE:AE),"")</f>
        <v>0.995</v>
      </c>
      <c r="AH363" s="234">
        <v>0.99750000000000005</v>
      </c>
      <c r="AI363" s="6"/>
      <c r="AJ363" s="6"/>
      <c r="AK363" s="6"/>
      <c r="AL363" s="6"/>
      <c r="AM363" s="6"/>
      <c r="AN363" s="231"/>
      <c r="AO363" s="234"/>
      <c r="AP363" s="234"/>
      <c r="AQ363" s="234"/>
      <c r="AR363" s="227">
        <f>IFERROR(_xlfn.XLOOKUP($D363,'Modelling New'!$D:$D,'Modelling New'!$N:$N),"")</f>
        <v>24.303100000000001</v>
      </c>
      <c r="AS363" s="227"/>
    </row>
    <row r="364" spans="1:45" x14ac:dyDescent="0.35">
      <c r="A364" s="226">
        <f t="shared" si="26"/>
        <v>46107</v>
      </c>
      <c r="B364" s="227">
        <f>YEAR(Daily_KPI[[#This Row],[Date]])+IF(MONTH(Daily_KPI[[#This Row],[Date]])&gt;=4,1,0)</f>
        <v>2026</v>
      </c>
      <c r="C364" s="6">
        <f>YEAR(Daily_KPI[[#This Row],[Date]])</f>
        <v>2026</v>
      </c>
      <c r="D364" s="228">
        <f>Daily_KPI[[#This Row],[Date]]-DAY(Daily_KPI[[#This Row],[Date]])+1</f>
        <v>46082</v>
      </c>
      <c r="E364" s="6">
        <f t="shared" si="24"/>
        <v>31</v>
      </c>
      <c r="F364" s="229" t="str">
        <f>IFERROR(_xlfn.XLOOKUP($A364,'Raw Data'!$A:$A,'Raw Data'!$BR:$BR),"")</f>
        <v/>
      </c>
      <c r="G364" s="230" t="str">
        <f>IFERROR(_xlfn.XLOOKUP($A364,'Raw Data'!$A:$A,'Raw Data'!$AO:$AO),"")</f>
        <v/>
      </c>
      <c r="H364" s="230"/>
      <c r="I364" s="230" t="str">
        <f>IFERROR(_xlfn.XLOOKUP($A364,'Raw Data'!$A:$A,'Raw Data'!$AR:$AR),"")</f>
        <v/>
      </c>
      <c r="J364" s="230"/>
      <c r="K364" s="230" t="str">
        <f>IFERROR(_xlfn.XLOOKUP($A364,'Raw Data'!$A:$A,'Raw Data'!$AV:$AV),"")</f>
        <v/>
      </c>
      <c r="L364" s="230" t="str">
        <f>IFERROR(_xlfn.XLOOKUP($A364,'Raw Data'!$A:$A,'Raw Data'!$AW:$AW),"")</f>
        <v/>
      </c>
      <c r="M364" s="230" t="str">
        <f>IFERROR(_xlfn.XLOOKUP($A364,'Raw Data'!$A:$A,'Raw Data'!$AX:$AX),"")</f>
        <v/>
      </c>
      <c r="N364" s="230" t="str">
        <f>IFERROR(_xlfn.XLOOKUP($A364,'Raw Data'!$A:$A,'Raw Data'!$AY:$AY),"")</f>
        <v/>
      </c>
      <c r="O364" s="231" t="str">
        <f>IFERROR(1-(SUMIF('Plant BD'!$B:$B,A364,'Plant BD'!$AE:$AE)/(AA364+SUMIF('Plant BD'!$B:$B,A364,'Plant BD'!$AE:$AE))),"")</f>
        <v/>
      </c>
      <c r="P364" s="231"/>
      <c r="Q364" s="232"/>
      <c r="R364" s="231" t="str">
        <f>IFERROR(1-(SUMIF('Grid BD'!$B:$B,$A364,'Grid BD'!$AD:$AD)/($AA364+SUMIF('Grid BD'!$B:$B,$A364,'Grid BD'!AD:AD))),"")</f>
        <v/>
      </c>
      <c r="S364" s="6"/>
      <c r="T364" s="232"/>
      <c r="U364" s="233" t="str">
        <f t="shared" si="25"/>
        <v/>
      </c>
      <c r="V364" s="233"/>
      <c r="W364" s="234" t="str">
        <f t="shared" si="27"/>
        <v/>
      </c>
      <c r="X364" s="227" t="str">
        <f>IFERROR(_xlfn.XLOOKUP($A364,'Raw Data'!$A:$A,'Raw Data'!$BA:$BA),"")</f>
        <v/>
      </c>
      <c r="Y364" s="227" t="str">
        <f>IFERROR(_xlfn.XLOOKUP($A364,'Raw Data'!$A:$A,'Raw Data'!BJ:BJ),"")</f>
        <v/>
      </c>
      <c r="Z364" s="227" t="str">
        <f>IFERROR(_xlfn.XLOOKUP($A364,'Raw Data'!$A:$A,'Raw Data'!BK:BK),"")</f>
        <v/>
      </c>
      <c r="AA364" s="227" t="str">
        <f>IFERROR(_xlfn.XLOOKUP($A364,'Raw Data'!$A:$A,'Raw Data'!BL:BL),"")</f>
        <v/>
      </c>
      <c r="AB364" s="227" t="str">
        <f>IFERROR(_xlfn.XLOOKUP($A364,'Raw Data'!$A:$A,'Raw Data'!$H:$H),"")</f>
        <v/>
      </c>
      <c r="AC364" s="145">
        <f>IFERROR(_xlfn.XLOOKUP($D364,'Modelling New'!$D:$D,'Modelling New'!$P:$P),"")</f>
        <v>6.9</v>
      </c>
      <c r="AD364" s="227">
        <f>IFERROR(_xlfn.XLOOKUP($D364,'Modelling New'!$D:$D,'Modelling New'!$T:$T)*1000,"")</f>
        <v>124131.0967036221</v>
      </c>
      <c r="AE364" s="234">
        <f>IFERROR(_xlfn.XLOOKUP($D364,'Modelling New'!$D:$D,'Modelling New'!$O:$O),"")</f>
        <v>0.74023536153896807</v>
      </c>
      <c r="AF364" s="234">
        <f>IFERROR(_xlfn.XLOOKUP($D364,'Modelling New'!$D:$D,'Modelling New'!$W:$W),"")</f>
        <v>0.21281766644245331</v>
      </c>
      <c r="AG364" s="234">
        <f>IFERROR(_xlfn.XLOOKUP($D364,'Modelling New'!$D:$D,'Modelling New'!AE:AE),"")</f>
        <v>0.995</v>
      </c>
      <c r="AH364" s="234">
        <v>0.99750000000000005</v>
      </c>
      <c r="AI364" s="6"/>
      <c r="AJ364" s="6"/>
      <c r="AK364" s="6"/>
      <c r="AL364" s="6"/>
      <c r="AM364" s="6"/>
      <c r="AN364" s="231"/>
      <c r="AO364" s="234"/>
      <c r="AP364" s="234"/>
      <c r="AQ364" s="234"/>
      <c r="AR364" s="227">
        <f>IFERROR(_xlfn.XLOOKUP($D364,'Modelling New'!$D:$D,'Modelling New'!$N:$N),"")</f>
        <v>24.303100000000001</v>
      </c>
      <c r="AS364" s="227"/>
    </row>
    <row r="365" spans="1:45" x14ac:dyDescent="0.35">
      <c r="A365" s="226">
        <f t="shared" si="26"/>
        <v>46108</v>
      </c>
      <c r="B365" s="227">
        <f>YEAR(Daily_KPI[[#This Row],[Date]])+IF(MONTH(Daily_KPI[[#This Row],[Date]])&gt;=4,1,0)</f>
        <v>2026</v>
      </c>
      <c r="C365" s="6">
        <f>YEAR(Daily_KPI[[#This Row],[Date]])</f>
        <v>2026</v>
      </c>
      <c r="D365" s="228">
        <f>Daily_KPI[[#This Row],[Date]]-DAY(Daily_KPI[[#This Row],[Date]])+1</f>
        <v>46082</v>
      </c>
      <c r="E365" s="6">
        <f t="shared" si="24"/>
        <v>31</v>
      </c>
      <c r="F365" s="229" t="str">
        <f>IFERROR(_xlfn.XLOOKUP($A365,'Raw Data'!$A:$A,'Raw Data'!$BR:$BR),"")</f>
        <v/>
      </c>
      <c r="G365" s="230" t="str">
        <f>IFERROR(_xlfn.XLOOKUP($A365,'Raw Data'!$A:$A,'Raw Data'!$AO:$AO),"")</f>
        <v/>
      </c>
      <c r="H365" s="230"/>
      <c r="I365" s="230" t="str">
        <f>IFERROR(_xlfn.XLOOKUP($A365,'Raw Data'!$A:$A,'Raw Data'!$AR:$AR),"")</f>
        <v/>
      </c>
      <c r="J365" s="230"/>
      <c r="K365" s="230" t="str">
        <f>IFERROR(_xlfn.XLOOKUP($A365,'Raw Data'!$A:$A,'Raw Data'!$AV:$AV),"")</f>
        <v/>
      </c>
      <c r="L365" s="230" t="str">
        <f>IFERROR(_xlfn.XLOOKUP($A365,'Raw Data'!$A:$A,'Raw Data'!$AW:$AW),"")</f>
        <v/>
      </c>
      <c r="M365" s="230" t="str">
        <f>IFERROR(_xlfn.XLOOKUP($A365,'Raw Data'!$A:$A,'Raw Data'!$AX:$AX),"")</f>
        <v/>
      </c>
      <c r="N365" s="230" t="str">
        <f>IFERROR(_xlfn.XLOOKUP($A365,'Raw Data'!$A:$A,'Raw Data'!$AY:$AY),"")</f>
        <v/>
      </c>
      <c r="O365" s="231" t="str">
        <f>IFERROR(1-(SUMIF('Plant BD'!$B:$B,A365,'Plant BD'!$AE:$AE)/(AA365+SUMIF('Plant BD'!$B:$B,A365,'Plant BD'!$AE:$AE))),"")</f>
        <v/>
      </c>
      <c r="P365" s="231"/>
      <c r="Q365" s="232"/>
      <c r="R365" s="231" t="str">
        <f>IFERROR(1-(SUMIF('Grid BD'!$B:$B,$A365,'Grid BD'!$AD:$AD)/($AA365+SUMIF('Grid BD'!$B:$B,$A365,'Grid BD'!AD:AD))),"")</f>
        <v/>
      </c>
      <c r="S365" s="6"/>
      <c r="T365" s="232"/>
      <c r="U365" s="233" t="str">
        <f t="shared" si="25"/>
        <v/>
      </c>
      <c r="V365" s="233"/>
      <c r="W365" s="234" t="str">
        <f t="shared" si="27"/>
        <v/>
      </c>
      <c r="X365" s="227" t="str">
        <f>IFERROR(_xlfn.XLOOKUP($A365,'Raw Data'!$A:$A,'Raw Data'!$BA:$BA),"")</f>
        <v/>
      </c>
      <c r="Y365" s="227" t="str">
        <f>IFERROR(_xlfn.XLOOKUP($A365,'Raw Data'!$A:$A,'Raw Data'!BJ:BJ),"")</f>
        <v/>
      </c>
      <c r="Z365" s="227" t="str">
        <f>IFERROR(_xlfn.XLOOKUP($A365,'Raw Data'!$A:$A,'Raw Data'!BK:BK),"")</f>
        <v/>
      </c>
      <c r="AA365" s="227" t="str">
        <f>IFERROR(_xlfn.XLOOKUP($A365,'Raw Data'!$A:$A,'Raw Data'!BL:BL),"")</f>
        <v/>
      </c>
      <c r="AB365" s="227" t="str">
        <f>IFERROR(_xlfn.XLOOKUP($A365,'Raw Data'!$A:$A,'Raw Data'!$H:$H),"")</f>
        <v/>
      </c>
      <c r="AC365" s="145">
        <f>IFERROR(_xlfn.XLOOKUP($D365,'Modelling New'!$D:$D,'Modelling New'!$P:$P),"")</f>
        <v>6.9</v>
      </c>
      <c r="AD365" s="227">
        <f>IFERROR(_xlfn.XLOOKUP($D365,'Modelling New'!$D:$D,'Modelling New'!$T:$T)*1000,"")</f>
        <v>124131.0967036221</v>
      </c>
      <c r="AE365" s="234">
        <f>IFERROR(_xlfn.XLOOKUP($D365,'Modelling New'!$D:$D,'Modelling New'!$O:$O),"")</f>
        <v>0.74023536153896807</v>
      </c>
      <c r="AF365" s="234">
        <f>IFERROR(_xlfn.XLOOKUP($D365,'Modelling New'!$D:$D,'Modelling New'!$W:$W),"")</f>
        <v>0.21281766644245331</v>
      </c>
      <c r="AG365" s="234">
        <f>IFERROR(_xlfn.XLOOKUP($D365,'Modelling New'!$D:$D,'Modelling New'!AE:AE),"")</f>
        <v>0.995</v>
      </c>
      <c r="AH365" s="234">
        <v>0.99750000000000005</v>
      </c>
      <c r="AI365" s="6"/>
      <c r="AJ365" s="6"/>
      <c r="AK365" s="6"/>
      <c r="AL365" s="6"/>
      <c r="AM365" s="6"/>
      <c r="AN365" s="231"/>
      <c r="AO365" s="234"/>
      <c r="AP365" s="234"/>
      <c r="AQ365" s="234"/>
      <c r="AR365" s="227">
        <f>IFERROR(_xlfn.XLOOKUP($D365,'Modelling New'!$D:$D,'Modelling New'!$N:$N),"")</f>
        <v>24.303100000000001</v>
      </c>
      <c r="AS365" s="227"/>
    </row>
    <row r="366" spans="1:45" x14ac:dyDescent="0.35">
      <c r="A366" s="226">
        <f t="shared" si="26"/>
        <v>46109</v>
      </c>
      <c r="B366" s="227">
        <f>YEAR(Daily_KPI[[#This Row],[Date]])+IF(MONTH(Daily_KPI[[#This Row],[Date]])&gt;=4,1,0)</f>
        <v>2026</v>
      </c>
      <c r="C366" s="6">
        <f>YEAR(Daily_KPI[[#This Row],[Date]])</f>
        <v>2026</v>
      </c>
      <c r="D366" s="228">
        <f>Daily_KPI[[#This Row],[Date]]-DAY(Daily_KPI[[#This Row],[Date]])+1</f>
        <v>46082</v>
      </c>
      <c r="E366" s="6">
        <f t="shared" si="24"/>
        <v>31</v>
      </c>
      <c r="F366" s="229" t="str">
        <f>IFERROR(_xlfn.XLOOKUP($A366,'Raw Data'!$A:$A,'Raw Data'!$BR:$BR),"")</f>
        <v/>
      </c>
      <c r="G366" s="230" t="str">
        <f>IFERROR(_xlfn.XLOOKUP($A366,'Raw Data'!$A:$A,'Raw Data'!$AO:$AO),"")</f>
        <v/>
      </c>
      <c r="H366" s="230"/>
      <c r="I366" s="230" t="str">
        <f>IFERROR(_xlfn.XLOOKUP($A366,'Raw Data'!$A:$A,'Raw Data'!$AR:$AR),"")</f>
        <v/>
      </c>
      <c r="J366" s="230"/>
      <c r="K366" s="230" t="str">
        <f>IFERROR(_xlfn.XLOOKUP($A366,'Raw Data'!$A:$A,'Raw Data'!$AV:$AV),"")</f>
        <v/>
      </c>
      <c r="L366" s="230" t="str">
        <f>IFERROR(_xlfn.XLOOKUP($A366,'Raw Data'!$A:$A,'Raw Data'!$AW:$AW),"")</f>
        <v/>
      </c>
      <c r="M366" s="230" t="str">
        <f>IFERROR(_xlfn.XLOOKUP($A366,'Raw Data'!$A:$A,'Raw Data'!$AX:$AX),"")</f>
        <v/>
      </c>
      <c r="N366" s="230" t="str">
        <f>IFERROR(_xlfn.XLOOKUP($A366,'Raw Data'!$A:$A,'Raw Data'!$AY:$AY),"")</f>
        <v/>
      </c>
      <c r="O366" s="231" t="str">
        <f>IFERROR(1-(SUMIF('Plant BD'!$B:$B,A366,'Plant BD'!$AE:$AE)/(AA366+SUMIF('Plant BD'!$B:$B,A366,'Plant BD'!$AE:$AE))),"")</f>
        <v/>
      </c>
      <c r="P366" s="231"/>
      <c r="Q366" s="232"/>
      <c r="R366" s="231" t="str">
        <f>IFERROR(1-(SUMIF('Grid BD'!$B:$B,$A366,'Grid BD'!$AD:$AD)/($AA366+SUMIF('Grid BD'!$B:$B,$A366,'Grid BD'!AD:AD))),"")</f>
        <v/>
      </c>
      <c r="S366" s="6"/>
      <c r="T366" s="232"/>
      <c r="U366" s="233" t="str">
        <f t="shared" si="25"/>
        <v/>
      </c>
      <c r="V366" s="233"/>
      <c r="W366" s="234" t="str">
        <f t="shared" si="27"/>
        <v/>
      </c>
      <c r="X366" s="227" t="str">
        <f>IFERROR(_xlfn.XLOOKUP($A366,'Raw Data'!$A:$A,'Raw Data'!$BA:$BA),"")</f>
        <v/>
      </c>
      <c r="Y366" s="227" t="str">
        <f>IFERROR(_xlfn.XLOOKUP($A366,'Raw Data'!$A:$A,'Raw Data'!BJ:BJ),"")</f>
        <v/>
      </c>
      <c r="Z366" s="227" t="str">
        <f>IFERROR(_xlfn.XLOOKUP($A366,'Raw Data'!$A:$A,'Raw Data'!BK:BK),"")</f>
        <v/>
      </c>
      <c r="AA366" s="227" t="str">
        <f>IFERROR(_xlfn.XLOOKUP($A366,'Raw Data'!$A:$A,'Raw Data'!BL:BL),"")</f>
        <v/>
      </c>
      <c r="AB366" s="227" t="str">
        <f>IFERROR(_xlfn.XLOOKUP($A366,'Raw Data'!$A:$A,'Raw Data'!$H:$H),"")</f>
        <v/>
      </c>
      <c r="AC366" s="145">
        <f>IFERROR(_xlfn.XLOOKUP($D366,'Modelling New'!$D:$D,'Modelling New'!$P:$P),"")</f>
        <v>6.9</v>
      </c>
      <c r="AD366" s="227">
        <f>IFERROR(_xlfn.XLOOKUP($D366,'Modelling New'!$D:$D,'Modelling New'!$T:$T)*1000,"")</f>
        <v>124131.0967036221</v>
      </c>
      <c r="AE366" s="234">
        <f>IFERROR(_xlfn.XLOOKUP($D366,'Modelling New'!$D:$D,'Modelling New'!$O:$O),"")</f>
        <v>0.74023536153896807</v>
      </c>
      <c r="AF366" s="234">
        <f>IFERROR(_xlfn.XLOOKUP($D366,'Modelling New'!$D:$D,'Modelling New'!$W:$W),"")</f>
        <v>0.21281766644245331</v>
      </c>
      <c r="AG366" s="234">
        <f>IFERROR(_xlfn.XLOOKUP($D366,'Modelling New'!$D:$D,'Modelling New'!AE:AE),"")</f>
        <v>0.995</v>
      </c>
      <c r="AH366" s="234">
        <v>0.99750000000000005</v>
      </c>
      <c r="AI366" s="6"/>
      <c r="AJ366" s="6"/>
      <c r="AK366" s="6"/>
      <c r="AL366" s="6"/>
      <c r="AM366" s="6"/>
      <c r="AN366" s="231"/>
      <c r="AO366" s="234"/>
      <c r="AP366" s="234"/>
      <c r="AQ366" s="234"/>
      <c r="AR366" s="227">
        <f>IFERROR(_xlfn.XLOOKUP($D366,'Modelling New'!$D:$D,'Modelling New'!$N:$N),"")</f>
        <v>24.303100000000001</v>
      </c>
      <c r="AS366" s="227"/>
    </row>
    <row r="367" spans="1:45" x14ac:dyDescent="0.35">
      <c r="A367" s="226">
        <f t="shared" si="26"/>
        <v>46110</v>
      </c>
      <c r="B367" s="227">
        <f>YEAR(Daily_KPI[[#This Row],[Date]])+IF(MONTH(Daily_KPI[[#This Row],[Date]])&gt;=4,1,0)</f>
        <v>2026</v>
      </c>
      <c r="C367" s="6">
        <f>YEAR(Daily_KPI[[#This Row],[Date]])</f>
        <v>2026</v>
      </c>
      <c r="D367" s="228">
        <f>Daily_KPI[[#This Row],[Date]]-DAY(Daily_KPI[[#This Row],[Date]])+1</f>
        <v>46082</v>
      </c>
      <c r="E367" s="6">
        <f t="shared" si="24"/>
        <v>31</v>
      </c>
      <c r="F367" s="229" t="str">
        <f>IFERROR(_xlfn.XLOOKUP($A367,'Raw Data'!$A:$A,'Raw Data'!$BR:$BR),"")</f>
        <v/>
      </c>
      <c r="G367" s="230" t="str">
        <f>IFERROR(_xlfn.XLOOKUP($A367,'Raw Data'!$A:$A,'Raw Data'!$AO:$AO),"")</f>
        <v/>
      </c>
      <c r="H367" s="230"/>
      <c r="I367" s="230" t="str">
        <f>IFERROR(_xlfn.XLOOKUP($A367,'Raw Data'!$A:$A,'Raw Data'!$AR:$AR),"")</f>
        <v/>
      </c>
      <c r="J367" s="230"/>
      <c r="K367" s="230" t="str">
        <f>IFERROR(_xlfn.XLOOKUP($A367,'Raw Data'!$A:$A,'Raw Data'!$AV:$AV),"")</f>
        <v/>
      </c>
      <c r="L367" s="230" t="str">
        <f>IFERROR(_xlfn.XLOOKUP($A367,'Raw Data'!$A:$A,'Raw Data'!$AW:$AW),"")</f>
        <v/>
      </c>
      <c r="M367" s="230" t="str">
        <f>IFERROR(_xlfn.XLOOKUP($A367,'Raw Data'!$A:$A,'Raw Data'!$AX:$AX),"")</f>
        <v/>
      </c>
      <c r="N367" s="230" t="str">
        <f>IFERROR(_xlfn.XLOOKUP($A367,'Raw Data'!$A:$A,'Raw Data'!$AY:$AY),"")</f>
        <v/>
      </c>
      <c r="O367" s="231" t="str">
        <f>IFERROR(1-(SUMIF('Plant BD'!$B:$B,A367,'Plant BD'!$AE:$AE)/(AA367+SUMIF('Plant BD'!$B:$B,A367,'Plant BD'!$AE:$AE))),"")</f>
        <v/>
      </c>
      <c r="P367" s="231"/>
      <c r="Q367" s="232"/>
      <c r="R367" s="231" t="str">
        <f>IFERROR(1-(SUMIF('Grid BD'!$B:$B,$A367,'Grid BD'!$AD:$AD)/($AA367+SUMIF('Grid BD'!$B:$B,$A367,'Grid BD'!AD:AD))),"")</f>
        <v/>
      </c>
      <c r="S367" s="6"/>
      <c r="T367" s="232"/>
      <c r="U367" s="233" t="str">
        <f t="shared" si="25"/>
        <v/>
      </c>
      <c r="V367" s="233"/>
      <c r="W367" s="234" t="str">
        <f t="shared" si="27"/>
        <v/>
      </c>
      <c r="X367" s="227" t="str">
        <f>IFERROR(_xlfn.XLOOKUP($A367,'Raw Data'!$A:$A,'Raw Data'!$BA:$BA),"")</f>
        <v/>
      </c>
      <c r="Y367" s="227" t="str">
        <f>IFERROR(_xlfn.XLOOKUP($A367,'Raw Data'!$A:$A,'Raw Data'!BJ:BJ),"")</f>
        <v/>
      </c>
      <c r="Z367" s="227" t="str">
        <f>IFERROR(_xlfn.XLOOKUP($A367,'Raw Data'!$A:$A,'Raw Data'!BK:BK),"")</f>
        <v/>
      </c>
      <c r="AA367" s="227" t="str">
        <f>IFERROR(_xlfn.XLOOKUP($A367,'Raw Data'!$A:$A,'Raw Data'!BL:BL),"")</f>
        <v/>
      </c>
      <c r="AB367" s="227" t="str">
        <f>IFERROR(_xlfn.XLOOKUP($A367,'Raw Data'!$A:$A,'Raw Data'!$H:$H),"")</f>
        <v/>
      </c>
      <c r="AC367" s="145">
        <f>IFERROR(_xlfn.XLOOKUP($D367,'Modelling New'!$D:$D,'Modelling New'!$P:$P),"")</f>
        <v>6.9</v>
      </c>
      <c r="AD367" s="227">
        <f>IFERROR(_xlfn.XLOOKUP($D367,'Modelling New'!$D:$D,'Modelling New'!$T:$T)*1000,"")</f>
        <v>124131.0967036221</v>
      </c>
      <c r="AE367" s="234">
        <f>IFERROR(_xlfn.XLOOKUP($D367,'Modelling New'!$D:$D,'Modelling New'!$O:$O),"")</f>
        <v>0.74023536153896807</v>
      </c>
      <c r="AF367" s="234">
        <f>IFERROR(_xlfn.XLOOKUP($D367,'Modelling New'!$D:$D,'Modelling New'!$W:$W),"")</f>
        <v>0.21281766644245331</v>
      </c>
      <c r="AG367" s="234">
        <f>IFERROR(_xlfn.XLOOKUP($D367,'Modelling New'!$D:$D,'Modelling New'!AE:AE),"")</f>
        <v>0.995</v>
      </c>
      <c r="AH367" s="234">
        <v>0.99750000000000005</v>
      </c>
      <c r="AI367" s="6"/>
      <c r="AJ367" s="6"/>
      <c r="AK367" s="6"/>
      <c r="AL367" s="6"/>
      <c r="AM367" s="6"/>
      <c r="AN367" s="231"/>
      <c r="AO367" s="234"/>
      <c r="AP367" s="234"/>
      <c r="AQ367" s="234"/>
      <c r="AR367" s="227">
        <f>IFERROR(_xlfn.XLOOKUP($D367,'Modelling New'!$D:$D,'Modelling New'!$N:$N),"")</f>
        <v>24.303100000000001</v>
      </c>
      <c r="AS367" s="227"/>
    </row>
    <row r="368" spans="1:45" x14ac:dyDescent="0.35">
      <c r="A368" s="226">
        <f t="shared" si="26"/>
        <v>46111</v>
      </c>
      <c r="B368" s="227">
        <f>YEAR(Daily_KPI[[#This Row],[Date]])+IF(MONTH(Daily_KPI[[#This Row],[Date]])&gt;=4,1,0)</f>
        <v>2026</v>
      </c>
      <c r="C368" s="6">
        <f>YEAR(Daily_KPI[[#This Row],[Date]])</f>
        <v>2026</v>
      </c>
      <c r="D368" s="228">
        <f>Daily_KPI[[#This Row],[Date]]-DAY(Daily_KPI[[#This Row],[Date]])+1</f>
        <v>46082</v>
      </c>
      <c r="E368" s="6">
        <f t="shared" si="24"/>
        <v>31</v>
      </c>
      <c r="F368" s="229" t="str">
        <f>IFERROR(_xlfn.XLOOKUP($A368,'Raw Data'!$A:$A,'Raw Data'!$BR:$BR),"")</f>
        <v/>
      </c>
      <c r="G368" s="230" t="str">
        <f>IFERROR(_xlfn.XLOOKUP($A368,'Raw Data'!$A:$A,'Raw Data'!$AO:$AO),"")</f>
        <v/>
      </c>
      <c r="H368" s="230"/>
      <c r="I368" s="230" t="str">
        <f>IFERROR(_xlfn.XLOOKUP($A368,'Raw Data'!$A:$A,'Raw Data'!$AR:$AR),"")</f>
        <v/>
      </c>
      <c r="J368" s="230"/>
      <c r="K368" s="230" t="str">
        <f>IFERROR(_xlfn.XLOOKUP($A368,'Raw Data'!$A:$A,'Raw Data'!$AV:$AV),"")</f>
        <v/>
      </c>
      <c r="L368" s="230" t="str">
        <f>IFERROR(_xlfn.XLOOKUP($A368,'Raw Data'!$A:$A,'Raw Data'!$AW:$AW),"")</f>
        <v/>
      </c>
      <c r="M368" s="230" t="str">
        <f>IFERROR(_xlfn.XLOOKUP($A368,'Raw Data'!$A:$A,'Raw Data'!$AX:$AX),"")</f>
        <v/>
      </c>
      <c r="N368" s="230" t="str">
        <f>IFERROR(_xlfn.XLOOKUP($A368,'Raw Data'!$A:$A,'Raw Data'!$AY:$AY),"")</f>
        <v/>
      </c>
      <c r="O368" s="231" t="str">
        <f>IFERROR(1-(SUMIF('Plant BD'!$B:$B,A368,'Plant BD'!$AE:$AE)/(AA368+SUMIF('Plant BD'!$B:$B,A368,'Plant BD'!$AE:$AE))),"")</f>
        <v/>
      </c>
      <c r="P368" s="231"/>
      <c r="Q368" s="232"/>
      <c r="R368" s="231" t="str">
        <f>IFERROR(1-(SUMIF('Grid BD'!$B:$B,$A368,'Grid BD'!$AD:$AD)/($AA368+SUMIF('Grid BD'!$B:$B,$A368,'Grid BD'!AD:AD))),"")</f>
        <v/>
      </c>
      <c r="S368" s="6"/>
      <c r="T368" s="232"/>
      <c r="U368" s="233" t="str">
        <f t="shared" si="25"/>
        <v/>
      </c>
      <c r="V368" s="233"/>
      <c r="W368" s="234" t="str">
        <f t="shared" si="27"/>
        <v/>
      </c>
      <c r="X368" s="227" t="str">
        <f>IFERROR(_xlfn.XLOOKUP($A368,'Raw Data'!$A:$A,'Raw Data'!$BA:$BA),"")</f>
        <v/>
      </c>
      <c r="Y368" s="227" t="str">
        <f>IFERROR(_xlfn.XLOOKUP($A368,'Raw Data'!$A:$A,'Raw Data'!BJ:BJ),"")</f>
        <v/>
      </c>
      <c r="Z368" s="227" t="str">
        <f>IFERROR(_xlfn.XLOOKUP($A368,'Raw Data'!$A:$A,'Raw Data'!BK:BK),"")</f>
        <v/>
      </c>
      <c r="AA368" s="227" t="str">
        <f>IFERROR(_xlfn.XLOOKUP($A368,'Raw Data'!$A:$A,'Raw Data'!BL:BL),"")</f>
        <v/>
      </c>
      <c r="AB368" s="227" t="str">
        <f>IFERROR(_xlfn.XLOOKUP($A368,'Raw Data'!$A:$A,'Raw Data'!$H:$H),"")</f>
        <v/>
      </c>
      <c r="AC368" s="145">
        <f>IFERROR(_xlfn.XLOOKUP($D368,'Modelling New'!$D:$D,'Modelling New'!$P:$P),"")</f>
        <v>6.9</v>
      </c>
      <c r="AD368" s="227">
        <f>IFERROR(_xlfn.XLOOKUP($D368,'Modelling New'!$D:$D,'Modelling New'!$T:$T)*1000,"")</f>
        <v>124131.0967036221</v>
      </c>
      <c r="AE368" s="234">
        <f>IFERROR(_xlfn.XLOOKUP($D368,'Modelling New'!$D:$D,'Modelling New'!$O:$O),"")</f>
        <v>0.74023536153896807</v>
      </c>
      <c r="AF368" s="234">
        <f>IFERROR(_xlfn.XLOOKUP($D368,'Modelling New'!$D:$D,'Modelling New'!$W:$W),"")</f>
        <v>0.21281766644245331</v>
      </c>
      <c r="AG368" s="234">
        <f>IFERROR(_xlfn.XLOOKUP($D368,'Modelling New'!$D:$D,'Modelling New'!AE:AE),"")</f>
        <v>0.995</v>
      </c>
      <c r="AH368" s="234">
        <v>0.99750000000000005</v>
      </c>
      <c r="AI368" s="6"/>
      <c r="AJ368" s="6"/>
      <c r="AK368" s="6"/>
      <c r="AL368" s="6"/>
      <c r="AM368" s="6"/>
      <c r="AN368" s="231"/>
      <c r="AO368" s="234"/>
      <c r="AP368" s="234"/>
      <c r="AQ368" s="234"/>
      <c r="AR368" s="227">
        <f>IFERROR(_xlfn.XLOOKUP($D368,'Modelling New'!$D:$D,'Modelling New'!$N:$N),"")</f>
        <v>24.303100000000001</v>
      </c>
      <c r="AS368" s="227"/>
    </row>
    <row r="369" spans="1:45" x14ac:dyDescent="0.35">
      <c r="A369" s="226">
        <f t="shared" si="26"/>
        <v>46112</v>
      </c>
      <c r="B369" s="227">
        <f>YEAR(Daily_KPI[[#This Row],[Date]])+IF(MONTH(Daily_KPI[[#This Row],[Date]])&gt;=4,1,0)</f>
        <v>2026</v>
      </c>
      <c r="C369" s="6">
        <f>YEAR(Daily_KPI[[#This Row],[Date]])</f>
        <v>2026</v>
      </c>
      <c r="D369" s="228">
        <f>Daily_KPI[[#This Row],[Date]]-DAY(Daily_KPI[[#This Row],[Date]])+1</f>
        <v>46082</v>
      </c>
      <c r="E369" s="6">
        <f t="shared" si="24"/>
        <v>31</v>
      </c>
      <c r="F369" s="229" t="str">
        <f>IFERROR(_xlfn.XLOOKUP($A369,'Raw Data'!$A:$A,'Raw Data'!$BR:$BR),"")</f>
        <v/>
      </c>
      <c r="G369" s="230" t="str">
        <f>IFERROR(_xlfn.XLOOKUP($A369,'Raw Data'!$A:$A,'Raw Data'!$AO:$AO),"")</f>
        <v/>
      </c>
      <c r="H369" s="230"/>
      <c r="I369" s="230" t="str">
        <f>IFERROR(_xlfn.XLOOKUP($A369,'Raw Data'!$A:$A,'Raw Data'!$AR:$AR),"")</f>
        <v/>
      </c>
      <c r="J369" s="230"/>
      <c r="K369" s="230" t="str">
        <f>IFERROR(_xlfn.XLOOKUP($A369,'Raw Data'!$A:$A,'Raw Data'!$AV:$AV),"")</f>
        <v/>
      </c>
      <c r="L369" s="230" t="str">
        <f>IFERROR(_xlfn.XLOOKUP($A369,'Raw Data'!$A:$A,'Raw Data'!$AW:$AW),"")</f>
        <v/>
      </c>
      <c r="M369" s="230" t="str">
        <f>IFERROR(_xlfn.XLOOKUP($A369,'Raw Data'!$A:$A,'Raw Data'!$AX:$AX),"")</f>
        <v/>
      </c>
      <c r="N369" s="230" t="str">
        <f>IFERROR(_xlfn.XLOOKUP($A369,'Raw Data'!$A:$A,'Raw Data'!$AY:$AY),"")</f>
        <v/>
      </c>
      <c r="O369" s="231" t="str">
        <f>IFERROR(1-(SUMIF('Plant BD'!$B:$B,A369,'Plant BD'!$AE:$AE)/(AA369+SUMIF('Plant BD'!$B:$B,A369,'Plant BD'!$AE:$AE))),"")</f>
        <v/>
      </c>
      <c r="P369" s="231"/>
      <c r="Q369" s="232"/>
      <c r="R369" s="231" t="str">
        <f>IFERROR(1-(SUMIF('Grid BD'!$B:$B,$A369,'Grid BD'!$AD:$AD)/($AA369+SUMIF('Grid BD'!$B:$B,$A369,'Grid BD'!AD:AD))),"")</f>
        <v/>
      </c>
      <c r="S369" s="6"/>
      <c r="T369" s="232"/>
      <c r="U369" s="233" t="str">
        <f t="shared" si="25"/>
        <v/>
      </c>
      <c r="V369" s="233"/>
      <c r="W369" s="234" t="str">
        <f t="shared" si="27"/>
        <v/>
      </c>
      <c r="X369" s="227" t="str">
        <f>IFERROR(_xlfn.XLOOKUP($A369,'Raw Data'!$A:$A,'Raw Data'!$BA:$BA),"")</f>
        <v/>
      </c>
      <c r="Y369" s="227" t="str">
        <f>IFERROR(_xlfn.XLOOKUP($A369,'Raw Data'!$A:$A,'Raw Data'!BJ:BJ),"")</f>
        <v/>
      </c>
      <c r="Z369" s="227" t="str">
        <f>IFERROR(_xlfn.XLOOKUP($A369,'Raw Data'!$A:$A,'Raw Data'!BK:BK),"")</f>
        <v/>
      </c>
      <c r="AA369" s="227" t="str">
        <f>IFERROR(_xlfn.XLOOKUP($A369,'Raw Data'!$A:$A,'Raw Data'!BL:BL),"")</f>
        <v/>
      </c>
      <c r="AB369" s="227" t="str">
        <f>IFERROR(_xlfn.XLOOKUP($A369,'Raw Data'!$A:$A,'Raw Data'!$H:$H),"")</f>
        <v/>
      </c>
      <c r="AC369" s="145">
        <f>IFERROR(_xlfn.XLOOKUP($D369,'Modelling New'!$D:$D,'Modelling New'!$P:$P),"")</f>
        <v>6.9</v>
      </c>
      <c r="AD369" s="227">
        <f>IFERROR(_xlfn.XLOOKUP($D369,'Modelling New'!$D:$D,'Modelling New'!$T:$T)*1000,"")</f>
        <v>124131.0967036221</v>
      </c>
      <c r="AE369" s="234">
        <f>IFERROR(_xlfn.XLOOKUP($D369,'Modelling New'!$D:$D,'Modelling New'!$O:$O),"")</f>
        <v>0.74023536153896807</v>
      </c>
      <c r="AF369" s="234">
        <f>IFERROR(_xlfn.XLOOKUP($D369,'Modelling New'!$D:$D,'Modelling New'!$W:$W),"")</f>
        <v>0.21281766644245331</v>
      </c>
      <c r="AG369" s="234">
        <f>IFERROR(_xlfn.XLOOKUP($D369,'Modelling New'!$D:$D,'Modelling New'!AE:AE),"")</f>
        <v>0.995</v>
      </c>
      <c r="AH369" s="234">
        <v>0.99750000000000005</v>
      </c>
      <c r="AI369" s="6"/>
      <c r="AJ369" s="6"/>
      <c r="AK369" s="6"/>
      <c r="AL369" s="6"/>
      <c r="AM369" s="6"/>
      <c r="AN369" s="231"/>
      <c r="AO369" s="234"/>
      <c r="AP369" s="234"/>
      <c r="AQ369" s="234"/>
      <c r="AR369" s="227">
        <f>IFERROR(_xlfn.XLOOKUP($D369,'Modelling New'!$D:$D,'Modelling New'!$N:$N),"")</f>
        <v>24.303100000000001</v>
      </c>
      <c r="AS369" s="227"/>
    </row>
  </sheetData>
  <pageMargins left="0.7" right="0.7" top="0.75" bottom="0.75" header="0.3" footer="0.3"/>
  <ignoredErrors>
    <ignoredError sqref="W2:W369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Z43"/>
  <sheetViews>
    <sheetView topLeftCell="F1" zoomScale="70" zoomScaleNormal="70" workbookViewId="0">
      <pane xSplit="1" ySplit="1" topLeftCell="G22" activePane="bottomRight" state="frozen"/>
      <selection pane="topRight" activeCell="H1" sqref="H1"/>
      <selection pane="bottomLeft" activeCell="F2" sqref="F2"/>
      <selection pane="bottomRight" activeCell="A35" sqref="A35"/>
    </sheetView>
  </sheetViews>
  <sheetFormatPr defaultColWidth="8.81640625" defaultRowHeight="14.5" x14ac:dyDescent="0.35"/>
  <cols>
    <col min="1" max="2" width="11.1796875" customWidth="1"/>
    <col min="3" max="3" width="12.453125" customWidth="1"/>
    <col min="4" max="4" width="14.1796875" customWidth="1"/>
    <col min="5" max="5" width="13" customWidth="1"/>
    <col min="6" max="6" width="15.1796875" customWidth="1"/>
    <col min="7" max="7" width="9.453125" customWidth="1"/>
    <col min="8" max="8" width="14.453125" customWidth="1"/>
    <col min="9" max="9" width="9.453125" customWidth="1"/>
    <col min="10" max="10" width="12.453125" customWidth="1"/>
    <col min="11" max="11" width="9.81640625" customWidth="1"/>
    <col min="12" max="12" width="10.1796875" customWidth="1"/>
    <col min="13" max="13" width="11.453125" customWidth="1"/>
    <col min="14" max="16" width="9.453125" customWidth="1"/>
    <col min="17" max="17" width="10.1796875" customWidth="1"/>
    <col min="18" max="26" width="9.453125" customWidth="1"/>
    <col min="27" max="27" width="8.81640625" customWidth="1"/>
  </cols>
  <sheetData>
    <row r="1" spans="1:26" s="3" customFormat="1" ht="24" x14ac:dyDescent="0.35">
      <c r="A1" s="60" t="s">
        <v>116</v>
      </c>
      <c r="B1" s="60" t="s">
        <v>117</v>
      </c>
      <c r="C1" s="60" t="s">
        <v>118</v>
      </c>
      <c r="D1" s="60" t="s">
        <v>119</v>
      </c>
      <c r="E1" s="60" t="s">
        <v>120</v>
      </c>
      <c r="F1" s="61" t="s">
        <v>72</v>
      </c>
      <c r="G1" s="167" t="s">
        <v>121</v>
      </c>
      <c r="H1" s="167" t="s">
        <v>122</v>
      </c>
      <c r="I1" s="167" t="s">
        <v>123</v>
      </c>
      <c r="J1" s="167" t="s">
        <v>124</v>
      </c>
      <c r="K1" s="167" t="s">
        <v>125</v>
      </c>
      <c r="L1" s="167" t="s">
        <v>126</v>
      </c>
      <c r="M1" s="167" t="s">
        <v>127</v>
      </c>
      <c r="N1" s="167" t="s">
        <v>128</v>
      </c>
      <c r="O1" s="167" t="s">
        <v>129</v>
      </c>
      <c r="P1" s="167" t="s">
        <v>130</v>
      </c>
      <c r="Q1" s="167" t="s">
        <v>131</v>
      </c>
      <c r="R1" s="167" t="s">
        <v>132</v>
      </c>
      <c r="S1" s="167" t="s">
        <v>133</v>
      </c>
      <c r="T1" s="167" t="s">
        <v>134</v>
      </c>
      <c r="U1" s="167" t="s">
        <v>135</v>
      </c>
      <c r="V1" s="167" t="s">
        <v>136</v>
      </c>
      <c r="W1" s="167" t="s">
        <v>137</v>
      </c>
      <c r="X1" s="167" t="s">
        <v>138</v>
      </c>
      <c r="Y1" s="167" t="s">
        <v>139</v>
      </c>
      <c r="Z1" s="167" t="s">
        <v>140</v>
      </c>
    </row>
    <row r="2" spans="1:26" x14ac:dyDescent="0.35">
      <c r="A2" s="75" t="s">
        <v>141</v>
      </c>
      <c r="B2" s="74"/>
      <c r="C2" s="74">
        <v>2000</v>
      </c>
      <c r="D2" s="74" t="s">
        <v>142</v>
      </c>
      <c r="E2" s="74" t="s">
        <v>142</v>
      </c>
      <c r="F2" s="73">
        <f>'Daily Dashboard'!B5-32</f>
        <v>45837</v>
      </c>
      <c r="G2" s="9">
        <f>IFERROR(Inv_SY!F4/Inv_SY!$P4-1,"")</f>
        <v>-9.6439461419184358E-3</v>
      </c>
      <c r="H2" s="9">
        <f>IFERROR(Inv_SY!G4/Inv_SY!$P4-1,"")</f>
        <v>-1.6940443558588036E-2</v>
      </c>
      <c r="I2" s="9">
        <f>IFERROR(Inv_SY!H4/Inv_SY!$P4-1,"")</f>
        <v>-1.3579135759897665E-2</v>
      </c>
      <c r="J2" s="9">
        <f>IFERROR(Inv_SY!I4/Inv_SY!$P4-1,"")</f>
        <v>-2.1579566846478437E-2</v>
      </c>
      <c r="K2" s="9">
        <f>IFERROR(Inv_SY!J4/Inv_SY!$P4-1,"")</f>
        <v>-8.0496898351474222E-3</v>
      </c>
      <c r="L2" s="9">
        <f>IFERROR(Inv_SY!K4/Inv_SY!$P4-1,"")</f>
        <v>-1.5552336252103616E-2</v>
      </c>
      <c r="M2" s="9">
        <f>IFERROR(Inv_SY!L4/Inv_SY!$P4-1,"")</f>
        <v>1.4498324087226289E-2</v>
      </c>
      <c r="N2" s="9">
        <f>IFERROR(Inv_SY!M4/Inv_SY!$P4-1,"")</f>
        <v>3.9545924082820649E-2</v>
      </c>
      <c r="O2" s="9">
        <f>IFERROR(Inv_SY!N4/Inv_SY!$P4-1,"")</f>
        <v>9.370552498828566E-4</v>
      </c>
      <c r="P2" s="9">
        <f>IFERROR(Inv_SY!O4/Inv_SY!$P4-1,"")</f>
        <v>3.0363814974202707E-2</v>
      </c>
      <c r="Q2" s="9">
        <f>IFERROR(Inv_SY!Q4/Inv_SY!$AA4-1,"")</f>
        <v>-1.4145018907470996E-3</v>
      </c>
      <c r="R2" s="9">
        <f>IFERROR(Inv_SY!R4/Inv_SY!$AA4-1,"")</f>
        <v>-1.9545455256210764E-2</v>
      </c>
      <c r="S2" s="9">
        <f>IFERROR(Inv_SY!S4/Inv_SY!$AA4-1,"")</f>
        <v>4.1453563025804607E-2</v>
      </c>
      <c r="T2" s="9">
        <f>IFERROR(Inv_SY!T4/Inv_SY!$AA4-1,"")</f>
        <v>1.4967046279861007E-2</v>
      </c>
      <c r="U2" s="9">
        <f>IFERROR(Inv_SY!U4/Inv_SY!$AA4-1,"")</f>
        <v>2.3010104836327372E-3</v>
      </c>
      <c r="V2" s="9">
        <f>IFERROR(Inv_SY!V4/Inv_SY!$AA4-1,"")</f>
        <v>1.4219741617131909E-3</v>
      </c>
      <c r="W2" s="9">
        <f>IFERROR(Inv_SY!W4/Inv_SY!$AA4-1,"")</f>
        <v>-8.6599315710004232E-3</v>
      </c>
      <c r="X2" s="9">
        <f>IFERROR(Inv_SY!X4/Inv_SY!$AA4-1,"")</f>
        <v>-2.6757630003209631E-2</v>
      </c>
      <c r="Y2" s="9">
        <f>IFERROR(Inv_SY!Y4/Inv_SY!$AA4-1,"")</f>
        <v>3.2818003335932655E-3</v>
      </c>
      <c r="Z2" s="9">
        <f>IFERROR(Inv_SY!Z4/Inv_SY!$AA4-1,"")</f>
        <v>-7.0478755634347801E-3</v>
      </c>
    </row>
    <row r="3" spans="1:26" x14ac:dyDescent="0.35">
      <c r="A3" s="75" t="s">
        <v>141</v>
      </c>
      <c r="B3" s="74"/>
      <c r="C3" s="74">
        <v>2000</v>
      </c>
      <c r="D3" s="74" t="s">
        <v>142</v>
      </c>
      <c r="E3" s="74" t="s">
        <v>142</v>
      </c>
      <c r="F3" s="73">
        <f>F2+1</f>
        <v>45838</v>
      </c>
      <c r="G3" s="9">
        <f>IFERROR(Inv_SY!F5/Inv_SY!$P5-1,"")</f>
        <v>-6.1620013145248231E-3</v>
      </c>
      <c r="H3" s="9">
        <f>IFERROR(Inv_SY!G5/Inv_SY!$P5-1,"")</f>
        <v>-9.3521214256755414E-3</v>
      </c>
      <c r="I3" s="9">
        <f>IFERROR(Inv_SY!H5/Inv_SY!$P5-1,"")</f>
        <v>-1.023056029686209E-2</v>
      </c>
      <c r="J3" s="9">
        <f>IFERROR(Inv_SY!I5/Inv_SY!$P5-1,"")</f>
        <v>-9.4339193772435825E-3</v>
      </c>
      <c r="K3" s="9">
        <f>IFERROR(Inv_SY!J5/Inv_SY!$P5-1,"")</f>
        <v>-2.6504796226211158E-2</v>
      </c>
      <c r="L3" s="9">
        <f>IFERROR(Inv_SY!K5/Inv_SY!$P5-1,"")</f>
        <v>-9.0023001700005878E-3</v>
      </c>
      <c r="M3" s="9">
        <f>IFERROR(Inv_SY!L5/Inv_SY!$P5-1,"")</f>
        <v>1.2432299955652315E-2</v>
      </c>
      <c r="N3" s="9">
        <f>IFERROR(Inv_SY!M5/Inv_SY!$P5-1,"")</f>
        <v>3.2674243516876311E-2</v>
      </c>
      <c r="O3" s="9">
        <f>IFERROR(Inv_SY!N5/Inv_SY!$P5-1,"")</f>
        <v>1.0420297857882677E-3</v>
      </c>
      <c r="P3" s="9">
        <f>IFERROR(Inv_SY!O5/Inv_SY!$P5-1,"")</f>
        <v>2.4537125552201777E-2</v>
      </c>
      <c r="Q3" s="9">
        <f>IFERROR(Inv_SY!Q5/Inv_SY!$AA5-1,"")</f>
        <v>5.7981013211210186E-3</v>
      </c>
      <c r="R3" s="9">
        <f>IFERROR(Inv_SY!R5/Inv_SY!$AA5-1,"")</f>
        <v>-1.7885328827008662E-2</v>
      </c>
      <c r="S3" s="9">
        <f>IFERROR(Inv_SY!S5/Inv_SY!$AA5-1,"")</f>
        <v>3.5707190639925335E-2</v>
      </c>
      <c r="T3" s="9">
        <f>IFERROR(Inv_SY!T5/Inv_SY!$AA5-1,"")</f>
        <v>7.8039484367304901E-3</v>
      </c>
      <c r="U3" s="9">
        <f>IFERROR(Inv_SY!U5/Inv_SY!$AA5-1,"")</f>
        <v>-1.2910881120919981E-3</v>
      </c>
      <c r="V3" s="9">
        <f>IFERROR(Inv_SY!V5/Inv_SY!$AA5-1,"")</f>
        <v>3.7102055095066255E-3</v>
      </c>
      <c r="W3" s="9">
        <f>IFERROR(Inv_SY!W5/Inv_SY!$AA5-1,"")</f>
        <v>2.4882141518922651E-4</v>
      </c>
      <c r="X3" s="9">
        <f>IFERROR(Inv_SY!X5/Inv_SY!$AA5-1,"")</f>
        <v>-1.4037196553069897E-2</v>
      </c>
      <c r="Y3" s="9">
        <f>IFERROR(Inv_SY!Y5/Inv_SY!$AA5-1,"")</f>
        <v>-5.4928930795626885E-3</v>
      </c>
      <c r="Z3" s="9">
        <f>IFERROR(Inv_SY!Z5/Inv_SY!$AA5-1,"")</f>
        <v>-1.456176075073834E-2</v>
      </c>
    </row>
    <row r="4" spans="1:26" x14ac:dyDescent="0.35">
      <c r="A4" s="75" t="s">
        <v>141</v>
      </c>
      <c r="B4" s="74"/>
      <c r="C4" s="74">
        <v>2000</v>
      </c>
      <c r="D4" s="74" t="s">
        <v>142</v>
      </c>
      <c r="E4" s="74" t="s">
        <v>142</v>
      </c>
      <c r="F4" s="73">
        <f t="shared" ref="F4:F43" si="0">F3+1</f>
        <v>45839</v>
      </c>
      <c r="G4" s="9">
        <f>IFERROR(Inv_SY!F6/Inv_SY!$P6-1,"")</f>
        <v>-1.4887636992880204E-2</v>
      </c>
      <c r="H4" s="9">
        <f>IFERROR(Inv_SY!G6/Inv_SY!$P6-1,"")</f>
        <v>-1.3338718183120601E-2</v>
      </c>
      <c r="I4" s="9">
        <f>IFERROR(Inv_SY!H6/Inv_SY!$P6-1,"")</f>
        <v>-1.3338718183120601E-2</v>
      </c>
      <c r="J4" s="9">
        <f>IFERROR(Inv_SY!I6/Inv_SY!$P6-1,"")</f>
        <v>-1.0386505408963242E-2</v>
      </c>
      <c r="K4" s="9">
        <f>IFERROR(Inv_SY!J6/Inv_SY!$P6-1,"")</f>
        <v>-1.1170231849457091E-2</v>
      </c>
      <c r="L4" s="9">
        <f>IFERROR(Inv_SY!K6/Inv_SY!$P6-1,"")</f>
        <v>-1.046181846030203E-2</v>
      </c>
      <c r="M4" s="9">
        <f>IFERROR(Inv_SY!L6/Inv_SY!$P6-1,"")</f>
        <v>1.7137210044650741E-2</v>
      </c>
      <c r="N4" s="9">
        <f>IFERROR(Inv_SY!M6/Inv_SY!$P6-1,"")</f>
        <v>3.5710377459267528E-2</v>
      </c>
      <c r="O4" s="9">
        <f>IFERROR(Inv_SY!N6/Inv_SY!$P6-1,"")</f>
        <v>-1.0340665975047125E-3</v>
      </c>
      <c r="P4" s="9">
        <f>IFERROR(Inv_SY!O6/Inv_SY!$P6-1,"")</f>
        <v>2.1770108171430769E-2</v>
      </c>
      <c r="Q4" s="9">
        <f>IFERROR(Inv_SY!Q6/Inv_SY!$AA6-1,"")</f>
        <v>-1.2588703595203254E-3</v>
      </c>
      <c r="R4" s="9">
        <f>IFERROR(Inv_SY!R6/Inv_SY!$AA6-1,"")</f>
        <v>-2.3148038846927288E-2</v>
      </c>
      <c r="S4" s="9">
        <f>IFERROR(Inv_SY!S6/Inv_SY!$AA6-1,"")</f>
        <v>3.3736373720425039E-2</v>
      </c>
      <c r="T4" s="9">
        <f>IFERROR(Inv_SY!T6/Inv_SY!$AA6-1,"")</f>
        <v>6.68234007007662E-3</v>
      </c>
      <c r="U4" s="9">
        <f>IFERROR(Inv_SY!U6/Inv_SY!$AA6-1,"")</f>
        <v>-2.9610332048783938E-3</v>
      </c>
      <c r="V4" s="9">
        <f>IFERROR(Inv_SY!V6/Inv_SY!$AA6-1,"")</f>
        <v>-1.1900730629818002E-3</v>
      </c>
      <c r="W4" s="9">
        <f>IFERROR(Inv_SY!W6/Inv_SY!$AA6-1,"")</f>
        <v>-5.0557743040757774E-3</v>
      </c>
      <c r="X4" s="9">
        <f>IFERROR(Inv_SY!X6/Inv_SY!$AA6-1,"")</f>
        <v>-2.0725986979202138E-2</v>
      </c>
      <c r="Y4" s="9">
        <f>IFERROR(Inv_SY!Y6/Inv_SY!$AA6-1,"")</f>
        <v>1.0755351462222507E-2</v>
      </c>
      <c r="Z4" s="9">
        <f>IFERROR(Inv_SY!Z6/Inv_SY!$AA6-1,"")</f>
        <v>3.1657115048615569E-3</v>
      </c>
    </row>
    <row r="5" spans="1:26" x14ac:dyDescent="0.35">
      <c r="A5" s="75" t="s">
        <v>141</v>
      </c>
      <c r="B5" s="74"/>
      <c r="C5" s="74">
        <v>2000</v>
      </c>
      <c r="D5" s="74" t="s">
        <v>142</v>
      </c>
      <c r="E5" s="74" t="s">
        <v>142</v>
      </c>
      <c r="F5" s="73">
        <f t="shared" si="0"/>
        <v>45840</v>
      </c>
      <c r="G5" s="9">
        <f>IFERROR(Inv_SY!F7/Inv_SY!$P7-1,"")</f>
        <v>-1.4542740454729919E-2</v>
      </c>
      <c r="H5" s="9">
        <f>IFERROR(Inv_SY!G7/Inv_SY!$P7-1,"")</f>
        <v>-1.8052203629748576E-2</v>
      </c>
      <c r="I5" s="9">
        <f>IFERROR(Inv_SY!H7/Inv_SY!$P7-1,"")</f>
        <v>-2.4168696591924332E-2</v>
      </c>
      <c r="J5" s="9">
        <f>IFERROR(Inv_SY!I7/Inv_SY!$P7-1,"")</f>
        <v>-1.8514475775439854E-2</v>
      </c>
      <c r="K5" s="9">
        <f>IFERROR(Inv_SY!J7/Inv_SY!$P7-1,"")</f>
        <v>-1.0007434197782494E-2</v>
      </c>
      <c r="L5" s="9">
        <f>IFERROR(Inv_SY!K7/Inv_SY!$P7-1,"")</f>
        <v>-1.5472198280227722E-2</v>
      </c>
      <c r="M5" s="9">
        <f>IFERROR(Inv_SY!L7/Inv_SY!$P7-1,"")</f>
        <v>9.2917413636954826E-3</v>
      </c>
      <c r="N5" s="9">
        <f>IFERROR(Inv_SY!M7/Inv_SY!$P7-1,"")</f>
        <v>3.5993529265540447E-2</v>
      </c>
      <c r="O5" s="9">
        <f>IFERROR(Inv_SY!N7/Inv_SY!$P7-1,"")</f>
        <v>1.1056237415030479E-2</v>
      </c>
      <c r="P5" s="9">
        <f>IFERROR(Inv_SY!O7/Inv_SY!$P7-1,"")</f>
        <v>4.441624088558549E-2</v>
      </c>
      <c r="Q5" s="9">
        <f>IFERROR(Inv_SY!Q7/Inv_SY!$AA7-1,"")</f>
        <v>7.0461139539443884E-3</v>
      </c>
      <c r="R5" s="9">
        <f>IFERROR(Inv_SY!R7/Inv_SY!$AA7-1,"")</f>
        <v>-1.312031989428819E-2</v>
      </c>
      <c r="S5" s="9">
        <f>IFERROR(Inv_SY!S7/Inv_SY!$AA7-1,"")</f>
        <v>4.4753669737297219E-2</v>
      </c>
      <c r="T5" s="9">
        <f>IFERROR(Inv_SY!T7/Inv_SY!$AA7-1,"")</f>
        <v>1.804576026432958E-2</v>
      </c>
      <c r="U5" s="9">
        <f>IFERROR(Inv_SY!U7/Inv_SY!$AA7-1,"")</f>
        <v>7.9199517769512617E-3</v>
      </c>
      <c r="V5" s="9">
        <f>IFERROR(Inv_SY!V7/Inv_SY!$AA7-1,"")</f>
        <v>6.5791618349431147E-3</v>
      </c>
      <c r="W5" s="9">
        <f>IFERROR(Inv_SY!W7/Inv_SY!$AA7-1,"")</f>
        <v>1.7802345377748718E-3</v>
      </c>
      <c r="X5" s="9">
        <f>IFERROR(Inv_SY!X7/Inv_SY!$AA7-1,"")</f>
        <v>-1.5496759748143352E-2</v>
      </c>
      <c r="Y5" s="9">
        <f>IFERROR(Inv_SY!Y7/Inv_SY!$AA7-1,"")</f>
        <v>-2.0109486049123659E-2</v>
      </c>
      <c r="Z5" s="9">
        <f>IFERROR(Inv_SY!Z7/Inv_SY!$AA7-1,"")</f>
        <v>-3.7398326413685679E-2</v>
      </c>
    </row>
    <row r="6" spans="1:26" x14ac:dyDescent="0.35">
      <c r="A6" s="75" t="s">
        <v>141</v>
      </c>
      <c r="B6" s="74"/>
      <c r="C6" s="74">
        <v>2000</v>
      </c>
      <c r="D6" s="74" t="s">
        <v>142</v>
      </c>
      <c r="E6" s="74" t="s">
        <v>142</v>
      </c>
      <c r="F6" s="73">
        <f t="shared" si="0"/>
        <v>45841</v>
      </c>
      <c r="G6" s="9">
        <f>IFERROR(Inv_SY!F8/Inv_SY!$P8-1,"")</f>
        <v>-9.1497207083333087E-3</v>
      </c>
      <c r="H6" s="9">
        <f>IFERROR(Inv_SY!G8/Inv_SY!$P8-1,"")</f>
        <v>-1.2905528107440167E-2</v>
      </c>
      <c r="I6" s="9">
        <f>IFERROR(Inv_SY!H8/Inv_SY!$P8-1,"")</f>
        <v>-9.1497207083333087E-3</v>
      </c>
      <c r="J6" s="9">
        <f>IFERROR(Inv_SY!I8/Inv_SY!$P8-1,"")</f>
        <v>-1.4457461576628305E-2</v>
      </c>
      <c r="K6" s="9">
        <f>IFERROR(Inv_SY!J8/Inv_SY!$P8-1,"")</f>
        <v>-1.6030990208794949E-2</v>
      </c>
      <c r="L6" s="9">
        <f>IFERROR(Inv_SY!K8/Inv_SY!$P8-1,"")</f>
        <v>-9.8753960048195699E-3</v>
      </c>
      <c r="M6" s="9">
        <f>IFERROR(Inv_SY!L8/Inv_SY!$P8-1,"")</f>
        <v>1.60200564415931E-2</v>
      </c>
      <c r="N6" s="9">
        <f>IFERROR(Inv_SY!M8/Inv_SY!$P8-1,"")</f>
        <v>3.5237094008385039E-2</v>
      </c>
      <c r="O6" s="9">
        <f>IFERROR(Inv_SY!N8/Inv_SY!$P8-1,"")</f>
        <v>9.7802452413864316E-5</v>
      </c>
      <c r="P6" s="9">
        <f>IFERROR(Inv_SY!O8/Inv_SY!$P8-1,"")</f>
        <v>2.0213864411957383E-2</v>
      </c>
      <c r="Q6" s="9">
        <f>IFERROR(Inv_SY!Q8/Inv_SY!$AA8-1,"")</f>
        <v>9.126270681408144E-3</v>
      </c>
      <c r="R6" s="9">
        <f>IFERROR(Inv_SY!R8/Inv_SY!$AA8-1,"")</f>
        <v>-2.0466723238231288E-2</v>
      </c>
      <c r="S6" s="9">
        <f>IFERROR(Inv_SY!S8/Inv_SY!$AA8-1,"")</f>
        <v>3.1244570661996818E-2</v>
      </c>
      <c r="T6" s="9">
        <f>IFERROR(Inv_SY!T8/Inv_SY!$AA8-1,"")</f>
        <v>2.3282245114488731E-3</v>
      </c>
      <c r="U6" s="9">
        <f>IFERROR(Inv_SY!U8/Inv_SY!$AA8-1,"")</f>
        <v>-5.2578282938990917E-3</v>
      </c>
      <c r="V6" s="9">
        <f>IFERROR(Inv_SY!V8/Inv_SY!$AA8-1,"")</f>
        <v>2.3701786778209666E-3</v>
      </c>
      <c r="W6" s="9">
        <f>IFERROR(Inv_SY!W8/Inv_SY!$AA8-1,"")</f>
        <v>-1.6742722423727097E-3</v>
      </c>
      <c r="X6" s="9">
        <f>IFERROR(Inv_SY!X8/Inv_SY!$AA8-1,"")</f>
        <v>-9.7715329497813919E-3</v>
      </c>
      <c r="Y6" s="9">
        <f>IFERROR(Inv_SY!Y8/Inv_SY!$AA8-1,"")</f>
        <v>-6.8858103088675904E-3</v>
      </c>
      <c r="Z6" s="9">
        <f>IFERROR(Inv_SY!Z8/Inv_SY!$AA8-1,"")</f>
        <v>-1.0130774995220637E-3</v>
      </c>
    </row>
    <row r="7" spans="1:26" x14ac:dyDescent="0.35">
      <c r="A7" s="75" t="s">
        <v>141</v>
      </c>
      <c r="B7" s="74"/>
      <c r="C7" s="74">
        <v>2000</v>
      </c>
      <c r="D7" s="74" t="s">
        <v>142</v>
      </c>
      <c r="E7" s="74" t="s">
        <v>142</v>
      </c>
      <c r="F7" s="73">
        <f t="shared" si="0"/>
        <v>45842</v>
      </c>
      <c r="G7" s="9">
        <f>IFERROR(Inv_SY!F9/Inv_SY!$P9-1,"")</f>
        <v>-1.1421798348429046E-2</v>
      </c>
      <c r="H7" s="9">
        <f>IFERROR(Inv_SY!G9/Inv_SY!$P9-1,"")</f>
        <v>-1.2672529878858474E-2</v>
      </c>
      <c r="I7" s="9">
        <f>IFERROR(Inv_SY!H9/Inv_SY!$P9-1,"")</f>
        <v>-1.5710020738473385E-2</v>
      </c>
      <c r="J7" s="9">
        <f>IFERROR(Inv_SY!I9/Inv_SY!$P9-1,"")</f>
        <v>-1.793598689079845E-2</v>
      </c>
      <c r="K7" s="9">
        <f>IFERROR(Inv_SY!J9/Inv_SY!$P9-1,"")</f>
        <v>-1.9241756717145786E-2</v>
      </c>
      <c r="L7" s="9">
        <f>IFERROR(Inv_SY!K9/Inv_SY!$P9-1,"")</f>
        <v>-9.5540392629873683E-3</v>
      </c>
      <c r="M7" s="9">
        <f>IFERROR(Inv_SY!L9/Inv_SY!$P9-1,"")</f>
        <v>9.4231266984221573E-3</v>
      </c>
      <c r="N7" s="9">
        <f>IFERROR(Inv_SY!M9/Inv_SY!$P9-1,"")</f>
        <v>3.3461596000702531E-2</v>
      </c>
      <c r="O7" s="9">
        <f>IFERROR(Inv_SY!N9/Inv_SY!$P9-1,"")</f>
        <v>5.9015907468205064E-3</v>
      </c>
      <c r="P7" s="9">
        <f>IFERROR(Inv_SY!O9/Inv_SY!$P9-1,"")</f>
        <v>3.7749818390746981E-2</v>
      </c>
      <c r="Q7" s="9">
        <f>IFERROR(Inv_SY!Q9/Inv_SY!$AA9-1,"")</f>
        <v>1.8916897958251688E-2</v>
      </c>
      <c r="R7" s="9">
        <f>IFERROR(Inv_SY!R9/Inv_SY!$AA9-1,"")</f>
        <v>-9.0536332172403977E-3</v>
      </c>
      <c r="S7" s="9">
        <f>IFERROR(Inv_SY!S9/Inv_SY!$AA9-1,"")</f>
        <v>4.0332834518803651E-2</v>
      </c>
      <c r="T7" s="9">
        <f>IFERROR(Inv_SY!T9/Inv_SY!$AA9-1,"")</f>
        <v>7.8967746052982513E-3</v>
      </c>
      <c r="U7" s="9">
        <f>IFERROR(Inv_SY!U9/Inv_SY!$AA9-1,"")</f>
        <v>5.5033332205227659E-3</v>
      </c>
      <c r="V7" s="9">
        <f>IFERROR(Inv_SY!V9/Inv_SY!$AA9-1,"")</f>
        <v>1.3168148552747283E-2</v>
      </c>
      <c r="W7" s="9">
        <f>IFERROR(Inv_SY!W9/Inv_SY!$AA9-1,"")</f>
        <v>8.7985563371484332E-3</v>
      </c>
      <c r="X7" s="9">
        <f>IFERROR(Inv_SY!X9/Inv_SY!$AA9-1,"")</f>
        <v>-3.0510750528088826E-3</v>
      </c>
      <c r="Y7" s="9">
        <f>IFERROR(Inv_SY!Y9/Inv_SY!$AA9-1,"")</f>
        <v>-3.094214529323569E-2</v>
      </c>
      <c r="Z7" s="9">
        <f>IFERROR(Inv_SY!Z9/Inv_SY!$AA9-1,"")</f>
        <v>-5.1569691629487435E-2</v>
      </c>
    </row>
    <row r="8" spans="1:26" x14ac:dyDescent="0.35">
      <c r="A8" s="75" t="s">
        <v>141</v>
      </c>
      <c r="B8" s="74"/>
      <c r="C8" s="74">
        <v>2000</v>
      </c>
      <c r="D8" s="74" t="s">
        <v>142</v>
      </c>
      <c r="E8" s="74" t="s">
        <v>142</v>
      </c>
      <c r="F8" s="73">
        <f t="shared" si="0"/>
        <v>45843</v>
      </c>
      <c r="G8" s="9">
        <f>IFERROR(Inv_SY!F10/Inv_SY!$P10-1,"")</f>
        <v>-1.0539737535179228E-2</v>
      </c>
      <c r="H8" s="9">
        <f>IFERROR(Inv_SY!G10/Inv_SY!$P10-1,"")</f>
        <v>-1.1020417034881769E-2</v>
      </c>
      <c r="I8" s="9">
        <f>IFERROR(Inv_SY!H10/Inv_SY!$P10-1,"")</f>
        <v>-9.9481319970836646E-3</v>
      </c>
      <c r="J8" s="9">
        <f>IFERROR(Inv_SY!I10/Inv_SY!$P10-1,"")</f>
        <v>-1.8286736209676691E-2</v>
      </c>
      <c r="K8" s="9">
        <f>IFERROR(Inv_SY!J10/Inv_SY!$P10-1,"")</f>
        <v>-1.1709296175875905E-2</v>
      </c>
      <c r="L8" s="9">
        <f>IFERROR(Inv_SY!K10/Inv_SY!$P10-1,"")</f>
        <v>-1.4748564284975285E-2</v>
      </c>
      <c r="M8" s="9">
        <f>IFERROR(Inv_SY!L10/Inv_SY!$P10-1,"")</f>
        <v>1.426325203013934E-2</v>
      </c>
      <c r="N8" s="9">
        <f>IFERROR(Inv_SY!M10/Inv_SY!$P10-1,"")</f>
        <v>3.5901297205321869E-2</v>
      </c>
      <c r="O8" s="9">
        <f>IFERROR(Inv_SY!N10/Inv_SY!$P10-1,"")</f>
        <v>-5.147182453302257E-5</v>
      </c>
      <c r="P8" s="9">
        <f>IFERROR(Inv_SY!O10/Inv_SY!$P10-1,"")</f>
        <v>2.6139805826745244E-2</v>
      </c>
      <c r="Q8" s="9">
        <f>IFERROR(Inv_SY!Q10/Inv_SY!$AA10-1,"")</f>
        <v>1.7120801393775142E-3</v>
      </c>
      <c r="R8" s="9">
        <f>IFERROR(Inv_SY!R10/Inv_SY!$AA10-1,"")</f>
        <v>-1.7661704405160017E-2</v>
      </c>
      <c r="S8" s="9">
        <f>IFERROR(Inv_SY!S10/Inv_SY!$AA10-1,"")</f>
        <v>4.023295795998183E-2</v>
      </c>
      <c r="T8" s="9">
        <f>IFERROR(Inv_SY!T10/Inv_SY!$AA10-1,"")</f>
        <v>1.3726793453270547E-2</v>
      </c>
      <c r="U8" s="9">
        <f>IFERROR(Inv_SY!U10/Inv_SY!$AA10-1,"")</f>
        <v>1.3986598339210676E-3</v>
      </c>
      <c r="V8" s="9">
        <f>IFERROR(Inv_SY!V10/Inv_SY!$AA10-1,"")</f>
        <v>2.1222031744507763E-3</v>
      </c>
      <c r="W8" s="9">
        <f>IFERROR(Inv_SY!W10/Inv_SY!$AA10-1,"")</f>
        <v>-6.6660853485637217E-3</v>
      </c>
      <c r="X8" s="9">
        <f>IFERROR(Inv_SY!X10/Inv_SY!$AA10-1,"")</f>
        <v>-2.3032232041621747E-2</v>
      </c>
      <c r="Y8" s="9">
        <f>IFERROR(Inv_SY!Y10/Inv_SY!$AA10-1,"")</f>
        <v>1.032727240288156E-2</v>
      </c>
      <c r="Z8" s="9">
        <f>IFERROR(Inv_SY!Z10/Inv_SY!$AA10-1,"")</f>
        <v>-2.2159945168537032E-2</v>
      </c>
    </row>
    <row r="9" spans="1:26" x14ac:dyDescent="0.35">
      <c r="A9" s="75" t="s">
        <v>141</v>
      </c>
      <c r="B9" s="74"/>
      <c r="C9" s="74">
        <v>2000</v>
      </c>
      <c r="D9" s="74" t="s">
        <v>142</v>
      </c>
      <c r="E9" s="74" t="s">
        <v>142</v>
      </c>
      <c r="F9" s="73">
        <f t="shared" si="0"/>
        <v>45844</v>
      </c>
      <c r="G9" s="9">
        <f>IFERROR(Inv_SY!F11/Inv_SY!$P11-1,"")</f>
        <v>-1.025520090524068E-2</v>
      </c>
      <c r="H9" s="9">
        <f>IFERROR(Inv_SY!G11/Inv_SY!$P11-1,"")</f>
        <v>-9.0626308599193184E-3</v>
      </c>
      <c r="I9" s="9">
        <f>IFERROR(Inv_SY!H11/Inv_SY!$P11-1,"")</f>
        <v>-4.9548895927017389E-3</v>
      </c>
      <c r="J9" s="9">
        <f>IFERROR(Inv_SY!I11/Inv_SY!$P11-1,"")</f>
        <v>-1.0057685030687935E-2</v>
      </c>
      <c r="K9" s="9">
        <f>IFERROR(Inv_SY!J11/Inv_SY!$P11-1,"")</f>
        <v>-9.6952705819673968E-3</v>
      </c>
      <c r="L9" s="9">
        <f>IFERROR(Inv_SY!K11/Inv_SY!$P11-1,"")</f>
        <v>-1.0315401972000315E-2</v>
      </c>
      <c r="M9" s="9">
        <f>IFERROR(Inv_SY!L11/Inv_SY!$P11-1,"")</f>
        <v>5.1569361833461169E-3</v>
      </c>
      <c r="N9" s="9">
        <f>IFERROR(Inv_SY!M11/Inv_SY!$P11-1,"")</f>
        <v>2.7200332370034053E-2</v>
      </c>
      <c r="O9" s="9">
        <f>IFERROR(Inv_SY!N11/Inv_SY!$P11-1,"")</f>
        <v>-1.6829811058692856E-3</v>
      </c>
      <c r="P9" s="9">
        <f>IFERROR(Inv_SY!O11/Inv_SY!$P11-1,"")</f>
        <v>2.3666791495007944E-2</v>
      </c>
      <c r="Q9" s="9">
        <f>IFERROR(Inv_SY!Q11/Inv_SY!$AA11-1,"")</f>
        <v>7.1395553127424627E-3</v>
      </c>
      <c r="R9" s="9">
        <f>IFERROR(Inv_SY!R11/Inv_SY!$AA11-1,"")</f>
        <v>-1.5158048053058426E-2</v>
      </c>
      <c r="S9" s="9">
        <f>IFERROR(Inv_SY!S11/Inv_SY!$AA11-1,"")</f>
        <v>4.2365249898439705E-2</v>
      </c>
      <c r="T9" s="9">
        <f>IFERROR(Inv_SY!T11/Inv_SY!$AA11-1,"")</f>
        <v>1.5292129121893261E-2</v>
      </c>
      <c r="U9" s="9">
        <f>IFERROR(Inv_SY!U11/Inv_SY!$AA11-1,"")</f>
        <v>3.1435607453484948E-3</v>
      </c>
      <c r="V9" s="9">
        <f>IFERROR(Inv_SY!V11/Inv_SY!$AA11-1,"")</f>
        <v>5.0895557972432393E-3</v>
      </c>
      <c r="W9" s="9">
        <f>IFERROR(Inv_SY!W11/Inv_SY!$AA11-1,"")</f>
        <v>-1.9881590639098112E-3</v>
      </c>
      <c r="X9" s="9">
        <f>IFERROR(Inv_SY!X11/Inv_SY!$AA11-1,"")</f>
        <v>-1.5462764138798324E-2</v>
      </c>
      <c r="Y9" s="9">
        <f>IFERROR(Inv_SY!Y11/Inv_SY!$AA11-1,"")</f>
        <v>2.2223339125351238E-3</v>
      </c>
      <c r="Z9" s="9">
        <f>IFERROR(Inv_SY!Z11/Inv_SY!$AA11-1,"")</f>
        <v>-4.2643413532434393E-2</v>
      </c>
    </row>
    <row r="10" spans="1:26" x14ac:dyDescent="0.35">
      <c r="A10" s="75" t="s">
        <v>141</v>
      </c>
      <c r="B10" s="74"/>
      <c r="C10" s="74">
        <v>2000</v>
      </c>
      <c r="D10" s="74" t="s">
        <v>142</v>
      </c>
      <c r="E10" s="74" t="s">
        <v>142</v>
      </c>
      <c r="F10" s="73">
        <f t="shared" si="0"/>
        <v>45845</v>
      </c>
      <c r="G10" s="9">
        <f>IFERROR(Inv_SY!F12/Inv_SY!$P12-1,"")</f>
        <v>-1.0672367772981195E-2</v>
      </c>
      <c r="H10" s="9">
        <f>IFERROR(Inv_SY!G12/Inv_SY!$P12-1,"")</f>
        <v>-1.1234485745837186E-2</v>
      </c>
      <c r="I10" s="9">
        <f>IFERROR(Inv_SY!H12/Inv_SY!$P12-1,"")</f>
        <v>-1.0672367772981195E-2</v>
      </c>
      <c r="J10" s="9">
        <f>IFERROR(Inv_SY!I12/Inv_SY!$P12-1,"")</f>
        <v>-1.0993028965799678E-2</v>
      </c>
      <c r="K10" s="9">
        <f>IFERROR(Inv_SY!J12/Inv_SY!$P12-1,"")</f>
        <v>-1.0395632770959451E-2</v>
      </c>
      <c r="L10" s="9">
        <f>IFERROR(Inv_SY!K12/Inv_SY!$P12-1,"")</f>
        <v>3.6256073314653303E-3</v>
      </c>
      <c r="M10" s="9">
        <f>IFERROR(Inv_SY!L12/Inv_SY!$P12-1,"")</f>
        <v>8.3987954514399554E-3</v>
      </c>
      <c r="N10" s="9">
        <f>IFERROR(Inv_SY!M12/Inv_SY!$P12-1,"")</f>
        <v>2.466076194941258E-2</v>
      </c>
      <c r="O10" s="9">
        <f>IFERROR(Inv_SY!N12/Inv_SY!$P12-1,"")</f>
        <v>1.6158439125288915E-3</v>
      </c>
      <c r="P10" s="9">
        <f>IFERROR(Inv_SY!O12/Inv_SY!$P12-1,"")</f>
        <v>1.5666874383712281E-2</v>
      </c>
      <c r="Q10" s="9">
        <f>IFERROR(Inv_SY!Q12/Inv_SY!$AA12-1,"")</f>
        <v>5.4483706176493563E-3</v>
      </c>
      <c r="R10" s="9">
        <f>IFERROR(Inv_SY!R12/Inv_SY!$AA12-1,"")</f>
        <v>-1.8737338701642181E-2</v>
      </c>
      <c r="S10" s="9">
        <f>IFERROR(Inv_SY!S12/Inv_SY!$AA12-1,"")</f>
        <v>3.6000441965909236E-2</v>
      </c>
      <c r="T10" s="9">
        <f>IFERROR(Inv_SY!T12/Inv_SY!$AA12-1,"")</f>
        <v>7.6825139270202403E-3</v>
      </c>
      <c r="U10" s="9">
        <f>IFERROR(Inv_SY!U12/Inv_SY!$AA12-1,"")</f>
        <v>2.4649221203176808E-4</v>
      </c>
      <c r="V10" s="9">
        <f>IFERROR(Inv_SY!V12/Inv_SY!$AA12-1,"")</f>
        <v>2.7640171614780051E-3</v>
      </c>
      <c r="W10" s="9">
        <f>IFERROR(Inv_SY!W12/Inv_SY!$AA12-1,"")</f>
        <v>1.9687069618827824E-3</v>
      </c>
      <c r="X10" s="9">
        <f>IFERROR(Inv_SY!X12/Inv_SY!$AA12-1,"")</f>
        <v>-1.2486924100284846E-2</v>
      </c>
      <c r="Y10" s="9">
        <f>IFERROR(Inv_SY!Y12/Inv_SY!$AA12-1,"")</f>
        <v>8.8588605955852717E-3</v>
      </c>
      <c r="Z10" s="9">
        <f>IFERROR(Inv_SY!Z12/Inv_SY!$AA12-1,"")</f>
        <v>-3.1745140639629299E-2</v>
      </c>
    </row>
    <row r="11" spans="1:26" x14ac:dyDescent="0.35">
      <c r="A11" s="75" t="s">
        <v>141</v>
      </c>
      <c r="B11" s="74"/>
      <c r="C11" s="74">
        <v>2000</v>
      </c>
      <c r="D11" s="74" t="s">
        <v>142</v>
      </c>
      <c r="E11" s="74" t="s">
        <v>142</v>
      </c>
      <c r="F11" s="73">
        <f t="shared" si="0"/>
        <v>45846</v>
      </c>
      <c r="G11" s="9">
        <f>IFERROR(Inv_SY!F13/Inv_SY!$P13-1,"")</f>
        <v>8.1191362006252099E-3</v>
      </c>
      <c r="H11" s="9">
        <f>IFERROR(Inv_SY!G13/Inv_SY!$P13-1,"")</f>
        <v>-1.2435656196421618E-2</v>
      </c>
      <c r="I11" s="9">
        <f>IFERROR(Inv_SY!H13/Inv_SY!$P13-1,"")</f>
        <v>4.3819012193440088E-3</v>
      </c>
      <c r="J11" s="9">
        <f>IFERROR(Inv_SY!I13/Inv_SY!$P13-1,"")</f>
        <v>-4.0172948347406701E-3</v>
      </c>
      <c r="K11" s="9">
        <f>IFERROR(Inv_SY!J13/Inv_SY!$P13-1,"")</f>
        <v>-6.1034084933775601E-2</v>
      </c>
      <c r="L11" s="9">
        <f>IFERROR(Inv_SY!K13/Inv_SY!$P13-1,"")</f>
        <v>-4.8378593484342702E-2</v>
      </c>
      <c r="M11" s="9">
        <f>IFERROR(Inv_SY!L13/Inv_SY!$P13-1,"")</f>
        <v>1.8954976840705129E-2</v>
      </c>
      <c r="N11" s="9">
        <f>IFERROR(Inv_SY!M13/Inv_SY!$P13-1,"")</f>
        <v>3.8017016050875485E-2</v>
      </c>
      <c r="O11" s="9">
        <f>IFERROR(Inv_SY!N13/Inv_SY!$P13-1,"")</f>
        <v>1.9777046204836557E-2</v>
      </c>
      <c r="P11" s="9">
        <f>IFERROR(Inv_SY!O13/Inv_SY!$P13-1,"")</f>
        <v>3.6615552932894868E-2</v>
      </c>
      <c r="Q11" s="9">
        <f>IFERROR(Inv_SY!Q13/Inv_SY!$AA13-1,"")</f>
        <v>1.1080436579773423E-2</v>
      </c>
      <c r="R11" s="9">
        <f>IFERROR(Inv_SY!R13/Inv_SY!$AA13-1,"")</f>
        <v>-1.2871126905515728E-2</v>
      </c>
      <c r="S11" s="9">
        <f>IFERROR(Inv_SY!S13/Inv_SY!$AA13-1,"")</f>
        <v>4.143724668071247E-2</v>
      </c>
      <c r="T11" s="9">
        <f>IFERROR(Inv_SY!T13/Inv_SY!$AA13-1,"")</f>
        <v>1.2827744212640768E-2</v>
      </c>
      <c r="U11" s="9">
        <f>IFERROR(Inv_SY!U13/Inv_SY!$AA13-1,"")</f>
        <v>4.7351380873252857E-3</v>
      </c>
      <c r="V11" s="9">
        <f>IFERROR(Inv_SY!V13/Inv_SY!$AA13-1,"")</f>
        <v>7.5803589418221851E-3</v>
      </c>
      <c r="W11" s="9">
        <f>IFERROR(Inv_SY!W13/Inv_SY!$AA13-1,"")</f>
        <v>3.2727100420302246E-3</v>
      </c>
      <c r="X11" s="9">
        <f>IFERROR(Inv_SY!X13/Inv_SY!$AA13-1,"")</f>
        <v>-1.1054974174347754E-2</v>
      </c>
      <c r="Y11" s="9">
        <f>IFERROR(Inv_SY!Y13/Inv_SY!$AA13-1,"")</f>
        <v>-5.4485316878950529E-3</v>
      </c>
      <c r="Z11" s="9">
        <f>IFERROR(Inv_SY!Z13/Inv_SY!$AA13-1,"")</f>
        <v>-5.1559001776547597E-2</v>
      </c>
    </row>
    <row r="12" spans="1:26" x14ac:dyDescent="0.35">
      <c r="A12" s="75" t="s">
        <v>141</v>
      </c>
      <c r="B12" s="74"/>
      <c r="C12" s="74">
        <v>2000</v>
      </c>
      <c r="D12" s="74" t="s">
        <v>142</v>
      </c>
      <c r="E12" s="74" t="s">
        <v>142</v>
      </c>
      <c r="F12" s="73">
        <f t="shared" si="0"/>
        <v>45847</v>
      </c>
      <c r="G12" s="9">
        <f>IFERROR(Inv_SY!F14/Inv_SY!$P14-1,"")</f>
        <v>-1.0465627420703116E-2</v>
      </c>
      <c r="H12" s="9">
        <f>IFERROR(Inv_SY!G14/Inv_SY!$P14-1,"")</f>
        <v>-1.5566320062864403E-2</v>
      </c>
      <c r="I12" s="9">
        <f>IFERROR(Inv_SY!H14/Inv_SY!$P14-1,"")</f>
        <v>-9.9798471690687451E-3</v>
      </c>
      <c r="J12" s="9">
        <f>IFERROR(Inv_SY!I14/Inv_SY!$P14-1,"")</f>
        <v>-1.4900759598445612E-2</v>
      </c>
      <c r="K12" s="9">
        <f>IFERROR(Inv_SY!J14/Inv_SY!$P14-1,"")</f>
        <v>-1.3552200404164827E-2</v>
      </c>
      <c r="L12" s="9">
        <f>IFERROR(Inv_SY!K14/Inv_SY!$P14-1,"")</f>
        <v>-9.9405418723552685E-3</v>
      </c>
      <c r="M12" s="9">
        <f>IFERROR(Inv_SY!L14/Inv_SY!$P14-1,"")</f>
        <v>9.1457427183565532E-3</v>
      </c>
      <c r="N12" s="9">
        <f>IFERROR(Inv_SY!M14/Inv_SY!$P14-1,"")</f>
        <v>2.8882572961684172E-2</v>
      </c>
      <c r="O12" s="9">
        <f>IFERROR(Inv_SY!N14/Inv_SY!$P14-1,"")</f>
        <v>7.0086276342431475E-3</v>
      </c>
      <c r="P12" s="9">
        <f>IFERROR(Inv_SY!O14/Inv_SY!$P14-1,"")</f>
        <v>2.9368353213318654E-2</v>
      </c>
      <c r="Q12" s="9">
        <f>IFERROR(Inv_SY!Q14/Inv_SY!$AA14-1,"")</f>
        <v>1.148242677279776E-2</v>
      </c>
      <c r="R12" s="9">
        <f>IFERROR(Inv_SY!R14/Inv_SY!$AA14-1,"")</f>
        <v>-1.2945736249769024E-2</v>
      </c>
      <c r="S12" s="9">
        <f>IFERROR(Inv_SY!S14/Inv_SY!$AA14-1,"")</f>
        <v>4.1479680092963322E-2</v>
      </c>
      <c r="T12" s="9">
        <f>IFERROR(Inv_SY!T14/Inv_SY!$AA14-1,"")</f>
        <v>1.2310739435579254E-2</v>
      </c>
      <c r="U12" s="9">
        <f>IFERROR(Inv_SY!U14/Inv_SY!$AA14-1,"")</f>
        <v>4.155540662662105E-3</v>
      </c>
      <c r="V12" s="9">
        <f>IFERROR(Inv_SY!V14/Inv_SY!$AA14-1,"")</f>
        <v>7.9282112931109427E-3</v>
      </c>
      <c r="W12" s="9">
        <f>IFERROR(Inv_SY!W14/Inv_SY!$AA14-1,"")</f>
        <v>4.2336051008526887E-3</v>
      </c>
      <c r="X12" s="9">
        <f>IFERROR(Inv_SY!X14/Inv_SY!$AA14-1,"")</f>
        <v>-9.9968865988319111E-3</v>
      </c>
      <c r="Y12" s="9">
        <f>IFERROR(Inv_SY!Y14/Inv_SY!$AA14-1,"")</f>
        <v>-6.2185208416946081E-3</v>
      </c>
      <c r="Z12" s="9">
        <f>IFERROR(Inv_SY!Z14/Inv_SY!$AA14-1,"")</f>
        <v>-5.2429059667668421E-2</v>
      </c>
    </row>
    <row r="13" spans="1:26" x14ac:dyDescent="0.35">
      <c r="A13" s="75" t="s">
        <v>141</v>
      </c>
      <c r="B13" s="74"/>
      <c r="C13" s="74">
        <v>2000</v>
      </c>
      <c r="D13" s="74" t="s">
        <v>142</v>
      </c>
      <c r="E13" s="74" t="s">
        <v>142</v>
      </c>
      <c r="F13" s="73">
        <f t="shared" si="0"/>
        <v>45848</v>
      </c>
      <c r="G13" s="9">
        <f>IFERROR(Inv_SY!F15/Inv_SY!$P15-1,"")</f>
        <v>9.7925229116172074E-2</v>
      </c>
      <c r="H13" s="9">
        <f>IFERROR(Inv_SY!G15/Inv_SY!$P15-1,"")</f>
        <v>6.5934400761971323E-2</v>
      </c>
      <c r="I13" s="9">
        <f>IFERROR(Inv_SY!H15/Inv_SY!$P15-1,"")</f>
        <v>8.6408530908659742E-2</v>
      </c>
      <c r="J13" s="9">
        <f>IFERROR(Inv_SY!I15/Inv_SY!$P15-1,"")</f>
        <v>-6.0359921062746236E-2</v>
      </c>
      <c r="K13" s="9">
        <f>IFERROR(Inv_SY!J15/Inv_SY!$P15-1,"")</f>
        <v>6.8277113730679018E-2</v>
      </c>
      <c r="L13" s="9">
        <f>IFERROR(Inv_SY!K15/Inv_SY!$P15-1,"")</f>
        <v>8.9060397409497005E-2</v>
      </c>
      <c r="M13" s="9">
        <f>IFERROR(Inv_SY!L15/Inv_SY!$P15-1,"")</f>
        <v>-0.14543460449605661</v>
      </c>
      <c r="N13" s="9">
        <f>IFERROR(Inv_SY!M15/Inv_SY!$P15-1,"")</f>
        <v>-2.9398267733547256E-2</v>
      </c>
      <c r="O13" s="9">
        <f>IFERROR(Inv_SY!N15/Inv_SY!$P15-1,"")</f>
        <v>-6.9435705686417437E-2</v>
      </c>
      <c r="P13" s="9">
        <f>IFERROR(Inv_SY!O15/Inv_SY!$P15-1,"")</f>
        <v>-0.10297717294820907</v>
      </c>
      <c r="Q13" s="9">
        <f>IFERROR(Inv_SY!Q15/Inv_SY!$AA15-1,"")</f>
        <v>9.406876909205053E-3</v>
      </c>
      <c r="R13" s="9">
        <f>IFERROR(Inv_SY!R15/Inv_SY!$AA15-1,"")</f>
        <v>-1.5025089605988362E-2</v>
      </c>
      <c r="S13" s="9">
        <f>IFERROR(Inv_SY!S15/Inv_SY!$AA15-1,"")</f>
        <v>4.1246577170954479E-2</v>
      </c>
      <c r="T13" s="9">
        <f>IFERROR(Inv_SY!T15/Inv_SY!$AA15-1,"")</f>
        <v>1.4111666976386328E-2</v>
      </c>
      <c r="U13" s="9">
        <f>IFERROR(Inv_SY!U15/Inv_SY!$AA15-1,"")</f>
        <v>6.6979853055493255E-3</v>
      </c>
      <c r="V13" s="9">
        <f>IFERROR(Inv_SY!V15/Inv_SY!$AA15-1,"")</f>
        <v>6.4045902406020261E-3</v>
      </c>
      <c r="W13" s="9">
        <f>IFERROR(Inv_SY!W15/Inv_SY!$AA15-1,"")</f>
        <v>1.2041507295046383E-3</v>
      </c>
      <c r="X13" s="9">
        <f>IFERROR(Inv_SY!X15/Inv_SY!$AA15-1,"")</f>
        <v>-1.4829139187638396E-2</v>
      </c>
      <c r="Y13" s="9">
        <f>IFERROR(Inv_SY!Y15/Inv_SY!$AA15-1,"")</f>
        <v>-1.096800490087646E-3</v>
      </c>
      <c r="Z13" s="9">
        <f>IFERROR(Inv_SY!Z15/Inv_SY!$AA15-1,"")</f>
        <v>-4.8120818048487668E-2</v>
      </c>
    </row>
    <row r="14" spans="1:26" x14ac:dyDescent="0.35">
      <c r="A14" s="75" t="s">
        <v>141</v>
      </c>
      <c r="B14" s="74"/>
      <c r="C14" s="74">
        <v>2000</v>
      </c>
      <c r="D14" s="74" t="s">
        <v>142</v>
      </c>
      <c r="E14" s="74" t="s">
        <v>142</v>
      </c>
      <c r="F14" s="73">
        <f t="shared" si="0"/>
        <v>45849</v>
      </c>
      <c r="G14" s="9">
        <f>IFERROR(Inv_SY!F16/Inv_SY!$P16-1,"")</f>
        <v>3.0757133822307825E-3</v>
      </c>
      <c r="H14" s="9">
        <f>IFERROR(Inv_SY!G16/Inv_SY!$P16-1,"")</f>
        <v>-1.3692268852452116E-2</v>
      </c>
      <c r="I14" s="9">
        <f>IFERROR(Inv_SY!H16/Inv_SY!$P16-1,"")</f>
        <v>2.7896923633021764E-3</v>
      </c>
      <c r="J14" s="9">
        <f>IFERROR(Inv_SY!I16/Inv_SY!$P16-1,"")</f>
        <v>-0.16990735424162939</v>
      </c>
      <c r="K14" s="9">
        <f>IFERROR(Inv_SY!J16/Inv_SY!$P16-1,"")</f>
        <v>3.4145382815768954E-3</v>
      </c>
      <c r="L14" s="9">
        <f>IFERROR(Inv_SY!K16/Inv_SY!$P16-1,"")</f>
        <v>5.2398576046532863E-3</v>
      </c>
      <c r="M14" s="9">
        <f>IFERROR(Inv_SY!L16/Inv_SY!$P16-1,"")</f>
        <v>3.634019194336835E-2</v>
      </c>
      <c r="N14" s="9">
        <f>IFERROR(Inv_SY!M16/Inv_SY!$P16-1,"")</f>
        <v>5.0841223543289349E-2</v>
      </c>
      <c r="O14" s="9">
        <f>IFERROR(Inv_SY!N16/Inv_SY!$P16-1,"")</f>
        <v>1.8472257599517317E-2</v>
      </c>
      <c r="P14" s="9">
        <f>IFERROR(Inv_SY!O16/Inv_SY!$P16-1,"")</f>
        <v>6.3426148376143132E-2</v>
      </c>
      <c r="Q14" s="9">
        <f>IFERROR(Inv_SY!Q16/Inv_SY!$AA16-1,"")</f>
        <v>1.7518048341761405E-2</v>
      </c>
      <c r="R14" s="9">
        <f>IFERROR(Inv_SY!R16/Inv_SY!$AA16-1,"")</f>
        <v>-1.2275045877993551E-2</v>
      </c>
      <c r="S14" s="9">
        <f>IFERROR(Inv_SY!S16/Inv_SY!$AA16-1,"")</f>
        <v>4.7469372022860723E-2</v>
      </c>
      <c r="T14" s="9">
        <f>IFERROR(Inv_SY!T16/Inv_SY!$AA16-1,"")</f>
        <v>-6.8325820461152653E-2</v>
      </c>
      <c r="U14" s="9">
        <f>IFERROR(Inv_SY!U16/Inv_SY!$AA16-1,"")</f>
        <v>2.4502300284471978E-2</v>
      </c>
      <c r="V14" s="9">
        <f>IFERROR(Inv_SY!V16/Inv_SY!$AA16-1,"")</f>
        <v>2.7343800653815364E-2</v>
      </c>
      <c r="W14" s="9">
        <f>IFERROR(Inv_SY!W16/Inv_SY!$AA16-1,"")</f>
        <v>1.9508492995693238E-2</v>
      </c>
      <c r="X14" s="9">
        <f>IFERROR(Inv_SY!X16/Inv_SY!$AA16-1,"")</f>
        <v>4.2239706670286203E-3</v>
      </c>
      <c r="Y14" s="9">
        <f>IFERROR(Inv_SY!Y16/Inv_SY!$AA16-1,"")</f>
        <v>-1.107368498350525E-2</v>
      </c>
      <c r="Z14" s="9">
        <f>IFERROR(Inv_SY!Z16/Inv_SY!$AA16-1,"")</f>
        <v>-4.8891433642978321E-2</v>
      </c>
    </row>
    <row r="15" spans="1:26" x14ac:dyDescent="0.35">
      <c r="A15" s="75" t="s">
        <v>141</v>
      </c>
      <c r="B15" s="74"/>
      <c r="C15" s="74">
        <v>2000</v>
      </c>
      <c r="D15" s="74" t="s">
        <v>142</v>
      </c>
      <c r="E15" s="74" t="s">
        <v>142</v>
      </c>
      <c r="F15" s="73">
        <f t="shared" si="0"/>
        <v>45850</v>
      </c>
      <c r="G15" s="9">
        <f>IFERROR(Inv_SY!F17/Inv_SY!$P17-1,"")</f>
        <v>-5.8839237926197052E-3</v>
      </c>
      <c r="H15" s="9">
        <f>IFERROR(Inv_SY!G17/Inv_SY!$P17-1,"")</f>
        <v>-1.3405196737609537E-2</v>
      </c>
      <c r="I15" s="9">
        <f>IFERROR(Inv_SY!H17/Inv_SY!$P17-1,"")</f>
        <v>-5.09909531140329E-3</v>
      </c>
      <c r="J15" s="9">
        <f>IFERROR(Inv_SY!I17/Inv_SY!$P17-1,"")</f>
        <v>-6.0663796446630558E-3</v>
      </c>
      <c r="K15" s="9">
        <f>IFERROR(Inv_SY!J17/Inv_SY!$P17-1,"")</f>
        <v>-1.5371814351136104E-3</v>
      </c>
      <c r="L15" s="9">
        <f>IFERROR(Inv_SY!K17/Inv_SY!$P17-1,"")</f>
        <v>-7.6309683889834723E-3</v>
      </c>
      <c r="M15" s="9">
        <f>IFERROR(Inv_SY!L17/Inv_SY!$P17-1,"")</f>
        <v>1.1189970577139441E-2</v>
      </c>
      <c r="N15" s="9">
        <f>IFERROR(Inv_SY!M17/Inv_SY!$P17-1,"")</f>
        <v>2.1846682543691598E-2</v>
      </c>
      <c r="O15" s="9">
        <f>IFERROR(Inv_SY!N17/Inv_SY!$P17-1,"")</f>
        <v>-1.1598057441785437E-2</v>
      </c>
      <c r="P15" s="9">
        <f>IFERROR(Inv_SY!O17/Inv_SY!$P17-1,"")</f>
        <v>1.8184149631348401E-2</v>
      </c>
      <c r="Q15" s="9">
        <f>IFERROR(Inv_SY!Q17/Inv_SY!$AA17-1,"")</f>
        <v>1.009394181296619E-2</v>
      </c>
      <c r="R15" s="9">
        <f>IFERROR(Inv_SY!R17/Inv_SY!$AA17-1,"")</f>
        <v>-1.7136008447428686E-2</v>
      </c>
      <c r="S15" s="9">
        <f>IFERROR(Inv_SY!S17/Inv_SY!$AA17-1,"")</f>
        <v>3.5321347356534361E-2</v>
      </c>
      <c r="T15" s="9">
        <f>IFERROR(Inv_SY!T17/Inv_SY!$AA17-1,"")</f>
        <v>-7.1395817974581055E-3</v>
      </c>
      <c r="U15" s="9">
        <f>IFERROR(Inv_SY!U17/Inv_SY!$AA17-1,"")</f>
        <v>-1.6491055371559149E-4</v>
      </c>
      <c r="V15" s="9">
        <f>IFERROR(Inv_SY!V17/Inv_SY!$AA17-1,"")</f>
        <v>6.8545229198822E-3</v>
      </c>
      <c r="W15" s="9">
        <f>IFERROR(Inv_SY!W17/Inv_SY!$AA17-1,"")</f>
        <v>-9.2287437883808998E-4</v>
      </c>
      <c r="X15" s="9">
        <f>IFERROR(Inv_SY!X17/Inv_SY!$AA17-1,"")</f>
        <v>-1.3364468700968635E-2</v>
      </c>
      <c r="Y15" s="9">
        <f>IFERROR(Inv_SY!Y17/Inv_SY!$AA17-1,"")</f>
        <v>1.3613638962902685E-2</v>
      </c>
      <c r="Z15" s="9">
        <f>IFERROR(Inv_SY!Z17/Inv_SY!$AA17-1,"")</f>
        <v>-2.7155607173876772E-2</v>
      </c>
    </row>
    <row r="16" spans="1:26" x14ac:dyDescent="0.35">
      <c r="A16" s="75" t="s">
        <v>141</v>
      </c>
      <c r="B16" s="74"/>
      <c r="C16" s="74">
        <v>2000</v>
      </c>
      <c r="D16" s="74" t="s">
        <v>142</v>
      </c>
      <c r="E16" s="74" t="s">
        <v>142</v>
      </c>
      <c r="F16" s="73">
        <f t="shared" si="0"/>
        <v>45851</v>
      </c>
      <c r="G16" s="9">
        <f>IFERROR(Inv_SY!F18/Inv_SY!$P18-1,"")</f>
        <v>-1.4363049544456996E-2</v>
      </c>
      <c r="H16" s="9">
        <f>IFERROR(Inv_SY!G18/Inv_SY!$P18-1,"")</f>
        <v>-1.9080343507785757E-2</v>
      </c>
      <c r="I16" s="9">
        <f>IFERROR(Inv_SY!H18/Inv_SY!$P18-1,"")</f>
        <v>-1.0478219221715546E-2</v>
      </c>
      <c r="J16" s="9">
        <f>IFERROR(Inv_SY!I18/Inv_SY!$P18-1,"")</f>
        <v>-1.7626496750862475E-2</v>
      </c>
      <c r="K16" s="9">
        <f>IFERROR(Inv_SY!J18/Inv_SY!$P18-1,"")</f>
        <v>-1.1221032931778119E-2</v>
      </c>
      <c r="L16" s="9">
        <f>IFERROR(Inv_SY!K18/Inv_SY!$P18-1,"")</f>
        <v>1.0333378184763653E-3</v>
      </c>
      <c r="M16" s="9">
        <f>IFERROR(Inv_SY!L18/Inv_SY!$P18-1,"")</f>
        <v>8.840205422254277E-3</v>
      </c>
      <c r="N16" s="9">
        <f>IFERROR(Inv_SY!M18/Inv_SY!$P18-1,"")</f>
        <v>2.5595205203740701E-2</v>
      </c>
      <c r="O16" s="9">
        <f>IFERROR(Inv_SY!N18/Inv_SY!$P18-1,"")</f>
        <v>5.0697340163052829E-5</v>
      </c>
      <c r="P16" s="9">
        <f>IFERROR(Inv_SY!O18/Inv_SY!$P18-1,"")</f>
        <v>3.7249696171965052E-2</v>
      </c>
      <c r="Q16" s="9">
        <f>IFERROR(Inv_SY!Q18/Inv_SY!$AA18-1,"")</f>
        <v>8.0854469474378465E-3</v>
      </c>
      <c r="R16" s="9">
        <f>IFERROR(Inv_SY!R18/Inv_SY!$AA18-1,"")</f>
        <v>-1.3841845934219443E-2</v>
      </c>
      <c r="S16" s="9">
        <f>IFERROR(Inv_SY!S18/Inv_SY!$AA18-1,"")</f>
        <v>4.6814575443215434E-2</v>
      </c>
      <c r="T16" s="9">
        <f>IFERROR(Inv_SY!T18/Inv_SY!$AA18-1,"")</f>
        <v>5.9339016898605212E-3</v>
      </c>
      <c r="U16" s="9">
        <f>IFERROR(Inv_SY!U18/Inv_SY!$AA18-1,"")</f>
        <v>1.1164492449184493E-2</v>
      </c>
      <c r="V16" s="9">
        <f>IFERROR(Inv_SY!V18/Inv_SY!$AA18-1,"")</f>
        <v>8.7770121764074727E-3</v>
      </c>
      <c r="W16" s="9">
        <f>IFERROR(Inv_SY!W18/Inv_SY!$AA18-1,"")</f>
        <v>-2.342154901840976E-3</v>
      </c>
      <c r="X16" s="9">
        <f>IFERROR(Inv_SY!X18/Inv_SY!$AA18-1,"")</f>
        <v>-2.0126981188112514E-2</v>
      </c>
      <c r="Y16" s="9">
        <f>IFERROR(Inv_SY!Y18/Inv_SY!$AA18-1,"")</f>
        <v>1.0212305343269001E-3</v>
      </c>
      <c r="Z16" s="9">
        <f>IFERROR(Inv_SY!Z18/Inv_SY!$AA18-1,"")</f>
        <v>-4.548567721625818E-2</v>
      </c>
    </row>
    <row r="17" spans="1:26" x14ac:dyDescent="0.35">
      <c r="A17" s="75" t="s">
        <v>141</v>
      </c>
      <c r="B17" s="74"/>
      <c r="C17" s="74">
        <v>2000</v>
      </c>
      <c r="D17" s="74" t="s">
        <v>142</v>
      </c>
      <c r="E17" s="74" t="s">
        <v>142</v>
      </c>
      <c r="F17" s="73">
        <f t="shared" si="0"/>
        <v>45852</v>
      </c>
      <c r="G17" s="9">
        <f>IFERROR(Inv_SY!F19/Inv_SY!$P19-1,"")</f>
        <v>9.1591019197251322E-2</v>
      </c>
      <c r="H17" s="9">
        <f>IFERROR(Inv_SY!G19/Inv_SY!$P19-1,"")</f>
        <v>6.0091727372819204E-2</v>
      </c>
      <c r="I17" s="9">
        <f>IFERROR(Inv_SY!H19/Inv_SY!$P19-1,"")</f>
        <v>8.3517974153003216E-2</v>
      </c>
      <c r="J17" s="9">
        <f>IFERROR(Inv_SY!I19/Inv_SY!$P19-1,"")</f>
        <v>7.5995946468918163E-2</v>
      </c>
      <c r="K17" s="9">
        <f>IFERROR(Inv_SY!J19/Inv_SY!$P19-1,"")</f>
        <v>-0.24808900464803751</v>
      </c>
      <c r="L17" s="9">
        <f>IFERROR(Inv_SY!K19/Inv_SY!$P19-1,"")</f>
        <v>-0.22307406507503413</v>
      </c>
      <c r="M17" s="9">
        <f>IFERROR(Inv_SY!L19/Inv_SY!$P19-1,"")</f>
        <v>-0.11260454657321051</v>
      </c>
      <c r="N17" s="9">
        <f>IFERROR(Inv_SY!M19/Inv_SY!$P19-1,"")</f>
        <v>8.9572757936189129E-2</v>
      </c>
      <c r="O17" s="9">
        <f>IFERROR(Inv_SY!N19/Inv_SY!$P19-1,"")</f>
        <v>8.0450896553658335E-2</v>
      </c>
      <c r="P17" s="9">
        <f>IFERROR(Inv_SY!O19/Inv_SY!$P19-1,"")</f>
        <v>0.10254729461444501</v>
      </c>
      <c r="Q17" s="9">
        <f>IFERROR(Inv_SY!Q19/Inv_SY!$AA19-1,"")</f>
        <v>8.4342628738502956E-3</v>
      </c>
      <c r="R17" s="9">
        <f>IFERROR(Inv_SY!R19/Inv_SY!$AA19-1,"")</f>
        <v>-2.8151032685363342E-2</v>
      </c>
      <c r="S17" s="9">
        <f>IFERROR(Inv_SY!S19/Inv_SY!$AA19-1,"")</f>
        <v>4.5065558710964293E-2</v>
      </c>
      <c r="T17" s="9">
        <f>IFERROR(Inv_SY!T19/Inv_SY!$AA19-1,"")</f>
        <v>1.8310721024019205E-2</v>
      </c>
      <c r="U17" s="9">
        <f>IFERROR(Inv_SY!U19/Inv_SY!$AA19-1,"")</f>
        <v>7.8692360461742883E-3</v>
      </c>
      <c r="V17" s="9">
        <f>IFERROR(Inv_SY!V19/Inv_SY!$AA19-1,"")</f>
        <v>1.0429884507598519E-2</v>
      </c>
      <c r="W17" s="9">
        <f>IFERROR(Inv_SY!W19/Inv_SY!$AA19-1,"")</f>
        <v>-3.2731968782845344E-3</v>
      </c>
      <c r="X17" s="9">
        <f>IFERROR(Inv_SY!X19/Inv_SY!$AA19-1,"")</f>
        <v>-1.6198725757030297E-2</v>
      </c>
      <c r="Y17" s="9">
        <f>IFERROR(Inv_SY!Y19/Inv_SY!$AA19-1,"")</f>
        <v>2.2426099068169059E-3</v>
      </c>
      <c r="Z17" s="9">
        <f>IFERROR(Inv_SY!Z19/Inv_SY!$AA19-1,"")</f>
        <v>-4.4729317748745112E-2</v>
      </c>
    </row>
    <row r="18" spans="1:26" x14ac:dyDescent="0.35">
      <c r="A18" s="75" t="s">
        <v>141</v>
      </c>
      <c r="B18" s="74"/>
      <c r="C18" s="74">
        <v>2000</v>
      </c>
      <c r="D18" s="74" t="s">
        <v>142</v>
      </c>
      <c r="E18" s="74" t="s">
        <v>142</v>
      </c>
      <c r="F18" s="73">
        <f t="shared" si="0"/>
        <v>45853</v>
      </c>
      <c r="G18" s="9">
        <f>IFERROR(Inv_SY!F20/Inv_SY!$P20-1,"")</f>
        <v>-1.7847495068118113E-2</v>
      </c>
      <c r="H18" s="9">
        <f>IFERROR(Inv_SY!G20/Inv_SY!$P20-1,"")</f>
        <v>-2.2434059489185865E-3</v>
      </c>
      <c r="I18" s="9">
        <f>IFERROR(Inv_SY!H20/Inv_SY!$P20-1,"")</f>
        <v>-2.2072015658114452E-3</v>
      </c>
      <c r="J18" s="9">
        <f>IFERROR(Inv_SY!I20/Inv_SY!$P20-1,"")</f>
        <v>-7.8300826454472672E-3</v>
      </c>
      <c r="K18" s="9">
        <f>IFERROR(Inv_SY!J20/Inv_SY!$P20-1,"")</f>
        <v>2.1195007107526198E-3</v>
      </c>
      <c r="L18" s="9">
        <f>IFERROR(Inv_SY!K20/Inv_SY!$P20-1,"")</f>
        <v>-6.309127227938971E-3</v>
      </c>
      <c r="M18" s="9">
        <f>IFERROR(Inv_SY!L20/Inv_SY!$P20-1,"")</f>
        <v>1.4521759514157573E-2</v>
      </c>
      <c r="N18" s="9">
        <f>IFERROR(Inv_SY!M20/Inv_SY!$P20-1,"")</f>
        <v>1.6329442585070408E-2</v>
      </c>
      <c r="O18" s="9">
        <f>IFERROR(Inv_SY!N20/Inv_SY!$P20-1,"")</f>
        <v>-7.6494017713815143E-3</v>
      </c>
      <c r="P18" s="9">
        <f>IFERROR(Inv_SY!O20/Inv_SY!$P20-1,"")</f>
        <v>1.1116011417634963E-2</v>
      </c>
      <c r="Q18" s="9">
        <f>IFERROR(Inv_SY!Q20/Inv_SY!$AA20-1,"")</f>
        <v>1.3374243310223966E-2</v>
      </c>
      <c r="R18" s="9">
        <f>IFERROR(Inv_SY!R20/Inv_SY!$AA20-1,"")</f>
        <v>-4.2562869879990917E-2</v>
      </c>
      <c r="S18" s="9">
        <f>IFERROR(Inv_SY!S20/Inv_SY!$AA20-1,"")</f>
        <v>3.4804506682942549E-2</v>
      </c>
      <c r="T18" s="9">
        <f>IFERROR(Inv_SY!T20/Inv_SY!$AA20-1,"")</f>
        <v>5.3735268205048481E-3</v>
      </c>
      <c r="U18" s="9">
        <f>IFERROR(Inv_SY!U20/Inv_SY!$AA20-1,"")</f>
        <v>-2.1972891738466505E-3</v>
      </c>
      <c r="V18" s="9">
        <f>IFERROR(Inv_SY!V20/Inv_SY!$AA20-1,"")</f>
        <v>5.6099697222491418E-3</v>
      </c>
      <c r="W18" s="9">
        <f>IFERROR(Inv_SY!W20/Inv_SY!$AA20-1,"")</f>
        <v>1.8589212532460486E-3</v>
      </c>
      <c r="X18" s="9">
        <f>IFERROR(Inv_SY!X20/Inv_SY!$AA20-1,"")</f>
        <v>-1.1238285986949426E-2</v>
      </c>
      <c r="Y18" s="9">
        <f>IFERROR(Inv_SY!Y20/Inv_SY!$AA20-1,"")</f>
        <v>1.2760105112850084E-2</v>
      </c>
      <c r="Z18" s="9">
        <f>IFERROR(Inv_SY!Z20/Inv_SY!$AA20-1,"")</f>
        <v>-1.77828278612292E-2</v>
      </c>
    </row>
    <row r="19" spans="1:26" x14ac:dyDescent="0.35">
      <c r="A19" s="75" t="s">
        <v>141</v>
      </c>
      <c r="B19" s="74"/>
      <c r="C19" s="74">
        <v>2000</v>
      </c>
      <c r="D19" s="74" t="s">
        <v>142</v>
      </c>
      <c r="E19" s="74" t="s">
        <v>142</v>
      </c>
      <c r="F19" s="73">
        <f t="shared" si="0"/>
        <v>45854</v>
      </c>
      <c r="G19" s="9">
        <f>IFERROR(Inv_SY!F21/Inv_SY!$P21-1,"")</f>
        <v>-1.8280419592303643E-3</v>
      </c>
      <c r="H19" s="9">
        <f>IFERROR(Inv_SY!G21/Inv_SY!$P21-1,"")</f>
        <v>1.4422904221782495E-3</v>
      </c>
      <c r="I19" s="9">
        <f>IFERROR(Inv_SY!H21/Inv_SY!$P21-1,"")</f>
        <v>-5.5972386022097309E-3</v>
      </c>
      <c r="J19" s="9">
        <f>IFERROR(Inv_SY!I21/Inv_SY!$P21-1,"")</f>
        <v>-0.11299679217797554</v>
      </c>
      <c r="K19" s="9">
        <f>IFERROR(Inv_SY!J21/Inv_SY!$P21-1,"")</f>
        <v>-3.2674998627030272E-3</v>
      </c>
      <c r="L19" s="9">
        <f>IFERROR(Inv_SY!K21/Inv_SY!$P21-1,"")</f>
        <v>6.5190877318732632E-4</v>
      </c>
      <c r="M19" s="9">
        <f>IFERROR(Inv_SY!L21/Inv_SY!$P21-1,"")</f>
        <v>3.8216531072809978E-4</v>
      </c>
      <c r="N19" s="9">
        <f>IFERROR(Inv_SY!M21/Inv_SY!$P21-1,"")</f>
        <v>4.7614949298675269E-2</v>
      </c>
      <c r="O19" s="9">
        <f>IFERROR(Inv_SY!N21/Inv_SY!$P21-1,"")</f>
        <v>1.9110068561474902E-2</v>
      </c>
      <c r="P19" s="9">
        <f>IFERROR(Inv_SY!O21/Inv_SY!$P21-1,"")</f>
        <v>5.4488190235872924E-2</v>
      </c>
      <c r="Q19" s="9">
        <f>IFERROR(Inv_SY!Q21/Inv_SY!$AA21-1,"")</f>
        <v>2.4289782359776968E-2</v>
      </c>
      <c r="R19" s="9">
        <f>IFERROR(Inv_SY!R21/Inv_SY!$AA21-1,"")</f>
        <v>-3.5091640926860679E-2</v>
      </c>
      <c r="S19" s="9">
        <f>IFERROR(Inv_SY!S21/Inv_SY!$AA21-1,"")</f>
        <v>3.9861328296637133E-2</v>
      </c>
      <c r="T19" s="9">
        <f>IFERROR(Inv_SY!T21/Inv_SY!$AA21-1,"")</f>
        <v>1.1879571721387094E-2</v>
      </c>
      <c r="U19" s="9">
        <f>IFERROR(Inv_SY!U21/Inv_SY!$AA21-1,"")</f>
        <v>3.4943602443642252E-3</v>
      </c>
      <c r="V19" s="9">
        <f>IFERROR(Inv_SY!V21/Inv_SY!$AA21-1,"")</f>
        <v>9.9181678505990689E-3</v>
      </c>
      <c r="W19" s="9">
        <f>IFERROR(Inv_SY!W21/Inv_SY!$AA21-1,"")</f>
        <v>1.0582088079929441E-2</v>
      </c>
      <c r="X19" s="9">
        <f>IFERROR(Inv_SY!X21/Inv_SY!$AA21-1,"")</f>
        <v>-2.3211040569970365E-4</v>
      </c>
      <c r="Y19" s="9">
        <f>IFERROR(Inv_SY!Y21/Inv_SY!$AA21-1,"")</f>
        <v>-1.5770595825887246E-2</v>
      </c>
      <c r="Z19" s="9">
        <f>IFERROR(Inv_SY!Z21/Inv_SY!$AA21-1,"")</f>
        <v>-4.893095139424819E-2</v>
      </c>
    </row>
    <row r="20" spans="1:26" x14ac:dyDescent="0.35">
      <c r="A20" s="75" t="s">
        <v>141</v>
      </c>
      <c r="B20" s="74"/>
      <c r="C20" s="74">
        <v>2000</v>
      </c>
      <c r="D20" s="74" t="s">
        <v>142</v>
      </c>
      <c r="E20" s="74" t="s">
        <v>142</v>
      </c>
      <c r="F20" s="73">
        <f t="shared" si="0"/>
        <v>45855</v>
      </c>
      <c r="G20" s="9">
        <f>IFERROR(Inv_SY!F22/Inv_SY!$P22-1,"")</f>
        <v>-3.3462861931604637E-2</v>
      </c>
      <c r="H20" s="9">
        <f>IFERROR(Inv_SY!G22/Inv_SY!$P22-1,"")</f>
        <v>-0.15925654968297753</v>
      </c>
      <c r="I20" s="9">
        <f>IFERROR(Inv_SY!H22/Inv_SY!$P22-1,"")</f>
        <v>2.3746501380854879E-2</v>
      </c>
      <c r="J20" s="9">
        <f>IFERROR(Inv_SY!I22/Inv_SY!$P22-1,"")</f>
        <v>1.4877577441737344E-2</v>
      </c>
      <c r="K20" s="9">
        <f>IFERROR(Inv_SY!J22/Inv_SY!$P22-1,"")</f>
        <v>1.4584767984887614E-2</v>
      </c>
      <c r="L20" s="9">
        <f>IFERROR(Inv_SY!K22/Inv_SY!$P22-1,"")</f>
        <v>2.3808265875659318E-2</v>
      </c>
      <c r="M20" s="9">
        <f>IFERROR(Inv_SY!L22/Inv_SY!$P22-1,"")</f>
        <v>-6.0086316003168383E-2</v>
      </c>
      <c r="N20" s="9">
        <f>IFERROR(Inv_SY!M22/Inv_SY!$P22-1,"")</f>
        <v>6.0547846201735256E-2</v>
      </c>
      <c r="O20" s="9">
        <f>IFERROR(Inv_SY!N22/Inv_SY!$P22-1,"")</f>
        <v>3.5288577080130556E-2</v>
      </c>
      <c r="P20" s="9">
        <f>IFERROR(Inv_SY!O22/Inv_SY!$P22-1,"")</f>
        <v>7.995219165274503E-2</v>
      </c>
      <c r="Q20" s="9">
        <f>IFERROR(Inv_SY!Q22/Inv_SY!$AA22-1,"")</f>
        <v>5.5881188103528157E-3</v>
      </c>
      <c r="R20" s="9">
        <f>IFERROR(Inv_SY!R22/Inv_SY!$AA22-1,"")</f>
        <v>-4.2389385650743572E-2</v>
      </c>
      <c r="S20" s="9">
        <f>IFERROR(Inv_SY!S22/Inv_SY!$AA22-1,"")</f>
        <v>4.1658229731747154E-2</v>
      </c>
      <c r="T20" s="9">
        <f>IFERROR(Inv_SY!T22/Inv_SY!$AA22-1,"")</f>
        <v>1.2242454657817037E-2</v>
      </c>
      <c r="U20" s="9">
        <f>IFERROR(Inv_SY!U22/Inv_SY!$AA22-1,"")</f>
        <v>6.9878467526507393E-3</v>
      </c>
      <c r="V20" s="9">
        <f>IFERROR(Inv_SY!V22/Inv_SY!$AA22-1,"")</f>
        <v>5.4865870996667621E-3</v>
      </c>
      <c r="W20" s="9">
        <f>IFERROR(Inv_SY!W22/Inv_SY!$AA22-1,"")</f>
        <v>-4.1987207016446204E-3</v>
      </c>
      <c r="X20" s="9">
        <f>IFERROR(Inv_SY!X22/Inv_SY!$AA22-1,"")</f>
        <v>-2.4071600689987149E-2</v>
      </c>
      <c r="Y20" s="9">
        <f>IFERROR(Inv_SY!Y22/Inv_SY!$AA22-1,"")</f>
        <v>6.9547907781641882E-4</v>
      </c>
      <c r="Z20" s="9">
        <f>IFERROR(Inv_SY!Z22/Inv_SY!$AA22-1,"")</f>
        <v>-1.999009087675474E-3</v>
      </c>
    </row>
    <row r="21" spans="1:26" x14ac:dyDescent="0.35">
      <c r="A21" s="75" t="s">
        <v>141</v>
      </c>
      <c r="B21" s="74"/>
      <c r="C21" s="74">
        <v>2000</v>
      </c>
      <c r="D21" s="74" t="s">
        <v>142</v>
      </c>
      <c r="E21" s="74" t="s">
        <v>142</v>
      </c>
      <c r="F21" s="73">
        <f t="shared" si="0"/>
        <v>45856</v>
      </c>
      <c r="G21" s="9">
        <f>IFERROR(Inv_SY!F23/Inv_SY!$P23-1,"")</f>
        <v>-2.18643103798839E-2</v>
      </c>
      <c r="H21" s="9">
        <f>IFERROR(Inv_SY!G23/Inv_SY!$P23-1,"")</f>
        <v>-1.6618396841802885E-2</v>
      </c>
      <c r="I21" s="9">
        <f>IFERROR(Inv_SY!H23/Inv_SY!$P23-1,"")</f>
        <v>-1.3603029217551854E-2</v>
      </c>
      <c r="J21" s="9">
        <f>IFERROR(Inv_SY!I23/Inv_SY!$P23-1,"")</f>
        <v>-1.3775315764868679E-2</v>
      </c>
      <c r="K21" s="9">
        <f>IFERROR(Inv_SY!J23/Inv_SY!$P23-1,"")</f>
        <v>-1.9505396866454805E-2</v>
      </c>
      <c r="L21" s="9">
        <f>IFERROR(Inv_SY!K23/Inv_SY!$P23-1,"")</f>
        <v>-1.8788383563522304E-2</v>
      </c>
      <c r="M21" s="9">
        <f>IFERROR(Inv_SY!L23/Inv_SY!$P23-1,"")</f>
        <v>1.8801420232765098E-2</v>
      </c>
      <c r="N21" s="9">
        <f>IFERROR(Inv_SY!M23/Inv_SY!$P23-1,"")</f>
        <v>3.6625560249427203E-2</v>
      </c>
      <c r="O21" s="9">
        <f>IFERROR(Inv_SY!N23/Inv_SY!$P23-1,"")</f>
        <v>2.5192057541592039E-3</v>
      </c>
      <c r="P21" s="9">
        <f>IFERROR(Inv_SY!O23/Inv_SY!$P23-1,"")</f>
        <v>4.6208646397732256E-2</v>
      </c>
      <c r="Q21" s="9">
        <f>IFERROR(Inv_SY!Q23/Inv_SY!$AA23-1,"")</f>
        <v>1.4669907134964522E-2</v>
      </c>
      <c r="R21" s="9">
        <f>IFERROR(Inv_SY!R23/Inv_SY!$AA23-1,"")</f>
        <v>-2.7487462773570948E-2</v>
      </c>
      <c r="S21" s="9">
        <f>IFERROR(Inv_SY!S23/Inv_SY!$AA23-1,"")</f>
        <v>4.1160880169876846E-2</v>
      </c>
      <c r="T21" s="9">
        <f>IFERROR(Inv_SY!T23/Inv_SY!$AA23-1,"")</f>
        <v>1.2441796808250638E-2</v>
      </c>
      <c r="U21" s="9">
        <f>IFERROR(Inv_SY!U23/Inv_SY!$AA23-1,"")</f>
        <v>5.8054478977187518E-3</v>
      </c>
      <c r="V21" s="9">
        <f>IFERROR(Inv_SY!V23/Inv_SY!$AA23-1,"")</f>
        <v>8.2906795583534976E-3</v>
      </c>
      <c r="W21" s="9">
        <f>IFERROR(Inv_SY!W23/Inv_SY!$AA23-1,"")</f>
        <v>4.1359923388235575E-3</v>
      </c>
      <c r="X21" s="9">
        <f>IFERROR(Inv_SY!X23/Inv_SY!$AA23-1,"")</f>
        <v>-1.2775886991528096E-2</v>
      </c>
      <c r="Y21" s="9">
        <f>IFERROR(Inv_SY!Y23/Inv_SY!$AA23-1,"")</f>
        <v>-2.0536385820474901E-2</v>
      </c>
      <c r="Z21" s="9">
        <f>IFERROR(Inv_SY!Z23/Inv_SY!$AA23-1,"")</f>
        <v>-2.5704968322412314E-2</v>
      </c>
    </row>
    <row r="22" spans="1:26" x14ac:dyDescent="0.35">
      <c r="A22" s="75" t="s">
        <v>141</v>
      </c>
      <c r="B22" s="74"/>
      <c r="C22" s="74">
        <v>2000</v>
      </c>
      <c r="D22" s="74" t="s">
        <v>142</v>
      </c>
      <c r="E22" s="74" t="s">
        <v>142</v>
      </c>
      <c r="F22" s="73">
        <f t="shared" si="0"/>
        <v>45857</v>
      </c>
      <c r="G22" s="9">
        <f>IFERROR(Inv_SY!F24/Inv_SY!$P24-1,"")</f>
        <v>-1.0309660718858749E-2</v>
      </c>
      <c r="H22" s="9">
        <f>IFERROR(Inv_SY!G24/Inv_SY!$P24-1,"")</f>
        <v>-1.5229465451001456E-2</v>
      </c>
      <c r="I22" s="9">
        <f>IFERROR(Inv_SY!H24/Inv_SY!$P24-1,"")</f>
        <v>-1.0060556681788291E-2</v>
      </c>
      <c r="J22" s="9">
        <f>IFERROR(Inv_SY!I24/Inv_SY!$P24-1,"")</f>
        <v>-1.0410579790287366E-2</v>
      </c>
      <c r="K22" s="9">
        <f>IFERROR(Inv_SY!J24/Inv_SY!$P24-1,"")</f>
        <v>-2.0722209468406194E-2</v>
      </c>
      <c r="L22" s="9">
        <f>IFERROR(Inv_SY!K24/Inv_SY!$P24-1,"")</f>
        <v>-1.1827704978955245E-2</v>
      </c>
      <c r="M22" s="9">
        <f>IFERROR(Inv_SY!L24/Inv_SY!$P24-1,"")</f>
        <v>1.764780313918668E-2</v>
      </c>
      <c r="N22" s="9">
        <f>IFERROR(Inv_SY!M24/Inv_SY!$P24-1,"")</f>
        <v>3.4030857879692178E-2</v>
      </c>
      <c r="O22" s="9">
        <f>IFERROR(Inv_SY!N24/Inv_SY!$P24-1,"")</f>
        <v>-6.9002377722043873E-3</v>
      </c>
      <c r="P22" s="9">
        <f>IFERROR(Inv_SY!O24/Inv_SY!$P24-1,"")</f>
        <v>3.378175384262172E-2</v>
      </c>
      <c r="Q22" s="9">
        <f>IFERROR(Inv_SY!Q24/Inv_SY!$AA24-1,"")</f>
        <v>9.2022304253256415E-3</v>
      </c>
      <c r="R22" s="9">
        <f>IFERROR(Inv_SY!R24/Inv_SY!$AA24-1,"")</f>
        <v>-1.6123703877905515E-2</v>
      </c>
      <c r="S22" s="9">
        <f>IFERROR(Inv_SY!S24/Inv_SY!$AA24-1,"")</f>
        <v>3.6554234057475155E-2</v>
      </c>
      <c r="T22" s="9">
        <f>IFERROR(Inv_SY!T24/Inv_SY!$AA24-1,"")</f>
        <v>4.5435189830123068E-3</v>
      </c>
      <c r="U22" s="9">
        <f>IFERROR(Inv_SY!U24/Inv_SY!$AA24-1,"")</f>
        <v>2.0823301258752203E-3</v>
      </c>
      <c r="V22" s="9">
        <f>IFERROR(Inv_SY!V24/Inv_SY!$AA24-1,"")</f>
        <v>7.9899138371990475E-3</v>
      </c>
      <c r="W22" s="9">
        <f>IFERROR(Inv_SY!W24/Inv_SY!$AA24-1,"")</f>
        <v>2.8396909778609647E-3</v>
      </c>
      <c r="X22" s="9">
        <f>IFERROR(Inv_SY!X24/Inv_SY!$AA24-1,"")</f>
        <v>-1.1326126618846133E-2</v>
      </c>
      <c r="Y22" s="9">
        <f>IFERROR(Inv_SY!Y24/Inv_SY!$AA24-1,"")</f>
        <v>-1.7901747245385624E-2</v>
      </c>
      <c r="Z22" s="9">
        <f>IFERROR(Inv_SY!Z24/Inv_SY!$AA24-1,"")</f>
        <v>-1.786034066460962E-2</v>
      </c>
    </row>
    <row r="23" spans="1:26" x14ac:dyDescent="0.35">
      <c r="A23" s="75" t="s">
        <v>141</v>
      </c>
      <c r="B23" s="74"/>
      <c r="C23" s="74">
        <v>2000</v>
      </c>
      <c r="D23" s="74" t="s">
        <v>142</v>
      </c>
      <c r="E23" s="74" t="s">
        <v>142</v>
      </c>
      <c r="F23" s="73">
        <f t="shared" si="0"/>
        <v>45858</v>
      </c>
      <c r="G23" s="9">
        <f>IFERROR(Inv_SY!F25/Inv_SY!$P25-1,"")</f>
        <v>-7.5093203949727627E-4</v>
      </c>
      <c r="H23" s="9">
        <f>IFERROR(Inv_SY!G25/Inv_SY!$P25-1,"")</f>
        <v>-0.18564898922362705</v>
      </c>
      <c r="I23" s="9">
        <f>IFERROR(Inv_SY!H25/Inv_SY!$P25-1,"")</f>
        <v>2.4851691825467093E-4</v>
      </c>
      <c r="J23" s="9">
        <f>IFERROR(Inv_SY!I25/Inv_SY!$P25-1,"")</f>
        <v>5.591212269848489E-3</v>
      </c>
      <c r="K23" s="9">
        <f>IFERROR(Inv_SY!J25/Inv_SY!$P25-1,"")</f>
        <v>6.2390602096424885E-3</v>
      </c>
      <c r="L23" s="9">
        <f>IFERROR(Inv_SY!K25/Inv_SY!$P25-1,"")</f>
        <v>2.072406541204419E-2</v>
      </c>
      <c r="M23" s="9">
        <f>IFERROR(Inv_SY!L25/Inv_SY!$P25-1,"")</f>
        <v>3.9608027336443641E-2</v>
      </c>
      <c r="N23" s="9">
        <f>IFERROR(Inv_SY!M25/Inv_SY!$P25-1,"")</f>
        <v>5.8216556467873826E-2</v>
      </c>
      <c r="O23" s="9">
        <f>IFERROR(Inv_SY!N25/Inv_SY!$P25-1,"")</f>
        <v>7.9501953417624449E-3</v>
      </c>
      <c r="P23" s="9">
        <f>IFERROR(Inv_SY!O25/Inv_SY!$P25-1,"")</f>
        <v>4.7822287307252465E-2</v>
      </c>
      <c r="Q23" s="9">
        <f>IFERROR(Inv_SY!Q25/Inv_SY!$AA25-1,"")</f>
        <v>1.7317621896176805E-2</v>
      </c>
      <c r="R23" s="9">
        <f>IFERROR(Inv_SY!R25/Inv_SY!$AA25-1,"")</f>
        <v>-9.5873862817305033E-3</v>
      </c>
      <c r="S23" s="9">
        <f>IFERROR(Inv_SY!S25/Inv_SY!$AA25-1,"")</f>
        <v>4.1838184154686875E-2</v>
      </c>
      <c r="T23" s="9">
        <f>IFERROR(Inv_SY!T25/Inv_SY!$AA25-1,"")</f>
        <v>6.4777718422714958E-3</v>
      </c>
      <c r="U23" s="9">
        <f>IFERROR(Inv_SY!U25/Inv_SY!$AA25-1,"")</f>
        <v>5.5956044593359344E-3</v>
      </c>
      <c r="V23" s="9">
        <f>IFERROR(Inv_SY!V25/Inv_SY!$AA25-1,"")</f>
        <v>1.6283438552936014E-2</v>
      </c>
      <c r="W23" s="9">
        <f>IFERROR(Inv_SY!W25/Inv_SY!$AA25-1,"")</f>
        <v>1.0391342892757338E-2</v>
      </c>
      <c r="X23" s="9">
        <f>IFERROR(Inv_SY!X25/Inv_SY!$AA25-1,"")</f>
        <v>-4.9605017310647703E-3</v>
      </c>
      <c r="Y23" s="9">
        <f>IFERROR(Inv_SY!Y25/Inv_SY!$AA25-1,"")</f>
        <v>-3.5406012021882316E-2</v>
      </c>
      <c r="Z23" s="9">
        <f>IFERROR(Inv_SY!Z25/Inv_SY!$AA25-1,"")</f>
        <v>-4.7950063763485318E-2</v>
      </c>
    </row>
    <row r="24" spans="1:26" x14ac:dyDescent="0.35">
      <c r="A24" s="75" t="s">
        <v>141</v>
      </c>
      <c r="B24" s="74"/>
      <c r="C24" s="74">
        <v>2000</v>
      </c>
      <c r="D24" s="74" t="s">
        <v>142</v>
      </c>
      <c r="E24" s="74" t="s">
        <v>142</v>
      </c>
      <c r="F24" s="73">
        <f t="shared" si="0"/>
        <v>45859</v>
      </c>
      <c r="G24" s="9">
        <f>IFERROR(Inv_SY!F26/Inv_SY!$P26-1,"")</f>
        <v>1.5832226526235615E-5</v>
      </c>
      <c r="H24" s="9">
        <f>IFERROR(Inv_SY!G26/Inv_SY!$P26-1,"")</f>
        <v>-1.7004252812840126E-2</v>
      </c>
      <c r="I24" s="9">
        <f>IFERROR(Inv_SY!H26/Inv_SY!$P26-1,"")</f>
        <v>1.1930139007187979E-3</v>
      </c>
      <c r="J24" s="9">
        <f>IFERROR(Inv_SY!I26/Inv_SY!$P26-1,"")</f>
        <v>1.4487788472418384E-2</v>
      </c>
      <c r="K24" s="9">
        <f>IFERROR(Inv_SY!J26/Inv_SY!$P26-1,"")</f>
        <v>1.8244037689214787E-2</v>
      </c>
      <c r="L24" s="9">
        <f>IFERROR(Inv_SY!K26/Inv_SY!$P26-1,"")</f>
        <v>3.068790853356651E-3</v>
      </c>
      <c r="M24" s="9">
        <f>IFERROR(Inv_SY!L26/Inv_SY!$P26-1,"")</f>
        <v>4.3188729296588235E-2</v>
      </c>
      <c r="N24" s="9">
        <f>IFERROR(Inv_SY!M26/Inv_SY!$P26-1,"")</f>
        <v>3.0622555755531078E-2</v>
      </c>
      <c r="O24" s="9">
        <f>IFERROR(Inv_SY!N26/Inv_SY!$P26-1,"")</f>
        <v>-0.13444509536768279</v>
      </c>
      <c r="P24" s="9">
        <f>IFERROR(Inv_SY!O26/Inv_SY!$P26-1,"")</f>
        <v>4.0628599986167524E-2</v>
      </c>
      <c r="Q24" s="9">
        <f>IFERROR(Inv_SY!Q26/Inv_SY!$AA26-1,"")</f>
        <v>9.7804005067390065E-3</v>
      </c>
      <c r="R24" s="9">
        <f>IFERROR(Inv_SY!R26/Inv_SY!$AA26-1,"")</f>
        <v>-1.252147653000546E-2</v>
      </c>
      <c r="S24" s="9">
        <f>IFERROR(Inv_SY!S26/Inv_SY!$AA26-1,"")</f>
        <v>4.3389311646017337E-2</v>
      </c>
      <c r="T24" s="9">
        <f>IFERROR(Inv_SY!T26/Inv_SY!$AA26-1,"")</f>
        <v>1.430820981308667E-2</v>
      </c>
      <c r="U24" s="9">
        <f>IFERROR(Inv_SY!U26/Inv_SY!$AA26-1,"")</f>
        <v>6.6413881174243183E-3</v>
      </c>
      <c r="V24" s="9">
        <f>IFERROR(Inv_SY!V26/Inv_SY!$AA26-1,"")</f>
        <v>2.2067100430673392E-2</v>
      </c>
      <c r="W24" s="9">
        <f>IFERROR(Inv_SY!W26/Inv_SY!$AA26-1,"")</f>
        <v>-7.5208792744008157E-4</v>
      </c>
      <c r="X24" s="9">
        <f>IFERROR(Inv_SY!X26/Inv_SY!$AA26-1,"")</f>
        <v>-2.0999119212625761E-3</v>
      </c>
      <c r="Y24" s="9">
        <f>IFERROR(Inv_SY!Y26/Inv_SY!$AA26-1,"")</f>
        <v>-3.9391198710324704E-2</v>
      </c>
      <c r="Z24" s="9">
        <f>IFERROR(Inv_SY!Z26/Inv_SY!$AA26-1,"")</f>
        <v>-4.1421735424905903E-2</v>
      </c>
    </row>
    <row r="25" spans="1:26" x14ac:dyDescent="0.35">
      <c r="A25" s="75" t="s">
        <v>141</v>
      </c>
      <c r="B25" s="74"/>
      <c r="C25" s="74">
        <v>2000</v>
      </c>
      <c r="D25" s="74" t="s">
        <v>142</v>
      </c>
      <c r="E25" s="74" t="s">
        <v>142</v>
      </c>
      <c r="F25" s="73">
        <f t="shared" si="0"/>
        <v>45860</v>
      </c>
      <c r="G25" s="9">
        <f>IFERROR(Inv_SY!F27/Inv_SY!$P27-1,"")</f>
        <v>-1.8418164518091973E-2</v>
      </c>
      <c r="H25" s="9">
        <f>IFERROR(Inv_SY!G27/Inv_SY!$P27-1,"")</f>
        <v>2.6609528812191474E-3</v>
      </c>
      <c r="I25" s="9">
        <f>IFERROR(Inv_SY!H27/Inv_SY!$P27-1,"")</f>
        <v>-1.7554855955662974E-2</v>
      </c>
      <c r="J25" s="9">
        <f>IFERROR(Inv_SY!I27/Inv_SY!$P27-1,"")</f>
        <v>8.9092437138393876E-4</v>
      </c>
      <c r="K25" s="9">
        <f>IFERROR(Inv_SY!J27/Inv_SY!$P27-1,"")</f>
        <v>-1.7971014954987652E-2</v>
      </c>
      <c r="L25" s="9">
        <f>IFERROR(Inv_SY!K27/Inv_SY!$P27-1,"")</f>
        <v>-2.740132873322576E-2</v>
      </c>
      <c r="M25" s="9">
        <f>IFERROR(Inv_SY!L27/Inv_SY!$P27-1,"")</f>
        <v>2.4951575253326697E-2</v>
      </c>
      <c r="N25" s="9">
        <f>IFERROR(Inv_SY!M27/Inv_SY!$P27-1,"")</f>
        <v>2.2445107436886325E-2</v>
      </c>
      <c r="O25" s="9">
        <f>IFERROR(Inv_SY!N27/Inv_SY!$P27-1,"")</f>
        <v>1.4570395760889365E-2</v>
      </c>
      <c r="P25" s="9">
        <f>IFERROR(Inv_SY!O27/Inv_SY!$P27-1,"")</f>
        <v>1.5826408458263108E-2</v>
      </c>
      <c r="Q25" s="9">
        <f>IFERROR(Inv_SY!Q27/Inv_SY!$AA27-1,"")</f>
        <v>8.0689584381130608E-3</v>
      </c>
      <c r="R25" s="9">
        <f>IFERROR(Inv_SY!R27/Inv_SY!$AA27-1,"")</f>
        <v>-4.6194090160944778E-3</v>
      </c>
      <c r="S25" s="9">
        <f>IFERROR(Inv_SY!S27/Inv_SY!$AA27-1,"")</f>
        <v>5.0687389709582087E-2</v>
      </c>
      <c r="T25" s="9">
        <f>IFERROR(Inv_SY!T27/Inv_SY!$AA27-1,"")</f>
        <v>2.9539406379048394E-2</v>
      </c>
      <c r="U25" s="9">
        <f>IFERROR(Inv_SY!U27/Inv_SY!$AA27-1,"")</f>
        <v>1.204966474988467E-2</v>
      </c>
      <c r="V25" s="9">
        <f>IFERROR(Inv_SY!V27/Inv_SY!$AA27-1,"")</f>
        <v>1.7943645436514055E-2</v>
      </c>
      <c r="W25" s="9">
        <f>IFERROR(Inv_SY!W27/Inv_SY!$AA27-1,"")</f>
        <v>-5.3347928209070972E-3</v>
      </c>
      <c r="X25" s="9">
        <f>IFERROR(Inv_SY!X27/Inv_SY!$AA27-1,"")</f>
        <v>-1.1278260120094807E-2</v>
      </c>
      <c r="Y25" s="9">
        <f>IFERROR(Inv_SY!Y27/Inv_SY!$AA27-1,"")</f>
        <v>-5.0530383434866821E-2</v>
      </c>
      <c r="Z25" s="9">
        <f>IFERROR(Inv_SY!Z27/Inv_SY!$AA27-1,"")</f>
        <v>-4.6526219321179951E-2</v>
      </c>
    </row>
    <row r="26" spans="1:26" x14ac:dyDescent="0.35">
      <c r="A26" s="75" t="s">
        <v>141</v>
      </c>
      <c r="B26" s="74"/>
      <c r="C26" s="74">
        <v>2000</v>
      </c>
      <c r="D26" s="74" t="s">
        <v>142</v>
      </c>
      <c r="E26" s="74" t="s">
        <v>142</v>
      </c>
      <c r="F26" s="73">
        <f t="shared" si="0"/>
        <v>45861</v>
      </c>
      <c r="G26" s="9">
        <f>IFERROR(Inv_SY!F28/Inv_SY!$P28-1,"")</f>
        <v>-7.9914184629578111E-3</v>
      </c>
      <c r="H26" s="9">
        <f>IFERROR(Inv_SY!G28/Inv_SY!$P28-1,"")</f>
        <v>-1.2803400388323949E-2</v>
      </c>
      <c r="I26" s="9">
        <f>IFERROR(Inv_SY!H28/Inv_SY!$P28-1,"")</f>
        <v>-7.9988503603667382E-4</v>
      </c>
      <c r="J26" s="9">
        <f>IFERROR(Inv_SY!I28/Inv_SY!$P28-1,"")</f>
        <v>-9.2301411135676803E-3</v>
      </c>
      <c r="K26" s="9">
        <f>IFERROR(Inv_SY!J28/Inv_SY!$P28-1,"")</f>
        <v>-3.9368254086845633E-3</v>
      </c>
      <c r="L26" s="9">
        <f>IFERROR(Inv_SY!K28/Inv_SY!$P28-1,"")</f>
        <v>-3.9233269715501784E-3</v>
      </c>
      <c r="M26" s="9">
        <f>IFERROR(Inv_SY!L28/Inv_SY!$P28-1,"")</f>
        <v>1.05561880619085E-2</v>
      </c>
      <c r="N26" s="9">
        <f>IFERROR(Inv_SY!M28/Inv_SY!$P28-1,"")</f>
        <v>1.0198930793371863E-2</v>
      </c>
      <c r="O26" s="9">
        <f>IFERROR(Inv_SY!N28/Inv_SY!$P28-1,"")</f>
        <v>6.4618535983060887E-3</v>
      </c>
      <c r="P26" s="9">
        <f>IFERROR(Inv_SY!O28/Inv_SY!$P28-1,"")</f>
        <v>1.1468024927534293E-2</v>
      </c>
      <c r="Q26" s="9">
        <f>IFERROR(Inv_SY!Q28/Inv_SY!$AA28-1,"")</f>
        <v>-5.268657632613083E-3</v>
      </c>
      <c r="R26" s="9">
        <f>IFERROR(Inv_SY!R28/Inv_SY!$AA28-1,"")</f>
        <v>-2.7302835252257518E-2</v>
      </c>
      <c r="S26" s="9">
        <f>IFERROR(Inv_SY!S28/Inv_SY!$AA28-1,"")</f>
        <v>3.2453343653156885E-2</v>
      </c>
      <c r="T26" s="9">
        <f>IFERROR(Inv_SY!T28/Inv_SY!$AA28-1,"")</f>
        <v>4.1234776678704677E-3</v>
      </c>
      <c r="U26" s="9">
        <f>IFERROR(Inv_SY!U28/Inv_SY!$AA28-1,"")</f>
        <v>-3.9194201383970784E-3</v>
      </c>
      <c r="V26" s="9">
        <f>IFERROR(Inv_SY!V28/Inv_SY!$AA28-1,"")</f>
        <v>7.6861617561423401E-3</v>
      </c>
      <c r="W26" s="9">
        <f>IFERROR(Inv_SY!W28/Inv_SY!$AA28-1,"")</f>
        <v>-1.1429608411075876E-2</v>
      </c>
      <c r="X26" s="9">
        <f>IFERROR(Inv_SY!X28/Inv_SY!$AA28-1,"")</f>
        <v>-1.5402768734205541E-2</v>
      </c>
      <c r="Y26" s="9">
        <f>IFERROR(Inv_SY!Y28/Inv_SY!$AA28-1,"")</f>
        <v>3.7059460986055281E-3</v>
      </c>
      <c r="Z26" s="9">
        <f>IFERROR(Inv_SY!Z28/Inv_SY!$AA28-1,"")</f>
        <v>1.5354360992774208E-2</v>
      </c>
    </row>
    <row r="27" spans="1:26" x14ac:dyDescent="0.35">
      <c r="A27" s="75" t="s">
        <v>141</v>
      </c>
      <c r="B27" s="74"/>
      <c r="C27" s="74">
        <v>2000</v>
      </c>
      <c r="D27" s="74" t="s">
        <v>142</v>
      </c>
      <c r="E27" s="74" t="s">
        <v>142</v>
      </c>
      <c r="F27" s="73">
        <f t="shared" si="0"/>
        <v>45862</v>
      </c>
      <c r="G27" s="9">
        <f>IFERROR(Inv_SY!F29/Inv_SY!$P29-1,"")</f>
        <v>-1.9445697153531727E-3</v>
      </c>
      <c r="H27" s="9">
        <f>IFERROR(Inv_SY!G29/Inv_SY!$P29-1,"")</f>
        <v>-1.5984167114300174E-2</v>
      </c>
      <c r="I27" s="9">
        <f>IFERROR(Inv_SY!H29/Inv_SY!$P29-1,"")</f>
        <v>6.2303857321350797E-3</v>
      </c>
      <c r="J27" s="9">
        <f>IFERROR(Inv_SY!I29/Inv_SY!$P29-1,"")</f>
        <v>-2.0721145200241819E-2</v>
      </c>
      <c r="K27" s="9">
        <f>IFERROR(Inv_SY!J29/Inv_SY!$P29-1,"")</f>
        <v>-9.993756617495464E-3</v>
      </c>
      <c r="L27" s="9">
        <f>IFERROR(Inv_SY!K29/Inv_SY!$P29-1,"")</f>
        <v>-9.5741230813329858E-3</v>
      </c>
      <c r="M27" s="9">
        <f>IFERROR(Inv_SY!L29/Inv_SY!$P29-1,"")</f>
        <v>1.951403389575801E-2</v>
      </c>
      <c r="N27" s="9">
        <f>IFERROR(Inv_SY!M29/Inv_SY!$P29-1,"")</f>
        <v>1.5827072561795053E-2</v>
      </c>
      <c r="O27" s="9">
        <f>IFERROR(Inv_SY!N29/Inv_SY!$P29-1,"")</f>
        <v>1.3259346571244057E-2</v>
      </c>
      <c r="P27" s="9">
        <f>IFERROR(Inv_SY!O29/Inv_SY!$P29-1,"")</f>
        <v>3.3869229677911949E-3</v>
      </c>
      <c r="Q27" s="9">
        <f>IFERROR(Inv_SY!Q29/Inv_SY!$AA29-1,"")</f>
        <v>7.9630336679494818E-3</v>
      </c>
      <c r="R27" s="9">
        <f>IFERROR(Inv_SY!R29/Inv_SY!$AA29-1,"")</f>
        <v>-1.7534500214583915E-2</v>
      </c>
      <c r="S27" s="9">
        <f>IFERROR(Inv_SY!S29/Inv_SY!$AA29-1,"")</f>
        <v>3.5602220319951083E-2</v>
      </c>
      <c r="T27" s="9">
        <f>IFERROR(Inv_SY!T29/Inv_SY!$AA29-1,"")</f>
        <v>5.9031848516193364E-3</v>
      </c>
      <c r="U27" s="9">
        <f>IFERROR(Inv_SY!U29/Inv_SY!$AA29-1,"")</f>
        <v>1.3800176847982293E-3</v>
      </c>
      <c r="V27" s="9">
        <f>IFERROR(Inv_SY!V29/Inv_SY!$AA29-1,"")</f>
        <v>1.7530321334132237E-2</v>
      </c>
      <c r="W27" s="9">
        <f>IFERROR(Inv_SY!W29/Inv_SY!$AA29-1,"")</f>
        <v>-1.0240831406854722E-3</v>
      </c>
      <c r="X27" s="9">
        <f>IFERROR(Inv_SY!X29/Inv_SY!$AA29-1,"")</f>
        <v>-5.8433627789772347E-3</v>
      </c>
      <c r="Y27" s="9">
        <f>IFERROR(Inv_SY!Y29/Inv_SY!$AA29-1,"")</f>
        <v>-2.2299495095973731E-2</v>
      </c>
      <c r="Z27" s="9">
        <f>IFERROR(Inv_SY!Z29/Inv_SY!$AA29-1,"")</f>
        <v>-2.1677336628229571E-2</v>
      </c>
    </row>
    <row r="28" spans="1:26" x14ac:dyDescent="0.35">
      <c r="A28" s="75" t="s">
        <v>141</v>
      </c>
      <c r="B28" s="74"/>
      <c r="C28" s="74">
        <v>2000</v>
      </c>
      <c r="D28" s="74" t="s">
        <v>142</v>
      </c>
      <c r="E28" s="74" t="s">
        <v>142</v>
      </c>
      <c r="F28" s="73">
        <f t="shared" si="0"/>
        <v>45863</v>
      </c>
      <c r="G28" s="9">
        <f>IFERROR(Inv_SY!F30/Inv_SY!$P30-1,"")</f>
        <v>-8.3793471048354551E-4</v>
      </c>
      <c r="H28" s="9">
        <f>IFERROR(Inv_SY!G30/Inv_SY!$P30-1,"")</f>
        <v>-2.3216659395122186E-3</v>
      </c>
      <c r="I28" s="9">
        <f>IFERROR(Inv_SY!H30/Inv_SY!$P30-1,"")</f>
        <v>-5.7255199355196185E-3</v>
      </c>
      <c r="J28" s="9">
        <f>IFERROR(Inv_SY!I30/Inv_SY!$P30-1,"")</f>
        <v>-2.2855342438503179E-2</v>
      </c>
      <c r="K28" s="9">
        <f>IFERROR(Inv_SY!J30/Inv_SY!$P30-1,"")</f>
        <v>-9.2488780757653544E-3</v>
      </c>
      <c r="L28" s="9">
        <f>IFERROR(Inv_SY!K30/Inv_SY!$P30-1,"")</f>
        <v>-2.5872804357162105E-3</v>
      </c>
      <c r="M28" s="9">
        <f>IFERROR(Inv_SY!L30/Inv_SY!$P30-1,"")</f>
        <v>-4.5602426339275137E-4</v>
      </c>
      <c r="N28" s="9">
        <f>IFERROR(Inv_SY!M30/Inv_SY!$P30-1,"")</f>
        <v>1.3824820964624784E-2</v>
      </c>
      <c r="O28" s="9">
        <f>IFERROR(Inv_SY!N30/Inv_SY!$P30-1,"")</f>
        <v>1.4288324487485182E-2</v>
      </c>
      <c r="P28" s="9">
        <f>IFERROR(Inv_SY!O30/Inv_SY!$P30-1,"")</f>
        <v>1.5919500346782911E-2</v>
      </c>
      <c r="Q28" s="9">
        <f>IFERROR(Inv_SY!Q30/Inv_SY!$AA30-1,"")</f>
        <v>7.4448214110096611E-3</v>
      </c>
      <c r="R28" s="9">
        <f>IFERROR(Inv_SY!R30/Inv_SY!$AA30-1,"")</f>
        <v>-2.0869940916628305E-2</v>
      </c>
      <c r="S28" s="9">
        <f>IFERROR(Inv_SY!S30/Inv_SY!$AA30-1,"")</f>
        <v>3.1382473943526668E-2</v>
      </c>
      <c r="T28" s="9">
        <f>IFERROR(Inv_SY!T30/Inv_SY!$AA30-1,"")</f>
        <v>2.3800919139653764E-3</v>
      </c>
      <c r="U28" s="9">
        <f>IFERROR(Inv_SY!U30/Inv_SY!$AA30-1,"")</f>
        <v>-1.6485812561372049E-3</v>
      </c>
      <c r="V28" s="9">
        <f>IFERROR(Inv_SY!V30/Inv_SY!$AA30-1,"")</f>
        <v>1.3807713050076886E-2</v>
      </c>
      <c r="W28" s="9">
        <f>IFERROR(Inv_SY!W30/Inv_SY!$AA30-1,"")</f>
        <v>3.8607688868064205E-3</v>
      </c>
      <c r="X28" s="9">
        <f>IFERROR(Inv_SY!X30/Inv_SY!$AA30-1,"")</f>
        <v>1.983476870186518E-4</v>
      </c>
      <c r="Y28" s="9">
        <f>IFERROR(Inv_SY!Y30/Inv_SY!$AA30-1,"")</f>
        <v>-2.0576418366522908E-2</v>
      </c>
      <c r="Z28" s="9">
        <f>IFERROR(Inv_SY!Z30/Inv_SY!$AA30-1,"")</f>
        <v>-1.5979276353116023E-2</v>
      </c>
    </row>
    <row r="29" spans="1:26" x14ac:dyDescent="0.35">
      <c r="A29" s="75" t="s">
        <v>141</v>
      </c>
      <c r="B29" s="74"/>
      <c r="C29" s="74">
        <v>2000</v>
      </c>
      <c r="D29" s="74" t="s">
        <v>142</v>
      </c>
      <c r="E29" s="74" t="s">
        <v>142</v>
      </c>
      <c r="F29" s="73">
        <f t="shared" si="0"/>
        <v>45864</v>
      </c>
      <c r="G29" s="9">
        <f>IFERROR(Inv_SY!F31/Inv_SY!$P31-1,"")</f>
        <v>7.0503188186816335E-2</v>
      </c>
      <c r="H29" s="9">
        <f>IFERROR(Inv_SY!G31/Inv_SY!$P31-1,"")</f>
        <v>6.2500652098655074E-2</v>
      </c>
      <c r="I29" s="9">
        <f>IFERROR(Inv_SY!H31/Inv_SY!$P31-1,"")</f>
        <v>5.8958545961272257E-2</v>
      </c>
      <c r="J29" s="9">
        <f>IFERROR(Inv_SY!I31/Inv_SY!$P31-1,"")</f>
        <v>4.5307701719754734E-2</v>
      </c>
      <c r="K29" s="9">
        <f>IFERROR(Inv_SY!J31/Inv_SY!$P31-1,"")</f>
        <v>-0.72874127358162122</v>
      </c>
      <c r="L29" s="9">
        <f>IFERROR(Inv_SY!K31/Inv_SY!$P31-1,"")</f>
        <v>-0.67850817609673619</v>
      </c>
      <c r="M29" s="9">
        <f>IFERROR(Inv_SY!L31/Inv_SY!$P31-1,"")</f>
        <v>0.28634350944953746</v>
      </c>
      <c r="N29" s="9">
        <f>IFERROR(Inv_SY!M31/Inv_SY!$P31-1,"")</f>
        <v>0.31294067492324218</v>
      </c>
      <c r="O29" s="9">
        <f>IFERROR(Inv_SY!N31/Inv_SY!$P31-1,"")</f>
        <v>0.28819037737408815</v>
      </c>
      <c r="P29" s="9">
        <f>IFERROR(Inv_SY!O31/Inv_SY!$P31-1,"")</f>
        <v>0.28250479996498989</v>
      </c>
      <c r="Q29" s="9">
        <f>IFERROR(Inv_SY!Q31/Inv_SY!$AA31-1,"")</f>
        <v>-4.9654945017625352E-3</v>
      </c>
      <c r="R29" s="9">
        <f>IFERROR(Inv_SY!R31/Inv_SY!$AA31-1,"")</f>
        <v>-2.9503159827966363E-2</v>
      </c>
      <c r="S29" s="9">
        <f>IFERROR(Inv_SY!S31/Inv_SY!$AA31-1,"")</f>
        <v>2.7750850602860755E-2</v>
      </c>
      <c r="T29" s="9">
        <f>IFERROR(Inv_SY!T31/Inv_SY!$AA31-1,"")</f>
        <v>-7.6653798749815039E-4</v>
      </c>
      <c r="U29" s="9">
        <f>IFERROR(Inv_SY!U31/Inv_SY!$AA31-1,"")</f>
        <v>-6.320088691846748E-3</v>
      </c>
      <c r="V29" s="9">
        <f>IFERROR(Inv_SY!V31/Inv_SY!$AA31-1,"")</f>
        <v>4.8103926984812695E-3</v>
      </c>
      <c r="W29" s="9">
        <f>IFERROR(Inv_SY!W31/Inv_SY!$AA31-1,"")</f>
        <v>-7.5761695296682197E-3</v>
      </c>
      <c r="X29" s="9">
        <f>IFERROR(Inv_SY!X31/Inv_SY!$AA31-1,"")</f>
        <v>-1.0379896968286784E-2</v>
      </c>
      <c r="Y29" s="9">
        <f>IFERROR(Inv_SY!Y31/Inv_SY!$AA31-1,"")</f>
        <v>5.3737717605384372E-3</v>
      </c>
      <c r="Z29" s="9">
        <f>IFERROR(Inv_SY!Z31/Inv_SY!$AA31-1,"")</f>
        <v>2.1576332445147228E-2</v>
      </c>
    </row>
    <row r="30" spans="1:26" x14ac:dyDescent="0.35">
      <c r="A30" s="75" t="s">
        <v>141</v>
      </c>
      <c r="B30" s="74"/>
      <c r="C30" s="74">
        <v>2000</v>
      </c>
      <c r="D30" s="74" t="s">
        <v>142</v>
      </c>
      <c r="E30" s="74" t="s">
        <v>142</v>
      </c>
      <c r="F30" s="73">
        <f t="shared" si="0"/>
        <v>45865</v>
      </c>
      <c r="G30" s="9">
        <f>IFERROR(Inv_SY!F32/Inv_SY!$P32-1,"")</f>
        <v>0.29064077366099905</v>
      </c>
      <c r="H30" s="9">
        <f>IFERROR(Inv_SY!G32/Inv_SY!$P32-1,"")</f>
        <v>-0.39493412472710898</v>
      </c>
      <c r="I30" s="9">
        <f>IFERROR(Inv_SY!H32/Inv_SY!$P32-1,"")</f>
        <v>0.29114005442450419</v>
      </c>
      <c r="J30" s="9">
        <f>IFERROR(Inv_SY!I32/Inv_SY!$P32-1,"")</f>
        <v>0.2812175960373049</v>
      </c>
      <c r="K30" s="9">
        <f>IFERROR(Inv_SY!J32/Inv_SY!$P32-1,"")</f>
        <v>-0.86751392909326042</v>
      </c>
      <c r="L30" s="9">
        <f>IFERROR(Inv_SY!K32/Inv_SY!$P32-1,"")</f>
        <v>-0.86643058940811635</v>
      </c>
      <c r="M30" s="9">
        <f>IFERROR(Inv_SY!L32/Inv_SY!$P32-1,"")</f>
        <v>0.32141951242046729</v>
      </c>
      <c r="N30" s="9">
        <f>IFERROR(Inv_SY!M32/Inv_SY!$P32-1,"")</f>
        <v>0.30112566969460874</v>
      </c>
      <c r="O30" s="9">
        <f>IFERROR(Inv_SY!N32/Inv_SY!$P32-1,"")</f>
        <v>0.32273741751929075</v>
      </c>
      <c r="P30" s="9">
        <f>IFERROR(Inv_SY!O32/Inv_SY!$P32-1,"")</f>
        <v>0.32059761947131227</v>
      </c>
      <c r="Q30" s="9">
        <f>IFERROR(Inv_SY!Q32/Inv_SY!$AA32-1,"")</f>
        <v>6.3277476861760551E-3</v>
      </c>
      <c r="R30" s="9">
        <f>IFERROR(Inv_SY!R32/Inv_SY!$AA32-1,"")</f>
        <v>-1.7489119271318021E-2</v>
      </c>
      <c r="S30" s="9">
        <f>IFERROR(Inv_SY!S32/Inv_SY!$AA32-1,"")</f>
        <v>3.9895055745387875E-2</v>
      </c>
      <c r="T30" s="9">
        <f>IFERROR(Inv_SY!T32/Inv_SY!$AA32-1,"")</f>
        <v>1.2225031749730775E-2</v>
      </c>
      <c r="U30" s="9">
        <f>IFERROR(Inv_SY!U32/Inv_SY!$AA32-1,"")</f>
        <v>3.17270890135668E-3</v>
      </c>
      <c r="V30" s="9">
        <f>IFERROR(Inv_SY!V32/Inv_SY!$AA32-1,"")</f>
        <v>1.4521669047209862E-2</v>
      </c>
      <c r="W30" s="9">
        <f>IFERROR(Inv_SY!W32/Inv_SY!$AA32-1,"")</f>
        <v>-2.9771731887996422E-3</v>
      </c>
      <c r="X30" s="9">
        <f>IFERROR(Inv_SY!X32/Inv_SY!$AA32-1,"")</f>
        <v>-6.2820771154369348E-3</v>
      </c>
      <c r="Y30" s="9">
        <f>IFERROR(Inv_SY!Y32/Inv_SY!$AA32-1,"")</f>
        <v>-6.7690462503616877E-2</v>
      </c>
      <c r="Z30" s="9">
        <f>IFERROR(Inv_SY!Z32/Inv_SY!$AA32-1,"")</f>
        <v>1.8296618949309229E-2</v>
      </c>
    </row>
    <row r="31" spans="1:26" x14ac:dyDescent="0.35">
      <c r="A31" s="75" t="s">
        <v>141</v>
      </c>
      <c r="B31" s="74"/>
      <c r="C31" s="74">
        <v>2000</v>
      </c>
      <c r="D31" s="74" t="s">
        <v>142</v>
      </c>
      <c r="E31" s="74" t="s">
        <v>142</v>
      </c>
      <c r="F31" s="73">
        <f t="shared" si="0"/>
        <v>45866</v>
      </c>
      <c r="G31" s="9">
        <f>IFERROR(Inv_SY!F33/Inv_SY!$P33-1,"")</f>
        <v>-1.2252569220572163E-4</v>
      </c>
      <c r="H31" s="9">
        <f>IFERROR(Inv_SY!G33/Inv_SY!$P33-1,"")</f>
        <v>-2.0174234133637503E-2</v>
      </c>
      <c r="I31" s="9">
        <f>IFERROR(Inv_SY!H33/Inv_SY!$P33-1,"")</f>
        <v>-3.4752229235704979E-3</v>
      </c>
      <c r="J31" s="9">
        <f>IFERROR(Inv_SY!I33/Inv_SY!$P33-1,"")</f>
        <v>-5.714762954515118E-3</v>
      </c>
      <c r="K31" s="9">
        <f>IFERROR(Inv_SY!J33/Inv_SY!$P33-1,"")</f>
        <v>7.9826448385444948E-5</v>
      </c>
      <c r="L31" s="9">
        <f>IFERROR(Inv_SY!K33/Inv_SY!$P33-1,"")</f>
        <v>6.8056395799853675E-4</v>
      </c>
      <c r="M31" s="9">
        <f>IFERROR(Inv_SY!L33/Inv_SY!$P33-1,"")</f>
        <v>1.7273595817805854E-2</v>
      </c>
      <c r="N31" s="9">
        <f>IFERROR(Inv_SY!M33/Inv_SY!$P33-1,"")</f>
        <v>1.4061962594337674E-2</v>
      </c>
      <c r="O31" s="9">
        <f>IFERROR(Inv_SY!N33/Inv_SY!$P33-1,"")</f>
        <v>-1.7444865070020188E-2</v>
      </c>
      <c r="P31" s="9">
        <f>IFERROR(Inv_SY!O33/Inv_SY!$P33-1,"")</f>
        <v>1.4835661955421742E-2</v>
      </c>
      <c r="Q31" s="9">
        <f>IFERROR(Inv_SY!Q33/Inv_SY!$AA33-1,"")</f>
        <v>8.9761148764126997E-3</v>
      </c>
      <c r="R31" s="9">
        <f>IFERROR(Inv_SY!R33/Inv_SY!$AA33-1,"")</f>
        <v>-2.0741657786463641E-2</v>
      </c>
      <c r="S31" s="9">
        <f>IFERROR(Inv_SY!S33/Inv_SY!$AA33-1,"")</f>
        <v>3.4009926099105803E-2</v>
      </c>
      <c r="T31" s="9">
        <f>IFERROR(Inv_SY!T33/Inv_SY!$AA33-1,"")</f>
        <v>2.7263380151631988E-3</v>
      </c>
      <c r="U31" s="9">
        <f>IFERROR(Inv_SY!U33/Inv_SY!$AA33-1,"")</f>
        <v>-3.6049169733702868E-3</v>
      </c>
      <c r="V31" s="9">
        <f>IFERROR(Inv_SY!V33/Inv_SY!$AA33-1,"")</f>
        <v>1.7765935077788342E-2</v>
      </c>
      <c r="W31" s="9">
        <f>IFERROR(Inv_SY!W33/Inv_SY!$AA33-1,"")</f>
        <v>2.0684832123070152E-3</v>
      </c>
      <c r="X31" s="9">
        <f>IFERROR(Inv_SY!X33/Inv_SY!$AA33-1,"")</f>
        <v>3.7756560988044807E-3</v>
      </c>
      <c r="Y31" s="9">
        <f>IFERROR(Inv_SY!Y33/Inv_SY!$AA33-1,"")</f>
        <v>-1.9510759924514565E-2</v>
      </c>
      <c r="Z31" s="9">
        <f>IFERROR(Inv_SY!Z33/Inv_SY!$AA33-1,"")</f>
        <v>-2.5465118695234157E-2</v>
      </c>
    </row>
    <row r="32" spans="1:26" x14ac:dyDescent="0.35">
      <c r="A32" s="75" t="s">
        <v>141</v>
      </c>
      <c r="B32" s="74"/>
      <c r="C32" s="74">
        <v>2000</v>
      </c>
      <c r="D32" s="74" t="s">
        <v>142</v>
      </c>
      <c r="E32" s="74" t="s">
        <v>142</v>
      </c>
      <c r="F32" s="73">
        <f t="shared" si="0"/>
        <v>45867</v>
      </c>
      <c r="G32" s="9">
        <f>IFERROR(Inv_SY!F34/Inv_SY!$P34-1,"")</f>
        <v>-1.5905696386447565E-2</v>
      </c>
      <c r="H32" s="9">
        <f>IFERROR(Inv_SY!G34/Inv_SY!$P34-1,"")</f>
        <v>-2.5822407552843041E-2</v>
      </c>
      <c r="I32" s="9">
        <f>IFERROR(Inv_SY!H34/Inv_SY!$P34-1,"")</f>
        <v>5.0419631560512101E-3</v>
      </c>
      <c r="J32" s="9">
        <f>IFERROR(Inv_SY!I34/Inv_SY!$P34-1,"")</f>
        <v>1.7209648674259004E-3</v>
      </c>
      <c r="K32" s="9">
        <f>IFERROR(Inv_SY!J34/Inv_SY!$P34-1,"")</f>
        <v>-1.0752696388871552E-4</v>
      </c>
      <c r="L32" s="9">
        <f>IFERROR(Inv_SY!K34/Inv_SY!$P34-1,"")</f>
        <v>8.4823213281095544E-3</v>
      </c>
      <c r="M32" s="9">
        <f>IFERROR(Inv_SY!L34/Inv_SY!$P34-1,"")</f>
        <v>1.0186493005597486E-2</v>
      </c>
      <c r="N32" s="9">
        <f>IFERROR(Inv_SY!M34/Inv_SY!$P34-1,"")</f>
        <v>1.4401555717593162E-2</v>
      </c>
      <c r="O32" s="9">
        <f>IFERROR(Inv_SY!N34/Inv_SY!$P34-1,"")</f>
        <v>-3.931020095412463E-3</v>
      </c>
      <c r="P32" s="9">
        <f>IFERROR(Inv_SY!O34/Inv_SY!$P34-1,"")</f>
        <v>5.9333529238170257E-3</v>
      </c>
      <c r="Q32" s="9">
        <f>IFERROR(Inv_SY!Q34/Inv_SY!$AA34-1,"")</f>
        <v>4.2313394753041855E-3</v>
      </c>
      <c r="R32" s="9">
        <f>IFERROR(Inv_SY!R34/Inv_SY!$AA34-1,"")</f>
        <v>-2.1876251396321211E-2</v>
      </c>
      <c r="S32" s="9">
        <f>IFERROR(Inv_SY!S34/Inv_SY!$AA34-1,"")</f>
        <v>3.3325592562645001E-2</v>
      </c>
      <c r="T32" s="9">
        <f>IFERROR(Inv_SY!T34/Inv_SY!$AA34-1,"")</f>
        <v>3.9629704993011661E-3</v>
      </c>
      <c r="U32" s="9">
        <f>IFERROR(Inv_SY!U34/Inv_SY!$AA34-1,"")</f>
        <v>-2.5961032746752988E-3</v>
      </c>
      <c r="V32" s="9">
        <f>IFERROR(Inv_SY!V34/Inv_SY!$AA34-1,"")</f>
        <v>1.2006524324838619E-2</v>
      </c>
      <c r="W32" s="9">
        <f>IFERROR(Inv_SY!W34/Inv_SY!$AA34-1,"")</f>
        <v>-4.7349142861581317E-3</v>
      </c>
      <c r="X32" s="9">
        <f>IFERROR(Inv_SY!X34/Inv_SY!$AA34-1,"")</f>
        <v>-5.932779866813287E-3</v>
      </c>
      <c r="Y32" s="9">
        <f>IFERROR(Inv_SY!Y34/Inv_SY!$AA34-1,"")</f>
        <v>-1.1958705834708261E-2</v>
      </c>
      <c r="Z32" s="9">
        <f>IFERROR(Inv_SY!Z34/Inv_SY!$AA34-1,"")</f>
        <v>-6.4276722034124489E-3</v>
      </c>
    </row>
    <row r="33" spans="1:26" x14ac:dyDescent="0.35">
      <c r="A33" s="75" t="s">
        <v>141</v>
      </c>
      <c r="B33" s="74"/>
      <c r="C33" s="74">
        <v>2000</v>
      </c>
      <c r="D33" s="74" t="s">
        <v>142</v>
      </c>
      <c r="E33" s="74" t="s">
        <v>142</v>
      </c>
      <c r="F33" s="73">
        <f t="shared" si="0"/>
        <v>45868</v>
      </c>
      <c r="G33" s="9">
        <f>IFERROR(Inv_SY!F35/Inv_SY!$P35-1,"")</f>
        <v>-9.7675026046195601E-4</v>
      </c>
      <c r="H33" s="9">
        <f>IFERROR(Inv_SY!G35/Inv_SY!$P35-1,"")</f>
        <v>-2.1798520186966486E-2</v>
      </c>
      <c r="I33" s="9">
        <f>IFERROR(Inv_SY!H35/Inv_SY!$P35-1,"")</f>
        <v>-1.3984569931507762E-3</v>
      </c>
      <c r="J33" s="9">
        <f>IFERROR(Inv_SY!I35/Inv_SY!$P35-1,"")</f>
        <v>-2.7363846783988732E-3</v>
      </c>
      <c r="K33" s="9">
        <f>IFERROR(Inv_SY!J35/Inv_SY!$P35-1,"")</f>
        <v>1.0746696908283893E-2</v>
      </c>
      <c r="L33" s="9">
        <f>IFERROR(Inv_SY!K35/Inv_SY!$P35-1,"")</f>
        <v>-7.0423588378186741E-3</v>
      </c>
      <c r="M33" s="9">
        <f>IFERROR(Inv_SY!L35/Inv_SY!$P35-1,"")</f>
        <v>1.332856359509571E-2</v>
      </c>
      <c r="N33" s="9">
        <f>IFERROR(Inv_SY!M35/Inv_SY!$P35-1,"")</f>
        <v>2.3060533502794023E-2</v>
      </c>
      <c r="O33" s="9">
        <f>IFERROR(Inv_SY!N35/Inv_SY!$P35-1,"")</f>
        <v>-9.6763323927828715E-3</v>
      </c>
      <c r="P33" s="9">
        <f>IFERROR(Inv_SY!O35/Inv_SY!$P35-1,"")</f>
        <v>-3.5069906565942111E-3</v>
      </c>
      <c r="Q33" s="9">
        <f>IFERROR(Inv_SY!Q35/Inv_SY!$AA35-1,"")</f>
        <v>8.3072994730690741E-3</v>
      </c>
      <c r="R33" s="9">
        <f>IFERROR(Inv_SY!R35/Inv_SY!$AA35-1,"")</f>
        <v>-1.7306062303311887E-2</v>
      </c>
      <c r="S33" s="9">
        <f>IFERROR(Inv_SY!S35/Inv_SY!$AA35-1,"")</f>
        <v>3.6322445145397619E-2</v>
      </c>
      <c r="T33" s="9">
        <f>IFERROR(Inv_SY!T35/Inv_SY!$AA35-1,"")</f>
        <v>7.117276562125241E-3</v>
      </c>
      <c r="U33" s="9">
        <f>IFERROR(Inv_SY!U35/Inv_SY!$AA35-1,"")</f>
        <v>-5.4449103571974078E-4</v>
      </c>
      <c r="V33" s="9">
        <f>IFERROR(Inv_SY!V35/Inv_SY!$AA35-1,"")</f>
        <v>1.3885582207595171E-2</v>
      </c>
      <c r="W33" s="9">
        <f>IFERROR(Inv_SY!W35/Inv_SY!$AA35-1,"")</f>
        <v>-2.7763023071889492E-3</v>
      </c>
      <c r="X33" s="9">
        <f>IFERROR(Inv_SY!X35/Inv_SY!$AA35-1,"")</f>
        <v>-4.6823817783934185E-3</v>
      </c>
      <c r="Y33" s="9">
        <f>IFERROR(Inv_SY!Y35/Inv_SY!$AA35-1,"")</f>
        <v>-2.4167456426803624E-2</v>
      </c>
      <c r="Z33" s="9">
        <f>IFERROR(Inv_SY!Z35/Inv_SY!$AA35-1,"")</f>
        <v>-1.6155909536769153E-2</v>
      </c>
    </row>
    <row r="34" spans="1:26" x14ac:dyDescent="0.35">
      <c r="A34" s="75" t="s">
        <v>141</v>
      </c>
      <c r="B34" s="74"/>
      <c r="C34" s="74">
        <v>2000</v>
      </c>
      <c r="D34" s="74" t="s">
        <v>142</v>
      </c>
      <c r="E34" s="74" t="s">
        <v>142</v>
      </c>
      <c r="F34" s="73">
        <f t="shared" si="0"/>
        <v>45869</v>
      </c>
      <c r="G34" s="9">
        <f>IFERROR(Inv_SY!F36/Inv_SY!$P36-1,"")</f>
        <v>1.3217001558701647E-2</v>
      </c>
      <c r="H34" s="9">
        <f>IFERROR(Inv_SY!G36/Inv_SY!$P36-1,"")</f>
        <v>1.6816230853782921E-2</v>
      </c>
      <c r="I34" s="9">
        <f>IFERROR(Inv_SY!H36/Inv_SY!$P36-1,"")</f>
        <v>7.2156400596701253E-4</v>
      </c>
      <c r="J34" s="9">
        <f>IFERROR(Inv_SY!I36/Inv_SY!$P36-1,"")</f>
        <v>3.2754438476629844E-3</v>
      </c>
      <c r="K34" s="9">
        <f>IFERROR(Inv_SY!J36/Inv_SY!$P36-1,"")</f>
        <v>1.6384741245983658E-2</v>
      </c>
      <c r="L34" s="9">
        <f>IFERROR(Inv_SY!K36/Inv_SY!$P36-1,"")</f>
        <v>-1.5347757519177385E-2</v>
      </c>
      <c r="M34" s="9">
        <f>IFERROR(Inv_SY!L36/Inv_SY!$P36-1,"")</f>
        <v>-3.8163791445443573E-3</v>
      </c>
      <c r="N34" s="9">
        <f>IFERROR(Inv_SY!M36/Inv_SY!$P36-1,"")</f>
        <v>-4.1679550364075446E-3</v>
      </c>
      <c r="O34" s="9">
        <f>IFERROR(Inv_SY!N36/Inv_SY!$P36-1,"")</f>
        <v>-2.5088054349951094E-2</v>
      </c>
      <c r="P34" s="9">
        <f>IFERROR(Inv_SY!O36/Inv_SY!$P36-1,"")</f>
        <v>-1.9948354620188402E-3</v>
      </c>
      <c r="Q34" s="9">
        <f>IFERROR(Inv_SY!Q36/Inv_SY!$AA36-1,"")</f>
        <v>4.0261721205461232E-3</v>
      </c>
      <c r="R34" s="9">
        <f>IFERROR(Inv_SY!R36/Inv_SY!$AA36-1,"")</f>
        <v>-2.1135952940543046E-2</v>
      </c>
      <c r="S34" s="9">
        <f>IFERROR(Inv_SY!S36/Inv_SY!$AA36-1,"")</f>
        <v>3.5689705304270181E-2</v>
      </c>
      <c r="T34" s="9">
        <f>IFERROR(Inv_SY!T36/Inv_SY!$AA36-1,"")</f>
        <v>6.46172587597027E-3</v>
      </c>
      <c r="U34" s="9">
        <f>IFERROR(Inv_SY!U36/Inv_SY!$AA36-1,"")</f>
        <v>-6.2812604643280867E-4</v>
      </c>
      <c r="V34" s="9">
        <f>IFERROR(Inv_SY!V36/Inv_SY!$AA36-1,"")</f>
        <v>1.2621288961514043E-2</v>
      </c>
      <c r="W34" s="9">
        <f>IFERROR(Inv_SY!W36/Inv_SY!$AA36-1,"")</f>
        <v>-7.8427350186884848E-3</v>
      </c>
      <c r="X34" s="9">
        <f>IFERROR(Inv_SY!X36/Inv_SY!$AA36-1,"")</f>
        <v>-1.027269489429572E-2</v>
      </c>
      <c r="Y34" s="9">
        <f>IFERROR(Inv_SY!Y36/Inv_SY!$AA36-1,"")</f>
        <v>-1.3248815425345728E-2</v>
      </c>
      <c r="Z34" s="9">
        <f>IFERROR(Inv_SY!Z36/Inv_SY!$AA36-1,"")</f>
        <v>-5.6705679369956075E-3</v>
      </c>
    </row>
    <row r="35" spans="1:26" x14ac:dyDescent="0.35">
      <c r="A35" s="321"/>
      <c r="B35" s="322"/>
      <c r="C35" s="322"/>
      <c r="D35" s="322"/>
      <c r="E35" s="322"/>
      <c r="F35" s="73">
        <f t="shared" si="0"/>
        <v>45870</v>
      </c>
      <c r="G35" s="323">
        <f>IFERROR(Inv_SY!F37/Inv_SY!$P37-1,"")</f>
        <v>1.0149696235110861E-2</v>
      </c>
      <c r="H35" s="323">
        <f>IFERROR(Inv_SY!G37/Inv_SY!$P37-1,"")</f>
        <v>-5.0235624888483876E-4</v>
      </c>
      <c r="I35" s="323">
        <f>IFERROR(Inv_SY!H37/Inv_SY!$P37-1,"")</f>
        <v>7.0378606779883945E-3</v>
      </c>
      <c r="J35" s="323">
        <f>IFERROR(Inv_SY!I37/Inv_SY!$P37-1,"")</f>
        <v>1.9644375034251871E-2</v>
      </c>
      <c r="K35" s="323">
        <f>IFERROR(Inv_SY!J37/Inv_SY!$P37-1,"")</f>
        <v>1.0105504487554207E-2</v>
      </c>
      <c r="L35" s="323">
        <f>IFERROR(Inv_SY!K37/Inv_SY!$P37-1,"")</f>
        <v>9.448629622636151E-3</v>
      </c>
      <c r="M35" s="323">
        <f>IFERROR(Inv_SY!L37/Inv_SY!$P37-1,"")</f>
        <v>-8.4199268215623402E-3</v>
      </c>
      <c r="N35" s="323">
        <f>IFERROR(Inv_SY!M37/Inv_SY!$P37-1,"")</f>
        <v>-1.1633152664745849E-2</v>
      </c>
      <c r="O35" s="323">
        <f>IFERROR(Inv_SY!N37/Inv_SY!$P37-1,"")</f>
        <v>-2.0846270134546097E-2</v>
      </c>
      <c r="P35" s="323">
        <f>IFERROR(Inv_SY!O37/Inv_SY!$P37-1,"")</f>
        <v>-1.4984360187800694E-2</v>
      </c>
      <c r="Q35" s="319">
        <f>IFERROR(Inv_SY!Q37/Inv_SY!$AA37-1,"")</f>
        <v>8.3401275213872417E-3</v>
      </c>
      <c r="R35" s="319">
        <f>IFERROR(Inv_SY!R37/Inv_SY!$AA37-1,"")</f>
        <v>-1.6521883059590681E-2</v>
      </c>
      <c r="S35" s="319">
        <f>IFERROR(Inv_SY!S37/Inv_SY!$AA37-1,"")</f>
        <v>3.4257064574689133E-2</v>
      </c>
      <c r="T35" s="319">
        <f>IFERROR(Inv_SY!T37/Inv_SY!$AA37-1,"")</f>
        <v>5.5758349938317409E-4</v>
      </c>
      <c r="U35" s="319">
        <f>IFERROR(Inv_SY!U37/Inv_SY!$AA37-1,"")</f>
        <v>-2.6362934067385435E-3</v>
      </c>
      <c r="V35" s="319">
        <f>IFERROR(Inv_SY!V37/Inv_SY!$AA37-1,"")</f>
        <v>2.0182492548832087E-2</v>
      </c>
      <c r="W35" s="319">
        <f>IFERROR(Inv_SY!W37/Inv_SY!$AA37-1,"")</f>
        <v>2.5695465807449303E-3</v>
      </c>
      <c r="X35" s="319">
        <f>IFERROR(Inv_SY!X37/Inv_SY!$AA37-1,"")</f>
        <v>1.2497218263054499E-3</v>
      </c>
      <c r="Y35" s="319">
        <f>IFERROR(Inv_SY!Y37/Inv_SY!$AA37-1,"")</f>
        <v>-3.1605258818411253E-2</v>
      </c>
      <c r="Z35" s="319">
        <f>IFERROR(Inv_SY!Z37/Inv_SY!$AA37-1,"")</f>
        <v>-1.6393101266600874E-2</v>
      </c>
    </row>
    <row r="36" spans="1:26" x14ac:dyDescent="0.35">
      <c r="A36" s="321"/>
      <c r="B36" s="322"/>
      <c r="C36" s="322"/>
      <c r="D36" s="322"/>
      <c r="E36" s="322"/>
      <c r="F36" s="73">
        <f t="shared" si="0"/>
        <v>45871</v>
      </c>
      <c r="G36" s="323">
        <f>IFERROR(Inv_SY!F38/Inv_SY!$P38-1,"")</f>
        <v>2.4748322177581272E-3</v>
      </c>
      <c r="H36" s="323">
        <f>IFERROR(Inv_SY!G38/Inv_SY!$P38-1,"")</f>
        <v>3.7799081912161636E-2</v>
      </c>
      <c r="I36" s="323">
        <f>IFERROR(Inv_SY!H38/Inv_SY!$P38-1,"")</f>
        <v>1.3890418269041138E-2</v>
      </c>
      <c r="J36" s="323">
        <f>IFERROR(Inv_SY!I38/Inv_SY!$P38-1,"")</f>
        <v>1.358456897242899E-2</v>
      </c>
      <c r="K36" s="323">
        <f>IFERROR(Inv_SY!J38/Inv_SY!$P38-1,"")</f>
        <v>7.1808493246134919E-3</v>
      </c>
      <c r="L36" s="323">
        <f>IFERROR(Inv_SY!K38/Inv_SY!$P38-1,"")</f>
        <v>2.4323277609030747E-2</v>
      </c>
      <c r="M36" s="323">
        <f>IFERROR(Inv_SY!L38/Inv_SY!$P38-1,"")</f>
        <v>-2.7555415137817008E-2</v>
      </c>
      <c r="N36" s="323">
        <f>IFERROR(Inv_SY!M38/Inv_SY!$P38-1,"")</f>
        <v>-2.1521195604326193E-2</v>
      </c>
      <c r="O36" s="323">
        <f>IFERROR(Inv_SY!N38/Inv_SY!$P38-1,"")</f>
        <v>-2.6325510519525919E-2</v>
      </c>
      <c r="P36" s="323">
        <f>IFERROR(Inv_SY!O38/Inv_SY!$P38-1,"")</f>
        <v>-2.3850907043363456E-2</v>
      </c>
      <c r="Q36" s="319">
        <f>IFERROR(Inv_SY!Q38/Inv_SY!$AA38-1,"")</f>
        <v>-5.7505169728024885E-3</v>
      </c>
      <c r="R36" s="319">
        <f>IFERROR(Inv_SY!R38/Inv_SY!$AA38-1,"")</f>
        <v>-2.5919521609136909E-2</v>
      </c>
      <c r="S36" s="319">
        <f>IFERROR(Inv_SY!S38/Inv_SY!$AA38-1,"")</f>
        <v>3.6737667177477284E-2</v>
      </c>
      <c r="T36" s="319">
        <f>IFERROR(Inv_SY!T38/Inv_SY!$AA38-1,"")</f>
        <v>6.8283978788703514E-3</v>
      </c>
      <c r="U36" s="319">
        <f>IFERROR(Inv_SY!U38/Inv_SY!$AA38-1,"")</f>
        <v>1.3725608585470894E-3</v>
      </c>
      <c r="V36" s="319">
        <f>IFERROR(Inv_SY!V38/Inv_SY!$AA38-1,"")</f>
        <v>1.2713845374326738E-2</v>
      </c>
      <c r="W36" s="319">
        <f>IFERROR(Inv_SY!W38/Inv_SY!$AA38-1,"")</f>
        <v>-1.1256637630240873E-2</v>
      </c>
      <c r="X36" s="319">
        <f>IFERROR(Inv_SY!X38/Inv_SY!$AA38-1,"")</f>
        <v>-1.4210412023357599E-2</v>
      </c>
      <c r="Y36" s="319">
        <f>IFERROR(Inv_SY!Y38/Inv_SY!$AA38-1,"")</f>
        <v>-6.014526516004981E-4</v>
      </c>
      <c r="Z36" s="319">
        <f>IFERROR(Inv_SY!Z38/Inv_SY!$AA38-1,"")</f>
        <v>8.6069597917015628E-5</v>
      </c>
    </row>
    <row r="37" spans="1:26" x14ac:dyDescent="0.35">
      <c r="A37" s="321"/>
      <c r="B37" s="322"/>
      <c r="C37" s="322"/>
      <c r="D37" s="322"/>
      <c r="E37" s="322"/>
      <c r="F37" s="73">
        <f t="shared" si="0"/>
        <v>45872</v>
      </c>
      <c r="G37" s="323">
        <f>IFERROR(Inv_SY!F39/Inv_SY!$P39-1,"")</f>
        <v>7.224417223324453E-3</v>
      </c>
      <c r="H37" s="323">
        <f>IFERROR(Inv_SY!G39/Inv_SY!$P39-1,"")</f>
        <v>1.2884363862986525E-2</v>
      </c>
      <c r="I37" s="323">
        <f>IFERROR(Inv_SY!H39/Inv_SY!$P39-1,"")</f>
        <v>-3.1111375099712735E-3</v>
      </c>
      <c r="J37" s="323">
        <f>IFERROR(Inv_SY!I39/Inv_SY!$P39-1,"")</f>
        <v>-1.2928862862856549E-2</v>
      </c>
      <c r="K37" s="323">
        <f>IFERROR(Inv_SY!J39/Inv_SY!$P39-1,"")</f>
        <v>2.4438984026363242E-2</v>
      </c>
      <c r="L37" s="323">
        <f>IFERROR(Inv_SY!K39/Inv_SY!$P39-1,"")</f>
        <v>3.0218257176377161E-2</v>
      </c>
      <c r="M37" s="323">
        <f>IFERROR(Inv_SY!L39/Inv_SY!$P39-1,"")</f>
        <v>-1.330806322217748E-2</v>
      </c>
      <c r="N37" s="323">
        <f>IFERROR(Inv_SY!M39/Inv_SY!$P39-1,"")</f>
        <v>-1.5415369335323392E-2</v>
      </c>
      <c r="O37" s="323">
        <f>IFERROR(Inv_SY!N39/Inv_SY!$P39-1,"")</f>
        <v>-1.6555897115455354E-2</v>
      </c>
      <c r="P37" s="323">
        <f>IFERROR(Inv_SY!O39/Inv_SY!$P39-1,"")</f>
        <v>-1.3446692243267E-2</v>
      </c>
      <c r="Q37" s="319">
        <f>IFERROR(Inv_SY!Q39/Inv_SY!$AA39-1,"")</f>
        <v>8.0602017481803401E-3</v>
      </c>
      <c r="R37" s="319">
        <f>IFERROR(Inv_SY!R39/Inv_SY!$AA39-1,"")</f>
        <v>-1.1281467488249652E-2</v>
      </c>
      <c r="S37" s="319">
        <f>IFERROR(Inv_SY!S39/Inv_SY!$AA39-1,"")</f>
        <v>4.0503096891271184E-2</v>
      </c>
      <c r="T37" s="319">
        <f>IFERROR(Inv_SY!T39/Inv_SY!$AA39-1,"")</f>
        <v>1.1576149905455857E-2</v>
      </c>
      <c r="U37" s="319">
        <f>IFERROR(Inv_SY!U39/Inv_SY!$AA39-1,"")</f>
        <v>5.1288472102535287E-3</v>
      </c>
      <c r="V37" s="319">
        <f>IFERROR(Inv_SY!V39/Inv_SY!$AA39-1,"")</f>
        <v>2.1360481117696173E-2</v>
      </c>
      <c r="W37" s="319">
        <f>IFERROR(Inv_SY!W39/Inv_SY!$AA39-1,"")</f>
        <v>-4.6258618847757615E-3</v>
      </c>
      <c r="X37" s="319">
        <f>IFERROR(Inv_SY!X39/Inv_SY!$AA39-1,"")</f>
        <v>-1.4338221344509794E-2</v>
      </c>
      <c r="Y37" s="319">
        <f>IFERROR(Inv_SY!Y39/Inv_SY!$AA39-1,"")</f>
        <v>-3.0314655806018775E-2</v>
      </c>
      <c r="Z37" s="319">
        <f>IFERROR(Inv_SY!Z39/Inv_SY!$AA39-1,"")</f>
        <v>-2.6068570349303544E-2</v>
      </c>
    </row>
    <row r="38" spans="1:26" x14ac:dyDescent="0.35">
      <c r="A38" s="321"/>
      <c r="B38" s="322"/>
      <c r="C38" s="322"/>
      <c r="D38" s="322"/>
      <c r="E38" s="322"/>
      <c r="F38" s="73">
        <f t="shared" si="0"/>
        <v>45873</v>
      </c>
      <c r="G38" s="323" t="str">
        <f>IFERROR(Inv_SY!F40/Inv_SY!$P40-1,"")</f>
        <v/>
      </c>
      <c r="H38" s="323" t="str">
        <f>IFERROR(Inv_SY!G40/Inv_SY!$P40-1,"")</f>
        <v/>
      </c>
      <c r="I38" s="323" t="str">
        <f>IFERROR(Inv_SY!H40/Inv_SY!$P40-1,"")</f>
        <v/>
      </c>
      <c r="J38" s="323" t="str">
        <f>IFERROR(Inv_SY!I40/Inv_SY!$P40-1,"")</f>
        <v/>
      </c>
      <c r="K38" s="323" t="str">
        <f>IFERROR(Inv_SY!J40/Inv_SY!$P40-1,"")</f>
        <v/>
      </c>
      <c r="L38" s="323" t="str">
        <f>IFERROR(Inv_SY!K40/Inv_SY!$P40-1,"")</f>
        <v/>
      </c>
      <c r="M38" s="323" t="str">
        <f>IFERROR(Inv_SY!L40/Inv_SY!$P40-1,"")</f>
        <v/>
      </c>
      <c r="N38" s="323" t="str">
        <f>IFERROR(Inv_SY!M40/Inv_SY!$P40-1,"")</f>
        <v/>
      </c>
      <c r="O38" s="323" t="str">
        <f>IFERROR(Inv_SY!N40/Inv_SY!$P40-1,"")</f>
        <v/>
      </c>
      <c r="P38" s="323" t="str">
        <f>IFERROR(Inv_SY!O40/Inv_SY!$P40-1,"")</f>
        <v/>
      </c>
      <c r="Q38" s="319" t="str">
        <f>IFERROR(Inv_SY!Q40/Inv_SY!$AA40-1,"")</f>
        <v/>
      </c>
      <c r="R38" s="319" t="str">
        <f>IFERROR(Inv_SY!R40/Inv_SY!$AA40-1,"")</f>
        <v/>
      </c>
      <c r="S38" s="319" t="str">
        <f>IFERROR(Inv_SY!S40/Inv_SY!$AA40-1,"")</f>
        <v/>
      </c>
      <c r="T38" s="319" t="str">
        <f>IFERROR(Inv_SY!T40/Inv_SY!$AA40-1,"")</f>
        <v/>
      </c>
      <c r="U38" s="319" t="str">
        <f>IFERROR(Inv_SY!U40/Inv_SY!$AA40-1,"")</f>
        <v/>
      </c>
      <c r="V38" s="319" t="str">
        <f>IFERROR(Inv_SY!V40/Inv_SY!$AA40-1,"")</f>
        <v/>
      </c>
      <c r="W38" s="319" t="str">
        <f>IFERROR(Inv_SY!W40/Inv_SY!$AA40-1,"")</f>
        <v/>
      </c>
      <c r="X38" s="319" t="str">
        <f>IFERROR(Inv_SY!X40/Inv_SY!$AA40-1,"")</f>
        <v/>
      </c>
      <c r="Y38" s="319" t="str">
        <f>IFERROR(Inv_SY!Y40/Inv_SY!$AA40-1,"")</f>
        <v/>
      </c>
      <c r="Z38" s="319" t="str">
        <f>IFERROR(Inv_SY!Z40/Inv_SY!$AA40-1,"")</f>
        <v/>
      </c>
    </row>
    <row r="39" spans="1:26" x14ac:dyDescent="0.35">
      <c r="A39" s="321"/>
      <c r="B39" s="322"/>
      <c r="C39" s="322"/>
      <c r="D39" s="322"/>
      <c r="E39" s="322"/>
      <c r="F39" s="73">
        <f t="shared" si="0"/>
        <v>45874</v>
      </c>
      <c r="G39" s="323" t="str">
        <f>IFERROR(Inv_SY!F41/Inv_SY!$P41-1,"")</f>
        <v/>
      </c>
      <c r="H39" s="323" t="str">
        <f>IFERROR(Inv_SY!G41/Inv_SY!$P41-1,"")</f>
        <v/>
      </c>
      <c r="I39" s="323" t="str">
        <f>IFERROR(Inv_SY!H41/Inv_SY!$P41-1,"")</f>
        <v/>
      </c>
      <c r="J39" s="323" t="str">
        <f>IFERROR(Inv_SY!I41/Inv_SY!$P41-1,"")</f>
        <v/>
      </c>
      <c r="K39" s="323" t="str">
        <f>IFERROR(Inv_SY!J41/Inv_SY!$P41-1,"")</f>
        <v/>
      </c>
      <c r="L39" s="323" t="str">
        <f>IFERROR(Inv_SY!K41/Inv_SY!$P41-1,"")</f>
        <v/>
      </c>
      <c r="M39" s="323" t="str">
        <f>IFERROR(Inv_SY!L41/Inv_SY!$P41-1,"")</f>
        <v/>
      </c>
      <c r="N39" s="323" t="str">
        <f>IFERROR(Inv_SY!M41/Inv_SY!$P41-1,"")</f>
        <v/>
      </c>
      <c r="O39" s="323" t="str">
        <f>IFERROR(Inv_SY!N41/Inv_SY!$P41-1,"")</f>
        <v/>
      </c>
      <c r="P39" s="323" t="str">
        <f>IFERROR(Inv_SY!O41/Inv_SY!$P41-1,"")</f>
        <v/>
      </c>
      <c r="Q39" s="319" t="str">
        <f>IFERROR(Inv_SY!Q41/Inv_SY!$AA41-1,"")</f>
        <v/>
      </c>
      <c r="R39" s="319" t="str">
        <f>IFERROR(Inv_SY!R41/Inv_SY!$AA41-1,"")</f>
        <v/>
      </c>
      <c r="S39" s="319" t="str">
        <f>IFERROR(Inv_SY!S41/Inv_SY!$AA41-1,"")</f>
        <v/>
      </c>
      <c r="T39" s="319" t="str">
        <f>IFERROR(Inv_SY!T41/Inv_SY!$AA41-1,"")</f>
        <v/>
      </c>
      <c r="U39" s="319" t="str">
        <f>IFERROR(Inv_SY!U41/Inv_SY!$AA41-1,"")</f>
        <v/>
      </c>
      <c r="V39" s="319" t="str">
        <f>IFERROR(Inv_SY!V41/Inv_SY!$AA41-1,"")</f>
        <v/>
      </c>
      <c r="W39" s="319" t="str">
        <f>IFERROR(Inv_SY!W41/Inv_SY!$AA41-1,"")</f>
        <v/>
      </c>
      <c r="X39" s="319" t="str">
        <f>IFERROR(Inv_SY!X41/Inv_SY!$AA41-1,"")</f>
        <v/>
      </c>
      <c r="Y39" s="319" t="str">
        <f>IFERROR(Inv_SY!Y41/Inv_SY!$AA41-1,"")</f>
        <v/>
      </c>
      <c r="Z39" s="319" t="str">
        <f>IFERROR(Inv_SY!Z41/Inv_SY!$AA41-1,"")</f>
        <v/>
      </c>
    </row>
    <row r="40" spans="1:26" x14ac:dyDescent="0.35">
      <c r="A40" s="321"/>
      <c r="B40" s="322"/>
      <c r="C40" s="322"/>
      <c r="D40" s="322"/>
      <c r="E40" s="322"/>
      <c r="F40" s="73">
        <f t="shared" si="0"/>
        <v>45875</v>
      </c>
      <c r="G40" s="323" t="str">
        <f>IFERROR(Inv_SY!F42/Inv_SY!$P42-1,"")</f>
        <v/>
      </c>
      <c r="H40" s="323" t="str">
        <f>IFERROR(Inv_SY!G42/Inv_SY!$P42-1,"")</f>
        <v/>
      </c>
      <c r="I40" s="323" t="str">
        <f>IFERROR(Inv_SY!H42/Inv_SY!$P42-1,"")</f>
        <v/>
      </c>
      <c r="J40" s="323" t="str">
        <f>IFERROR(Inv_SY!I42/Inv_SY!$P42-1,"")</f>
        <v/>
      </c>
      <c r="K40" s="323" t="str">
        <f>IFERROR(Inv_SY!J42/Inv_SY!$P42-1,"")</f>
        <v/>
      </c>
      <c r="L40" s="323" t="str">
        <f>IFERROR(Inv_SY!K42/Inv_SY!$P42-1,"")</f>
        <v/>
      </c>
      <c r="M40" s="323" t="str">
        <f>IFERROR(Inv_SY!L42/Inv_SY!$P42-1,"")</f>
        <v/>
      </c>
      <c r="N40" s="323" t="str">
        <f>IFERROR(Inv_SY!M42/Inv_SY!$P42-1,"")</f>
        <v/>
      </c>
      <c r="O40" s="323" t="str">
        <f>IFERROR(Inv_SY!N42/Inv_SY!$P42-1,"")</f>
        <v/>
      </c>
      <c r="P40" s="323" t="str">
        <f>IFERROR(Inv_SY!O42/Inv_SY!$P42-1,"")</f>
        <v/>
      </c>
      <c r="Q40" s="319" t="str">
        <f>IFERROR(Inv_SY!Q42/Inv_SY!$AA42-1,"")</f>
        <v/>
      </c>
      <c r="R40" s="319" t="str">
        <f>IFERROR(Inv_SY!R42/Inv_SY!$AA42-1,"")</f>
        <v/>
      </c>
      <c r="S40" s="319" t="str">
        <f>IFERROR(Inv_SY!S42/Inv_SY!$AA42-1,"")</f>
        <v/>
      </c>
      <c r="T40" s="319" t="str">
        <f>IFERROR(Inv_SY!T42/Inv_SY!$AA42-1,"")</f>
        <v/>
      </c>
      <c r="U40" s="319" t="str">
        <f>IFERROR(Inv_SY!U42/Inv_SY!$AA42-1,"")</f>
        <v/>
      </c>
      <c r="V40" s="319" t="str">
        <f>IFERROR(Inv_SY!V42/Inv_SY!$AA42-1,"")</f>
        <v/>
      </c>
      <c r="W40" s="319" t="str">
        <f>IFERROR(Inv_SY!W42/Inv_SY!$AA42-1,"")</f>
        <v/>
      </c>
      <c r="X40" s="319" t="str">
        <f>IFERROR(Inv_SY!X42/Inv_SY!$AA42-1,"")</f>
        <v/>
      </c>
      <c r="Y40" s="319" t="str">
        <f>IFERROR(Inv_SY!Y42/Inv_SY!$AA42-1,"")</f>
        <v/>
      </c>
      <c r="Z40" s="319" t="str">
        <f>IFERROR(Inv_SY!Z42/Inv_SY!$AA42-1,"")</f>
        <v/>
      </c>
    </row>
    <row r="41" spans="1:26" x14ac:dyDescent="0.35">
      <c r="A41" s="321"/>
      <c r="B41" s="322"/>
      <c r="C41" s="322"/>
      <c r="D41" s="322"/>
      <c r="E41" s="322"/>
      <c r="F41" s="73">
        <f t="shared" si="0"/>
        <v>45876</v>
      </c>
      <c r="G41" s="323" t="str">
        <f>IFERROR(Inv_SY!F43/Inv_SY!$P43-1,"")</f>
        <v/>
      </c>
      <c r="H41" s="323" t="str">
        <f>IFERROR(Inv_SY!G43/Inv_SY!$P43-1,"")</f>
        <v/>
      </c>
      <c r="I41" s="323" t="str">
        <f>IFERROR(Inv_SY!H43/Inv_SY!$P43-1,"")</f>
        <v/>
      </c>
      <c r="J41" s="323" t="str">
        <f>IFERROR(Inv_SY!I43/Inv_SY!$P43-1,"")</f>
        <v/>
      </c>
      <c r="K41" s="323" t="str">
        <f>IFERROR(Inv_SY!J43/Inv_SY!$P43-1,"")</f>
        <v/>
      </c>
      <c r="L41" s="323" t="str">
        <f>IFERROR(Inv_SY!K43/Inv_SY!$P43-1,"")</f>
        <v/>
      </c>
      <c r="M41" s="323" t="str">
        <f>IFERROR(Inv_SY!L43/Inv_SY!$P43-1,"")</f>
        <v/>
      </c>
      <c r="N41" s="323" t="str">
        <f>IFERROR(Inv_SY!M43/Inv_SY!$P43-1,"")</f>
        <v/>
      </c>
      <c r="O41" s="323" t="str">
        <f>IFERROR(Inv_SY!N43/Inv_SY!$P43-1,"")</f>
        <v/>
      </c>
      <c r="P41" s="323" t="str">
        <f>IFERROR(Inv_SY!O43/Inv_SY!$P43-1,"")</f>
        <v/>
      </c>
      <c r="Q41" s="319" t="str">
        <f>IFERROR(Inv_SY!Q43/Inv_SY!$AA43-1,"")</f>
        <v/>
      </c>
      <c r="R41" s="319" t="str">
        <f>IFERROR(Inv_SY!R43/Inv_SY!$AA43-1,"")</f>
        <v/>
      </c>
      <c r="S41" s="319" t="str">
        <f>IFERROR(Inv_SY!S43/Inv_SY!$AA43-1,"")</f>
        <v/>
      </c>
      <c r="T41" s="319" t="str">
        <f>IFERROR(Inv_SY!T43/Inv_SY!$AA43-1,"")</f>
        <v/>
      </c>
      <c r="U41" s="319" t="str">
        <f>IFERROR(Inv_SY!U43/Inv_SY!$AA43-1,"")</f>
        <v/>
      </c>
      <c r="V41" s="319" t="str">
        <f>IFERROR(Inv_SY!V43/Inv_SY!$AA43-1,"")</f>
        <v/>
      </c>
      <c r="W41" s="319" t="str">
        <f>IFERROR(Inv_SY!W43/Inv_SY!$AA43-1,"")</f>
        <v/>
      </c>
      <c r="X41" s="319" t="str">
        <f>IFERROR(Inv_SY!X43/Inv_SY!$AA43-1,"")</f>
        <v/>
      </c>
      <c r="Y41" s="319" t="str">
        <f>IFERROR(Inv_SY!Y43/Inv_SY!$AA43-1,"")</f>
        <v/>
      </c>
      <c r="Z41" s="319" t="str">
        <f>IFERROR(Inv_SY!Z43/Inv_SY!$AA43-1,"")</f>
        <v/>
      </c>
    </row>
    <row r="42" spans="1:26" x14ac:dyDescent="0.35">
      <c r="A42" s="321"/>
      <c r="B42" s="322"/>
      <c r="C42" s="322"/>
      <c r="D42" s="322"/>
      <c r="E42" s="322"/>
      <c r="F42" s="73">
        <f t="shared" si="0"/>
        <v>45877</v>
      </c>
      <c r="G42" s="323" t="str">
        <f>IFERROR(Inv_SY!F44/Inv_SY!$P44-1,"")</f>
        <v/>
      </c>
      <c r="H42" s="323" t="str">
        <f>IFERROR(Inv_SY!G44/Inv_SY!$P44-1,"")</f>
        <v/>
      </c>
      <c r="I42" s="323" t="str">
        <f>IFERROR(Inv_SY!H44/Inv_SY!$P44-1,"")</f>
        <v/>
      </c>
      <c r="J42" s="323" t="str">
        <f>IFERROR(Inv_SY!I44/Inv_SY!$P44-1,"")</f>
        <v/>
      </c>
      <c r="K42" s="323" t="str">
        <f>IFERROR(Inv_SY!J44/Inv_SY!$P44-1,"")</f>
        <v/>
      </c>
      <c r="L42" s="323" t="str">
        <f>IFERROR(Inv_SY!K44/Inv_SY!$P44-1,"")</f>
        <v/>
      </c>
      <c r="M42" s="323" t="str">
        <f>IFERROR(Inv_SY!L44/Inv_SY!$P44-1,"")</f>
        <v/>
      </c>
      <c r="N42" s="323" t="str">
        <f>IFERROR(Inv_SY!M44/Inv_SY!$P44-1,"")</f>
        <v/>
      </c>
      <c r="O42" s="323" t="str">
        <f>IFERROR(Inv_SY!N44/Inv_SY!$P44-1,"")</f>
        <v/>
      </c>
      <c r="P42" s="323" t="str">
        <f>IFERROR(Inv_SY!O44/Inv_SY!$P44-1,"")</f>
        <v/>
      </c>
      <c r="Q42" s="319" t="str">
        <f>IFERROR(Inv_SY!Q44/Inv_SY!$AA44-1,"")</f>
        <v/>
      </c>
      <c r="R42" s="319" t="str">
        <f>IFERROR(Inv_SY!R44/Inv_SY!$AA44-1,"")</f>
        <v/>
      </c>
      <c r="S42" s="319" t="str">
        <f>IFERROR(Inv_SY!S44/Inv_SY!$AA44-1,"")</f>
        <v/>
      </c>
      <c r="T42" s="319" t="str">
        <f>IFERROR(Inv_SY!T44/Inv_SY!$AA44-1,"")</f>
        <v/>
      </c>
      <c r="U42" s="319" t="str">
        <f>IFERROR(Inv_SY!U44/Inv_SY!$AA44-1,"")</f>
        <v/>
      </c>
      <c r="V42" s="319" t="str">
        <f>IFERROR(Inv_SY!V44/Inv_SY!$AA44-1,"")</f>
        <v/>
      </c>
      <c r="W42" s="319" t="str">
        <f>IFERROR(Inv_SY!W44/Inv_SY!$AA44-1,"")</f>
        <v/>
      </c>
      <c r="X42" s="319" t="str">
        <f>IFERROR(Inv_SY!X44/Inv_SY!$AA44-1,"")</f>
        <v/>
      </c>
      <c r="Y42" s="319" t="str">
        <f>IFERROR(Inv_SY!Y44/Inv_SY!$AA44-1,"")</f>
        <v/>
      </c>
      <c r="Z42" s="319" t="str">
        <f>IFERROR(Inv_SY!Z44/Inv_SY!$AA44-1,"")</f>
        <v/>
      </c>
    </row>
    <row r="43" spans="1:26" x14ac:dyDescent="0.35">
      <c r="A43" s="321"/>
      <c r="B43" s="322"/>
      <c r="C43" s="322"/>
      <c r="D43" s="322"/>
      <c r="E43" s="322"/>
      <c r="F43" s="73">
        <f t="shared" si="0"/>
        <v>45878</v>
      </c>
      <c r="G43" s="323" t="str">
        <f>IFERROR(Inv_SY!F45/Inv_SY!$P45-1,"")</f>
        <v/>
      </c>
      <c r="H43" s="323" t="str">
        <f>IFERROR(Inv_SY!G45/Inv_SY!$P45-1,"")</f>
        <v/>
      </c>
      <c r="I43" s="323" t="str">
        <f>IFERROR(Inv_SY!H45/Inv_SY!$P45-1,"")</f>
        <v/>
      </c>
      <c r="J43" s="323" t="str">
        <f>IFERROR(Inv_SY!I45/Inv_SY!$P45-1,"")</f>
        <v/>
      </c>
      <c r="K43" s="323" t="str">
        <f>IFERROR(Inv_SY!J45/Inv_SY!$P45-1,"")</f>
        <v/>
      </c>
      <c r="L43" s="323" t="str">
        <f>IFERROR(Inv_SY!K45/Inv_SY!$P45-1,"")</f>
        <v/>
      </c>
      <c r="M43" s="323" t="str">
        <f>IFERROR(Inv_SY!L45/Inv_SY!$P45-1,"")</f>
        <v/>
      </c>
      <c r="N43" s="323" t="str">
        <f>IFERROR(Inv_SY!M45/Inv_SY!$P45-1,"")</f>
        <v/>
      </c>
      <c r="O43" s="323" t="str">
        <f>IFERROR(Inv_SY!N45/Inv_SY!$P45-1,"")</f>
        <v/>
      </c>
      <c r="P43" s="323" t="str">
        <f>IFERROR(Inv_SY!O45/Inv_SY!$P45-1,"")</f>
        <v/>
      </c>
      <c r="Q43" s="319" t="str">
        <f>IFERROR(Inv_SY!Q45/Inv_SY!$AA45-1,"")</f>
        <v/>
      </c>
      <c r="R43" s="319" t="str">
        <f>IFERROR(Inv_SY!R45/Inv_SY!$AA45-1,"")</f>
        <v/>
      </c>
      <c r="S43" s="319" t="str">
        <f>IFERROR(Inv_SY!S45/Inv_SY!$AA45-1,"")</f>
        <v/>
      </c>
      <c r="T43" s="319" t="str">
        <f>IFERROR(Inv_SY!T45/Inv_SY!$AA45-1,"")</f>
        <v/>
      </c>
      <c r="U43" s="319" t="str">
        <f>IFERROR(Inv_SY!U45/Inv_SY!$AA45-1,"")</f>
        <v/>
      </c>
      <c r="V43" s="319" t="str">
        <f>IFERROR(Inv_SY!V45/Inv_SY!$AA45-1,"")</f>
        <v/>
      </c>
      <c r="W43" s="319" t="str">
        <f>IFERROR(Inv_SY!W45/Inv_SY!$AA45-1,"")</f>
        <v/>
      </c>
      <c r="X43" s="319" t="str">
        <f>IFERROR(Inv_SY!X45/Inv_SY!$AA45-1,"")</f>
        <v/>
      </c>
      <c r="Y43" s="319" t="str">
        <f>IFERROR(Inv_SY!Y45/Inv_SY!$AA45-1,"")</f>
        <v/>
      </c>
      <c r="Z43" s="319" t="str">
        <f>IFERROR(Inv_SY!Z45/Inv_SY!$AA45-1,"")</f>
        <v/>
      </c>
    </row>
  </sheetData>
  <phoneticPr fontId="18" type="noConversion"/>
  <conditionalFormatting sqref="G2:Z43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Z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Z34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AC65"/>
  <sheetViews>
    <sheetView topLeftCell="E26" zoomScale="55" zoomScaleNormal="55" workbookViewId="0">
      <pane xSplit="1" topLeftCell="T1" activePane="topRight" state="frozen"/>
      <selection activeCell="E3" sqref="E3"/>
      <selection pane="topRight" activeCell="AM42" sqref="AM42"/>
    </sheetView>
  </sheetViews>
  <sheetFormatPr defaultColWidth="8.81640625" defaultRowHeight="14.5" x14ac:dyDescent="0.35"/>
  <cols>
    <col min="1" max="2" width="11.1796875" customWidth="1"/>
    <col min="4" max="4" width="14.1796875" customWidth="1"/>
    <col min="5" max="5" width="11.81640625" customWidth="1"/>
    <col min="6" max="6" width="10.1796875" style="2" bestFit="1" customWidth="1"/>
    <col min="7" max="28" width="10.1796875" style="2" customWidth="1"/>
    <col min="29" max="29" width="8.81640625" style="2"/>
  </cols>
  <sheetData>
    <row r="1" spans="1:29" hidden="1" x14ac:dyDescent="0.35">
      <c r="F1" s="2">
        <v>11</v>
      </c>
      <c r="G1" s="2">
        <f>F1+1</f>
        <v>12</v>
      </c>
      <c r="H1" s="2">
        <f t="shared" ref="H1:Z1" si="0">G1+1</f>
        <v>13</v>
      </c>
      <c r="I1" s="2">
        <f t="shared" si="0"/>
        <v>14</v>
      </c>
      <c r="J1" s="2">
        <f t="shared" si="0"/>
        <v>15</v>
      </c>
      <c r="K1" s="2">
        <f t="shared" si="0"/>
        <v>16</v>
      </c>
      <c r="L1" s="2">
        <f t="shared" si="0"/>
        <v>17</v>
      </c>
      <c r="M1" s="2">
        <f t="shared" si="0"/>
        <v>18</v>
      </c>
      <c r="N1" s="2">
        <f t="shared" si="0"/>
        <v>19</v>
      </c>
      <c r="O1" s="2">
        <f t="shared" si="0"/>
        <v>20</v>
      </c>
      <c r="Q1" s="2">
        <f>O1+1</f>
        <v>21</v>
      </c>
      <c r="R1" s="2">
        <f t="shared" si="0"/>
        <v>22</v>
      </c>
      <c r="S1" s="2">
        <f t="shared" si="0"/>
        <v>23</v>
      </c>
      <c r="T1" s="2">
        <f t="shared" si="0"/>
        <v>24</v>
      </c>
      <c r="U1" s="2">
        <f t="shared" si="0"/>
        <v>25</v>
      </c>
      <c r="V1" s="2">
        <f t="shared" si="0"/>
        <v>26</v>
      </c>
      <c r="W1" s="2">
        <f t="shared" si="0"/>
        <v>27</v>
      </c>
      <c r="X1" s="2">
        <f t="shared" si="0"/>
        <v>28</v>
      </c>
      <c r="Y1" s="2">
        <f t="shared" si="0"/>
        <v>29</v>
      </c>
      <c r="Z1" s="2">
        <f t="shared" si="0"/>
        <v>30</v>
      </c>
      <c r="AC1"/>
    </row>
    <row r="2" spans="1:29" hidden="1" x14ac:dyDescent="0.35">
      <c r="F2" s="1">
        <v>1075.2</v>
      </c>
      <c r="G2" s="1">
        <v>1228.8</v>
      </c>
      <c r="H2" s="1">
        <v>1075.2</v>
      </c>
      <c r="I2" s="1">
        <v>1228.5</v>
      </c>
      <c r="J2" s="1">
        <v>1248</v>
      </c>
      <c r="K2" s="1">
        <v>1053</v>
      </c>
      <c r="L2" s="1">
        <v>1222</v>
      </c>
      <c r="M2" s="1">
        <v>1075.2</v>
      </c>
      <c r="N2" s="1">
        <v>1222</v>
      </c>
      <c r="O2" s="1">
        <v>1075.2</v>
      </c>
      <c r="P2" s="1"/>
      <c r="Q2" s="1">
        <v>1190.1799999999998</v>
      </c>
      <c r="R2" s="1">
        <v>1221.4799999999998</v>
      </c>
      <c r="S2" s="1">
        <v>1190.3150000000001</v>
      </c>
      <c r="T2" s="1">
        <v>1224.7550000000001</v>
      </c>
      <c r="U2" s="1">
        <v>1231.6000000000001</v>
      </c>
      <c r="V2" s="1">
        <v>1195.0899999999999</v>
      </c>
      <c r="W2" s="1">
        <v>1228.355</v>
      </c>
      <c r="X2" s="1">
        <v>1226.07</v>
      </c>
      <c r="Y2" s="1">
        <v>1454.0600000000004</v>
      </c>
      <c r="Z2" s="1">
        <v>1548.8900000000003</v>
      </c>
      <c r="AC2"/>
    </row>
    <row r="3" spans="1:29" ht="24.5" thickBot="1" x14ac:dyDescent="0.4">
      <c r="A3" s="33" t="s">
        <v>116</v>
      </c>
      <c r="B3" s="33" t="s">
        <v>117</v>
      </c>
      <c r="C3" s="33" t="s">
        <v>118</v>
      </c>
      <c r="D3" s="168" t="s">
        <v>119</v>
      </c>
      <c r="E3" s="170" t="s">
        <v>72</v>
      </c>
      <c r="F3" s="167" t="s">
        <v>121</v>
      </c>
      <c r="G3" s="167" t="s">
        <v>122</v>
      </c>
      <c r="H3" s="167" t="s">
        <v>123</v>
      </c>
      <c r="I3" s="167" t="s">
        <v>124</v>
      </c>
      <c r="J3" s="167" t="s">
        <v>125</v>
      </c>
      <c r="K3" s="167" t="s">
        <v>126</v>
      </c>
      <c r="L3" s="167" t="s">
        <v>127</v>
      </c>
      <c r="M3" s="167" t="s">
        <v>128</v>
      </c>
      <c r="N3" s="167" t="s">
        <v>129</v>
      </c>
      <c r="O3" s="167" t="s">
        <v>130</v>
      </c>
      <c r="P3" s="167" t="s">
        <v>36</v>
      </c>
      <c r="Q3" s="167" t="s">
        <v>131</v>
      </c>
      <c r="R3" s="167" t="s">
        <v>132</v>
      </c>
      <c r="S3" s="167" t="s">
        <v>133</v>
      </c>
      <c r="T3" s="167" t="s">
        <v>134</v>
      </c>
      <c r="U3" s="167" t="s">
        <v>135</v>
      </c>
      <c r="V3" s="167" t="s">
        <v>136</v>
      </c>
      <c r="W3" s="167" t="s">
        <v>137</v>
      </c>
      <c r="X3" s="167" t="s">
        <v>138</v>
      </c>
      <c r="Y3" s="167" t="s">
        <v>139</v>
      </c>
      <c r="Z3" s="167" t="s">
        <v>140</v>
      </c>
      <c r="AA3" s="167" t="s">
        <v>143</v>
      </c>
      <c r="AB3" s="167" t="s">
        <v>144</v>
      </c>
      <c r="AC3"/>
    </row>
    <row r="4" spans="1:29" ht="15" customHeight="1" thickTop="1" x14ac:dyDescent="0.35">
      <c r="A4" s="321" t="s">
        <v>141</v>
      </c>
      <c r="B4" s="321"/>
      <c r="C4" s="67">
        <f>YEAR(RD[[#This Row],[Month Year]])</f>
        <v>2025</v>
      </c>
      <c r="D4" s="169" t="s">
        <v>142</v>
      </c>
      <c r="E4" s="171">
        <f>'Daily Dashboard'!B5-32</f>
        <v>45837</v>
      </c>
      <c r="F4" s="1">
        <f>VLOOKUP(Inv_Sy[[#This Row],[Date]],RD[#All],F$1,0)/F$2</f>
        <v>2.8087797619047619</v>
      </c>
      <c r="G4" s="1">
        <f>VLOOKUP(Inv_Sy[[#This Row],[Date]],RD[#All],G$1,0)/G$2</f>
        <v>2.7880859375</v>
      </c>
      <c r="H4" s="1">
        <f>VLOOKUP(Inv_Sy[[#This Row],[Date]],RD[#All],H$1,0)/H$2</f>
        <v>2.7976190476190474</v>
      </c>
      <c r="I4" s="1">
        <f>VLOOKUP(Inv_Sy[[#This Row],[Date]],RD[#All],I$1,0)/I$2</f>
        <v>2.774928774928775</v>
      </c>
      <c r="J4" s="1">
        <f>VLOOKUP(Inv_Sy[[#This Row],[Date]],RD[#All],J$1,0)/J$2</f>
        <v>2.8133012820512819</v>
      </c>
      <c r="K4" s="1">
        <f>VLOOKUP(Inv_Sy[[#This Row],[Date]],RD[#All],K$1,0)/K$2</f>
        <v>2.792022792022792</v>
      </c>
      <c r="L4" s="1">
        <f>VLOOKUP(Inv_Sy[[#This Row],[Date]],RD[#All],L$1,0)/L$2</f>
        <v>2.8772504091653026</v>
      </c>
      <c r="M4" s="1">
        <f>VLOOKUP(Inv_Sy[[#This Row],[Date]],RD[#All],M$1,0)/M$2</f>
        <v>2.9482886904761902</v>
      </c>
      <c r="N4" s="1">
        <f>VLOOKUP(Inv_Sy[[#This Row],[Date]],RD[#All],N$1,0)/N$2</f>
        <v>2.8387888707037643</v>
      </c>
      <c r="O4" s="1">
        <f>VLOOKUP(Inv_Sy[[#This Row],[Date]],RD[#All],O$1,0)/O$2</f>
        <v>2.9222470238095237</v>
      </c>
      <c r="P4" s="1">
        <f>AVERAGEIFS(Inv_Sy[[#This Row],[G1 Inv1]:[G5 Inv10]],Inv_Sy[[#This Row],[G1 Inv1]:[G5 Inv10]],"&lt;&gt;"&amp;0)</f>
        <v>2.8361312590181442</v>
      </c>
      <c r="Q4" s="1">
        <f>VLOOKUP(Inv_Sy[[#This Row],[Date]],RD[#All],Q$1,0)/Q$2</f>
        <v>3.0585289620057474</v>
      </c>
      <c r="R4" s="1">
        <f>VLOOKUP(Inv_Sy[[#This Row],[Date]],RD[#All],R$1,0)/R$2</f>
        <v>3.0029963650653309</v>
      </c>
      <c r="S4" s="1">
        <f>VLOOKUP(Inv_Sy[[#This Row],[Date]],RD[#All],S$1,0)/S$2</f>
        <v>3.1898279026980254</v>
      </c>
      <c r="T4" s="1">
        <f>VLOOKUP(Inv_Sy[[#This Row],[Date]],RD[#All],T$1,0)/T$2</f>
        <v>3.1087033733277267</v>
      </c>
      <c r="U4" s="1">
        <f>VLOOKUP(Inv_Sy[[#This Row],[Date]],RD[#All],U$1,0)/U$2</f>
        <v>3.0699090613835658</v>
      </c>
      <c r="V4" s="1">
        <f>VLOOKUP(Inv_Sy[[#This Row],[Date]],RD[#All],V$1,0)/V$2</f>
        <v>3.0672166949769473</v>
      </c>
      <c r="W4" s="1">
        <f>VLOOKUP(Inv_Sy[[#This Row],[Date]],RD[#All],W$1,0)/W$2</f>
        <v>3.0363372152187273</v>
      </c>
      <c r="X4" s="1">
        <f>VLOOKUP(Inv_Sy[[#This Row],[Date]],RD[#All],X$1,0)/X$2</f>
        <v>2.9809064735292443</v>
      </c>
      <c r="Y4" s="1">
        <f>VLOOKUP(Inv_Sy[[#This Row],[Date]],RD[#All],Y$1,0)/Y$2</f>
        <v>3.0729130847420318</v>
      </c>
      <c r="Z4" s="1">
        <f>VLOOKUP(Inv_Sy[[#This Row],[Date]],RD[#All],Z$1,0)/Z$2</f>
        <v>3.0412747193151222</v>
      </c>
      <c r="AA4" s="1">
        <f t="shared" ref="AA4:AA55" si="1">IFERROR(AVERAGEIF(Q4:Z4,"&gt;"&amp;0,Q4:Z4),"")</f>
        <v>3.0628613852262463</v>
      </c>
      <c r="AB4" s="1">
        <f>MAX(Inv_Sy[[#This Row],[G1 Inv1]:[IS1_Inv2]])</f>
        <v>3.1898279026980254</v>
      </c>
      <c r="AC4"/>
    </row>
    <row r="5" spans="1:29" ht="15" customHeight="1" x14ac:dyDescent="0.35">
      <c r="A5" s="321" t="s">
        <v>141</v>
      </c>
      <c r="B5" s="321"/>
      <c r="C5" s="67">
        <f>YEAR(RD[[#This Row],[Month Year]])</f>
        <v>2025</v>
      </c>
      <c r="D5" s="169" t="s">
        <v>142</v>
      </c>
      <c r="E5" s="171">
        <f t="shared" ref="E5:E22" si="2">E4+1</f>
        <v>45838</v>
      </c>
      <c r="F5" s="1">
        <f>VLOOKUP(Inv_Sy[[#This Row],[Date]],RD[#All],F$1,0)/F$2</f>
        <v>2.4990699404761902</v>
      </c>
      <c r="G5" s="1">
        <f>VLOOKUP(Inv_Sy[[#This Row],[Date]],RD[#All],G$1,0)/G$2</f>
        <v>2.4910481770833335</v>
      </c>
      <c r="H5" s="1">
        <f>VLOOKUP(Inv_Sy[[#This Row],[Date]],RD[#All],H$1,0)/H$2</f>
        <v>2.4888392857142856</v>
      </c>
      <c r="I5" s="1">
        <f>VLOOKUP(Inv_Sy[[#This Row],[Date]],RD[#All],I$1,0)/I$2</f>
        <v>2.4908424908424909</v>
      </c>
      <c r="J5" s="1">
        <f>VLOOKUP(Inv_Sy[[#This Row],[Date]],RD[#All],J$1,0)/J$2</f>
        <v>2.4479166666666665</v>
      </c>
      <c r="K5" s="1">
        <f>VLOOKUP(Inv_Sy[[#This Row],[Date]],RD[#All],K$1,0)/K$2</f>
        <v>2.4919278252611585</v>
      </c>
      <c r="L5" s="1">
        <f>VLOOKUP(Inv_Sy[[#This Row],[Date]],RD[#All],L$1,0)/L$2</f>
        <v>2.5458265139116203</v>
      </c>
      <c r="M5" s="1">
        <f>VLOOKUP(Inv_Sy[[#This Row],[Date]],RD[#All],M$1,0)/M$2</f>
        <v>2.5967261904761902</v>
      </c>
      <c r="N5" s="1">
        <f>VLOOKUP(Inv_Sy[[#This Row],[Date]],RD[#All],N$1,0)/N$2</f>
        <v>2.5171849427168578</v>
      </c>
      <c r="O5" s="1">
        <f>VLOOKUP(Inv_Sy[[#This Row],[Date]],RD[#All],O$1,0)/O$2</f>
        <v>2.5762648809523809</v>
      </c>
      <c r="P5" s="1">
        <f>AVERAGEIFS(Inv_Sy[[#This Row],[G1 Inv1]:[G5 Inv10]],Inv_Sy[[#This Row],[G1 Inv1]:[G5 Inv10]],"&lt;&gt;"&amp;0)</f>
        <v>2.5145646914101172</v>
      </c>
      <c r="Q5" s="1">
        <f>VLOOKUP(Inv_Sy[[#This Row],[Date]],RD[#All],Q$1,0)/Q$2</f>
        <v>2.7581542287721188</v>
      </c>
      <c r="R5" s="1">
        <f>VLOOKUP(Inv_Sy[[#This Row],[Date]],RD[#All],R$1,0)/R$2</f>
        <v>2.693208239185251</v>
      </c>
      <c r="S5" s="1">
        <f>VLOOKUP(Inv_Sy[[#This Row],[Date]],RD[#All],S$1,0)/S$2</f>
        <v>2.8401725593645377</v>
      </c>
      <c r="T5" s="1">
        <f>VLOOKUP(Inv_Sy[[#This Row],[Date]],RD[#All],T$1,0)/T$2</f>
        <v>2.7636547717706805</v>
      </c>
      <c r="U5" s="1">
        <f>VLOOKUP(Inv_Sy[[#This Row],[Date]],RD[#All],U$1,0)/U$2</f>
        <v>2.7387138681390057</v>
      </c>
      <c r="V5" s="1">
        <f>VLOOKUP(Inv_Sy[[#This Row],[Date]],RD[#All],V$1,0)/V$2</f>
        <v>2.7524286873791937</v>
      </c>
      <c r="W5" s="1">
        <f>VLOOKUP(Inv_Sy[[#This Row],[Date]],RD[#All],W$1,0)/W$2</f>
        <v>2.7429366917544198</v>
      </c>
      <c r="X5" s="1">
        <f>VLOOKUP(Inv_Sy[[#This Row],[Date]],RD[#All],X$1,0)/X$2</f>
        <v>2.7037607966918693</v>
      </c>
      <c r="Y5" s="1">
        <f>VLOOKUP(Inv_Sy[[#This Row],[Date]],RD[#All],Y$1,0)/Y$2</f>
        <v>2.7271914501464858</v>
      </c>
      <c r="Z5" s="1">
        <f>VLOOKUP(Inv_Sy[[#This Row],[Date]],RD[#All],Z$1,0)/Z$2</f>
        <v>2.7023223082336378</v>
      </c>
      <c r="AA5" s="1">
        <f t="shared" si="1"/>
        <v>2.7422543601437197</v>
      </c>
      <c r="AB5" s="1">
        <f>MAX(Inv_Sy[[#This Row],[G1 Inv1]:[IS1_Inv2]])</f>
        <v>2.8401725593645377</v>
      </c>
      <c r="AC5"/>
    </row>
    <row r="6" spans="1:29" ht="15" customHeight="1" x14ac:dyDescent="0.35">
      <c r="A6" s="321" t="s">
        <v>141</v>
      </c>
      <c r="B6" s="321"/>
      <c r="C6" s="67">
        <f>YEAR(RD[[#This Row],[Month Year]])</f>
        <v>2025</v>
      </c>
      <c r="D6" s="169" t="s">
        <v>142</v>
      </c>
      <c r="E6" s="171">
        <f t="shared" si="2"/>
        <v>45839</v>
      </c>
      <c r="F6" s="1">
        <f>VLOOKUP(Inv_Sy[[#This Row],[Date]],RD[#All],F$1,0)/F$2</f>
        <v>1.7745535714285714</v>
      </c>
      <c r="G6" s="1">
        <f>VLOOKUP(Inv_Sy[[#This Row],[Date]],RD[#All],G$1,0)/G$2</f>
        <v>1.77734375</v>
      </c>
      <c r="H6" s="1">
        <f>VLOOKUP(Inv_Sy[[#This Row],[Date]],RD[#All],H$1,0)/H$2</f>
        <v>1.77734375</v>
      </c>
      <c r="I6" s="1">
        <f>VLOOKUP(Inv_Sy[[#This Row],[Date]],RD[#All],I$1,0)/I$2</f>
        <v>1.7826617826617828</v>
      </c>
      <c r="J6" s="1">
        <f>VLOOKUP(Inv_Sy[[#This Row],[Date]],RD[#All],J$1,0)/J$2</f>
        <v>1.78125</v>
      </c>
      <c r="K6" s="1">
        <f>VLOOKUP(Inv_Sy[[#This Row],[Date]],RD[#All],K$1,0)/K$2</f>
        <v>1.7825261158594492</v>
      </c>
      <c r="L6" s="1">
        <f>VLOOKUP(Inv_Sy[[#This Row],[Date]],RD[#All],L$1,0)/L$2</f>
        <v>1.8322422258592472</v>
      </c>
      <c r="M6" s="1">
        <f>VLOOKUP(Inv_Sy[[#This Row],[Date]],RD[#All],M$1,0)/M$2</f>
        <v>1.8656994047619047</v>
      </c>
      <c r="N6" s="1">
        <f>VLOOKUP(Inv_Sy[[#This Row],[Date]],RD[#All],N$1,0)/N$2</f>
        <v>1.7995090016366613</v>
      </c>
      <c r="O6" s="1">
        <f>VLOOKUP(Inv_Sy[[#This Row],[Date]],RD[#All],O$1,0)/O$2</f>
        <v>1.8405877976190474</v>
      </c>
      <c r="P6" s="1">
        <f>AVERAGEIFS(Inv_Sy[[#This Row],[G1 Inv1]:[G5 Inv10]],Inv_Sy[[#This Row],[G1 Inv1]:[G5 Inv10]],"&lt;&gt;"&amp;0)</f>
        <v>1.8013717399826663</v>
      </c>
      <c r="Q6" s="1">
        <f>VLOOKUP(Inv_Sy[[#This Row],[Date]],RD[#All],Q$1,0)/Q$2</f>
        <v>1.9429834142734714</v>
      </c>
      <c r="R6" s="1">
        <f>VLOOKUP(Inv_Sy[[#This Row],[Date]],RD[#All],R$1,0)/R$2</f>
        <v>1.9003995153420445</v>
      </c>
      <c r="S6" s="1">
        <f>VLOOKUP(Inv_Sy[[#This Row],[Date]],RD[#All],S$1,0)/S$2</f>
        <v>2.0110642981059637</v>
      </c>
      <c r="T6" s="1">
        <f>VLOOKUP(Inv_Sy[[#This Row],[Date]],RD[#All],T$1,0)/T$2</f>
        <v>1.9584325028270957</v>
      </c>
      <c r="U6" s="1">
        <f>VLOOKUP(Inv_Sy[[#This Row],[Date]],RD[#All],U$1,0)/U$2</f>
        <v>1.9396719714192918</v>
      </c>
      <c r="V6" s="1">
        <f>VLOOKUP(Inv_Sy[[#This Row],[Date]],RD[#All],V$1,0)/V$2</f>
        <v>1.9431172547674234</v>
      </c>
      <c r="W6" s="1">
        <f>VLOOKUP(Inv_Sy[[#This Row],[Date]],RD[#All],W$1,0)/W$2</f>
        <v>1.9355967940864001</v>
      </c>
      <c r="X6" s="1">
        <f>VLOOKUP(Inv_Sy[[#This Row],[Date]],RD[#All],X$1,0)/X$2</f>
        <v>1.9051114536690403</v>
      </c>
      <c r="Y6" s="1">
        <f>VLOOKUP(Inv_Sy[[#This Row],[Date]],RD[#All],Y$1,0)/Y$2</f>
        <v>1.9663562714055809</v>
      </c>
      <c r="Z6" s="1">
        <f>VLOOKUP(Inv_Sy[[#This Row],[Date]],RD[#All],Z$1,0)/Z$2</f>
        <v>1.9515911394611622</v>
      </c>
      <c r="AA6" s="1">
        <f t="shared" si="1"/>
        <v>1.9454324615357474</v>
      </c>
      <c r="AB6" s="1">
        <f>MAX(Inv_Sy[[#This Row],[G1 Inv1]:[IS1_Inv2]])</f>
        <v>2.0110642981059637</v>
      </c>
      <c r="AC6"/>
    </row>
    <row r="7" spans="1:29" ht="15" customHeight="1" x14ac:dyDescent="0.35">
      <c r="A7" s="321" t="s">
        <v>141</v>
      </c>
      <c r="B7" s="321"/>
      <c r="C7" s="67">
        <f>YEAR(RD[[#This Row],[Month Year]])</f>
        <v>2025</v>
      </c>
      <c r="D7" s="169" t="s">
        <v>142</v>
      </c>
      <c r="E7" s="171">
        <f t="shared" si="2"/>
        <v>45840</v>
      </c>
      <c r="F7" s="1">
        <f>VLOOKUP(Inv_Sy[[#This Row],[Date]],RD[#All],F$1,0)/F$2</f>
        <v>2.28515625</v>
      </c>
      <c r="G7" s="1">
        <f>VLOOKUP(Inv_Sy[[#This Row],[Date]],RD[#All],G$1,0)/G$2</f>
        <v>2.277018229166667</v>
      </c>
      <c r="H7" s="1">
        <f>VLOOKUP(Inv_Sy[[#This Row],[Date]],RD[#All],H$1,0)/H$2</f>
        <v>2.2628348214285712</v>
      </c>
      <c r="I7" s="1">
        <f>VLOOKUP(Inv_Sy[[#This Row],[Date]],RD[#All],I$1,0)/I$2</f>
        <v>2.2759462759462759</v>
      </c>
      <c r="J7" s="1">
        <f>VLOOKUP(Inv_Sy[[#This Row],[Date]],RD[#All],J$1,0)/J$2</f>
        <v>2.2956730769230771</v>
      </c>
      <c r="K7" s="1">
        <f>VLOOKUP(Inv_Sy[[#This Row],[Date]],RD[#All],K$1,0)/K$2</f>
        <v>2.2830009496676165</v>
      </c>
      <c r="L7" s="1">
        <f>VLOOKUP(Inv_Sy[[#This Row],[Date]],RD[#All],L$1,0)/L$2</f>
        <v>2.3404255319148937</v>
      </c>
      <c r="M7" s="1">
        <f>VLOOKUP(Inv_Sy[[#This Row],[Date]],RD[#All],M$1,0)/M$2</f>
        <v>2.40234375</v>
      </c>
      <c r="N7" s="1">
        <f>VLOOKUP(Inv_Sy[[#This Row],[Date]],RD[#All],N$1,0)/N$2</f>
        <v>2.3445171849427169</v>
      </c>
      <c r="O7" s="1">
        <f>VLOOKUP(Inv_Sy[[#This Row],[Date]],RD[#All],O$1,0)/O$2</f>
        <v>2.421875</v>
      </c>
      <c r="P7" s="1">
        <f>AVERAGEIFS(Inv_Sy[[#This Row],[G1 Inv1]:[G5 Inv10]],Inv_Sy[[#This Row],[G1 Inv1]:[G5 Inv10]],"&lt;&gt;"&amp;0)</f>
        <v>2.318879106998982</v>
      </c>
      <c r="Q7" s="1">
        <f>VLOOKUP(Inv_Sy[[#This Row],[Date]],RD[#All],Q$1,0)/Q$2</f>
        <v>2.6171671511872159</v>
      </c>
      <c r="R7" s="1">
        <f>VLOOKUP(Inv_Sy[[#This Row],[Date]],RD[#All],R$1,0)/R$2</f>
        <v>2.5647575072862434</v>
      </c>
      <c r="S7" s="1">
        <f>VLOOKUP(Inv_Sy[[#This Row],[Date]],RD[#All],S$1,0)/S$2</f>
        <v>2.7151636331559295</v>
      </c>
      <c r="T7" s="1">
        <f>VLOOKUP(Inv_Sy[[#This Row],[Date]],RD[#All],T$1,0)/T$2</f>
        <v>2.6457536405240232</v>
      </c>
      <c r="U7" s="1">
        <f>VLOOKUP(Inv_Sy[[#This Row],[Date]],RD[#All],U$1,0)/U$2</f>
        <v>2.6194381292627473</v>
      </c>
      <c r="V7" s="1">
        <f>VLOOKUP(Inv_Sy[[#This Row],[Date]],RD[#All],V$1,0)/V$2</f>
        <v>2.6159536101883543</v>
      </c>
      <c r="W7" s="1">
        <f>VLOOKUP(Inv_Sy[[#This Row],[Date]],RD[#All],W$1,0)/W$2</f>
        <v>2.6034818924496581</v>
      </c>
      <c r="X7" s="1">
        <f>VLOOKUP(Inv_Sy[[#This Row],[Date]],RD[#All],X$1,0)/X$2</f>
        <v>2.5585814839283239</v>
      </c>
      <c r="Y7" s="1">
        <f>VLOOKUP(Inv_Sy[[#This Row],[Date]],RD[#All],Y$1,0)/Y$2</f>
        <v>2.5465936756392438</v>
      </c>
      <c r="Z7" s="1">
        <f>VLOOKUP(Inv_Sy[[#This Row],[Date]],RD[#All],Z$1,0)/Z$2</f>
        <v>2.5016624808733994</v>
      </c>
      <c r="AA7" s="1">
        <f t="shared" si="1"/>
        <v>2.598855320449514</v>
      </c>
      <c r="AB7" s="1">
        <f>MAX(Inv_Sy[[#This Row],[G1 Inv1]:[IS1_Inv2]])</f>
        <v>2.7151636331559295</v>
      </c>
      <c r="AC7"/>
    </row>
    <row r="8" spans="1:29" ht="15" customHeight="1" x14ac:dyDescent="0.35">
      <c r="A8" s="321" t="s">
        <v>141</v>
      </c>
      <c r="B8" s="321"/>
      <c r="C8" s="67">
        <f>YEAR(RD[[#This Row],[Month Year]])</f>
        <v>2025</v>
      </c>
      <c r="D8" s="169" t="s">
        <v>142</v>
      </c>
      <c r="E8" s="171">
        <f t="shared" si="2"/>
        <v>45841</v>
      </c>
      <c r="F8" s="1">
        <f>VLOOKUP(Inv_Sy[[#This Row],[Date]],RD[#All],F$1,0)/F$2</f>
        <v>2.6990327380952381</v>
      </c>
      <c r="G8" s="1">
        <f>VLOOKUP(Inv_Sy[[#This Row],[Date]],RD[#All],G$1,0)/G$2</f>
        <v>2.6888020833333335</v>
      </c>
      <c r="H8" s="1">
        <f>VLOOKUP(Inv_Sy[[#This Row],[Date]],RD[#All],H$1,0)/H$2</f>
        <v>2.6990327380952381</v>
      </c>
      <c r="I8" s="1">
        <f>VLOOKUP(Inv_Sy[[#This Row],[Date]],RD[#All],I$1,0)/I$2</f>
        <v>2.6845746845746845</v>
      </c>
      <c r="J8" s="1">
        <f>VLOOKUP(Inv_Sy[[#This Row],[Date]],RD[#All],J$1,0)/J$2</f>
        <v>2.6802884615384617</v>
      </c>
      <c r="K8" s="1">
        <f>VLOOKUP(Inv_Sy[[#This Row],[Date]],RD[#All],K$1,0)/K$2</f>
        <v>2.6970560303893638</v>
      </c>
      <c r="L8" s="1">
        <f>VLOOKUP(Inv_Sy[[#This Row],[Date]],RD[#All],L$1,0)/L$2</f>
        <v>2.7675941080196398</v>
      </c>
      <c r="M8" s="1">
        <f>VLOOKUP(Inv_Sy[[#This Row],[Date]],RD[#All],M$1,0)/M$2</f>
        <v>2.8199404761904763</v>
      </c>
      <c r="N8" s="1">
        <f>VLOOKUP(Inv_Sy[[#This Row],[Date]],RD[#All],N$1,0)/N$2</f>
        <v>2.7242225859247138</v>
      </c>
      <c r="O8" s="1">
        <f>VLOOKUP(Inv_Sy[[#This Row],[Date]],RD[#All],O$1,0)/O$2</f>
        <v>2.7790178571428572</v>
      </c>
      <c r="P8" s="1">
        <f>AVERAGEIFS(Inv_Sy[[#This Row],[G1 Inv1]:[G5 Inv10]],Inv_Sy[[#This Row],[G1 Inv1]:[G5 Inv10]],"&lt;&gt;"&amp;0)</f>
        <v>2.7239561763304008</v>
      </c>
      <c r="Q8" s="1">
        <f>VLOOKUP(Inv_Sy[[#This Row],[Date]],RD[#All],Q$1,0)/Q$2</f>
        <v>3.0086205447915448</v>
      </c>
      <c r="R8" s="1">
        <f>VLOOKUP(Inv_Sy[[#This Row],[Date]],RD[#All],R$1,0)/R$2</f>
        <v>2.9203916560238401</v>
      </c>
      <c r="S8" s="1">
        <f>VLOOKUP(Inv_Sy[[#This Row],[Date]],RD[#All],S$1,0)/S$2</f>
        <v>3.0745642960056787</v>
      </c>
      <c r="T8" s="1">
        <f>VLOOKUP(Inv_Sy[[#This Row],[Date]],RD[#All],T$1,0)/T$2</f>
        <v>2.9883527725953352</v>
      </c>
      <c r="U8" s="1">
        <f>VLOOKUP(Inv_Sy[[#This Row],[Date]],RD[#All],U$1,0)/U$2</f>
        <v>2.9657356284507954</v>
      </c>
      <c r="V8" s="1">
        <f>VLOOKUP(Inv_Sy[[#This Row],[Date]],RD[#All],V$1,0)/V$2</f>
        <v>2.9884778552242928</v>
      </c>
      <c r="W8" s="1">
        <f>VLOOKUP(Inv_Sy[[#This Row],[Date]],RD[#All],W$1,0)/W$2</f>
        <v>2.9764196832348953</v>
      </c>
      <c r="X8" s="1">
        <f>VLOOKUP(Inv_Sy[[#This Row],[Date]],RD[#All],X$1,0)/X$2</f>
        <v>2.9522784180348594</v>
      </c>
      <c r="Y8" s="1">
        <f>VLOOKUP(Inv_Sy[[#This Row],[Date]],RD[#All],Y$1,0)/Y$2</f>
        <v>2.9608819443489258</v>
      </c>
      <c r="Z8" s="1">
        <f>VLOOKUP(Inv_Sy[[#This Row],[Date]],RD[#All],Z$1,0)/Z$2</f>
        <v>2.9783909767640044</v>
      </c>
      <c r="AA8" s="1">
        <f t="shared" si="1"/>
        <v>2.9814113775474169</v>
      </c>
      <c r="AB8" s="1">
        <f>MAX(Inv_Sy[[#This Row],[G1 Inv1]:[IS1_Inv2]])</f>
        <v>3.0745642960056787</v>
      </c>
      <c r="AC8"/>
    </row>
    <row r="9" spans="1:29" ht="15" customHeight="1" x14ac:dyDescent="0.35">
      <c r="A9" s="321" t="s">
        <v>141</v>
      </c>
      <c r="B9" s="321"/>
      <c r="C9" s="67">
        <f>YEAR(RD[[#This Row],[Month Year]])</f>
        <v>2025</v>
      </c>
      <c r="D9" s="169" t="s">
        <v>142</v>
      </c>
      <c r="E9" s="171">
        <f t="shared" si="2"/>
        <v>45842</v>
      </c>
      <c r="F9" s="1">
        <f>VLOOKUP(Inv_Sy[[#This Row],[Date]],RD[#All],F$1,0)/F$2</f>
        <v>3.216145833333333</v>
      </c>
      <c r="G9" s="1">
        <f>VLOOKUP(Inv_Sy[[#This Row],[Date]],RD[#All],G$1,0)/G$2</f>
        <v>3.212076822916667</v>
      </c>
      <c r="H9" s="1">
        <f>VLOOKUP(Inv_Sy[[#This Row],[Date]],RD[#All],H$1,0)/H$2</f>
        <v>3.2021949404761902</v>
      </c>
      <c r="I9" s="1">
        <f>VLOOKUP(Inv_Sy[[#This Row],[Date]],RD[#All],I$1,0)/I$2</f>
        <v>3.1949531949531949</v>
      </c>
      <c r="J9" s="1">
        <f>VLOOKUP(Inv_Sy[[#This Row],[Date]],RD[#All],J$1,0)/J$2</f>
        <v>3.1907051282051282</v>
      </c>
      <c r="K9" s="1">
        <f>VLOOKUP(Inv_Sy[[#This Row],[Date]],RD[#All],K$1,0)/K$2</f>
        <v>3.2222222222222223</v>
      </c>
      <c r="L9" s="1">
        <f>VLOOKUP(Inv_Sy[[#This Row],[Date]],RD[#All],L$1,0)/L$2</f>
        <v>3.2839607201309331</v>
      </c>
      <c r="M9" s="1">
        <f>VLOOKUP(Inv_Sy[[#This Row],[Date]],RD[#All],M$1,0)/M$2</f>
        <v>3.3621651785714284</v>
      </c>
      <c r="N9" s="1">
        <f>VLOOKUP(Inv_Sy[[#This Row],[Date]],RD[#All],N$1,0)/N$2</f>
        <v>3.2725040916530279</v>
      </c>
      <c r="O9" s="1">
        <f>VLOOKUP(Inv_Sy[[#This Row],[Date]],RD[#All],O$1,0)/O$2</f>
        <v>3.3761160714285712</v>
      </c>
      <c r="P9" s="1">
        <f>AVERAGEIFS(Inv_Sy[[#This Row],[G1 Inv1]:[G5 Inv10]],Inv_Sy[[#This Row],[G1 Inv1]:[G5 Inv10]],"&lt;&gt;"&amp;0)</f>
        <v>3.2533044203890698</v>
      </c>
      <c r="Q9" s="1">
        <f>VLOOKUP(Inv_Sy[[#This Row],[Date]],RD[#All],Q$1,0)/Q$2</f>
        <v>3.7648927053050802</v>
      </c>
      <c r="R9" s="1">
        <f>VLOOKUP(Inv_Sy[[#This Row],[Date]],RD[#All],R$1,0)/R$2</f>
        <v>3.6615417362543807</v>
      </c>
      <c r="S9" s="1">
        <f>VLOOKUP(Inv_Sy[[#This Row],[Date]],RD[#All],S$1,0)/S$2</f>
        <v>3.8440244809147162</v>
      </c>
      <c r="T9" s="1">
        <f>VLOOKUP(Inv_Sy[[#This Row],[Date]],RD[#All],T$1,0)/T$2</f>
        <v>3.7241734061097929</v>
      </c>
      <c r="U9" s="1">
        <f>VLOOKUP(Inv_Sy[[#This Row],[Date]],RD[#All],U$1,0)/U$2</f>
        <v>3.7153296524845727</v>
      </c>
      <c r="V9" s="1">
        <f>VLOOKUP(Inv_Sy[[#This Row],[Date]],RD[#All],V$1,0)/V$2</f>
        <v>3.7436511057744606</v>
      </c>
      <c r="W9" s="1">
        <f>VLOOKUP(Inv_Sy[[#This Row],[Date]],RD[#All],W$1,0)/W$2</f>
        <v>3.7275054849778768</v>
      </c>
      <c r="X9" s="1">
        <f>VLOOKUP(Inv_Sy[[#This Row],[Date]],RD[#All],X$1,0)/X$2</f>
        <v>3.6837211578458002</v>
      </c>
      <c r="Y9" s="1">
        <f>VLOOKUP(Inv_Sy[[#This Row],[Date]],RD[#All],Y$1,0)/Y$2</f>
        <v>3.5806637965420949</v>
      </c>
      <c r="Z9" s="1">
        <f>VLOOKUP(Inv_Sy[[#This Row],[Date]],RD[#All],Z$1,0)/Z$2</f>
        <v>3.5044451187624679</v>
      </c>
      <c r="AA9" s="1">
        <f t="shared" si="1"/>
        <v>3.6949948644971244</v>
      </c>
      <c r="AB9" s="1">
        <f>MAX(Inv_Sy[[#This Row],[G1 Inv1]:[IS1_Inv2]])</f>
        <v>3.8440244809147162</v>
      </c>
      <c r="AC9"/>
    </row>
    <row r="10" spans="1:29" ht="15" customHeight="1" x14ac:dyDescent="0.35">
      <c r="A10" s="321" t="s">
        <v>141</v>
      </c>
      <c r="B10" s="321"/>
      <c r="C10" s="67">
        <f>YEAR(RD[[#This Row],[Month Year]])</f>
        <v>2025</v>
      </c>
      <c r="D10" s="169" t="s">
        <v>142</v>
      </c>
      <c r="E10" s="171">
        <f t="shared" si="2"/>
        <v>45843</v>
      </c>
      <c r="F10" s="1">
        <f>VLOOKUP(Inv_Sy[[#This Row],[Date]],RD[#All],F$1,0)/F$2</f>
        <v>3.1110491071428572</v>
      </c>
      <c r="G10" s="1">
        <f>VLOOKUP(Inv_Sy[[#This Row],[Date]],RD[#All],G$1,0)/G$2</f>
        <v>3.109537760416667</v>
      </c>
      <c r="H10" s="1">
        <f>VLOOKUP(Inv_Sy[[#This Row],[Date]],RD[#All],H$1,0)/H$2</f>
        <v>3.1129092261904763</v>
      </c>
      <c r="I10" s="1">
        <f>VLOOKUP(Inv_Sy[[#This Row],[Date]],RD[#All],I$1,0)/I$2</f>
        <v>3.0866910866910868</v>
      </c>
      <c r="J10" s="1">
        <f>VLOOKUP(Inv_Sy[[#This Row],[Date]],RD[#All],J$1,0)/J$2</f>
        <v>3.1073717948717947</v>
      </c>
      <c r="K10" s="1">
        <f>VLOOKUP(Inv_Sy[[#This Row],[Date]],RD[#All],K$1,0)/K$2</f>
        <v>3.0978157644824313</v>
      </c>
      <c r="L10" s="1">
        <f>VLOOKUP(Inv_Sy[[#This Row],[Date]],RD[#All],L$1,0)/L$2</f>
        <v>3.1890343698854338</v>
      </c>
      <c r="M10" s="1">
        <f>VLOOKUP(Inv_Sy[[#This Row],[Date]],RD[#All],M$1,0)/M$2</f>
        <v>3.2570684523809521</v>
      </c>
      <c r="N10" s="1">
        <f>VLOOKUP(Inv_Sy[[#This Row],[Date]],RD[#All],N$1,0)/N$2</f>
        <v>3.1440261865793779</v>
      </c>
      <c r="O10" s="1">
        <f>VLOOKUP(Inv_Sy[[#This Row],[Date]],RD[#All],O$1,0)/O$2</f>
        <v>3.2263764880952381</v>
      </c>
      <c r="P10" s="1">
        <f>AVERAGEIFS(Inv_Sy[[#This Row],[G1 Inv1]:[G5 Inv10]],Inv_Sy[[#This Row],[G1 Inv1]:[G5 Inv10]],"&lt;&gt;"&amp;0)</f>
        <v>3.1441880236736313</v>
      </c>
      <c r="Q10" s="1">
        <f>VLOOKUP(Inv_Sy[[#This Row],[Date]],RD[#All],Q$1,0)/Q$2</f>
        <v>3.4263724814733911</v>
      </c>
      <c r="R10" s="1">
        <f>VLOOKUP(Inv_Sy[[#This Row],[Date]],RD[#All],R$1,0)/R$2</f>
        <v>3.3601041359662056</v>
      </c>
      <c r="S10" s="1">
        <f>VLOOKUP(Inv_Sy[[#This Row],[Date]],RD[#All],S$1,0)/S$2</f>
        <v>3.5581337713126358</v>
      </c>
      <c r="T10" s="1">
        <f>VLOOKUP(Inv_Sy[[#This Row],[Date]],RD[#All],T$1,0)/T$2</f>
        <v>3.4674690040048826</v>
      </c>
      <c r="U10" s="1">
        <f>VLOOKUP(Inv_Sy[[#This Row],[Date]],RD[#All],U$1,0)/U$2</f>
        <v>3.4253004222150047</v>
      </c>
      <c r="V10" s="1">
        <f>VLOOKUP(Inv_Sy[[#This Row],[Date]],RD[#All],V$1,0)/V$2</f>
        <v>3.4277753139930884</v>
      </c>
      <c r="W10" s="1">
        <f>VLOOKUP(Inv_Sy[[#This Row],[Date]],RD[#All],W$1,0)/W$2</f>
        <v>3.3977148299962145</v>
      </c>
      <c r="X10" s="1">
        <f>VLOOKUP(Inv_Sy[[#This Row],[Date]],RD[#All],X$1,0)/X$2</f>
        <v>3.3417341587348193</v>
      </c>
      <c r="Y10" s="1">
        <f>VLOOKUP(Inv_Sy[[#This Row],[Date]],RD[#All],Y$1,0)/Y$2</f>
        <v>3.4558408868960004</v>
      </c>
      <c r="Z10" s="1">
        <f>VLOOKUP(Inv_Sy[[#This Row],[Date]],RD[#All],Z$1,0)/Z$2</f>
        <v>3.3447178301880696</v>
      </c>
      <c r="AA10" s="1">
        <f t="shared" si="1"/>
        <v>3.4205162834780309</v>
      </c>
      <c r="AB10" s="1">
        <f>MAX(Inv_Sy[[#This Row],[G1 Inv1]:[IS1_Inv2]])</f>
        <v>3.5581337713126358</v>
      </c>
      <c r="AC10"/>
    </row>
    <row r="11" spans="1:29" ht="15" customHeight="1" x14ac:dyDescent="0.35">
      <c r="A11" s="321" t="s">
        <v>141</v>
      </c>
      <c r="B11" s="321"/>
      <c r="C11" s="67">
        <f>YEAR(RD[[#This Row],[Month Year]])</f>
        <v>2025</v>
      </c>
      <c r="D11" s="169" t="s">
        <v>142</v>
      </c>
      <c r="E11" s="171">
        <f t="shared" si="2"/>
        <v>45844</v>
      </c>
      <c r="F11" s="1">
        <f>VLOOKUP(Inv_Sy[[#This Row],[Date]],RD[#All],F$1,0)/F$2</f>
        <v>2.6050967261904763</v>
      </c>
      <c r="G11" s="1">
        <f>VLOOKUP(Inv_Sy[[#This Row],[Date]],RD[#All],G$1,0)/G$2</f>
        <v>2.6082356770833335</v>
      </c>
      <c r="H11" s="1">
        <f>VLOOKUP(Inv_Sy[[#This Row],[Date]],RD[#All],H$1,0)/H$2</f>
        <v>2.6190476190476191</v>
      </c>
      <c r="I11" s="1">
        <f>VLOOKUP(Inv_Sy[[#This Row],[Date]],RD[#All],I$1,0)/I$2</f>
        <v>2.6056166056166057</v>
      </c>
      <c r="J11" s="1">
        <f>VLOOKUP(Inv_Sy[[#This Row],[Date]],RD[#All],J$1,0)/J$2</f>
        <v>2.6065705128205128</v>
      </c>
      <c r="K11" s="1">
        <f>VLOOKUP(Inv_Sy[[#This Row],[Date]],RD[#All],K$1,0)/K$2</f>
        <v>2.6049382716049383</v>
      </c>
      <c r="L11" s="1">
        <f>VLOOKUP(Inv_Sy[[#This Row],[Date]],RD[#All],L$1,0)/L$2</f>
        <v>2.6456628477905073</v>
      </c>
      <c r="M11" s="1">
        <f>VLOOKUP(Inv_Sy[[#This Row],[Date]],RD[#All],M$1,0)/M$2</f>
        <v>2.7036830357142856</v>
      </c>
      <c r="N11" s="1">
        <f>VLOOKUP(Inv_Sy[[#This Row],[Date]],RD[#All],N$1,0)/N$2</f>
        <v>2.6276595744680851</v>
      </c>
      <c r="O11" s="1">
        <f>VLOOKUP(Inv_Sy[[#This Row],[Date]],RD[#All],O$1,0)/O$2</f>
        <v>2.6943824404761902</v>
      </c>
      <c r="P11" s="1">
        <f>AVERAGEIFS(Inv_Sy[[#This Row],[G1 Inv1]:[G5 Inv10]],Inv_Sy[[#This Row],[G1 Inv1]:[G5 Inv10]],"&lt;&gt;"&amp;0)</f>
        <v>2.632089331081255</v>
      </c>
      <c r="Q11" s="1">
        <f>VLOOKUP(Inv_Sy[[#This Row],[Date]],RD[#All],Q$1,0)/Q$2</f>
        <v>2.8658690282142203</v>
      </c>
      <c r="R11" s="1">
        <f>VLOOKUP(Inv_Sy[[#This Row],[Date]],RD[#All],R$1,0)/R$2</f>
        <v>2.8024200150636935</v>
      </c>
      <c r="S11" s="1">
        <f>VLOOKUP(Inv_Sy[[#This Row],[Date]],RD[#All],S$1,0)/S$2</f>
        <v>2.9661056106996884</v>
      </c>
      <c r="T11" s="1">
        <f>VLOOKUP(Inv_Sy[[#This Row],[Date]],RD[#All],T$1,0)/T$2</f>
        <v>2.8890676094402554</v>
      </c>
      <c r="U11" s="1">
        <f>VLOOKUP(Inv_Sy[[#This Row],[Date]],RD[#All],U$1,0)/U$2</f>
        <v>2.8544982137057482</v>
      </c>
      <c r="V11" s="1">
        <f>VLOOKUP(Inv_Sy[[#This Row],[Date]],RD[#All],V$1,0)/V$2</f>
        <v>2.8600356458509402</v>
      </c>
      <c r="W11" s="1">
        <f>VLOOKUP(Inv_Sy[[#This Row],[Date]],RD[#All],W$1,0)/W$2</f>
        <v>2.8398956327771696</v>
      </c>
      <c r="X11" s="1">
        <f>VLOOKUP(Inv_Sy[[#This Row],[Date]],RD[#All],X$1,0)/X$2</f>
        <v>2.8015529292781003</v>
      </c>
      <c r="Y11" s="1">
        <f>VLOOKUP(Inv_Sy[[#This Row],[Date]],RD[#All],Y$1,0)/Y$2</f>
        <v>2.8518768138866339</v>
      </c>
      <c r="Z11" s="1">
        <f>VLOOKUP(Inv_Sy[[#This Row],[Date]],RD[#All],Z$1,0)/Z$2</f>
        <v>2.7242089496348991</v>
      </c>
      <c r="AA11" s="1">
        <f t="shared" si="1"/>
        <v>2.8455530448551345</v>
      </c>
      <c r="AB11" s="1">
        <f>MAX(Inv_Sy[[#This Row],[G1 Inv1]:[IS1_Inv2]])</f>
        <v>2.9661056106996884</v>
      </c>
      <c r="AC11"/>
    </row>
    <row r="12" spans="1:29" ht="15" customHeight="1" x14ac:dyDescent="0.35">
      <c r="A12" s="321" t="s">
        <v>141</v>
      </c>
      <c r="B12" s="321"/>
      <c r="C12" s="67">
        <f>YEAR(RD[[#This Row],[Month Year]])</f>
        <v>2025</v>
      </c>
      <c r="D12" s="169" t="s">
        <v>142</v>
      </c>
      <c r="E12" s="171">
        <f t="shared" si="2"/>
        <v>45845</v>
      </c>
      <c r="F12" s="1">
        <f>VLOOKUP(Inv_Sy[[#This Row],[Date]],RD[#All],F$1,0)/F$2</f>
        <v>1.4322916666666665</v>
      </c>
      <c r="G12" s="1">
        <f>VLOOKUP(Inv_Sy[[#This Row],[Date]],RD[#All],G$1,0)/G$2</f>
        <v>1.4314778645833335</v>
      </c>
      <c r="H12" s="1">
        <f>VLOOKUP(Inv_Sy[[#This Row],[Date]],RD[#All],H$1,0)/H$2</f>
        <v>1.4322916666666665</v>
      </c>
      <c r="I12" s="1">
        <f>VLOOKUP(Inv_Sy[[#This Row],[Date]],RD[#All],I$1,0)/I$2</f>
        <v>1.4318274318274318</v>
      </c>
      <c r="J12" s="1">
        <f>VLOOKUP(Inv_Sy[[#This Row],[Date]],RD[#All],J$1,0)/J$2</f>
        <v>1.4326923076923077</v>
      </c>
      <c r="K12" s="1">
        <f>VLOOKUP(Inv_Sy[[#This Row],[Date]],RD[#All],K$1,0)/K$2</f>
        <v>1.4529914529914529</v>
      </c>
      <c r="L12" s="1">
        <f>VLOOKUP(Inv_Sy[[#This Row],[Date]],RD[#All],L$1,0)/L$2</f>
        <v>1.4599018003273323</v>
      </c>
      <c r="M12" s="1">
        <f>VLOOKUP(Inv_Sy[[#This Row],[Date]],RD[#All],M$1,0)/M$2</f>
        <v>1.4834449404761905</v>
      </c>
      <c r="N12" s="1">
        <f>VLOOKUP(Inv_Sy[[#This Row],[Date]],RD[#All],N$1,0)/N$2</f>
        <v>1.4500818330605565</v>
      </c>
      <c r="O12" s="1">
        <f>VLOOKUP(Inv_Sy[[#This Row],[Date]],RD[#All],O$1,0)/O$2</f>
        <v>1.470424107142857</v>
      </c>
      <c r="P12" s="1">
        <f>AVERAGEIFS(Inv_Sy[[#This Row],[G1 Inv1]:[G5 Inv10]],Inv_Sy[[#This Row],[G1 Inv1]:[G5 Inv10]],"&lt;&gt;"&amp;0)</f>
        <v>1.4477425071434795</v>
      </c>
      <c r="Q12" s="1">
        <f>VLOOKUP(Inv_Sy[[#This Row],[Date]],RD[#All],Q$1,0)/Q$2</f>
        <v>1.5122082374094676</v>
      </c>
      <c r="R12" s="1">
        <f>VLOOKUP(Inv_Sy[[#This Row],[Date]],RD[#All],R$1,0)/R$2</f>
        <v>1.4758325965222521</v>
      </c>
      <c r="S12" s="1">
        <f>VLOOKUP(Inv_Sy[[#This Row],[Date]],RD[#All],S$1,0)/S$2</f>
        <v>1.5581589747251778</v>
      </c>
      <c r="T12" s="1">
        <f>VLOOKUP(Inv_Sy[[#This Row],[Date]],RD[#All],T$1,0)/T$2</f>
        <v>1.5155684198064101</v>
      </c>
      <c r="U12" s="1">
        <f>VLOOKUP(Inv_Sy[[#This Row],[Date]],RD[#All],U$1,0)/U$2</f>
        <v>1.5043845404352061</v>
      </c>
      <c r="V12" s="1">
        <f>VLOOKUP(Inv_Sy[[#This Row],[Date]],RD[#All],V$1,0)/V$2</f>
        <v>1.5081709327330999</v>
      </c>
      <c r="W12" s="1">
        <f>VLOOKUP(Inv_Sy[[#This Row],[Date]],RD[#All],W$1,0)/W$2</f>
        <v>1.5069747752074929</v>
      </c>
      <c r="X12" s="1">
        <f>VLOOKUP(Inv_Sy[[#This Row],[Date]],RD[#All],X$1,0)/X$2</f>
        <v>1.4852333064180676</v>
      </c>
      <c r="Y12" s="1">
        <f>VLOOKUP(Inv_Sy[[#This Row],[Date]],RD[#All],Y$1,0)/Y$2</f>
        <v>1.5173376614445069</v>
      </c>
      <c r="Z12" s="1">
        <f>VLOOKUP(Inv_Sy[[#This Row],[Date]],RD[#All],Z$1,0)/Z$2</f>
        <v>1.4562686827340867</v>
      </c>
      <c r="AA12" s="1">
        <f t="shared" si="1"/>
        <v>1.5040138127435767</v>
      </c>
      <c r="AB12" s="1">
        <f>MAX(Inv_Sy[[#This Row],[G1 Inv1]:[IS1_Inv2]])</f>
        <v>1.5581589747251778</v>
      </c>
      <c r="AC12"/>
    </row>
    <row r="13" spans="1:29" ht="15" customHeight="1" x14ac:dyDescent="0.35">
      <c r="A13" s="321" t="s">
        <v>141</v>
      </c>
      <c r="B13" s="321"/>
      <c r="C13" s="67">
        <f>YEAR(RD[[#This Row],[Month Year]])</f>
        <v>2025</v>
      </c>
      <c r="D13" s="169" t="s">
        <v>142</v>
      </c>
      <c r="E13" s="171">
        <f t="shared" si="2"/>
        <v>45846</v>
      </c>
      <c r="F13" s="1">
        <f>VLOOKUP(Inv_Sy[[#This Row],[Date]],RD[#All],F$1,0)/F$2</f>
        <v>2.0070684523809521</v>
      </c>
      <c r="G13" s="1">
        <f>VLOOKUP(Inv_Sy[[#This Row],[Date]],RD[#All],G$1,0)/G$2</f>
        <v>1.9661458333333335</v>
      </c>
      <c r="H13" s="1">
        <f>VLOOKUP(Inv_Sy[[#This Row],[Date]],RD[#All],H$1,0)/H$2</f>
        <v>1.9996279761904761</v>
      </c>
      <c r="I13" s="1">
        <f>VLOOKUP(Inv_Sy[[#This Row],[Date]],RD[#All],I$1,0)/I$2</f>
        <v>1.982905982905983</v>
      </c>
      <c r="J13" s="1">
        <f>VLOOKUP(Inv_Sy[[#This Row],[Date]],RD[#All],J$1,0)/J$2</f>
        <v>1.8693910256410255</v>
      </c>
      <c r="K13" s="1">
        <f>VLOOKUP(Inv_Sy[[#This Row],[Date]],RD[#All],K$1,0)/K$2</f>
        <v>1.8945868945868947</v>
      </c>
      <c r="L13" s="1">
        <f>VLOOKUP(Inv_Sy[[#This Row],[Date]],RD[#All],L$1,0)/L$2</f>
        <v>2.0286415711947625</v>
      </c>
      <c r="M13" s="1">
        <f>VLOOKUP(Inv_Sy[[#This Row],[Date]],RD[#All],M$1,0)/M$2</f>
        <v>2.0665922619047619</v>
      </c>
      <c r="N13" s="1">
        <f>VLOOKUP(Inv_Sy[[#This Row],[Date]],RD[#All],N$1,0)/N$2</f>
        <v>2.0302782324058919</v>
      </c>
      <c r="O13" s="1">
        <f>VLOOKUP(Inv_Sy[[#This Row],[Date]],RD[#All],O$1,0)/O$2</f>
        <v>2.063802083333333</v>
      </c>
      <c r="P13" s="1">
        <f>AVERAGEIFS(Inv_Sy[[#This Row],[G1 Inv1]:[G5 Inv10]],Inv_Sy[[#This Row],[G1 Inv1]:[G5 Inv10]],"&lt;&gt;"&amp;0)</f>
        <v>1.9909040313877413</v>
      </c>
      <c r="Q13" s="1">
        <f>VLOOKUP(Inv_Sy[[#This Row],[Date]],RD[#All],Q$1,0)/Q$2</f>
        <v>2.1994152145053691</v>
      </c>
      <c r="R13" s="1">
        <f>VLOOKUP(Inv_Sy[[#This Row],[Date]],RD[#All],R$1,0)/R$2</f>
        <v>2.1473130955889581</v>
      </c>
      <c r="S13" s="1">
        <f>VLOOKUP(Inv_Sy[[#This Row],[Date]],RD[#All],S$1,0)/S$2</f>
        <v>2.2654507420304708</v>
      </c>
      <c r="T13" s="1">
        <f>VLOOKUP(Inv_Sy[[#This Row],[Date]],RD[#All],T$1,0)/T$2</f>
        <v>2.2032161534347683</v>
      </c>
      <c r="U13" s="1">
        <f>VLOOKUP(Inv_Sy[[#This Row],[Date]],RD[#All],U$1,0)/U$2</f>
        <v>2.1856122117570638</v>
      </c>
      <c r="V13" s="1">
        <f>VLOOKUP(Inv_Sy[[#This Row],[Date]],RD[#All],V$1,0)/V$2</f>
        <v>2.191801454283778</v>
      </c>
      <c r="W13" s="1">
        <f>VLOOKUP(Inv_Sy[[#This Row],[Date]],RD[#All],W$1,0)/W$2</f>
        <v>2.1824309747589257</v>
      </c>
      <c r="X13" s="1">
        <f>VLOOKUP(Inv_Sy[[#This Row],[Date]],RD[#All],X$1,0)/X$2</f>
        <v>2.1512637940737478</v>
      </c>
      <c r="Y13" s="1">
        <f>VLOOKUP(Inv_Sy[[#This Row],[Date]],RD[#All],Y$1,0)/Y$2</f>
        <v>2.163459554626356</v>
      </c>
      <c r="Z13" s="1">
        <f>VLOOKUP(Inv_Sy[[#This Row],[Date]],RD[#All],Z$1,0)/Z$2</f>
        <v>2.063154904479982</v>
      </c>
      <c r="AA13" s="1">
        <f t="shared" si="1"/>
        <v>2.1753118099539424</v>
      </c>
      <c r="AB13" s="1">
        <f>MAX(Inv_Sy[[#This Row],[G1 Inv1]:[IS1_Inv2]])</f>
        <v>2.2654507420304708</v>
      </c>
      <c r="AC13"/>
    </row>
    <row r="14" spans="1:29" ht="15" customHeight="1" x14ac:dyDescent="0.35">
      <c r="A14" s="321" t="s">
        <v>141</v>
      </c>
      <c r="B14" s="321"/>
      <c r="C14" s="67">
        <f>YEAR(RD[[#This Row],[Month Year]])</f>
        <v>2025</v>
      </c>
      <c r="D14" s="169" t="s">
        <v>142</v>
      </c>
      <c r="E14" s="171">
        <f t="shared" si="2"/>
        <v>45847</v>
      </c>
      <c r="F14" s="1">
        <f>VLOOKUP(Inv_Sy[[#This Row],[Date]],RD[#All],F$1,0)/F$2</f>
        <v>1.89453125</v>
      </c>
      <c r="G14" s="1">
        <f>VLOOKUP(Inv_Sy[[#This Row],[Date]],RD[#All],G$1,0)/G$2</f>
        <v>1.884765625</v>
      </c>
      <c r="H14" s="1">
        <f>VLOOKUP(Inv_Sy[[#This Row],[Date]],RD[#All],H$1,0)/H$2</f>
        <v>1.8954613095238095</v>
      </c>
      <c r="I14" s="1">
        <f>VLOOKUP(Inv_Sy[[#This Row],[Date]],RD[#All],I$1,0)/I$2</f>
        <v>1.8860398860398861</v>
      </c>
      <c r="J14" s="1">
        <f>VLOOKUP(Inv_Sy[[#This Row],[Date]],RD[#All],J$1,0)/J$2</f>
        <v>1.8886217948717949</v>
      </c>
      <c r="K14" s="1">
        <f>VLOOKUP(Inv_Sy[[#This Row],[Date]],RD[#All],K$1,0)/K$2</f>
        <v>1.895536562203229</v>
      </c>
      <c r="L14" s="1">
        <f>VLOOKUP(Inv_Sy[[#This Row],[Date]],RD[#All],L$1,0)/L$2</f>
        <v>1.9320785597381342</v>
      </c>
      <c r="M14" s="1">
        <f>VLOOKUP(Inv_Sy[[#This Row],[Date]],RD[#All],M$1,0)/M$2</f>
        <v>1.9698660714285714</v>
      </c>
      <c r="N14" s="1">
        <f>VLOOKUP(Inv_Sy[[#This Row],[Date]],RD[#All],N$1,0)/N$2</f>
        <v>1.927986906710311</v>
      </c>
      <c r="O14" s="1">
        <f>VLOOKUP(Inv_Sy[[#This Row],[Date]],RD[#All],O$1,0)/O$2</f>
        <v>1.9707961309523809</v>
      </c>
      <c r="P14" s="1">
        <f>AVERAGEIFS(Inv_Sy[[#This Row],[G1 Inv1]:[G5 Inv10]],Inv_Sy[[#This Row],[G1 Inv1]:[G5 Inv10]],"&lt;&gt;"&amp;0)</f>
        <v>1.9145684096468116</v>
      </c>
      <c r="Q14" s="1">
        <f>VLOOKUP(Inv_Sy[[#This Row],[Date]],RD[#All],Q$1,0)/Q$2</f>
        <v>2.1108571812666996</v>
      </c>
      <c r="R14" s="1">
        <f>VLOOKUP(Inv_Sy[[#This Row],[Date]],RD[#All],R$1,0)/R$2</f>
        <v>2.0598781805678361</v>
      </c>
      <c r="S14" s="1">
        <f>VLOOKUP(Inv_Sy[[#This Row],[Date]],RD[#All],S$1,0)/S$2</f>
        <v>2.1734582862519582</v>
      </c>
      <c r="T14" s="1">
        <f>VLOOKUP(Inv_Sy[[#This Row],[Date]],RD[#All],T$1,0)/T$2</f>
        <v>2.1125857824626149</v>
      </c>
      <c r="U14" s="1">
        <f>VLOOKUP(Inv_Sy[[#This Row],[Date]],RD[#All],U$1,0)/U$2</f>
        <v>2.0955667424488467</v>
      </c>
      <c r="V14" s="1">
        <f>VLOOKUP(Inv_Sy[[#This Row],[Date]],RD[#All],V$1,0)/V$2</f>
        <v>2.1034399082914259</v>
      </c>
      <c r="W14" s="1">
        <f>VLOOKUP(Inv_Sy[[#This Row],[Date]],RD[#All],W$1,0)/W$2</f>
        <v>2.0957296547007993</v>
      </c>
      <c r="X14" s="1">
        <f>VLOOKUP(Inv_Sy[[#This Row],[Date]],RD[#All],X$1,0)/X$2</f>
        <v>2.0660321188839137</v>
      </c>
      <c r="Y14" s="1">
        <f>VLOOKUP(Inv_Sy[[#This Row],[Date]],RD[#All],Y$1,0)/Y$2</f>
        <v>2.0739171698554388</v>
      </c>
      <c r="Z14" s="1">
        <f>VLOOKUP(Inv_Sy[[#This Row],[Date]],RD[#All],Z$1,0)/Z$2</f>
        <v>1.977480647431386</v>
      </c>
      <c r="AA14" s="1">
        <f t="shared" si="1"/>
        <v>2.0868945672160915</v>
      </c>
      <c r="AB14" s="1">
        <f>MAX(Inv_Sy[[#This Row],[G1 Inv1]:[IS1_Inv2]])</f>
        <v>2.1734582862519582</v>
      </c>
      <c r="AC14"/>
    </row>
    <row r="15" spans="1:29" ht="15" customHeight="1" x14ac:dyDescent="0.35">
      <c r="A15" s="321" t="s">
        <v>141</v>
      </c>
      <c r="B15" s="321"/>
      <c r="C15" s="67">
        <f>YEAR(RD[[#This Row],[Month Year]])</f>
        <v>2025</v>
      </c>
      <c r="D15" s="169" t="s">
        <v>142</v>
      </c>
      <c r="E15" s="171">
        <f t="shared" si="2"/>
        <v>45848</v>
      </c>
      <c r="F15" s="1">
        <f>VLOOKUP(Inv_Sy[[#This Row],[Date]],RD[#All],F$1,0)/F$2</f>
        <v>1.5959821428571428</v>
      </c>
      <c r="G15" s="1">
        <f>VLOOKUP(Inv_Sy[[#This Row],[Date]],RD[#All],G$1,0)/G$2</f>
        <v>1.5494791666666667</v>
      </c>
      <c r="H15" s="1">
        <f>VLOOKUP(Inv_Sy[[#This Row],[Date]],RD[#All],H$1,0)/H$2</f>
        <v>1.5792410714285714</v>
      </c>
      <c r="I15" s="1">
        <f>VLOOKUP(Inv_Sy[[#This Row],[Date]],RD[#All],I$1,0)/I$2</f>
        <v>1.3658933658933659</v>
      </c>
      <c r="J15" s="1">
        <f>VLOOKUP(Inv_Sy[[#This Row],[Date]],RD[#All],J$1,0)/J$2</f>
        <v>1.5528846153846154</v>
      </c>
      <c r="K15" s="1">
        <f>VLOOKUP(Inv_Sy[[#This Row],[Date]],RD[#All],K$1,0)/K$2</f>
        <v>1.5830959164292497</v>
      </c>
      <c r="L15" s="1">
        <f>VLOOKUP(Inv_Sy[[#This Row],[Date]],RD[#All],L$1,0)/L$2</f>
        <v>1.2422258592471358</v>
      </c>
      <c r="M15" s="1">
        <f>VLOOKUP(Inv_Sy[[#This Row],[Date]],RD[#All],M$1,0)/M$2</f>
        <v>1.4109002976190474</v>
      </c>
      <c r="N15" s="1">
        <f>VLOOKUP(Inv_Sy[[#This Row],[Date]],RD[#All],N$1,0)/N$2</f>
        <v>1.3527004909983633</v>
      </c>
      <c r="O15" s="1">
        <f>VLOOKUP(Inv_Sy[[#This Row],[Date]],RD[#All],O$1,0)/O$2</f>
        <v>1.3039434523809523</v>
      </c>
      <c r="P15" s="1">
        <f>AVERAGEIFS(Inv_Sy[[#This Row],[G1 Inv1]:[G5 Inv10]],Inv_Sy[[#This Row],[G1 Inv1]:[G5 Inv10]],"&lt;&gt;"&amp;0)</f>
        <v>1.4536346378905107</v>
      </c>
      <c r="Q15" s="1">
        <f>VLOOKUP(Inv_Sy[[#This Row],[Date]],RD[#All],Q$1,0)/Q$2</f>
        <v>1.8444268934110808</v>
      </c>
      <c r="R15" s="1">
        <f>VLOOKUP(Inv_Sy[[#This Row],[Date]],RD[#All],R$1,0)/R$2</f>
        <v>1.7997838687493863</v>
      </c>
      <c r="S15" s="1">
        <f>VLOOKUP(Inv_Sy[[#This Row],[Date]],RD[#All],S$1,0)/S$2</f>
        <v>1.9026056127999729</v>
      </c>
      <c r="T15" s="1">
        <f>VLOOKUP(Inv_Sy[[#This Row],[Date]],RD[#All],T$1,0)/T$2</f>
        <v>1.8530236659576811</v>
      </c>
      <c r="U15" s="1">
        <f>VLOOKUP(Inv_Sy[[#This Row],[Date]],RD[#All],U$1,0)/U$2</f>
        <v>1.8394771029555048</v>
      </c>
      <c r="V15" s="1">
        <f>VLOOKUP(Inv_Sy[[#This Row],[Date]],RD[#All],V$1,0)/V$2</f>
        <v>1.8389410002593947</v>
      </c>
      <c r="W15" s="1">
        <f>VLOOKUP(Inv_Sy[[#This Row],[Date]],RD[#All],W$1,0)/W$2</f>
        <v>1.8294385580715671</v>
      </c>
      <c r="X15" s="1">
        <f>VLOOKUP(Inv_Sy[[#This Row],[Date]],RD[#All],X$1,0)/X$2</f>
        <v>1.8001419168562969</v>
      </c>
      <c r="Y15" s="1">
        <f>VLOOKUP(Inv_Sy[[#This Row],[Date]],RD[#All],Y$1,0)/Y$2</f>
        <v>1.8252341719048728</v>
      </c>
      <c r="Z15" s="1">
        <f>VLOOKUP(Inv_Sy[[#This Row],[Date]],RD[#All],Z$1,0)/Z$2</f>
        <v>1.7393100865781297</v>
      </c>
      <c r="AA15" s="1">
        <f t="shared" si="1"/>
        <v>1.8272382877543887</v>
      </c>
      <c r="AB15" s="1">
        <f>MAX(Inv_Sy[[#This Row],[G1 Inv1]:[IS1_Inv2]])</f>
        <v>1.9026056127999729</v>
      </c>
      <c r="AC15"/>
    </row>
    <row r="16" spans="1:29" ht="15" customHeight="1" x14ac:dyDescent="0.35">
      <c r="A16" s="321" t="s">
        <v>141</v>
      </c>
      <c r="B16" s="321"/>
      <c r="C16" s="67">
        <f>YEAR(RD[[#This Row],[Month Year]])</f>
        <v>2025</v>
      </c>
      <c r="D16" s="169" t="s">
        <v>142</v>
      </c>
      <c r="E16" s="171">
        <f t="shared" si="2"/>
        <v>45849</v>
      </c>
      <c r="F16" s="1">
        <f>VLOOKUP(Inv_Sy[[#This Row],[Date]],RD[#All],F$1,0)/F$2</f>
        <v>3.26171875</v>
      </c>
      <c r="G16" s="1">
        <f>VLOOKUP(Inv_Sy[[#This Row],[Date]],RD[#All],G$1,0)/G$2</f>
        <v>3.207194010416667</v>
      </c>
      <c r="H16" s="1">
        <f>VLOOKUP(Inv_Sy[[#This Row],[Date]],RD[#All],H$1,0)/H$2</f>
        <v>3.2607886904761902</v>
      </c>
      <c r="I16" s="1">
        <f>VLOOKUP(Inv_Sy[[#This Row],[Date]],RD[#All],I$1,0)/I$2</f>
        <v>2.6992266992266991</v>
      </c>
      <c r="J16" s="1">
        <f>VLOOKUP(Inv_Sy[[#This Row],[Date]],RD[#All],J$1,0)/J$2</f>
        <v>3.2628205128205128</v>
      </c>
      <c r="K16" s="1">
        <f>VLOOKUP(Inv_Sy[[#This Row],[Date]],RD[#All],K$1,0)/K$2</f>
        <v>3.2687559354226021</v>
      </c>
      <c r="L16" s="1">
        <f>VLOOKUP(Inv_Sy[[#This Row],[Date]],RD[#All],L$1,0)/L$2</f>
        <v>3.3698854337152211</v>
      </c>
      <c r="M16" s="1">
        <f>VLOOKUP(Inv_Sy[[#This Row],[Date]],RD[#All],M$1,0)/M$2</f>
        <v>3.4170386904761902</v>
      </c>
      <c r="N16" s="1">
        <f>VLOOKUP(Inv_Sy[[#This Row],[Date]],RD[#All],N$1,0)/N$2</f>
        <v>3.3117839607201311</v>
      </c>
      <c r="O16" s="1">
        <f>VLOOKUP(Inv_Sy[[#This Row],[Date]],RD[#All],O$1,0)/O$2</f>
        <v>3.4579613095238093</v>
      </c>
      <c r="P16" s="1">
        <f>AVERAGEIFS(Inv_Sy[[#This Row],[G1 Inv1]:[G5 Inv10]],Inv_Sy[[#This Row],[G1 Inv1]:[G5 Inv10]],"&lt;&gt;"&amp;0)</f>
        <v>3.2517173992798023</v>
      </c>
      <c r="Q16" s="1">
        <f>VLOOKUP(Inv_Sy[[#This Row],[Date]],RD[#All],Q$1,0)/Q$2</f>
        <v>3.8296728225982628</v>
      </c>
      <c r="R16" s="1">
        <f>VLOOKUP(Inv_Sy[[#This Row],[Date]],RD[#All],R$1,0)/R$2</f>
        <v>3.7175393784589192</v>
      </c>
      <c r="S16" s="1">
        <f>VLOOKUP(Inv_Sy[[#This Row],[Date]],RD[#All],S$1,0)/S$2</f>
        <v>3.9424018012038826</v>
      </c>
      <c r="T16" s="1">
        <f>VLOOKUP(Inv_Sy[[#This Row],[Date]],RD[#All],T$1,0)/T$2</f>
        <v>3.5065788667937663</v>
      </c>
      <c r="U16" s="1">
        <f>VLOOKUP(Inv_Sy[[#This Row],[Date]],RD[#All],U$1,0)/U$2</f>
        <v>3.8559597271841501</v>
      </c>
      <c r="V16" s="1">
        <f>VLOOKUP(Inv_Sy[[#This Row],[Date]],RD[#All],V$1,0)/V$2</f>
        <v>3.8666543942297236</v>
      </c>
      <c r="W16" s="1">
        <f>VLOOKUP(Inv_Sy[[#This Row],[Date]],RD[#All],W$1,0)/W$2</f>
        <v>3.8371643376711124</v>
      </c>
      <c r="X16" s="1">
        <f>VLOOKUP(Inv_Sy[[#This Row],[Date]],RD[#All],X$1,0)/X$2</f>
        <v>3.7796373779637382</v>
      </c>
      <c r="Y16" s="1">
        <f>VLOOKUP(Inv_Sy[[#This Row],[Date]],RD[#All],Y$1,0)/Y$2</f>
        <v>3.7220609878546957</v>
      </c>
      <c r="Z16" s="1">
        <f>VLOOKUP(Inv_Sy[[#This Row],[Date]],RD[#All],Z$1,0)/Z$2</f>
        <v>3.5797248352045652</v>
      </c>
      <c r="AA16" s="1">
        <f t="shared" si="1"/>
        <v>3.7637394529162811</v>
      </c>
      <c r="AB16" s="1">
        <f>MAX(Inv_Sy[[#This Row],[G1 Inv1]:[IS1_Inv2]])</f>
        <v>3.9424018012038826</v>
      </c>
      <c r="AC16"/>
    </row>
    <row r="17" spans="1:29" ht="15" customHeight="1" x14ac:dyDescent="0.35">
      <c r="A17" s="321" t="s">
        <v>141</v>
      </c>
      <c r="B17" s="321"/>
      <c r="C17" s="67">
        <f>YEAR(RD[[#This Row],[Month Year]])</f>
        <v>2025</v>
      </c>
      <c r="D17" s="169" t="s">
        <v>142</v>
      </c>
      <c r="E17" s="171">
        <f t="shared" si="2"/>
        <v>45850</v>
      </c>
      <c r="F17" s="1">
        <f>VLOOKUP(Inv_Sy[[#This Row],[Date]],RD[#All],F$1,0)/F$2</f>
        <v>3.5342261904761902</v>
      </c>
      <c r="G17" s="1">
        <f>VLOOKUP(Inv_Sy[[#This Row],[Date]],RD[#All],G$1,0)/G$2</f>
        <v>3.507486979166667</v>
      </c>
      <c r="H17" s="1">
        <f>VLOOKUP(Inv_Sy[[#This Row],[Date]],RD[#All],H$1,0)/H$2</f>
        <v>3.5370163690476191</v>
      </c>
      <c r="I17" s="1">
        <f>VLOOKUP(Inv_Sy[[#This Row],[Date]],RD[#All],I$1,0)/I$2</f>
        <v>3.5335775335775335</v>
      </c>
      <c r="J17" s="1">
        <f>VLOOKUP(Inv_Sy[[#This Row],[Date]],RD[#All],J$1,0)/J$2</f>
        <v>3.5496794871794872</v>
      </c>
      <c r="K17" s="1">
        <f>VLOOKUP(Inv_Sy[[#This Row],[Date]],RD[#All],K$1,0)/K$2</f>
        <v>3.5280151946818612</v>
      </c>
      <c r="L17" s="1">
        <f>VLOOKUP(Inv_Sy[[#This Row],[Date]],RD[#All],L$1,0)/L$2</f>
        <v>3.5949263502454993</v>
      </c>
      <c r="M17" s="1">
        <f>VLOOKUP(Inv_Sy[[#This Row],[Date]],RD[#All],M$1,0)/M$2</f>
        <v>3.6328125</v>
      </c>
      <c r="N17" s="1">
        <f>VLOOKUP(Inv_Sy[[#This Row],[Date]],RD[#All],N$1,0)/N$2</f>
        <v>3.513911620294599</v>
      </c>
      <c r="O17" s="1">
        <f>VLOOKUP(Inv_Sy[[#This Row],[Date]],RD[#All],O$1,0)/O$2</f>
        <v>3.6197916666666665</v>
      </c>
      <c r="P17" s="1">
        <f>AVERAGEIFS(Inv_Sy[[#This Row],[G1 Inv1]:[G5 Inv10]],Inv_Sy[[#This Row],[G1 Inv1]:[G5 Inv10]],"&lt;&gt;"&amp;0)</f>
        <v>3.5551443891336119</v>
      </c>
      <c r="Q17" s="1">
        <f>VLOOKUP(Inv_Sy[[#This Row],[Date]],RD[#All],Q$1,0)/Q$2</f>
        <v>3.9914970844746183</v>
      </c>
      <c r="R17" s="1">
        <f>VLOOKUP(Inv_Sy[[#This Row],[Date]],RD[#All],R$1,0)/R$2</f>
        <v>3.883894947113339</v>
      </c>
      <c r="S17" s="1">
        <f>VLOOKUP(Inv_Sy[[#This Row],[Date]],RD[#All],S$1,0)/S$2</f>
        <v>4.0911859465771663</v>
      </c>
      <c r="T17" s="1">
        <f>VLOOKUP(Inv_Sy[[#This Row],[Date]],RD[#All],T$1,0)/T$2</f>
        <v>3.9233969242828151</v>
      </c>
      <c r="U17" s="1">
        <f>VLOOKUP(Inv_Sy[[#This Row],[Date]],RD[#All],U$1,0)/U$2</f>
        <v>3.9509581032802852</v>
      </c>
      <c r="V17" s="1">
        <f>VLOOKUP(Inv_Sy[[#This Row],[Date]],RD[#All],V$1,0)/V$2</f>
        <v>3.9786961651423742</v>
      </c>
      <c r="W17" s="1">
        <f>VLOOKUP(Inv_Sy[[#This Row],[Date]],RD[#All],W$1,0)/W$2</f>
        <v>3.9479629260270848</v>
      </c>
      <c r="X17" s="1">
        <f>VLOOKUP(Inv_Sy[[#This Row],[Date]],RD[#All],X$1,0)/X$2</f>
        <v>3.8987986004061761</v>
      </c>
      <c r="Y17" s="1">
        <f>VLOOKUP(Inv_Sy[[#This Row],[Date]],RD[#All],Y$1,0)/Y$2</f>
        <v>4.0054055541036808</v>
      </c>
      <c r="Z17" s="1">
        <f>VLOOKUP(Inv_Sy[[#This Row],[Date]],RD[#All],Z$1,0)/Z$2</f>
        <v>3.844301402940169</v>
      </c>
      <c r="AA17" s="1">
        <f t="shared" si="1"/>
        <v>3.951609765434771</v>
      </c>
      <c r="AB17" s="1">
        <f>MAX(Inv_Sy[[#This Row],[G1 Inv1]:[IS1_Inv2]])</f>
        <v>4.0911859465771663</v>
      </c>
      <c r="AC17"/>
    </row>
    <row r="18" spans="1:29" ht="15" customHeight="1" x14ac:dyDescent="0.35">
      <c r="A18" s="321" t="s">
        <v>141</v>
      </c>
      <c r="B18" s="321"/>
      <c r="C18" s="67">
        <f>YEAR(RD[[#This Row],[Month Year]])</f>
        <v>2025</v>
      </c>
      <c r="D18" s="169" t="s">
        <v>142</v>
      </c>
      <c r="E18" s="171">
        <f t="shared" si="2"/>
        <v>45851</v>
      </c>
      <c r="F18" s="1">
        <f>VLOOKUP(Inv_Sy[[#This Row],[Date]],RD[#All],F$1,0)/F$2</f>
        <v>3.3035714285714284</v>
      </c>
      <c r="G18" s="1">
        <f>VLOOKUP(Inv_Sy[[#This Row],[Date]],RD[#All],G$1,0)/G$2</f>
        <v>3.287760416666667</v>
      </c>
      <c r="H18" s="1">
        <f>VLOOKUP(Inv_Sy[[#This Row],[Date]],RD[#All],H$1,0)/H$2</f>
        <v>3.3165922619047619</v>
      </c>
      <c r="I18" s="1">
        <f>VLOOKUP(Inv_Sy[[#This Row],[Date]],RD[#All],I$1,0)/I$2</f>
        <v>3.2926332926332926</v>
      </c>
      <c r="J18" s="1">
        <f>VLOOKUP(Inv_Sy[[#This Row],[Date]],RD[#All],J$1,0)/J$2</f>
        <v>3.3141025641025643</v>
      </c>
      <c r="K18" s="1">
        <f>VLOOKUP(Inv_Sy[[#This Row],[Date]],RD[#All],K$1,0)/K$2</f>
        <v>3.3551756885090218</v>
      </c>
      <c r="L18" s="1">
        <f>VLOOKUP(Inv_Sy[[#This Row],[Date]],RD[#All],L$1,0)/L$2</f>
        <v>3.3813420621931258</v>
      </c>
      <c r="M18" s="1">
        <f>VLOOKUP(Inv_Sy[[#This Row],[Date]],RD[#All],M$1,0)/M$2</f>
        <v>3.4375</v>
      </c>
      <c r="N18" s="1">
        <f>VLOOKUP(Inv_Sy[[#This Row],[Date]],RD[#All],N$1,0)/N$2</f>
        <v>3.3518821603927988</v>
      </c>
      <c r="O18" s="1">
        <f>VLOOKUP(Inv_Sy[[#This Row],[Date]],RD[#All],O$1,0)/O$2</f>
        <v>3.4765625</v>
      </c>
      <c r="P18" s="1">
        <f>AVERAGEIFS(Inv_Sy[[#This Row],[G1 Inv1]:[G5 Inv10]],Inv_Sy[[#This Row],[G1 Inv1]:[G5 Inv10]],"&lt;&gt;"&amp;0)</f>
        <v>3.3517122374973658</v>
      </c>
      <c r="Q18" s="1">
        <f>VLOOKUP(Inv_Sy[[#This Row],[Date]],RD[#All],Q$1,0)/Q$2</f>
        <v>3.8046345930867602</v>
      </c>
      <c r="R18" s="1">
        <f>VLOOKUP(Inv_Sy[[#This Row],[Date]],RD[#All],R$1,0)/R$2</f>
        <v>3.7218783770507913</v>
      </c>
      <c r="S18" s="1">
        <f>VLOOKUP(Inv_Sy[[#This Row],[Date]],RD[#All],S$1,0)/S$2</f>
        <v>3.950802938717902</v>
      </c>
      <c r="T18" s="1">
        <f>VLOOKUP(Inv_Sy[[#This Row],[Date]],RD[#All],T$1,0)/T$2</f>
        <v>3.7965144049218007</v>
      </c>
      <c r="U18" s="1">
        <f>VLOOKUP(Inv_Sy[[#This Row],[Date]],RD[#All],U$1,0)/U$2</f>
        <v>3.8162552776875609</v>
      </c>
      <c r="V18" s="1">
        <f>VLOOKUP(Inv_Sy[[#This Row],[Date]],RD[#All],V$1,0)/V$2</f>
        <v>3.8072446426628961</v>
      </c>
      <c r="W18" s="1">
        <f>VLOOKUP(Inv_Sy[[#This Row],[Date]],RD[#All],W$1,0)/W$2</f>
        <v>3.7652795812285538</v>
      </c>
      <c r="X18" s="1">
        <f>VLOOKUP(Inv_Sy[[#This Row],[Date]],RD[#All],X$1,0)/X$2</f>
        <v>3.6981575277104897</v>
      </c>
      <c r="Y18" s="1">
        <f>VLOOKUP(Inv_Sy[[#This Row],[Date]],RD[#All],Y$1,0)/Y$2</f>
        <v>3.7779733986217887</v>
      </c>
      <c r="Z18" s="1">
        <f>VLOOKUP(Inv_Sy[[#This Row],[Date]],RD[#All],Z$1,0)/Z$2</f>
        <v>3.6024507873380287</v>
      </c>
      <c r="AA18" s="1">
        <f t="shared" si="1"/>
        <v>3.7741191529026565</v>
      </c>
      <c r="AB18" s="1">
        <f>MAX(Inv_Sy[[#This Row],[G1 Inv1]:[IS1_Inv2]])</f>
        <v>3.950802938717902</v>
      </c>
      <c r="AC18"/>
    </row>
    <row r="19" spans="1:29" ht="15" customHeight="1" x14ac:dyDescent="0.35">
      <c r="A19" s="321" t="s">
        <v>141</v>
      </c>
      <c r="B19" s="321"/>
      <c r="C19" s="67">
        <f>YEAR(RD[[#This Row],[Month Year]])</f>
        <v>2025</v>
      </c>
      <c r="D19" s="169" t="s">
        <v>142</v>
      </c>
      <c r="E19" s="171">
        <f t="shared" si="2"/>
        <v>45852</v>
      </c>
      <c r="F19" s="1">
        <f>VLOOKUP(Inv_Sy[[#This Row],[Date]],RD[#All],F$1,0)/F$2</f>
        <v>3.5212053571428572</v>
      </c>
      <c r="G19" s="1">
        <f>VLOOKUP(Inv_Sy[[#This Row],[Date]],RD[#All],G$1,0)/G$2</f>
        <v>3.419596354166667</v>
      </c>
      <c r="H19" s="1">
        <f>VLOOKUP(Inv_Sy[[#This Row],[Date]],RD[#All],H$1,0)/H$2</f>
        <v>3.4951636904761902</v>
      </c>
      <c r="I19" s="1">
        <f>VLOOKUP(Inv_Sy[[#This Row],[Date]],RD[#All],I$1,0)/I$2</f>
        <v>3.4708994708994707</v>
      </c>
      <c r="J19" s="1">
        <f>VLOOKUP(Inv_Sy[[#This Row],[Date]],RD[#All],J$1,0)/J$2</f>
        <v>2.4254807692307692</v>
      </c>
      <c r="K19" s="1">
        <f>VLOOKUP(Inv_Sy[[#This Row],[Date]],RD[#All],K$1,0)/K$2</f>
        <v>2.5061728395061729</v>
      </c>
      <c r="L19" s="1">
        <f>VLOOKUP(Inv_Sy[[#This Row],[Date]],RD[#All],L$1,0)/L$2</f>
        <v>2.8625204582651391</v>
      </c>
      <c r="M19" s="1">
        <f>VLOOKUP(Inv_Sy[[#This Row],[Date]],RD[#All],M$1,0)/M$2</f>
        <v>3.5146949404761902</v>
      </c>
      <c r="N19" s="1">
        <f>VLOOKUP(Inv_Sy[[#This Row],[Date]],RD[#All],N$1,0)/N$2</f>
        <v>3.4852700490998365</v>
      </c>
      <c r="O19" s="1">
        <f>VLOOKUP(Inv_Sy[[#This Row],[Date]],RD[#All],O$1,0)/O$2</f>
        <v>3.5565476190476191</v>
      </c>
      <c r="P19" s="1">
        <f>AVERAGEIFS(Inv_Sy[[#This Row],[G1 Inv1]:[G5 Inv10]],Inv_Sy[[#This Row],[G1 Inv1]:[G5 Inv10]],"&lt;&gt;"&amp;0)</f>
        <v>3.2257551548310905</v>
      </c>
      <c r="Q19" s="1">
        <f>VLOOKUP(Inv_Sy[[#This Row],[Date]],RD[#All],Q$1,0)/Q$2</f>
        <v>3.9725083600799884</v>
      </c>
      <c r="R19" s="1">
        <f>VLOOKUP(Inv_Sy[[#This Row],[Date]],RD[#All],R$1,0)/R$2</f>
        <v>3.8283885122965593</v>
      </c>
      <c r="S19" s="1">
        <f>VLOOKUP(Inv_Sy[[#This Row],[Date]],RD[#All],S$1,0)/S$2</f>
        <v>4.1168094159949256</v>
      </c>
      <c r="T19" s="1">
        <f>VLOOKUP(Inv_Sy[[#This Row],[Date]],RD[#All],T$1,0)/T$2</f>
        <v>4.0114145278035194</v>
      </c>
      <c r="U19" s="1">
        <f>VLOOKUP(Inv_Sy[[#This Row],[Date]],RD[#All],U$1,0)/U$2</f>
        <v>3.9702825592724906</v>
      </c>
      <c r="V19" s="1">
        <f>VLOOKUP(Inv_Sy[[#This Row],[Date]],RD[#All],V$1,0)/V$2</f>
        <v>3.9803696792710173</v>
      </c>
      <c r="W19" s="1">
        <f>VLOOKUP(Inv_Sy[[#This Row],[Date]],RD[#All],W$1,0)/W$2</f>
        <v>3.9263893581252978</v>
      </c>
      <c r="X19" s="1">
        <f>VLOOKUP(Inv_Sy[[#This Row],[Date]],RD[#All],X$1,0)/X$2</f>
        <v>3.8754720366700113</v>
      </c>
      <c r="Y19" s="1">
        <f>VLOOKUP(Inv_Sy[[#This Row],[Date]],RD[#All],Y$1,0)/Y$2</f>
        <v>3.9481176842771264</v>
      </c>
      <c r="Z19" s="1">
        <f>VLOOKUP(Inv_Sy[[#This Row],[Date]],RD[#All],Z$1,0)/Z$2</f>
        <v>3.7630819490086442</v>
      </c>
      <c r="AA19" s="1">
        <f t="shared" si="1"/>
        <v>3.9392834082799579</v>
      </c>
      <c r="AB19" s="1">
        <f>MAX(Inv_Sy[[#This Row],[G1 Inv1]:[IS1_Inv2]])</f>
        <v>4.1168094159949256</v>
      </c>
      <c r="AC19"/>
    </row>
    <row r="20" spans="1:29" ht="15" customHeight="1" x14ac:dyDescent="0.35">
      <c r="A20" s="321" t="s">
        <v>141</v>
      </c>
      <c r="B20" s="321"/>
      <c r="C20" s="67">
        <f>YEAR(RD[[#This Row],[Month Year]])</f>
        <v>2025</v>
      </c>
      <c r="D20" s="169" t="s">
        <v>142</v>
      </c>
      <c r="E20" s="171">
        <f t="shared" si="2"/>
        <v>45853</v>
      </c>
      <c r="F20" s="1">
        <f>VLOOKUP(Inv_Sy[[#This Row],[Date]],RD[#All],F$1,0)/F$2</f>
        <v>3.1538318452380949</v>
      </c>
      <c r="G20" s="1">
        <f>VLOOKUP(Inv_Sy[[#This Row],[Date]],RD[#All],G$1,0)/G$2</f>
        <v>3.2039388020833335</v>
      </c>
      <c r="H20" s="1">
        <f>VLOOKUP(Inv_Sy[[#This Row],[Date]],RD[#All],H$1,0)/H$2</f>
        <v>3.2040550595238093</v>
      </c>
      <c r="I20" s="1">
        <f>VLOOKUP(Inv_Sy[[#This Row],[Date]],RD[#All],I$1,0)/I$2</f>
        <v>3.1859991859991861</v>
      </c>
      <c r="J20" s="1">
        <f>VLOOKUP(Inv_Sy[[#This Row],[Date]],RD[#All],J$1,0)/J$2</f>
        <v>3.2179487179487181</v>
      </c>
      <c r="K20" s="1">
        <f>VLOOKUP(Inv_Sy[[#This Row],[Date]],RD[#All],K$1,0)/K$2</f>
        <v>3.1908831908831909</v>
      </c>
      <c r="L20" s="1">
        <f>VLOOKUP(Inv_Sy[[#This Row],[Date]],RD[#All],L$1,0)/L$2</f>
        <v>3.257774140752864</v>
      </c>
      <c r="M20" s="1">
        <f>VLOOKUP(Inv_Sy[[#This Row],[Date]],RD[#All],M$1,0)/M$2</f>
        <v>3.2635788690476191</v>
      </c>
      <c r="N20" s="1">
        <f>VLOOKUP(Inv_Sy[[#This Row],[Date]],RD[#All],N$1,0)/N$2</f>
        <v>3.1865793780687399</v>
      </c>
      <c r="O20" s="1">
        <f>VLOOKUP(Inv_Sy[[#This Row],[Date]],RD[#All],O$1,0)/O$2</f>
        <v>3.2468377976190474</v>
      </c>
      <c r="P20" s="1">
        <f>AVERAGEIFS(Inv_Sy[[#This Row],[G1 Inv1]:[G5 Inv10]],Inv_Sy[[#This Row],[G1 Inv1]:[G5 Inv10]],"&lt;&gt;"&amp;0)</f>
        <v>3.2111426987164604</v>
      </c>
      <c r="Q20" s="1">
        <f>VLOOKUP(Inv_Sy[[#This Row],[Date]],RD[#All],Q$1,0)/Q$2</f>
        <v>3.4851871145541016</v>
      </c>
      <c r="R20" s="1">
        <f>VLOOKUP(Inv_Sy[[#This Row],[Date]],RD[#All],R$1,0)/R$2</f>
        <v>3.2928087238432071</v>
      </c>
      <c r="S20" s="1">
        <f>VLOOKUP(Inv_Sy[[#This Row],[Date]],RD[#All],S$1,0)/S$2</f>
        <v>3.558889873688897</v>
      </c>
      <c r="T20" s="1">
        <f>VLOOKUP(Inv_Sy[[#This Row],[Date]],RD[#All],T$1,0)/T$2</f>
        <v>3.457671126061947</v>
      </c>
      <c r="U20" s="1">
        <f>VLOOKUP(Inv_Sy[[#This Row],[Date]],RD[#All],U$1,0)/U$2</f>
        <v>3.4316336472880797</v>
      </c>
      <c r="V20" s="1">
        <f>VLOOKUP(Inv_Sy[[#This Row],[Date]],RD[#All],V$1,0)/V$2</f>
        <v>3.4584842982536883</v>
      </c>
      <c r="W20" s="1">
        <f>VLOOKUP(Inv_Sy[[#This Row],[Date]],RD[#All],W$1,0)/W$2</f>
        <v>3.4455837278311234</v>
      </c>
      <c r="X20" s="1">
        <f>VLOOKUP(Inv_Sy[[#This Row],[Date]],RD[#All],X$1,0)/X$2</f>
        <v>3.400539936545222</v>
      </c>
      <c r="Y20" s="1">
        <f>VLOOKUP(Inv_Sy[[#This Row],[Date]],RD[#All],Y$1,0)/Y$2</f>
        <v>3.4830749762733304</v>
      </c>
      <c r="Z20" s="1">
        <f>VLOOKUP(Inv_Sy[[#This Row],[Date]],RD[#All],Z$1,0)/Z$2</f>
        <v>3.3780320100200782</v>
      </c>
      <c r="AA20" s="1">
        <f t="shared" si="1"/>
        <v>3.4391905434359673</v>
      </c>
      <c r="AB20" s="1">
        <f>MAX(Inv_Sy[[#This Row],[G1 Inv1]:[IS1_Inv2]])</f>
        <v>3.558889873688897</v>
      </c>
      <c r="AC20"/>
    </row>
    <row r="21" spans="1:29" ht="15" customHeight="1" x14ac:dyDescent="0.35">
      <c r="A21" s="321" t="s">
        <v>141</v>
      </c>
      <c r="B21" s="321"/>
      <c r="C21" s="67">
        <f>YEAR(RD[[#This Row],[Month Year]])</f>
        <v>2025</v>
      </c>
      <c r="D21" s="169" t="s">
        <v>142</v>
      </c>
      <c r="E21" s="171">
        <f t="shared" si="2"/>
        <v>45854</v>
      </c>
      <c r="F21" s="1">
        <f>VLOOKUP(Inv_Sy[[#This Row],[Date]],RD[#All],F$1,0)/F$2</f>
        <v>4.1871279761904763</v>
      </c>
      <c r="G21" s="1">
        <f>VLOOKUP(Inv_Sy[[#This Row],[Date]],RD[#All],G$1,0)/G$2</f>
        <v>4.200846354166667</v>
      </c>
      <c r="H21" s="1">
        <f>VLOOKUP(Inv_Sy[[#This Row],[Date]],RD[#All],H$1,0)/H$2</f>
        <v>4.1713169642857144</v>
      </c>
      <c r="I21" s="1">
        <f>VLOOKUP(Inv_Sy[[#This Row],[Date]],RD[#All],I$1,0)/I$2</f>
        <v>3.7207977207977208</v>
      </c>
      <c r="J21" s="1">
        <f>VLOOKUP(Inv_Sy[[#This Row],[Date]],RD[#All],J$1,0)/J$2</f>
        <v>4.1810897435897436</v>
      </c>
      <c r="K21" s="1">
        <f>VLOOKUP(Inv_Sy[[#This Row],[Date]],RD[#All],K$1,0)/K$2</f>
        <v>4.1975308641975309</v>
      </c>
      <c r="L21" s="1">
        <f>VLOOKUP(Inv_Sy[[#This Row],[Date]],RD[#All],L$1,0)/L$2</f>
        <v>4.1963993453355153</v>
      </c>
      <c r="M21" s="1">
        <f>VLOOKUP(Inv_Sy[[#This Row],[Date]],RD[#All],M$1,0)/M$2</f>
        <v>4.39453125</v>
      </c>
      <c r="N21" s="1">
        <f>VLOOKUP(Inv_Sy[[#This Row],[Date]],RD[#All],N$1,0)/N$2</f>
        <v>4.2749590834697218</v>
      </c>
      <c r="O21" s="1">
        <f>VLOOKUP(Inv_Sy[[#This Row],[Date]],RD[#All],O$1,0)/O$2</f>
        <v>4.4233630952380949</v>
      </c>
      <c r="P21" s="1">
        <f>AVERAGEIFS(Inv_Sy[[#This Row],[G1 Inv1]:[G5 Inv10]],Inv_Sy[[#This Row],[G1 Inv1]:[G5 Inv10]],"&lt;&gt;"&amp;0)</f>
        <v>4.1947962397271192</v>
      </c>
      <c r="Q21" s="1">
        <f>VLOOKUP(Inv_Sy[[#This Row],[Date]],RD[#All],Q$1,0)/Q$2</f>
        <v>4.8490144347913766</v>
      </c>
      <c r="R21" s="1">
        <f>VLOOKUP(Inv_Sy[[#This Row],[Date]],RD[#All],R$1,0)/R$2</f>
        <v>4.567901234567902</v>
      </c>
      <c r="S21" s="1">
        <f>VLOOKUP(Inv_Sy[[#This Row],[Date]],RD[#All],S$1,0)/S$2</f>
        <v>4.9227305377148065</v>
      </c>
      <c r="T21" s="1">
        <f>VLOOKUP(Inv_Sy[[#This Row],[Date]],RD[#All],T$1,0)/T$2</f>
        <v>4.7902641752840358</v>
      </c>
      <c r="U21" s="1">
        <f>VLOOKUP(Inv_Sy[[#This Row],[Date]],RD[#All],U$1,0)/U$2</f>
        <v>4.7505683663527112</v>
      </c>
      <c r="V21" s="1">
        <f>VLOOKUP(Inv_Sy[[#This Row],[Date]],RD[#All],V$1,0)/V$2</f>
        <v>4.7809788384138434</v>
      </c>
      <c r="W21" s="1">
        <f>VLOOKUP(Inv_Sy[[#This Row],[Date]],RD[#All],W$1,0)/W$2</f>
        <v>4.7841218540242849</v>
      </c>
      <c r="X21" s="1">
        <f>VLOOKUP(Inv_Sy[[#This Row],[Date]],RD[#All],X$1,0)/X$2</f>
        <v>4.7329271575032417</v>
      </c>
      <c r="Y21" s="1">
        <f>VLOOKUP(Inv_Sy[[#This Row],[Date]],RD[#All],Y$1,0)/Y$2</f>
        <v>4.6593675639244587</v>
      </c>
      <c r="Z21" s="1">
        <f>VLOOKUP(Inv_Sy[[#This Row],[Date]],RD[#All],Z$1,0)/Z$2</f>
        <v>4.5023855793503724</v>
      </c>
      <c r="AA21" s="1">
        <f t="shared" si="1"/>
        <v>4.7340259741927042</v>
      </c>
      <c r="AB21" s="1">
        <f>MAX(Inv_Sy[[#This Row],[G1 Inv1]:[IS1_Inv2]])</f>
        <v>4.9227305377148065</v>
      </c>
      <c r="AC21"/>
    </row>
    <row r="22" spans="1:29" ht="15" customHeight="1" x14ac:dyDescent="0.35">
      <c r="A22" s="321" t="s">
        <v>141</v>
      </c>
      <c r="B22" s="321"/>
      <c r="C22" s="67">
        <f>YEAR(RD[[#This Row],[Month Year]])</f>
        <v>2025</v>
      </c>
      <c r="D22" s="169" t="s">
        <v>142</v>
      </c>
      <c r="E22" s="171">
        <f t="shared" si="2"/>
        <v>45855</v>
      </c>
      <c r="F22" s="1">
        <f>VLOOKUP(Inv_Sy[[#This Row],[Date]],RD[#All],F$1,0)/F$2</f>
        <v>2.686941964285714</v>
      </c>
      <c r="G22" s="1">
        <f>VLOOKUP(Inv_Sy[[#This Row],[Date]],RD[#All],G$1,0)/G$2</f>
        <v>2.3372395833333335</v>
      </c>
      <c r="H22" s="1">
        <f>VLOOKUP(Inv_Sy[[#This Row],[Date]],RD[#All],H$1,0)/H$2</f>
        <v>2.8459821428571428</v>
      </c>
      <c r="I22" s="1">
        <f>VLOOKUP(Inv_Sy[[#This Row],[Date]],RD[#All],I$1,0)/I$2</f>
        <v>2.8213268213268212</v>
      </c>
      <c r="J22" s="1">
        <f>VLOOKUP(Inv_Sy[[#This Row],[Date]],RD[#All],J$1,0)/J$2</f>
        <v>2.8205128205128207</v>
      </c>
      <c r="K22" s="1">
        <f>VLOOKUP(Inv_Sy[[#This Row],[Date]],RD[#All],K$1,0)/K$2</f>
        <v>2.8461538461538463</v>
      </c>
      <c r="L22" s="1">
        <f>VLOOKUP(Inv_Sy[[#This Row],[Date]],RD[#All],L$1,0)/L$2</f>
        <v>2.6129296235679216</v>
      </c>
      <c r="M22" s="1">
        <f>VLOOKUP(Inv_Sy[[#This Row],[Date]],RD[#All],M$1,0)/M$2</f>
        <v>2.9482886904761902</v>
      </c>
      <c r="N22" s="1">
        <f>VLOOKUP(Inv_Sy[[#This Row],[Date]],RD[#All],N$1,0)/N$2</f>
        <v>2.8780687397708675</v>
      </c>
      <c r="O22" s="1">
        <f>VLOOKUP(Inv_Sy[[#This Row],[Date]],RD[#All],O$1,0)/O$2</f>
        <v>3.0022321428571428</v>
      </c>
      <c r="P22" s="1">
        <f>AVERAGEIFS(Inv_Sy[[#This Row],[G1 Inv1]:[G5 Inv10]],Inv_Sy[[#This Row],[G1 Inv1]:[G5 Inv10]],"&lt;&gt;"&amp;0)</f>
        <v>2.7799676375141802</v>
      </c>
      <c r="Q22" s="1">
        <f>VLOOKUP(Inv_Sy[[#This Row],[Date]],RD[#All],Q$1,0)/Q$2</f>
        <v>3.2989967904014526</v>
      </c>
      <c r="R22" s="1">
        <f>VLOOKUP(Inv_Sy[[#This Row],[Date]],RD[#All],R$1,0)/R$2</f>
        <v>3.1415987163113606</v>
      </c>
      <c r="S22" s="1">
        <f>VLOOKUP(Inv_Sy[[#This Row],[Date]],RD[#All],S$1,0)/S$2</f>
        <v>3.4173307065776704</v>
      </c>
      <c r="T22" s="1">
        <f>VLOOKUP(Inv_Sy[[#This Row],[Date]],RD[#All],T$1,0)/T$2</f>
        <v>3.3208274307922805</v>
      </c>
      <c r="U22" s="1">
        <f>VLOOKUP(Inv_Sy[[#This Row],[Date]],RD[#All],U$1,0)/U$2</f>
        <v>3.3035888275414091</v>
      </c>
      <c r="V22" s="1">
        <f>VLOOKUP(Inv_Sy[[#This Row],[Date]],RD[#All],V$1,0)/V$2</f>
        <v>3.2986636989682787</v>
      </c>
      <c r="W22" s="1">
        <f>VLOOKUP(Inv_Sy[[#This Row],[Date]],RD[#All],W$1,0)/W$2</f>
        <v>3.2668894578521681</v>
      </c>
      <c r="X22" s="1">
        <f>VLOOKUP(Inv_Sy[[#This Row],[Date]],RD[#All],X$1,0)/X$2</f>
        <v>3.2016932149061637</v>
      </c>
      <c r="Y22" s="1">
        <f>VLOOKUP(Inv_Sy[[#This Row],[Date]],RD[#All],Y$1,0)/Y$2</f>
        <v>3.2829456831217412</v>
      </c>
      <c r="Z22" s="1">
        <f>VLOOKUP(Inv_Sy[[#This Row],[Date]],RD[#All],Z$1,0)/Z$2</f>
        <v>3.274105972664294</v>
      </c>
      <c r="AA22" s="1">
        <f t="shared" si="1"/>
        <v>3.2806640499136819</v>
      </c>
      <c r="AB22" s="1">
        <f>MAX(Inv_Sy[[#This Row],[G1 Inv1]:[IS1_Inv2]])</f>
        <v>3.4173307065776704</v>
      </c>
      <c r="AC22"/>
    </row>
    <row r="23" spans="1:29" ht="15" customHeight="1" x14ac:dyDescent="0.35">
      <c r="A23" s="321" t="s">
        <v>141</v>
      </c>
      <c r="B23" s="321"/>
      <c r="C23" s="67">
        <f>YEAR(RD[[#This Row],[Month Year]])</f>
        <v>2025</v>
      </c>
      <c r="D23" s="169" t="s">
        <v>142</v>
      </c>
      <c r="E23" s="171">
        <f t="shared" ref="E23:E65" si="3">E22+1</f>
        <v>45856</v>
      </c>
      <c r="F23" s="1">
        <f>VLOOKUP(Inv_Sy[[#This Row],[Date]],RD[#All],F$1,0)/F$2</f>
        <v>2.7529761904761902</v>
      </c>
      <c r="G23" s="1">
        <f>VLOOKUP(Inv_Sy[[#This Row],[Date]],RD[#All],G$1,0)/G$2</f>
        <v>2.767740885416667</v>
      </c>
      <c r="H23" s="1">
        <f>VLOOKUP(Inv_Sy[[#This Row],[Date]],RD[#All],H$1,0)/H$2</f>
        <v>2.7762276785714284</v>
      </c>
      <c r="I23" s="1">
        <f>VLOOKUP(Inv_Sy[[#This Row],[Date]],RD[#All],I$1,0)/I$2</f>
        <v>2.7757427757427759</v>
      </c>
      <c r="J23" s="1">
        <f>VLOOKUP(Inv_Sy[[#This Row],[Date]],RD[#All],J$1,0)/J$2</f>
        <v>2.7596153846153846</v>
      </c>
      <c r="K23" s="1">
        <f>VLOOKUP(Inv_Sy[[#This Row],[Date]],RD[#All],K$1,0)/K$2</f>
        <v>2.7616334283000952</v>
      </c>
      <c r="L23" s="1">
        <f>VLOOKUP(Inv_Sy[[#This Row],[Date]],RD[#All],L$1,0)/L$2</f>
        <v>2.8674304418985268</v>
      </c>
      <c r="M23" s="1">
        <f>VLOOKUP(Inv_Sy[[#This Row],[Date]],RD[#All],M$1,0)/M$2</f>
        <v>2.9175967261904763</v>
      </c>
      <c r="N23" s="1">
        <f>VLOOKUP(Inv_Sy[[#This Row],[Date]],RD[#All],N$1,0)/N$2</f>
        <v>2.8216039279869065</v>
      </c>
      <c r="O23" s="1">
        <f>VLOOKUP(Inv_Sy[[#This Row],[Date]],RD[#All],O$1,0)/O$2</f>
        <v>2.9445684523809521</v>
      </c>
      <c r="P23" s="1">
        <f>AVERAGEIFS(Inv_Sy[[#This Row],[G1 Inv1]:[G5 Inv10]],Inv_Sy[[#This Row],[G1 Inv1]:[G5 Inv10]],"&lt;&gt;"&amp;0)</f>
        <v>2.8145135891579405</v>
      </c>
      <c r="Q23" s="1">
        <f>VLOOKUP(Inv_Sy[[#This Row],[Date]],RD[#All],Q$1,0)/Q$2</f>
        <v>3.2648002823102389</v>
      </c>
      <c r="R23" s="1">
        <f>VLOOKUP(Inv_Sy[[#This Row],[Date]],RD[#All],R$1,0)/R$2</f>
        <v>3.1291547958214627</v>
      </c>
      <c r="S23" s="1">
        <f>VLOOKUP(Inv_Sy[[#This Row],[Date]],RD[#All],S$1,0)/S$2</f>
        <v>3.3500375950903751</v>
      </c>
      <c r="T23" s="1">
        <f>VLOOKUP(Inv_Sy[[#This Row],[Date]],RD[#All],T$1,0)/T$2</f>
        <v>3.2576311180603468</v>
      </c>
      <c r="U23" s="1">
        <f>VLOOKUP(Inv_Sy[[#This Row],[Date]],RD[#All],U$1,0)/U$2</f>
        <v>3.236278012341669</v>
      </c>
      <c r="V23" s="1">
        <f>VLOOKUP(Inv_Sy[[#This Row],[Date]],RD[#All],V$1,0)/V$2</f>
        <v>3.2442744897873803</v>
      </c>
      <c r="W23" s="1">
        <f>VLOOKUP(Inv_Sy[[#This Row],[Date]],RD[#All],W$1,0)/W$2</f>
        <v>3.2309063747857905</v>
      </c>
      <c r="X23" s="1">
        <f>VLOOKUP(Inv_Sy[[#This Row],[Date]],RD[#All],X$1,0)/X$2</f>
        <v>3.1764907387017054</v>
      </c>
      <c r="Y23" s="1">
        <f>VLOOKUP(Inv_Sy[[#This Row],[Date]],RD[#All],Y$1,0)/Y$2</f>
        <v>3.1515205699902333</v>
      </c>
      <c r="Z23" s="1">
        <f>VLOOKUP(Inv_Sy[[#This Row],[Date]],RD[#All],Z$1,0)/Z$2</f>
        <v>3.1348901471376274</v>
      </c>
      <c r="AA23" s="1">
        <f t="shared" si="1"/>
        <v>3.2175984124026824</v>
      </c>
      <c r="AB23" s="1">
        <f>MAX(Inv_Sy[[#This Row],[G1 Inv1]:[IS1_Inv2]])</f>
        <v>3.3500375950903751</v>
      </c>
      <c r="AC23"/>
    </row>
    <row r="24" spans="1:29" ht="15" customHeight="1" x14ac:dyDescent="0.35">
      <c r="A24" s="321" t="s">
        <v>141</v>
      </c>
      <c r="B24" s="321"/>
      <c r="C24" s="67">
        <f>YEAR(RD[[#This Row],[Month Year]])</f>
        <v>2025</v>
      </c>
      <c r="D24" s="169" t="s">
        <v>142</v>
      </c>
      <c r="E24" s="171">
        <f t="shared" si="3"/>
        <v>45857</v>
      </c>
      <c r="F24" s="1">
        <f>VLOOKUP(Inv_Sy[[#This Row],[Date]],RD[#All],F$1,0)/F$2</f>
        <v>3.6951264880952381</v>
      </c>
      <c r="G24" s="1">
        <f>VLOOKUP(Inv_Sy[[#This Row],[Date]],RD[#All],G$1,0)/G$2</f>
        <v>3.6767578125</v>
      </c>
      <c r="H24" s="1">
        <f>VLOOKUP(Inv_Sy[[#This Row],[Date]],RD[#All],H$1,0)/H$2</f>
        <v>3.6960565476190474</v>
      </c>
      <c r="I24" s="1">
        <f>VLOOKUP(Inv_Sy[[#This Row],[Date]],RD[#All],I$1,0)/I$2</f>
        <v>3.6947496947496949</v>
      </c>
      <c r="J24" s="1">
        <f>VLOOKUP(Inv_Sy[[#This Row],[Date]],RD[#All],J$1,0)/J$2</f>
        <v>3.65625</v>
      </c>
      <c r="K24" s="1">
        <f>VLOOKUP(Inv_Sy[[#This Row],[Date]],RD[#All],K$1,0)/K$2</f>
        <v>3.6894586894586894</v>
      </c>
      <c r="L24" s="1">
        <f>VLOOKUP(Inv_Sy[[#This Row],[Date]],RD[#All],L$1,0)/L$2</f>
        <v>3.7995090016366611</v>
      </c>
      <c r="M24" s="1">
        <f>VLOOKUP(Inv_Sy[[#This Row],[Date]],RD[#All],M$1,0)/M$2</f>
        <v>3.860677083333333</v>
      </c>
      <c r="N24" s="1">
        <f>VLOOKUP(Inv_Sy[[#This Row],[Date]],RD[#All],N$1,0)/N$2</f>
        <v>3.7078559738134205</v>
      </c>
      <c r="O24" s="1">
        <f>VLOOKUP(Inv_Sy[[#This Row],[Date]],RD[#All],O$1,0)/O$2</f>
        <v>3.8597470238095237</v>
      </c>
      <c r="P24" s="1">
        <f>AVERAGEIFS(Inv_Sy[[#This Row],[G1 Inv1]:[G5 Inv10]],Inv_Sy[[#This Row],[G1 Inv1]:[G5 Inv10]],"&lt;&gt;"&amp;0)</f>
        <v>3.7336188315015613</v>
      </c>
      <c r="Q24" s="1">
        <f>VLOOKUP(Inv_Sy[[#This Row],[Date]],RD[#All],Q$1,0)/Q$2</f>
        <v>4.1734023425028157</v>
      </c>
      <c r="R24" s="1">
        <f>VLOOKUP(Inv_Sy[[#This Row],[Date]],RD[#All],R$1,0)/R$2</f>
        <v>4.0686707928087245</v>
      </c>
      <c r="S24" s="1">
        <f>VLOOKUP(Inv_Sy[[#This Row],[Date]],RD[#All],S$1,0)/S$2</f>
        <v>4.2865123937781178</v>
      </c>
      <c r="T24" s="1">
        <f>VLOOKUP(Inv_Sy[[#This Row],[Date]],RD[#All],T$1,0)/T$2</f>
        <v>4.1541369498389473</v>
      </c>
      <c r="U24" s="1">
        <f>VLOOKUP(Inv_Sy[[#This Row],[Date]],RD[#All],U$1,0)/U$2</f>
        <v>4.1439590776226041</v>
      </c>
      <c r="V24" s="1">
        <f>VLOOKUP(Inv_Sy[[#This Row],[Date]],RD[#All],V$1,0)/V$2</f>
        <v>4.1683889916240622</v>
      </c>
      <c r="W24" s="1">
        <f>VLOOKUP(Inv_Sy[[#This Row],[Date]],RD[#All],W$1,0)/W$2</f>
        <v>4.1470910282450921</v>
      </c>
      <c r="X24" s="1">
        <f>VLOOKUP(Inv_Sy[[#This Row],[Date]],RD[#All],X$1,0)/X$2</f>
        <v>4.0885104439387643</v>
      </c>
      <c r="Y24" s="1">
        <f>VLOOKUP(Inv_Sy[[#This Row],[Date]],RD[#All],Y$1,0)/Y$2</f>
        <v>4.0613179648707742</v>
      </c>
      <c r="Z24" s="1">
        <f>VLOOKUP(Inv_Sy[[#This Row],[Date]],RD[#All],Z$1,0)/Z$2</f>
        <v>4.0614891954883809</v>
      </c>
      <c r="AA24" s="1">
        <f t="shared" si="1"/>
        <v>4.1353479180718278</v>
      </c>
      <c r="AB24" s="1">
        <f>MAX(Inv_Sy[[#This Row],[G1 Inv1]:[IS1_Inv2]])</f>
        <v>4.2865123937781178</v>
      </c>
      <c r="AC24"/>
    </row>
    <row r="25" spans="1:29" ht="15" customHeight="1" x14ac:dyDescent="0.35">
      <c r="A25" s="321" t="s">
        <v>141</v>
      </c>
      <c r="B25" s="321"/>
      <c r="C25" s="67">
        <f>YEAR(RD[[#This Row],[Month Year]])</f>
        <v>2025</v>
      </c>
      <c r="D25" s="169" t="s">
        <v>142</v>
      </c>
      <c r="E25" s="171">
        <f t="shared" si="3"/>
        <v>45858</v>
      </c>
      <c r="F25" s="1">
        <f>VLOOKUP(Inv_Sy[[#This Row],[Date]],RD[#All],F$1,0)/F$2</f>
        <v>4.6493675595238093</v>
      </c>
      <c r="G25" s="1">
        <f>VLOOKUP(Inv_Sy[[#This Row],[Date]],RD[#All],G$1,0)/G$2</f>
        <v>3.7890625</v>
      </c>
      <c r="H25" s="1">
        <f>VLOOKUP(Inv_Sy[[#This Row],[Date]],RD[#All],H$1,0)/H$2</f>
        <v>4.6540178571428568</v>
      </c>
      <c r="I25" s="1">
        <f>VLOOKUP(Inv_Sy[[#This Row],[Date]],RD[#All],I$1,0)/I$2</f>
        <v>4.6788766788766791</v>
      </c>
      <c r="J25" s="1">
        <f>VLOOKUP(Inv_Sy[[#This Row],[Date]],RD[#All],J$1,0)/J$2</f>
        <v>4.6818910256410255</v>
      </c>
      <c r="K25" s="1">
        <f>VLOOKUP(Inv_Sy[[#This Row],[Date]],RD[#All],K$1,0)/K$2</f>
        <v>4.749287749287749</v>
      </c>
      <c r="L25" s="1">
        <f>VLOOKUP(Inv_Sy[[#This Row],[Date]],RD[#All],L$1,0)/L$2</f>
        <v>4.8371522094926354</v>
      </c>
      <c r="M25" s="1">
        <f>VLOOKUP(Inv_Sy[[#This Row],[Date]],RD[#All],M$1,0)/M$2</f>
        <v>4.9237351190476186</v>
      </c>
      <c r="N25" s="1">
        <f>VLOOKUP(Inv_Sy[[#This Row],[Date]],RD[#All],N$1,0)/N$2</f>
        <v>4.6898527004909987</v>
      </c>
      <c r="O25" s="1">
        <f>VLOOKUP(Inv_Sy[[#This Row],[Date]],RD[#All],O$1,0)/O$2</f>
        <v>4.8753720238095237</v>
      </c>
      <c r="P25" s="1">
        <f>AVERAGEIFS(Inv_Sy[[#This Row],[G1 Inv1]:[G5 Inv10]],Inv_Sy[[#This Row],[G1 Inv1]:[G5 Inv10]],"&lt;&gt;"&amp;0)</f>
        <v>4.6528615423312907</v>
      </c>
      <c r="Q25" s="1">
        <f>VLOOKUP(Inv_Sy[[#This Row],[Date]],RD[#All],Q$1,0)/Q$2</f>
        <v>5.5749550488161459</v>
      </c>
      <c r="R25" s="1">
        <f>VLOOKUP(Inv_Sy[[#This Row],[Date]],RD[#All],R$1,0)/R$2</f>
        <v>5.4275141631463484</v>
      </c>
      <c r="S25" s="1">
        <f>VLOOKUP(Inv_Sy[[#This Row],[Date]],RD[#All],S$1,0)/S$2</f>
        <v>5.7093290431524419</v>
      </c>
      <c r="T25" s="1">
        <f>VLOOKUP(Inv_Sy[[#This Row],[Date]],RD[#All],T$1,0)/T$2</f>
        <v>5.5155520900098383</v>
      </c>
      <c r="U25" s="1">
        <f>VLOOKUP(Inv_Sy[[#This Row],[Date]],RD[#All],U$1,0)/U$2</f>
        <v>5.5107177655082813</v>
      </c>
      <c r="V25" s="1">
        <f>VLOOKUP(Inv_Sy[[#This Row],[Date]],RD[#All],V$1,0)/V$2</f>
        <v>5.5692876687111434</v>
      </c>
      <c r="W25" s="1">
        <f>VLOOKUP(Inv_Sy[[#This Row],[Date]],RD[#All],W$1,0)/W$2</f>
        <v>5.5369986689515649</v>
      </c>
      <c r="X25" s="1">
        <f>VLOOKUP(Inv_Sy[[#This Row],[Date]],RD[#All],X$1,0)/X$2</f>
        <v>5.4528697382694302</v>
      </c>
      <c r="Y25" s="1">
        <f>VLOOKUP(Inv_Sy[[#This Row],[Date]],RD[#All],Y$1,0)/Y$2</f>
        <v>5.2860267114149329</v>
      </c>
      <c r="Z25" s="1">
        <f>VLOOKUP(Inv_Sy[[#This Row],[Date]],RD[#All],Z$1,0)/Z$2</f>
        <v>5.2172846360942344</v>
      </c>
      <c r="AA25" s="1">
        <f t="shared" si="1"/>
        <v>5.4800535534074353</v>
      </c>
      <c r="AB25" s="1">
        <f>MAX(Inv_Sy[[#This Row],[G1 Inv1]:[IS1_Inv2]])</f>
        <v>5.7093290431524419</v>
      </c>
      <c r="AC25"/>
    </row>
    <row r="26" spans="1:29" ht="15" customHeight="1" x14ac:dyDescent="0.35">
      <c r="A26" s="321" t="s">
        <v>141</v>
      </c>
      <c r="B26" s="321"/>
      <c r="C26" s="67">
        <f>YEAR(RD[[#This Row],[Month Year]])</f>
        <v>2025</v>
      </c>
      <c r="D26" s="169" t="s">
        <v>142</v>
      </c>
      <c r="E26" s="171">
        <f t="shared" si="3"/>
        <v>45859</v>
      </c>
      <c r="F26" s="1">
        <f>VLOOKUP(Inv_Sy[[#This Row],[Date]],RD[#All],F$1,0)/F$2</f>
        <v>4.7405133928571423</v>
      </c>
      <c r="G26" s="1">
        <f>VLOOKUP(Inv_Sy[[#This Row],[Date]],RD[#All],G$1,0)/G$2</f>
        <v>4.659830729166667</v>
      </c>
      <c r="H26" s="1">
        <f>VLOOKUP(Inv_Sy[[#This Row],[Date]],RD[#All],H$1,0)/H$2</f>
        <v>4.74609375</v>
      </c>
      <c r="I26" s="1">
        <f>VLOOKUP(Inv_Sy[[#This Row],[Date]],RD[#All],I$1,0)/I$2</f>
        <v>4.8091168091168095</v>
      </c>
      <c r="J26" s="1">
        <f>VLOOKUP(Inv_Sy[[#This Row],[Date]],RD[#All],J$1,0)/J$2</f>
        <v>4.8269230769230766</v>
      </c>
      <c r="K26" s="1">
        <f>VLOOKUP(Inv_Sy[[#This Row],[Date]],RD[#All],K$1,0)/K$2</f>
        <v>4.7549857549857553</v>
      </c>
      <c r="L26" s="1">
        <f>VLOOKUP(Inv_Sy[[#This Row],[Date]],RD[#All],L$1,0)/L$2</f>
        <v>4.9451718494271688</v>
      </c>
      <c r="M26" s="1">
        <f>VLOOKUP(Inv_Sy[[#This Row],[Date]],RD[#All],M$1,0)/M$2</f>
        <v>4.8856026785714279</v>
      </c>
      <c r="N26" s="1">
        <f>VLOOKUP(Inv_Sy[[#This Row],[Date]],RD[#All],N$1,0)/N$2</f>
        <v>4.1031096563011458</v>
      </c>
      <c r="O26" s="1">
        <f>VLOOKUP(Inv_Sy[[#This Row],[Date]],RD[#All],O$1,0)/O$2</f>
        <v>4.9330357142857144</v>
      </c>
      <c r="P26" s="1">
        <f>AVERAGEIFS(Inv_Sy[[#This Row],[G1 Inv1]:[G5 Inv10]],Inv_Sy[[#This Row],[G1 Inv1]:[G5 Inv10]],"&lt;&gt;"&amp;0)</f>
        <v>4.7404383411634914</v>
      </c>
      <c r="Q26" s="1">
        <f>VLOOKUP(Inv_Sy[[#This Row],[Date]],RD[#All],Q$1,0)/Q$2</f>
        <v>5.4134668705573956</v>
      </c>
      <c r="R26" s="1">
        <f>VLOOKUP(Inv_Sy[[#This Row],[Date]],RD[#All],R$1,0)/R$2</f>
        <v>5.2939057536758689</v>
      </c>
      <c r="S26" s="1">
        <f>VLOOKUP(Inv_Sy[[#This Row],[Date]],RD[#All],S$1,0)/S$2</f>
        <v>5.5936453795843954</v>
      </c>
      <c r="T26" s="1">
        <f>VLOOKUP(Inv_Sy[[#This Row],[Date]],RD[#All],T$1,0)/T$2</f>
        <v>5.4377406093463581</v>
      </c>
      <c r="U26" s="1">
        <f>VLOOKUP(Inv_Sy[[#This Row],[Date]],RD[#All],U$1,0)/U$2</f>
        <v>5.3966385189996746</v>
      </c>
      <c r="V26" s="1">
        <f>VLOOKUP(Inv_Sy[[#This Row],[Date]],RD[#All],V$1,0)/V$2</f>
        <v>5.4793362842965809</v>
      </c>
      <c r="W26" s="1">
        <f>VLOOKUP(Inv_Sy[[#This Row],[Date]],RD[#All],W$1,0)/W$2</f>
        <v>5.3570018439294831</v>
      </c>
      <c r="X26" s="1">
        <f>VLOOKUP(Inv_Sy[[#This Row],[Date]],RD[#All],X$1,0)/X$2</f>
        <v>5.34977611392498</v>
      </c>
      <c r="Y26" s="1">
        <f>VLOOKUP(Inv_Sy[[#This Row],[Date]],RD[#All],Y$1,0)/Y$2</f>
        <v>5.1498562645282844</v>
      </c>
      <c r="Z26" s="1">
        <f>VLOOKUP(Inv_Sy[[#This Row],[Date]],RD[#All],Z$1,0)/Z$2</f>
        <v>5.1389704885434071</v>
      </c>
      <c r="AA26" s="1">
        <f t="shared" si="1"/>
        <v>5.3610338127386417</v>
      </c>
      <c r="AB26" s="1">
        <f>MAX(Inv_Sy[[#This Row],[G1 Inv1]:[IS1_Inv2]])</f>
        <v>5.5936453795843954</v>
      </c>
      <c r="AC26"/>
    </row>
    <row r="27" spans="1:29" ht="15" customHeight="1" x14ac:dyDescent="0.35">
      <c r="A27" s="321" t="s">
        <v>141</v>
      </c>
      <c r="B27" s="321"/>
      <c r="C27" s="67">
        <f>YEAR(RD[[#This Row],[Month Year]])</f>
        <v>2025</v>
      </c>
      <c r="D27" s="169" t="s">
        <v>142</v>
      </c>
      <c r="E27" s="171">
        <f t="shared" si="3"/>
        <v>45860</v>
      </c>
      <c r="F27" s="1">
        <f>VLOOKUP(Inv_Sy[[#This Row],[Date]],RD[#All],F$1,0)/F$2</f>
        <v>3.1724330357142856</v>
      </c>
      <c r="G27" s="1">
        <f>VLOOKUP(Inv_Sy[[#This Row],[Date]],RD[#All],G$1,0)/G$2</f>
        <v>3.2405598958333335</v>
      </c>
      <c r="H27" s="1">
        <f>VLOOKUP(Inv_Sy[[#This Row],[Date]],RD[#All],H$1,0)/H$2</f>
        <v>3.175223214285714</v>
      </c>
      <c r="I27" s="1">
        <f>VLOOKUP(Inv_Sy[[#This Row],[Date]],RD[#All],I$1,0)/I$2</f>
        <v>3.2348392348392347</v>
      </c>
      <c r="J27" s="1">
        <f>VLOOKUP(Inv_Sy[[#This Row],[Date]],RD[#All],J$1,0)/J$2</f>
        <v>3.1738782051282053</v>
      </c>
      <c r="K27" s="1">
        <f>VLOOKUP(Inv_Sy[[#This Row],[Date]],RD[#All],K$1,0)/K$2</f>
        <v>3.1433998100664766</v>
      </c>
      <c r="L27" s="1">
        <f>VLOOKUP(Inv_Sy[[#This Row],[Date]],RD[#All],L$1,0)/L$2</f>
        <v>3.3126022913256956</v>
      </c>
      <c r="M27" s="1">
        <f>VLOOKUP(Inv_Sy[[#This Row],[Date]],RD[#All],M$1,0)/M$2</f>
        <v>3.3045014880952381</v>
      </c>
      <c r="N27" s="1">
        <f>VLOOKUP(Inv_Sy[[#This Row],[Date]],RD[#All],N$1,0)/N$2</f>
        <v>3.279050736497545</v>
      </c>
      <c r="O27" s="1">
        <f>VLOOKUP(Inv_Sy[[#This Row],[Date]],RD[#All],O$1,0)/O$2</f>
        <v>3.2831101190476191</v>
      </c>
      <c r="P27" s="1">
        <f>AVERAGEIFS(Inv_Sy[[#This Row],[G1 Inv1]:[G5 Inv10]],Inv_Sy[[#This Row],[G1 Inv1]:[G5 Inv10]],"&lt;&gt;"&amp;0)</f>
        <v>3.2319598030833347</v>
      </c>
      <c r="Q27" s="1">
        <f>VLOOKUP(Inv_Sy[[#This Row],[Date]],RD[#All],Q$1,0)/Q$2</f>
        <v>3.6168478717504917</v>
      </c>
      <c r="R27" s="1">
        <f>VLOOKUP(Inv_Sy[[#This Row],[Date]],RD[#All],R$1,0)/R$2</f>
        <v>3.5713233127026238</v>
      </c>
      <c r="S27" s="1">
        <f>VLOOKUP(Inv_Sy[[#This Row],[Date]],RD[#All],S$1,0)/S$2</f>
        <v>3.7697584252907839</v>
      </c>
      <c r="T27" s="1">
        <f>VLOOKUP(Inv_Sy[[#This Row],[Date]],RD[#All],T$1,0)/T$2</f>
        <v>3.6938816334695512</v>
      </c>
      <c r="U27" s="1">
        <f>VLOOKUP(Inv_Sy[[#This Row],[Date]],RD[#All],U$1,0)/U$2</f>
        <v>3.6311302370899643</v>
      </c>
      <c r="V27" s="1">
        <f>VLOOKUP(Inv_Sy[[#This Row],[Date]],RD[#All],V$1,0)/V$2</f>
        <v>3.6522772343505516</v>
      </c>
      <c r="W27" s="1">
        <f>VLOOKUP(Inv_Sy[[#This Row],[Date]],RD[#All],W$1,0)/W$2</f>
        <v>3.5687565890967998</v>
      </c>
      <c r="X27" s="1">
        <f>VLOOKUP(Inv_Sy[[#This Row],[Date]],RD[#All],X$1,0)/X$2</f>
        <v>3.5474320389537302</v>
      </c>
      <c r="Y27" s="1">
        <f>VLOOKUP(Inv_Sy[[#This Row],[Date]],RD[#All],Y$1,0)/Y$2</f>
        <v>3.4065994525672934</v>
      </c>
      <c r="Z27" s="1">
        <f>VLOOKUP(Inv_Sy[[#This Row],[Date]],RD[#All],Z$1,0)/Z$2</f>
        <v>3.4209659820903995</v>
      </c>
      <c r="AA27" s="1">
        <f t="shared" si="1"/>
        <v>3.5878972777362192</v>
      </c>
      <c r="AB27" s="1">
        <f>MAX(Inv_Sy[[#This Row],[G1 Inv1]:[IS1_Inv2]])</f>
        <v>3.7697584252907839</v>
      </c>
      <c r="AC27"/>
    </row>
    <row r="28" spans="1:29" ht="15" customHeight="1" x14ac:dyDescent="0.35">
      <c r="A28" s="321" t="s">
        <v>141</v>
      </c>
      <c r="B28" s="321"/>
      <c r="C28" s="67">
        <f>YEAR(RD[[#This Row],[Month Year]])</f>
        <v>2025</v>
      </c>
      <c r="D28" s="169" t="s">
        <v>142</v>
      </c>
      <c r="E28" s="171">
        <f t="shared" si="3"/>
        <v>45861</v>
      </c>
      <c r="F28" s="1">
        <f>VLOOKUP(Inv_Sy[[#This Row],[Date]],RD[#All],F$1,0)/F$2</f>
        <v>2.180989583333333</v>
      </c>
      <c r="G28" s="1">
        <f>VLOOKUP(Inv_Sy[[#This Row],[Date]],RD[#All],G$1,0)/G$2</f>
        <v>2.17041015625</v>
      </c>
      <c r="H28" s="1">
        <f>VLOOKUP(Inv_Sy[[#This Row],[Date]],RD[#All],H$1,0)/H$2</f>
        <v>2.1968005952380953</v>
      </c>
      <c r="I28" s="1">
        <f>VLOOKUP(Inv_Sy[[#This Row],[Date]],RD[#All],I$1,0)/I$2</f>
        <v>2.1782661782661781</v>
      </c>
      <c r="J28" s="1">
        <f>VLOOKUP(Inv_Sy[[#This Row],[Date]],RD[#All],J$1,0)/J$2</f>
        <v>2.1899038461538463</v>
      </c>
      <c r="K28" s="1">
        <f>VLOOKUP(Inv_Sy[[#This Row],[Date]],RD[#All],K$1,0)/K$2</f>
        <v>2.1899335232668564</v>
      </c>
      <c r="L28" s="1">
        <f>VLOOKUP(Inv_Sy[[#This Row],[Date]],RD[#All],L$1,0)/L$2</f>
        <v>2.2217675941080195</v>
      </c>
      <c r="M28" s="1">
        <f>VLOOKUP(Inv_Sy[[#This Row],[Date]],RD[#All],M$1,0)/M$2</f>
        <v>2.2209821428571428</v>
      </c>
      <c r="N28" s="1">
        <f>VLOOKUP(Inv_Sy[[#This Row],[Date]],RD[#All],N$1,0)/N$2</f>
        <v>2.2127659574468086</v>
      </c>
      <c r="O28" s="1">
        <f>VLOOKUP(Inv_Sy[[#This Row],[Date]],RD[#All],O$1,0)/O$2</f>
        <v>2.2237723214285712</v>
      </c>
      <c r="P28" s="1">
        <f>AVERAGEIFS(Inv_Sy[[#This Row],[G1 Inv1]:[G5 Inv10]],Inv_Sy[[#This Row],[G1 Inv1]:[G5 Inv10]],"&lt;&gt;"&amp;0)</f>
        <v>2.1985591898348851</v>
      </c>
      <c r="Q28" s="1">
        <f>VLOOKUP(Inv_Sy[[#This Row],[Date]],RD[#All],Q$1,0)/Q$2</f>
        <v>2.4274479490497236</v>
      </c>
      <c r="R28" s="1">
        <f>VLOOKUP(Inv_Sy[[#This Row],[Date]],RD[#All],R$1,0)/R$2</f>
        <v>2.3736778334479487</v>
      </c>
      <c r="S28" s="1">
        <f>VLOOKUP(Inv_Sy[[#This Row],[Date]],RD[#All],S$1,0)/S$2</f>
        <v>2.5195011404544174</v>
      </c>
      <c r="T28" s="1">
        <f>VLOOKUP(Inv_Sy[[#This Row],[Date]],RD[#All],T$1,0)/T$2</f>
        <v>2.4503676245453168</v>
      </c>
      <c r="U28" s="1">
        <f>VLOOKUP(Inv_Sy[[#This Row],[Date]],RD[#All],U$1,0)/U$2</f>
        <v>2.4307405001623898</v>
      </c>
      <c r="V28" s="1">
        <f>VLOOKUP(Inv_Sy[[#This Row],[Date]],RD[#All],V$1,0)/V$2</f>
        <v>2.4590616606280702</v>
      </c>
      <c r="W28" s="1">
        <f>VLOOKUP(Inv_Sy[[#This Row],[Date]],RD[#All],W$1,0)/W$2</f>
        <v>2.4124133495609983</v>
      </c>
      <c r="X28" s="1">
        <f>VLOOKUP(Inv_Sy[[#This Row],[Date]],RD[#All],X$1,0)/X$2</f>
        <v>2.402717626236675</v>
      </c>
      <c r="Y28" s="1">
        <f>VLOOKUP(Inv_Sy[[#This Row],[Date]],RD[#All],Y$1,0)/Y$2</f>
        <v>2.4493487201353443</v>
      </c>
      <c r="Z28" s="1">
        <f>VLOOKUP(Inv_Sy[[#This Row],[Date]],RD[#All],Z$1,0)/Z$2</f>
        <v>2.4777744061876565</v>
      </c>
      <c r="AA28" s="1">
        <f t="shared" si="1"/>
        <v>2.440305081040854</v>
      </c>
      <c r="AB28" s="1">
        <f>MAX(Inv_Sy[[#This Row],[G1 Inv1]:[IS1_Inv2]])</f>
        <v>2.5195011404544174</v>
      </c>
      <c r="AC28"/>
    </row>
    <row r="29" spans="1:29" ht="15" customHeight="1" x14ac:dyDescent="0.35">
      <c r="A29" s="321" t="s">
        <v>141</v>
      </c>
      <c r="B29" s="321"/>
      <c r="C29" s="67">
        <f>YEAR(RD[[#This Row],[Month Year]])</f>
        <v>2025</v>
      </c>
      <c r="D29" s="169" t="s">
        <v>142</v>
      </c>
      <c r="E29" s="171">
        <f t="shared" si="3"/>
        <v>45862</v>
      </c>
      <c r="F29" s="1">
        <f>VLOOKUP(Inv_Sy[[#This Row],[Date]],RD[#All],F$1,0)/F$2</f>
        <v>2.6116071428571428</v>
      </c>
      <c r="G29" s="1">
        <f>VLOOKUP(Inv_Sy[[#This Row],[Date]],RD[#All],G$1,0)/G$2</f>
        <v>2.574869791666667</v>
      </c>
      <c r="H29" s="1">
        <f>VLOOKUP(Inv_Sy[[#This Row],[Date]],RD[#All],H$1,0)/H$2</f>
        <v>2.6329985119047619</v>
      </c>
      <c r="I29" s="1">
        <f>VLOOKUP(Inv_Sy[[#This Row],[Date]],RD[#All],I$1,0)/I$2</f>
        <v>2.5624745624745624</v>
      </c>
      <c r="J29" s="1">
        <f>VLOOKUP(Inv_Sy[[#This Row],[Date]],RD[#All],J$1,0)/J$2</f>
        <v>2.5905448717948718</v>
      </c>
      <c r="K29" s="1">
        <f>VLOOKUP(Inv_Sy[[#This Row],[Date]],RD[#All],K$1,0)/K$2</f>
        <v>2.5916429249762585</v>
      </c>
      <c r="L29" s="1">
        <f>VLOOKUP(Inv_Sy[[#This Row],[Date]],RD[#All],L$1,0)/L$2</f>
        <v>2.6677577741407528</v>
      </c>
      <c r="M29" s="1">
        <f>VLOOKUP(Inv_Sy[[#This Row],[Date]],RD[#All],M$1,0)/M$2</f>
        <v>2.6581101190476191</v>
      </c>
      <c r="N29" s="1">
        <f>VLOOKUP(Inv_Sy[[#This Row],[Date]],RD[#All],N$1,0)/N$2</f>
        <v>2.6513911620294599</v>
      </c>
      <c r="O29" s="1">
        <f>VLOOKUP(Inv_Sy[[#This Row],[Date]],RD[#All],O$1,0)/O$2</f>
        <v>2.6255580357142856</v>
      </c>
      <c r="P29" s="1">
        <f>AVERAGEIFS(Inv_Sy[[#This Row],[G1 Inv1]:[G5 Inv10]],Inv_Sy[[#This Row],[G1 Inv1]:[G5 Inv10]],"&lt;&gt;"&amp;0)</f>
        <v>2.6166954896606383</v>
      </c>
      <c r="Q29" s="1">
        <f>VLOOKUP(Inv_Sy[[#This Row],[Date]],RD[#All],Q$1,0)/Q$2</f>
        <v>2.9901359458233214</v>
      </c>
      <c r="R29" s="1">
        <f>VLOOKUP(Inv_Sy[[#This Row],[Date]],RD[#All],R$1,0)/R$2</f>
        <v>2.9144971673707309</v>
      </c>
      <c r="S29" s="1">
        <f>VLOOKUP(Inv_Sy[[#This Row],[Date]],RD[#All],S$1,0)/S$2</f>
        <v>3.0721279661266134</v>
      </c>
      <c r="T29" s="1">
        <f>VLOOKUP(Inv_Sy[[#This Row],[Date]],RD[#All],T$1,0)/T$2</f>
        <v>2.984025376503872</v>
      </c>
      <c r="U29" s="1">
        <f>VLOOKUP(Inv_Sy[[#This Row],[Date]],RD[#All],U$1,0)/U$2</f>
        <v>2.9706073400454689</v>
      </c>
      <c r="V29" s="1">
        <f>VLOOKUP(Inv_Sy[[#This Row],[Date]],RD[#All],V$1,0)/V$2</f>
        <v>3.0185174338334355</v>
      </c>
      <c r="W29" s="1">
        <f>VLOOKUP(Inv_Sy[[#This Row],[Date]],RD[#All],W$1,0)/W$2</f>
        <v>2.9634755424938231</v>
      </c>
      <c r="X29" s="1">
        <f>VLOOKUP(Inv_Sy[[#This Row],[Date]],RD[#All],X$1,0)/X$2</f>
        <v>2.9491790843915928</v>
      </c>
      <c r="Y29" s="1">
        <f>VLOOKUP(Inv_Sy[[#This Row],[Date]],RD[#All],Y$1,0)/Y$2</f>
        <v>2.9003617457326376</v>
      </c>
      <c r="Z29" s="1">
        <f>VLOOKUP(Inv_Sy[[#This Row],[Date]],RD[#All],Z$1,0)/Z$2</f>
        <v>2.9022073872256899</v>
      </c>
      <c r="AA29" s="1">
        <f t="shared" si="1"/>
        <v>2.9665134989547184</v>
      </c>
      <c r="AB29" s="1">
        <f>MAX(Inv_Sy[[#This Row],[G1 Inv1]:[IS1_Inv2]])</f>
        <v>3.0721279661266134</v>
      </c>
      <c r="AC29"/>
    </row>
    <row r="30" spans="1:29" ht="15" customHeight="1" x14ac:dyDescent="0.35">
      <c r="A30" s="321" t="s">
        <v>141</v>
      </c>
      <c r="B30" s="321"/>
      <c r="C30" s="67">
        <f>YEAR(RD[[#This Row],[Month Year]])</f>
        <v>2025</v>
      </c>
      <c r="D30" s="169" t="s">
        <v>142</v>
      </c>
      <c r="E30" s="171">
        <f t="shared" si="3"/>
        <v>45863</v>
      </c>
      <c r="F30" s="1">
        <f>VLOOKUP(Inv_Sy[[#This Row],[Date]],RD[#All],F$1,0)/F$2</f>
        <v>1.3309151785714286</v>
      </c>
      <c r="G30" s="1">
        <f>VLOOKUP(Inv_Sy[[#This Row],[Date]],RD[#All],G$1,0)/G$2</f>
        <v>1.3289388020833335</v>
      </c>
      <c r="H30" s="1">
        <f>VLOOKUP(Inv_Sy[[#This Row],[Date]],RD[#All],H$1,0)/H$2</f>
        <v>1.3244047619047619</v>
      </c>
      <c r="I30" s="1">
        <f>VLOOKUP(Inv_Sy[[#This Row],[Date]],RD[#All],I$1,0)/I$2</f>
        <v>1.3015873015873016</v>
      </c>
      <c r="J30" s="1">
        <f>VLOOKUP(Inv_Sy[[#This Row],[Date]],RD[#All],J$1,0)/J$2</f>
        <v>1.3197115384615385</v>
      </c>
      <c r="K30" s="1">
        <f>VLOOKUP(Inv_Sy[[#This Row],[Date]],RD[#All],K$1,0)/K$2</f>
        <v>1.328584995251662</v>
      </c>
      <c r="L30" s="1">
        <f>VLOOKUP(Inv_Sy[[#This Row],[Date]],RD[#All],L$1,0)/L$2</f>
        <v>1.3314238952536825</v>
      </c>
      <c r="M30" s="1">
        <f>VLOOKUP(Inv_Sy[[#This Row],[Date]],RD[#All],M$1,0)/M$2</f>
        <v>1.3504464285714286</v>
      </c>
      <c r="N30" s="1">
        <f>VLOOKUP(Inv_Sy[[#This Row],[Date]],RD[#All],N$1,0)/N$2</f>
        <v>1.3510638297872339</v>
      </c>
      <c r="O30" s="1">
        <f>VLOOKUP(Inv_Sy[[#This Row],[Date]],RD[#All],O$1,0)/O$2</f>
        <v>1.353236607142857</v>
      </c>
      <c r="P30" s="1">
        <f>AVERAGEIFS(Inv_Sy[[#This Row],[G1 Inv1]:[G5 Inv10]],Inv_Sy[[#This Row],[G1 Inv1]:[G5 Inv10]],"&lt;&gt;"&amp;0)</f>
        <v>1.3320313338615228</v>
      </c>
      <c r="Q30" s="1">
        <f>VLOOKUP(Inv_Sy[[#This Row],[Date]],RD[#All],Q$1,0)/Q$2</f>
        <v>1.484985464383539</v>
      </c>
      <c r="R30" s="1">
        <f>VLOOKUP(Inv_Sy[[#This Row],[Date]],RD[#All],R$1,0)/R$2</f>
        <v>1.443249173134231</v>
      </c>
      <c r="S30" s="1">
        <f>VLOOKUP(Inv_Sy[[#This Row],[Date]],RD[#All],S$1,0)/S$2</f>
        <v>1.5202698445369502</v>
      </c>
      <c r="T30" s="1">
        <f>VLOOKUP(Inv_Sy[[#This Row],[Date]],RD[#All],T$1,0)/T$2</f>
        <v>1.477519993794677</v>
      </c>
      <c r="U30" s="1">
        <f>VLOOKUP(Inv_Sy[[#This Row],[Date]],RD[#All],U$1,0)/U$2</f>
        <v>1.4715816823644039</v>
      </c>
      <c r="V30" s="1">
        <f>VLOOKUP(Inv_Sy[[#This Row],[Date]],RD[#All],V$1,0)/V$2</f>
        <v>1.4943644411717947</v>
      </c>
      <c r="W30" s="1">
        <f>VLOOKUP(Inv_Sy[[#This Row],[Date]],RD[#All],W$1,0)/W$2</f>
        <v>1.4797025289920258</v>
      </c>
      <c r="X30" s="1">
        <f>VLOOKUP(Inv_Sy[[#This Row],[Date]],RD[#All],X$1,0)/X$2</f>
        <v>1.4743040772549691</v>
      </c>
      <c r="Y30" s="1">
        <f>VLOOKUP(Inv_Sy[[#This Row],[Date]],RD[#All],Y$1,0)/Y$2</f>
        <v>1.443681828810365</v>
      </c>
      <c r="Z30" s="1">
        <f>VLOOKUP(Inv_Sy[[#This Row],[Date]],RD[#All],Z$1,0)/Z$2</f>
        <v>1.4504580699726897</v>
      </c>
      <c r="AA30" s="1">
        <f t="shared" si="1"/>
        <v>1.4740117104415646</v>
      </c>
      <c r="AB30" s="1">
        <f>MAX(Inv_Sy[[#This Row],[G1 Inv1]:[IS1_Inv2]])</f>
        <v>1.5202698445369502</v>
      </c>
      <c r="AC30"/>
    </row>
    <row r="31" spans="1:29" ht="15" customHeight="1" x14ac:dyDescent="0.35">
      <c r="A31" s="321" t="s">
        <v>141</v>
      </c>
      <c r="B31" s="321"/>
      <c r="C31" s="67">
        <f>YEAR(RD[[#This Row],[Month Year]])</f>
        <v>2025</v>
      </c>
      <c r="D31" s="169" t="s">
        <v>142</v>
      </c>
      <c r="E31" s="171">
        <f t="shared" si="3"/>
        <v>45864</v>
      </c>
      <c r="F31" s="1">
        <f>VLOOKUP(Inv_Sy[[#This Row],[Date]],RD[#All],F$1,0)/F$2</f>
        <v>0.94866071428571419</v>
      </c>
      <c r="G31" s="1">
        <f>VLOOKUP(Inv_Sy[[#This Row],[Date]],RD[#All],G$1,0)/G$2</f>
        <v>0.94156901041666674</v>
      </c>
      <c r="H31" s="1">
        <f>VLOOKUP(Inv_Sy[[#This Row],[Date]],RD[#All],H$1,0)/H$2</f>
        <v>0.93843005952380953</v>
      </c>
      <c r="I31" s="1">
        <f>VLOOKUP(Inv_Sy[[#This Row],[Date]],RD[#All],I$1,0)/I$2</f>
        <v>0.9263329263329263</v>
      </c>
      <c r="J31" s="1">
        <f>VLOOKUP(Inv_Sy[[#This Row],[Date]],RD[#All],J$1,0)/J$2</f>
        <v>0.24038461538461539</v>
      </c>
      <c r="K31" s="1">
        <f>VLOOKUP(Inv_Sy[[#This Row],[Date]],RD[#All],K$1,0)/K$2</f>
        <v>0.28490028490028491</v>
      </c>
      <c r="L31" s="1">
        <f>VLOOKUP(Inv_Sy[[#This Row],[Date]],RD[#All],L$1,0)/L$2</f>
        <v>1.1399345335515547</v>
      </c>
      <c r="M31" s="1">
        <f>VLOOKUP(Inv_Sy[[#This Row],[Date]],RD[#All],M$1,0)/M$2</f>
        <v>1.1635044642857142</v>
      </c>
      <c r="N31" s="1">
        <f>VLOOKUP(Inv_Sy[[#This Row],[Date]],RD[#All],N$1,0)/N$2</f>
        <v>1.1415711947626841</v>
      </c>
      <c r="O31" s="1">
        <f>VLOOKUP(Inv_Sy[[#This Row],[Date]],RD[#All],O$1,0)/O$2</f>
        <v>1.1365327380952381</v>
      </c>
      <c r="P31" s="1">
        <f>AVERAGEIFS(Inv_Sy[[#This Row],[G1 Inv1]:[G5 Inv10]],Inv_Sy[[#This Row],[G1 Inv1]:[G5 Inv10]],"&lt;&gt;"&amp;0)</f>
        <v>0.88618205415392093</v>
      </c>
      <c r="Q31" s="1">
        <f>VLOOKUP(Inv_Sy[[#This Row],[Date]],RD[#All],Q$1,0)/Q$2</f>
        <v>1.2731687643885801</v>
      </c>
      <c r="R31" s="1">
        <f>VLOOKUP(Inv_Sy[[#This Row],[Date]],RD[#All],R$1,0)/R$2</f>
        <v>1.2417722762550349</v>
      </c>
      <c r="S31" s="1">
        <f>VLOOKUP(Inv_Sy[[#This Row],[Date]],RD[#All],S$1,0)/S$2</f>
        <v>1.3150300550694562</v>
      </c>
      <c r="T31" s="1">
        <f>VLOOKUP(Inv_Sy[[#This Row],[Date]],RD[#All],T$1,0)/T$2</f>
        <v>1.2785414225702283</v>
      </c>
      <c r="U31" s="1">
        <f>VLOOKUP(Inv_Sy[[#This Row],[Date]],RD[#All],U$1,0)/U$2</f>
        <v>1.2714355310165637</v>
      </c>
      <c r="V31" s="1">
        <f>VLOOKUP(Inv_Sy[[#This Row],[Date]],RD[#All],V$1,0)/V$2</f>
        <v>1.2856772293300087</v>
      </c>
      <c r="W31" s="1">
        <f>VLOOKUP(Inv_Sy[[#This Row],[Date]],RD[#All],W$1,0)/W$2</f>
        <v>1.2698283476682228</v>
      </c>
      <c r="X31" s="1">
        <f>VLOOKUP(Inv_Sy[[#This Row],[Date]],RD[#All],X$1,0)/X$2</f>
        <v>1.2662409160977759</v>
      </c>
      <c r="Y31" s="1">
        <f>VLOOKUP(Inv_Sy[[#This Row],[Date]],RD[#All],Y$1,0)/Y$2</f>
        <v>1.2863980853609889</v>
      </c>
      <c r="Z31" s="1">
        <f>VLOOKUP(Inv_Sy[[#This Row],[Date]],RD[#All],Z$1,0)/Z$2</f>
        <v>1.3071296218582336</v>
      </c>
      <c r="AA31" s="1">
        <f t="shared" si="1"/>
        <v>1.2795222249615095</v>
      </c>
      <c r="AB31" s="1">
        <f>MAX(Inv_Sy[[#This Row],[G1 Inv1]:[IS1_Inv2]])</f>
        <v>1.3150300550694562</v>
      </c>
      <c r="AC31"/>
    </row>
    <row r="32" spans="1:29" ht="15" customHeight="1" x14ac:dyDescent="0.35">
      <c r="A32" s="321" t="s">
        <v>141</v>
      </c>
      <c r="B32" s="321"/>
      <c r="C32" s="67">
        <f>YEAR(RD[[#This Row],[Month Year]])</f>
        <v>2025</v>
      </c>
      <c r="D32" s="169" t="s">
        <v>142</v>
      </c>
      <c r="E32" s="171">
        <f t="shared" si="3"/>
        <v>45865</v>
      </c>
      <c r="F32" s="1">
        <f>VLOOKUP(Inv_Sy[[#This Row],[Date]],RD[#All],F$1,0)/F$2</f>
        <v>2.4042038690476191</v>
      </c>
      <c r="G32" s="1">
        <f>VLOOKUP(Inv_Sy[[#This Row],[Date]],RD[#All],G$1,0)/G$2</f>
        <v>1.1271158854166667</v>
      </c>
      <c r="H32" s="1">
        <f>VLOOKUP(Inv_Sy[[#This Row],[Date]],RD[#All],H$1,0)/H$2</f>
        <v>2.4051339285714284</v>
      </c>
      <c r="I32" s="1">
        <f>VLOOKUP(Inv_Sy[[#This Row],[Date]],RD[#All],I$1,0)/I$2</f>
        <v>2.3866503866503868</v>
      </c>
      <c r="J32" s="1">
        <f>VLOOKUP(Inv_Sy[[#This Row],[Date]],RD[#All],J$1,0)/J$2</f>
        <v>0.24679487179487181</v>
      </c>
      <c r="K32" s="1">
        <f>VLOOKUP(Inv_Sy[[#This Row],[Date]],RD[#All],K$1,0)/K$2</f>
        <v>0.24881291547958215</v>
      </c>
      <c r="L32" s="1">
        <f>VLOOKUP(Inv_Sy[[#This Row],[Date]],RD[#All],L$1,0)/L$2</f>
        <v>2.4615384615384617</v>
      </c>
      <c r="M32" s="1">
        <f>VLOOKUP(Inv_Sy[[#This Row],[Date]],RD[#All],M$1,0)/M$2</f>
        <v>2.4237351190476191</v>
      </c>
      <c r="N32" s="1">
        <f>VLOOKUP(Inv_Sy[[#This Row],[Date]],RD[#All],N$1,0)/N$2</f>
        <v>2.4639934533551555</v>
      </c>
      <c r="O32" s="1">
        <f>VLOOKUP(Inv_Sy[[#This Row],[Date]],RD[#All],O$1,0)/O$2</f>
        <v>2.4600074404761902</v>
      </c>
      <c r="P32" s="1">
        <f>AVERAGEIFS(Inv_Sy[[#This Row],[G1 Inv1]:[G5 Inv10]],Inv_Sy[[#This Row],[G1 Inv1]:[G5 Inv10]],"&lt;&gt;"&amp;0)</f>
        <v>1.8627986331377979</v>
      </c>
      <c r="Q32" s="1">
        <f>VLOOKUP(Inv_Sy[[#This Row],[Date]],RD[#All],Q$1,0)/Q$2</f>
        <v>2.7184123409904388</v>
      </c>
      <c r="R32" s="1">
        <f>VLOOKUP(Inv_Sy[[#This Row],[Date]],RD[#All],R$1,0)/R$2</f>
        <v>2.6540753839604418</v>
      </c>
      <c r="S32" s="1">
        <f>VLOOKUP(Inv_Sy[[#This Row],[Date]],RD[#All],S$1,0)/S$2</f>
        <v>2.809088350562666</v>
      </c>
      <c r="T32" s="1">
        <f>VLOOKUP(Inv_Sy[[#This Row],[Date]],RD[#All],T$1,0)/T$2</f>
        <v>2.7343427869247319</v>
      </c>
      <c r="U32" s="1">
        <f>VLOOKUP(Inv_Sy[[#This Row],[Date]],RD[#All],U$1,0)/U$2</f>
        <v>2.7098895745371872</v>
      </c>
      <c r="V32" s="1">
        <f>VLOOKUP(Inv_Sy[[#This Row],[Date]],RD[#All],V$1,0)/V$2</f>
        <v>2.7405467370658276</v>
      </c>
      <c r="W32" s="1">
        <f>VLOOKUP(Inv_Sy[[#This Row],[Date]],RD[#All],W$1,0)/W$2</f>
        <v>2.6932767807352112</v>
      </c>
      <c r="X32" s="1">
        <f>VLOOKUP(Inv_Sy[[#This Row],[Date]],RD[#All],X$1,0)/X$2</f>
        <v>2.6843491807156199</v>
      </c>
      <c r="Y32" s="1">
        <f>VLOOKUP(Inv_Sy[[#This Row],[Date]],RD[#All],Y$1,0)/Y$2</f>
        <v>2.5184655378732645</v>
      </c>
      <c r="Z32" s="1">
        <f>VLOOKUP(Inv_Sy[[#This Row],[Date]],RD[#All],Z$1,0)/Z$2</f>
        <v>2.7507440812452786</v>
      </c>
      <c r="AA32" s="1">
        <f t="shared" si="1"/>
        <v>2.701319075461067</v>
      </c>
      <c r="AB32" s="1">
        <f>MAX(Inv_Sy[[#This Row],[G1 Inv1]:[IS1_Inv2]])</f>
        <v>2.809088350562666</v>
      </c>
      <c r="AC32"/>
    </row>
    <row r="33" spans="1:29" ht="15" customHeight="1" x14ac:dyDescent="0.35">
      <c r="A33" s="321" t="s">
        <v>141</v>
      </c>
      <c r="B33" s="321"/>
      <c r="C33" s="67">
        <f>YEAR(RD[[#This Row],[Month Year]])</f>
        <v>2025</v>
      </c>
      <c r="D33" s="169" t="s">
        <v>142</v>
      </c>
      <c r="E33" s="171">
        <f t="shared" si="3"/>
        <v>45866</v>
      </c>
      <c r="F33" s="1">
        <f>VLOOKUP(Inv_Sy[[#This Row],[Date]],RD[#All],F$1,0)/F$2</f>
        <v>3.6058407738095237</v>
      </c>
      <c r="G33" s="1">
        <f>VLOOKUP(Inv_Sy[[#This Row],[Date]],RD[#All],G$1,0)/G$2</f>
        <v>3.5335286458333335</v>
      </c>
      <c r="H33" s="1">
        <f>VLOOKUP(Inv_Sy[[#This Row],[Date]],RD[#All],H$1,0)/H$2</f>
        <v>3.59375</v>
      </c>
      <c r="I33" s="1">
        <f>VLOOKUP(Inv_Sy[[#This Row],[Date]],RD[#All],I$1,0)/I$2</f>
        <v>3.5856735856735855</v>
      </c>
      <c r="J33" s="1">
        <f>VLOOKUP(Inv_Sy[[#This Row],[Date]],RD[#All],J$1,0)/J$2</f>
        <v>3.6065705128205128</v>
      </c>
      <c r="K33" s="1">
        <f>VLOOKUP(Inv_Sy[[#This Row],[Date]],RD[#All],K$1,0)/K$2</f>
        <v>3.6087369420702755</v>
      </c>
      <c r="L33" s="1">
        <f>VLOOKUP(Inv_Sy[[#This Row],[Date]],RD[#All],L$1,0)/L$2</f>
        <v>3.6685761047463177</v>
      </c>
      <c r="M33" s="1">
        <f>VLOOKUP(Inv_Sy[[#This Row],[Date]],RD[#All],M$1,0)/M$2</f>
        <v>3.6569940476190474</v>
      </c>
      <c r="N33" s="1">
        <f>VLOOKUP(Inv_Sy[[#This Row],[Date]],RD[#All],N$1,0)/N$2</f>
        <v>3.5433715220949265</v>
      </c>
      <c r="O33" s="1">
        <f>VLOOKUP(Inv_Sy[[#This Row],[Date]],RD[#All],O$1,0)/O$2</f>
        <v>3.6597842261904758</v>
      </c>
      <c r="P33" s="1">
        <f>AVERAGEIFS(Inv_Sy[[#This Row],[G1 Inv1]:[G5 Inv10]],Inv_Sy[[#This Row],[G1 Inv1]:[G5 Inv10]],"&lt;&gt;"&amp;0)</f>
        <v>3.6062826360857998</v>
      </c>
      <c r="Q33" s="1">
        <f>VLOOKUP(Inv_Sy[[#This Row],[Date]],RD[#All],Q$1,0)/Q$2</f>
        <v>4.1054294308423938</v>
      </c>
      <c r="R33" s="1">
        <f>VLOOKUP(Inv_Sy[[#This Row],[Date]],RD[#All],R$1,0)/R$2</f>
        <v>3.9845105937059966</v>
      </c>
      <c r="S33" s="1">
        <f>VLOOKUP(Inv_Sy[[#This Row],[Date]],RD[#All],S$1,0)/S$2</f>
        <v>4.2072896670209143</v>
      </c>
      <c r="T33" s="1">
        <f>VLOOKUP(Inv_Sy[[#This Row],[Date]],RD[#All],T$1,0)/T$2</f>
        <v>4.0799996734040684</v>
      </c>
      <c r="U33" s="1">
        <f>VLOOKUP(Inv_Sy[[#This Row],[Date]],RD[#All],U$1,0)/U$2</f>
        <v>4.0542383890873657</v>
      </c>
      <c r="V33" s="1">
        <f>VLOOKUP(Inv_Sy[[#This Row],[Date]],RD[#All],V$1,0)/V$2</f>
        <v>4.1411943870336128</v>
      </c>
      <c r="W33" s="1">
        <f>VLOOKUP(Inv_Sy[[#This Row],[Date]],RD[#All],W$1,0)/W$2</f>
        <v>4.0773229237476132</v>
      </c>
      <c r="X33" s="1">
        <f>VLOOKUP(Inv_Sy[[#This Row],[Date]],RD[#All],X$1,0)/X$2</f>
        <v>4.0842692505321887</v>
      </c>
      <c r="Y33" s="1">
        <f>VLOOKUP(Inv_Sy[[#This Row],[Date]],RD[#All],Y$1,0)/Y$2</f>
        <v>3.9895190019669053</v>
      </c>
      <c r="Z33" s="1">
        <f>VLOOKUP(Inv_Sy[[#This Row],[Date]],RD[#All],Z$1,0)/Z$2</f>
        <v>3.9652912731052554</v>
      </c>
      <c r="AA33" s="1">
        <f t="shared" si="1"/>
        <v>4.0689064590446318</v>
      </c>
      <c r="AB33" s="1">
        <f>MAX(Inv_Sy[[#This Row],[G1 Inv1]:[IS1_Inv2]])</f>
        <v>4.2072896670209143</v>
      </c>
      <c r="AC33"/>
    </row>
    <row r="34" spans="1:29" ht="15" customHeight="1" x14ac:dyDescent="0.35">
      <c r="A34" s="321" t="s">
        <v>141</v>
      </c>
      <c r="B34" s="321"/>
      <c r="C34" s="67">
        <f>YEAR(RD[[#This Row],[Month Year]])</f>
        <v>2025</v>
      </c>
      <c r="D34" s="169" t="s">
        <v>142</v>
      </c>
      <c r="E34" s="171">
        <f t="shared" si="3"/>
        <v>45867</v>
      </c>
      <c r="F34" s="1">
        <f>VLOOKUP(Inv_Sy[[#This Row],[Date]],RD[#All],F$1,0)/F$2</f>
        <v>2.0535714285714284</v>
      </c>
      <c r="G34" s="1">
        <f>VLOOKUP(Inv_Sy[[#This Row],[Date]],RD[#All],G$1,0)/G$2</f>
        <v>2.032877604166667</v>
      </c>
      <c r="H34" s="1">
        <f>VLOOKUP(Inv_Sy[[#This Row],[Date]],RD[#All],H$1,0)/H$2</f>
        <v>2.0972842261904763</v>
      </c>
      <c r="I34" s="1">
        <f>VLOOKUP(Inv_Sy[[#This Row],[Date]],RD[#All],I$1,0)/I$2</f>
        <v>2.0903540903540905</v>
      </c>
      <c r="J34" s="1">
        <f>VLOOKUP(Inv_Sy[[#This Row],[Date]],RD[#All],J$1,0)/J$2</f>
        <v>2.0865384615384617</v>
      </c>
      <c r="K34" s="1">
        <f>VLOOKUP(Inv_Sy[[#This Row],[Date]],RD[#All],K$1,0)/K$2</f>
        <v>2.1044634377967713</v>
      </c>
      <c r="L34" s="1">
        <f>VLOOKUP(Inv_Sy[[#This Row],[Date]],RD[#All],L$1,0)/L$2</f>
        <v>2.1080196399345335</v>
      </c>
      <c r="M34" s="1">
        <f>VLOOKUP(Inv_Sy[[#This Row],[Date]],RD[#All],M$1,0)/M$2</f>
        <v>2.1168154761904763</v>
      </c>
      <c r="N34" s="1">
        <f>VLOOKUP(Inv_Sy[[#This Row],[Date]],RD[#All],N$1,0)/N$2</f>
        <v>2.078559738134206</v>
      </c>
      <c r="O34" s="1">
        <f>VLOOKUP(Inv_Sy[[#This Row],[Date]],RD[#All],O$1,0)/O$2</f>
        <v>2.0991443452380953</v>
      </c>
      <c r="P34" s="1">
        <f>AVERAGEIFS(Inv_Sy[[#This Row],[G1 Inv1]:[G5 Inv10]],Inv_Sy[[#This Row],[G1 Inv1]:[G5 Inv10]],"&lt;&gt;"&amp;0)</f>
        <v>2.0867628448115201</v>
      </c>
      <c r="Q34" s="1">
        <f>VLOOKUP(Inv_Sy[[#This Row],[Date]],RD[#All],Q$1,0)/Q$2</f>
        <v>2.4147607924851706</v>
      </c>
      <c r="R34" s="1">
        <f>VLOOKUP(Inv_Sy[[#This Row],[Date]],RD[#All],R$1,0)/R$2</f>
        <v>2.3519828404885881</v>
      </c>
      <c r="S34" s="1">
        <f>VLOOKUP(Inv_Sy[[#This Row],[Date]],RD[#All],S$1,0)/S$2</f>
        <v>2.4847204311463771</v>
      </c>
      <c r="T34" s="1">
        <f>VLOOKUP(Inv_Sy[[#This Row],[Date]],RD[#All],T$1,0)/T$2</f>
        <v>2.4141154761564554</v>
      </c>
      <c r="U34" s="1">
        <f>VLOOKUP(Inv_Sy[[#This Row],[Date]],RD[#All],U$1,0)/U$2</f>
        <v>2.3983436180578108</v>
      </c>
      <c r="V34" s="1">
        <f>VLOOKUP(Inv_Sy[[#This Row],[Date]],RD[#All],V$1,0)/V$2</f>
        <v>2.4334568944598316</v>
      </c>
      <c r="W34" s="1">
        <f>VLOOKUP(Inv_Sy[[#This Row],[Date]],RD[#All],W$1,0)/W$2</f>
        <v>2.3932006626748779</v>
      </c>
      <c r="X34" s="1">
        <f>VLOOKUP(Inv_Sy[[#This Row],[Date]],RD[#All],X$1,0)/X$2</f>
        <v>2.3903202916636079</v>
      </c>
      <c r="Y34" s="1">
        <f>VLOOKUP(Inv_Sy[[#This Row],[Date]],RD[#All],Y$1,0)/Y$2</f>
        <v>2.3758304334071489</v>
      </c>
      <c r="Z34" s="1">
        <f>VLOOKUP(Inv_Sy[[#This Row],[Date]],RD[#All],Z$1,0)/Z$2</f>
        <v>2.3891302803943466</v>
      </c>
      <c r="AA34" s="1">
        <f t="shared" si="1"/>
        <v>2.4045861720934214</v>
      </c>
      <c r="AB34" s="1">
        <f>MAX(Inv_Sy[[#This Row],[G1 Inv1]:[IS1_Inv2]])</f>
        <v>2.4847204311463771</v>
      </c>
      <c r="AC34"/>
    </row>
    <row r="35" spans="1:29" ht="15" customHeight="1" x14ac:dyDescent="0.35">
      <c r="A35" s="321" t="s">
        <v>141</v>
      </c>
      <c r="B35" s="321"/>
      <c r="C35" s="67">
        <f>YEAR(RD[[#This Row],[Month Year]])</f>
        <v>2025</v>
      </c>
      <c r="D35" s="169" t="s">
        <v>142</v>
      </c>
      <c r="E35" s="171">
        <f t="shared" si="3"/>
        <v>45868</v>
      </c>
      <c r="F35" s="1">
        <f>VLOOKUP(Inv_Sy[[#This Row],[Date]],RD[#All],F$1,0)/F$2</f>
        <v>2.2033110119047619</v>
      </c>
      <c r="G35" s="1">
        <f>VLOOKUP(Inv_Sy[[#This Row],[Date]],RD[#All],G$1,0)/G$2</f>
        <v>2.157389322916667</v>
      </c>
      <c r="H35" s="1">
        <f>VLOOKUP(Inv_Sy[[#This Row],[Date]],RD[#All],H$1,0)/H$2</f>
        <v>2.2023809523809521</v>
      </c>
      <c r="I35" s="1">
        <f>VLOOKUP(Inv_Sy[[#This Row],[Date]],RD[#All],I$1,0)/I$2</f>
        <v>2.1994301994301995</v>
      </c>
      <c r="J35" s="1">
        <f>VLOOKUP(Inv_Sy[[#This Row],[Date]],RD[#All],J$1,0)/J$2</f>
        <v>2.2291666666666665</v>
      </c>
      <c r="K35" s="1">
        <f>VLOOKUP(Inv_Sy[[#This Row],[Date]],RD[#All],K$1,0)/K$2</f>
        <v>2.1899335232668564</v>
      </c>
      <c r="L35" s="1">
        <f>VLOOKUP(Inv_Sy[[#This Row],[Date]],RD[#All],L$1,0)/L$2</f>
        <v>2.2348608837970541</v>
      </c>
      <c r="M35" s="1">
        <f>VLOOKUP(Inv_Sy[[#This Row],[Date]],RD[#All],M$1,0)/M$2</f>
        <v>2.2563244047619047</v>
      </c>
      <c r="N35" s="1">
        <f>VLOOKUP(Inv_Sy[[#This Row],[Date]],RD[#All],N$1,0)/N$2</f>
        <v>2.1841243862520456</v>
      </c>
      <c r="O35" s="1">
        <f>VLOOKUP(Inv_Sy[[#This Row],[Date]],RD[#All],O$1,0)/O$2</f>
        <v>2.1977306547619047</v>
      </c>
      <c r="P35" s="1">
        <f>AVERAGEIFS(Inv_Sy[[#This Row],[G1 Inv1]:[G5 Inv10]],Inv_Sy[[#This Row],[G1 Inv1]:[G5 Inv10]],"&lt;&gt;"&amp;0)</f>
        <v>2.2054652006139013</v>
      </c>
      <c r="Q35" s="1">
        <f>VLOOKUP(Inv_Sy[[#This Row],[Date]],RD[#All],Q$1,0)/Q$2</f>
        <v>2.5777613470231397</v>
      </c>
      <c r="R35" s="1">
        <f>VLOOKUP(Inv_Sy[[#This Row],[Date]],RD[#All],R$1,0)/R$2</f>
        <v>2.512280184693978</v>
      </c>
      <c r="S35" s="1">
        <f>VLOOKUP(Inv_Sy[[#This Row],[Date]],RD[#All],S$1,0)/S$2</f>
        <v>2.6493827264211571</v>
      </c>
      <c r="T35" s="1">
        <f>VLOOKUP(Inv_Sy[[#This Row],[Date]],RD[#All],T$1,0)/T$2</f>
        <v>2.5747190254377403</v>
      </c>
      <c r="U35" s="1">
        <f>VLOOKUP(Inv_Sy[[#This Row],[Date]],RD[#All],U$1,0)/U$2</f>
        <v>2.555131536213056</v>
      </c>
      <c r="V35" s="1">
        <f>VLOOKUP(Inv_Sy[[#This Row],[Date]],RD[#All],V$1,0)/V$2</f>
        <v>2.5920223581487587</v>
      </c>
      <c r="W35" s="1">
        <f>VLOOKUP(Inv_Sy[[#This Row],[Date]],RD[#All],W$1,0)/W$2</f>
        <v>2.5494258581598968</v>
      </c>
      <c r="X35" s="1">
        <f>VLOOKUP(Inv_Sy[[#This Row],[Date]],RD[#All],X$1,0)/X$2</f>
        <v>2.5445529211219591</v>
      </c>
      <c r="Y35" s="1">
        <f>VLOOKUP(Inv_Sy[[#This Row],[Date]],RD[#All],Y$1,0)/Y$2</f>
        <v>2.4947388690975605</v>
      </c>
      <c r="Z35" s="1">
        <f>VLOOKUP(Inv_Sy[[#This Row],[Date]],RD[#All],Z$1,0)/Z$2</f>
        <v>2.5152205773166587</v>
      </c>
      <c r="AA35" s="1">
        <f t="shared" si="1"/>
        <v>2.5565235403633904</v>
      </c>
      <c r="AB35" s="1">
        <f>MAX(Inv_Sy[[#This Row],[G1 Inv1]:[IS1_Inv2]])</f>
        <v>2.6493827264211571</v>
      </c>
      <c r="AC35"/>
    </row>
    <row r="36" spans="1:29" ht="15" customHeight="1" x14ac:dyDescent="0.35">
      <c r="A36" s="321" t="s">
        <v>141</v>
      </c>
      <c r="B36" s="321"/>
      <c r="C36" s="67">
        <f>YEAR(RD[[#This Row],[Month Year]])</f>
        <v>2025</v>
      </c>
      <c r="D36" s="169" t="s">
        <v>142</v>
      </c>
      <c r="E36" s="171">
        <f t="shared" si="3"/>
        <v>45869</v>
      </c>
      <c r="F36" s="1">
        <f>VLOOKUP(Inv_Sy[[#This Row],[Date]],RD[#All],F$1,0)/F$2</f>
        <v>3.4691220238095237</v>
      </c>
      <c r="G36" s="1">
        <f>VLOOKUP(Inv_Sy[[#This Row],[Date]],RD[#All],G$1,0)/G$2</f>
        <v>3.4814453125</v>
      </c>
      <c r="H36" s="1">
        <f>VLOOKUP(Inv_Sy[[#This Row],[Date]],RD[#All],H$1,0)/H$2</f>
        <v>3.4263392857142856</v>
      </c>
      <c r="I36" s="1">
        <f>VLOOKUP(Inv_Sy[[#This Row],[Date]],RD[#All],I$1,0)/I$2</f>
        <v>3.4350834350834352</v>
      </c>
      <c r="J36" s="1">
        <f>VLOOKUP(Inv_Sy[[#This Row],[Date]],RD[#All],J$1,0)/J$2</f>
        <v>3.4799679487179489</v>
      </c>
      <c r="K36" s="1">
        <f>VLOOKUP(Inv_Sy[[#This Row],[Date]],RD[#All],K$1,0)/K$2</f>
        <v>3.3713200379867048</v>
      </c>
      <c r="L36" s="1">
        <f>VLOOKUP(Inv_Sy[[#This Row],[Date]],RD[#All],L$1,0)/L$2</f>
        <v>3.4108019639934533</v>
      </c>
      <c r="M36" s="1">
        <f>VLOOKUP(Inv_Sy[[#This Row],[Date]],RD[#All],M$1,0)/M$2</f>
        <v>3.409598214285714</v>
      </c>
      <c r="N36" s="1">
        <f>VLOOKUP(Inv_Sy[[#This Row],[Date]],RD[#All],N$1,0)/N$2</f>
        <v>3.3379705400981998</v>
      </c>
      <c r="O36" s="1">
        <f>VLOOKUP(Inv_Sy[[#This Row],[Date]],RD[#All],O$1,0)/O$2</f>
        <v>3.4170386904761902</v>
      </c>
      <c r="P36" s="1">
        <f>AVERAGEIFS(Inv_Sy[[#This Row],[G1 Inv1]:[G5 Inv10]],Inv_Sy[[#This Row],[G1 Inv1]:[G5 Inv10]],"&lt;&gt;"&amp;0)</f>
        <v>3.4238687452665459</v>
      </c>
      <c r="Q36" s="1">
        <f>VLOOKUP(Inv_Sy[[#This Row],[Date]],RD[#All],Q$1,0)/Q$2</f>
        <v>3.9231880891965929</v>
      </c>
      <c r="R36" s="1">
        <f>VLOOKUP(Inv_Sy[[#This Row],[Date]],RD[#All],R$1,0)/R$2</f>
        <v>3.8248681926842854</v>
      </c>
      <c r="S36" s="1">
        <f>VLOOKUP(Inv_Sy[[#This Row],[Date]],RD[#All],S$1,0)/S$2</f>
        <v>4.0469119518782843</v>
      </c>
      <c r="T36" s="1">
        <f>VLOOKUP(Inv_Sy[[#This Row],[Date]],RD[#All],T$1,0)/T$2</f>
        <v>3.9327049083286045</v>
      </c>
      <c r="U36" s="1">
        <f>VLOOKUP(Inv_Sy[[#This Row],[Date]],RD[#All],U$1,0)/U$2</f>
        <v>3.9050016239038641</v>
      </c>
      <c r="V36" s="1">
        <f>VLOOKUP(Inv_Sy[[#This Row],[Date]],RD[#All],V$1,0)/V$2</f>
        <v>3.9567731300571505</v>
      </c>
      <c r="W36" s="1">
        <f>VLOOKUP(Inv_Sy[[#This Row],[Date]],RD[#All],W$1,0)/W$2</f>
        <v>3.8768108567962849</v>
      </c>
      <c r="X36" s="1">
        <f>VLOOKUP(Inv_Sy[[#This Row],[Date]],RD[#All],X$1,0)/X$2</f>
        <v>3.8673158955035198</v>
      </c>
      <c r="Y36" s="1">
        <f>VLOOKUP(Inv_Sy[[#This Row],[Date]],RD[#All],Y$1,0)/Y$2</f>
        <v>3.8556868354813405</v>
      </c>
      <c r="Z36" s="1">
        <f>VLOOKUP(Inv_Sy[[#This Row],[Date]],RD[#All],Z$1,0)/Z$2</f>
        <v>3.8852985040900245</v>
      </c>
      <c r="AA36" s="1">
        <f t="shared" si="1"/>
        <v>3.9074559987919955</v>
      </c>
      <c r="AB36" s="1">
        <f>MAX(Inv_Sy[[#This Row],[G1 Inv1]:[IS1_Inv2]])</f>
        <v>4.0469119518782843</v>
      </c>
      <c r="AC36"/>
    </row>
    <row r="37" spans="1:29" ht="15" customHeight="1" x14ac:dyDescent="0.35">
      <c r="A37" s="321" t="s">
        <v>141</v>
      </c>
      <c r="B37" s="321"/>
      <c r="C37" s="67">
        <f>YEAR(RD[[#This Row],[Month Year]])</f>
        <v>2025</v>
      </c>
      <c r="D37" s="169" t="s">
        <v>142</v>
      </c>
      <c r="E37" s="171">
        <f t="shared" si="3"/>
        <v>45870</v>
      </c>
      <c r="F37" s="1">
        <f>VLOOKUP(Inv_Sy[[#This Row],[Date]],RD[#All],F$1,0)/F$2</f>
        <v>3.9248511904761902</v>
      </c>
      <c r="G37" s="1">
        <f>VLOOKUP(Inv_Sy[[#This Row],[Date]],RD[#All],G$1,0)/G$2</f>
        <v>3.883463541666667</v>
      </c>
      <c r="H37" s="1">
        <f>VLOOKUP(Inv_Sy[[#This Row],[Date]],RD[#All],H$1,0)/H$2</f>
        <v>3.9127604166666665</v>
      </c>
      <c r="I37" s="1">
        <f>VLOOKUP(Inv_Sy[[#This Row],[Date]],RD[#All],I$1,0)/I$2</f>
        <v>3.9617419617419616</v>
      </c>
      <c r="J37" s="1">
        <f>VLOOKUP(Inv_Sy[[#This Row],[Date]],RD[#All],J$1,0)/J$2</f>
        <v>3.9246794871794872</v>
      </c>
      <c r="K37" s="1">
        <f>VLOOKUP(Inv_Sy[[#This Row],[Date]],RD[#All],K$1,0)/K$2</f>
        <v>3.9221272554605888</v>
      </c>
      <c r="L37" s="1">
        <f>VLOOKUP(Inv_Sy[[#This Row],[Date]],RD[#All],L$1,0)/L$2</f>
        <v>3.8527004909983633</v>
      </c>
      <c r="M37" s="1">
        <f>VLOOKUP(Inv_Sy[[#This Row],[Date]],RD[#All],M$1,0)/M$2</f>
        <v>3.8402157738095237</v>
      </c>
      <c r="N37" s="1">
        <f>VLOOKUP(Inv_Sy[[#This Row],[Date]],RD[#All],N$1,0)/N$2</f>
        <v>3.8044189852700492</v>
      </c>
      <c r="O37" s="1">
        <f>VLOOKUP(Inv_Sy[[#This Row],[Date]],RD[#All],O$1,0)/O$2</f>
        <v>3.8271949404761902</v>
      </c>
      <c r="P37" s="1">
        <f>AVERAGEIFS(Inv_Sy[[#This Row],[G1 Inv1]:[G5 Inv10]],Inv_Sy[[#This Row],[G1 Inv1]:[G5 Inv10]],"&lt;&gt;"&amp;0)</f>
        <v>3.8854154043745681</v>
      </c>
      <c r="Q37" s="1">
        <f>VLOOKUP(Inv_Sy[[#This Row],[Date]],RD[#All],Q$1,0)/Q$2</f>
        <v>4.5656959451511545</v>
      </c>
      <c r="R37" s="1">
        <f>VLOOKUP(Inv_Sy[[#This Row],[Date]],RD[#All],R$1,0)/R$2</f>
        <v>4.4531224416281896</v>
      </c>
      <c r="S37" s="1">
        <f>VLOOKUP(Inv_Sy[[#This Row],[Date]],RD[#All],S$1,0)/S$2</f>
        <v>4.6830460844398329</v>
      </c>
      <c r="T37" s="1">
        <f>VLOOKUP(Inv_Sy[[#This Row],[Date]],RD[#All],T$1,0)/T$2</f>
        <v>4.530457111830529</v>
      </c>
      <c r="U37" s="1">
        <f>VLOOKUP(Inv_Sy[[#This Row],[Date]],RD[#All],U$1,0)/U$2</f>
        <v>4.5159954530691779</v>
      </c>
      <c r="V37" s="1">
        <f>VLOOKUP(Inv_Sy[[#This Row],[Date]],RD[#All],V$1,0)/V$2</f>
        <v>4.6193173735869264</v>
      </c>
      <c r="W37" s="1">
        <f>VLOOKUP(Inv_Sy[[#This Row],[Date]],RD[#All],W$1,0)/W$2</f>
        <v>4.539567144677231</v>
      </c>
      <c r="X37" s="1">
        <f>VLOOKUP(Inv_Sy[[#This Row],[Date]],RD[#All],X$1,0)/X$2</f>
        <v>4.5335910673941946</v>
      </c>
      <c r="Y37" s="1">
        <f>VLOOKUP(Inv_Sy[[#This Row],[Date]],RD[#All],Y$1,0)/Y$2</f>
        <v>4.384825935656024</v>
      </c>
      <c r="Z37" s="1">
        <f>VLOOKUP(Inv_Sy[[#This Row],[Date]],RD[#All],Z$1,0)/Z$2</f>
        <v>4.45370555688267</v>
      </c>
      <c r="AA37" s="1">
        <f t="shared" si="1"/>
        <v>4.5279324114315926</v>
      </c>
      <c r="AB37" s="1">
        <f>MAX(Inv_Sy[[#This Row],[G1 Inv1]:[IS1_Inv2]])</f>
        <v>4.6830460844398329</v>
      </c>
      <c r="AC37"/>
    </row>
    <row r="38" spans="1:29" ht="15" customHeight="1" x14ac:dyDescent="0.35">
      <c r="A38" s="321" t="s">
        <v>141</v>
      </c>
      <c r="B38" s="321"/>
      <c r="C38" s="67">
        <f>YEAR(RD[[#This Row],[Month Year]])</f>
        <v>2025</v>
      </c>
      <c r="D38" s="169" t="s">
        <v>142</v>
      </c>
      <c r="E38" s="171">
        <f t="shared" si="3"/>
        <v>45871</v>
      </c>
      <c r="F38" s="1">
        <f>VLOOKUP(Inv_Sy[[#This Row],[Date]],RD[#All],F$1,0)/F$2</f>
        <v>4.0020461309523805</v>
      </c>
      <c r="G38" s="1">
        <f>VLOOKUP(Inv_Sy[[#This Row],[Date]],RD[#All],G$1,0)/G$2</f>
        <v>4.14306640625</v>
      </c>
      <c r="H38" s="1">
        <f>VLOOKUP(Inv_Sy[[#This Row],[Date]],RD[#All],H$1,0)/H$2</f>
        <v>4.0476190476190474</v>
      </c>
      <c r="I38" s="1">
        <f>VLOOKUP(Inv_Sy[[#This Row],[Date]],RD[#All],I$1,0)/I$2</f>
        <v>4.0463980463980462</v>
      </c>
      <c r="J38" s="1">
        <f>VLOOKUP(Inv_Sy[[#This Row],[Date]],RD[#All],J$1,0)/J$2</f>
        <v>4.020833333333333</v>
      </c>
      <c r="K38" s="1">
        <f>VLOOKUP(Inv_Sy[[#This Row],[Date]],RD[#All],K$1,0)/K$2</f>
        <v>4.0892687559354224</v>
      </c>
      <c r="L38" s="1">
        <f>VLOOKUP(Inv_Sy[[#This Row],[Date]],RD[#All],L$1,0)/L$2</f>
        <v>3.8821603927986907</v>
      </c>
      <c r="M38" s="1">
        <f>VLOOKUP(Inv_Sy[[#This Row],[Date]],RD[#All],M$1,0)/M$2</f>
        <v>3.90625</v>
      </c>
      <c r="N38" s="1">
        <f>VLOOKUP(Inv_Sy[[#This Row],[Date]],RD[#All],N$1,0)/N$2</f>
        <v>3.8870703764320784</v>
      </c>
      <c r="O38" s="1">
        <f>VLOOKUP(Inv_Sy[[#This Row],[Date]],RD[#All],O$1,0)/O$2</f>
        <v>3.8969494047619047</v>
      </c>
      <c r="P38" s="1">
        <f>AVERAGEIFS(Inv_Sy[[#This Row],[G1 Inv1]:[G5 Inv10]],Inv_Sy[[#This Row],[G1 Inv1]:[G5 Inv10]],"&lt;&gt;"&amp;0)</f>
        <v>3.9921661894480898</v>
      </c>
      <c r="Q38" s="1">
        <f>VLOOKUP(Inv_Sy[[#This Row],[Date]],RD[#All],Q$1,0)/Q$2</f>
        <v>4.6155203414609565</v>
      </c>
      <c r="R38" s="1">
        <f>VLOOKUP(Inv_Sy[[#This Row],[Date]],RD[#All],R$1,0)/R$2</f>
        <v>4.5218914759144653</v>
      </c>
      <c r="S38" s="1">
        <f>VLOOKUP(Inv_Sy[[#This Row],[Date]],RD[#All],S$1,0)/S$2</f>
        <v>4.8127596476562919</v>
      </c>
      <c r="T38" s="1">
        <f>VLOOKUP(Inv_Sy[[#This Row],[Date]],RD[#All],T$1,0)/T$2</f>
        <v>4.6739143747116767</v>
      </c>
      <c r="U38" s="1">
        <f>VLOOKUP(Inv_Sy[[#This Row],[Date]],RD[#All],U$1,0)/U$2</f>
        <v>4.6485872036375442</v>
      </c>
      <c r="V38" s="1">
        <f>VLOOKUP(Inv_Sy[[#This Row],[Date]],RD[#All],V$1,0)/V$2</f>
        <v>4.7012358901840026</v>
      </c>
      <c r="W38" s="1">
        <f>VLOOKUP(Inv_Sy[[#This Row],[Date]],RD[#All],W$1,0)/W$2</f>
        <v>4.5899597429081984</v>
      </c>
      <c r="X38" s="1">
        <f>VLOOKUP(Inv_Sy[[#This Row],[Date]],RD[#All],X$1,0)/X$2</f>
        <v>4.5762476856949448</v>
      </c>
      <c r="Y38" s="1">
        <f>VLOOKUP(Inv_Sy[[#This Row],[Date]],RD[#All],Y$1,0)/Y$2</f>
        <v>4.6394234075622727</v>
      </c>
      <c r="Z38" s="1">
        <f>VLOOKUP(Inv_Sy[[#This Row],[Date]],RD[#All],Z$1,0)/Z$2</f>
        <v>4.6426150339920831</v>
      </c>
      <c r="AA38" s="1">
        <f t="shared" si="1"/>
        <v>4.6422154803722435</v>
      </c>
      <c r="AB38" s="1">
        <f>MAX(Inv_Sy[[#This Row],[G1 Inv1]:[IS1_Inv2]])</f>
        <v>4.8127596476562919</v>
      </c>
      <c r="AC38"/>
    </row>
    <row r="39" spans="1:29" ht="15" customHeight="1" x14ac:dyDescent="0.35">
      <c r="A39" s="321" t="s">
        <v>141</v>
      </c>
      <c r="B39" s="321"/>
      <c r="C39" s="67">
        <f>YEAR(RD[[#This Row],[Month Year]])</f>
        <v>2025</v>
      </c>
      <c r="D39" s="169" t="s">
        <v>142</v>
      </c>
      <c r="E39" s="171">
        <f t="shared" si="3"/>
        <v>45872</v>
      </c>
      <c r="F39" s="1">
        <f>VLOOKUP(Inv_Sy[[#This Row],[Date]],RD[#All],F$1,0)/F$2</f>
        <v>3.8067336309523809</v>
      </c>
      <c r="G39" s="1">
        <f>VLOOKUP(Inv_Sy[[#This Row],[Date]],RD[#All],G$1,0)/G$2</f>
        <v>3.828125</v>
      </c>
      <c r="H39" s="1">
        <f>VLOOKUP(Inv_Sy[[#This Row],[Date]],RD[#All],H$1,0)/H$2</f>
        <v>3.7676711309523809</v>
      </c>
      <c r="I39" s="1">
        <f>VLOOKUP(Inv_Sy[[#This Row],[Date]],RD[#All],I$1,0)/I$2</f>
        <v>3.7305657305657305</v>
      </c>
      <c r="J39" s="1">
        <f>VLOOKUP(Inv_Sy[[#This Row],[Date]],RD[#All],J$1,0)/J$2</f>
        <v>3.8717948717948718</v>
      </c>
      <c r="K39" s="1">
        <f>VLOOKUP(Inv_Sy[[#This Row],[Date]],RD[#All],K$1,0)/K$2</f>
        <v>3.8936372269705601</v>
      </c>
      <c r="L39" s="1">
        <f>VLOOKUP(Inv_Sy[[#This Row],[Date]],RD[#All],L$1,0)/L$2</f>
        <v>3.7291325695581015</v>
      </c>
      <c r="M39" s="1">
        <f>VLOOKUP(Inv_Sy[[#This Row],[Date]],RD[#All],M$1,0)/M$2</f>
        <v>3.7211681547619047</v>
      </c>
      <c r="N39" s="1">
        <f>VLOOKUP(Inv_Sy[[#This Row],[Date]],RD[#All],N$1,0)/N$2</f>
        <v>3.7168576104746318</v>
      </c>
      <c r="O39" s="1">
        <f>VLOOKUP(Inv_Sy[[#This Row],[Date]],RD[#All],O$1,0)/O$2</f>
        <v>3.7286086309523809</v>
      </c>
      <c r="P39" s="1">
        <f>AVERAGEIFS(Inv_Sy[[#This Row],[G1 Inv1]:[G5 Inv10]],Inv_Sy[[#This Row],[G1 Inv1]:[G5 Inv10]],"&lt;&gt;"&amp;0)</f>
        <v>3.7794294556982941</v>
      </c>
      <c r="Q39" s="1">
        <f>VLOOKUP(Inv_Sy[[#This Row],[Date]],RD[#All],Q$1,0)/Q$2</f>
        <v>4.4636945672083224</v>
      </c>
      <c r="R39" s="1">
        <f>VLOOKUP(Inv_Sy[[#This Row],[Date]],RD[#All],R$1,0)/R$2</f>
        <v>4.3780495791990051</v>
      </c>
      <c r="S39" s="1">
        <f>VLOOKUP(Inv_Sy[[#This Row],[Date]],RD[#All],S$1,0)/S$2</f>
        <v>4.6073518354385179</v>
      </c>
      <c r="T39" s="1">
        <f>VLOOKUP(Inv_Sy[[#This Row],[Date]],RD[#All],T$1,0)/T$2</f>
        <v>4.4792631995786909</v>
      </c>
      <c r="U39" s="1">
        <f>VLOOKUP(Inv_Sy[[#This Row],[Date]],RD[#All],U$1,0)/U$2</f>
        <v>4.4507145177005514</v>
      </c>
      <c r="V39" s="1">
        <f>VLOOKUP(Inv_Sy[[#This Row],[Date]],RD[#All],V$1,0)/V$2</f>
        <v>4.5225882569513596</v>
      </c>
      <c r="W39" s="1">
        <f>VLOOKUP(Inv_Sy[[#This Row],[Date]],RD[#All],W$1,0)/W$2</f>
        <v>4.4075206271802534</v>
      </c>
      <c r="X39" s="1">
        <f>VLOOKUP(Inv_Sy[[#This Row],[Date]],RD[#All],X$1,0)/X$2</f>
        <v>4.3645142610128298</v>
      </c>
      <c r="Y39" s="1">
        <f>VLOOKUP(Inv_Sy[[#This Row],[Date]],RD[#All],Y$1,0)/Y$2</f>
        <v>4.2937705459196991</v>
      </c>
      <c r="Z39" s="1">
        <f>VLOOKUP(Inv_Sy[[#This Row],[Date]],RD[#All],Z$1,0)/Z$2</f>
        <v>4.3125722291447417</v>
      </c>
      <c r="AA39" s="1">
        <f t="shared" si="1"/>
        <v>4.4280039619333973</v>
      </c>
      <c r="AB39" s="1">
        <f>MAX(Inv_Sy[[#This Row],[G1 Inv1]:[IS1_Inv2]])</f>
        <v>4.6073518354385179</v>
      </c>
      <c r="AC39"/>
    </row>
    <row r="40" spans="1:29" ht="15" customHeight="1" x14ac:dyDescent="0.35">
      <c r="A40" s="321" t="s">
        <v>141</v>
      </c>
      <c r="B40" s="321"/>
      <c r="C40" s="67">
        <f>YEAR(RD[[#This Row],[Month Year]])</f>
        <v>2025</v>
      </c>
      <c r="D40" s="169" t="s">
        <v>142</v>
      </c>
      <c r="E40" s="171">
        <f t="shared" si="3"/>
        <v>45873</v>
      </c>
      <c r="F40" s="1">
        <f>VLOOKUP(Inv_Sy[[#This Row],[Date]],RD[#All],F$1,0)/F$2</f>
        <v>0</v>
      </c>
      <c r="G40" s="1">
        <f>VLOOKUP(Inv_Sy[[#This Row],[Date]],RD[#All],G$1,0)/G$2</f>
        <v>0</v>
      </c>
      <c r="H40" s="1">
        <f>VLOOKUP(Inv_Sy[[#This Row],[Date]],RD[#All],H$1,0)/H$2</f>
        <v>0</v>
      </c>
      <c r="I40" s="1">
        <f>VLOOKUP(Inv_Sy[[#This Row],[Date]],RD[#All],I$1,0)/I$2</f>
        <v>0</v>
      </c>
      <c r="J40" s="1">
        <f>VLOOKUP(Inv_Sy[[#This Row],[Date]],RD[#All],J$1,0)/J$2</f>
        <v>0</v>
      </c>
      <c r="K40" s="1">
        <f>VLOOKUP(Inv_Sy[[#This Row],[Date]],RD[#All],K$1,0)/K$2</f>
        <v>0</v>
      </c>
      <c r="L40" s="1">
        <f>VLOOKUP(Inv_Sy[[#This Row],[Date]],RD[#All],L$1,0)/L$2</f>
        <v>0</v>
      </c>
      <c r="M40" s="1">
        <f>VLOOKUP(Inv_Sy[[#This Row],[Date]],RD[#All],M$1,0)/M$2</f>
        <v>0</v>
      </c>
      <c r="N40" s="1">
        <f>VLOOKUP(Inv_Sy[[#This Row],[Date]],RD[#All],N$1,0)/N$2</f>
        <v>0</v>
      </c>
      <c r="O40" s="1">
        <f>VLOOKUP(Inv_Sy[[#This Row],[Date]],RD[#All],O$1,0)/O$2</f>
        <v>0</v>
      </c>
      <c r="P40" s="1" t="e">
        <f>AVERAGEIFS(Inv_Sy[[#This Row],[G1 Inv1]:[G5 Inv10]],Inv_Sy[[#This Row],[G1 Inv1]:[G5 Inv10]],"&lt;&gt;"&amp;0)</f>
        <v>#DIV/0!</v>
      </c>
      <c r="Q40" s="1">
        <f>VLOOKUP(Inv_Sy[[#This Row],[Date]],RD[#All],Q$1,0)/Q$2</f>
        <v>0</v>
      </c>
      <c r="R40" s="1">
        <f>VLOOKUP(Inv_Sy[[#This Row],[Date]],RD[#All],R$1,0)/R$2</f>
        <v>0</v>
      </c>
      <c r="S40" s="1">
        <f>VLOOKUP(Inv_Sy[[#This Row],[Date]],RD[#All],S$1,0)/S$2</f>
        <v>0</v>
      </c>
      <c r="T40" s="1">
        <f>VLOOKUP(Inv_Sy[[#This Row],[Date]],RD[#All],T$1,0)/T$2</f>
        <v>0</v>
      </c>
      <c r="U40" s="1">
        <f>VLOOKUP(Inv_Sy[[#This Row],[Date]],RD[#All],U$1,0)/U$2</f>
        <v>0</v>
      </c>
      <c r="V40" s="1">
        <f>VLOOKUP(Inv_Sy[[#This Row],[Date]],RD[#All],V$1,0)/V$2</f>
        <v>0</v>
      </c>
      <c r="W40" s="1">
        <f>VLOOKUP(Inv_Sy[[#This Row],[Date]],RD[#All],W$1,0)/W$2</f>
        <v>0</v>
      </c>
      <c r="X40" s="1">
        <f>VLOOKUP(Inv_Sy[[#This Row],[Date]],RD[#All],X$1,0)/X$2</f>
        <v>0</v>
      </c>
      <c r="Y40" s="1">
        <f>VLOOKUP(Inv_Sy[[#This Row],[Date]],RD[#All],Y$1,0)/Y$2</f>
        <v>0</v>
      </c>
      <c r="Z40" s="1">
        <f>VLOOKUP(Inv_Sy[[#This Row],[Date]],RD[#All],Z$1,0)/Z$2</f>
        <v>0</v>
      </c>
      <c r="AA40" s="1" t="str">
        <f t="shared" si="1"/>
        <v/>
      </c>
      <c r="AB40" s="1" t="e">
        <f>MAX(Inv_Sy[[#This Row],[G1 Inv1]:[IS1_Inv2]])</f>
        <v>#DIV/0!</v>
      </c>
      <c r="AC40"/>
    </row>
    <row r="41" spans="1:29" ht="15" customHeight="1" x14ac:dyDescent="0.35">
      <c r="A41" s="321" t="s">
        <v>141</v>
      </c>
      <c r="B41" s="321"/>
      <c r="C41" s="67">
        <f>YEAR(RD[[#This Row],[Month Year]])</f>
        <v>2025</v>
      </c>
      <c r="D41" s="169" t="s">
        <v>142</v>
      </c>
      <c r="E41" s="171">
        <f t="shared" si="3"/>
        <v>45874</v>
      </c>
      <c r="F41" s="1">
        <f>VLOOKUP(Inv_Sy[[#This Row],[Date]],RD[#All],F$1,0)/F$2</f>
        <v>0</v>
      </c>
      <c r="G41" s="1">
        <f>VLOOKUP(Inv_Sy[[#This Row],[Date]],RD[#All],G$1,0)/G$2</f>
        <v>0</v>
      </c>
      <c r="H41" s="1">
        <f>VLOOKUP(Inv_Sy[[#This Row],[Date]],RD[#All],H$1,0)/H$2</f>
        <v>0</v>
      </c>
      <c r="I41" s="1">
        <f>VLOOKUP(Inv_Sy[[#This Row],[Date]],RD[#All],I$1,0)/I$2</f>
        <v>0</v>
      </c>
      <c r="J41" s="1">
        <f>VLOOKUP(Inv_Sy[[#This Row],[Date]],RD[#All],J$1,0)/J$2</f>
        <v>0</v>
      </c>
      <c r="K41" s="1">
        <f>VLOOKUP(Inv_Sy[[#This Row],[Date]],RD[#All],K$1,0)/K$2</f>
        <v>0</v>
      </c>
      <c r="L41" s="1">
        <f>VLOOKUP(Inv_Sy[[#This Row],[Date]],RD[#All],L$1,0)/L$2</f>
        <v>0</v>
      </c>
      <c r="M41" s="1">
        <f>VLOOKUP(Inv_Sy[[#This Row],[Date]],RD[#All],M$1,0)/M$2</f>
        <v>0</v>
      </c>
      <c r="N41" s="1">
        <f>VLOOKUP(Inv_Sy[[#This Row],[Date]],RD[#All],N$1,0)/N$2</f>
        <v>0</v>
      </c>
      <c r="O41" s="1">
        <f>VLOOKUP(Inv_Sy[[#This Row],[Date]],RD[#All],O$1,0)/O$2</f>
        <v>0</v>
      </c>
      <c r="P41" s="1" t="e">
        <f>AVERAGEIFS(Inv_Sy[[#This Row],[G1 Inv1]:[G5 Inv10]],Inv_Sy[[#This Row],[G1 Inv1]:[G5 Inv10]],"&lt;&gt;"&amp;0)</f>
        <v>#DIV/0!</v>
      </c>
      <c r="Q41" s="1">
        <f>VLOOKUP(Inv_Sy[[#This Row],[Date]],RD[#All],Q$1,0)/Q$2</f>
        <v>0</v>
      </c>
      <c r="R41" s="1">
        <f>VLOOKUP(Inv_Sy[[#This Row],[Date]],RD[#All],R$1,0)/R$2</f>
        <v>0</v>
      </c>
      <c r="S41" s="1">
        <f>VLOOKUP(Inv_Sy[[#This Row],[Date]],RD[#All],S$1,0)/S$2</f>
        <v>0</v>
      </c>
      <c r="T41" s="1">
        <f>VLOOKUP(Inv_Sy[[#This Row],[Date]],RD[#All],T$1,0)/T$2</f>
        <v>0</v>
      </c>
      <c r="U41" s="1">
        <f>VLOOKUP(Inv_Sy[[#This Row],[Date]],RD[#All],U$1,0)/U$2</f>
        <v>0</v>
      </c>
      <c r="V41" s="1">
        <f>VLOOKUP(Inv_Sy[[#This Row],[Date]],RD[#All],V$1,0)/V$2</f>
        <v>0</v>
      </c>
      <c r="W41" s="1">
        <f>VLOOKUP(Inv_Sy[[#This Row],[Date]],RD[#All],W$1,0)/W$2</f>
        <v>0</v>
      </c>
      <c r="X41" s="1">
        <f>VLOOKUP(Inv_Sy[[#This Row],[Date]],RD[#All],X$1,0)/X$2</f>
        <v>0</v>
      </c>
      <c r="Y41" s="1">
        <f>VLOOKUP(Inv_Sy[[#This Row],[Date]],RD[#All],Y$1,0)/Y$2</f>
        <v>0</v>
      </c>
      <c r="Z41" s="1">
        <f>VLOOKUP(Inv_Sy[[#This Row],[Date]],RD[#All],Z$1,0)/Z$2</f>
        <v>0</v>
      </c>
      <c r="AA41" s="1" t="str">
        <f t="shared" si="1"/>
        <v/>
      </c>
      <c r="AB41" s="1" t="e">
        <f>MAX(Inv_Sy[[#This Row],[G1 Inv1]:[IS1_Inv2]])</f>
        <v>#DIV/0!</v>
      </c>
      <c r="AC41"/>
    </row>
    <row r="42" spans="1:29" ht="15" customHeight="1" x14ac:dyDescent="0.35">
      <c r="A42" s="321" t="s">
        <v>141</v>
      </c>
      <c r="B42" s="321"/>
      <c r="C42" s="67">
        <f>YEAR(RD[[#This Row],[Month Year]])</f>
        <v>2025</v>
      </c>
      <c r="D42" s="169" t="s">
        <v>142</v>
      </c>
      <c r="E42" s="171">
        <f t="shared" si="3"/>
        <v>45875</v>
      </c>
      <c r="F42" s="1">
        <f>VLOOKUP(Inv_Sy[[#This Row],[Date]],RD[#All],F$1,0)/F$2</f>
        <v>0</v>
      </c>
      <c r="G42" s="1">
        <f>VLOOKUP(Inv_Sy[[#This Row],[Date]],RD[#All],G$1,0)/G$2</f>
        <v>0</v>
      </c>
      <c r="H42" s="1">
        <f>VLOOKUP(Inv_Sy[[#This Row],[Date]],RD[#All],H$1,0)/H$2</f>
        <v>0</v>
      </c>
      <c r="I42" s="1">
        <f>VLOOKUP(Inv_Sy[[#This Row],[Date]],RD[#All],I$1,0)/I$2</f>
        <v>0</v>
      </c>
      <c r="J42" s="1">
        <f>VLOOKUP(Inv_Sy[[#This Row],[Date]],RD[#All],J$1,0)/J$2</f>
        <v>0</v>
      </c>
      <c r="K42" s="1">
        <f>VLOOKUP(Inv_Sy[[#This Row],[Date]],RD[#All],K$1,0)/K$2</f>
        <v>0</v>
      </c>
      <c r="L42" s="1">
        <f>VLOOKUP(Inv_Sy[[#This Row],[Date]],RD[#All],L$1,0)/L$2</f>
        <v>0</v>
      </c>
      <c r="M42" s="1">
        <f>VLOOKUP(Inv_Sy[[#This Row],[Date]],RD[#All],M$1,0)/M$2</f>
        <v>0</v>
      </c>
      <c r="N42" s="1">
        <f>VLOOKUP(Inv_Sy[[#This Row],[Date]],RD[#All],N$1,0)/N$2</f>
        <v>0</v>
      </c>
      <c r="O42" s="1">
        <f>VLOOKUP(Inv_Sy[[#This Row],[Date]],RD[#All],O$1,0)/O$2</f>
        <v>0</v>
      </c>
      <c r="P42" s="1" t="e">
        <f>AVERAGEIFS(Inv_Sy[[#This Row],[G1 Inv1]:[G5 Inv10]],Inv_Sy[[#This Row],[G1 Inv1]:[G5 Inv10]],"&lt;&gt;"&amp;0)</f>
        <v>#DIV/0!</v>
      </c>
      <c r="Q42" s="1">
        <f>VLOOKUP(Inv_Sy[[#This Row],[Date]],RD[#All],Q$1,0)/Q$2</f>
        <v>0</v>
      </c>
      <c r="R42" s="1">
        <f>VLOOKUP(Inv_Sy[[#This Row],[Date]],RD[#All],R$1,0)/R$2</f>
        <v>0</v>
      </c>
      <c r="S42" s="1">
        <f>VLOOKUP(Inv_Sy[[#This Row],[Date]],RD[#All],S$1,0)/S$2</f>
        <v>0</v>
      </c>
      <c r="T42" s="1">
        <f>VLOOKUP(Inv_Sy[[#This Row],[Date]],RD[#All],T$1,0)/T$2</f>
        <v>0</v>
      </c>
      <c r="U42" s="1">
        <f>VLOOKUP(Inv_Sy[[#This Row],[Date]],RD[#All],U$1,0)/U$2</f>
        <v>0</v>
      </c>
      <c r="V42" s="1">
        <f>VLOOKUP(Inv_Sy[[#This Row],[Date]],RD[#All],V$1,0)/V$2</f>
        <v>0</v>
      </c>
      <c r="W42" s="1">
        <f>VLOOKUP(Inv_Sy[[#This Row],[Date]],RD[#All],W$1,0)/W$2</f>
        <v>0</v>
      </c>
      <c r="X42" s="1">
        <f>VLOOKUP(Inv_Sy[[#This Row],[Date]],RD[#All],X$1,0)/X$2</f>
        <v>0</v>
      </c>
      <c r="Y42" s="1">
        <f>VLOOKUP(Inv_Sy[[#This Row],[Date]],RD[#All],Y$1,0)/Y$2</f>
        <v>0</v>
      </c>
      <c r="Z42" s="1">
        <f>VLOOKUP(Inv_Sy[[#This Row],[Date]],RD[#All],Z$1,0)/Z$2</f>
        <v>0</v>
      </c>
      <c r="AA42" s="1" t="str">
        <f t="shared" si="1"/>
        <v/>
      </c>
      <c r="AB42" s="1" t="e">
        <f>MAX(Inv_Sy[[#This Row],[G1 Inv1]:[IS1_Inv2]])</f>
        <v>#DIV/0!</v>
      </c>
      <c r="AC42"/>
    </row>
    <row r="43" spans="1:29" ht="15" customHeight="1" x14ac:dyDescent="0.35">
      <c r="A43" s="321" t="s">
        <v>141</v>
      </c>
      <c r="B43" s="321"/>
      <c r="C43" s="67">
        <f>YEAR(RD[[#This Row],[Month Year]])</f>
        <v>2025</v>
      </c>
      <c r="D43" s="169" t="s">
        <v>142</v>
      </c>
      <c r="E43" s="171">
        <f t="shared" si="3"/>
        <v>45876</v>
      </c>
      <c r="F43" s="1" t="e">
        <f>VLOOKUP(Inv_Sy[[#This Row],[Date]],RD[#All],F$1,0)/F$2</f>
        <v>#N/A</v>
      </c>
      <c r="G43" s="1" t="e">
        <f>VLOOKUP(Inv_Sy[[#This Row],[Date]],RD[#All],G$1,0)/G$2</f>
        <v>#N/A</v>
      </c>
      <c r="H43" s="1" t="e">
        <f>VLOOKUP(Inv_Sy[[#This Row],[Date]],RD[#All],H$1,0)/H$2</f>
        <v>#N/A</v>
      </c>
      <c r="I43" s="1" t="e">
        <f>VLOOKUP(Inv_Sy[[#This Row],[Date]],RD[#All],I$1,0)/I$2</f>
        <v>#N/A</v>
      </c>
      <c r="J43" s="1" t="e">
        <f>VLOOKUP(Inv_Sy[[#This Row],[Date]],RD[#All],J$1,0)/J$2</f>
        <v>#N/A</v>
      </c>
      <c r="K43" s="1" t="e">
        <f>VLOOKUP(Inv_Sy[[#This Row],[Date]],RD[#All],K$1,0)/K$2</f>
        <v>#N/A</v>
      </c>
      <c r="L43" s="1" t="e">
        <f>VLOOKUP(Inv_Sy[[#This Row],[Date]],RD[#All],L$1,0)/L$2</f>
        <v>#N/A</v>
      </c>
      <c r="M43" s="1" t="e">
        <f>VLOOKUP(Inv_Sy[[#This Row],[Date]],RD[#All],M$1,0)/M$2</f>
        <v>#N/A</v>
      </c>
      <c r="N43" s="1" t="e">
        <f>VLOOKUP(Inv_Sy[[#This Row],[Date]],RD[#All],N$1,0)/N$2</f>
        <v>#N/A</v>
      </c>
      <c r="O43" s="1" t="e">
        <f>VLOOKUP(Inv_Sy[[#This Row],[Date]],RD[#All],O$1,0)/O$2</f>
        <v>#N/A</v>
      </c>
      <c r="P43" s="1" t="e">
        <f>AVERAGEIFS(Inv_Sy[[#This Row],[G1 Inv1]:[G5 Inv10]],Inv_Sy[[#This Row],[G1 Inv1]:[G5 Inv10]],"&lt;&gt;"&amp;0)</f>
        <v>#N/A</v>
      </c>
      <c r="Q43" s="1" t="e">
        <f>VLOOKUP(Inv_Sy[[#This Row],[Date]],RD[#All],Q$1,0)/Q$2</f>
        <v>#N/A</v>
      </c>
      <c r="R43" s="1" t="e">
        <f>VLOOKUP(Inv_Sy[[#This Row],[Date]],RD[#All],R$1,0)/R$2</f>
        <v>#N/A</v>
      </c>
      <c r="S43" s="1" t="e">
        <f>VLOOKUP(Inv_Sy[[#This Row],[Date]],RD[#All],S$1,0)/S$2</f>
        <v>#N/A</v>
      </c>
      <c r="T43" s="1" t="e">
        <f>VLOOKUP(Inv_Sy[[#This Row],[Date]],RD[#All],T$1,0)/T$2</f>
        <v>#N/A</v>
      </c>
      <c r="U43" s="1" t="e">
        <f>VLOOKUP(Inv_Sy[[#This Row],[Date]],RD[#All],U$1,0)/U$2</f>
        <v>#N/A</v>
      </c>
      <c r="V43" s="1" t="e">
        <f>VLOOKUP(Inv_Sy[[#This Row],[Date]],RD[#All],V$1,0)/V$2</f>
        <v>#N/A</v>
      </c>
      <c r="W43" s="1" t="e">
        <f>VLOOKUP(Inv_Sy[[#This Row],[Date]],RD[#All],W$1,0)/W$2</f>
        <v>#N/A</v>
      </c>
      <c r="X43" s="1" t="e">
        <f>VLOOKUP(Inv_Sy[[#This Row],[Date]],RD[#All],X$1,0)/X$2</f>
        <v>#N/A</v>
      </c>
      <c r="Y43" s="1" t="e">
        <f>VLOOKUP(Inv_Sy[[#This Row],[Date]],RD[#All],Y$1,0)/Y$2</f>
        <v>#N/A</v>
      </c>
      <c r="Z43" s="1" t="e">
        <f>VLOOKUP(Inv_Sy[[#This Row],[Date]],RD[#All],Z$1,0)/Z$2</f>
        <v>#N/A</v>
      </c>
      <c r="AA43" s="1" t="str">
        <f t="shared" si="1"/>
        <v/>
      </c>
      <c r="AB43" s="1" t="e">
        <f>MAX(Inv_Sy[[#This Row],[G1 Inv1]:[IS1_Inv2]])</f>
        <v>#N/A</v>
      </c>
      <c r="AC43"/>
    </row>
    <row r="44" spans="1:29" ht="15" customHeight="1" x14ac:dyDescent="0.35">
      <c r="A44" s="321" t="s">
        <v>141</v>
      </c>
      <c r="B44" s="321"/>
      <c r="C44" s="67">
        <f>YEAR(RD[[#This Row],[Month Year]])</f>
        <v>2025</v>
      </c>
      <c r="D44" s="169" t="s">
        <v>142</v>
      </c>
      <c r="E44" s="171">
        <f t="shared" si="3"/>
        <v>45877</v>
      </c>
      <c r="F44" s="1" t="e">
        <f>VLOOKUP(Inv_Sy[[#This Row],[Date]],RD[#All],F$1,0)/F$2</f>
        <v>#N/A</v>
      </c>
      <c r="G44" s="1" t="e">
        <f>VLOOKUP(Inv_Sy[[#This Row],[Date]],RD[#All],G$1,0)/G$2</f>
        <v>#N/A</v>
      </c>
      <c r="H44" s="1" t="e">
        <f>VLOOKUP(Inv_Sy[[#This Row],[Date]],RD[#All],H$1,0)/H$2</f>
        <v>#N/A</v>
      </c>
      <c r="I44" s="1" t="e">
        <f>VLOOKUP(Inv_Sy[[#This Row],[Date]],RD[#All],I$1,0)/I$2</f>
        <v>#N/A</v>
      </c>
      <c r="J44" s="1" t="e">
        <f>VLOOKUP(Inv_Sy[[#This Row],[Date]],RD[#All],J$1,0)/J$2</f>
        <v>#N/A</v>
      </c>
      <c r="K44" s="1" t="e">
        <f>VLOOKUP(Inv_Sy[[#This Row],[Date]],RD[#All],K$1,0)/K$2</f>
        <v>#N/A</v>
      </c>
      <c r="L44" s="1" t="e">
        <f>VLOOKUP(Inv_Sy[[#This Row],[Date]],RD[#All],L$1,0)/L$2</f>
        <v>#N/A</v>
      </c>
      <c r="M44" s="1" t="e">
        <f>VLOOKUP(Inv_Sy[[#This Row],[Date]],RD[#All],M$1,0)/M$2</f>
        <v>#N/A</v>
      </c>
      <c r="N44" s="1" t="e">
        <f>VLOOKUP(Inv_Sy[[#This Row],[Date]],RD[#All],N$1,0)/N$2</f>
        <v>#N/A</v>
      </c>
      <c r="O44" s="1" t="e">
        <f>VLOOKUP(Inv_Sy[[#This Row],[Date]],RD[#All],O$1,0)/O$2</f>
        <v>#N/A</v>
      </c>
      <c r="P44" s="1" t="e">
        <f>AVERAGEIFS(Inv_Sy[[#This Row],[G1 Inv1]:[G5 Inv10]],Inv_Sy[[#This Row],[G1 Inv1]:[G5 Inv10]],"&lt;&gt;"&amp;0)</f>
        <v>#N/A</v>
      </c>
      <c r="Q44" s="1" t="e">
        <f>VLOOKUP(Inv_Sy[[#This Row],[Date]],RD[#All],Q$1,0)/Q$2</f>
        <v>#N/A</v>
      </c>
      <c r="R44" s="1" t="e">
        <f>VLOOKUP(Inv_Sy[[#This Row],[Date]],RD[#All],R$1,0)/R$2</f>
        <v>#N/A</v>
      </c>
      <c r="S44" s="1" t="e">
        <f>VLOOKUP(Inv_Sy[[#This Row],[Date]],RD[#All],S$1,0)/S$2</f>
        <v>#N/A</v>
      </c>
      <c r="T44" s="1" t="e">
        <f>VLOOKUP(Inv_Sy[[#This Row],[Date]],RD[#All],T$1,0)/T$2</f>
        <v>#N/A</v>
      </c>
      <c r="U44" s="1" t="e">
        <f>VLOOKUP(Inv_Sy[[#This Row],[Date]],RD[#All],U$1,0)/U$2</f>
        <v>#N/A</v>
      </c>
      <c r="V44" s="1" t="e">
        <f>VLOOKUP(Inv_Sy[[#This Row],[Date]],RD[#All],V$1,0)/V$2</f>
        <v>#N/A</v>
      </c>
      <c r="W44" s="1" t="e">
        <f>VLOOKUP(Inv_Sy[[#This Row],[Date]],RD[#All],W$1,0)/W$2</f>
        <v>#N/A</v>
      </c>
      <c r="X44" s="1" t="e">
        <f>VLOOKUP(Inv_Sy[[#This Row],[Date]],RD[#All],X$1,0)/X$2</f>
        <v>#N/A</v>
      </c>
      <c r="Y44" s="1" t="e">
        <f>VLOOKUP(Inv_Sy[[#This Row],[Date]],RD[#All],Y$1,0)/Y$2</f>
        <v>#N/A</v>
      </c>
      <c r="Z44" s="1" t="e">
        <f>VLOOKUP(Inv_Sy[[#This Row],[Date]],RD[#All],Z$1,0)/Z$2</f>
        <v>#N/A</v>
      </c>
      <c r="AA44" s="1" t="str">
        <f t="shared" si="1"/>
        <v/>
      </c>
      <c r="AB44" s="1" t="e">
        <f>MAX(Inv_Sy[[#This Row],[G1 Inv1]:[IS1_Inv2]])</f>
        <v>#N/A</v>
      </c>
      <c r="AC44"/>
    </row>
    <row r="45" spans="1:29" ht="15" customHeight="1" x14ac:dyDescent="0.35">
      <c r="A45" s="321" t="s">
        <v>141</v>
      </c>
      <c r="B45" s="321"/>
      <c r="C45" s="67">
        <f>YEAR(RD[[#This Row],[Month Year]])</f>
        <v>2025</v>
      </c>
      <c r="D45" s="169" t="s">
        <v>142</v>
      </c>
      <c r="E45" s="171">
        <f t="shared" si="3"/>
        <v>45878</v>
      </c>
      <c r="F45" s="1" t="e">
        <f>VLOOKUP(Inv_Sy[[#This Row],[Date]],RD[#All],F$1,0)/F$2</f>
        <v>#N/A</v>
      </c>
      <c r="G45" s="1" t="e">
        <f>VLOOKUP(Inv_Sy[[#This Row],[Date]],RD[#All],G$1,0)/G$2</f>
        <v>#N/A</v>
      </c>
      <c r="H45" s="1" t="e">
        <f>VLOOKUP(Inv_Sy[[#This Row],[Date]],RD[#All],H$1,0)/H$2</f>
        <v>#N/A</v>
      </c>
      <c r="I45" s="1" t="e">
        <f>VLOOKUP(Inv_Sy[[#This Row],[Date]],RD[#All],I$1,0)/I$2</f>
        <v>#N/A</v>
      </c>
      <c r="J45" s="1" t="e">
        <f>VLOOKUP(Inv_Sy[[#This Row],[Date]],RD[#All],J$1,0)/J$2</f>
        <v>#N/A</v>
      </c>
      <c r="K45" s="1" t="e">
        <f>VLOOKUP(Inv_Sy[[#This Row],[Date]],RD[#All],K$1,0)/K$2</f>
        <v>#N/A</v>
      </c>
      <c r="L45" s="1" t="e">
        <f>VLOOKUP(Inv_Sy[[#This Row],[Date]],RD[#All],L$1,0)/L$2</f>
        <v>#N/A</v>
      </c>
      <c r="M45" s="1" t="e">
        <f>VLOOKUP(Inv_Sy[[#This Row],[Date]],RD[#All],M$1,0)/M$2</f>
        <v>#N/A</v>
      </c>
      <c r="N45" s="1" t="e">
        <f>VLOOKUP(Inv_Sy[[#This Row],[Date]],RD[#All],N$1,0)/N$2</f>
        <v>#N/A</v>
      </c>
      <c r="O45" s="1" t="e">
        <f>VLOOKUP(Inv_Sy[[#This Row],[Date]],RD[#All],O$1,0)/O$2</f>
        <v>#N/A</v>
      </c>
      <c r="P45" s="1" t="e">
        <f>AVERAGEIFS(Inv_Sy[[#This Row],[G1 Inv1]:[G5 Inv10]],Inv_Sy[[#This Row],[G1 Inv1]:[G5 Inv10]],"&lt;&gt;"&amp;0)</f>
        <v>#N/A</v>
      </c>
      <c r="Q45" s="1" t="e">
        <f>VLOOKUP(Inv_Sy[[#This Row],[Date]],RD[#All],Q$1,0)/Q$2</f>
        <v>#N/A</v>
      </c>
      <c r="R45" s="1" t="e">
        <f>VLOOKUP(Inv_Sy[[#This Row],[Date]],RD[#All],R$1,0)/R$2</f>
        <v>#N/A</v>
      </c>
      <c r="S45" s="1" t="e">
        <f>VLOOKUP(Inv_Sy[[#This Row],[Date]],RD[#All],S$1,0)/S$2</f>
        <v>#N/A</v>
      </c>
      <c r="T45" s="1" t="e">
        <f>VLOOKUP(Inv_Sy[[#This Row],[Date]],RD[#All],T$1,0)/T$2</f>
        <v>#N/A</v>
      </c>
      <c r="U45" s="1" t="e">
        <f>VLOOKUP(Inv_Sy[[#This Row],[Date]],RD[#All],U$1,0)/U$2</f>
        <v>#N/A</v>
      </c>
      <c r="V45" s="1" t="e">
        <f>VLOOKUP(Inv_Sy[[#This Row],[Date]],RD[#All],V$1,0)/V$2</f>
        <v>#N/A</v>
      </c>
      <c r="W45" s="1" t="e">
        <f>VLOOKUP(Inv_Sy[[#This Row],[Date]],RD[#All],W$1,0)/W$2</f>
        <v>#N/A</v>
      </c>
      <c r="X45" s="1" t="e">
        <f>VLOOKUP(Inv_Sy[[#This Row],[Date]],RD[#All],X$1,0)/X$2</f>
        <v>#N/A</v>
      </c>
      <c r="Y45" s="1" t="e">
        <f>VLOOKUP(Inv_Sy[[#This Row],[Date]],RD[#All],Y$1,0)/Y$2</f>
        <v>#N/A</v>
      </c>
      <c r="Z45" s="1" t="e">
        <f>VLOOKUP(Inv_Sy[[#This Row],[Date]],RD[#All],Z$1,0)/Z$2</f>
        <v>#N/A</v>
      </c>
      <c r="AA45" s="1" t="str">
        <f t="shared" si="1"/>
        <v/>
      </c>
      <c r="AB45" s="1" t="e">
        <f>MAX(Inv_Sy[[#This Row],[G1 Inv1]:[IS1_Inv2]])</f>
        <v>#N/A</v>
      </c>
      <c r="AC45"/>
    </row>
    <row r="46" spans="1:29" ht="15" customHeight="1" x14ac:dyDescent="0.35">
      <c r="A46" s="321" t="s">
        <v>141</v>
      </c>
      <c r="B46" s="321"/>
      <c r="C46" s="67">
        <f>YEAR(RD[[#This Row],[Month Year]])</f>
        <v>2025</v>
      </c>
      <c r="D46" s="169" t="s">
        <v>142</v>
      </c>
      <c r="E46" s="171">
        <f t="shared" si="3"/>
        <v>45879</v>
      </c>
      <c r="F46" s="1" t="e">
        <f>VLOOKUP(Inv_Sy[[#This Row],[Date]],RD[#All],F$1,0)/F$2</f>
        <v>#N/A</v>
      </c>
      <c r="G46" s="1" t="e">
        <f>VLOOKUP(Inv_Sy[[#This Row],[Date]],RD[#All],G$1,0)/G$2</f>
        <v>#N/A</v>
      </c>
      <c r="H46" s="1" t="e">
        <f>VLOOKUP(Inv_Sy[[#This Row],[Date]],RD[#All],H$1,0)/H$2</f>
        <v>#N/A</v>
      </c>
      <c r="I46" s="1" t="e">
        <f>VLOOKUP(Inv_Sy[[#This Row],[Date]],RD[#All],I$1,0)/I$2</f>
        <v>#N/A</v>
      </c>
      <c r="J46" s="1" t="e">
        <f>VLOOKUP(Inv_Sy[[#This Row],[Date]],RD[#All],J$1,0)/J$2</f>
        <v>#N/A</v>
      </c>
      <c r="K46" s="1" t="e">
        <f>VLOOKUP(Inv_Sy[[#This Row],[Date]],RD[#All],K$1,0)/K$2</f>
        <v>#N/A</v>
      </c>
      <c r="L46" s="1" t="e">
        <f>VLOOKUP(Inv_Sy[[#This Row],[Date]],RD[#All],L$1,0)/L$2</f>
        <v>#N/A</v>
      </c>
      <c r="M46" s="1" t="e">
        <f>VLOOKUP(Inv_Sy[[#This Row],[Date]],RD[#All],M$1,0)/M$2</f>
        <v>#N/A</v>
      </c>
      <c r="N46" s="1" t="e">
        <f>VLOOKUP(Inv_Sy[[#This Row],[Date]],RD[#All],N$1,0)/N$2</f>
        <v>#N/A</v>
      </c>
      <c r="O46" s="1" t="e">
        <f>VLOOKUP(Inv_Sy[[#This Row],[Date]],RD[#All],O$1,0)/O$2</f>
        <v>#N/A</v>
      </c>
      <c r="P46" s="1" t="e">
        <f>AVERAGEIFS(Inv_Sy[[#This Row],[G1 Inv1]:[G5 Inv10]],Inv_Sy[[#This Row],[G1 Inv1]:[G5 Inv10]],"&lt;&gt;"&amp;0)</f>
        <v>#N/A</v>
      </c>
      <c r="Q46" s="1" t="e">
        <f>VLOOKUP(Inv_Sy[[#This Row],[Date]],RD[#All],Q$1,0)/Q$2</f>
        <v>#N/A</v>
      </c>
      <c r="R46" s="1" t="e">
        <f>VLOOKUP(Inv_Sy[[#This Row],[Date]],RD[#All],R$1,0)/R$2</f>
        <v>#N/A</v>
      </c>
      <c r="S46" s="1" t="e">
        <f>VLOOKUP(Inv_Sy[[#This Row],[Date]],RD[#All],S$1,0)/S$2</f>
        <v>#N/A</v>
      </c>
      <c r="T46" s="1" t="e">
        <f>VLOOKUP(Inv_Sy[[#This Row],[Date]],RD[#All],T$1,0)/T$2</f>
        <v>#N/A</v>
      </c>
      <c r="U46" s="1" t="e">
        <f>VLOOKUP(Inv_Sy[[#This Row],[Date]],RD[#All],U$1,0)/U$2</f>
        <v>#N/A</v>
      </c>
      <c r="V46" s="1" t="e">
        <f>VLOOKUP(Inv_Sy[[#This Row],[Date]],RD[#All],V$1,0)/V$2</f>
        <v>#N/A</v>
      </c>
      <c r="W46" s="1" t="e">
        <f>VLOOKUP(Inv_Sy[[#This Row],[Date]],RD[#All],W$1,0)/W$2</f>
        <v>#N/A</v>
      </c>
      <c r="X46" s="1" t="e">
        <f>VLOOKUP(Inv_Sy[[#This Row],[Date]],RD[#All],X$1,0)/X$2</f>
        <v>#N/A</v>
      </c>
      <c r="Y46" s="1" t="e">
        <f>VLOOKUP(Inv_Sy[[#This Row],[Date]],RD[#All],Y$1,0)/Y$2</f>
        <v>#N/A</v>
      </c>
      <c r="Z46" s="1" t="e">
        <f>VLOOKUP(Inv_Sy[[#This Row],[Date]],RD[#All],Z$1,0)/Z$2</f>
        <v>#N/A</v>
      </c>
      <c r="AA46" s="1" t="str">
        <f t="shared" si="1"/>
        <v/>
      </c>
      <c r="AB46" s="1" t="e">
        <f>MAX(Inv_Sy[[#This Row],[G1 Inv1]:[IS1_Inv2]])</f>
        <v>#N/A</v>
      </c>
      <c r="AC46"/>
    </row>
    <row r="47" spans="1:29" ht="15" customHeight="1" x14ac:dyDescent="0.35">
      <c r="A47" s="321" t="s">
        <v>141</v>
      </c>
      <c r="B47" s="321"/>
      <c r="C47" s="67">
        <f>YEAR(RD[[#This Row],[Month Year]])</f>
        <v>2025</v>
      </c>
      <c r="D47" s="169" t="s">
        <v>142</v>
      </c>
      <c r="E47" s="171">
        <f t="shared" si="3"/>
        <v>45880</v>
      </c>
      <c r="F47" s="1" t="e">
        <f>VLOOKUP(Inv_Sy[[#This Row],[Date]],RD[#All],F$1,0)/F$2</f>
        <v>#N/A</v>
      </c>
      <c r="G47" s="1" t="e">
        <f>VLOOKUP(Inv_Sy[[#This Row],[Date]],RD[#All],G$1,0)/G$2</f>
        <v>#N/A</v>
      </c>
      <c r="H47" s="1" t="e">
        <f>VLOOKUP(Inv_Sy[[#This Row],[Date]],RD[#All],H$1,0)/H$2</f>
        <v>#N/A</v>
      </c>
      <c r="I47" s="1" t="e">
        <f>VLOOKUP(Inv_Sy[[#This Row],[Date]],RD[#All],I$1,0)/I$2</f>
        <v>#N/A</v>
      </c>
      <c r="J47" s="1" t="e">
        <f>VLOOKUP(Inv_Sy[[#This Row],[Date]],RD[#All],J$1,0)/J$2</f>
        <v>#N/A</v>
      </c>
      <c r="K47" s="1" t="e">
        <f>VLOOKUP(Inv_Sy[[#This Row],[Date]],RD[#All],K$1,0)/K$2</f>
        <v>#N/A</v>
      </c>
      <c r="L47" s="1" t="e">
        <f>VLOOKUP(Inv_Sy[[#This Row],[Date]],RD[#All],L$1,0)/L$2</f>
        <v>#N/A</v>
      </c>
      <c r="M47" s="1" t="e">
        <f>VLOOKUP(Inv_Sy[[#This Row],[Date]],RD[#All],M$1,0)/M$2</f>
        <v>#N/A</v>
      </c>
      <c r="N47" s="1" t="e">
        <f>VLOOKUP(Inv_Sy[[#This Row],[Date]],RD[#All],N$1,0)/N$2</f>
        <v>#N/A</v>
      </c>
      <c r="O47" s="1" t="e">
        <f>VLOOKUP(Inv_Sy[[#This Row],[Date]],RD[#All],O$1,0)/O$2</f>
        <v>#N/A</v>
      </c>
      <c r="P47" s="1" t="e">
        <f>AVERAGEIFS(Inv_Sy[[#This Row],[G1 Inv1]:[G5 Inv10]],Inv_Sy[[#This Row],[G1 Inv1]:[G5 Inv10]],"&lt;&gt;"&amp;0)</f>
        <v>#N/A</v>
      </c>
      <c r="Q47" s="1" t="e">
        <f>VLOOKUP(Inv_Sy[[#This Row],[Date]],RD[#All],Q$1,0)/Q$2</f>
        <v>#N/A</v>
      </c>
      <c r="R47" s="1" t="e">
        <f>VLOOKUP(Inv_Sy[[#This Row],[Date]],RD[#All],R$1,0)/R$2</f>
        <v>#N/A</v>
      </c>
      <c r="S47" s="1" t="e">
        <f>VLOOKUP(Inv_Sy[[#This Row],[Date]],RD[#All],S$1,0)/S$2</f>
        <v>#N/A</v>
      </c>
      <c r="T47" s="1" t="e">
        <f>VLOOKUP(Inv_Sy[[#This Row],[Date]],RD[#All],T$1,0)/T$2</f>
        <v>#N/A</v>
      </c>
      <c r="U47" s="1" t="e">
        <f>VLOOKUP(Inv_Sy[[#This Row],[Date]],RD[#All],U$1,0)/U$2</f>
        <v>#N/A</v>
      </c>
      <c r="V47" s="1" t="e">
        <f>VLOOKUP(Inv_Sy[[#This Row],[Date]],RD[#All],V$1,0)/V$2</f>
        <v>#N/A</v>
      </c>
      <c r="W47" s="1" t="e">
        <f>VLOOKUP(Inv_Sy[[#This Row],[Date]],RD[#All],W$1,0)/W$2</f>
        <v>#N/A</v>
      </c>
      <c r="X47" s="1" t="e">
        <f>VLOOKUP(Inv_Sy[[#This Row],[Date]],RD[#All],X$1,0)/X$2</f>
        <v>#N/A</v>
      </c>
      <c r="Y47" s="1" t="e">
        <f>VLOOKUP(Inv_Sy[[#This Row],[Date]],RD[#All],Y$1,0)/Y$2</f>
        <v>#N/A</v>
      </c>
      <c r="Z47" s="1" t="e">
        <f>VLOOKUP(Inv_Sy[[#This Row],[Date]],RD[#All],Z$1,0)/Z$2</f>
        <v>#N/A</v>
      </c>
      <c r="AA47" s="1" t="str">
        <f t="shared" si="1"/>
        <v/>
      </c>
      <c r="AB47" s="1" t="e">
        <f>MAX(Inv_Sy[[#This Row],[G1 Inv1]:[IS1_Inv2]])</f>
        <v>#N/A</v>
      </c>
      <c r="AC47"/>
    </row>
    <row r="48" spans="1:29" ht="15" customHeight="1" x14ac:dyDescent="0.35">
      <c r="A48" s="321" t="s">
        <v>141</v>
      </c>
      <c r="B48" s="321"/>
      <c r="C48" s="67">
        <f>YEAR(RD[[#This Row],[Month Year]])</f>
        <v>2025</v>
      </c>
      <c r="D48" s="169" t="s">
        <v>142</v>
      </c>
      <c r="E48" s="171">
        <f t="shared" si="3"/>
        <v>45881</v>
      </c>
      <c r="F48" s="1" t="e">
        <f>VLOOKUP(Inv_Sy[[#This Row],[Date]],RD[#All],F$1,0)/F$2</f>
        <v>#N/A</v>
      </c>
      <c r="G48" s="1" t="e">
        <f>VLOOKUP(Inv_Sy[[#This Row],[Date]],RD[#All],G$1,0)/G$2</f>
        <v>#N/A</v>
      </c>
      <c r="H48" s="1" t="e">
        <f>VLOOKUP(Inv_Sy[[#This Row],[Date]],RD[#All],H$1,0)/H$2</f>
        <v>#N/A</v>
      </c>
      <c r="I48" s="1" t="e">
        <f>VLOOKUP(Inv_Sy[[#This Row],[Date]],RD[#All],I$1,0)/I$2</f>
        <v>#N/A</v>
      </c>
      <c r="J48" s="1" t="e">
        <f>VLOOKUP(Inv_Sy[[#This Row],[Date]],RD[#All],J$1,0)/J$2</f>
        <v>#N/A</v>
      </c>
      <c r="K48" s="1" t="e">
        <f>VLOOKUP(Inv_Sy[[#This Row],[Date]],RD[#All],K$1,0)/K$2</f>
        <v>#N/A</v>
      </c>
      <c r="L48" s="1" t="e">
        <f>VLOOKUP(Inv_Sy[[#This Row],[Date]],RD[#All],L$1,0)/L$2</f>
        <v>#N/A</v>
      </c>
      <c r="M48" s="1" t="e">
        <f>VLOOKUP(Inv_Sy[[#This Row],[Date]],RD[#All],M$1,0)/M$2</f>
        <v>#N/A</v>
      </c>
      <c r="N48" s="1" t="e">
        <f>VLOOKUP(Inv_Sy[[#This Row],[Date]],RD[#All],N$1,0)/N$2</f>
        <v>#N/A</v>
      </c>
      <c r="O48" s="1" t="e">
        <f>VLOOKUP(Inv_Sy[[#This Row],[Date]],RD[#All],O$1,0)/O$2</f>
        <v>#N/A</v>
      </c>
      <c r="P48" s="1" t="e">
        <f>AVERAGEIFS(Inv_Sy[[#This Row],[G1 Inv1]:[G5 Inv10]],Inv_Sy[[#This Row],[G1 Inv1]:[G5 Inv10]],"&lt;&gt;"&amp;0)</f>
        <v>#N/A</v>
      </c>
      <c r="Q48" s="1" t="e">
        <f>VLOOKUP(Inv_Sy[[#This Row],[Date]],RD[#All],Q$1,0)/Q$2</f>
        <v>#N/A</v>
      </c>
      <c r="R48" s="1" t="e">
        <f>VLOOKUP(Inv_Sy[[#This Row],[Date]],RD[#All],R$1,0)/R$2</f>
        <v>#N/A</v>
      </c>
      <c r="S48" s="1" t="e">
        <f>VLOOKUP(Inv_Sy[[#This Row],[Date]],RD[#All],S$1,0)/S$2</f>
        <v>#N/A</v>
      </c>
      <c r="T48" s="1" t="e">
        <f>VLOOKUP(Inv_Sy[[#This Row],[Date]],RD[#All],T$1,0)/T$2</f>
        <v>#N/A</v>
      </c>
      <c r="U48" s="1" t="e">
        <f>VLOOKUP(Inv_Sy[[#This Row],[Date]],RD[#All],U$1,0)/U$2</f>
        <v>#N/A</v>
      </c>
      <c r="V48" s="1" t="e">
        <f>VLOOKUP(Inv_Sy[[#This Row],[Date]],RD[#All],V$1,0)/V$2</f>
        <v>#N/A</v>
      </c>
      <c r="W48" s="1" t="e">
        <f>VLOOKUP(Inv_Sy[[#This Row],[Date]],RD[#All],W$1,0)/W$2</f>
        <v>#N/A</v>
      </c>
      <c r="X48" s="1" t="e">
        <f>VLOOKUP(Inv_Sy[[#This Row],[Date]],RD[#All],X$1,0)/X$2</f>
        <v>#N/A</v>
      </c>
      <c r="Y48" s="1" t="e">
        <f>VLOOKUP(Inv_Sy[[#This Row],[Date]],RD[#All],Y$1,0)/Y$2</f>
        <v>#N/A</v>
      </c>
      <c r="Z48" s="1" t="e">
        <f>VLOOKUP(Inv_Sy[[#This Row],[Date]],RD[#All],Z$1,0)/Z$2</f>
        <v>#N/A</v>
      </c>
      <c r="AA48" s="1" t="str">
        <f t="shared" si="1"/>
        <v/>
      </c>
      <c r="AB48" s="1" t="e">
        <f>MAX(Inv_Sy[[#This Row],[G1 Inv1]:[IS1_Inv2]])</f>
        <v>#N/A</v>
      </c>
      <c r="AC48"/>
    </row>
    <row r="49" spans="1:29" ht="15" customHeight="1" x14ac:dyDescent="0.35">
      <c r="A49" s="321" t="s">
        <v>141</v>
      </c>
      <c r="B49" s="321"/>
      <c r="C49" s="67">
        <f>YEAR(RD[[#This Row],[Month Year]])</f>
        <v>2025</v>
      </c>
      <c r="D49" s="169" t="s">
        <v>142</v>
      </c>
      <c r="E49" s="171">
        <f t="shared" si="3"/>
        <v>45882</v>
      </c>
      <c r="F49" s="1" t="e">
        <f>VLOOKUP(Inv_Sy[[#This Row],[Date]],RD[#All],F$1,0)/F$2</f>
        <v>#N/A</v>
      </c>
      <c r="G49" s="1" t="e">
        <f>VLOOKUP(Inv_Sy[[#This Row],[Date]],RD[#All],G$1,0)/G$2</f>
        <v>#N/A</v>
      </c>
      <c r="H49" s="1" t="e">
        <f>VLOOKUP(Inv_Sy[[#This Row],[Date]],RD[#All],H$1,0)/H$2</f>
        <v>#N/A</v>
      </c>
      <c r="I49" s="1" t="e">
        <f>VLOOKUP(Inv_Sy[[#This Row],[Date]],RD[#All],I$1,0)/I$2</f>
        <v>#N/A</v>
      </c>
      <c r="J49" s="1" t="e">
        <f>VLOOKUP(Inv_Sy[[#This Row],[Date]],RD[#All],J$1,0)/J$2</f>
        <v>#N/A</v>
      </c>
      <c r="K49" s="1" t="e">
        <f>VLOOKUP(Inv_Sy[[#This Row],[Date]],RD[#All],K$1,0)/K$2</f>
        <v>#N/A</v>
      </c>
      <c r="L49" s="1" t="e">
        <f>VLOOKUP(Inv_Sy[[#This Row],[Date]],RD[#All],L$1,0)/L$2</f>
        <v>#N/A</v>
      </c>
      <c r="M49" s="1" t="e">
        <f>VLOOKUP(Inv_Sy[[#This Row],[Date]],RD[#All],M$1,0)/M$2</f>
        <v>#N/A</v>
      </c>
      <c r="N49" s="1" t="e">
        <f>VLOOKUP(Inv_Sy[[#This Row],[Date]],RD[#All],N$1,0)/N$2</f>
        <v>#N/A</v>
      </c>
      <c r="O49" s="1" t="e">
        <f>VLOOKUP(Inv_Sy[[#This Row],[Date]],RD[#All],O$1,0)/O$2</f>
        <v>#N/A</v>
      </c>
      <c r="P49" s="1" t="e">
        <f>AVERAGEIFS(Inv_Sy[[#This Row],[G1 Inv1]:[G5 Inv10]],Inv_Sy[[#This Row],[G1 Inv1]:[G5 Inv10]],"&lt;&gt;"&amp;0)</f>
        <v>#N/A</v>
      </c>
      <c r="Q49" s="1" t="e">
        <f>VLOOKUP(Inv_Sy[[#This Row],[Date]],RD[#All],Q$1,0)/Q$2</f>
        <v>#N/A</v>
      </c>
      <c r="R49" s="1" t="e">
        <f>VLOOKUP(Inv_Sy[[#This Row],[Date]],RD[#All],R$1,0)/R$2</f>
        <v>#N/A</v>
      </c>
      <c r="S49" s="1" t="e">
        <f>VLOOKUP(Inv_Sy[[#This Row],[Date]],RD[#All],S$1,0)/S$2</f>
        <v>#N/A</v>
      </c>
      <c r="T49" s="1" t="e">
        <f>VLOOKUP(Inv_Sy[[#This Row],[Date]],RD[#All],T$1,0)/T$2</f>
        <v>#N/A</v>
      </c>
      <c r="U49" s="1" t="e">
        <f>VLOOKUP(Inv_Sy[[#This Row],[Date]],RD[#All],U$1,0)/U$2</f>
        <v>#N/A</v>
      </c>
      <c r="V49" s="1" t="e">
        <f>VLOOKUP(Inv_Sy[[#This Row],[Date]],RD[#All],V$1,0)/V$2</f>
        <v>#N/A</v>
      </c>
      <c r="W49" s="1" t="e">
        <f>VLOOKUP(Inv_Sy[[#This Row],[Date]],RD[#All],W$1,0)/W$2</f>
        <v>#N/A</v>
      </c>
      <c r="X49" s="1" t="e">
        <f>VLOOKUP(Inv_Sy[[#This Row],[Date]],RD[#All],X$1,0)/X$2</f>
        <v>#N/A</v>
      </c>
      <c r="Y49" s="1" t="e">
        <f>VLOOKUP(Inv_Sy[[#This Row],[Date]],RD[#All],Y$1,0)/Y$2</f>
        <v>#N/A</v>
      </c>
      <c r="Z49" s="1" t="e">
        <f>VLOOKUP(Inv_Sy[[#This Row],[Date]],RD[#All],Z$1,0)/Z$2</f>
        <v>#N/A</v>
      </c>
      <c r="AA49" s="1" t="str">
        <f t="shared" si="1"/>
        <v/>
      </c>
      <c r="AB49" s="1" t="e">
        <f>MAX(Inv_Sy[[#This Row],[G1 Inv1]:[IS1_Inv2]])</f>
        <v>#N/A</v>
      </c>
      <c r="AC49"/>
    </row>
    <row r="50" spans="1:29" ht="15" customHeight="1" x14ac:dyDescent="0.35">
      <c r="A50" s="321" t="s">
        <v>141</v>
      </c>
      <c r="B50" s="321"/>
      <c r="C50" s="67">
        <f>YEAR(RD[[#This Row],[Month Year]])</f>
        <v>2025</v>
      </c>
      <c r="D50" s="169" t="s">
        <v>142</v>
      </c>
      <c r="E50" s="171">
        <f t="shared" si="3"/>
        <v>45883</v>
      </c>
      <c r="F50" s="1" t="e">
        <f>VLOOKUP(Inv_Sy[[#This Row],[Date]],RD[#All],F$1,0)/F$2</f>
        <v>#N/A</v>
      </c>
      <c r="G50" s="1" t="e">
        <f>VLOOKUP(Inv_Sy[[#This Row],[Date]],RD[#All],G$1,0)/G$2</f>
        <v>#N/A</v>
      </c>
      <c r="H50" s="1" t="e">
        <f>VLOOKUP(Inv_Sy[[#This Row],[Date]],RD[#All],H$1,0)/H$2</f>
        <v>#N/A</v>
      </c>
      <c r="I50" s="1" t="e">
        <f>VLOOKUP(Inv_Sy[[#This Row],[Date]],RD[#All],I$1,0)/I$2</f>
        <v>#N/A</v>
      </c>
      <c r="J50" s="1" t="e">
        <f>VLOOKUP(Inv_Sy[[#This Row],[Date]],RD[#All],J$1,0)/J$2</f>
        <v>#N/A</v>
      </c>
      <c r="K50" s="1" t="e">
        <f>VLOOKUP(Inv_Sy[[#This Row],[Date]],RD[#All],K$1,0)/K$2</f>
        <v>#N/A</v>
      </c>
      <c r="L50" s="1" t="e">
        <f>VLOOKUP(Inv_Sy[[#This Row],[Date]],RD[#All],L$1,0)/L$2</f>
        <v>#N/A</v>
      </c>
      <c r="M50" s="1" t="e">
        <f>VLOOKUP(Inv_Sy[[#This Row],[Date]],RD[#All],M$1,0)/M$2</f>
        <v>#N/A</v>
      </c>
      <c r="N50" s="1" t="e">
        <f>VLOOKUP(Inv_Sy[[#This Row],[Date]],RD[#All],N$1,0)/N$2</f>
        <v>#N/A</v>
      </c>
      <c r="O50" s="1" t="e">
        <f>VLOOKUP(Inv_Sy[[#This Row],[Date]],RD[#All],O$1,0)/O$2</f>
        <v>#N/A</v>
      </c>
      <c r="P50" s="1" t="e">
        <f>AVERAGEIFS(Inv_Sy[[#This Row],[G1 Inv1]:[G5 Inv10]],Inv_Sy[[#This Row],[G1 Inv1]:[G5 Inv10]],"&lt;&gt;"&amp;0)</f>
        <v>#N/A</v>
      </c>
      <c r="Q50" s="1" t="e">
        <f>VLOOKUP(Inv_Sy[[#This Row],[Date]],RD[#All],Q$1,0)/Q$2</f>
        <v>#N/A</v>
      </c>
      <c r="R50" s="1" t="e">
        <f>VLOOKUP(Inv_Sy[[#This Row],[Date]],RD[#All],R$1,0)/R$2</f>
        <v>#N/A</v>
      </c>
      <c r="S50" s="1" t="e">
        <f>VLOOKUP(Inv_Sy[[#This Row],[Date]],RD[#All],S$1,0)/S$2</f>
        <v>#N/A</v>
      </c>
      <c r="T50" s="1" t="e">
        <f>VLOOKUP(Inv_Sy[[#This Row],[Date]],RD[#All],T$1,0)/T$2</f>
        <v>#N/A</v>
      </c>
      <c r="U50" s="1" t="e">
        <f>VLOOKUP(Inv_Sy[[#This Row],[Date]],RD[#All],U$1,0)/U$2</f>
        <v>#N/A</v>
      </c>
      <c r="V50" s="1" t="e">
        <f>VLOOKUP(Inv_Sy[[#This Row],[Date]],RD[#All],V$1,0)/V$2</f>
        <v>#N/A</v>
      </c>
      <c r="W50" s="1" t="e">
        <f>VLOOKUP(Inv_Sy[[#This Row],[Date]],RD[#All],W$1,0)/W$2</f>
        <v>#N/A</v>
      </c>
      <c r="X50" s="1" t="e">
        <f>VLOOKUP(Inv_Sy[[#This Row],[Date]],RD[#All],X$1,0)/X$2</f>
        <v>#N/A</v>
      </c>
      <c r="Y50" s="1" t="e">
        <f>VLOOKUP(Inv_Sy[[#This Row],[Date]],RD[#All],Y$1,0)/Y$2</f>
        <v>#N/A</v>
      </c>
      <c r="Z50" s="1" t="e">
        <f>VLOOKUP(Inv_Sy[[#This Row],[Date]],RD[#All],Z$1,0)/Z$2</f>
        <v>#N/A</v>
      </c>
      <c r="AA50" s="1" t="str">
        <f t="shared" si="1"/>
        <v/>
      </c>
      <c r="AB50" s="1" t="e">
        <f>MAX(Inv_Sy[[#This Row],[G1 Inv1]:[IS1_Inv2]])</f>
        <v>#N/A</v>
      </c>
      <c r="AC50"/>
    </row>
    <row r="51" spans="1:29" ht="15" customHeight="1" x14ac:dyDescent="0.35">
      <c r="A51" s="321" t="s">
        <v>141</v>
      </c>
      <c r="B51" s="321"/>
      <c r="C51" s="67">
        <f>YEAR(RD[[#This Row],[Month Year]])</f>
        <v>2025</v>
      </c>
      <c r="D51" s="169" t="s">
        <v>142</v>
      </c>
      <c r="E51" s="171">
        <f t="shared" si="3"/>
        <v>45884</v>
      </c>
      <c r="F51" s="1" t="e">
        <f>VLOOKUP(Inv_Sy[[#This Row],[Date]],RD[#All],F$1,0)/F$2</f>
        <v>#N/A</v>
      </c>
      <c r="G51" s="1" t="e">
        <f>VLOOKUP(Inv_Sy[[#This Row],[Date]],RD[#All],G$1,0)/G$2</f>
        <v>#N/A</v>
      </c>
      <c r="H51" s="1" t="e">
        <f>VLOOKUP(Inv_Sy[[#This Row],[Date]],RD[#All],H$1,0)/H$2</f>
        <v>#N/A</v>
      </c>
      <c r="I51" s="1" t="e">
        <f>VLOOKUP(Inv_Sy[[#This Row],[Date]],RD[#All],I$1,0)/I$2</f>
        <v>#N/A</v>
      </c>
      <c r="J51" s="1" t="e">
        <f>VLOOKUP(Inv_Sy[[#This Row],[Date]],RD[#All],J$1,0)/J$2</f>
        <v>#N/A</v>
      </c>
      <c r="K51" s="1" t="e">
        <f>VLOOKUP(Inv_Sy[[#This Row],[Date]],RD[#All],K$1,0)/K$2</f>
        <v>#N/A</v>
      </c>
      <c r="L51" s="1" t="e">
        <f>VLOOKUP(Inv_Sy[[#This Row],[Date]],RD[#All],L$1,0)/L$2</f>
        <v>#N/A</v>
      </c>
      <c r="M51" s="1" t="e">
        <f>VLOOKUP(Inv_Sy[[#This Row],[Date]],RD[#All],M$1,0)/M$2</f>
        <v>#N/A</v>
      </c>
      <c r="N51" s="1" t="e">
        <f>VLOOKUP(Inv_Sy[[#This Row],[Date]],RD[#All],N$1,0)/N$2</f>
        <v>#N/A</v>
      </c>
      <c r="O51" s="1" t="e">
        <f>VLOOKUP(Inv_Sy[[#This Row],[Date]],RD[#All],O$1,0)/O$2</f>
        <v>#N/A</v>
      </c>
      <c r="P51" s="1" t="e">
        <f>AVERAGEIFS(Inv_Sy[[#This Row],[G1 Inv1]:[G5 Inv10]],Inv_Sy[[#This Row],[G1 Inv1]:[G5 Inv10]],"&lt;&gt;"&amp;0)</f>
        <v>#N/A</v>
      </c>
      <c r="Q51" s="1" t="e">
        <f>VLOOKUP(Inv_Sy[[#This Row],[Date]],RD[#All],Q$1,0)/Q$2</f>
        <v>#N/A</v>
      </c>
      <c r="R51" s="1" t="e">
        <f>VLOOKUP(Inv_Sy[[#This Row],[Date]],RD[#All],R$1,0)/R$2</f>
        <v>#N/A</v>
      </c>
      <c r="S51" s="1" t="e">
        <f>VLOOKUP(Inv_Sy[[#This Row],[Date]],RD[#All],S$1,0)/S$2</f>
        <v>#N/A</v>
      </c>
      <c r="T51" s="1" t="e">
        <f>VLOOKUP(Inv_Sy[[#This Row],[Date]],RD[#All],T$1,0)/T$2</f>
        <v>#N/A</v>
      </c>
      <c r="U51" s="1" t="e">
        <f>VLOOKUP(Inv_Sy[[#This Row],[Date]],RD[#All],U$1,0)/U$2</f>
        <v>#N/A</v>
      </c>
      <c r="V51" s="1" t="e">
        <f>VLOOKUP(Inv_Sy[[#This Row],[Date]],RD[#All],V$1,0)/V$2</f>
        <v>#N/A</v>
      </c>
      <c r="W51" s="1" t="e">
        <f>VLOOKUP(Inv_Sy[[#This Row],[Date]],RD[#All],W$1,0)/W$2</f>
        <v>#N/A</v>
      </c>
      <c r="X51" s="1" t="e">
        <f>VLOOKUP(Inv_Sy[[#This Row],[Date]],RD[#All],X$1,0)/X$2</f>
        <v>#N/A</v>
      </c>
      <c r="Y51" s="1" t="e">
        <f>VLOOKUP(Inv_Sy[[#This Row],[Date]],RD[#All],Y$1,0)/Y$2</f>
        <v>#N/A</v>
      </c>
      <c r="Z51" s="1" t="e">
        <f>VLOOKUP(Inv_Sy[[#This Row],[Date]],RD[#All],Z$1,0)/Z$2</f>
        <v>#N/A</v>
      </c>
      <c r="AA51" s="1" t="str">
        <f t="shared" si="1"/>
        <v/>
      </c>
      <c r="AB51" s="1" t="e">
        <f>MAX(Inv_Sy[[#This Row],[G1 Inv1]:[IS1_Inv2]])</f>
        <v>#N/A</v>
      </c>
      <c r="AC51"/>
    </row>
    <row r="52" spans="1:29" ht="15" customHeight="1" x14ac:dyDescent="0.35">
      <c r="A52" s="321" t="s">
        <v>141</v>
      </c>
      <c r="B52" s="321"/>
      <c r="C52" s="67">
        <f>YEAR(RD[[#This Row],[Month Year]])</f>
        <v>2025</v>
      </c>
      <c r="D52" s="169" t="s">
        <v>142</v>
      </c>
      <c r="E52" s="171">
        <f t="shared" si="3"/>
        <v>45885</v>
      </c>
      <c r="F52" s="1" t="e">
        <f>VLOOKUP(Inv_Sy[[#This Row],[Date]],RD[#All],F$1,0)/F$2</f>
        <v>#N/A</v>
      </c>
      <c r="G52" s="1" t="e">
        <f>VLOOKUP(Inv_Sy[[#This Row],[Date]],RD[#All],G$1,0)/G$2</f>
        <v>#N/A</v>
      </c>
      <c r="H52" s="1" t="e">
        <f>VLOOKUP(Inv_Sy[[#This Row],[Date]],RD[#All],H$1,0)/H$2</f>
        <v>#N/A</v>
      </c>
      <c r="I52" s="1" t="e">
        <f>VLOOKUP(Inv_Sy[[#This Row],[Date]],RD[#All],I$1,0)/I$2</f>
        <v>#N/A</v>
      </c>
      <c r="J52" s="1" t="e">
        <f>VLOOKUP(Inv_Sy[[#This Row],[Date]],RD[#All],J$1,0)/J$2</f>
        <v>#N/A</v>
      </c>
      <c r="K52" s="1" t="e">
        <f>VLOOKUP(Inv_Sy[[#This Row],[Date]],RD[#All],K$1,0)/K$2</f>
        <v>#N/A</v>
      </c>
      <c r="L52" s="1" t="e">
        <f>VLOOKUP(Inv_Sy[[#This Row],[Date]],RD[#All],L$1,0)/L$2</f>
        <v>#N/A</v>
      </c>
      <c r="M52" s="1" t="e">
        <f>VLOOKUP(Inv_Sy[[#This Row],[Date]],RD[#All],M$1,0)/M$2</f>
        <v>#N/A</v>
      </c>
      <c r="N52" s="1" t="e">
        <f>VLOOKUP(Inv_Sy[[#This Row],[Date]],RD[#All],N$1,0)/N$2</f>
        <v>#N/A</v>
      </c>
      <c r="O52" s="1" t="e">
        <f>VLOOKUP(Inv_Sy[[#This Row],[Date]],RD[#All],O$1,0)/O$2</f>
        <v>#N/A</v>
      </c>
      <c r="P52" s="1" t="e">
        <f>AVERAGEIFS(Inv_Sy[[#This Row],[G1 Inv1]:[G5 Inv10]],Inv_Sy[[#This Row],[G1 Inv1]:[G5 Inv10]],"&lt;&gt;"&amp;0)</f>
        <v>#N/A</v>
      </c>
      <c r="Q52" s="1" t="e">
        <f>VLOOKUP(Inv_Sy[[#This Row],[Date]],RD[#All],Q$1,0)/Q$2</f>
        <v>#N/A</v>
      </c>
      <c r="R52" s="1" t="e">
        <f>VLOOKUP(Inv_Sy[[#This Row],[Date]],RD[#All],R$1,0)/R$2</f>
        <v>#N/A</v>
      </c>
      <c r="S52" s="1" t="e">
        <f>VLOOKUP(Inv_Sy[[#This Row],[Date]],RD[#All],S$1,0)/S$2</f>
        <v>#N/A</v>
      </c>
      <c r="T52" s="1" t="e">
        <f>VLOOKUP(Inv_Sy[[#This Row],[Date]],RD[#All],T$1,0)/T$2</f>
        <v>#N/A</v>
      </c>
      <c r="U52" s="1" t="e">
        <f>VLOOKUP(Inv_Sy[[#This Row],[Date]],RD[#All],U$1,0)/U$2</f>
        <v>#N/A</v>
      </c>
      <c r="V52" s="1" t="e">
        <f>VLOOKUP(Inv_Sy[[#This Row],[Date]],RD[#All],V$1,0)/V$2</f>
        <v>#N/A</v>
      </c>
      <c r="W52" s="1" t="e">
        <f>VLOOKUP(Inv_Sy[[#This Row],[Date]],RD[#All],W$1,0)/W$2</f>
        <v>#N/A</v>
      </c>
      <c r="X52" s="1" t="e">
        <f>VLOOKUP(Inv_Sy[[#This Row],[Date]],RD[#All],X$1,0)/X$2</f>
        <v>#N/A</v>
      </c>
      <c r="Y52" s="1" t="e">
        <f>VLOOKUP(Inv_Sy[[#This Row],[Date]],RD[#All],Y$1,0)/Y$2</f>
        <v>#N/A</v>
      </c>
      <c r="Z52" s="1" t="e">
        <f>VLOOKUP(Inv_Sy[[#This Row],[Date]],RD[#All],Z$1,0)/Z$2</f>
        <v>#N/A</v>
      </c>
      <c r="AA52" s="1" t="str">
        <f t="shared" si="1"/>
        <v/>
      </c>
      <c r="AB52" s="1" t="e">
        <f>MAX(Inv_Sy[[#This Row],[G1 Inv1]:[IS1_Inv2]])</f>
        <v>#N/A</v>
      </c>
      <c r="AC52"/>
    </row>
    <row r="53" spans="1:29" ht="15" customHeight="1" x14ac:dyDescent="0.35">
      <c r="A53" s="321" t="s">
        <v>141</v>
      </c>
      <c r="B53" s="321"/>
      <c r="C53" s="67">
        <f>YEAR(RD[[#This Row],[Month Year]])</f>
        <v>2025</v>
      </c>
      <c r="D53" s="169" t="s">
        <v>142</v>
      </c>
      <c r="E53" s="171">
        <f t="shared" si="3"/>
        <v>45886</v>
      </c>
      <c r="F53" s="1" t="e">
        <f>VLOOKUP(Inv_Sy[[#This Row],[Date]],RD[#All],F$1,0)/F$2</f>
        <v>#N/A</v>
      </c>
      <c r="G53" s="1" t="e">
        <f>VLOOKUP(Inv_Sy[[#This Row],[Date]],RD[#All],G$1,0)/G$2</f>
        <v>#N/A</v>
      </c>
      <c r="H53" s="1" t="e">
        <f>VLOOKUP(Inv_Sy[[#This Row],[Date]],RD[#All],H$1,0)/H$2</f>
        <v>#N/A</v>
      </c>
      <c r="I53" s="1" t="e">
        <f>VLOOKUP(Inv_Sy[[#This Row],[Date]],RD[#All],I$1,0)/I$2</f>
        <v>#N/A</v>
      </c>
      <c r="J53" s="1" t="e">
        <f>VLOOKUP(Inv_Sy[[#This Row],[Date]],RD[#All],J$1,0)/J$2</f>
        <v>#N/A</v>
      </c>
      <c r="K53" s="1" t="e">
        <f>VLOOKUP(Inv_Sy[[#This Row],[Date]],RD[#All],K$1,0)/K$2</f>
        <v>#N/A</v>
      </c>
      <c r="L53" s="1" t="e">
        <f>VLOOKUP(Inv_Sy[[#This Row],[Date]],RD[#All],L$1,0)/L$2</f>
        <v>#N/A</v>
      </c>
      <c r="M53" s="1" t="e">
        <f>VLOOKUP(Inv_Sy[[#This Row],[Date]],RD[#All],M$1,0)/M$2</f>
        <v>#N/A</v>
      </c>
      <c r="N53" s="1" t="e">
        <f>VLOOKUP(Inv_Sy[[#This Row],[Date]],RD[#All],N$1,0)/N$2</f>
        <v>#N/A</v>
      </c>
      <c r="O53" s="1" t="e">
        <f>VLOOKUP(Inv_Sy[[#This Row],[Date]],RD[#All],O$1,0)/O$2</f>
        <v>#N/A</v>
      </c>
      <c r="P53" s="1" t="e">
        <f>AVERAGEIFS(Inv_Sy[[#This Row],[G1 Inv1]:[G5 Inv10]],Inv_Sy[[#This Row],[G1 Inv1]:[G5 Inv10]],"&lt;&gt;"&amp;0)</f>
        <v>#N/A</v>
      </c>
      <c r="Q53" s="1" t="e">
        <f>VLOOKUP(Inv_Sy[[#This Row],[Date]],RD[#All],Q$1,0)/Q$2</f>
        <v>#N/A</v>
      </c>
      <c r="R53" s="1" t="e">
        <f>VLOOKUP(Inv_Sy[[#This Row],[Date]],RD[#All],R$1,0)/R$2</f>
        <v>#N/A</v>
      </c>
      <c r="S53" s="1" t="e">
        <f>VLOOKUP(Inv_Sy[[#This Row],[Date]],RD[#All],S$1,0)/S$2</f>
        <v>#N/A</v>
      </c>
      <c r="T53" s="1" t="e">
        <f>VLOOKUP(Inv_Sy[[#This Row],[Date]],RD[#All],T$1,0)/T$2</f>
        <v>#N/A</v>
      </c>
      <c r="U53" s="1" t="e">
        <f>VLOOKUP(Inv_Sy[[#This Row],[Date]],RD[#All],U$1,0)/U$2</f>
        <v>#N/A</v>
      </c>
      <c r="V53" s="1" t="e">
        <f>VLOOKUP(Inv_Sy[[#This Row],[Date]],RD[#All],V$1,0)/V$2</f>
        <v>#N/A</v>
      </c>
      <c r="W53" s="1" t="e">
        <f>VLOOKUP(Inv_Sy[[#This Row],[Date]],RD[#All],W$1,0)/W$2</f>
        <v>#N/A</v>
      </c>
      <c r="X53" s="1" t="e">
        <f>VLOOKUP(Inv_Sy[[#This Row],[Date]],RD[#All],X$1,0)/X$2</f>
        <v>#N/A</v>
      </c>
      <c r="Y53" s="1" t="e">
        <f>VLOOKUP(Inv_Sy[[#This Row],[Date]],RD[#All],Y$1,0)/Y$2</f>
        <v>#N/A</v>
      </c>
      <c r="Z53" s="1" t="e">
        <f>VLOOKUP(Inv_Sy[[#This Row],[Date]],RD[#All],Z$1,0)/Z$2</f>
        <v>#N/A</v>
      </c>
      <c r="AA53" s="1" t="str">
        <f t="shared" si="1"/>
        <v/>
      </c>
      <c r="AB53" s="1" t="e">
        <f>MAX(Inv_Sy[[#This Row],[G1 Inv1]:[IS1_Inv2]])</f>
        <v>#N/A</v>
      </c>
      <c r="AC53"/>
    </row>
    <row r="54" spans="1:29" ht="15" customHeight="1" x14ac:dyDescent="0.35">
      <c r="A54" s="321" t="s">
        <v>141</v>
      </c>
      <c r="B54" s="321"/>
      <c r="C54" s="67">
        <f>YEAR(RD[[#This Row],[Month Year]])</f>
        <v>2025</v>
      </c>
      <c r="D54" s="169" t="s">
        <v>142</v>
      </c>
      <c r="E54" s="171">
        <f t="shared" si="3"/>
        <v>45887</v>
      </c>
      <c r="F54" s="1" t="e">
        <f>VLOOKUP(Inv_Sy[[#This Row],[Date]],RD[#All],F$1,0)/F$2</f>
        <v>#N/A</v>
      </c>
      <c r="G54" s="1" t="e">
        <f>VLOOKUP(Inv_Sy[[#This Row],[Date]],RD[#All],G$1,0)/G$2</f>
        <v>#N/A</v>
      </c>
      <c r="H54" s="1" t="e">
        <f>VLOOKUP(Inv_Sy[[#This Row],[Date]],RD[#All],H$1,0)/H$2</f>
        <v>#N/A</v>
      </c>
      <c r="I54" s="1" t="e">
        <f>VLOOKUP(Inv_Sy[[#This Row],[Date]],RD[#All],I$1,0)/I$2</f>
        <v>#N/A</v>
      </c>
      <c r="J54" s="1" t="e">
        <f>VLOOKUP(Inv_Sy[[#This Row],[Date]],RD[#All],J$1,0)/J$2</f>
        <v>#N/A</v>
      </c>
      <c r="K54" s="1" t="e">
        <f>VLOOKUP(Inv_Sy[[#This Row],[Date]],RD[#All],K$1,0)/K$2</f>
        <v>#N/A</v>
      </c>
      <c r="L54" s="1" t="e">
        <f>VLOOKUP(Inv_Sy[[#This Row],[Date]],RD[#All],L$1,0)/L$2</f>
        <v>#N/A</v>
      </c>
      <c r="M54" s="1" t="e">
        <f>VLOOKUP(Inv_Sy[[#This Row],[Date]],RD[#All],M$1,0)/M$2</f>
        <v>#N/A</v>
      </c>
      <c r="N54" s="1" t="e">
        <f>VLOOKUP(Inv_Sy[[#This Row],[Date]],RD[#All],N$1,0)/N$2</f>
        <v>#N/A</v>
      </c>
      <c r="O54" s="1" t="e">
        <f>VLOOKUP(Inv_Sy[[#This Row],[Date]],RD[#All],O$1,0)/O$2</f>
        <v>#N/A</v>
      </c>
      <c r="P54" s="1" t="e">
        <f>AVERAGEIFS(Inv_Sy[[#This Row],[G1 Inv1]:[G5 Inv10]],Inv_Sy[[#This Row],[G1 Inv1]:[G5 Inv10]],"&lt;&gt;"&amp;0)</f>
        <v>#N/A</v>
      </c>
      <c r="Q54" s="1" t="e">
        <f>VLOOKUP(Inv_Sy[[#This Row],[Date]],RD[#All],Q$1,0)/Q$2</f>
        <v>#N/A</v>
      </c>
      <c r="R54" s="1" t="e">
        <f>VLOOKUP(Inv_Sy[[#This Row],[Date]],RD[#All],R$1,0)/R$2</f>
        <v>#N/A</v>
      </c>
      <c r="S54" s="1" t="e">
        <f>VLOOKUP(Inv_Sy[[#This Row],[Date]],RD[#All],S$1,0)/S$2</f>
        <v>#N/A</v>
      </c>
      <c r="T54" s="1" t="e">
        <f>VLOOKUP(Inv_Sy[[#This Row],[Date]],RD[#All],T$1,0)/T$2</f>
        <v>#N/A</v>
      </c>
      <c r="U54" s="1" t="e">
        <f>VLOOKUP(Inv_Sy[[#This Row],[Date]],RD[#All],U$1,0)/U$2</f>
        <v>#N/A</v>
      </c>
      <c r="V54" s="1" t="e">
        <f>VLOOKUP(Inv_Sy[[#This Row],[Date]],RD[#All],V$1,0)/V$2</f>
        <v>#N/A</v>
      </c>
      <c r="W54" s="1" t="e">
        <f>VLOOKUP(Inv_Sy[[#This Row],[Date]],RD[#All],W$1,0)/W$2</f>
        <v>#N/A</v>
      </c>
      <c r="X54" s="1" t="e">
        <f>VLOOKUP(Inv_Sy[[#This Row],[Date]],RD[#All],X$1,0)/X$2</f>
        <v>#N/A</v>
      </c>
      <c r="Y54" s="1" t="e">
        <f>VLOOKUP(Inv_Sy[[#This Row],[Date]],RD[#All],Y$1,0)/Y$2</f>
        <v>#N/A</v>
      </c>
      <c r="Z54" s="1" t="e">
        <f>VLOOKUP(Inv_Sy[[#This Row],[Date]],RD[#All],Z$1,0)/Z$2</f>
        <v>#N/A</v>
      </c>
      <c r="AA54" s="1" t="str">
        <f t="shared" si="1"/>
        <v/>
      </c>
      <c r="AB54" s="1" t="e">
        <f>MAX(Inv_Sy[[#This Row],[G1 Inv1]:[IS1_Inv2]])</f>
        <v>#N/A</v>
      </c>
      <c r="AC54"/>
    </row>
    <row r="55" spans="1:29" ht="15" customHeight="1" x14ac:dyDescent="0.35">
      <c r="A55" s="321" t="s">
        <v>141</v>
      </c>
      <c r="B55" s="321"/>
      <c r="C55" s="67">
        <f>YEAR(RD[[#This Row],[Month Year]])</f>
        <v>2025</v>
      </c>
      <c r="D55" s="169" t="s">
        <v>142</v>
      </c>
      <c r="E55" s="171">
        <f t="shared" si="3"/>
        <v>45888</v>
      </c>
      <c r="F55" s="1" t="e">
        <f>VLOOKUP(Inv_Sy[[#This Row],[Date]],RD[#All],F$1,0)/F$2</f>
        <v>#N/A</v>
      </c>
      <c r="G55" s="1" t="e">
        <f>VLOOKUP(Inv_Sy[[#This Row],[Date]],RD[#All],G$1,0)/G$2</f>
        <v>#N/A</v>
      </c>
      <c r="H55" s="1" t="e">
        <f>VLOOKUP(Inv_Sy[[#This Row],[Date]],RD[#All],H$1,0)/H$2</f>
        <v>#N/A</v>
      </c>
      <c r="I55" s="1" t="e">
        <f>VLOOKUP(Inv_Sy[[#This Row],[Date]],RD[#All],I$1,0)/I$2</f>
        <v>#N/A</v>
      </c>
      <c r="J55" s="1" t="e">
        <f>VLOOKUP(Inv_Sy[[#This Row],[Date]],RD[#All],J$1,0)/J$2</f>
        <v>#N/A</v>
      </c>
      <c r="K55" s="1" t="e">
        <f>VLOOKUP(Inv_Sy[[#This Row],[Date]],RD[#All],K$1,0)/K$2</f>
        <v>#N/A</v>
      </c>
      <c r="L55" s="1" t="e">
        <f>VLOOKUP(Inv_Sy[[#This Row],[Date]],RD[#All],L$1,0)/L$2</f>
        <v>#N/A</v>
      </c>
      <c r="M55" s="1" t="e">
        <f>VLOOKUP(Inv_Sy[[#This Row],[Date]],RD[#All],M$1,0)/M$2</f>
        <v>#N/A</v>
      </c>
      <c r="N55" s="1" t="e">
        <f>VLOOKUP(Inv_Sy[[#This Row],[Date]],RD[#All],N$1,0)/N$2</f>
        <v>#N/A</v>
      </c>
      <c r="O55" s="1" t="e">
        <f>VLOOKUP(Inv_Sy[[#This Row],[Date]],RD[#All],O$1,0)/O$2</f>
        <v>#N/A</v>
      </c>
      <c r="P55" s="1" t="e">
        <f>AVERAGEIFS(Inv_Sy[[#This Row],[G1 Inv1]:[G5 Inv10]],Inv_Sy[[#This Row],[G1 Inv1]:[G5 Inv10]],"&lt;&gt;"&amp;0)</f>
        <v>#N/A</v>
      </c>
      <c r="Q55" s="1" t="e">
        <f>VLOOKUP(Inv_Sy[[#This Row],[Date]],RD[#All],Q$1,0)/Q$2</f>
        <v>#N/A</v>
      </c>
      <c r="R55" s="1" t="e">
        <f>VLOOKUP(Inv_Sy[[#This Row],[Date]],RD[#All],R$1,0)/R$2</f>
        <v>#N/A</v>
      </c>
      <c r="S55" s="1" t="e">
        <f>VLOOKUP(Inv_Sy[[#This Row],[Date]],RD[#All],S$1,0)/S$2</f>
        <v>#N/A</v>
      </c>
      <c r="T55" s="1" t="e">
        <f>VLOOKUP(Inv_Sy[[#This Row],[Date]],RD[#All],T$1,0)/T$2</f>
        <v>#N/A</v>
      </c>
      <c r="U55" s="1" t="e">
        <f>VLOOKUP(Inv_Sy[[#This Row],[Date]],RD[#All],U$1,0)/U$2</f>
        <v>#N/A</v>
      </c>
      <c r="V55" s="1" t="e">
        <f>VLOOKUP(Inv_Sy[[#This Row],[Date]],RD[#All],V$1,0)/V$2</f>
        <v>#N/A</v>
      </c>
      <c r="W55" s="1" t="e">
        <f>VLOOKUP(Inv_Sy[[#This Row],[Date]],RD[#All],W$1,0)/W$2</f>
        <v>#N/A</v>
      </c>
      <c r="X55" s="1" t="e">
        <f>VLOOKUP(Inv_Sy[[#This Row],[Date]],RD[#All],X$1,0)/X$2</f>
        <v>#N/A</v>
      </c>
      <c r="Y55" s="1" t="e">
        <f>VLOOKUP(Inv_Sy[[#This Row],[Date]],RD[#All],Y$1,0)/Y$2</f>
        <v>#N/A</v>
      </c>
      <c r="Z55" s="1" t="e">
        <f>VLOOKUP(Inv_Sy[[#This Row],[Date]],RD[#All],Z$1,0)/Z$2</f>
        <v>#N/A</v>
      </c>
      <c r="AA55" s="1" t="str">
        <f t="shared" si="1"/>
        <v/>
      </c>
      <c r="AB55" s="1" t="e">
        <f>MAX(Inv_Sy[[#This Row],[G1 Inv1]:[IS1_Inv2]])</f>
        <v>#N/A</v>
      </c>
      <c r="AC55"/>
    </row>
    <row r="56" spans="1:29" ht="15" customHeight="1" x14ac:dyDescent="0.35">
      <c r="A56" s="321" t="s">
        <v>141</v>
      </c>
      <c r="B56" s="321"/>
      <c r="C56" s="67">
        <f>YEAR(RD[[#This Row],[Month Year]])</f>
        <v>2025</v>
      </c>
      <c r="D56" s="169" t="s">
        <v>142</v>
      </c>
      <c r="E56" s="171">
        <f t="shared" si="3"/>
        <v>45889</v>
      </c>
      <c r="F56" s="1" t="e">
        <f>VLOOKUP(Inv_Sy[[#This Row],[Date]],RD[#All],F$1,0)/F$2</f>
        <v>#N/A</v>
      </c>
      <c r="G56" s="1" t="e">
        <f>VLOOKUP(Inv_Sy[[#This Row],[Date]],RD[#All],G$1,0)/G$2</f>
        <v>#N/A</v>
      </c>
      <c r="H56" s="1" t="e">
        <f>VLOOKUP(Inv_Sy[[#This Row],[Date]],RD[#All],H$1,0)/H$2</f>
        <v>#N/A</v>
      </c>
      <c r="I56" s="1" t="e">
        <f>VLOOKUP(Inv_Sy[[#This Row],[Date]],RD[#All],I$1,0)/I$2</f>
        <v>#N/A</v>
      </c>
      <c r="J56" s="1" t="e">
        <f>VLOOKUP(Inv_Sy[[#This Row],[Date]],RD[#All],J$1,0)/J$2</f>
        <v>#N/A</v>
      </c>
      <c r="K56" s="1" t="e">
        <f>VLOOKUP(Inv_Sy[[#This Row],[Date]],RD[#All],K$1,0)/K$2</f>
        <v>#N/A</v>
      </c>
      <c r="L56" s="1" t="e">
        <f>VLOOKUP(Inv_Sy[[#This Row],[Date]],RD[#All],L$1,0)/L$2</f>
        <v>#N/A</v>
      </c>
      <c r="M56" s="1" t="e">
        <f>VLOOKUP(Inv_Sy[[#This Row],[Date]],RD[#All],M$1,0)/M$2</f>
        <v>#N/A</v>
      </c>
      <c r="N56" s="1" t="e">
        <f>VLOOKUP(Inv_Sy[[#This Row],[Date]],RD[#All],N$1,0)/N$2</f>
        <v>#N/A</v>
      </c>
      <c r="O56" s="1" t="e">
        <f>VLOOKUP(Inv_Sy[[#This Row],[Date]],RD[#All],O$1,0)/O$2</f>
        <v>#N/A</v>
      </c>
      <c r="P56" s="1" t="e">
        <f>AVERAGEIFS(Inv_Sy[[#This Row],[G1 Inv1]:[G5 Inv10]],Inv_Sy[[#This Row],[G1 Inv1]:[G5 Inv10]],"&lt;&gt;"&amp;0)</f>
        <v>#N/A</v>
      </c>
      <c r="Q56" s="1" t="e">
        <f>VLOOKUP(Inv_Sy[[#This Row],[Date]],RD[#All],Q$1,0)/Q$2</f>
        <v>#N/A</v>
      </c>
      <c r="R56" s="1" t="e">
        <f>VLOOKUP(Inv_Sy[[#This Row],[Date]],RD[#All],R$1,0)/R$2</f>
        <v>#N/A</v>
      </c>
      <c r="S56" s="1" t="e">
        <f>VLOOKUP(Inv_Sy[[#This Row],[Date]],RD[#All],S$1,0)/S$2</f>
        <v>#N/A</v>
      </c>
      <c r="T56" s="1" t="e">
        <f>VLOOKUP(Inv_Sy[[#This Row],[Date]],RD[#All],T$1,0)/T$2</f>
        <v>#N/A</v>
      </c>
      <c r="U56" s="1" t="e">
        <f>VLOOKUP(Inv_Sy[[#This Row],[Date]],RD[#All],U$1,0)/U$2</f>
        <v>#N/A</v>
      </c>
      <c r="V56" s="1" t="e">
        <f>VLOOKUP(Inv_Sy[[#This Row],[Date]],RD[#All],V$1,0)/V$2</f>
        <v>#N/A</v>
      </c>
      <c r="W56" s="1" t="e">
        <f>VLOOKUP(Inv_Sy[[#This Row],[Date]],RD[#All],W$1,0)/W$2</f>
        <v>#N/A</v>
      </c>
      <c r="X56" s="1" t="e">
        <f>VLOOKUP(Inv_Sy[[#This Row],[Date]],RD[#All],X$1,0)/X$2</f>
        <v>#N/A</v>
      </c>
      <c r="Y56" s="1" t="e">
        <f>VLOOKUP(Inv_Sy[[#This Row],[Date]],RD[#All],Y$1,0)/Y$2</f>
        <v>#N/A</v>
      </c>
      <c r="Z56" s="1" t="e">
        <f>VLOOKUP(Inv_Sy[[#This Row],[Date]],RD[#All],Z$1,0)/Z$2</f>
        <v>#N/A</v>
      </c>
      <c r="AA56" s="1" t="str">
        <f t="shared" ref="AA56:AA65" si="4">IFERROR(AVERAGEIF(Q56:Z56,"&gt;"&amp;0,Q56:Z56),"")</f>
        <v/>
      </c>
      <c r="AB56" s="1" t="e">
        <f>MAX(Inv_Sy[[#This Row],[G1 Inv1]:[IS1_Inv2]])</f>
        <v>#N/A</v>
      </c>
      <c r="AC56"/>
    </row>
    <row r="57" spans="1:29" ht="15" customHeight="1" x14ac:dyDescent="0.35">
      <c r="A57" s="321" t="s">
        <v>141</v>
      </c>
      <c r="B57" s="321"/>
      <c r="C57" s="67">
        <f>YEAR(RD[[#This Row],[Month Year]])</f>
        <v>2025</v>
      </c>
      <c r="D57" s="169" t="s">
        <v>142</v>
      </c>
      <c r="E57" s="171">
        <f t="shared" si="3"/>
        <v>45890</v>
      </c>
      <c r="F57" s="1" t="e">
        <f>VLOOKUP(Inv_Sy[[#This Row],[Date]],RD[#All],F$1,0)/F$2</f>
        <v>#N/A</v>
      </c>
      <c r="G57" s="1" t="e">
        <f>VLOOKUP(Inv_Sy[[#This Row],[Date]],RD[#All],G$1,0)/G$2</f>
        <v>#N/A</v>
      </c>
      <c r="H57" s="1" t="e">
        <f>VLOOKUP(Inv_Sy[[#This Row],[Date]],RD[#All],H$1,0)/H$2</f>
        <v>#N/A</v>
      </c>
      <c r="I57" s="1" t="e">
        <f>VLOOKUP(Inv_Sy[[#This Row],[Date]],RD[#All],I$1,0)/I$2</f>
        <v>#N/A</v>
      </c>
      <c r="J57" s="1" t="e">
        <f>VLOOKUP(Inv_Sy[[#This Row],[Date]],RD[#All],J$1,0)/J$2</f>
        <v>#N/A</v>
      </c>
      <c r="K57" s="1" t="e">
        <f>VLOOKUP(Inv_Sy[[#This Row],[Date]],RD[#All],K$1,0)/K$2</f>
        <v>#N/A</v>
      </c>
      <c r="L57" s="1" t="e">
        <f>VLOOKUP(Inv_Sy[[#This Row],[Date]],RD[#All],L$1,0)/L$2</f>
        <v>#N/A</v>
      </c>
      <c r="M57" s="1" t="e">
        <f>VLOOKUP(Inv_Sy[[#This Row],[Date]],RD[#All],M$1,0)/M$2</f>
        <v>#N/A</v>
      </c>
      <c r="N57" s="1" t="e">
        <f>VLOOKUP(Inv_Sy[[#This Row],[Date]],RD[#All],N$1,0)/N$2</f>
        <v>#N/A</v>
      </c>
      <c r="O57" s="1" t="e">
        <f>VLOOKUP(Inv_Sy[[#This Row],[Date]],RD[#All],O$1,0)/O$2</f>
        <v>#N/A</v>
      </c>
      <c r="P57" s="1" t="e">
        <f>AVERAGEIFS(Inv_Sy[[#This Row],[G1 Inv1]:[G5 Inv10]],Inv_Sy[[#This Row],[G1 Inv1]:[G5 Inv10]],"&lt;&gt;"&amp;0)</f>
        <v>#N/A</v>
      </c>
      <c r="Q57" s="1" t="e">
        <f>VLOOKUP(Inv_Sy[[#This Row],[Date]],RD[#All],Q$1,0)/Q$2</f>
        <v>#N/A</v>
      </c>
      <c r="R57" s="1" t="e">
        <f>VLOOKUP(Inv_Sy[[#This Row],[Date]],RD[#All],R$1,0)/R$2</f>
        <v>#N/A</v>
      </c>
      <c r="S57" s="1" t="e">
        <f>VLOOKUP(Inv_Sy[[#This Row],[Date]],RD[#All],S$1,0)/S$2</f>
        <v>#N/A</v>
      </c>
      <c r="T57" s="1" t="e">
        <f>VLOOKUP(Inv_Sy[[#This Row],[Date]],RD[#All],T$1,0)/T$2</f>
        <v>#N/A</v>
      </c>
      <c r="U57" s="1" t="e">
        <f>VLOOKUP(Inv_Sy[[#This Row],[Date]],RD[#All],U$1,0)/U$2</f>
        <v>#N/A</v>
      </c>
      <c r="V57" s="1" t="e">
        <f>VLOOKUP(Inv_Sy[[#This Row],[Date]],RD[#All],V$1,0)/V$2</f>
        <v>#N/A</v>
      </c>
      <c r="W57" s="1" t="e">
        <f>VLOOKUP(Inv_Sy[[#This Row],[Date]],RD[#All],W$1,0)/W$2</f>
        <v>#N/A</v>
      </c>
      <c r="X57" s="1" t="e">
        <f>VLOOKUP(Inv_Sy[[#This Row],[Date]],RD[#All],X$1,0)/X$2</f>
        <v>#N/A</v>
      </c>
      <c r="Y57" s="1" t="e">
        <f>VLOOKUP(Inv_Sy[[#This Row],[Date]],RD[#All],Y$1,0)/Y$2</f>
        <v>#N/A</v>
      </c>
      <c r="Z57" s="1" t="e">
        <f>VLOOKUP(Inv_Sy[[#This Row],[Date]],RD[#All],Z$1,0)/Z$2</f>
        <v>#N/A</v>
      </c>
      <c r="AA57" s="1" t="str">
        <f t="shared" si="4"/>
        <v/>
      </c>
      <c r="AB57" s="1" t="e">
        <f>MAX(Inv_Sy[[#This Row],[G1 Inv1]:[IS1_Inv2]])</f>
        <v>#N/A</v>
      </c>
      <c r="AC57"/>
    </row>
    <row r="58" spans="1:29" ht="15" customHeight="1" x14ac:dyDescent="0.35">
      <c r="A58" s="321" t="s">
        <v>141</v>
      </c>
      <c r="B58" s="321"/>
      <c r="C58" s="67">
        <f>YEAR(RD[[#This Row],[Month Year]])</f>
        <v>2025</v>
      </c>
      <c r="D58" s="169" t="s">
        <v>142</v>
      </c>
      <c r="E58" s="171">
        <f t="shared" si="3"/>
        <v>45891</v>
      </c>
      <c r="F58" s="1" t="e">
        <f>VLOOKUP(Inv_Sy[[#This Row],[Date]],RD[#All],F$1,0)/F$2</f>
        <v>#N/A</v>
      </c>
      <c r="G58" s="1" t="e">
        <f>VLOOKUP(Inv_Sy[[#This Row],[Date]],RD[#All],G$1,0)/G$2</f>
        <v>#N/A</v>
      </c>
      <c r="H58" s="1" t="e">
        <f>VLOOKUP(Inv_Sy[[#This Row],[Date]],RD[#All],H$1,0)/H$2</f>
        <v>#N/A</v>
      </c>
      <c r="I58" s="1" t="e">
        <f>VLOOKUP(Inv_Sy[[#This Row],[Date]],RD[#All],I$1,0)/I$2</f>
        <v>#N/A</v>
      </c>
      <c r="J58" s="1" t="e">
        <f>VLOOKUP(Inv_Sy[[#This Row],[Date]],RD[#All],J$1,0)/J$2</f>
        <v>#N/A</v>
      </c>
      <c r="K58" s="1" t="e">
        <f>VLOOKUP(Inv_Sy[[#This Row],[Date]],RD[#All],K$1,0)/K$2</f>
        <v>#N/A</v>
      </c>
      <c r="L58" s="1" t="e">
        <f>VLOOKUP(Inv_Sy[[#This Row],[Date]],RD[#All],L$1,0)/L$2</f>
        <v>#N/A</v>
      </c>
      <c r="M58" s="1" t="e">
        <f>VLOOKUP(Inv_Sy[[#This Row],[Date]],RD[#All],M$1,0)/M$2</f>
        <v>#N/A</v>
      </c>
      <c r="N58" s="1" t="e">
        <f>VLOOKUP(Inv_Sy[[#This Row],[Date]],RD[#All],N$1,0)/N$2</f>
        <v>#N/A</v>
      </c>
      <c r="O58" s="1" t="e">
        <f>VLOOKUP(Inv_Sy[[#This Row],[Date]],RD[#All],O$1,0)/O$2</f>
        <v>#N/A</v>
      </c>
      <c r="P58" s="1" t="e">
        <f>AVERAGEIFS(Inv_Sy[[#This Row],[G1 Inv1]:[G5 Inv10]],Inv_Sy[[#This Row],[G1 Inv1]:[G5 Inv10]],"&lt;&gt;"&amp;0)</f>
        <v>#N/A</v>
      </c>
      <c r="Q58" s="1" t="e">
        <f>VLOOKUP(Inv_Sy[[#This Row],[Date]],RD[#All],Q$1,0)/Q$2</f>
        <v>#N/A</v>
      </c>
      <c r="R58" s="1" t="e">
        <f>VLOOKUP(Inv_Sy[[#This Row],[Date]],RD[#All],R$1,0)/R$2</f>
        <v>#N/A</v>
      </c>
      <c r="S58" s="1" t="e">
        <f>VLOOKUP(Inv_Sy[[#This Row],[Date]],RD[#All],S$1,0)/S$2</f>
        <v>#N/A</v>
      </c>
      <c r="T58" s="1" t="e">
        <f>VLOOKUP(Inv_Sy[[#This Row],[Date]],RD[#All],T$1,0)/T$2</f>
        <v>#N/A</v>
      </c>
      <c r="U58" s="1" t="e">
        <f>VLOOKUP(Inv_Sy[[#This Row],[Date]],RD[#All],U$1,0)/U$2</f>
        <v>#N/A</v>
      </c>
      <c r="V58" s="1" t="e">
        <f>VLOOKUP(Inv_Sy[[#This Row],[Date]],RD[#All],V$1,0)/V$2</f>
        <v>#N/A</v>
      </c>
      <c r="W58" s="1" t="e">
        <f>VLOOKUP(Inv_Sy[[#This Row],[Date]],RD[#All],W$1,0)/W$2</f>
        <v>#N/A</v>
      </c>
      <c r="X58" s="1" t="e">
        <f>VLOOKUP(Inv_Sy[[#This Row],[Date]],RD[#All],X$1,0)/X$2</f>
        <v>#N/A</v>
      </c>
      <c r="Y58" s="1" t="e">
        <f>VLOOKUP(Inv_Sy[[#This Row],[Date]],RD[#All],Y$1,0)/Y$2</f>
        <v>#N/A</v>
      </c>
      <c r="Z58" s="1" t="e">
        <f>VLOOKUP(Inv_Sy[[#This Row],[Date]],RD[#All],Z$1,0)/Z$2</f>
        <v>#N/A</v>
      </c>
      <c r="AA58" s="1" t="str">
        <f t="shared" si="4"/>
        <v/>
      </c>
      <c r="AB58" s="1" t="e">
        <f>MAX(Inv_Sy[[#This Row],[G1 Inv1]:[IS1_Inv2]])</f>
        <v>#N/A</v>
      </c>
      <c r="AC58"/>
    </row>
    <row r="59" spans="1:29" ht="15" customHeight="1" x14ac:dyDescent="0.35">
      <c r="A59" s="321" t="s">
        <v>141</v>
      </c>
      <c r="B59" s="321"/>
      <c r="C59" s="67">
        <f>YEAR(RD[[#This Row],[Month Year]])</f>
        <v>2025</v>
      </c>
      <c r="D59" s="169" t="s">
        <v>142</v>
      </c>
      <c r="E59" s="171">
        <f t="shared" si="3"/>
        <v>45892</v>
      </c>
      <c r="F59" s="1" t="e">
        <f>VLOOKUP(Inv_Sy[[#This Row],[Date]],RD[#All],F$1,0)/F$2</f>
        <v>#N/A</v>
      </c>
      <c r="G59" s="1" t="e">
        <f>VLOOKUP(Inv_Sy[[#This Row],[Date]],RD[#All],G$1,0)/G$2</f>
        <v>#N/A</v>
      </c>
      <c r="H59" s="1" t="e">
        <f>VLOOKUP(Inv_Sy[[#This Row],[Date]],RD[#All],H$1,0)/H$2</f>
        <v>#N/A</v>
      </c>
      <c r="I59" s="1" t="e">
        <f>VLOOKUP(Inv_Sy[[#This Row],[Date]],RD[#All],I$1,0)/I$2</f>
        <v>#N/A</v>
      </c>
      <c r="J59" s="1" t="e">
        <f>VLOOKUP(Inv_Sy[[#This Row],[Date]],RD[#All],J$1,0)/J$2</f>
        <v>#N/A</v>
      </c>
      <c r="K59" s="1" t="e">
        <f>VLOOKUP(Inv_Sy[[#This Row],[Date]],RD[#All],K$1,0)/K$2</f>
        <v>#N/A</v>
      </c>
      <c r="L59" s="1" t="e">
        <f>VLOOKUP(Inv_Sy[[#This Row],[Date]],RD[#All],L$1,0)/L$2</f>
        <v>#N/A</v>
      </c>
      <c r="M59" s="1" t="e">
        <f>VLOOKUP(Inv_Sy[[#This Row],[Date]],RD[#All],M$1,0)/M$2</f>
        <v>#N/A</v>
      </c>
      <c r="N59" s="1" t="e">
        <f>VLOOKUP(Inv_Sy[[#This Row],[Date]],RD[#All],N$1,0)/N$2</f>
        <v>#N/A</v>
      </c>
      <c r="O59" s="1" t="e">
        <f>VLOOKUP(Inv_Sy[[#This Row],[Date]],RD[#All],O$1,0)/O$2</f>
        <v>#N/A</v>
      </c>
      <c r="P59" s="1" t="e">
        <f>AVERAGEIFS(Inv_Sy[[#This Row],[G1 Inv1]:[G5 Inv10]],Inv_Sy[[#This Row],[G1 Inv1]:[G5 Inv10]],"&lt;&gt;"&amp;0)</f>
        <v>#N/A</v>
      </c>
      <c r="Q59" s="1" t="e">
        <f>VLOOKUP(Inv_Sy[[#This Row],[Date]],RD[#All],Q$1,0)/Q$2</f>
        <v>#N/A</v>
      </c>
      <c r="R59" s="1" t="e">
        <f>VLOOKUP(Inv_Sy[[#This Row],[Date]],RD[#All],R$1,0)/R$2</f>
        <v>#N/A</v>
      </c>
      <c r="S59" s="1" t="e">
        <f>VLOOKUP(Inv_Sy[[#This Row],[Date]],RD[#All],S$1,0)/S$2</f>
        <v>#N/A</v>
      </c>
      <c r="T59" s="1" t="e">
        <f>VLOOKUP(Inv_Sy[[#This Row],[Date]],RD[#All],T$1,0)/T$2</f>
        <v>#N/A</v>
      </c>
      <c r="U59" s="1" t="e">
        <f>VLOOKUP(Inv_Sy[[#This Row],[Date]],RD[#All],U$1,0)/U$2</f>
        <v>#N/A</v>
      </c>
      <c r="V59" s="1" t="e">
        <f>VLOOKUP(Inv_Sy[[#This Row],[Date]],RD[#All],V$1,0)/V$2</f>
        <v>#N/A</v>
      </c>
      <c r="W59" s="1" t="e">
        <f>VLOOKUP(Inv_Sy[[#This Row],[Date]],RD[#All],W$1,0)/W$2</f>
        <v>#N/A</v>
      </c>
      <c r="X59" s="1" t="e">
        <f>VLOOKUP(Inv_Sy[[#This Row],[Date]],RD[#All],X$1,0)/X$2</f>
        <v>#N/A</v>
      </c>
      <c r="Y59" s="1" t="e">
        <f>VLOOKUP(Inv_Sy[[#This Row],[Date]],RD[#All],Y$1,0)/Y$2</f>
        <v>#N/A</v>
      </c>
      <c r="Z59" s="1" t="e">
        <f>VLOOKUP(Inv_Sy[[#This Row],[Date]],RD[#All],Z$1,0)/Z$2</f>
        <v>#N/A</v>
      </c>
      <c r="AA59" s="1" t="str">
        <f t="shared" si="4"/>
        <v/>
      </c>
      <c r="AB59" s="1" t="e">
        <f>MAX(Inv_Sy[[#This Row],[G1 Inv1]:[IS1_Inv2]])</f>
        <v>#N/A</v>
      </c>
      <c r="AC59"/>
    </row>
    <row r="60" spans="1:29" ht="15" customHeight="1" x14ac:dyDescent="0.35">
      <c r="A60" s="321" t="s">
        <v>141</v>
      </c>
      <c r="B60" s="321"/>
      <c r="C60" s="67">
        <f>YEAR(RD[[#This Row],[Month Year]])</f>
        <v>2025</v>
      </c>
      <c r="D60" s="169" t="s">
        <v>142</v>
      </c>
      <c r="E60" s="171">
        <f t="shared" si="3"/>
        <v>45893</v>
      </c>
      <c r="F60" s="1" t="e">
        <f>VLOOKUP(Inv_Sy[[#This Row],[Date]],RD[#All],F$1,0)/F$2</f>
        <v>#N/A</v>
      </c>
      <c r="G60" s="1" t="e">
        <f>VLOOKUP(Inv_Sy[[#This Row],[Date]],RD[#All],G$1,0)/G$2</f>
        <v>#N/A</v>
      </c>
      <c r="H60" s="1" t="e">
        <f>VLOOKUP(Inv_Sy[[#This Row],[Date]],RD[#All],H$1,0)/H$2</f>
        <v>#N/A</v>
      </c>
      <c r="I60" s="1" t="e">
        <f>VLOOKUP(Inv_Sy[[#This Row],[Date]],RD[#All],I$1,0)/I$2</f>
        <v>#N/A</v>
      </c>
      <c r="J60" s="1" t="e">
        <f>VLOOKUP(Inv_Sy[[#This Row],[Date]],RD[#All],J$1,0)/J$2</f>
        <v>#N/A</v>
      </c>
      <c r="K60" s="1" t="e">
        <f>VLOOKUP(Inv_Sy[[#This Row],[Date]],RD[#All],K$1,0)/K$2</f>
        <v>#N/A</v>
      </c>
      <c r="L60" s="1" t="e">
        <f>VLOOKUP(Inv_Sy[[#This Row],[Date]],RD[#All],L$1,0)/L$2</f>
        <v>#N/A</v>
      </c>
      <c r="M60" s="1" t="e">
        <f>VLOOKUP(Inv_Sy[[#This Row],[Date]],RD[#All],M$1,0)/M$2</f>
        <v>#N/A</v>
      </c>
      <c r="N60" s="1" t="e">
        <f>VLOOKUP(Inv_Sy[[#This Row],[Date]],RD[#All],N$1,0)/N$2</f>
        <v>#N/A</v>
      </c>
      <c r="O60" s="1" t="e">
        <f>VLOOKUP(Inv_Sy[[#This Row],[Date]],RD[#All],O$1,0)/O$2</f>
        <v>#N/A</v>
      </c>
      <c r="P60" s="1" t="e">
        <f>AVERAGEIFS(Inv_Sy[[#This Row],[G1 Inv1]:[G5 Inv10]],Inv_Sy[[#This Row],[G1 Inv1]:[G5 Inv10]],"&lt;&gt;"&amp;0)</f>
        <v>#N/A</v>
      </c>
      <c r="Q60" s="1" t="e">
        <f>VLOOKUP(Inv_Sy[[#This Row],[Date]],RD[#All],Q$1,0)/Q$2</f>
        <v>#N/A</v>
      </c>
      <c r="R60" s="1" t="e">
        <f>VLOOKUP(Inv_Sy[[#This Row],[Date]],RD[#All],R$1,0)/R$2</f>
        <v>#N/A</v>
      </c>
      <c r="S60" s="1" t="e">
        <f>VLOOKUP(Inv_Sy[[#This Row],[Date]],RD[#All],S$1,0)/S$2</f>
        <v>#N/A</v>
      </c>
      <c r="T60" s="1" t="e">
        <f>VLOOKUP(Inv_Sy[[#This Row],[Date]],RD[#All],T$1,0)/T$2</f>
        <v>#N/A</v>
      </c>
      <c r="U60" s="1" t="e">
        <f>VLOOKUP(Inv_Sy[[#This Row],[Date]],RD[#All],U$1,0)/U$2</f>
        <v>#N/A</v>
      </c>
      <c r="V60" s="1" t="e">
        <f>VLOOKUP(Inv_Sy[[#This Row],[Date]],RD[#All],V$1,0)/V$2</f>
        <v>#N/A</v>
      </c>
      <c r="W60" s="1" t="e">
        <f>VLOOKUP(Inv_Sy[[#This Row],[Date]],RD[#All],W$1,0)/W$2</f>
        <v>#N/A</v>
      </c>
      <c r="X60" s="1" t="e">
        <f>VLOOKUP(Inv_Sy[[#This Row],[Date]],RD[#All],X$1,0)/X$2</f>
        <v>#N/A</v>
      </c>
      <c r="Y60" s="1" t="e">
        <f>VLOOKUP(Inv_Sy[[#This Row],[Date]],RD[#All],Y$1,0)/Y$2</f>
        <v>#N/A</v>
      </c>
      <c r="Z60" s="1" t="e">
        <f>VLOOKUP(Inv_Sy[[#This Row],[Date]],RD[#All],Z$1,0)/Z$2</f>
        <v>#N/A</v>
      </c>
      <c r="AA60" s="1" t="str">
        <f t="shared" si="4"/>
        <v/>
      </c>
      <c r="AB60" s="1" t="e">
        <f>MAX(Inv_Sy[[#This Row],[G1 Inv1]:[IS1_Inv2]])</f>
        <v>#N/A</v>
      </c>
      <c r="AC60"/>
    </row>
    <row r="61" spans="1:29" ht="15" customHeight="1" x14ac:dyDescent="0.35">
      <c r="A61" s="321" t="s">
        <v>141</v>
      </c>
      <c r="B61" s="321"/>
      <c r="C61" s="67">
        <f>YEAR(RD[[#This Row],[Month Year]])</f>
        <v>2025</v>
      </c>
      <c r="D61" s="169" t="s">
        <v>142</v>
      </c>
      <c r="E61" s="171">
        <f t="shared" si="3"/>
        <v>45894</v>
      </c>
      <c r="F61" s="1" t="e">
        <f>VLOOKUP(Inv_Sy[[#This Row],[Date]],RD[#All],F$1,0)/F$2</f>
        <v>#N/A</v>
      </c>
      <c r="G61" s="1" t="e">
        <f>VLOOKUP(Inv_Sy[[#This Row],[Date]],RD[#All],G$1,0)/G$2</f>
        <v>#N/A</v>
      </c>
      <c r="H61" s="1" t="e">
        <f>VLOOKUP(Inv_Sy[[#This Row],[Date]],RD[#All],H$1,0)/H$2</f>
        <v>#N/A</v>
      </c>
      <c r="I61" s="1" t="e">
        <f>VLOOKUP(Inv_Sy[[#This Row],[Date]],RD[#All],I$1,0)/I$2</f>
        <v>#N/A</v>
      </c>
      <c r="J61" s="1" t="e">
        <f>VLOOKUP(Inv_Sy[[#This Row],[Date]],RD[#All],J$1,0)/J$2</f>
        <v>#N/A</v>
      </c>
      <c r="K61" s="1" t="e">
        <f>VLOOKUP(Inv_Sy[[#This Row],[Date]],RD[#All],K$1,0)/K$2</f>
        <v>#N/A</v>
      </c>
      <c r="L61" s="1" t="e">
        <f>VLOOKUP(Inv_Sy[[#This Row],[Date]],RD[#All],L$1,0)/L$2</f>
        <v>#N/A</v>
      </c>
      <c r="M61" s="1" t="e">
        <f>VLOOKUP(Inv_Sy[[#This Row],[Date]],RD[#All],M$1,0)/M$2</f>
        <v>#N/A</v>
      </c>
      <c r="N61" s="1" t="e">
        <f>VLOOKUP(Inv_Sy[[#This Row],[Date]],RD[#All],N$1,0)/N$2</f>
        <v>#N/A</v>
      </c>
      <c r="O61" s="1" t="e">
        <f>VLOOKUP(Inv_Sy[[#This Row],[Date]],RD[#All],O$1,0)/O$2</f>
        <v>#N/A</v>
      </c>
      <c r="P61" s="1" t="e">
        <f>AVERAGEIFS(Inv_Sy[[#This Row],[G1 Inv1]:[G5 Inv10]],Inv_Sy[[#This Row],[G1 Inv1]:[G5 Inv10]],"&lt;&gt;"&amp;0)</f>
        <v>#N/A</v>
      </c>
      <c r="Q61" s="1" t="e">
        <f>VLOOKUP(Inv_Sy[[#This Row],[Date]],RD[#All],Q$1,0)/Q$2</f>
        <v>#N/A</v>
      </c>
      <c r="R61" s="1" t="e">
        <f>VLOOKUP(Inv_Sy[[#This Row],[Date]],RD[#All],R$1,0)/R$2</f>
        <v>#N/A</v>
      </c>
      <c r="S61" s="1" t="e">
        <f>VLOOKUP(Inv_Sy[[#This Row],[Date]],RD[#All],S$1,0)/S$2</f>
        <v>#N/A</v>
      </c>
      <c r="T61" s="1" t="e">
        <f>VLOOKUP(Inv_Sy[[#This Row],[Date]],RD[#All],T$1,0)/T$2</f>
        <v>#N/A</v>
      </c>
      <c r="U61" s="1" t="e">
        <f>VLOOKUP(Inv_Sy[[#This Row],[Date]],RD[#All],U$1,0)/U$2</f>
        <v>#N/A</v>
      </c>
      <c r="V61" s="1" t="e">
        <f>VLOOKUP(Inv_Sy[[#This Row],[Date]],RD[#All],V$1,0)/V$2</f>
        <v>#N/A</v>
      </c>
      <c r="W61" s="1" t="e">
        <f>VLOOKUP(Inv_Sy[[#This Row],[Date]],RD[#All],W$1,0)/W$2</f>
        <v>#N/A</v>
      </c>
      <c r="X61" s="1" t="e">
        <f>VLOOKUP(Inv_Sy[[#This Row],[Date]],RD[#All],X$1,0)/X$2</f>
        <v>#N/A</v>
      </c>
      <c r="Y61" s="1" t="e">
        <f>VLOOKUP(Inv_Sy[[#This Row],[Date]],RD[#All],Y$1,0)/Y$2</f>
        <v>#N/A</v>
      </c>
      <c r="Z61" s="1" t="e">
        <f>VLOOKUP(Inv_Sy[[#This Row],[Date]],RD[#All],Z$1,0)/Z$2</f>
        <v>#N/A</v>
      </c>
      <c r="AA61" s="1" t="str">
        <f t="shared" si="4"/>
        <v/>
      </c>
      <c r="AB61" s="1" t="e">
        <f>MAX(Inv_Sy[[#This Row],[G1 Inv1]:[IS1_Inv2]])</f>
        <v>#N/A</v>
      </c>
      <c r="AC61"/>
    </row>
    <row r="62" spans="1:29" ht="15" customHeight="1" x14ac:dyDescent="0.35">
      <c r="A62" s="321" t="s">
        <v>141</v>
      </c>
      <c r="B62" s="321"/>
      <c r="C62" s="67">
        <f>YEAR(RD[[#This Row],[Month Year]])</f>
        <v>2025</v>
      </c>
      <c r="D62" s="169" t="s">
        <v>142</v>
      </c>
      <c r="E62" s="171">
        <f t="shared" si="3"/>
        <v>45895</v>
      </c>
      <c r="F62" s="1" t="e">
        <f>VLOOKUP(Inv_Sy[[#This Row],[Date]],RD[#All],F$1,0)/F$2</f>
        <v>#N/A</v>
      </c>
      <c r="G62" s="1" t="e">
        <f>VLOOKUP(Inv_Sy[[#This Row],[Date]],RD[#All],G$1,0)/G$2</f>
        <v>#N/A</v>
      </c>
      <c r="H62" s="1" t="e">
        <f>VLOOKUP(Inv_Sy[[#This Row],[Date]],RD[#All],H$1,0)/H$2</f>
        <v>#N/A</v>
      </c>
      <c r="I62" s="1" t="e">
        <f>VLOOKUP(Inv_Sy[[#This Row],[Date]],RD[#All],I$1,0)/I$2</f>
        <v>#N/A</v>
      </c>
      <c r="J62" s="1" t="e">
        <f>VLOOKUP(Inv_Sy[[#This Row],[Date]],RD[#All],J$1,0)/J$2</f>
        <v>#N/A</v>
      </c>
      <c r="K62" s="1" t="e">
        <f>VLOOKUP(Inv_Sy[[#This Row],[Date]],RD[#All],K$1,0)/K$2</f>
        <v>#N/A</v>
      </c>
      <c r="L62" s="1" t="e">
        <f>VLOOKUP(Inv_Sy[[#This Row],[Date]],RD[#All],L$1,0)/L$2</f>
        <v>#N/A</v>
      </c>
      <c r="M62" s="1" t="e">
        <f>VLOOKUP(Inv_Sy[[#This Row],[Date]],RD[#All],M$1,0)/M$2</f>
        <v>#N/A</v>
      </c>
      <c r="N62" s="1" t="e">
        <f>VLOOKUP(Inv_Sy[[#This Row],[Date]],RD[#All],N$1,0)/N$2</f>
        <v>#N/A</v>
      </c>
      <c r="O62" s="1" t="e">
        <f>VLOOKUP(Inv_Sy[[#This Row],[Date]],RD[#All],O$1,0)/O$2</f>
        <v>#N/A</v>
      </c>
      <c r="P62" s="1" t="e">
        <f>AVERAGEIFS(Inv_Sy[[#This Row],[G1 Inv1]:[G5 Inv10]],Inv_Sy[[#This Row],[G1 Inv1]:[G5 Inv10]],"&lt;&gt;"&amp;0)</f>
        <v>#N/A</v>
      </c>
      <c r="Q62" s="1" t="e">
        <f>VLOOKUP(Inv_Sy[[#This Row],[Date]],RD[#All],Q$1,0)/Q$2</f>
        <v>#N/A</v>
      </c>
      <c r="R62" s="1" t="e">
        <f>VLOOKUP(Inv_Sy[[#This Row],[Date]],RD[#All],R$1,0)/R$2</f>
        <v>#N/A</v>
      </c>
      <c r="S62" s="1" t="e">
        <f>VLOOKUP(Inv_Sy[[#This Row],[Date]],RD[#All],S$1,0)/S$2</f>
        <v>#N/A</v>
      </c>
      <c r="T62" s="1" t="e">
        <f>VLOOKUP(Inv_Sy[[#This Row],[Date]],RD[#All],T$1,0)/T$2</f>
        <v>#N/A</v>
      </c>
      <c r="U62" s="1" t="e">
        <f>VLOOKUP(Inv_Sy[[#This Row],[Date]],RD[#All],U$1,0)/U$2</f>
        <v>#N/A</v>
      </c>
      <c r="V62" s="1" t="e">
        <f>VLOOKUP(Inv_Sy[[#This Row],[Date]],RD[#All],V$1,0)/V$2</f>
        <v>#N/A</v>
      </c>
      <c r="W62" s="1" t="e">
        <f>VLOOKUP(Inv_Sy[[#This Row],[Date]],RD[#All],W$1,0)/W$2</f>
        <v>#N/A</v>
      </c>
      <c r="X62" s="1" t="e">
        <f>VLOOKUP(Inv_Sy[[#This Row],[Date]],RD[#All],X$1,0)/X$2</f>
        <v>#N/A</v>
      </c>
      <c r="Y62" s="1" t="e">
        <f>VLOOKUP(Inv_Sy[[#This Row],[Date]],RD[#All],Y$1,0)/Y$2</f>
        <v>#N/A</v>
      </c>
      <c r="Z62" s="1" t="e">
        <f>VLOOKUP(Inv_Sy[[#This Row],[Date]],RD[#All],Z$1,0)/Z$2</f>
        <v>#N/A</v>
      </c>
      <c r="AA62" s="1" t="str">
        <f t="shared" si="4"/>
        <v/>
      </c>
      <c r="AB62" s="1" t="e">
        <f>MAX(Inv_Sy[[#This Row],[G1 Inv1]:[IS1_Inv2]])</f>
        <v>#N/A</v>
      </c>
      <c r="AC62"/>
    </row>
    <row r="63" spans="1:29" ht="15" customHeight="1" x14ac:dyDescent="0.35">
      <c r="A63" s="321" t="s">
        <v>141</v>
      </c>
      <c r="B63" s="321"/>
      <c r="C63" s="67">
        <f>YEAR(RD[[#This Row],[Month Year]])</f>
        <v>2025</v>
      </c>
      <c r="D63" s="169" t="s">
        <v>142</v>
      </c>
      <c r="E63" s="171">
        <f t="shared" si="3"/>
        <v>45896</v>
      </c>
      <c r="F63" s="1" t="e">
        <f>VLOOKUP(Inv_Sy[[#This Row],[Date]],RD[#All],F$1,0)/F$2</f>
        <v>#N/A</v>
      </c>
      <c r="G63" s="1" t="e">
        <f>VLOOKUP(Inv_Sy[[#This Row],[Date]],RD[#All],G$1,0)/G$2</f>
        <v>#N/A</v>
      </c>
      <c r="H63" s="1" t="e">
        <f>VLOOKUP(Inv_Sy[[#This Row],[Date]],RD[#All],H$1,0)/H$2</f>
        <v>#N/A</v>
      </c>
      <c r="I63" s="1" t="e">
        <f>VLOOKUP(Inv_Sy[[#This Row],[Date]],RD[#All],I$1,0)/I$2</f>
        <v>#N/A</v>
      </c>
      <c r="J63" s="1" t="e">
        <f>VLOOKUP(Inv_Sy[[#This Row],[Date]],RD[#All],J$1,0)/J$2</f>
        <v>#N/A</v>
      </c>
      <c r="K63" s="1" t="e">
        <f>VLOOKUP(Inv_Sy[[#This Row],[Date]],RD[#All],K$1,0)/K$2</f>
        <v>#N/A</v>
      </c>
      <c r="L63" s="1" t="e">
        <f>VLOOKUP(Inv_Sy[[#This Row],[Date]],RD[#All],L$1,0)/L$2</f>
        <v>#N/A</v>
      </c>
      <c r="M63" s="1" t="e">
        <f>VLOOKUP(Inv_Sy[[#This Row],[Date]],RD[#All],M$1,0)/M$2</f>
        <v>#N/A</v>
      </c>
      <c r="N63" s="1" t="e">
        <f>VLOOKUP(Inv_Sy[[#This Row],[Date]],RD[#All],N$1,0)/N$2</f>
        <v>#N/A</v>
      </c>
      <c r="O63" s="1" t="e">
        <f>VLOOKUP(Inv_Sy[[#This Row],[Date]],RD[#All],O$1,0)/O$2</f>
        <v>#N/A</v>
      </c>
      <c r="P63" s="1" t="e">
        <f>AVERAGEIFS(Inv_Sy[[#This Row],[G1 Inv1]:[G5 Inv10]],Inv_Sy[[#This Row],[G1 Inv1]:[G5 Inv10]],"&lt;&gt;"&amp;0)</f>
        <v>#N/A</v>
      </c>
      <c r="Q63" s="1" t="e">
        <f>VLOOKUP(Inv_Sy[[#This Row],[Date]],RD[#All],Q$1,0)/Q$2</f>
        <v>#N/A</v>
      </c>
      <c r="R63" s="1" t="e">
        <f>VLOOKUP(Inv_Sy[[#This Row],[Date]],RD[#All],R$1,0)/R$2</f>
        <v>#N/A</v>
      </c>
      <c r="S63" s="1" t="e">
        <f>VLOOKUP(Inv_Sy[[#This Row],[Date]],RD[#All],S$1,0)/S$2</f>
        <v>#N/A</v>
      </c>
      <c r="T63" s="1" t="e">
        <f>VLOOKUP(Inv_Sy[[#This Row],[Date]],RD[#All],T$1,0)/T$2</f>
        <v>#N/A</v>
      </c>
      <c r="U63" s="1" t="e">
        <f>VLOOKUP(Inv_Sy[[#This Row],[Date]],RD[#All],U$1,0)/U$2</f>
        <v>#N/A</v>
      </c>
      <c r="V63" s="1" t="e">
        <f>VLOOKUP(Inv_Sy[[#This Row],[Date]],RD[#All],V$1,0)/V$2</f>
        <v>#N/A</v>
      </c>
      <c r="W63" s="1" t="e">
        <f>VLOOKUP(Inv_Sy[[#This Row],[Date]],RD[#All],W$1,0)/W$2</f>
        <v>#N/A</v>
      </c>
      <c r="X63" s="1" t="e">
        <f>VLOOKUP(Inv_Sy[[#This Row],[Date]],RD[#All],X$1,0)/X$2</f>
        <v>#N/A</v>
      </c>
      <c r="Y63" s="1" t="e">
        <f>VLOOKUP(Inv_Sy[[#This Row],[Date]],RD[#All],Y$1,0)/Y$2</f>
        <v>#N/A</v>
      </c>
      <c r="Z63" s="1" t="e">
        <f>VLOOKUP(Inv_Sy[[#This Row],[Date]],RD[#All],Z$1,0)/Z$2</f>
        <v>#N/A</v>
      </c>
      <c r="AA63" s="1" t="str">
        <f t="shared" si="4"/>
        <v/>
      </c>
      <c r="AB63" s="1" t="e">
        <f>MAX(Inv_Sy[[#This Row],[G1 Inv1]:[IS1_Inv2]])</f>
        <v>#N/A</v>
      </c>
      <c r="AC63"/>
    </row>
    <row r="64" spans="1:29" ht="15" customHeight="1" x14ac:dyDescent="0.35">
      <c r="A64" s="321" t="s">
        <v>141</v>
      </c>
      <c r="B64" s="321"/>
      <c r="C64" s="67">
        <f>YEAR(RD[[#This Row],[Month Year]])</f>
        <v>2025</v>
      </c>
      <c r="D64" s="169" t="s">
        <v>142</v>
      </c>
      <c r="E64" s="171">
        <f t="shared" si="3"/>
        <v>45897</v>
      </c>
      <c r="F64" s="1" t="e">
        <f>VLOOKUP(Inv_Sy[[#This Row],[Date]],RD[#All],F$1,0)/F$2</f>
        <v>#N/A</v>
      </c>
      <c r="G64" s="1" t="e">
        <f>VLOOKUP(Inv_Sy[[#This Row],[Date]],RD[#All],G$1,0)/G$2</f>
        <v>#N/A</v>
      </c>
      <c r="H64" s="1" t="e">
        <f>VLOOKUP(Inv_Sy[[#This Row],[Date]],RD[#All],H$1,0)/H$2</f>
        <v>#N/A</v>
      </c>
      <c r="I64" s="1" t="e">
        <f>VLOOKUP(Inv_Sy[[#This Row],[Date]],RD[#All],I$1,0)/I$2</f>
        <v>#N/A</v>
      </c>
      <c r="J64" s="1" t="e">
        <f>VLOOKUP(Inv_Sy[[#This Row],[Date]],RD[#All],J$1,0)/J$2</f>
        <v>#N/A</v>
      </c>
      <c r="K64" s="1" t="e">
        <f>VLOOKUP(Inv_Sy[[#This Row],[Date]],RD[#All],K$1,0)/K$2</f>
        <v>#N/A</v>
      </c>
      <c r="L64" s="1" t="e">
        <f>VLOOKUP(Inv_Sy[[#This Row],[Date]],RD[#All],L$1,0)/L$2</f>
        <v>#N/A</v>
      </c>
      <c r="M64" s="1" t="e">
        <f>VLOOKUP(Inv_Sy[[#This Row],[Date]],RD[#All],M$1,0)/M$2</f>
        <v>#N/A</v>
      </c>
      <c r="N64" s="1" t="e">
        <f>VLOOKUP(Inv_Sy[[#This Row],[Date]],RD[#All],N$1,0)/N$2</f>
        <v>#N/A</v>
      </c>
      <c r="O64" s="1" t="e">
        <f>VLOOKUP(Inv_Sy[[#This Row],[Date]],RD[#All],O$1,0)/O$2</f>
        <v>#N/A</v>
      </c>
      <c r="P64" s="1" t="e">
        <f>AVERAGEIFS(Inv_Sy[[#This Row],[G1 Inv1]:[G5 Inv10]],Inv_Sy[[#This Row],[G1 Inv1]:[G5 Inv10]],"&lt;&gt;"&amp;0)</f>
        <v>#N/A</v>
      </c>
      <c r="Q64" s="1" t="e">
        <f>VLOOKUP(Inv_Sy[[#This Row],[Date]],RD[#All],Q$1,0)/Q$2</f>
        <v>#N/A</v>
      </c>
      <c r="R64" s="1" t="e">
        <f>VLOOKUP(Inv_Sy[[#This Row],[Date]],RD[#All],R$1,0)/R$2</f>
        <v>#N/A</v>
      </c>
      <c r="S64" s="1" t="e">
        <f>VLOOKUP(Inv_Sy[[#This Row],[Date]],RD[#All],S$1,0)/S$2</f>
        <v>#N/A</v>
      </c>
      <c r="T64" s="1" t="e">
        <f>VLOOKUP(Inv_Sy[[#This Row],[Date]],RD[#All],T$1,0)/T$2</f>
        <v>#N/A</v>
      </c>
      <c r="U64" s="1" t="e">
        <f>VLOOKUP(Inv_Sy[[#This Row],[Date]],RD[#All],U$1,0)/U$2</f>
        <v>#N/A</v>
      </c>
      <c r="V64" s="1" t="e">
        <f>VLOOKUP(Inv_Sy[[#This Row],[Date]],RD[#All],V$1,0)/V$2</f>
        <v>#N/A</v>
      </c>
      <c r="W64" s="1" t="e">
        <f>VLOOKUP(Inv_Sy[[#This Row],[Date]],RD[#All],W$1,0)/W$2</f>
        <v>#N/A</v>
      </c>
      <c r="X64" s="1" t="e">
        <f>VLOOKUP(Inv_Sy[[#This Row],[Date]],RD[#All],X$1,0)/X$2</f>
        <v>#N/A</v>
      </c>
      <c r="Y64" s="1" t="e">
        <f>VLOOKUP(Inv_Sy[[#This Row],[Date]],RD[#All],Y$1,0)/Y$2</f>
        <v>#N/A</v>
      </c>
      <c r="Z64" s="1" t="e">
        <f>VLOOKUP(Inv_Sy[[#This Row],[Date]],RD[#All],Z$1,0)/Z$2</f>
        <v>#N/A</v>
      </c>
      <c r="AA64" s="1" t="str">
        <f t="shared" si="4"/>
        <v/>
      </c>
      <c r="AB64" s="1" t="e">
        <f>MAX(Inv_Sy[[#This Row],[G1 Inv1]:[IS1_Inv2]])</f>
        <v>#N/A</v>
      </c>
      <c r="AC64"/>
    </row>
    <row r="65" spans="1:29" ht="15" customHeight="1" x14ac:dyDescent="0.35">
      <c r="A65" s="321" t="s">
        <v>141</v>
      </c>
      <c r="B65" s="321"/>
      <c r="C65" s="67">
        <f>YEAR(RD[[#This Row],[Month Year]])</f>
        <v>2025</v>
      </c>
      <c r="D65" s="169" t="s">
        <v>142</v>
      </c>
      <c r="E65" s="171">
        <f t="shared" si="3"/>
        <v>45898</v>
      </c>
      <c r="F65" s="1" t="e">
        <f>VLOOKUP(Inv_Sy[[#This Row],[Date]],RD[#All],F$1,0)/F$2</f>
        <v>#N/A</v>
      </c>
      <c r="G65" s="1" t="e">
        <f>VLOOKUP(Inv_Sy[[#This Row],[Date]],RD[#All],G$1,0)/G$2</f>
        <v>#N/A</v>
      </c>
      <c r="H65" s="1" t="e">
        <f>VLOOKUP(Inv_Sy[[#This Row],[Date]],RD[#All],H$1,0)/H$2</f>
        <v>#N/A</v>
      </c>
      <c r="I65" s="1" t="e">
        <f>VLOOKUP(Inv_Sy[[#This Row],[Date]],RD[#All],I$1,0)/I$2</f>
        <v>#N/A</v>
      </c>
      <c r="J65" s="1" t="e">
        <f>VLOOKUP(Inv_Sy[[#This Row],[Date]],RD[#All],J$1,0)/J$2</f>
        <v>#N/A</v>
      </c>
      <c r="K65" s="1" t="e">
        <f>VLOOKUP(Inv_Sy[[#This Row],[Date]],RD[#All],K$1,0)/K$2</f>
        <v>#N/A</v>
      </c>
      <c r="L65" s="1" t="e">
        <f>VLOOKUP(Inv_Sy[[#This Row],[Date]],RD[#All],L$1,0)/L$2</f>
        <v>#N/A</v>
      </c>
      <c r="M65" s="1" t="e">
        <f>VLOOKUP(Inv_Sy[[#This Row],[Date]],RD[#All],M$1,0)/M$2</f>
        <v>#N/A</v>
      </c>
      <c r="N65" s="1" t="e">
        <f>VLOOKUP(Inv_Sy[[#This Row],[Date]],RD[#All],N$1,0)/N$2</f>
        <v>#N/A</v>
      </c>
      <c r="O65" s="1" t="e">
        <f>VLOOKUP(Inv_Sy[[#This Row],[Date]],RD[#All],O$1,0)/O$2</f>
        <v>#N/A</v>
      </c>
      <c r="P65" s="1" t="e">
        <f>AVERAGEIFS(Inv_Sy[[#This Row],[G1 Inv1]:[G5 Inv10]],Inv_Sy[[#This Row],[G1 Inv1]:[G5 Inv10]],"&lt;&gt;"&amp;0)</f>
        <v>#N/A</v>
      </c>
      <c r="Q65" s="1" t="e">
        <f>VLOOKUP(Inv_Sy[[#This Row],[Date]],RD[#All],Q$1,0)/Q$2</f>
        <v>#N/A</v>
      </c>
      <c r="R65" s="1" t="e">
        <f>VLOOKUP(Inv_Sy[[#This Row],[Date]],RD[#All],R$1,0)/R$2</f>
        <v>#N/A</v>
      </c>
      <c r="S65" s="1" t="e">
        <f>VLOOKUP(Inv_Sy[[#This Row],[Date]],RD[#All],S$1,0)/S$2</f>
        <v>#N/A</v>
      </c>
      <c r="T65" s="1" t="e">
        <f>VLOOKUP(Inv_Sy[[#This Row],[Date]],RD[#All],T$1,0)/T$2</f>
        <v>#N/A</v>
      </c>
      <c r="U65" s="1" t="e">
        <f>VLOOKUP(Inv_Sy[[#This Row],[Date]],RD[#All],U$1,0)/U$2</f>
        <v>#N/A</v>
      </c>
      <c r="V65" s="1" t="e">
        <f>VLOOKUP(Inv_Sy[[#This Row],[Date]],RD[#All],V$1,0)/V$2</f>
        <v>#N/A</v>
      </c>
      <c r="W65" s="1" t="e">
        <f>VLOOKUP(Inv_Sy[[#This Row],[Date]],RD[#All],W$1,0)/W$2</f>
        <v>#N/A</v>
      </c>
      <c r="X65" s="1" t="e">
        <f>VLOOKUP(Inv_Sy[[#This Row],[Date]],RD[#All],X$1,0)/X$2</f>
        <v>#N/A</v>
      </c>
      <c r="Y65" s="1" t="e">
        <f>VLOOKUP(Inv_Sy[[#This Row],[Date]],RD[#All],Y$1,0)/Y$2</f>
        <v>#N/A</v>
      </c>
      <c r="Z65" s="1" t="e">
        <f>VLOOKUP(Inv_Sy[[#This Row],[Date]],RD[#All],Z$1,0)/Z$2</f>
        <v>#N/A</v>
      </c>
      <c r="AA65" s="1" t="str">
        <f t="shared" si="4"/>
        <v/>
      </c>
      <c r="AB65" s="1" t="e">
        <f>MAX(Inv_Sy[[#This Row],[G1 Inv1]:[IS1_Inv2]])</f>
        <v>#N/A</v>
      </c>
      <c r="AC65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AD8"/>
  <sheetViews>
    <sheetView zoomScale="106" zoomScaleNormal="106" workbookViewId="0">
      <pane xSplit="2" ySplit="2" topLeftCell="C3" activePane="bottomRight" state="frozen"/>
      <selection pane="topRight" activeCell="C2" sqref="C2"/>
      <selection pane="bottomLeft" activeCell="A3" sqref="A3"/>
      <selection pane="bottomRight" activeCell="K1" sqref="K1"/>
    </sheetView>
  </sheetViews>
  <sheetFormatPr defaultColWidth="8.81640625" defaultRowHeight="12.65" customHeight="1" x14ac:dyDescent="0.35"/>
  <cols>
    <col min="1" max="1" width="8.81640625" style="6"/>
    <col min="2" max="2" width="19.1796875" style="6" customWidth="1"/>
    <col min="3" max="3" width="18.453125" style="6" customWidth="1"/>
    <col min="4" max="4" width="13.81640625" style="6" customWidth="1"/>
    <col min="5" max="5" width="14.453125" style="6" customWidth="1"/>
    <col min="6" max="6" width="13.453125" style="6" customWidth="1"/>
    <col min="7" max="7" width="11.1796875" style="6" customWidth="1"/>
    <col min="8" max="8" width="9.81640625" style="6" customWidth="1"/>
    <col min="9" max="9" width="9.1796875" style="6" customWidth="1"/>
    <col min="10" max="10" width="16.453125" style="6" customWidth="1"/>
    <col min="11" max="11" width="12.81640625" style="6" customWidth="1"/>
    <col min="12" max="12" width="17.81640625" style="6" customWidth="1"/>
    <col min="13" max="13" width="11.453125" style="6" customWidth="1"/>
    <col min="14" max="14" width="14.81640625" style="6" customWidth="1"/>
    <col min="15" max="15" width="13.81640625" style="6" customWidth="1"/>
    <col min="16" max="16" width="11.1796875" style="6" customWidth="1"/>
    <col min="17" max="17" width="10.1796875" style="6" customWidth="1"/>
    <col min="18" max="18" width="61.1796875" style="6" customWidth="1"/>
    <col min="19" max="19" width="35.1796875" style="6" customWidth="1"/>
    <col min="20" max="20" width="18" style="6" customWidth="1"/>
    <col min="21" max="22" width="16.453125" style="6" customWidth="1"/>
    <col min="23" max="23" width="13.1796875" style="6" customWidth="1"/>
    <col min="24" max="24" width="14.1796875" style="6" customWidth="1"/>
    <col min="25" max="25" width="12.453125" style="6" customWidth="1"/>
    <col min="26" max="26" width="48.453125" style="6" customWidth="1"/>
    <col min="27" max="27" width="14" style="6" customWidth="1"/>
    <col min="28" max="28" width="20.1796875" style="6" customWidth="1"/>
    <col min="29" max="29" width="22.453125" style="6" customWidth="1"/>
    <col min="30" max="30" width="11.453125" style="6" customWidth="1"/>
    <col min="31" max="31" width="15.453125" style="6" customWidth="1"/>
    <col min="32" max="16384" width="8.81640625" style="6"/>
  </cols>
  <sheetData>
    <row r="2" spans="1:30" ht="12.65" customHeight="1" x14ac:dyDescent="0.35">
      <c r="A2" s="325" t="s">
        <v>7</v>
      </c>
      <c r="B2" s="326" t="s">
        <v>72</v>
      </c>
      <c r="C2" s="326" t="s">
        <v>116</v>
      </c>
      <c r="D2" s="326" t="s">
        <v>118</v>
      </c>
      <c r="E2" s="326" t="s">
        <v>119</v>
      </c>
      <c r="F2" s="326" t="s">
        <v>120</v>
      </c>
      <c r="G2" s="326" t="s">
        <v>75</v>
      </c>
      <c r="H2" s="326" t="s">
        <v>40</v>
      </c>
      <c r="I2" s="326" t="s">
        <v>145</v>
      </c>
      <c r="J2" s="326" t="s">
        <v>146</v>
      </c>
      <c r="K2" s="326" t="s">
        <v>147</v>
      </c>
      <c r="L2" s="326" t="s">
        <v>148</v>
      </c>
      <c r="M2" s="326" t="s">
        <v>149</v>
      </c>
      <c r="N2" s="326" t="s">
        <v>150</v>
      </c>
      <c r="O2" s="326" t="s">
        <v>151</v>
      </c>
      <c r="P2" s="326" t="s">
        <v>152</v>
      </c>
      <c r="Q2" s="326" t="s">
        <v>153</v>
      </c>
      <c r="R2" s="326" t="s">
        <v>154</v>
      </c>
      <c r="S2" s="326" t="s">
        <v>155</v>
      </c>
      <c r="T2" s="326" t="s">
        <v>156</v>
      </c>
      <c r="U2" s="326" t="s">
        <v>157</v>
      </c>
      <c r="V2" s="326" t="s">
        <v>158</v>
      </c>
      <c r="W2" s="326" t="s">
        <v>159</v>
      </c>
      <c r="X2" s="326" t="s">
        <v>160</v>
      </c>
      <c r="Y2" s="326" t="s">
        <v>161</v>
      </c>
      <c r="Z2" s="326" t="s">
        <v>162</v>
      </c>
      <c r="AA2" s="326" t="s">
        <v>163</v>
      </c>
      <c r="AB2" s="326" t="s">
        <v>164</v>
      </c>
      <c r="AC2" s="326" t="s">
        <v>165</v>
      </c>
      <c r="AD2" s="327" t="s">
        <v>166</v>
      </c>
    </row>
    <row r="3" spans="1:30" ht="12.65" customHeight="1" x14ac:dyDescent="0.35">
      <c r="A3" s="328">
        <v>1</v>
      </c>
      <c r="B3" s="148">
        <v>45760</v>
      </c>
      <c r="C3" s="180">
        <v>2026</v>
      </c>
      <c r="D3" s="155">
        <v>2025</v>
      </c>
      <c r="E3" s="154" t="s">
        <v>167</v>
      </c>
      <c r="F3" s="154" t="s">
        <v>167</v>
      </c>
      <c r="G3" s="228">
        <f>GA[[#This Row],[Date]]-DAY(GA[[#This Row],[Date]])+1</f>
        <v>45748</v>
      </c>
      <c r="H3" s="155">
        <v>31</v>
      </c>
      <c r="I3" s="156">
        <v>0.26805555555555555</v>
      </c>
      <c r="J3" s="156">
        <v>0.76666666666666672</v>
      </c>
      <c r="K3" s="157">
        <v>12</v>
      </c>
      <c r="L3" s="154" t="s">
        <v>168</v>
      </c>
      <c r="M3" s="155">
        <v>24213.794999999998</v>
      </c>
      <c r="N3" s="154" t="s">
        <v>169</v>
      </c>
      <c r="O3" s="154" t="s">
        <v>170</v>
      </c>
      <c r="P3" s="329">
        <v>0.997</v>
      </c>
      <c r="Q3" s="155"/>
      <c r="R3" s="154" t="s">
        <v>171</v>
      </c>
      <c r="S3" s="187">
        <v>0.50902777777777775</v>
      </c>
      <c r="T3" s="131">
        <v>0.51388888888888884</v>
      </c>
      <c r="U3" s="131">
        <v>0.51388888888888884</v>
      </c>
      <c r="V3" s="159">
        <v>0.60069444444444442</v>
      </c>
      <c r="W3" s="311"/>
      <c r="X3" s="182"/>
      <c r="Y3" s="182">
        <v>2.2000000000000002</v>
      </c>
      <c r="Z3" s="330" t="s">
        <v>172</v>
      </c>
      <c r="AA3" s="154" t="s">
        <v>173</v>
      </c>
      <c r="AB3" s="182">
        <v>2.19</v>
      </c>
      <c r="AC3" s="154">
        <v>1.77</v>
      </c>
      <c r="AD3" s="331">
        <f>_xlfn.XLOOKUP(GA[[#This Row],[Month Year]],'Modelling New'!D:D,'Modelling New'!O:O)*GA[[#This Row],[DC Capacity Affceted (kW)]]*GA[[#This Row],[Lost POA (KWh/m2)]]</f>
        <v>32083.716678551984</v>
      </c>
    </row>
    <row r="4" spans="1:30" ht="12.65" customHeight="1" x14ac:dyDescent="0.35">
      <c r="A4" s="328">
        <f>A3+1</f>
        <v>2</v>
      </c>
      <c r="B4" s="148">
        <v>45794</v>
      </c>
      <c r="C4" s="180">
        <v>2026</v>
      </c>
      <c r="D4" s="155">
        <v>2025</v>
      </c>
      <c r="E4" s="154" t="s">
        <v>167</v>
      </c>
      <c r="F4" s="154" t="s">
        <v>167</v>
      </c>
      <c r="G4" s="228">
        <f>GA[[#This Row],[Date]]-DAY(GA[[#This Row],[Date]])+1</f>
        <v>45778</v>
      </c>
      <c r="H4" s="155">
        <v>31</v>
      </c>
      <c r="I4" s="156">
        <f>_xlfn.XLOOKUP(GA[[#This Row],[Date]],RD[Date],RD[Sunrise Time (POA&gt;20 W/m2)],0)</f>
        <v>0.25972222222222224</v>
      </c>
      <c r="J4" s="156">
        <f>_xlfn.XLOOKUP(GA[[#This Row],[Date]],RD[Date],RD[Sunset Time (POA&lt;20 W/m2)],0)</f>
        <v>0.76249999999999996</v>
      </c>
      <c r="K4" s="157">
        <f>IFERROR((GA[[#This Row],[Sunset Time (POA&lt;20 W/m2)]]-GA[[#This Row],[Sunrise Time (POA&gt;20 W/m2)]])*24,"")</f>
        <v>12.066666666666666</v>
      </c>
      <c r="L4" s="154" t="s">
        <v>168</v>
      </c>
      <c r="M4" s="155">
        <f>_xlfn.XLOOKUP(GA[[#This Row],[Affceted Equipment]],'Basic Data'!$A$1:$A$183,'Basic Data'!$B$1:$B$183,0)</f>
        <v>24213.794999999998</v>
      </c>
      <c r="N4" s="154" t="s">
        <v>169</v>
      </c>
      <c r="O4" s="154" t="s">
        <v>170</v>
      </c>
      <c r="P4" s="329">
        <f>IFERROR(VLOOKUP(GA[[#This Row],[Affceted Equipment]],'Basic Data'!$A$2:$C$183,3,0),"")</f>
        <v>0.99727327018121903</v>
      </c>
      <c r="Q4" s="155"/>
      <c r="R4" s="158" t="s">
        <v>174</v>
      </c>
      <c r="S4" s="332">
        <v>0.37361111111111112</v>
      </c>
      <c r="T4" s="332">
        <v>0.375</v>
      </c>
      <c r="U4" s="332">
        <v>0.375</v>
      </c>
      <c r="V4" s="159">
        <v>0.52430555555555558</v>
      </c>
      <c r="W4" s="311"/>
      <c r="X4" s="182"/>
      <c r="Y4" s="182">
        <f>(GA[[#This Row],[Work Completiuon time on fualt]]-GA[[#This Row],[Fault Time]])*24</f>
        <v>3.6166666666666671</v>
      </c>
      <c r="Z4" s="330" t="s">
        <v>175</v>
      </c>
      <c r="AA4" s="154" t="s">
        <v>173</v>
      </c>
      <c r="AB4" s="182">
        <f>IFERROR(GA[[#This Row],[Plant Equivalent Weightage]]*GA[[#This Row],[Resolution Time]],"")</f>
        <v>3.6068049938220761</v>
      </c>
      <c r="AC4" s="154">
        <v>1.99</v>
      </c>
      <c r="AD4" s="331">
        <f>_xlfn.XLOOKUP(GA[[#This Row],[Month Year]],'Modelling New'!D:D,'Modelling New'!O:O)*GA[[#This Row],[DC Capacity Affceted (kW)]]*GA[[#This Row],[Lost POA (KWh/m2)]]</f>
        <v>36412.067649297802</v>
      </c>
    </row>
    <row r="5" spans="1:30" ht="12.65" customHeight="1" x14ac:dyDescent="0.35">
      <c r="A5" s="328">
        <f t="shared" ref="A5:A8" si="0">A4+1</f>
        <v>3</v>
      </c>
      <c r="B5" s="148">
        <v>45820</v>
      </c>
      <c r="C5" s="180">
        <v>2026</v>
      </c>
      <c r="D5" s="155">
        <v>2025</v>
      </c>
      <c r="E5" s="154" t="s">
        <v>167</v>
      </c>
      <c r="F5" s="154" t="s">
        <v>167</v>
      </c>
      <c r="G5" s="228">
        <f>GA[[#This Row],[Date]]-DAY(GA[[#This Row],[Date]])+1</f>
        <v>45809</v>
      </c>
      <c r="H5" s="155">
        <v>30</v>
      </c>
      <c r="I5" s="156">
        <f>_xlfn.XLOOKUP(GA[[#This Row],[Date]],RD[Date],RD[Sunrise Time (POA&gt;20 W/m2)],0)</f>
        <v>0.27361111111111114</v>
      </c>
      <c r="J5" s="156">
        <f>_xlfn.XLOOKUP(GA[[#This Row],[Date]],RD[Date],RD[Sunset Time (POA&lt;20 W/m2)],0)</f>
        <v>0.73611111111111116</v>
      </c>
      <c r="K5" s="157">
        <f>IFERROR((GA[[#This Row],[Sunset Time (POA&lt;20 W/m2)]]-GA[[#This Row],[Sunrise Time (POA&gt;20 W/m2)]])*24,"")</f>
        <v>11.100000000000001</v>
      </c>
      <c r="L5" s="154" t="s">
        <v>168</v>
      </c>
      <c r="M5" s="155">
        <f>_xlfn.XLOOKUP(GA[[#This Row],[Affceted Equipment]],'Basic Data'!$A$1:$A$183,'Basic Data'!$B$1:$B$183,0)</f>
        <v>24213.794999999998</v>
      </c>
      <c r="N5" s="154" t="s">
        <v>169</v>
      </c>
      <c r="O5" s="154" t="s">
        <v>170</v>
      </c>
      <c r="P5" s="329">
        <f>IFERROR(VLOOKUP(GA[[#This Row],[Affceted Equipment]],'Basic Data'!$A$2:$C$183,3,0),"")</f>
        <v>0.99727327018121903</v>
      </c>
      <c r="Q5" s="155"/>
      <c r="R5" s="158" t="s">
        <v>176</v>
      </c>
      <c r="S5" s="332">
        <v>0.3576388888888889</v>
      </c>
      <c r="T5" s="332">
        <v>0.3611111111111111</v>
      </c>
      <c r="U5" s="159">
        <v>0.375</v>
      </c>
      <c r="V5" s="159">
        <v>0.39583333333333331</v>
      </c>
      <c r="W5" s="311"/>
      <c r="X5" s="182"/>
      <c r="Y5" s="182">
        <f>(GA[[#This Row],[Work Completiuon time on fualt]]-GA[[#This Row],[Fault Time]])*24</f>
        <v>0.91666666666666607</v>
      </c>
      <c r="Z5" s="330" t="s">
        <v>177</v>
      </c>
      <c r="AA5" s="154" t="s">
        <v>173</v>
      </c>
      <c r="AB5" s="182">
        <f>IFERROR(GA[[#This Row],[Plant Equivalent Weightage]]*GA[[#This Row],[Resolution Time]],"")</f>
        <v>0.91416716433278356</v>
      </c>
      <c r="AC5" s="154">
        <v>0.28999999999999998</v>
      </c>
      <c r="AD5" s="331">
        <f>_xlfn.XLOOKUP(GA[[#This Row],[Month Year]],'Modelling New'!D:D,'Modelling New'!O:O)*GA[[#This Row],[DC Capacity Affceted (kW)]]*GA[[#This Row],[Lost POA (KWh/m2)]]</f>
        <v>5137.1865303577015</v>
      </c>
    </row>
    <row r="6" spans="1:30" ht="12.65" customHeight="1" x14ac:dyDescent="0.35">
      <c r="A6" s="328">
        <f t="shared" si="0"/>
        <v>4</v>
      </c>
      <c r="B6" s="148">
        <v>45821</v>
      </c>
      <c r="C6" s="180">
        <v>2026</v>
      </c>
      <c r="D6" s="155">
        <v>2025</v>
      </c>
      <c r="E6" s="154" t="s">
        <v>167</v>
      </c>
      <c r="F6" s="154" t="s">
        <v>167</v>
      </c>
      <c r="G6" s="320" t="str">
        <f>TEXT(GA[[#This Row],[Date]],"mmm-yy")</f>
        <v>Jun-25</v>
      </c>
      <c r="H6" s="155">
        <f>DAY(EOMONTH(GA[[#This Row],[Month Year]],0))</f>
        <v>30</v>
      </c>
      <c r="I6" s="156">
        <f>_xlfn.XLOOKUP(GA[[#This Row],[Date]],RD[Date],RD[Sunrise Time (POA&gt;20 W/m2)],0)</f>
        <v>0.25833333333333336</v>
      </c>
      <c r="J6" s="156">
        <f>_xlfn.XLOOKUP(GA[[#This Row],[Date]],RD[Date],RD[Sunset Time (POA&lt;20 W/m2)],0)</f>
        <v>0.7729166666666667</v>
      </c>
      <c r="K6" s="157">
        <f>IFERROR((GA[[#This Row],[Sunset Time (POA&lt;20 W/m2)]]-GA[[#This Row],[Sunrise Time (POA&gt;20 W/m2)]])*24,"")</f>
        <v>12.350000000000001</v>
      </c>
      <c r="L6" s="154" t="s">
        <v>168</v>
      </c>
      <c r="M6" s="155">
        <f>_xlfn.XLOOKUP(GA[[#This Row],[Affceted Equipment]],'Basic Data'!$A$1:$A$183,'Basic Data'!$B$1:$B$183,0)</f>
        <v>24213.794999999998</v>
      </c>
      <c r="N6" s="154" t="s">
        <v>169</v>
      </c>
      <c r="O6" s="154" t="s">
        <v>170</v>
      </c>
      <c r="P6" s="329">
        <f>IFERROR(VLOOKUP(GA[[#This Row],[Affceted Equipment]],'Basic Data'!$A$2:$C$183,3,0),"")</f>
        <v>0.99727327018121903</v>
      </c>
      <c r="Q6" s="155"/>
      <c r="R6" s="158" t="s">
        <v>178</v>
      </c>
      <c r="S6" s="333">
        <v>0.3527777777777778</v>
      </c>
      <c r="T6" s="333">
        <v>0.3527777777777778</v>
      </c>
      <c r="U6" s="333">
        <v>0.3527777777777778</v>
      </c>
      <c r="V6" s="159">
        <v>0.37638888888888888</v>
      </c>
      <c r="W6" s="311"/>
      <c r="X6" s="182"/>
      <c r="Y6" s="182">
        <f>(GA[[#This Row],[Work Completiuon time on fualt]]-GA[[#This Row],[Fault Time]])*24</f>
        <v>0.56666666666666599</v>
      </c>
      <c r="Z6" s="330" t="s">
        <v>179</v>
      </c>
      <c r="AA6" s="154" t="s">
        <v>173</v>
      </c>
      <c r="AB6" s="182">
        <f>IFERROR(GA[[#This Row],[Plant Equivalent Weightage]]*GA[[#This Row],[Resolution Time]],"")</f>
        <v>0.56512151976935676</v>
      </c>
      <c r="AC6" s="154">
        <v>0.32</v>
      </c>
      <c r="AD6" s="331">
        <v>2312</v>
      </c>
    </row>
    <row r="7" spans="1:30" ht="12.65" customHeight="1" x14ac:dyDescent="0.35">
      <c r="A7" s="328">
        <f t="shared" si="0"/>
        <v>5</v>
      </c>
      <c r="B7" s="148">
        <v>45822</v>
      </c>
      <c r="C7" s="180">
        <v>2026</v>
      </c>
      <c r="D7" s="155">
        <v>2025</v>
      </c>
      <c r="E7" s="154" t="s">
        <v>167</v>
      </c>
      <c r="F7" s="154" t="s">
        <v>167</v>
      </c>
      <c r="G7" s="228">
        <f>GA[[#This Row],[Date]]-DAY(GA[[#This Row],[Date]])+1</f>
        <v>45809</v>
      </c>
      <c r="H7" s="155">
        <v>30</v>
      </c>
      <c r="I7" s="156">
        <f>_xlfn.XLOOKUP(GA[[#This Row],[Date]],RD[Date],RD[Sunrise Time (POA&gt;20 W/m2)],0)</f>
        <v>0.25555555555555554</v>
      </c>
      <c r="J7" s="156">
        <f>_xlfn.XLOOKUP(GA[[#This Row],[Date]],RD[Date],RD[Sunset Time (POA&lt;20 W/m2)],0)</f>
        <v>0.77430555555555558</v>
      </c>
      <c r="K7" s="157">
        <f>IFERROR((GA[[#This Row],[Sunset Time (POA&lt;20 W/m2)]]-GA[[#This Row],[Sunrise Time (POA&gt;20 W/m2)]])*24,"")</f>
        <v>12.450000000000001</v>
      </c>
      <c r="L7" s="154" t="s">
        <v>168</v>
      </c>
      <c r="M7" s="155">
        <f>_xlfn.XLOOKUP(GA[[#This Row],[Affceted Equipment]],'Basic Data'!$A$1:$A$183,'Basic Data'!$B$1:$B$183,0)</f>
        <v>24213.794999999998</v>
      </c>
      <c r="N7" s="154" t="s">
        <v>169</v>
      </c>
      <c r="O7" s="154" t="s">
        <v>170</v>
      </c>
      <c r="P7" s="329">
        <f>IFERROR(VLOOKUP(GA[[#This Row],[Affceted Equipment]],'Basic Data'!$A$2:$C$183,3,0),"")</f>
        <v>0.99727327018121903</v>
      </c>
      <c r="Q7" s="155"/>
      <c r="R7" s="158" t="s">
        <v>180</v>
      </c>
      <c r="S7" s="187">
        <v>0.35069444444444442</v>
      </c>
      <c r="T7" s="187">
        <v>0.35069444444444442</v>
      </c>
      <c r="U7" s="187">
        <v>0.35069444444444442</v>
      </c>
      <c r="V7" s="159">
        <v>0.37847222222222221</v>
      </c>
      <c r="W7" s="311"/>
      <c r="X7" s="182"/>
      <c r="Y7" s="182">
        <f>(GA[[#This Row],[Work Completiuon time on fualt]]-GA[[#This Row],[Fault Time]])*24</f>
        <v>0.66666666666666696</v>
      </c>
      <c r="Z7" s="330" t="s">
        <v>177</v>
      </c>
      <c r="AA7" s="154" t="s">
        <v>173</v>
      </c>
      <c r="AB7" s="182">
        <f>IFERROR(GA[[#This Row],[Plant Equivalent Weightage]]*GA[[#This Row],[Resolution Time]],"")</f>
        <v>0.66484884678747969</v>
      </c>
      <c r="AC7" s="334">
        <v>0.31</v>
      </c>
      <c r="AD7" s="331">
        <f>_xlfn.XLOOKUP(GA[[#This Row],[Month Year]],'Modelling New'!D:D,'Modelling New'!O:O)*GA[[#This Row],[DC Capacity Affceted (kW)]]*GA[[#This Row],[Lost POA (KWh/m2)]]</f>
        <v>5491.4752565892677</v>
      </c>
    </row>
    <row r="8" spans="1:30" ht="12.65" customHeight="1" x14ac:dyDescent="0.35">
      <c r="A8" s="328">
        <f t="shared" si="0"/>
        <v>6</v>
      </c>
      <c r="B8" s="148">
        <v>45823</v>
      </c>
      <c r="C8" s="180">
        <v>2026</v>
      </c>
      <c r="D8" s="155">
        <v>2025</v>
      </c>
      <c r="E8" s="154" t="s">
        <v>167</v>
      </c>
      <c r="F8" s="154" t="s">
        <v>167</v>
      </c>
      <c r="G8" s="228">
        <f>GA[[#This Row],[Date]]-DAY(GA[[#This Row],[Date]])+1</f>
        <v>45809</v>
      </c>
      <c r="H8" s="155">
        <v>30</v>
      </c>
      <c r="I8" s="156">
        <f>_xlfn.XLOOKUP(GA[[#This Row],[Date]],RD[Date],RD[Sunrise Time (POA&gt;20 W/m2)],0)</f>
        <v>0.25624999999999998</v>
      </c>
      <c r="J8" s="156">
        <f>_xlfn.XLOOKUP(GA[[#This Row],[Date]],RD[Date],RD[Sunset Time (POA&lt;20 W/m2)],0)</f>
        <v>0.77638888888888891</v>
      </c>
      <c r="K8" s="157">
        <f>IFERROR((GA[[#This Row],[Sunset Time (POA&lt;20 W/m2)]]-GA[[#This Row],[Sunrise Time (POA&gt;20 W/m2)]])*24,"")</f>
        <v>12.483333333333334</v>
      </c>
      <c r="L8" s="154" t="s">
        <v>168</v>
      </c>
      <c r="M8" s="155">
        <f>_xlfn.XLOOKUP(GA[[#This Row],[Affceted Equipment]],'Basic Data'!$A$1:$A$183,'Basic Data'!$B$1:$B$183,0)</f>
        <v>24213.794999999998</v>
      </c>
      <c r="N8" s="154" t="s">
        <v>169</v>
      </c>
      <c r="O8" s="154" t="s">
        <v>170</v>
      </c>
      <c r="P8" s="329">
        <f>IFERROR(VLOOKUP(GA[[#This Row],[Affceted Equipment]],'Basic Data'!$A$2:$C$183,3,0),"")</f>
        <v>0.99727327018121903</v>
      </c>
      <c r="Q8" s="155"/>
      <c r="R8" s="158" t="s">
        <v>181</v>
      </c>
      <c r="S8" s="187">
        <v>0.26874999999999999</v>
      </c>
      <c r="T8" s="187">
        <v>0.26874999999999999</v>
      </c>
      <c r="U8" s="159">
        <v>0.29166666666666669</v>
      </c>
      <c r="V8" s="159">
        <v>0.39791666666666664</v>
      </c>
      <c r="W8" s="311"/>
      <c r="X8" s="182"/>
      <c r="Y8" s="182">
        <f>(GA[[#This Row],[Work Completiuon time on fualt]]-GA[[#This Row],[Fault Time]])*24</f>
        <v>3.0999999999999996</v>
      </c>
      <c r="Z8" s="330" t="s">
        <v>182</v>
      </c>
      <c r="AA8" s="154" t="s">
        <v>173</v>
      </c>
      <c r="AB8" s="182">
        <f>IFERROR(GA[[#This Row],[Plant Equivalent Weightage]]*GA[[#This Row],[Resolution Time]],"")</f>
        <v>3.0915471375617787</v>
      </c>
      <c r="AC8" s="334">
        <v>0.61299999999999999</v>
      </c>
      <c r="AD8" s="331">
        <f>_xlfn.XLOOKUP(GA[[#This Row],[Month Year]],'Modelling New'!D:D,'Modelling New'!O:O)*GA[[#This Row],[DC Capacity Affceted (kW)]]*GA[[#This Row],[Lost POA (KWh/m2)]]</f>
        <v>10858.949458997487</v>
      </c>
    </row>
  </sheetData>
  <phoneticPr fontId="18" type="noConversion"/>
  <pageMargins left="0.7" right="0.7" top="0.75" bottom="0.75" header="0.3" footer="0.3"/>
  <pageSetup paperSize="9" orientation="portrait" horizontalDpi="4294967293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0000000}">
          <x14:formula1>
            <xm:f>'Basic Data'!$M$2:$M$4</xm:f>
          </x14:formula1>
          <xm:sqref>AA3:AA8</xm:sqref>
        </x14:dataValidation>
        <x14:dataValidation type="list" allowBlank="1" showInputMessage="1" showErrorMessage="1" xr:uid="{00000000-0002-0000-0A00-000002000000}">
          <x14:formula1>
            <xm:f>'Basic Data'!$A$2:$A$202</xm:f>
          </x14:formula1>
          <xm:sqref>L3:L8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7"/>
  <dimension ref="A1:AY187"/>
  <sheetViews>
    <sheetView topLeftCell="AH1" zoomScaleNormal="100" workbookViewId="0">
      <selection activeCell="AU4" sqref="AU4"/>
    </sheetView>
  </sheetViews>
  <sheetFormatPr defaultColWidth="8.81640625" defaultRowHeight="14.5" x14ac:dyDescent="0.35"/>
  <cols>
    <col min="1" max="1" width="22" style="8" bestFit="1" customWidth="1"/>
    <col min="2" max="2" width="19.81640625" style="2" bestFit="1" customWidth="1"/>
    <col min="3" max="3" width="18.1796875" style="2" customWidth="1"/>
    <col min="5" max="5" width="27.453125" bestFit="1" customWidth="1"/>
    <col min="7" max="7" width="19.81640625" hidden="1" customWidth="1"/>
    <col min="8" max="8" width="0" hidden="1" customWidth="1"/>
    <col min="9" max="9" width="18.1796875" style="8" hidden="1" customWidth="1"/>
    <col min="10" max="10" width="14.81640625" style="2" hidden="1" customWidth="1"/>
    <col min="11" max="11" width="19.81640625" style="2" hidden="1" customWidth="1"/>
    <col min="12" max="12" width="0" hidden="1" customWidth="1"/>
    <col min="13" max="13" width="6.453125" bestFit="1" customWidth="1"/>
    <col min="14" max="14" width="10" bestFit="1" customWidth="1"/>
    <col min="15" max="15" width="11" bestFit="1" customWidth="1"/>
    <col min="21" max="21" width="17.54296875" bestFit="1" customWidth="1"/>
    <col min="22" max="22" width="10.453125" bestFit="1" customWidth="1"/>
    <col min="34" max="35" width="13.1796875" bestFit="1" customWidth="1"/>
    <col min="38" max="38" width="9.1796875" bestFit="1" customWidth="1"/>
    <col min="40" max="40" width="9.453125" customWidth="1"/>
    <col min="42" max="42" width="10.1796875" customWidth="1"/>
    <col min="48" max="48" width="8.453125" customWidth="1"/>
  </cols>
  <sheetData>
    <row r="1" spans="1:51" s="11" customFormat="1" ht="29" x14ac:dyDescent="0.35">
      <c r="A1" s="36" t="s">
        <v>183</v>
      </c>
      <c r="B1" s="35" t="s">
        <v>184</v>
      </c>
      <c r="C1" s="48" t="s">
        <v>152</v>
      </c>
      <c r="E1" s="34" t="s">
        <v>185</v>
      </c>
      <c r="G1" s="34" t="s">
        <v>186</v>
      </c>
      <c r="I1" s="36" t="s">
        <v>187</v>
      </c>
      <c r="J1" s="35" t="s">
        <v>188</v>
      </c>
      <c r="K1" s="37" t="s">
        <v>152</v>
      </c>
      <c r="M1" s="38" t="s">
        <v>163</v>
      </c>
      <c r="U1" s="137" t="s">
        <v>189</v>
      </c>
      <c r="V1" s="38" t="s">
        <v>190</v>
      </c>
      <c r="AA1" s="214" t="s">
        <v>191</v>
      </c>
      <c r="AB1" s="214" t="s">
        <v>192</v>
      </c>
      <c r="AC1" s="214" t="s">
        <v>193</v>
      </c>
      <c r="AL1" s="59"/>
    </row>
    <row r="2" spans="1:51" s="11" customFormat="1" ht="29" x14ac:dyDescent="0.35">
      <c r="A2" s="142" t="s">
        <v>194</v>
      </c>
      <c r="B2" s="140">
        <v>1075.2</v>
      </c>
      <c r="C2" s="141">
        <f>IFERROR(B2/$V$5,"")</f>
        <v>4.4283360790774301E-2</v>
      </c>
      <c r="E2" s="139" t="s">
        <v>195</v>
      </c>
      <c r="G2" s="139" t="s">
        <v>196</v>
      </c>
      <c r="I2" s="142" t="s">
        <v>197</v>
      </c>
      <c r="J2" s="143">
        <f>5*63</f>
        <v>315</v>
      </c>
      <c r="K2" s="144">
        <f>J2/36540</f>
        <v>8.6206896551724137E-3</v>
      </c>
      <c r="M2" s="11" t="s">
        <v>198</v>
      </c>
      <c r="U2" s="12" t="s">
        <v>199</v>
      </c>
      <c r="V2" s="145">
        <v>11.503</v>
      </c>
      <c r="X2" s="11">
        <f>V2*1000</f>
        <v>11503</v>
      </c>
      <c r="AA2" s="11" t="s">
        <v>34</v>
      </c>
      <c r="AB2" s="11">
        <v>9707.8449999999957</v>
      </c>
      <c r="AC2" s="216">
        <f>AB2/AB4</f>
        <v>0.76374805824497982</v>
      </c>
      <c r="AH2" s="281">
        <f>'Daily Dashboard'!$B$4</f>
        <v>45839</v>
      </c>
      <c r="AK2" s="358" t="s">
        <v>69</v>
      </c>
      <c r="AL2" s="358"/>
      <c r="AM2" s="358"/>
      <c r="AN2" s="358"/>
      <c r="AO2" s="358"/>
      <c r="AP2" s="358"/>
      <c r="AQ2" s="358"/>
      <c r="AR2" s="358"/>
      <c r="AS2" s="358"/>
      <c r="AT2" s="358"/>
      <c r="AU2" s="358"/>
      <c r="AV2" s="358"/>
      <c r="AW2" s="358"/>
      <c r="AX2" s="358"/>
    </row>
    <row r="3" spans="1:51" ht="58" x14ac:dyDescent="0.35">
      <c r="A3" s="7" t="s">
        <v>200</v>
      </c>
      <c r="B3" s="4">
        <v>1228.8</v>
      </c>
      <c r="C3" s="141">
        <f t="shared" ref="C3:C66" si="0">IFERROR(B3/$V$5,"")</f>
        <v>5.060955518945634E-2</v>
      </c>
      <c r="E3" s="3" t="s">
        <v>201</v>
      </c>
      <c r="G3" s="3" t="s">
        <v>202</v>
      </c>
      <c r="I3" s="7" t="s">
        <v>203</v>
      </c>
      <c r="J3" s="5">
        <f>4*63</f>
        <v>252</v>
      </c>
      <c r="K3" s="10">
        <f t="shared" ref="K3:K18" si="1">J3/36540</f>
        <v>6.8965517241379309E-3</v>
      </c>
      <c r="M3" t="s">
        <v>173</v>
      </c>
      <c r="U3" t="s">
        <v>204</v>
      </c>
      <c r="V3" s="1">
        <v>12.776999999999999</v>
      </c>
      <c r="AA3" t="s">
        <v>35</v>
      </c>
      <c r="AB3">
        <v>3002.9500000000012</v>
      </c>
      <c r="AC3" s="98">
        <f>AB3/AB4</f>
        <v>0.23625194175502021</v>
      </c>
      <c r="AH3" t="s">
        <v>205</v>
      </c>
      <c r="AI3" t="s">
        <v>206</v>
      </c>
      <c r="AJ3" t="s">
        <v>207</v>
      </c>
      <c r="AK3" s="41"/>
      <c r="AL3" s="41" t="s">
        <v>40</v>
      </c>
      <c r="AM3" s="42" t="s">
        <v>41</v>
      </c>
      <c r="AN3" s="42" t="s">
        <v>42</v>
      </c>
      <c r="AO3" s="42" t="s">
        <v>43</v>
      </c>
      <c r="AP3" s="42" t="s">
        <v>44</v>
      </c>
      <c r="AQ3" s="42" t="s">
        <v>45</v>
      </c>
      <c r="AR3" s="42" t="s">
        <v>46</v>
      </c>
      <c r="AS3" s="42" t="s">
        <v>47</v>
      </c>
      <c r="AT3" s="42" t="s">
        <v>48</v>
      </c>
      <c r="AU3" s="42" t="s">
        <v>49</v>
      </c>
      <c r="AV3" s="42" t="s">
        <v>50</v>
      </c>
      <c r="AW3" s="42" t="s">
        <v>51</v>
      </c>
      <c r="AX3" s="42" t="s">
        <v>52</v>
      </c>
    </row>
    <row r="4" spans="1:51" x14ac:dyDescent="0.35">
      <c r="A4" s="7" t="s">
        <v>208</v>
      </c>
      <c r="B4" s="4">
        <v>1075.2</v>
      </c>
      <c r="C4" s="141">
        <f t="shared" si="0"/>
        <v>4.4283360790774301E-2</v>
      </c>
      <c r="E4" s="3" t="s">
        <v>209</v>
      </c>
      <c r="G4" s="3" t="s">
        <v>210</v>
      </c>
      <c r="I4" s="7" t="s">
        <v>211</v>
      </c>
      <c r="J4" s="5">
        <f>3*63</f>
        <v>189</v>
      </c>
      <c r="K4" s="10">
        <f t="shared" si="1"/>
        <v>5.1724137931034482E-3</v>
      </c>
      <c r="U4" s="138" t="s">
        <v>212</v>
      </c>
      <c r="V4" s="146">
        <f>SUM(V2:V3)</f>
        <v>24.28</v>
      </c>
      <c r="AA4" s="215" t="s">
        <v>212</v>
      </c>
      <c r="AB4" s="215">
        <f>SUM(AB2:AB3)</f>
        <v>12710.794999999996</v>
      </c>
      <c r="AF4" s="11" t="s">
        <v>36</v>
      </c>
      <c r="AG4" s="11" t="s">
        <v>213</v>
      </c>
      <c r="AH4" s="218">
        <f>'Daily Dashboard'!B5</f>
        <v>45869</v>
      </c>
      <c r="AI4" s="218">
        <f>AH4</f>
        <v>45869</v>
      </c>
      <c r="AJ4" s="211">
        <v>11.5031</v>
      </c>
      <c r="AK4" s="47"/>
      <c r="AL4" s="43">
        <v>1</v>
      </c>
      <c r="AM4" s="220">
        <f>_xlfn.XLOOKUP(AI4,'Daily KPI'!$A:$A,'Daily KPI'!$AC:$AC)</f>
        <v>4.4064516129032256</v>
      </c>
      <c r="AN4" s="68">
        <f>_xlfn.XLOOKUP($AI4,'Raw Data'!$A:$A,'Raw Data'!AP:AP)</f>
        <v>4.4400000000000004</v>
      </c>
      <c r="AO4" s="43">
        <f>_xlfn.XLOOKUP($AH$2,$AM$11:$AM$47,$AS$11:$AS$47)</f>
        <v>36.011227928130126</v>
      </c>
      <c r="AP4" s="44">
        <f>(_xlfn.XLOOKUP($AI4,'Raw Data'!$A:$A,'Raw Data'!BN:BN)/1000)-(_xlfn.XLOOKUP($AI4,'Raw Data'!$A:$A,'Raw Data'!BO:BO)/1000)</f>
        <v>39.029999999999994</v>
      </c>
      <c r="AQ4" s="45">
        <f t="shared" ref="AQ4:AQ9" si="2">AO4/AM4/AJ4</f>
        <v>0.71045083599275849</v>
      </c>
      <c r="AR4" s="46">
        <f t="shared" ref="AR4:AR9" si="3">AP4/AN4/AJ4</f>
        <v>0.76418883088389555</v>
      </c>
      <c r="AS4" s="45">
        <f>AO4/AJ4/24*AL4</f>
        <v>0.13044030133953066</v>
      </c>
      <c r="AT4" s="46">
        <f>AP4/AJ4/(24*AL4)</f>
        <v>0.1413749337135207</v>
      </c>
      <c r="AU4" s="45">
        <v>0.99750000000000005</v>
      </c>
      <c r="AV4" s="46">
        <f>_xlfn.XLOOKUP($AI4,'Daily KPI'!$A:$A,'Daily KPI'!$R:$R)</f>
        <v>1</v>
      </c>
      <c r="AW4" s="45">
        <v>0.99750000000000005</v>
      </c>
      <c r="AX4" s="46">
        <f>_xlfn.XLOOKUP($AI4,'Daily KPI'!$A:$A,'Daily KPI'!$O:$O)</f>
        <v>0.99937335518893367</v>
      </c>
    </row>
    <row r="5" spans="1:51" x14ac:dyDescent="0.35">
      <c r="A5" s="7" t="s">
        <v>214</v>
      </c>
      <c r="B5" s="4">
        <v>1228.5</v>
      </c>
      <c r="C5" s="141">
        <f t="shared" si="0"/>
        <v>5.0597199341021415E-2</v>
      </c>
      <c r="E5" s="3" t="s">
        <v>215</v>
      </c>
      <c r="G5" s="3"/>
      <c r="I5" s="7"/>
      <c r="J5" s="5"/>
      <c r="K5" s="10"/>
      <c r="O5" t="s">
        <v>216</v>
      </c>
      <c r="P5" t="s">
        <v>217</v>
      </c>
      <c r="Q5" t="s">
        <v>218</v>
      </c>
      <c r="R5" t="s">
        <v>219</v>
      </c>
      <c r="V5" s="2">
        <f>V4*1000</f>
        <v>24280</v>
      </c>
      <c r="AF5" s="11" t="s">
        <v>36</v>
      </c>
      <c r="AG5" t="s">
        <v>220</v>
      </c>
      <c r="AH5" s="218">
        <f>'Monthly KPI'!A4</f>
        <v>45839</v>
      </c>
      <c r="AI5" s="218">
        <f>$AI$4</f>
        <v>45869</v>
      </c>
      <c r="AJ5" s="211">
        <v>11.5031</v>
      </c>
      <c r="AK5" s="47"/>
      <c r="AL5" s="43">
        <f>AI5-AH5+1</f>
        <v>31</v>
      </c>
      <c r="AM5" s="220">
        <f>_xlfn.XLOOKUP($AH$2,'Modelling New'!$D:$D,'Modelling New'!$R:$R)</f>
        <v>136.6</v>
      </c>
      <c r="AN5" s="68">
        <f>SUMIF('Raw Data'!F:F,'Basic Data'!AH2,'Raw Data'!AP:AP)</f>
        <v>115.03600000000002</v>
      </c>
      <c r="AO5" s="43">
        <f>_xlfn.XLOOKUP($AH$2,$AM$11:$AM$47,$AT$11:$AT$47)</f>
        <v>1116.3480657720338</v>
      </c>
      <c r="AP5" s="44">
        <f>(SUMIF('Raw Data'!$F:$F,'Basic Data'!$AH2,'Raw Data'!BN:BN)/1000)-(SUMIF('Raw Data'!$F:$F,'Basic Data'!$AH2,'Raw Data'!BO:BO)/1000)</f>
        <v>969.87</v>
      </c>
      <c r="AQ5" s="45">
        <f t="shared" si="2"/>
        <v>0.71045083599275849</v>
      </c>
      <c r="AR5" s="46">
        <f t="shared" si="3"/>
        <v>0.73293398304017765</v>
      </c>
      <c r="AS5" s="45">
        <f>AO5/AJ5/(24*AL5)</f>
        <v>0.13044030133953066</v>
      </c>
      <c r="AT5" s="46">
        <f t="shared" ref="AT5:AT9" si="4">AP5/AJ5/(24*AL5)</f>
        <v>0.11332499149598102</v>
      </c>
      <c r="AU5" s="45">
        <v>0.99750000000000005</v>
      </c>
      <c r="AV5" s="46">
        <f>AVERAGEIFS('Daily KPI'!$R:$R,'Daily KPI'!$D:$D,'Basic Data'!$AH$2,'Daily KPI'!$R:$R,"&lt;&gt;0")</f>
        <v>1</v>
      </c>
      <c r="AW5" s="45">
        <v>0.99750000000000005</v>
      </c>
      <c r="AX5" s="46">
        <f>AVERAGEIFS('Daily KPI'!$O:$O,'Daily KPI'!$D:$D,'Basic Data'!$AH$2,'Daily KPI'!$O:$O,"&lt;&gt;0")</f>
        <v>0.96254935764567784</v>
      </c>
    </row>
    <row r="6" spans="1:51" x14ac:dyDescent="0.35">
      <c r="A6" s="7" t="s">
        <v>221</v>
      </c>
      <c r="B6" s="4">
        <v>1248</v>
      </c>
      <c r="C6" s="141">
        <f t="shared" si="0"/>
        <v>5.1400329489291595E-2</v>
      </c>
      <c r="E6" s="3" t="s">
        <v>222</v>
      </c>
      <c r="G6" s="3"/>
      <c r="I6" s="7"/>
      <c r="J6" s="5"/>
      <c r="K6" s="10"/>
      <c r="N6" t="s">
        <v>223</v>
      </c>
      <c r="O6">
        <f>Q6*P6*R6/1000</f>
        <v>153.6</v>
      </c>
      <c r="P6">
        <v>24</v>
      </c>
      <c r="Q6">
        <v>320</v>
      </c>
      <c r="R6">
        <v>20</v>
      </c>
      <c r="AF6" s="11" t="s">
        <v>36</v>
      </c>
      <c r="AG6" t="s">
        <v>224</v>
      </c>
      <c r="AH6" s="218">
        <f>'Daily Dashboard'!B7</f>
        <v>45748</v>
      </c>
      <c r="AI6" s="218">
        <f>$AI$4</f>
        <v>45869</v>
      </c>
      <c r="AJ6" s="211">
        <v>11.5031</v>
      </c>
      <c r="AK6" s="47"/>
      <c r="AL6" s="43">
        <f>AI6-AH6+1</f>
        <v>122</v>
      </c>
      <c r="AM6" s="220">
        <f>_xlfn.XLOOKUP($AH$2,'Modelling New'!$D:$D,'Modelling New'!$S:$S)</f>
        <v>691.4</v>
      </c>
      <c r="AN6" s="68">
        <f>SUMIFS('Raw Data'!AP:AP,'Raw Data'!$A:$A,"&gt;="&amp;'Basic Data'!$AH6,'Raw Data'!$A:$A,"&lt;="&amp;'Basic Data'!$AI6)</f>
        <v>607.27217599999994</v>
      </c>
      <c r="AO6" s="43">
        <f>_xlfn.XLOOKUP($AH$2,$AM$11:$AM$47,$AU$11:$AU$47)</f>
        <v>5424.9576222719279</v>
      </c>
      <c r="AP6" s="44">
        <f>(SUMIFS('Raw Data'!BN:BN,'Raw Data'!$A:$A,"&gt;="&amp;'Basic Data'!$AH6,'Raw Data'!$A:$A,"&lt;="&amp;'Basic Data'!$AI6)/1000)-(SUMIFS('Raw Data'!BO:BO,'Raw Data'!$A:$A,"&gt;="&amp;'Basic Data'!$AH6,'Raw Data'!$A:$A,"&lt;="&amp;'Basic Data'!$AI6)/1000)</f>
        <v>4746.21</v>
      </c>
      <c r="AQ6" s="45">
        <f t="shared" si="2"/>
        <v>0.68210632950052896</v>
      </c>
      <c r="AR6" s="46">
        <f t="shared" si="3"/>
        <v>0.67943618366887015</v>
      </c>
      <c r="AS6" s="45">
        <f>AO6/AJ6/(24*AL6)</f>
        <v>0.16106841400842409</v>
      </c>
      <c r="AT6" s="46">
        <f t="shared" si="4"/>
        <v>0.1409162191631593</v>
      </c>
      <c r="AU6" s="45">
        <v>0.99750000000000005</v>
      </c>
      <c r="AV6" s="46">
        <f>AVERAGEIFS('Daily KPI'!$R:$R,'Daily KPI'!$R:$R,"&lt;&gt;0",'Daily KPI'!$A:$A,"&gt;="&amp;'Basic Data'!$AH6,'Daily KPI'!$A:$A,"&lt;="&amp;'Basic Data'!$AI6)</f>
        <v>0.99209933133271022</v>
      </c>
      <c r="AW6" s="45">
        <v>0.99750000000000005</v>
      </c>
      <c r="AX6" s="46">
        <f>AVERAGEIFS('Daily KPI'!$O:$O,'Daily KPI'!$O:$O,"&lt;&gt;0",'Daily KPI'!$A:$A,"&gt;="&amp;'Basic Data'!$AH6,'Daily KPI'!$A:$A,"&lt;="&amp;'Basic Data'!$AI6)</f>
        <v>0.9689856588219895</v>
      </c>
    </row>
    <row r="7" spans="1:51" x14ac:dyDescent="0.35">
      <c r="A7" s="7" t="s">
        <v>225</v>
      </c>
      <c r="B7" s="4">
        <v>1053</v>
      </c>
      <c r="C7" s="141">
        <f t="shared" si="0"/>
        <v>4.3369028006589788E-2</v>
      </c>
      <c r="E7" s="3" t="s">
        <v>226</v>
      </c>
      <c r="G7" s="3"/>
      <c r="I7" s="7"/>
      <c r="J7" s="5"/>
      <c r="K7" s="10"/>
      <c r="N7" t="s">
        <v>227</v>
      </c>
      <c r="O7">
        <f t="shared" ref="O7:O70" si="5">Q7*P7*R7/1000</f>
        <v>153.6</v>
      </c>
      <c r="P7">
        <v>24</v>
      </c>
      <c r="Q7">
        <v>320</v>
      </c>
      <c r="R7">
        <v>20</v>
      </c>
      <c r="AF7" s="11" t="s">
        <v>228</v>
      </c>
      <c r="AG7" s="11" t="s">
        <v>213</v>
      </c>
      <c r="AH7" s="218">
        <f>AH4</f>
        <v>45869</v>
      </c>
      <c r="AI7" s="218">
        <f>$AI$4</f>
        <v>45869</v>
      </c>
      <c r="AJ7" s="211">
        <v>12.775</v>
      </c>
      <c r="AK7" s="47"/>
      <c r="AL7" s="43">
        <f>AL4</f>
        <v>1</v>
      </c>
      <c r="AM7" s="220">
        <f>_xlfn.XLOOKUP(AI7,'Daily KPI'!$A:$A,'Daily KPI'!$AC:$AC)</f>
        <v>4.4064516129032256</v>
      </c>
      <c r="AN7" s="68">
        <f>_xlfn.XLOOKUP($AI$7,'Raw Data'!A:A,'Raw Data'!AQ:AQ)</f>
        <v>4.532</v>
      </c>
      <c r="AO7" s="43">
        <f>_xlfn.XLOOKUP($AH$2,$AM$11:$AM$47,$AW$11:$AW$47)</f>
        <v>41.465535410414233</v>
      </c>
      <c r="AP7" s="44">
        <f>(_xlfn.XLOOKUP($AI7,'Raw Data'!$A:$A,'Raw Data'!BP:BP)/1000)-(_xlfn.XLOOKUP($AI7,'Raw Data'!$A:$A,'Raw Data'!BQ:BQ)/1000)</f>
        <v>49.711200000000005</v>
      </c>
      <c r="AQ7" s="45">
        <f t="shared" si="2"/>
        <v>0.73660958057312542</v>
      </c>
      <c r="AR7" s="46">
        <f t="shared" si="3"/>
        <v>0.85862481712993755</v>
      </c>
      <c r="AS7" s="45">
        <f>AO7/AJ7/(24*AL7)</f>
        <v>0.13524310309985074</v>
      </c>
      <c r="AT7" s="46">
        <f t="shared" si="4"/>
        <v>0.16213698630136988</v>
      </c>
      <c r="AU7" s="45">
        <v>0.99750000000000005</v>
      </c>
      <c r="AV7" s="46">
        <f>_xlfn.XLOOKUP($AI7,'Daily KPI'!$A:$A,'Daily KPI'!$R:$R)</f>
        <v>1</v>
      </c>
      <c r="AW7" s="45">
        <v>0.99750000000000005</v>
      </c>
      <c r="AX7" s="46">
        <f>_xlfn.XLOOKUP($AI7,'Daily KPI'!$A:$A,'Daily KPI'!$O:$O)</f>
        <v>0.99937335518893367</v>
      </c>
    </row>
    <row r="8" spans="1:51" x14ac:dyDescent="0.35">
      <c r="A8" s="7" t="s">
        <v>229</v>
      </c>
      <c r="B8" s="4">
        <v>1222</v>
      </c>
      <c r="C8" s="141">
        <f t="shared" si="0"/>
        <v>5.0329489291598022E-2</v>
      </c>
      <c r="E8" s="3" t="s">
        <v>230</v>
      </c>
      <c r="G8" s="3"/>
      <c r="I8" s="7"/>
      <c r="J8" s="5"/>
      <c r="K8" s="10"/>
      <c r="N8" t="s">
        <v>231</v>
      </c>
      <c r="O8">
        <f t="shared" si="5"/>
        <v>153.6</v>
      </c>
      <c r="P8">
        <v>24</v>
      </c>
      <c r="Q8">
        <v>320</v>
      </c>
      <c r="R8">
        <v>20</v>
      </c>
      <c r="AF8" s="11" t="s">
        <v>228</v>
      </c>
      <c r="AG8" t="s">
        <v>220</v>
      </c>
      <c r="AH8" s="218">
        <f>AH5</f>
        <v>45839</v>
      </c>
      <c r="AI8" s="218">
        <f>$AI$4</f>
        <v>45869</v>
      </c>
      <c r="AJ8" s="211">
        <v>12.775</v>
      </c>
      <c r="AK8" s="47"/>
      <c r="AL8" s="43">
        <f>AL5</f>
        <v>31</v>
      </c>
      <c r="AM8" s="220">
        <f>_xlfn.XLOOKUP($AH$2,'Modelling New'!$D:$D,'Modelling New'!$R:$R)</f>
        <v>136.6</v>
      </c>
      <c r="AN8" s="68">
        <f>SUMIF('Raw Data'!F:F,'Basic Data'!$AH2,'Raw Data'!AQ:AQ)</f>
        <v>112.13499999999999</v>
      </c>
      <c r="AO8" s="43">
        <f>_xlfn.XLOOKUP($AH$2,$AM$11:$AM$47,$AX$11:$AX$47)</f>
        <v>1285.4315977228412</v>
      </c>
      <c r="AP8" s="44">
        <f>(SUMIF('Raw Data'!$F:$F,'Basic Data'!$AH2,'Raw Data'!BP:BP)/1000)-(SUMIF('Raw Data'!$F:$F,'Basic Data'!$AH2,'Raw Data'!BQ:BQ)/1000)</f>
        <v>1242.3666000000001</v>
      </c>
      <c r="AQ8" s="45">
        <f t="shared" si="2"/>
        <v>0.73660958057312542</v>
      </c>
      <c r="AR8" s="46">
        <f t="shared" si="3"/>
        <v>0.86725671469696386</v>
      </c>
      <c r="AS8" s="45">
        <f>AO8/AJ8/(24*AL8)</f>
        <v>0.13524310309985071</v>
      </c>
      <c r="AT8" s="46">
        <f t="shared" si="4"/>
        <v>0.13071213938513981</v>
      </c>
      <c r="AU8" s="45">
        <v>0.99750000000000005</v>
      </c>
      <c r="AV8" s="46">
        <f>AVERAGEIFS('Daily KPI'!$R:$R,'Daily KPI'!$D:$D,'Basic Data'!$AH$2,'Daily KPI'!$R:$R,"&lt;&gt;0")</f>
        <v>1</v>
      </c>
      <c r="AW8" s="45">
        <v>0.99750000000000005</v>
      </c>
      <c r="AX8" s="46">
        <f>AVERAGEIFS('Daily KPI'!$O:$O,'Daily KPI'!$D:$D,'Basic Data'!$AH$2,'Daily KPI'!$O:$O,"&lt;&gt;0")</f>
        <v>0.96254935764567784</v>
      </c>
    </row>
    <row r="9" spans="1:51" x14ac:dyDescent="0.35">
      <c r="A9" s="7" t="s">
        <v>232</v>
      </c>
      <c r="B9" s="4">
        <v>1075.2</v>
      </c>
      <c r="C9" s="141">
        <f t="shared" si="0"/>
        <v>4.4283360790774301E-2</v>
      </c>
      <c r="E9" s="3" t="s">
        <v>233</v>
      </c>
      <c r="G9" s="3"/>
      <c r="I9" s="7"/>
      <c r="J9" s="5"/>
      <c r="K9" s="10"/>
      <c r="N9" t="s">
        <v>234</v>
      </c>
      <c r="O9">
        <f t="shared" si="5"/>
        <v>153.6</v>
      </c>
      <c r="P9">
        <v>24</v>
      </c>
      <c r="Q9">
        <v>320</v>
      </c>
      <c r="R9">
        <v>20</v>
      </c>
      <c r="U9" t="s">
        <v>235</v>
      </c>
      <c r="V9">
        <v>60</v>
      </c>
      <c r="W9" t="s">
        <v>236</v>
      </c>
      <c r="AF9" s="11" t="s">
        <v>228</v>
      </c>
      <c r="AG9" t="s">
        <v>224</v>
      </c>
      <c r="AH9" s="219">
        <f>AH6</f>
        <v>45748</v>
      </c>
      <c r="AI9" s="218">
        <f>$AI$4</f>
        <v>45869</v>
      </c>
      <c r="AJ9" s="211">
        <v>12.775</v>
      </c>
      <c r="AK9" s="47"/>
      <c r="AL9" s="43">
        <f>AI9-AH9+1</f>
        <v>122</v>
      </c>
      <c r="AM9" s="220">
        <f>_xlfn.XLOOKUP($AH$2,'Modelling New'!$D:$D,'Modelling New'!$S:$S)</f>
        <v>691.4</v>
      </c>
      <c r="AN9" s="68">
        <f>SUMIFS('Raw Data'!AQ:AQ,'Raw Data'!$A:$A,"&gt;="&amp;'Basic Data'!$AH9,'Raw Data'!$A:$A,"&lt;="&amp;'Basic Data'!$AI9)</f>
        <v>597.82482166666671</v>
      </c>
      <c r="AO9" s="43">
        <f>_xlfn.XLOOKUP($AH$2,$AM$11:$AM$47,$AY$11:$AY$47)</f>
        <v>7041.6482025908936</v>
      </c>
      <c r="AP9" s="44">
        <f>(SUMIFS('Raw Data'!BP:BP,'Raw Data'!$A:$A,"&gt;="&amp;'Basic Data'!$AH9,'Raw Data'!$A:$A,"&lt;="&amp;'Basic Data'!$AI9)/1000)-(SUMIFS('Raw Data'!BQ:BQ,'Raw Data'!$A:$A,"&gt;="&amp;'Basic Data'!$AH9,'Raw Data'!$A:$A,"&lt;="&amp;'Basic Data'!$AI9)/1000)</f>
        <v>6456.6266999999998</v>
      </c>
      <c r="AQ9" s="45">
        <f t="shared" si="2"/>
        <v>0.79723074740333932</v>
      </c>
      <c r="AR9" s="46">
        <f t="shared" si="3"/>
        <v>0.84541670679964198</v>
      </c>
      <c r="AS9" s="45">
        <f>AO9/AJ9/(24*AL9)</f>
        <v>0.18825318946539235</v>
      </c>
      <c r="AT9" s="46">
        <f t="shared" si="4"/>
        <v>0.17261307786083219</v>
      </c>
      <c r="AU9" s="45">
        <v>0.99750000000000005</v>
      </c>
      <c r="AV9" s="46">
        <f>AVERAGEIFS('Daily KPI'!$R:$R,'Daily KPI'!$R:$R,"&lt;&gt;0",'Daily KPI'!$A:$A,"&gt;="&amp;'Basic Data'!$AH9,'Daily KPI'!$A:$A,"&lt;="&amp;'Basic Data'!$AI9)</f>
        <v>0.99209933133271022</v>
      </c>
      <c r="AW9" s="45">
        <v>0.99750000000000005</v>
      </c>
      <c r="AX9" s="46">
        <f>AVERAGEIFS('Daily KPI'!$O:$O,'Daily KPI'!$O:$O,"&lt;&gt;0",'Daily KPI'!$A:$A,"&gt;="&amp;'Basic Data'!$AH9,'Daily KPI'!$A:$A,"&lt;="&amp;'Basic Data'!$AI9)</f>
        <v>0.9689856588219895</v>
      </c>
    </row>
    <row r="10" spans="1:51" x14ac:dyDescent="0.35">
      <c r="A10" s="7" t="s">
        <v>237</v>
      </c>
      <c r="B10" s="4">
        <v>1222</v>
      </c>
      <c r="C10" s="141">
        <f t="shared" si="0"/>
        <v>5.0329489291598022E-2</v>
      </c>
      <c r="E10" s="3" t="s">
        <v>238</v>
      </c>
      <c r="G10" s="3"/>
      <c r="I10" s="7"/>
      <c r="J10" s="5"/>
      <c r="K10" s="10"/>
      <c r="N10" t="s">
        <v>239</v>
      </c>
      <c r="O10">
        <f t="shared" si="5"/>
        <v>153.6</v>
      </c>
      <c r="P10">
        <v>24</v>
      </c>
      <c r="Q10">
        <v>320</v>
      </c>
      <c r="R10">
        <v>20</v>
      </c>
      <c r="U10" t="s">
        <v>240</v>
      </c>
      <c r="V10">
        <v>45</v>
      </c>
      <c r="W10" t="s">
        <v>241</v>
      </c>
    </row>
    <row r="11" spans="1:51" ht="43.5" x14ac:dyDescent="0.35">
      <c r="A11" s="7" t="s">
        <v>242</v>
      </c>
      <c r="B11" s="4">
        <v>1075.2</v>
      </c>
      <c r="C11" s="141">
        <f t="shared" si="0"/>
        <v>4.4283360790774301E-2</v>
      </c>
      <c r="E11" s="3" t="s">
        <v>243</v>
      </c>
      <c r="G11" s="3"/>
      <c r="I11" s="7"/>
      <c r="J11" s="5"/>
      <c r="K11" s="10"/>
      <c r="N11" t="s">
        <v>244</v>
      </c>
      <c r="O11">
        <f t="shared" si="5"/>
        <v>153.6</v>
      </c>
      <c r="P11">
        <v>24</v>
      </c>
      <c r="Q11">
        <v>320</v>
      </c>
      <c r="R11">
        <v>20</v>
      </c>
      <c r="U11" t="s">
        <v>245</v>
      </c>
      <c r="V11">
        <v>90</v>
      </c>
      <c r="W11">
        <v>7.8</v>
      </c>
      <c r="AK11" s="255" t="s">
        <v>246</v>
      </c>
      <c r="AL11" s="255" t="s">
        <v>247</v>
      </c>
      <c r="AM11" s="255" t="s">
        <v>248</v>
      </c>
      <c r="AN11" s="255" t="s">
        <v>249</v>
      </c>
      <c r="AO11" s="255" t="s">
        <v>250</v>
      </c>
      <c r="AP11" s="255" t="s">
        <v>251</v>
      </c>
      <c r="AQ11" s="255" t="s">
        <v>252</v>
      </c>
      <c r="AR11" s="255" t="s">
        <v>253</v>
      </c>
      <c r="AS11" s="255" t="s">
        <v>254</v>
      </c>
      <c r="AT11" s="255" t="s">
        <v>255</v>
      </c>
      <c r="AU11" s="255" t="s">
        <v>256</v>
      </c>
      <c r="AV11" s="256" t="s">
        <v>257</v>
      </c>
      <c r="AW11" s="256" t="s">
        <v>258</v>
      </c>
      <c r="AX11" s="256" t="s">
        <v>259</v>
      </c>
      <c r="AY11" s="256" t="s">
        <v>260</v>
      </c>
    </row>
    <row r="12" spans="1:51" x14ac:dyDescent="0.35">
      <c r="A12" s="7" t="s">
        <v>261</v>
      </c>
      <c r="B12" s="4">
        <v>153.6</v>
      </c>
      <c r="C12" s="141">
        <f t="shared" si="0"/>
        <v>6.3261943986820425E-3</v>
      </c>
      <c r="E12" s="3" t="s">
        <v>262</v>
      </c>
      <c r="G12" s="3"/>
      <c r="I12" s="7" t="s">
        <v>263</v>
      </c>
      <c r="J12" s="5">
        <f>4*63</f>
        <v>252</v>
      </c>
      <c r="K12" s="10">
        <f t="shared" si="1"/>
        <v>6.8965517241379309E-3</v>
      </c>
      <c r="N12" t="s">
        <v>264</v>
      </c>
      <c r="O12">
        <f t="shared" si="5"/>
        <v>153.6</v>
      </c>
      <c r="P12">
        <v>24</v>
      </c>
      <c r="Q12">
        <v>320</v>
      </c>
      <c r="R12">
        <v>20</v>
      </c>
      <c r="U12" t="s">
        <v>265</v>
      </c>
      <c r="V12">
        <v>30</v>
      </c>
      <c r="W12">
        <v>2.2000000000000002</v>
      </c>
      <c r="AK12" s="267" t="s">
        <v>266</v>
      </c>
      <c r="AL12" s="268">
        <v>4</v>
      </c>
      <c r="AM12" s="269">
        <v>45017</v>
      </c>
      <c r="AN12" s="270">
        <f t="shared" ref="AN12:AN13" si="6">YEAR(AM12)</f>
        <v>2023</v>
      </c>
      <c r="AO12" s="270" t="s">
        <v>267</v>
      </c>
      <c r="AP12" s="271">
        <f t="shared" ref="AP12:AP13" si="7">DAY(EOMONTH(AM12,0))</f>
        <v>30</v>
      </c>
      <c r="AQ12">
        <f>'Modelling New'!Q2</f>
        <v>0</v>
      </c>
      <c r="AR12" s="257">
        <v>1520</v>
      </c>
      <c r="AS12" s="185">
        <f t="shared" ref="AS12:AS47" si="8">AR12/AP12</f>
        <v>50.666666666666664</v>
      </c>
      <c r="AT12">
        <f>AR12/AP12*AQ12</f>
        <v>0</v>
      </c>
      <c r="AU12" s="185">
        <f>SUMIF($AO$12:$AO12,$AO12,$AT$12:AT12)</f>
        <v>0</v>
      </c>
      <c r="AV12" s="258">
        <v>2210.4496872999898</v>
      </c>
      <c r="AW12" s="185">
        <f t="shared" ref="AW12:AW47" si="9">AV12/AP12</f>
        <v>73.681656243332995</v>
      </c>
      <c r="AX12" s="185">
        <f>AV12/AP12*AQ12</f>
        <v>0</v>
      </c>
      <c r="AY12" s="185">
        <f>SUMIF($AO$12:$AO12,$AO12,$AX$12:AX12)</f>
        <v>0</v>
      </c>
    </row>
    <row r="13" spans="1:51" x14ac:dyDescent="0.35">
      <c r="A13" s="7" t="s">
        <v>268</v>
      </c>
      <c r="B13" s="4">
        <v>153.6</v>
      </c>
      <c r="C13" s="141">
        <f t="shared" si="0"/>
        <v>6.3261943986820425E-3</v>
      </c>
      <c r="E13" s="3" t="s">
        <v>269</v>
      </c>
      <c r="I13" s="7" t="s">
        <v>270</v>
      </c>
      <c r="J13" s="5">
        <f>3*63</f>
        <v>189</v>
      </c>
      <c r="K13" s="10">
        <f t="shared" si="1"/>
        <v>5.1724137931034482E-3</v>
      </c>
      <c r="N13" t="s">
        <v>271</v>
      </c>
      <c r="O13">
        <f t="shared" si="5"/>
        <v>0</v>
      </c>
      <c r="P13">
        <v>0</v>
      </c>
      <c r="Q13">
        <v>320</v>
      </c>
      <c r="R13">
        <v>20</v>
      </c>
      <c r="AK13" s="272" t="s">
        <v>272</v>
      </c>
      <c r="AL13" s="273">
        <v>5</v>
      </c>
      <c r="AM13" s="274">
        <v>45047</v>
      </c>
      <c r="AN13" s="275">
        <f t="shared" si="6"/>
        <v>2023</v>
      </c>
      <c r="AO13" s="276" t="s">
        <v>267</v>
      </c>
      <c r="AP13" s="249">
        <f t="shared" si="7"/>
        <v>31</v>
      </c>
      <c r="AQ13">
        <f>'Modelling New'!Q3</f>
        <v>0</v>
      </c>
      <c r="AR13" s="259">
        <v>1620</v>
      </c>
      <c r="AS13" s="185">
        <f t="shared" si="8"/>
        <v>52.258064516129032</v>
      </c>
      <c r="AT13">
        <f t="shared" ref="AT13:AT47" si="10">AR13/AP13*AQ13</f>
        <v>0</v>
      </c>
      <c r="AU13" s="185">
        <f>SUMIF($AO$12:$AO13,$AO13,$AT$12:AT13)</f>
        <v>0</v>
      </c>
      <c r="AV13" s="260">
        <v>2066.24832899999</v>
      </c>
      <c r="AW13" s="185">
        <f t="shared" si="9"/>
        <v>66.653171903225484</v>
      </c>
      <c r="AX13" s="185">
        <f t="shared" ref="AX13:AX47" si="11">AV13/AP13*AQ13</f>
        <v>0</v>
      </c>
      <c r="AY13" s="185">
        <f>SUMIF($AO$12:$AO13,$AO13,$AX$12:AX13)</f>
        <v>0</v>
      </c>
    </row>
    <row r="14" spans="1:51" x14ac:dyDescent="0.35">
      <c r="A14" s="7" t="s">
        <v>273</v>
      </c>
      <c r="B14" s="4">
        <v>153.6</v>
      </c>
      <c r="C14" s="141">
        <f t="shared" si="0"/>
        <v>6.3261943986820425E-3</v>
      </c>
      <c r="E14" s="3" t="s">
        <v>274</v>
      </c>
      <c r="I14" s="7" t="s">
        <v>275</v>
      </c>
      <c r="J14" s="5">
        <f>5*42</f>
        <v>210</v>
      </c>
      <c r="K14" s="10">
        <f t="shared" si="1"/>
        <v>5.7471264367816091E-3</v>
      </c>
      <c r="N14" t="s">
        <v>276</v>
      </c>
      <c r="O14">
        <f t="shared" si="5"/>
        <v>153.6</v>
      </c>
      <c r="P14">
        <v>24</v>
      </c>
      <c r="Q14">
        <v>320</v>
      </c>
      <c r="R14">
        <v>20</v>
      </c>
      <c r="AK14" s="267" t="s">
        <v>277</v>
      </c>
      <c r="AL14" s="268">
        <v>6</v>
      </c>
      <c r="AM14" s="269">
        <v>45078</v>
      </c>
      <c r="AN14" s="270">
        <f>YEAR(AM14)</f>
        <v>2023</v>
      </c>
      <c r="AO14" s="270" t="s">
        <v>267</v>
      </c>
      <c r="AP14" s="271">
        <f>DAY(EOMONTH(AM14,0))</f>
        <v>30</v>
      </c>
      <c r="AQ14">
        <f>'Modelling New'!Q4</f>
        <v>0</v>
      </c>
      <c r="AR14" s="257">
        <v>1230</v>
      </c>
      <c r="AS14" s="185">
        <f t="shared" si="8"/>
        <v>41</v>
      </c>
      <c r="AT14">
        <f t="shared" si="10"/>
        <v>0</v>
      </c>
      <c r="AU14" s="185">
        <f>SUMIF($AO$12:$AO14,$AO14,$AT$12:AT14)</f>
        <v>0</v>
      </c>
      <c r="AV14" s="258">
        <v>1587.3331005999978</v>
      </c>
      <c r="AW14" s="185">
        <f t="shared" si="9"/>
        <v>52.91110335333326</v>
      </c>
      <c r="AX14" s="185">
        <f t="shared" si="11"/>
        <v>0</v>
      </c>
      <c r="AY14" s="185">
        <f>SUMIF($AO$12:$AO14,$AO14,$AX$12:AX14)</f>
        <v>0</v>
      </c>
    </row>
    <row r="15" spans="1:51" x14ac:dyDescent="0.35">
      <c r="A15" s="7" t="s">
        <v>278</v>
      </c>
      <c r="B15" s="4">
        <v>153.6</v>
      </c>
      <c r="C15" s="141">
        <f t="shared" si="0"/>
        <v>6.3261943986820425E-3</v>
      </c>
      <c r="E15" s="3" t="s">
        <v>279</v>
      </c>
      <c r="I15" s="7" t="s">
        <v>280</v>
      </c>
      <c r="J15" s="5">
        <f>4*42</f>
        <v>168</v>
      </c>
      <c r="K15" s="10">
        <f t="shared" si="1"/>
        <v>4.5977011494252873E-3</v>
      </c>
      <c r="N15" t="s">
        <v>281</v>
      </c>
      <c r="O15">
        <f t="shared" si="5"/>
        <v>153.6</v>
      </c>
      <c r="P15">
        <v>24</v>
      </c>
      <c r="Q15">
        <v>320</v>
      </c>
      <c r="R15">
        <v>20</v>
      </c>
      <c r="AK15" s="272" t="s">
        <v>282</v>
      </c>
      <c r="AL15" s="273">
        <v>7</v>
      </c>
      <c r="AM15" s="274">
        <v>45108</v>
      </c>
      <c r="AN15" s="275">
        <f>YEAR(AM15)</f>
        <v>2023</v>
      </c>
      <c r="AO15" s="276" t="s">
        <v>267</v>
      </c>
      <c r="AP15" s="249">
        <f>DAY(EOMONTH(AM15,0))</f>
        <v>31</v>
      </c>
      <c r="AQ15">
        <f>'Modelling New'!Q5</f>
        <v>0</v>
      </c>
      <c r="AR15" s="259">
        <v>1150</v>
      </c>
      <c r="AS15" s="185">
        <f t="shared" si="8"/>
        <v>37.096774193548384</v>
      </c>
      <c r="AT15">
        <f t="shared" si="10"/>
        <v>0</v>
      </c>
      <c r="AU15" s="185">
        <f>SUMIF($AO$12:$AO15,$AO15,$AT$12:AT15)</f>
        <v>0</v>
      </c>
      <c r="AV15" s="260">
        <v>1312.477316200001</v>
      </c>
      <c r="AW15" s="185">
        <f t="shared" si="9"/>
        <v>42.33797794193552</v>
      </c>
      <c r="AX15" s="185">
        <f t="shared" si="11"/>
        <v>0</v>
      </c>
      <c r="AY15" s="185">
        <f>SUMIF($AO$12:$AO15,$AO15,$AX$12:AX15)</f>
        <v>0</v>
      </c>
    </row>
    <row r="16" spans="1:51" x14ac:dyDescent="0.35">
      <c r="A16" s="7" t="s">
        <v>283</v>
      </c>
      <c r="B16" s="4">
        <v>153.6</v>
      </c>
      <c r="C16" s="141">
        <f t="shared" si="0"/>
        <v>6.3261943986820425E-3</v>
      </c>
      <c r="E16" s="3" t="s">
        <v>284</v>
      </c>
      <c r="I16" s="7" t="s">
        <v>285</v>
      </c>
      <c r="J16" s="5">
        <f>3*42</f>
        <v>126</v>
      </c>
      <c r="K16" s="10">
        <f t="shared" si="1"/>
        <v>3.4482758620689655E-3</v>
      </c>
      <c r="N16" t="s">
        <v>286</v>
      </c>
      <c r="O16">
        <f t="shared" si="5"/>
        <v>153.6</v>
      </c>
      <c r="P16">
        <v>24</v>
      </c>
      <c r="Q16">
        <v>320</v>
      </c>
      <c r="R16">
        <v>20</v>
      </c>
      <c r="AK16" s="267" t="s">
        <v>287</v>
      </c>
      <c r="AL16" s="268">
        <v>8</v>
      </c>
      <c r="AM16" s="269">
        <v>45139</v>
      </c>
      <c r="AN16" s="270">
        <f t="shared" ref="AN16:AN23" si="12">YEAR(AM16)</f>
        <v>2023</v>
      </c>
      <c r="AO16" s="270" t="s">
        <v>267</v>
      </c>
      <c r="AP16" s="271">
        <f t="shared" ref="AP16:AP23" si="13">DAY(EOMONTH(AM16,0))</f>
        <v>31</v>
      </c>
      <c r="AQ16">
        <f>'Modelling New'!Q6</f>
        <v>0</v>
      </c>
      <c r="AR16" s="257">
        <v>1090</v>
      </c>
      <c r="AS16" s="185">
        <f t="shared" si="8"/>
        <v>35.161290322580648</v>
      </c>
      <c r="AT16">
        <f t="shared" si="10"/>
        <v>0</v>
      </c>
      <c r="AU16" s="185">
        <f>SUMIF($AO$12:$AO16,$AO16,$AT$12:AT16)</f>
        <v>0</v>
      </c>
      <c r="AV16" s="258">
        <v>1393.6344976000007</v>
      </c>
      <c r="AW16" s="185">
        <f t="shared" si="9"/>
        <v>44.955951535483891</v>
      </c>
      <c r="AX16" s="185">
        <f t="shared" si="11"/>
        <v>0</v>
      </c>
      <c r="AY16" s="185">
        <f>SUMIF($AO$12:$AO16,$AO16,$AX$12:AX16)</f>
        <v>0</v>
      </c>
    </row>
    <row r="17" spans="1:51" x14ac:dyDescent="0.35">
      <c r="A17" s="7" t="s">
        <v>288</v>
      </c>
      <c r="B17" s="4">
        <v>153.6</v>
      </c>
      <c r="C17" s="141">
        <f t="shared" si="0"/>
        <v>6.3261943986820425E-3</v>
      </c>
      <c r="E17" s="3" t="s">
        <v>170</v>
      </c>
      <c r="I17" s="7" t="s">
        <v>289</v>
      </c>
      <c r="J17" s="5">
        <v>63</v>
      </c>
      <c r="K17" s="10">
        <f t="shared" si="1"/>
        <v>1.7241379310344827E-3</v>
      </c>
      <c r="N17" t="s">
        <v>290</v>
      </c>
      <c r="O17">
        <f t="shared" si="5"/>
        <v>153.6</v>
      </c>
      <c r="P17">
        <v>24</v>
      </c>
      <c r="Q17">
        <v>320</v>
      </c>
      <c r="R17">
        <v>20</v>
      </c>
      <c r="AK17" s="272" t="s">
        <v>291</v>
      </c>
      <c r="AL17" s="273">
        <v>9</v>
      </c>
      <c r="AM17" s="274">
        <v>45170</v>
      </c>
      <c r="AN17" s="276">
        <f t="shared" si="12"/>
        <v>2023</v>
      </c>
      <c r="AO17" s="276" t="s">
        <v>267</v>
      </c>
      <c r="AP17" s="249">
        <f t="shared" si="13"/>
        <v>30</v>
      </c>
      <c r="AQ17">
        <f>'Modelling New'!Q7</f>
        <v>0</v>
      </c>
      <c r="AR17" s="259">
        <v>1200</v>
      </c>
      <c r="AS17" s="185">
        <f t="shared" si="8"/>
        <v>40</v>
      </c>
      <c r="AT17">
        <f t="shared" si="10"/>
        <v>0</v>
      </c>
      <c r="AU17" s="185">
        <f>SUMIF($AO$12:$AO17,$AO17,$AT$12:AT17)</f>
        <v>0</v>
      </c>
      <c r="AV17" s="260">
        <v>1634.4158026999953</v>
      </c>
      <c r="AW17" s="185">
        <f t="shared" si="9"/>
        <v>54.480526756666514</v>
      </c>
      <c r="AX17" s="185">
        <f t="shared" si="11"/>
        <v>0</v>
      </c>
      <c r="AY17" s="185">
        <f>SUMIF($AO$12:$AO17,$AO17,$AX$12:AX17)</f>
        <v>0</v>
      </c>
    </row>
    <row r="18" spans="1:51" x14ac:dyDescent="0.35">
      <c r="A18" s="7" t="s">
        <v>292</v>
      </c>
      <c r="B18" s="4">
        <v>153.6</v>
      </c>
      <c r="C18" s="141">
        <f t="shared" si="0"/>
        <v>6.3261943986820425E-3</v>
      </c>
      <c r="E18" s="3" t="s">
        <v>293</v>
      </c>
      <c r="I18" s="7" t="s">
        <v>294</v>
      </c>
      <c r="J18" s="5">
        <v>42</v>
      </c>
      <c r="K18" s="10">
        <f t="shared" si="1"/>
        <v>1.1494252873563218E-3</v>
      </c>
      <c r="N18" t="s">
        <v>295</v>
      </c>
      <c r="O18">
        <f t="shared" si="5"/>
        <v>153.6</v>
      </c>
      <c r="P18">
        <v>24</v>
      </c>
      <c r="Q18">
        <v>320</v>
      </c>
      <c r="R18">
        <v>20</v>
      </c>
      <c r="AK18" s="267" t="s">
        <v>296</v>
      </c>
      <c r="AL18" s="268">
        <v>10</v>
      </c>
      <c r="AM18" s="269">
        <v>45200</v>
      </c>
      <c r="AN18" s="277">
        <f t="shared" si="12"/>
        <v>2023</v>
      </c>
      <c r="AO18" s="270" t="s">
        <v>267</v>
      </c>
      <c r="AP18" s="271">
        <f t="shared" si="13"/>
        <v>31</v>
      </c>
      <c r="AQ18">
        <f>'Modelling New'!Q8</f>
        <v>0</v>
      </c>
      <c r="AR18" s="257">
        <v>1530</v>
      </c>
      <c r="AS18" s="185">
        <f t="shared" si="8"/>
        <v>49.354838709677416</v>
      </c>
      <c r="AT18">
        <f t="shared" si="10"/>
        <v>0</v>
      </c>
      <c r="AU18" s="185">
        <f>SUMIF($AO$12:$AO18,$AO18,$AT$12:AT18)</f>
        <v>0</v>
      </c>
      <c r="AV18" s="258">
        <v>1797.7068845999879</v>
      </c>
      <c r="AW18" s="185">
        <f t="shared" si="9"/>
        <v>57.990544664515738</v>
      </c>
      <c r="AX18" s="185">
        <f t="shared" si="11"/>
        <v>0</v>
      </c>
      <c r="AY18" s="185">
        <f>SUMIF($AO$12:$AO18,$AO18,$AX$12:AX18)</f>
        <v>0</v>
      </c>
    </row>
    <row r="19" spans="1:51" x14ac:dyDescent="0.35">
      <c r="A19" s="7" t="s">
        <v>297</v>
      </c>
      <c r="B19" s="4">
        <v>0</v>
      </c>
      <c r="C19" s="141">
        <f t="shared" si="0"/>
        <v>0</v>
      </c>
      <c r="E19" s="3" t="s">
        <v>298</v>
      </c>
      <c r="I19" s="7" t="s">
        <v>299</v>
      </c>
      <c r="J19" s="5"/>
      <c r="K19" s="5"/>
      <c r="N19" t="s">
        <v>300</v>
      </c>
      <c r="O19">
        <f t="shared" si="5"/>
        <v>153.6</v>
      </c>
      <c r="P19">
        <v>24</v>
      </c>
      <c r="Q19">
        <v>320</v>
      </c>
      <c r="R19">
        <v>20</v>
      </c>
      <c r="AK19" s="272" t="s">
        <v>301</v>
      </c>
      <c r="AL19" s="273">
        <v>11</v>
      </c>
      <c r="AM19" s="274">
        <v>45231</v>
      </c>
      <c r="AN19" s="276">
        <f t="shared" si="12"/>
        <v>2023</v>
      </c>
      <c r="AO19" s="276" t="s">
        <v>267</v>
      </c>
      <c r="AP19" s="278">
        <f t="shared" si="13"/>
        <v>30</v>
      </c>
      <c r="AQ19">
        <f>'Modelling New'!Q9</f>
        <v>0</v>
      </c>
      <c r="AR19" s="259">
        <v>1520</v>
      </c>
      <c r="AS19" s="185">
        <f t="shared" si="8"/>
        <v>50.666666666666664</v>
      </c>
      <c r="AT19">
        <f t="shared" si="10"/>
        <v>0</v>
      </c>
      <c r="AU19" s="185">
        <f>SUMIF($AO$12:$AO19,$AO19,$AT$12:AT19)</f>
        <v>0</v>
      </c>
      <c r="AV19" s="260">
        <v>1875.8173360999908</v>
      </c>
      <c r="AW19" s="185">
        <f t="shared" si="9"/>
        <v>62.527244536666359</v>
      </c>
      <c r="AX19" s="185">
        <f t="shared" si="11"/>
        <v>0</v>
      </c>
      <c r="AY19" s="185">
        <f>SUMIF($AO$12:$AO19,$AO19,$AX$12:AX19)</f>
        <v>0</v>
      </c>
    </row>
    <row r="20" spans="1:51" x14ac:dyDescent="0.35">
      <c r="A20" s="7" t="s">
        <v>302</v>
      </c>
      <c r="B20" s="4">
        <v>153.6</v>
      </c>
      <c r="C20" s="141">
        <f t="shared" si="0"/>
        <v>6.3261943986820425E-3</v>
      </c>
      <c r="E20" s="3" t="s">
        <v>303</v>
      </c>
      <c r="I20" s="7" t="s">
        <v>304</v>
      </c>
      <c r="J20" s="5"/>
      <c r="K20" s="5"/>
      <c r="N20" t="s">
        <v>305</v>
      </c>
      <c r="O20">
        <f t="shared" si="5"/>
        <v>153.6</v>
      </c>
      <c r="P20">
        <v>24</v>
      </c>
      <c r="Q20">
        <v>320</v>
      </c>
      <c r="R20">
        <v>20</v>
      </c>
      <c r="AK20" s="267" t="s">
        <v>306</v>
      </c>
      <c r="AL20" s="268">
        <v>12</v>
      </c>
      <c r="AM20" s="269">
        <v>45261</v>
      </c>
      <c r="AN20" s="277">
        <f t="shared" si="12"/>
        <v>2023</v>
      </c>
      <c r="AO20" s="270" t="s">
        <v>267</v>
      </c>
      <c r="AP20" s="279">
        <f t="shared" si="13"/>
        <v>31</v>
      </c>
      <c r="AQ20">
        <f>'Modelling New'!Q10</f>
        <v>0</v>
      </c>
      <c r="AR20" s="257">
        <v>1660</v>
      </c>
      <c r="AS20" s="185">
        <f t="shared" si="8"/>
        <v>53.548387096774192</v>
      </c>
      <c r="AT20">
        <f t="shared" si="10"/>
        <v>0</v>
      </c>
      <c r="AU20" s="185">
        <f>SUMIF($AO$12:$AO20,$AO20,$AT$12:AT20)</f>
        <v>0</v>
      </c>
      <c r="AV20" s="258">
        <v>1805.8564542999927</v>
      </c>
      <c r="AW20" s="185">
        <f t="shared" si="9"/>
        <v>58.253434009677186</v>
      </c>
      <c r="AX20" s="185">
        <f t="shared" si="11"/>
        <v>0</v>
      </c>
      <c r="AY20" s="185">
        <f>SUMIF($AO$12:$AO20,$AO20,$AX$12:AX20)</f>
        <v>0</v>
      </c>
    </row>
    <row r="21" spans="1:51" x14ac:dyDescent="0.35">
      <c r="A21" s="7" t="s">
        <v>307</v>
      </c>
      <c r="B21" s="4">
        <v>153.6</v>
      </c>
      <c r="C21" s="141">
        <f t="shared" si="0"/>
        <v>6.3261943986820425E-3</v>
      </c>
      <c r="E21" s="3" t="s">
        <v>308</v>
      </c>
      <c r="I21" s="7" t="s">
        <v>309</v>
      </c>
      <c r="J21" s="5"/>
      <c r="K21" s="5"/>
      <c r="N21" t="s">
        <v>310</v>
      </c>
      <c r="O21">
        <f t="shared" si="5"/>
        <v>153.6</v>
      </c>
      <c r="P21">
        <v>24</v>
      </c>
      <c r="Q21">
        <v>320</v>
      </c>
      <c r="R21">
        <v>20</v>
      </c>
      <c r="AK21" s="272" t="s">
        <v>311</v>
      </c>
      <c r="AL21" s="273">
        <v>1</v>
      </c>
      <c r="AM21" s="274">
        <v>45292</v>
      </c>
      <c r="AN21" s="276">
        <f t="shared" si="12"/>
        <v>2024</v>
      </c>
      <c r="AO21" s="276" t="s">
        <v>267</v>
      </c>
      <c r="AP21" s="278">
        <f t="shared" si="13"/>
        <v>31</v>
      </c>
      <c r="AQ21">
        <f>'Modelling New'!Q11</f>
        <v>0</v>
      </c>
      <c r="AR21" s="259">
        <v>1730</v>
      </c>
      <c r="AS21" s="185">
        <f t="shared" si="8"/>
        <v>55.806451612903224</v>
      </c>
      <c r="AT21">
        <f t="shared" si="10"/>
        <v>0</v>
      </c>
      <c r="AU21" s="185">
        <f>SUMIF($AO$12:$AO21,$AO21,$AT$12:AT21)</f>
        <v>0</v>
      </c>
      <c r="AV21" s="260">
        <v>1939.8167972999918</v>
      </c>
      <c r="AW21" s="185">
        <f t="shared" si="9"/>
        <v>62.574735396773931</v>
      </c>
      <c r="AX21" s="185">
        <f t="shared" si="11"/>
        <v>0</v>
      </c>
      <c r="AY21" s="185">
        <f>SUMIF($AO$12:$AO21,$AO21,$AX$12:AX21)</f>
        <v>0</v>
      </c>
    </row>
    <row r="22" spans="1:51" x14ac:dyDescent="0.35">
      <c r="A22" s="7" t="s">
        <v>312</v>
      </c>
      <c r="B22" s="4">
        <v>153.6</v>
      </c>
      <c r="C22" s="141">
        <f t="shared" si="0"/>
        <v>6.3261943986820425E-3</v>
      </c>
      <c r="E22" s="3" t="s">
        <v>313</v>
      </c>
      <c r="I22" s="7" t="s">
        <v>314</v>
      </c>
      <c r="J22" s="5"/>
      <c r="K22" s="5"/>
      <c r="N22" t="s">
        <v>315</v>
      </c>
      <c r="O22">
        <f t="shared" si="5"/>
        <v>153.6</v>
      </c>
      <c r="P22">
        <v>24</v>
      </c>
      <c r="Q22">
        <v>320</v>
      </c>
      <c r="R22">
        <v>20</v>
      </c>
      <c r="AK22" s="267" t="s">
        <v>316</v>
      </c>
      <c r="AL22" s="268">
        <v>2</v>
      </c>
      <c r="AM22" s="269">
        <v>45323</v>
      </c>
      <c r="AN22" s="277">
        <f t="shared" si="12"/>
        <v>2024</v>
      </c>
      <c r="AO22" s="270" t="s">
        <v>267</v>
      </c>
      <c r="AP22" s="279">
        <f t="shared" si="13"/>
        <v>29</v>
      </c>
      <c r="AQ22">
        <f>'Modelling New'!Q12</f>
        <v>0</v>
      </c>
      <c r="AR22" s="261">
        <v>1460</v>
      </c>
      <c r="AS22" s="185">
        <f t="shared" si="8"/>
        <v>50.344827586206897</v>
      </c>
      <c r="AT22">
        <f t="shared" si="10"/>
        <v>0</v>
      </c>
      <c r="AU22" s="185">
        <f>SUMIF($AO$12:$AO22,$AO22,$AT$12:AT22)</f>
        <v>0</v>
      </c>
      <c r="AV22" s="258">
        <v>1952.3302503999901</v>
      </c>
      <c r="AW22" s="185">
        <f t="shared" si="9"/>
        <v>67.321732772413455</v>
      </c>
      <c r="AX22" s="185">
        <f t="shared" si="11"/>
        <v>0</v>
      </c>
      <c r="AY22" s="185">
        <f>SUMIF($AO$12:$AO22,$AO22,$AX$12:AX22)</f>
        <v>0</v>
      </c>
    </row>
    <row r="23" spans="1:51" x14ac:dyDescent="0.35">
      <c r="A23" s="7" t="s">
        <v>317</v>
      </c>
      <c r="B23" s="4">
        <v>153.6</v>
      </c>
      <c r="C23" s="141">
        <f t="shared" si="0"/>
        <v>6.3261943986820425E-3</v>
      </c>
      <c r="E23" s="3" t="s">
        <v>318</v>
      </c>
      <c r="N23" t="s">
        <v>319</v>
      </c>
      <c r="O23">
        <f t="shared" si="5"/>
        <v>153.6</v>
      </c>
      <c r="P23">
        <v>24</v>
      </c>
      <c r="Q23">
        <v>320</v>
      </c>
      <c r="R23">
        <v>20</v>
      </c>
      <c r="AK23" s="272" t="s">
        <v>320</v>
      </c>
      <c r="AL23" s="273">
        <v>3</v>
      </c>
      <c r="AM23" s="274">
        <v>45352</v>
      </c>
      <c r="AN23" s="276">
        <f t="shared" si="12"/>
        <v>2024</v>
      </c>
      <c r="AO23" s="276" t="s">
        <v>267</v>
      </c>
      <c r="AP23" s="278">
        <f t="shared" si="13"/>
        <v>31</v>
      </c>
      <c r="AQ23">
        <f>'Modelling New'!Q13</f>
        <v>0</v>
      </c>
      <c r="AR23" s="262">
        <v>1690</v>
      </c>
      <c r="AS23" s="185">
        <f t="shared" si="8"/>
        <v>54.516129032258064</v>
      </c>
      <c r="AT23">
        <f t="shared" si="10"/>
        <v>0</v>
      </c>
      <c r="AU23" s="185">
        <f>SUMIF($AO$12:$AO23,$AO23,$AT$12:AT23)</f>
        <v>0</v>
      </c>
      <c r="AV23" s="260">
        <v>2276.1271901999853</v>
      </c>
      <c r="AW23" s="185">
        <f t="shared" si="9"/>
        <v>73.423457748386625</v>
      </c>
      <c r="AX23" s="185">
        <f t="shared" si="11"/>
        <v>0</v>
      </c>
      <c r="AY23" s="185">
        <f>SUMIF($AO$12:$AO23,$AO23,$AX$12:AX23)</f>
        <v>0</v>
      </c>
    </row>
    <row r="24" spans="1:51" x14ac:dyDescent="0.35">
      <c r="A24" s="7" t="s">
        <v>321</v>
      </c>
      <c r="B24" s="4">
        <v>153.6</v>
      </c>
      <c r="C24" s="141">
        <f t="shared" si="0"/>
        <v>6.3261943986820425E-3</v>
      </c>
      <c r="E24" s="3" t="s">
        <v>322</v>
      </c>
      <c r="N24" t="s">
        <v>323</v>
      </c>
      <c r="O24">
        <f t="shared" si="5"/>
        <v>153.6</v>
      </c>
      <c r="P24">
        <v>24</v>
      </c>
      <c r="Q24">
        <v>320</v>
      </c>
      <c r="R24">
        <v>20</v>
      </c>
      <c r="AK24" s="267" t="str">
        <f>AK12</f>
        <v>April</v>
      </c>
      <c r="AL24" s="267">
        <f>AL12</f>
        <v>4</v>
      </c>
      <c r="AM24" s="269">
        <v>45383</v>
      </c>
      <c r="AN24" s="277">
        <f>YEAR(AM24)</f>
        <v>2024</v>
      </c>
      <c r="AO24" s="270" t="s">
        <v>324</v>
      </c>
      <c r="AP24" s="279">
        <f>DAY(EOMONTH(AM24,0))</f>
        <v>30</v>
      </c>
      <c r="AQ24">
        <f>'Modelling New'!Q14</f>
        <v>0</v>
      </c>
      <c r="AR24" s="261">
        <v>1529.1</v>
      </c>
      <c r="AS24" s="185">
        <f t="shared" si="8"/>
        <v>50.97</v>
      </c>
      <c r="AT24">
        <f t="shared" si="10"/>
        <v>0</v>
      </c>
      <c r="AU24" s="185">
        <f>SUMIF($AO$12:$AO24,$AO24,$AT$12:AT24)</f>
        <v>0</v>
      </c>
      <c r="AV24" s="258">
        <v>1076.1205557784979</v>
      </c>
      <c r="AW24" s="185">
        <f t="shared" si="9"/>
        <v>35.870685192616598</v>
      </c>
      <c r="AX24" s="185">
        <f t="shared" si="11"/>
        <v>0</v>
      </c>
      <c r="AY24" s="185">
        <f>SUMIF($AO$12:$AO24,$AO24,$AX$12:AX24)</f>
        <v>0</v>
      </c>
    </row>
    <row r="25" spans="1:51" x14ac:dyDescent="0.35">
      <c r="A25" s="7" t="s">
        <v>325</v>
      </c>
      <c r="B25" s="4">
        <v>153.6</v>
      </c>
      <c r="C25" s="141">
        <f t="shared" si="0"/>
        <v>6.3261943986820425E-3</v>
      </c>
      <c r="E25" s="3" t="s">
        <v>326</v>
      </c>
      <c r="N25" t="s">
        <v>327</v>
      </c>
      <c r="O25">
        <f t="shared" si="5"/>
        <v>153.6</v>
      </c>
      <c r="P25">
        <v>24</v>
      </c>
      <c r="Q25">
        <v>320</v>
      </c>
      <c r="R25">
        <v>20</v>
      </c>
      <c r="AK25" s="272" t="str">
        <f t="shared" ref="AK25:AL40" si="14">AK13</f>
        <v>May</v>
      </c>
      <c r="AL25" s="272">
        <f t="shared" si="14"/>
        <v>5</v>
      </c>
      <c r="AM25" s="274">
        <v>45413</v>
      </c>
      <c r="AN25" s="276">
        <f>YEAR(AM25)</f>
        <v>2024</v>
      </c>
      <c r="AO25" s="276" t="s">
        <v>324</v>
      </c>
      <c r="AP25" s="278">
        <f>DAY(EOMONTH(AM25,0))</f>
        <v>31</v>
      </c>
      <c r="AQ25">
        <f>'Modelling New'!Q15</f>
        <v>0</v>
      </c>
      <c r="AR25" s="262">
        <v>1573.6000000000001</v>
      </c>
      <c r="AS25" s="185">
        <f t="shared" si="8"/>
        <v>50.761290322580649</v>
      </c>
      <c r="AT25">
        <f t="shared" si="10"/>
        <v>0</v>
      </c>
      <c r="AU25" s="185">
        <f>SUMIF($AO$12:$AO25,$AO25,$AT$12:AT25)</f>
        <v>0</v>
      </c>
      <c r="AV25" s="260">
        <v>2234.9051500539999</v>
      </c>
      <c r="AW25" s="185">
        <f t="shared" si="9"/>
        <v>72.093714517870964</v>
      </c>
      <c r="AX25" s="185">
        <f t="shared" si="11"/>
        <v>0</v>
      </c>
      <c r="AY25" s="185">
        <f>SUMIF($AO$12:$AO25,$AO25,$AX$12:AX25)</f>
        <v>0</v>
      </c>
    </row>
    <row r="26" spans="1:51" x14ac:dyDescent="0.35">
      <c r="A26" s="7" t="s">
        <v>328</v>
      </c>
      <c r="B26" s="4">
        <v>153.6</v>
      </c>
      <c r="C26" s="141">
        <f t="shared" si="0"/>
        <v>6.3261943986820425E-3</v>
      </c>
      <c r="E26" s="3" t="s">
        <v>329</v>
      </c>
      <c r="N26" t="s">
        <v>330</v>
      </c>
      <c r="O26">
        <f t="shared" si="5"/>
        <v>153.6</v>
      </c>
      <c r="P26">
        <v>24</v>
      </c>
      <c r="Q26">
        <v>320</v>
      </c>
      <c r="R26">
        <v>20</v>
      </c>
      <c r="AK26" s="267" t="str">
        <f t="shared" si="14"/>
        <v>June</v>
      </c>
      <c r="AL26" s="267">
        <f t="shared" si="14"/>
        <v>6</v>
      </c>
      <c r="AM26" s="269">
        <v>45444</v>
      </c>
      <c r="AN26" s="270">
        <f t="shared" ref="AN26:AN47" si="15">YEAR(AM26)</f>
        <v>2024</v>
      </c>
      <c r="AO26" s="270" t="s">
        <v>324</v>
      </c>
      <c r="AP26" s="271">
        <f t="shared" ref="AP26:AP47" si="16">DAY(EOMONTH(AM26,0))</f>
        <v>30</v>
      </c>
      <c r="AQ26">
        <f>'Modelling New'!Q16</f>
        <v>0</v>
      </c>
      <c r="AR26" s="261">
        <v>1236.3</v>
      </c>
      <c r="AS26" s="185">
        <f t="shared" si="8"/>
        <v>41.21</v>
      </c>
      <c r="AT26">
        <f t="shared" si="10"/>
        <v>0</v>
      </c>
      <c r="AU26" s="185">
        <f>SUMIF($AO$12:$AO26,$AO26,$AT$12:AT26)</f>
        <v>0</v>
      </c>
      <c r="AV26" s="258">
        <v>1529.1051193114272</v>
      </c>
      <c r="AW26" s="185">
        <f t="shared" si="9"/>
        <v>50.970170643714241</v>
      </c>
      <c r="AX26" s="185">
        <f t="shared" si="11"/>
        <v>0</v>
      </c>
      <c r="AY26" s="185">
        <f>SUMIF($AO$12:$AO26,$AO26,$AX$12:AX26)</f>
        <v>0</v>
      </c>
    </row>
    <row r="27" spans="1:51" x14ac:dyDescent="0.35">
      <c r="A27" s="7" t="s">
        <v>331</v>
      </c>
      <c r="B27" s="4">
        <v>153.6</v>
      </c>
      <c r="C27" s="141">
        <f t="shared" si="0"/>
        <v>6.3261943986820425E-3</v>
      </c>
      <c r="E27" s="3" t="s">
        <v>332</v>
      </c>
      <c r="N27" t="s">
        <v>333</v>
      </c>
      <c r="O27">
        <f t="shared" si="5"/>
        <v>153.6</v>
      </c>
      <c r="P27">
        <v>24</v>
      </c>
      <c r="Q27">
        <v>320</v>
      </c>
      <c r="R27">
        <v>20</v>
      </c>
      <c r="AK27" s="272" t="str">
        <f t="shared" si="14"/>
        <v>July</v>
      </c>
      <c r="AL27" s="272">
        <f t="shared" si="14"/>
        <v>7</v>
      </c>
      <c r="AM27" s="274">
        <v>45474</v>
      </c>
      <c r="AN27" s="276">
        <f t="shared" si="15"/>
        <v>2024</v>
      </c>
      <c r="AO27" s="276" t="s">
        <v>324</v>
      </c>
      <c r="AP27" s="278">
        <f t="shared" si="16"/>
        <v>31</v>
      </c>
      <c r="AQ27">
        <f>'Modelling New'!Q17</f>
        <v>0</v>
      </c>
      <c r="AR27" s="262">
        <v>1124.2</v>
      </c>
      <c r="AS27" s="185">
        <f t="shared" si="8"/>
        <v>36.264516129032259</v>
      </c>
      <c r="AT27">
        <f t="shared" si="10"/>
        <v>0</v>
      </c>
      <c r="AU27" s="185">
        <f>SUMIF($AO$12:$AO27,$AO27,$AT$12:AT27)</f>
        <v>0</v>
      </c>
      <c r="AV27" s="260">
        <v>1300.3807545687864</v>
      </c>
      <c r="AW27" s="185">
        <f t="shared" si="9"/>
        <v>41.947766276412466</v>
      </c>
      <c r="AX27" s="185">
        <f t="shared" si="11"/>
        <v>0</v>
      </c>
      <c r="AY27" s="185">
        <f>SUMIF($AO$12:$AO27,$AO27,$AX$12:AX27)</f>
        <v>0</v>
      </c>
    </row>
    <row r="28" spans="1:51" x14ac:dyDescent="0.35">
      <c r="A28" s="7" t="s">
        <v>334</v>
      </c>
      <c r="B28" s="4">
        <v>153.6</v>
      </c>
      <c r="C28" s="141">
        <f t="shared" si="0"/>
        <v>6.3261943986820425E-3</v>
      </c>
      <c r="N28" t="s">
        <v>335</v>
      </c>
      <c r="O28">
        <f t="shared" si="5"/>
        <v>153.6</v>
      </c>
      <c r="P28">
        <v>24</v>
      </c>
      <c r="Q28">
        <v>320</v>
      </c>
      <c r="R28">
        <v>20</v>
      </c>
      <c r="AK28" s="267" t="str">
        <f t="shared" si="14"/>
        <v>August</v>
      </c>
      <c r="AL28" s="267">
        <f t="shared" si="14"/>
        <v>8</v>
      </c>
      <c r="AM28" s="269">
        <v>45505</v>
      </c>
      <c r="AN28" s="270">
        <f t="shared" si="15"/>
        <v>2024</v>
      </c>
      <c r="AO28" s="270" t="s">
        <v>324</v>
      </c>
      <c r="AP28" s="271">
        <f t="shared" si="16"/>
        <v>31</v>
      </c>
      <c r="AQ28">
        <f>'Modelling New'!Q18</f>
        <v>0</v>
      </c>
      <c r="AR28" s="261">
        <v>1062.2</v>
      </c>
      <c r="AS28" s="185">
        <f t="shared" si="8"/>
        <v>34.264516129032259</v>
      </c>
      <c r="AT28">
        <f t="shared" si="10"/>
        <v>0</v>
      </c>
      <c r="AU28" s="185">
        <f>SUMIF($AO$12:$AO28,$AO28,$AT$12:AT28)</f>
        <v>0</v>
      </c>
      <c r="AV28" s="258">
        <v>1360.0312478976298</v>
      </c>
      <c r="AW28" s="185">
        <f t="shared" si="9"/>
        <v>43.871975738633218</v>
      </c>
      <c r="AX28" s="185">
        <f t="shared" si="11"/>
        <v>0</v>
      </c>
      <c r="AY28" s="185">
        <f>SUMIF($AO$12:$AO28,$AO28,$AX$12:AX28)</f>
        <v>0</v>
      </c>
    </row>
    <row r="29" spans="1:51" x14ac:dyDescent="0.35">
      <c r="A29" s="7" t="s">
        <v>336</v>
      </c>
      <c r="B29" s="4">
        <v>153.6</v>
      </c>
      <c r="C29" s="141">
        <f t="shared" si="0"/>
        <v>6.3261943986820425E-3</v>
      </c>
      <c r="N29" t="s">
        <v>337</v>
      </c>
      <c r="O29">
        <f t="shared" si="5"/>
        <v>0</v>
      </c>
      <c r="P29">
        <v>0</v>
      </c>
      <c r="Q29">
        <v>320</v>
      </c>
      <c r="R29">
        <v>20</v>
      </c>
      <c r="AK29" s="272" t="str">
        <f t="shared" si="14"/>
        <v>September</v>
      </c>
      <c r="AL29" s="272">
        <f t="shared" si="14"/>
        <v>9</v>
      </c>
      <c r="AM29" s="274">
        <v>45536</v>
      </c>
      <c r="AN29" s="276">
        <f t="shared" si="15"/>
        <v>2024</v>
      </c>
      <c r="AO29" s="276" t="s">
        <v>324</v>
      </c>
      <c r="AP29" s="278">
        <f t="shared" si="16"/>
        <v>30</v>
      </c>
      <c r="AQ29">
        <f>'Modelling New'!Q19</f>
        <v>0</v>
      </c>
      <c r="AR29" s="262">
        <v>1203.5999999999999</v>
      </c>
      <c r="AS29" s="185">
        <f t="shared" si="8"/>
        <v>40.119999999999997</v>
      </c>
      <c r="AT29">
        <f t="shared" si="10"/>
        <v>0</v>
      </c>
      <c r="AU29" s="185">
        <f>SUMIF($AO$12:$AO29,$AO29,$AT$12:AT29)</f>
        <v>0</v>
      </c>
      <c r="AV29" s="260">
        <v>1458.5507723633323</v>
      </c>
      <c r="AW29" s="185">
        <f t="shared" si="9"/>
        <v>48.618359078777743</v>
      </c>
      <c r="AX29" s="185">
        <f t="shared" si="11"/>
        <v>0</v>
      </c>
      <c r="AY29" s="185">
        <f>SUMIF($AO$12:$AO29,$AO29,$AX$12:AX29)</f>
        <v>0</v>
      </c>
    </row>
    <row r="30" spans="1:51" x14ac:dyDescent="0.35">
      <c r="A30" s="7" t="s">
        <v>338</v>
      </c>
      <c r="B30" s="4">
        <v>153.6</v>
      </c>
      <c r="C30" s="141">
        <f t="shared" si="0"/>
        <v>6.3261943986820425E-3</v>
      </c>
      <c r="N30" t="s">
        <v>339</v>
      </c>
      <c r="O30">
        <f t="shared" si="5"/>
        <v>156</v>
      </c>
      <c r="P30">
        <v>24</v>
      </c>
      <c r="Q30">
        <v>325</v>
      </c>
      <c r="R30">
        <v>20</v>
      </c>
      <c r="AK30" s="267" t="str">
        <f t="shared" si="14"/>
        <v>October</v>
      </c>
      <c r="AL30" s="267">
        <f t="shared" si="14"/>
        <v>10</v>
      </c>
      <c r="AM30" s="269">
        <v>45566</v>
      </c>
      <c r="AN30" s="270">
        <f t="shared" si="15"/>
        <v>2024</v>
      </c>
      <c r="AO30" s="270" t="s">
        <v>324</v>
      </c>
      <c r="AP30" s="271">
        <f t="shared" si="16"/>
        <v>31</v>
      </c>
      <c r="AQ30">
        <f>'Modelling New'!Q20</f>
        <v>0</v>
      </c>
      <c r="AR30" s="261">
        <v>1489.2</v>
      </c>
      <c r="AS30" s="185">
        <f t="shared" si="8"/>
        <v>48.038709677419355</v>
      </c>
      <c r="AT30">
        <f t="shared" si="10"/>
        <v>0</v>
      </c>
      <c r="AU30" s="185">
        <f>SUMIF($AO$12:$AO30,$AO30,$AT$12:AT30)</f>
        <v>0</v>
      </c>
      <c r="AV30" s="258">
        <v>1865.0720914151709</v>
      </c>
      <c r="AW30" s="185">
        <f t="shared" si="9"/>
        <v>60.163615852102289</v>
      </c>
      <c r="AX30" s="185">
        <f t="shared" si="11"/>
        <v>0</v>
      </c>
      <c r="AY30" s="185">
        <f>SUMIF($AO$12:$AO30,$AO30,$AX$12:AX30)</f>
        <v>0</v>
      </c>
    </row>
    <row r="31" spans="1:51" x14ac:dyDescent="0.35">
      <c r="A31" s="7" t="s">
        <v>340</v>
      </c>
      <c r="B31" s="4">
        <v>153.6</v>
      </c>
      <c r="C31" s="141">
        <f t="shared" si="0"/>
        <v>6.3261943986820425E-3</v>
      </c>
      <c r="N31" t="s">
        <v>341</v>
      </c>
      <c r="O31">
        <f t="shared" si="5"/>
        <v>156</v>
      </c>
      <c r="P31">
        <v>24</v>
      </c>
      <c r="Q31">
        <v>325</v>
      </c>
      <c r="R31">
        <v>20</v>
      </c>
      <c r="AK31" s="272" t="str">
        <f t="shared" si="14"/>
        <v>November</v>
      </c>
      <c r="AL31" s="272">
        <f t="shared" si="14"/>
        <v>11</v>
      </c>
      <c r="AM31" s="274">
        <v>45597</v>
      </c>
      <c r="AN31" s="276">
        <f t="shared" si="15"/>
        <v>2024</v>
      </c>
      <c r="AO31" s="276" t="s">
        <v>324</v>
      </c>
      <c r="AP31" s="278">
        <f t="shared" si="16"/>
        <v>30</v>
      </c>
      <c r="AQ31">
        <f>'Modelling New'!Q21</f>
        <v>0</v>
      </c>
      <c r="AR31" s="262">
        <v>1532.5</v>
      </c>
      <c r="AS31" s="185">
        <f t="shared" si="8"/>
        <v>51.083333333333336</v>
      </c>
      <c r="AT31">
        <f t="shared" si="10"/>
        <v>0</v>
      </c>
      <c r="AU31" s="185">
        <f>SUMIF($AO$12:$AO31,$AO31,$AT$12:AT31)</f>
        <v>0</v>
      </c>
      <c r="AV31" s="260">
        <v>1802.3428629467737</v>
      </c>
      <c r="AW31" s="185">
        <f t="shared" si="9"/>
        <v>60.078095431559127</v>
      </c>
      <c r="AX31" s="185">
        <f t="shared" si="11"/>
        <v>0</v>
      </c>
      <c r="AY31" s="185">
        <f>SUMIF($AO$12:$AO31,$AO31,$AX$12:AX31)</f>
        <v>0</v>
      </c>
    </row>
    <row r="32" spans="1:51" x14ac:dyDescent="0.35">
      <c r="A32" s="7" t="s">
        <v>342</v>
      </c>
      <c r="B32" s="4">
        <v>153.6</v>
      </c>
      <c r="C32" s="141">
        <f t="shared" si="0"/>
        <v>6.3261943986820425E-3</v>
      </c>
      <c r="N32" t="s">
        <v>343</v>
      </c>
      <c r="O32">
        <f t="shared" si="5"/>
        <v>156</v>
      </c>
      <c r="P32">
        <v>24</v>
      </c>
      <c r="Q32">
        <v>325</v>
      </c>
      <c r="R32">
        <v>20</v>
      </c>
      <c r="AK32" s="267" t="str">
        <f t="shared" si="14"/>
        <v>December</v>
      </c>
      <c r="AL32" s="267">
        <f t="shared" si="14"/>
        <v>12</v>
      </c>
      <c r="AM32" s="269">
        <v>45627</v>
      </c>
      <c r="AN32" s="270">
        <f t="shared" si="15"/>
        <v>2024</v>
      </c>
      <c r="AO32" s="270" t="s">
        <v>324</v>
      </c>
      <c r="AP32" s="271">
        <f t="shared" si="16"/>
        <v>31</v>
      </c>
      <c r="AQ32">
        <f>'Modelling New'!Q22</f>
        <v>0</v>
      </c>
      <c r="AR32" s="261">
        <v>1618.3000000000002</v>
      </c>
      <c r="AS32" s="185">
        <f t="shared" si="8"/>
        <v>52.20322580645162</v>
      </c>
      <c r="AT32">
        <f t="shared" si="10"/>
        <v>0</v>
      </c>
      <c r="AU32" s="185">
        <f>SUMIF($AO$12:$AO32,$AO32,$AT$12:AT32)</f>
        <v>0</v>
      </c>
      <c r="AV32" s="258">
        <v>1802.7704650494898</v>
      </c>
      <c r="AW32" s="185">
        <f t="shared" si="9"/>
        <v>58.153885969338383</v>
      </c>
      <c r="AX32" s="185">
        <f t="shared" si="11"/>
        <v>0</v>
      </c>
      <c r="AY32" s="185">
        <f>SUMIF($AO$12:$AO32,$AO32,$AX$12:AX32)</f>
        <v>0</v>
      </c>
    </row>
    <row r="33" spans="1:51" x14ac:dyDescent="0.35">
      <c r="A33" s="7" t="s">
        <v>344</v>
      </c>
      <c r="B33" s="4">
        <v>153.6</v>
      </c>
      <c r="C33" s="141">
        <f t="shared" si="0"/>
        <v>6.3261943986820425E-3</v>
      </c>
      <c r="N33" t="s">
        <v>345</v>
      </c>
      <c r="O33">
        <f t="shared" si="5"/>
        <v>156</v>
      </c>
      <c r="P33">
        <v>24</v>
      </c>
      <c r="Q33">
        <v>325</v>
      </c>
      <c r="R33">
        <v>20</v>
      </c>
      <c r="AK33" s="272" t="str">
        <f t="shared" si="14"/>
        <v>January</v>
      </c>
      <c r="AL33" s="272">
        <f t="shared" si="14"/>
        <v>1</v>
      </c>
      <c r="AM33" s="274">
        <v>45658</v>
      </c>
      <c r="AN33" s="276">
        <f t="shared" si="15"/>
        <v>2025</v>
      </c>
      <c r="AO33" s="276" t="s">
        <v>324</v>
      </c>
      <c r="AP33" s="278">
        <f t="shared" si="16"/>
        <v>31</v>
      </c>
      <c r="AQ33">
        <f>'Modelling New'!Q23</f>
        <v>0</v>
      </c>
      <c r="AR33" s="262">
        <v>1682</v>
      </c>
      <c r="AS33" s="185">
        <f t="shared" si="8"/>
        <v>54.258064516129032</v>
      </c>
      <c r="AT33">
        <f t="shared" si="10"/>
        <v>0</v>
      </c>
      <c r="AU33" s="185">
        <f>SUMIF($AO$12:$AO33,$AO33,$AT$12:AT33)</f>
        <v>0</v>
      </c>
      <c r="AV33" s="260">
        <v>1903.4975871397628</v>
      </c>
      <c r="AW33" s="185">
        <f t="shared" si="9"/>
        <v>61.403147972250416</v>
      </c>
      <c r="AX33" s="185">
        <f t="shared" si="11"/>
        <v>0</v>
      </c>
      <c r="AY33" s="185">
        <f>SUMIF($AO$12:$AO33,$AO33,$AX$12:AX33)</f>
        <v>0</v>
      </c>
    </row>
    <row r="34" spans="1:51" x14ac:dyDescent="0.35">
      <c r="A34" s="7" t="s">
        <v>346</v>
      </c>
      <c r="B34" s="4">
        <v>153.6</v>
      </c>
      <c r="C34" s="141">
        <f t="shared" si="0"/>
        <v>6.3261943986820425E-3</v>
      </c>
      <c r="N34" t="s">
        <v>347</v>
      </c>
      <c r="O34">
        <f t="shared" si="5"/>
        <v>156</v>
      </c>
      <c r="P34">
        <v>24</v>
      </c>
      <c r="Q34">
        <v>325</v>
      </c>
      <c r="R34">
        <v>20</v>
      </c>
      <c r="AK34" s="267" t="str">
        <f t="shared" si="14"/>
        <v>February</v>
      </c>
      <c r="AL34" s="267">
        <f t="shared" si="14"/>
        <v>2</v>
      </c>
      <c r="AM34" s="269">
        <v>45689</v>
      </c>
      <c r="AN34" s="270">
        <f t="shared" si="15"/>
        <v>2025</v>
      </c>
      <c r="AO34" s="270" t="s">
        <v>324</v>
      </c>
      <c r="AP34" s="271">
        <f t="shared" si="16"/>
        <v>28</v>
      </c>
      <c r="AQ34">
        <f>'Modelling New'!Q24</f>
        <v>0</v>
      </c>
      <c r="AR34" s="261">
        <v>1507.7</v>
      </c>
      <c r="AS34" s="185">
        <f t="shared" si="8"/>
        <v>53.846428571428575</v>
      </c>
      <c r="AT34">
        <f t="shared" si="10"/>
        <v>0</v>
      </c>
      <c r="AU34" s="185">
        <f>SUMIF($AO$12:$AO34,$AO34,$AT$12:AT34)</f>
        <v>0</v>
      </c>
      <c r="AV34" s="258">
        <v>1830.8223636943455</v>
      </c>
      <c r="AW34" s="185">
        <f t="shared" si="9"/>
        <v>65.386512989083769</v>
      </c>
      <c r="AX34" s="185">
        <f t="shared" si="11"/>
        <v>0</v>
      </c>
      <c r="AY34" s="185">
        <f>SUMIF($AO$12:$AO34,$AO34,$AX$12:AX34)</f>
        <v>0</v>
      </c>
    </row>
    <row r="35" spans="1:51" x14ac:dyDescent="0.35">
      <c r="A35" s="7" t="s">
        <v>348</v>
      </c>
      <c r="B35" s="4">
        <v>0</v>
      </c>
      <c r="C35" s="141">
        <f t="shared" si="0"/>
        <v>0</v>
      </c>
      <c r="N35" t="s">
        <v>349</v>
      </c>
      <c r="O35">
        <f t="shared" si="5"/>
        <v>156</v>
      </c>
      <c r="P35">
        <v>24</v>
      </c>
      <c r="Q35">
        <v>325</v>
      </c>
      <c r="R35">
        <v>20</v>
      </c>
      <c r="AK35" s="272" t="str">
        <f t="shared" si="14"/>
        <v>March</v>
      </c>
      <c r="AL35" s="272">
        <f t="shared" si="14"/>
        <v>3</v>
      </c>
      <c r="AM35" s="274">
        <v>45717</v>
      </c>
      <c r="AN35" s="276">
        <f t="shared" si="15"/>
        <v>2025</v>
      </c>
      <c r="AO35" s="276" t="s">
        <v>324</v>
      </c>
      <c r="AP35" s="278">
        <f t="shared" si="16"/>
        <v>31</v>
      </c>
      <c r="AQ35">
        <f>'Modelling New'!Q25</f>
        <v>3</v>
      </c>
      <c r="AR35" s="263">
        <v>1649.3</v>
      </c>
      <c r="AS35" s="185">
        <f t="shared" si="8"/>
        <v>53.203225806451613</v>
      </c>
      <c r="AT35">
        <f t="shared" si="10"/>
        <v>159.60967741935485</v>
      </c>
      <c r="AU35" s="185">
        <f>SUMIF($AO$12:$AO35,$AO35,$AT$12:AT35)</f>
        <v>159.60967741935485</v>
      </c>
      <c r="AV35" s="264">
        <v>2350.1429837080996</v>
      </c>
      <c r="AW35" s="185">
        <f t="shared" si="9"/>
        <v>75.811063990583861</v>
      </c>
      <c r="AX35" s="185">
        <f t="shared" si="11"/>
        <v>227.43319197175157</v>
      </c>
      <c r="AY35" s="185">
        <f>SUMIF($AO$12:$AO35,$AO35,$AX$12:AX35)</f>
        <v>227.43319197175157</v>
      </c>
    </row>
    <row r="36" spans="1:51" x14ac:dyDescent="0.35">
      <c r="A36" s="7" t="s">
        <v>350</v>
      </c>
      <c r="B36" s="4">
        <v>156</v>
      </c>
      <c r="C36" s="141">
        <f t="shared" si="0"/>
        <v>6.4250411861614494E-3</v>
      </c>
      <c r="N36" t="s">
        <v>351</v>
      </c>
      <c r="O36">
        <f t="shared" si="5"/>
        <v>149.5</v>
      </c>
      <c r="P36">
        <v>23</v>
      </c>
      <c r="Q36">
        <v>325</v>
      </c>
      <c r="R36">
        <v>20</v>
      </c>
      <c r="AK36" s="267" t="str">
        <f t="shared" si="14"/>
        <v>April</v>
      </c>
      <c r="AL36" s="267">
        <f t="shared" si="14"/>
        <v>4</v>
      </c>
      <c r="AM36" s="269">
        <v>45748</v>
      </c>
      <c r="AN36" s="270">
        <f t="shared" si="15"/>
        <v>2025</v>
      </c>
      <c r="AO36" s="270" t="s">
        <v>352</v>
      </c>
      <c r="AP36" s="271">
        <f t="shared" si="16"/>
        <v>30</v>
      </c>
      <c r="AQ36">
        <f>'Modelling New'!Q26</f>
        <v>30</v>
      </c>
      <c r="AR36" s="265">
        <v>1518.3717248598457</v>
      </c>
      <c r="AS36" s="185">
        <f t="shared" si="8"/>
        <v>50.612390828661525</v>
      </c>
      <c r="AT36">
        <f t="shared" si="10"/>
        <v>1518.3717248598457</v>
      </c>
      <c r="AU36" s="185">
        <f>SUMIF($AO$12:$AO36,$AO36,$AT$12:AT36)</f>
        <v>1518.3717248598457</v>
      </c>
      <c r="AV36" s="266">
        <v>2096.6264798708603</v>
      </c>
      <c r="AW36" s="185">
        <f t="shared" si="9"/>
        <v>69.887549329028673</v>
      </c>
      <c r="AX36" s="185">
        <f t="shared" si="11"/>
        <v>2096.6264798708603</v>
      </c>
      <c r="AY36" s="185">
        <f>SUMIF($AO$12:$AO36,$AO36,$AX$12:AX36)</f>
        <v>2096.6264798708603</v>
      </c>
    </row>
    <row r="37" spans="1:51" x14ac:dyDescent="0.35">
      <c r="A37" s="7" t="s">
        <v>353</v>
      </c>
      <c r="B37" s="4">
        <v>156</v>
      </c>
      <c r="C37" s="141">
        <f t="shared" si="0"/>
        <v>6.4250411861614494E-3</v>
      </c>
      <c r="N37" t="s">
        <v>354</v>
      </c>
      <c r="O37">
        <f t="shared" si="5"/>
        <v>143</v>
      </c>
      <c r="P37">
        <v>22</v>
      </c>
      <c r="Q37">
        <v>325</v>
      </c>
      <c r="R37">
        <v>20</v>
      </c>
      <c r="AK37" s="272" t="str">
        <f t="shared" si="14"/>
        <v>May</v>
      </c>
      <c r="AL37" s="272">
        <f t="shared" si="14"/>
        <v>5</v>
      </c>
      <c r="AM37" s="274">
        <v>45778</v>
      </c>
      <c r="AN37" s="276">
        <f t="shared" si="15"/>
        <v>2025</v>
      </c>
      <c r="AO37" s="276" t="s">
        <v>352</v>
      </c>
      <c r="AP37" s="278">
        <f t="shared" si="16"/>
        <v>31</v>
      </c>
      <c r="AQ37">
        <f>'Modelling New'!Q27</f>
        <v>31</v>
      </c>
      <c r="AR37" s="263">
        <v>1562.5453784313002</v>
      </c>
      <c r="AS37" s="185">
        <f t="shared" si="8"/>
        <v>50.404689626816136</v>
      </c>
      <c r="AT37">
        <f t="shared" si="10"/>
        <v>1562.5453784313002</v>
      </c>
      <c r="AU37" s="185">
        <f>SUMIF($AO$12:$AO37,$AO37,$AT$12:AT37)</f>
        <v>3080.9171032911458</v>
      </c>
      <c r="AV37" s="264">
        <v>2154.5318581330966</v>
      </c>
      <c r="AW37" s="185">
        <f t="shared" si="9"/>
        <v>69.501027681712799</v>
      </c>
      <c r="AX37" s="185">
        <f t="shared" si="11"/>
        <v>2154.5318581330966</v>
      </c>
      <c r="AY37" s="185">
        <f>SUMIF($AO$12:$AO37,$AO37,$AX$12:AX37)</f>
        <v>4251.1583380039574</v>
      </c>
    </row>
    <row r="38" spans="1:51" x14ac:dyDescent="0.35">
      <c r="A38" s="7" t="s">
        <v>355</v>
      </c>
      <c r="B38" s="4">
        <v>156</v>
      </c>
      <c r="C38" s="141">
        <f t="shared" si="0"/>
        <v>6.4250411861614494E-3</v>
      </c>
      <c r="N38" t="s">
        <v>356</v>
      </c>
      <c r="O38">
        <f t="shared" si="5"/>
        <v>156</v>
      </c>
      <c r="P38">
        <v>24</v>
      </c>
      <c r="Q38">
        <v>325</v>
      </c>
      <c r="R38">
        <v>20</v>
      </c>
      <c r="AK38" s="267" t="str">
        <f t="shared" si="14"/>
        <v>June</v>
      </c>
      <c r="AL38" s="267">
        <f t="shared" si="14"/>
        <v>6</v>
      </c>
      <c r="AM38" s="269">
        <v>45809</v>
      </c>
      <c r="AN38" s="270">
        <f t="shared" si="15"/>
        <v>2025</v>
      </c>
      <c r="AO38" s="270" t="s">
        <v>352</v>
      </c>
      <c r="AP38" s="271">
        <f t="shared" si="16"/>
        <v>30</v>
      </c>
      <c r="AQ38">
        <f>'Modelling New'!Q28</f>
        <v>30</v>
      </c>
      <c r="AR38" s="265">
        <v>1227.6924532087487</v>
      </c>
      <c r="AS38" s="185">
        <f t="shared" si="8"/>
        <v>40.923081773624958</v>
      </c>
      <c r="AT38">
        <f t="shared" si="10"/>
        <v>1227.6924532087487</v>
      </c>
      <c r="AU38" s="185">
        <f>SUMIF($AO$12:$AO38,$AO38,$AT$12:AT38)</f>
        <v>4308.6095564998941</v>
      </c>
      <c r="AV38" s="266">
        <v>1505.0582668640955</v>
      </c>
      <c r="AW38" s="185">
        <f t="shared" si="9"/>
        <v>50.168608895469852</v>
      </c>
      <c r="AX38" s="185">
        <f t="shared" si="11"/>
        <v>1505.0582668640955</v>
      </c>
      <c r="AY38" s="185">
        <f>SUMIF($AO$12:$AO38,$AO38,$AX$12:AX38)</f>
        <v>5756.2166048680529</v>
      </c>
    </row>
    <row r="39" spans="1:51" x14ac:dyDescent="0.35">
      <c r="A39" s="7" t="s">
        <v>357</v>
      </c>
      <c r="B39" s="4">
        <v>156</v>
      </c>
      <c r="C39" s="141">
        <f t="shared" si="0"/>
        <v>6.4250411861614494E-3</v>
      </c>
      <c r="N39" t="s">
        <v>358</v>
      </c>
      <c r="O39">
        <f t="shared" si="5"/>
        <v>156</v>
      </c>
      <c r="P39">
        <v>24</v>
      </c>
      <c r="Q39">
        <v>325</v>
      </c>
      <c r="R39">
        <v>20</v>
      </c>
      <c r="AK39" s="272" t="str">
        <f t="shared" si="14"/>
        <v>July</v>
      </c>
      <c r="AL39" s="272">
        <f t="shared" si="14"/>
        <v>7</v>
      </c>
      <c r="AM39" s="274">
        <v>45839</v>
      </c>
      <c r="AN39" s="276">
        <f t="shared" si="15"/>
        <v>2025</v>
      </c>
      <c r="AO39" s="276" t="s">
        <v>352</v>
      </c>
      <c r="AP39" s="278">
        <f t="shared" si="16"/>
        <v>31</v>
      </c>
      <c r="AQ39">
        <f>'Modelling New'!Q29</f>
        <v>31</v>
      </c>
      <c r="AR39" s="263">
        <v>1116.3480657720338</v>
      </c>
      <c r="AS39" s="185">
        <f t="shared" si="8"/>
        <v>36.011227928130126</v>
      </c>
      <c r="AT39">
        <f t="shared" si="10"/>
        <v>1116.3480657720338</v>
      </c>
      <c r="AU39" s="185">
        <f>SUMIF($AO$12:$AO39,$AO39,$AT$12:AT39)</f>
        <v>5424.9576222719279</v>
      </c>
      <c r="AV39" s="264">
        <v>1285.4315977228412</v>
      </c>
      <c r="AW39" s="185">
        <f t="shared" si="9"/>
        <v>41.465535410414233</v>
      </c>
      <c r="AX39" s="185">
        <f t="shared" si="11"/>
        <v>1285.4315977228412</v>
      </c>
      <c r="AY39" s="185">
        <f>SUMIF($AO$12:$AO39,$AO39,$AX$12:AX39)</f>
        <v>7041.6482025908936</v>
      </c>
    </row>
    <row r="40" spans="1:51" x14ac:dyDescent="0.35">
      <c r="A40" s="7" t="s">
        <v>359</v>
      </c>
      <c r="B40" s="4">
        <v>156</v>
      </c>
      <c r="C40" s="141">
        <f t="shared" si="0"/>
        <v>6.4250411861614494E-3</v>
      </c>
      <c r="N40" t="s">
        <v>360</v>
      </c>
      <c r="O40">
        <f t="shared" si="5"/>
        <v>156</v>
      </c>
      <c r="P40">
        <v>24</v>
      </c>
      <c r="Q40">
        <v>325</v>
      </c>
      <c r="R40">
        <v>20</v>
      </c>
      <c r="AK40" s="267" t="str">
        <f t="shared" si="14"/>
        <v>August</v>
      </c>
      <c r="AL40" s="267">
        <f t="shared" si="14"/>
        <v>8</v>
      </c>
      <c r="AM40" s="269">
        <v>45870</v>
      </c>
      <c r="AN40" s="270">
        <f t="shared" si="15"/>
        <v>2025</v>
      </c>
      <c r="AO40" s="270" t="s">
        <v>352</v>
      </c>
      <c r="AP40" s="271">
        <f t="shared" si="16"/>
        <v>31</v>
      </c>
      <c r="AQ40">
        <f>'Modelling New'!Q30</f>
        <v>3</v>
      </c>
      <c r="AR40" s="265">
        <v>1054.8036088535146</v>
      </c>
      <c r="AS40" s="185">
        <f t="shared" si="8"/>
        <v>34.025922866242404</v>
      </c>
      <c r="AT40">
        <f t="shared" si="10"/>
        <v>102.0777685987272</v>
      </c>
      <c r="AU40" s="185">
        <f>SUMIF($AO$12:$AO40,$AO40,$AT$12:AT40)</f>
        <v>5527.0353908706547</v>
      </c>
      <c r="AV40" s="266">
        <v>1365.2799999958136</v>
      </c>
      <c r="AW40" s="185">
        <f t="shared" si="9"/>
        <v>44.041290322445597</v>
      </c>
      <c r="AX40" s="185">
        <f t="shared" si="11"/>
        <v>132.12387096733679</v>
      </c>
      <c r="AY40" s="185">
        <f>SUMIF($AO$12:$AO40,$AO40,$AX$12:AX40)</f>
        <v>7173.7720735582307</v>
      </c>
    </row>
    <row r="41" spans="1:51" x14ac:dyDescent="0.35">
      <c r="A41" s="7" t="s">
        <v>361</v>
      </c>
      <c r="B41" s="4">
        <v>156</v>
      </c>
      <c r="C41" s="141">
        <f t="shared" si="0"/>
        <v>6.4250411861614494E-3</v>
      </c>
      <c r="N41" t="s">
        <v>362</v>
      </c>
      <c r="O41">
        <f t="shared" si="5"/>
        <v>156</v>
      </c>
      <c r="P41">
        <v>24</v>
      </c>
      <c r="Q41">
        <v>325</v>
      </c>
      <c r="R41">
        <v>20</v>
      </c>
      <c r="AK41" s="272" t="str">
        <f t="shared" ref="AK41:AL47" si="17">AK29</f>
        <v>September</v>
      </c>
      <c r="AL41" s="272">
        <f t="shared" si="17"/>
        <v>9</v>
      </c>
      <c r="AM41" s="274">
        <v>45901</v>
      </c>
      <c r="AN41" s="276">
        <f t="shared" si="15"/>
        <v>2025</v>
      </c>
      <c r="AO41" s="276" t="s">
        <v>352</v>
      </c>
      <c r="AP41" s="278">
        <f t="shared" si="16"/>
        <v>30</v>
      </c>
      <c r="AQ41">
        <f>'Modelling New'!Q31</f>
        <v>0</v>
      </c>
      <c r="AR41" s="263">
        <v>1195.2047699065679</v>
      </c>
      <c r="AS41" s="185">
        <f t="shared" si="8"/>
        <v>39.840158996885599</v>
      </c>
      <c r="AT41">
        <f t="shared" si="10"/>
        <v>0</v>
      </c>
      <c r="AU41" s="185">
        <f>SUMIF($AO$12:$AO41,$AO41,$AT$12:AT41)</f>
        <v>5527.0353908706547</v>
      </c>
      <c r="AV41" s="264">
        <v>1549.5399384076629</v>
      </c>
      <c r="AW41" s="185">
        <f t="shared" si="9"/>
        <v>51.651331280255434</v>
      </c>
      <c r="AX41" s="185">
        <f t="shared" si="11"/>
        <v>0</v>
      </c>
      <c r="AY41" s="185">
        <f>SUMIF($AO$12:$AO41,$AO41,$AX$12:AX41)</f>
        <v>7173.7720735582307</v>
      </c>
    </row>
    <row r="42" spans="1:51" x14ac:dyDescent="0.35">
      <c r="A42" s="7" t="s">
        <v>363</v>
      </c>
      <c r="B42" s="4">
        <v>149.5</v>
      </c>
      <c r="C42" s="141">
        <f t="shared" si="0"/>
        <v>6.157331136738056E-3</v>
      </c>
      <c r="N42" t="s">
        <v>364</v>
      </c>
      <c r="O42">
        <f t="shared" si="5"/>
        <v>156</v>
      </c>
      <c r="P42">
        <v>24</v>
      </c>
      <c r="Q42">
        <v>325</v>
      </c>
      <c r="R42">
        <v>20</v>
      </c>
      <c r="AK42" s="267" t="str">
        <f t="shared" si="17"/>
        <v>October</v>
      </c>
      <c r="AL42" s="267">
        <f t="shared" si="17"/>
        <v>10</v>
      </c>
      <c r="AM42" s="269">
        <v>45931</v>
      </c>
      <c r="AN42" s="270">
        <f t="shared" si="15"/>
        <v>2025</v>
      </c>
      <c r="AO42" s="270" t="s">
        <v>352</v>
      </c>
      <c r="AP42" s="271">
        <f t="shared" si="16"/>
        <v>31</v>
      </c>
      <c r="AQ42">
        <f>'Modelling New'!Q32</f>
        <v>0</v>
      </c>
      <c r="AR42" s="265">
        <v>1478.7765342922041</v>
      </c>
      <c r="AS42" s="185">
        <f t="shared" si="8"/>
        <v>47.702468848135616</v>
      </c>
      <c r="AT42">
        <f t="shared" si="10"/>
        <v>0</v>
      </c>
      <c r="AU42" s="185">
        <f>SUMIF($AO$12:$AO42,$AO42,$AT$12:AT42)</f>
        <v>5527.0353908706547</v>
      </c>
      <c r="AV42" s="266">
        <v>1892.6919559685875</v>
      </c>
      <c r="AW42" s="185">
        <f t="shared" si="9"/>
        <v>61.054579224793144</v>
      </c>
      <c r="AX42" s="185">
        <f t="shared" si="11"/>
        <v>0</v>
      </c>
      <c r="AY42" s="185">
        <f>SUMIF($AO$12:$AO42,$AO42,$AX$12:AX42)</f>
        <v>7173.7720735582307</v>
      </c>
    </row>
    <row r="43" spans="1:51" x14ac:dyDescent="0.35">
      <c r="A43" s="7" t="s">
        <v>365</v>
      </c>
      <c r="B43" s="4">
        <v>143</v>
      </c>
      <c r="C43" s="141">
        <f t="shared" si="0"/>
        <v>5.8896210873146618E-3</v>
      </c>
      <c r="N43" t="s">
        <v>366</v>
      </c>
      <c r="O43">
        <f t="shared" si="5"/>
        <v>156</v>
      </c>
      <c r="P43">
        <v>24</v>
      </c>
      <c r="Q43">
        <v>325</v>
      </c>
      <c r="R43">
        <v>20</v>
      </c>
      <c r="AK43" s="272" t="str">
        <f t="shared" si="17"/>
        <v>November</v>
      </c>
      <c r="AL43" s="272">
        <f t="shared" si="17"/>
        <v>11</v>
      </c>
      <c r="AM43" s="274">
        <v>45962</v>
      </c>
      <c r="AN43" s="276">
        <f t="shared" si="15"/>
        <v>2025</v>
      </c>
      <c r="AO43" s="276" t="s">
        <v>352</v>
      </c>
      <c r="AP43" s="278">
        <f t="shared" si="16"/>
        <v>30</v>
      </c>
      <c r="AQ43">
        <f>'Modelling New'!Q33</f>
        <v>0</v>
      </c>
      <c r="AR43" s="263">
        <v>1521.7914809969168</v>
      </c>
      <c r="AS43" s="185">
        <f t="shared" si="8"/>
        <v>50.726382699897229</v>
      </c>
      <c r="AT43">
        <f t="shared" si="10"/>
        <v>0</v>
      </c>
      <c r="AU43" s="185">
        <f>SUMIF($AO$12:$AO43,$AO43,$AT$12:AT43)</f>
        <v>5527.0353908706547</v>
      </c>
      <c r="AV43" s="264">
        <v>1778.6015375956938</v>
      </c>
      <c r="AW43" s="185">
        <f t="shared" si="9"/>
        <v>59.286717919856457</v>
      </c>
      <c r="AX43" s="185">
        <f t="shared" si="11"/>
        <v>0</v>
      </c>
      <c r="AY43" s="185">
        <f>SUMIF($AO$12:$AO43,$AO43,$AX$12:AX43)</f>
        <v>7173.7720735582307</v>
      </c>
    </row>
    <row r="44" spans="1:51" x14ac:dyDescent="0.35">
      <c r="A44" s="7" t="s">
        <v>367</v>
      </c>
      <c r="B44" s="4">
        <v>156</v>
      </c>
      <c r="C44" s="141">
        <f t="shared" si="0"/>
        <v>6.4250411861614494E-3</v>
      </c>
      <c r="N44" t="s">
        <v>368</v>
      </c>
      <c r="O44">
        <f t="shared" si="5"/>
        <v>156</v>
      </c>
      <c r="P44">
        <v>24</v>
      </c>
      <c r="Q44">
        <v>325</v>
      </c>
      <c r="R44">
        <v>20</v>
      </c>
      <c r="AK44" s="267" t="str">
        <f t="shared" si="17"/>
        <v>December</v>
      </c>
      <c r="AL44" s="267">
        <f t="shared" si="17"/>
        <v>12</v>
      </c>
      <c r="AM44" s="269">
        <v>45992</v>
      </c>
      <c r="AN44" s="270">
        <f t="shared" si="15"/>
        <v>2025</v>
      </c>
      <c r="AO44" s="270" t="s">
        <v>352</v>
      </c>
      <c r="AP44" s="271">
        <f t="shared" si="16"/>
        <v>31</v>
      </c>
      <c r="AQ44">
        <f>'Modelling New'!Q34</f>
        <v>0</v>
      </c>
      <c r="AR44" s="265">
        <v>1606.9941528724548</v>
      </c>
      <c r="AS44" s="185">
        <f t="shared" si="8"/>
        <v>51.838521060401767</v>
      </c>
      <c r="AT44">
        <f t="shared" si="10"/>
        <v>0</v>
      </c>
      <c r="AU44" s="185">
        <f>SUMIF($AO$12:$AO44,$AO44,$AT$12:AT44)</f>
        <v>5527.0353908706547</v>
      </c>
      <c r="AV44" s="266">
        <v>1859.0043766578494</v>
      </c>
      <c r="AW44" s="185">
        <f t="shared" si="9"/>
        <v>59.967883117995143</v>
      </c>
      <c r="AX44" s="185">
        <f t="shared" si="11"/>
        <v>0</v>
      </c>
      <c r="AY44" s="185">
        <f>SUMIF($AO$12:$AO44,$AO44,$AX$12:AX44)</f>
        <v>7173.7720735582307</v>
      </c>
    </row>
    <row r="45" spans="1:51" x14ac:dyDescent="0.35">
      <c r="A45" s="7" t="s">
        <v>369</v>
      </c>
      <c r="B45" s="4">
        <v>156</v>
      </c>
      <c r="C45" s="141">
        <f t="shared" si="0"/>
        <v>6.4250411861614494E-3</v>
      </c>
      <c r="N45" t="s">
        <v>370</v>
      </c>
      <c r="O45">
        <f t="shared" si="5"/>
        <v>0</v>
      </c>
      <c r="P45">
        <v>0</v>
      </c>
      <c r="Q45">
        <v>325</v>
      </c>
      <c r="R45">
        <v>20</v>
      </c>
      <c r="AK45" s="272" t="str">
        <f t="shared" si="17"/>
        <v>January</v>
      </c>
      <c r="AL45" s="272">
        <f t="shared" si="17"/>
        <v>1</v>
      </c>
      <c r="AM45" s="274">
        <v>46023</v>
      </c>
      <c r="AN45" s="276">
        <f t="shared" si="15"/>
        <v>2026</v>
      </c>
      <c r="AO45" s="276" t="s">
        <v>352</v>
      </c>
      <c r="AP45" s="278">
        <f t="shared" si="16"/>
        <v>31</v>
      </c>
      <c r="AQ45">
        <f>'Modelling New'!Q35</f>
        <v>0</v>
      </c>
      <c r="AR45" s="263">
        <v>1670.2481780387088</v>
      </c>
      <c r="AS45" s="185">
        <f t="shared" si="8"/>
        <v>53.878973485119637</v>
      </c>
      <c r="AT45">
        <f t="shared" si="10"/>
        <v>0</v>
      </c>
      <c r="AU45" s="185">
        <f>SUMIF($AO$12:$AO45,$AO45,$AT$12:AT45)</f>
        <v>5527.0353908706547</v>
      </c>
      <c r="AV45" s="264">
        <v>1883.4877271695877</v>
      </c>
      <c r="AW45" s="185">
        <f t="shared" si="9"/>
        <v>60.757668618373799</v>
      </c>
      <c r="AX45" s="185">
        <f t="shared" si="11"/>
        <v>0</v>
      </c>
      <c r="AY45" s="185">
        <f>SUMIF($AO$12:$AO45,$AO45,$AX$12:AX45)</f>
        <v>7173.7720735582307</v>
      </c>
    </row>
    <row r="46" spans="1:51" x14ac:dyDescent="0.35">
      <c r="A46" s="7" t="s">
        <v>371</v>
      </c>
      <c r="B46" s="4">
        <v>156</v>
      </c>
      <c r="C46" s="141">
        <f t="shared" si="0"/>
        <v>6.4250411861614494E-3</v>
      </c>
      <c r="N46" t="s">
        <v>372</v>
      </c>
      <c r="O46">
        <f t="shared" si="5"/>
        <v>156</v>
      </c>
      <c r="P46">
        <v>24</v>
      </c>
      <c r="Q46">
        <v>325</v>
      </c>
      <c r="R46">
        <v>20</v>
      </c>
      <c r="AK46" s="267" t="str">
        <f t="shared" si="17"/>
        <v>February</v>
      </c>
      <c r="AL46" s="267">
        <f t="shared" si="17"/>
        <v>2</v>
      </c>
      <c r="AM46" s="269">
        <v>46054</v>
      </c>
      <c r="AN46" s="270">
        <f t="shared" si="15"/>
        <v>2026</v>
      </c>
      <c r="AO46" s="270" t="s">
        <v>352</v>
      </c>
      <c r="AP46" s="271">
        <f t="shared" si="16"/>
        <v>28</v>
      </c>
      <c r="AQ46">
        <f>'Modelling New'!Q36</f>
        <v>0</v>
      </c>
      <c r="AR46" s="265">
        <v>1497.1769268727976</v>
      </c>
      <c r="AS46" s="185">
        <f t="shared" si="8"/>
        <v>53.47060453117134</v>
      </c>
      <c r="AT46">
        <f t="shared" si="10"/>
        <v>0</v>
      </c>
      <c r="AU46" s="185">
        <f>SUMIF($AO$12:$AO46,$AO46,$AT$12:AT46)</f>
        <v>5527.0353908706547</v>
      </c>
      <c r="AV46" s="266">
        <v>1712.4664902561424</v>
      </c>
      <c r="AW46" s="185">
        <f t="shared" si="9"/>
        <v>61.159517509147939</v>
      </c>
      <c r="AX46" s="185">
        <f t="shared" si="11"/>
        <v>0</v>
      </c>
      <c r="AY46" s="185">
        <f>SUMIF($AO$12:$AO46,$AO46,$AX$12:AX46)</f>
        <v>7173.7720735582307</v>
      </c>
    </row>
    <row r="47" spans="1:51" x14ac:dyDescent="0.35">
      <c r="A47" s="7" t="s">
        <v>373</v>
      </c>
      <c r="B47" s="4">
        <v>156</v>
      </c>
      <c r="C47" s="141">
        <f t="shared" si="0"/>
        <v>6.4250411861614494E-3</v>
      </c>
      <c r="N47" t="s">
        <v>374</v>
      </c>
      <c r="O47">
        <f t="shared" si="5"/>
        <v>156</v>
      </c>
      <c r="P47">
        <v>24</v>
      </c>
      <c r="Q47">
        <v>325</v>
      </c>
      <c r="R47">
        <v>20</v>
      </c>
      <c r="AK47" s="272" t="str">
        <f t="shared" si="17"/>
        <v>March</v>
      </c>
      <c r="AL47" s="272">
        <f t="shared" si="17"/>
        <v>3</v>
      </c>
      <c r="AM47" s="280">
        <v>46082</v>
      </c>
      <c r="AN47" s="275">
        <f t="shared" si="15"/>
        <v>2026</v>
      </c>
      <c r="AO47" s="275" t="s">
        <v>352</v>
      </c>
      <c r="AP47" s="249">
        <f t="shared" si="16"/>
        <v>31</v>
      </c>
      <c r="AQ47">
        <f>'Modelling New'!Q37</f>
        <v>0</v>
      </c>
      <c r="AR47" s="263">
        <v>1637.7663813317126</v>
      </c>
      <c r="AS47" s="185">
        <f t="shared" si="8"/>
        <v>52.831173591345568</v>
      </c>
      <c r="AT47">
        <f t="shared" si="10"/>
        <v>0</v>
      </c>
      <c r="AU47" s="185">
        <f>SUMIF($AO$12:$AO47,$AO47,$AT$12:AT47)</f>
        <v>5527.0353908706547</v>
      </c>
      <c r="AV47" s="264">
        <v>2210.2976164805723</v>
      </c>
      <c r="AW47" s="185">
        <f t="shared" si="9"/>
        <v>71.299923112276531</v>
      </c>
      <c r="AX47" s="185">
        <f t="shared" si="11"/>
        <v>0</v>
      </c>
      <c r="AY47" s="185">
        <f>SUMIF($AO$12:$AO47,$AO47,$AX$12:AX47)</f>
        <v>7173.7720735582307</v>
      </c>
    </row>
    <row r="48" spans="1:51" x14ac:dyDescent="0.35">
      <c r="A48" s="7" t="s">
        <v>375</v>
      </c>
      <c r="B48" s="4">
        <v>156</v>
      </c>
      <c r="C48" s="141">
        <f t="shared" si="0"/>
        <v>6.4250411861614494E-3</v>
      </c>
      <c r="N48" t="s">
        <v>376</v>
      </c>
      <c r="O48">
        <f t="shared" si="5"/>
        <v>149.5</v>
      </c>
      <c r="P48">
        <v>23</v>
      </c>
      <c r="Q48">
        <v>325</v>
      </c>
      <c r="R48">
        <v>20</v>
      </c>
    </row>
    <row r="49" spans="1:18" x14ac:dyDescent="0.35">
      <c r="A49" s="7" t="s">
        <v>377</v>
      </c>
      <c r="B49" s="4">
        <v>156</v>
      </c>
      <c r="C49" s="141">
        <f t="shared" si="0"/>
        <v>6.4250411861614494E-3</v>
      </c>
      <c r="N49" t="s">
        <v>378</v>
      </c>
      <c r="O49">
        <f t="shared" si="5"/>
        <v>149.5</v>
      </c>
      <c r="P49">
        <v>23</v>
      </c>
      <c r="Q49">
        <v>325</v>
      </c>
      <c r="R49">
        <v>20</v>
      </c>
    </row>
    <row r="50" spans="1:18" x14ac:dyDescent="0.35">
      <c r="A50" s="7" t="s">
        <v>379</v>
      </c>
      <c r="B50" s="4">
        <v>156</v>
      </c>
      <c r="C50" s="141">
        <f t="shared" si="0"/>
        <v>6.4250411861614494E-3</v>
      </c>
      <c r="N50" t="s">
        <v>380</v>
      </c>
      <c r="O50">
        <f t="shared" si="5"/>
        <v>149.5</v>
      </c>
      <c r="P50">
        <v>23</v>
      </c>
      <c r="Q50">
        <v>325</v>
      </c>
      <c r="R50">
        <v>20</v>
      </c>
    </row>
    <row r="51" spans="1:18" x14ac:dyDescent="0.35">
      <c r="A51" s="7" t="s">
        <v>381</v>
      </c>
      <c r="B51" s="4">
        <v>0</v>
      </c>
      <c r="C51" s="141">
        <f t="shared" si="0"/>
        <v>0</v>
      </c>
      <c r="N51" t="s">
        <v>382</v>
      </c>
      <c r="O51">
        <f t="shared" si="5"/>
        <v>149.5</v>
      </c>
      <c r="P51">
        <v>23</v>
      </c>
      <c r="Q51">
        <v>325</v>
      </c>
      <c r="R51">
        <v>20</v>
      </c>
    </row>
    <row r="52" spans="1:18" x14ac:dyDescent="0.35">
      <c r="A52" s="7" t="s">
        <v>383</v>
      </c>
      <c r="B52" s="4">
        <v>156</v>
      </c>
      <c r="C52" s="141">
        <f t="shared" si="0"/>
        <v>6.4250411861614494E-3</v>
      </c>
      <c r="N52" t="s">
        <v>384</v>
      </c>
      <c r="O52">
        <f t="shared" si="5"/>
        <v>149.5</v>
      </c>
      <c r="P52">
        <v>23</v>
      </c>
      <c r="Q52">
        <v>325</v>
      </c>
      <c r="R52">
        <v>20</v>
      </c>
    </row>
    <row r="53" spans="1:18" x14ac:dyDescent="0.35">
      <c r="A53" s="7" t="s">
        <v>385</v>
      </c>
      <c r="B53" s="4">
        <v>156</v>
      </c>
      <c r="C53" s="141">
        <f t="shared" si="0"/>
        <v>6.4250411861614494E-3</v>
      </c>
      <c r="N53" t="s">
        <v>386</v>
      </c>
      <c r="O53">
        <f t="shared" si="5"/>
        <v>149.5</v>
      </c>
      <c r="P53">
        <v>23</v>
      </c>
      <c r="Q53">
        <v>325</v>
      </c>
      <c r="R53">
        <v>20</v>
      </c>
    </row>
    <row r="54" spans="1:18" x14ac:dyDescent="0.35">
      <c r="A54" s="7" t="s">
        <v>387</v>
      </c>
      <c r="B54" s="4">
        <v>149.5</v>
      </c>
      <c r="C54" s="141">
        <f t="shared" si="0"/>
        <v>6.157331136738056E-3</v>
      </c>
      <c r="N54" t="s">
        <v>388</v>
      </c>
      <c r="O54">
        <f t="shared" si="5"/>
        <v>156</v>
      </c>
      <c r="P54">
        <v>24</v>
      </c>
      <c r="Q54">
        <v>325</v>
      </c>
      <c r="R54">
        <v>20</v>
      </c>
    </row>
    <row r="55" spans="1:18" x14ac:dyDescent="0.35">
      <c r="A55" s="7" t="s">
        <v>389</v>
      </c>
      <c r="B55" s="4">
        <v>149.5</v>
      </c>
      <c r="C55" s="141">
        <f t="shared" si="0"/>
        <v>6.157331136738056E-3</v>
      </c>
      <c r="N55" t="s">
        <v>390</v>
      </c>
      <c r="O55">
        <f t="shared" si="5"/>
        <v>156</v>
      </c>
      <c r="P55">
        <v>24</v>
      </c>
      <c r="Q55">
        <v>325</v>
      </c>
      <c r="R55">
        <v>20</v>
      </c>
    </row>
    <row r="56" spans="1:18" x14ac:dyDescent="0.35">
      <c r="A56" s="7" t="s">
        <v>391</v>
      </c>
      <c r="B56" s="4">
        <v>149.5</v>
      </c>
      <c r="C56" s="141">
        <f t="shared" si="0"/>
        <v>6.157331136738056E-3</v>
      </c>
      <c r="N56" t="s">
        <v>392</v>
      </c>
      <c r="O56">
        <f t="shared" si="5"/>
        <v>156</v>
      </c>
      <c r="P56">
        <v>24</v>
      </c>
      <c r="Q56">
        <v>325</v>
      </c>
      <c r="R56">
        <v>20</v>
      </c>
    </row>
    <row r="57" spans="1:18" x14ac:dyDescent="0.35">
      <c r="A57" s="7" t="s">
        <v>393</v>
      </c>
      <c r="B57" s="4">
        <v>149.5</v>
      </c>
      <c r="C57" s="141">
        <f t="shared" si="0"/>
        <v>6.157331136738056E-3</v>
      </c>
      <c r="N57" t="s">
        <v>394</v>
      </c>
      <c r="O57">
        <f t="shared" si="5"/>
        <v>156</v>
      </c>
      <c r="P57">
        <v>24</v>
      </c>
      <c r="Q57">
        <v>325</v>
      </c>
      <c r="R57">
        <v>20</v>
      </c>
    </row>
    <row r="58" spans="1:18" x14ac:dyDescent="0.35">
      <c r="A58" s="7" t="s">
        <v>395</v>
      </c>
      <c r="B58" s="4">
        <v>149.5</v>
      </c>
      <c r="C58" s="141">
        <f t="shared" si="0"/>
        <v>6.157331136738056E-3</v>
      </c>
      <c r="N58" t="s">
        <v>396</v>
      </c>
      <c r="O58">
        <f t="shared" si="5"/>
        <v>149.5</v>
      </c>
      <c r="P58">
        <v>23</v>
      </c>
      <c r="Q58">
        <v>325</v>
      </c>
      <c r="R58">
        <v>20</v>
      </c>
    </row>
    <row r="59" spans="1:18" x14ac:dyDescent="0.35">
      <c r="A59" s="7" t="s">
        <v>397</v>
      </c>
      <c r="B59" s="4">
        <v>149.5</v>
      </c>
      <c r="C59" s="141">
        <f t="shared" si="0"/>
        <v>6.157331136738056E-3</v>
      </c>
      <c r="N59" t="s">
        <v>398</v>
      </c>
      <c r="O59">
        <f t="shared" si="5"/>
        <v>149.5</v>
      </c>
      <c r="P59">
        <v>23</v>
      </c>
      <c r="Q59">
        <v>325</v>
      </c>
      <c r="R59">
        <v>20</v>
      </c>
    </row>
    <row r="60" spans="1:18" x14ac:dyDescent="0.35">
      <c r="A60" s="7" t="s">
        <v>399</v>
      </c>
      <c r="B60" s="4">
        <v>156</v>
      </c>
      <c r="C60" s="141">
        <f t="shared" si="0"/>
        <v>6.4250411861614494E-3</v>
      </c>
      <c r="N60" t="s">
        <v>400</v>
      </c>
      <c r="O60">
        <f t="shared" si="5"/>
        <v>149.5</v>
      </c>
      <c r="P60">
        <v>23</v>
      </c>
      <c r="Q60">
        <v>325</v>
      </c>
      <c r="R60">
        <v>20</v>
      </c>
    </row>
    <row r="61" spans="1:18" x14ac:dyDescent="0.35">
      <c r="A61" s="7" t="s">
        <v>401</v>
      </c>
      <c r="B61" s="4">
        <v>156</v>
      </c>
      <c r="C61" s="141">
        <f t="shared" si="0"/>
        <v>6.4250411861614494E-3</v>
      </c>
      <c r="N61" t="s">
        <v>402</v>
      </c>
      <c r="O61">
        <f t="shared" si="5"/>
        <v>149.5</v>
      </c>
      <c r="P61">
        <v>23</v>
      </c>
      <c r="Q61">
        <v>325</v>
      </c>
      <c r="R61">
        <v>20</v>
      </c>
    </row>
    <row r="62" spans="1:18" x14ac:dyDescent="0.35">
      <c r="A62" s="7" t="s">
        <v>403</v>
      </c>
      <c r="B62" s="4">
        <v>156</v>
      </c>
      <c r="C62" s="141">
        <f t="shared" si="0"/>
        <v>6.4250411861614494E-3</v>
      </c>
      <c r="N62" t="s">
        <v>404</v>
      </c>
      <c r="O62">
        <f t="shared" si="5"/>
        <v>153.6</v>
      </c>
      <c r="P62">
        <v>24</v>
      </c>
      <c r="Q62">
        <v>320</v>
      </c>
      <c r="R62">
        <v>20</v>
      </c>
    </row>
    <row r="63" spans="1:18" x14ac:dyDescent="0.35">
      <c r="A63" s="7" t="s">
        <v>405</v>
      </c>
      <c r="B63" s="4">
        <v>156</v>
      </c>
      <c r="C63" s="141">
        <f t="shared" si="0"/>
        <v>6.4250411861614494E-3</v>
      </c>
      <c r="N63" t="s">
        <v>406</v>
      </c>
      <c r="O63">
        <f t="shared" si="5"/>
        <v>153.6</v>
      </c>
      <c r="P63">
        <v>24</v>
      </c>
      <c r="Q63">
        <v>320</v>
      </c>
      <c r="R63">
        <v>20</v>
      </c>
    </row>
    <row r="64" spans="1:18" x14ac:dyDescent="0.35">
      <c r="A64" s="7" t="s">
        <v>407</v>
      </c>
      <c r="B64" s="4">
        <v>149.5</v>
      </c>
      <c r="C64" s="141">
        <f t="shared" si="0"/>
        <v>6.157331136738056E-3</v>
      </c>
      <c r="N64" t="s">
        <v>408</v>
      </c>
      <c r="O64">
        <f t="shared" si="5"/>
        <v>153.6</v>
      </c>
      <c r="P64">
        <v>24</v>
      </c>
      <c r="Q64">
        <v>320</v>
      </c>
      <c r="R64">
        <v>20</v>
      </c>
    </row>
    <row r="65" spans="1:18" x14ac:dyDescent="0.35">
      <c r="A65" s="7" t="s">
        <v>409</v>
      </c>
      <c r="B65" s="4">
        <v>149.5</v>
      </c>
      <c r="C65" s="141">
        <f t="shared" si="0"/>
        <v>6.157331136738056E-3</v>
      </c>
      <c r="N65" t="s">
        <v>410</v>
      </c>
      <c r="O65">
        <f t="shared" si="5"/>
        <v>153.6</v>
      </c>
      <c r="P65">
        <v>24</v>
      </c>
      <c r="Q65">
        <v>320</v>
      </c>
      <c r="R65">
        <v>20</v>
      </c>
    </row>
    <row r="66" spans="1:18" x14ac:dyDescent="0.35">
      <c r="A66" s="7" t="s">
        <v>411</v>
      </c>
      <c r="B66" s="4">
        <v>149.5</v>
      </c>
      <c r="C66" s="141">
        <f t="shared" si="0"/>
        <v>6.157331136738056E-3</v>
      </c>
      <c r="N66" t="s">
        <v>412</v>
      </c>
      <c r="O66">
        <f t="shared" si="5"/>
        <v>153.6</v>
      </c>
      <c r="P66">
        <v>24</v>
      </c>
      <c r="Q66">
        <v>320</v>
      </c>
      <c r="R66">
        <v>20</v>
      </c>
    </row>
    <row r="67" spans="1:18" x14ac:dyDescent="0.35">
      <c r="A67" s="7" t="s">
        <v>413</v>
      </c>
      <c r="B67" s="4">
        <v>149.5</v>
      </c>
      <c r="C67" s="141">
        <f t="shared" ref="C67:C110" si="18">IFERROR(B67/$V$5,"")</f>
        <v>6.157331136738056E-3</v>
      </c>
      <c r="N67" t="s">
        <v>414</v>
      </c>
      <c r="O67">
        <f t="shared" si="5"/>
        <v>153.6</v>
      </c>
      <c r="P67">
        <v>24</v>
      </c>
      <c r="Q67">
        <v>320</v>
      </c>
      <c r="R67">
        <v>20</v>
      </c>
    </row>
    <row r="68" spans="1:18" x14ac:dyDescent="0.35">
      <c r="A68" s="7" t="s">
        <v>415</v>
      </c>
      <c r="B68" s="4">
        <v>153.6</v>
      </c>
      <c r="C68" s="141">
        <f t="shared" si="18"/>
        <v>6.3261943986820425E-3</v>
      </c>
      <c r="N68" t="s">
        <v>416</v>
      </c>
      <c r="O68">
        <f t="shared" si="5"/>
        <v>153.6</v>
      </c>
      <c r="P68">
        <v>24</v>
      </c>
      <c r="Q68">
        <v>320</v>
      </c>
      <c r="R68">
        <v>20</v>
      </c>
    </row>
    <row r="69" spans="1:18" x14ac:dyDescent="0.35">
      <c r="A69" s="7" t="s">
        <v>417</v>
      </c>
      <c r="B69" s="4">
        <v>153.6</v>
      </c>
      <c r="C69" s="141">
        <f t="shared" si="18"/>
        <v>6.3261943986820425E-3</v>
      </c>
      <c r="N69" t="s">
        <v>418</v>
      </c>
      <c r="O69">
        <f t="shared" si="5"/>
        <v>0</v>
      </c>
      <c r="P69">
        <v>0</v>
      </c>
      <c r="Q69">
        <v>320</v>
      </c>
      <c r="R69">
        <v>20</v>
      </c>
    </row>
    <row r="70" spans="1:18" x14ac:dyDescent="0.35">
      <c r="A70" s="7" t="s">
        <v>419</v>
      </c>
      <c r="B70" s="4">
        <v>153.6</v>
      </c>
      <c r="C70" s="141">
        <f t="shared" si="18"/>
        <v>6.3261943986820425E-3</v>
      </c>
      <c r="N70" t="s">
        <v>420</v>
      </c>
      <c r="O70">
        <f t="shared" si="5"/>
        <v>156</v>
      </c>
      <c r="P70">
        <v>24</v>
      </c>
      <c r="Q70">
        <v>325</v>
      </c>
      <c r="R70">
        <v>20</v>
      </c>
    </row>
    <row r="71" spans="1:18" x14ac:dyDescent="0.35">
      <c r="A71" s="7" t="s">
        <v>421</v>
      </c>
      <c r="B71" s="4">
        <v>153.6</v>
      </c>
      <c r="C71" s="141">
        <f t="shared" si="18"/>
        <v>6.3261943986820425E-3</v>
      </c>
      <c r="N71" t="s">
        <v>422</v>
      </c>
      <c r="O71">
        <f t="shared" ref="O71:O85" si="19">Q71*P71*R71/1000</f>
        <v>156</v>
      </c>
      <c r="P71">
        <v>24</v>
      </c>
      <c r="Q71">
        <v>325</v>
      </c>
      <c r="R71">
        <v>20</v>
      </c>
    </row>
    <row r="72" spans="1:18" x14ac:dyDescent="0.35">
      <c r="A72" s="7" t="s">
        <v>423</v>
      </c>
      <c r="B72" s="4">
        <v>153.6</v>
      </c>
      <c r="C72" s="141">
        <f t="shared" si="18"/>
        <v>6.3261943986820425E-3</v>
      </c>
      <c r="N72" t="s">
        <v>424</v>
      </c>
      <c r="O72">
        <f t="shared" si="19"/>
        <v>156</v>
      </c>
      <c r="P72">
        <v>24</v>
      </c>
      <c r="Q72">
        <v>325</v>
      </c>
      <c r="R72">
        <v>20</v>
      </c>
    </row>
    <row r="73" spans="1:18" x14ac:dyDescent="0.35">
      <c r="A73" s="7" t="s">
        <v>425</v>
      </c>
      <c r="B73" s="4">
        <v>153.6</v>
      </c>
      <c r="C73" s="141">
        <f t="shared" si="18"/>
        <v>6.3261943986820425E-3</v>
      </c>
      <c r="N73" t="s">
        <v>426</v>
      </c>
      <c r="O73">
        <f t="shared" si="19"/>
        <v>156</v>
      </c>
      <c r="P73">
        <v>24</v>
      </c>
      <c r="Q73">
        <v>325</v>
      </c>
      <c r="R73">
        <v>20</v>
      </c>
    </row>
    <row r="74" spans="1:18" x14ac:dyDescent="0.35">
      <c r="A74" s="7" t="s">
        <v>427</v>
      </c>
      <c r="B74" s="4">
        <v>153.6</v>
      </c>
      <c r="C74" s="141">
        <f t="shared" si="18"/>
        <v>6.3261943986820425E-3</v>
      </c>
      <c r="N74" t="s">
        <v>428</v>
      </c>
      <c r="O74">
        <f t="shared" si="19"/>
        <v>149.5</v>
      </c>
      <c r="P74">
        <v>23</v>
      </c>
      <c r="Q74">
        <v>325</v>
      </c>
      <c r="R74">
        <v>20</v>
      </c>
    </row>
    <row r="75" spans="1:18" x14ac:dyDescent="0.35">
      <c r="A75" s="7" t="s">
        <v>429</v>
      </c>
      <c r="B75" s="4">
        <v>0</v>
      </c>
      <c r="C75" s="141">
        <f t="shared" si="18"/>
        <v>0</v>
      </c>
      <c r="N75" t="s">
        <v>430</v>
      </c>
      <c r="O75">
        <f t="shared" si="19"/>
        <v>149.5</v>
      </c>
      <c r="P75">
        <v>23</v>
      </c>
      <c r="Q75">
        <v>325</v>
      </c>
      <c r="R75">
        <v>20</v>
      </c>
    </row>
    <row r="76" spans="1:18" x14ac:dyDescent="0.35">
      <c r="A76" s="7" t="s">
        <v>431</v>
      </c>
      <c r="B76" s="4">
        <v>156</v>
      </c>
      <c r="C76" s="141">
        <f t="shared" si="18"/>
        <v>6.4250411861614494E-3</v>
      </c>
      <c r="N76" t="s">
        <v>432</v>
      </c>
      <c r="O76">
        <f t="shared" si="19"/>
        <v>149.5</v>
      </c>
      <c r="P76">
        <v>23</v>
      </c>
      <c r="Q76">
        <v>325</v>
      </c>
      <c r="R76">
        <v>20</v>
      </c>
    </row>
    <row r="77" spans="1:18" x14ac:dyDescent="0.35">
      <c r="A77" s="7" t="s">
        <v>433</v>
      </c>
      <c r="B77" s="4">
        <v>156</v>
      </c>
      <c r="C77" s="141">
        <f t="shared" si="18"/>
        <v>6.4250411861614494E-3</v>
      </c>
      <c r="N77" t="s">
        <v>434</v>
      </c>
      <c r="O77">
        <f t="shared" si="19"/>
        <v>149.5</v>
      </c>
      <c r="P77">
        <v>23</v>
      </c>
      <c r="Q77">
        <v>325</v>
      </c>
      <c r="R77">
        <v>20</v>
      </c>
    </row>
    <row r="78" spans="1:18" x14ac:dyDescent="0.35">
      <c r="A78" s="7" t="s">
        <v>435</v>
      </c>
      <c r="B78" s="4">
        <v>156</v>
      </c>
      <c r="C78" s="141">
        <f t="shared" si="18"/>
        <v>6.4250411861614494E-3</v>
      </c>
      <c r="N78" t="s">
        <v>436</v>
      </c>
      <c r="O78">
        <f t="shared" si="19"/>
        <v>153.6</v>
      </c>
      <c r="P78">
        <v>24</v>
      </c>
      <c r="Q78">
        <v>320</v>
      </c>
      <c r="R78">
        <v>20</v>
      </c>
    </row>
    <row r="79" spans="1:18" x14ac:dyDescent="0.35">
      <c r="A79" s="7" t="s">
        <v>437</v>
      </c>
      <c r="B79" s="4">
        <v>156</v>
      </c>
      <c r="C79" s="141">
        <f t="shared" si="18"/>
        <v>6.4250411861614494E-3</v>
      </c>
      <c r="N79" t="s">
        <v>438</v>
      </c>
      <c r="O79">
        <f t="shared" si="19"/>
        <v>153.6</v>
      </c>
      <c r="P79">
        <v>24</v>
      </c>
      <c r="Q79">
        <v>320</v>
      </c>
      <c r="R79">
        <v>20</v>
      </c>
    </row>
    <row r="80" spans="1:18" x14ac:dyDescent="0.35">
      <c r="A80" s="7" t="s">
        <v>439</v>
      </c>
      <c r="B80" s="4">
        <v>149.5</v>
      </c>
      <c r="C80" s="141">
        <f t="shared" si="18"/>
        <v>6.157331136738056E-3</v>
      </c>
      <c r="N80" t="s">
        <v>440</v>
      </c>
      <c r="O80">
        <f t="shared" si="19"/>
        <v>153.6</v>
      </c>
      <c r="P80">
        <v>24</v>
      </c>
      <c r="Q80">
        <v>320</v>
      </c>
      <c r="R80">
        <v>20</v>
      </c>
    </row>
    <row r="81" spans="1:18" x14ac:dyDescent="0.35">
      <c r="A81" s="7" t="s">
        <v>441</v>
      </c>
      <c r="B81" s="4">
        <v>149.5</v>
      </c>
      <c r="C81" s="141">
        <f t="shared" si="18"/>
        <v>6.157331136738056E-3</v>
      </c>
      <c r="N81" t="s">
        <v>442</v>
      </c>
      <c r="O81">
        <f t="shared" si="19"/>
        <v>153.6</v>
      </c>
      <c r="P81">
        <v>24</v>
      </c>
      <c r="Q81">
        <v>320</v>
      </c>
      <c r="R81">
        <v>20</v>
      </c>
    </row>
    <row r="82" spans="1:18" x14ac:dyDescent="0.35">
      <c r="A82" s="7" t="s">
        <v>443</v>
      </c>
      <c r="B82" s="4">
        <v>149.5</v>
      </c>
      <c r="C82" s="141">
        <f t="shared" si="18"/>
        <v>6.157331136738056E-3</v>
      </c>
      <c r="N82" t="s">
        <v>444</v>
      </c>
      <c r="O82">
        <f t="shared" si="19"/>
        <v>153.6</v>
      </c>
      <c r="P82">
        <v>24</v>
      </c>
      <c r="Q82">
        <v>320</v>
      </c>
      <c r="R82">
        <v>20</v>
      </c>
    </row>
    <row r="83" spans="1:18" x14ac:dyDescent="0.35">
      <c r="A83" s="7" t="s">
        <v>445</v>
      </c>
      <c r="B83" s="4">
        <v>149.5</v>
      </c>
      <c r="C83" s="141">
        <f t="shared" si="18"/>
        <v>6.157331136738056E-3</v>
      </c>
      <c r="N83" t="s">
        <v>446</v>
      </c>
      <c r="O83">
        <f t="shared" si="19"/>
        <v>153.6</v>
      </c>
      <c r="P83">
        <v>24</v>
      </c>
      <c r="Q83">
        <v>320</v>
      </c>
      <c r="R83">
        <v>20</v>
      </c>
    </row>
    <row r="84" spans="1:18" x14ac:dyDescent="0.35">
      <c r="A84" s="7" t="s">
        <v>447</v>
      </c>
      <c r="B84" s="4">
        <v>153.6</v>
      </c>
      <c r="C84" s="141">
        <f t="shared" si="18"/>
        <v>6.3261943986820425E-3</v>
      </c>
      <c r="N84" t="s">
        <v>448</v>
      </c>
      <c r="O84">
        <f t="shared" si="19"/>
        <v>153.6</v>
      </c>
      <c r="P84">
        <v>24</v>
      </c>
      <c r="Q84">
        <v>320</v>
      </c>
      <c r="R84">
        <v>20</v>
      </c>
    </row>
    <row r="85" spans="1:18" x14ac:dyDescent="0.35">
      <c r="A85" s="7" t="s">
        <v>449</v>
      </c>
      <c r="B85" s="4">
        <v>153.6</v>
      </c>
      <c r="C85" s="141">
        <f t="shared" si="18"/>
        <v>6.3261943986820425E-3</v>
      </c>
      <c r="N85" t="s">
        <v>450</v>
      </c>
      <c r="O85">
        <f t="shared" si="19"/>
        <v>0</v>
      </c>
      <c r="P85">
        <v>0</v>
      </c>
      <c r="Q85">
        <v>320</v>
      </c>
      <c r="R85">
        <v>20</v>
      </c>
    </row>
    <row r="86" spans="1:18" x14ac:dyDescent="0.35">
      <c r="A86" s="7" t="s">
        <v>451</v>
      </c>
      <c r="B86" s="4">
        <v>153.6</v>
      </c>
      <c r="C86" s="141">
        <f t="shared" si="18"/>
        <v>6.3261943986820425E-3</v>
      </c>
      <c r="O86">
        <f>SUM(O6:O85)</f>
        <v>11503.100000000004</v>
      </c>
      <c r="P86">
        <f>SUM(P6:P85)</f>
        <v>1783</v>
      </c>
    </row>
    <row r="87" spans="1:18" x14ac:dyDescent="0.35">
      <c r="A87" s="7" t="s">
        <v>452</v>
      </c>
      <c r="B87" s="4">
        <v>153.6</v>
      </c>
      <c r="C87" s="141">
        <f t="shared" si="18"/>
        <v>6.3261943986820425E-3</v>
      </c>
    </row>
    <row r="88" spans="1:18" x14ac:dyDescent="0.35">
      <c r="A88" s="7" t="s">
        <v>453</v>
      </c>
      <c r="B88" s="4">
        <v>153.6</v>
      </c>
      <c r="C88" s="141">
        <f t="shared" si="18"/>
        <v>6.3261943986820425E-3</v>
      </c>
    </row>
    <row r="89" spans="1:18" x14ac:dyDescent="0.35">
      <c r="A89" s="7" t="s">
        <v>454</v>
      </c>
      <c r="B89" s="4">
        <v>153.6</v>
      </c>
      <c r="C89" s="141">
        <f t="shared" si="18"/>
        <v>6.3261943986820425E-3</v>
      </c>
    </row>
    <row r="90" spans="1:18" x14ac:dyDescent="0.35">
      <c r="A90" s="7" t="s">
        <v>455</v>
      </c>
      <c r="B90" s="4">
        <v>153.6</v>
      </c>
      <c r="C90" s="141">
        <f t="shared" si="18"/>
        <v>6.3261943986820425E-3</v>
      </c>
    </row>
    <row r="91" spans="1:18" x14ac:dyDescent="0.35">
      <c r="A91" s="7" t="s">
        <v>456</v>
      </c>
      <c r="B91" s="4">
        <v>0</v>
      </c>
      <c r="C91" s="141">
        <f t="shared" si="18"/>
        <v>0</v>
      </c>
    </row>
    <row r="92" spans="1:18" x14ac:dyDescent="0.35">
      <c r="A92" s="7" t="s">
        <v>457</v>
      </c>
      <c r="B92" s="4">
        <v>2300</v>
      </c>
      <c r="C92" s="141">
        <f t="shared" si="18"/>
        <v>9.4728171334431635E-2</v>
      </c>
    </row>
    <row r="93" spans="1:18" x14ac:dyDescent="0.35">
      <c r="A93" s="7" t="s">
        <v>458</v>
      </c>
      <c r="B93" s="4">
        <v>2300</v>
      </c>
      <c r="C93" s="141">
        <f t="shared" si="18"/>
        <v>9.4728171334431635E-2</v>
      </c>
    </row>
    <row r="94" spans="1:18" x14ac:dyDescent="0.35">
      <c r="A94" s="7" t="s">
        <v>459</v>
      </c>
      <c r="B94" s="4">
        <v>2300</v>
      </c>
      <c r="C94" s="141">
        <f t="shared" si="18"/>
        <v>9.4728171334431635E-2</v>
      </c>
    </row>
    <row r="95" spans="1:18" x14ac:dyDescent="0.35">
      <c r="A95" s="7" t="s">
        <v>460</v>
      </c>
      <c r="B95" s="4">
        <v>2300</v>
      </c>
      <c r="C95" s="141">
        <f t="shared" si="18"/>
        <v>9.4728171334431635E-2</v>
      </c>
    </row>
    <row r="96" spans="1:18" x14ac:dyDescent="0.35">
      <c r="A96" s="7" t="s">
        <v>461</v>
      </c>
      <c r="B96" s="4">
        <v>2300</v>
      </c>
      <c r="C96" s="141">
        <f t="shared" si="18"/>
        <v>9.4728171334431635E-2</v>
      </c>
    </row>
    <row r="97" spans="1:3" x14ac:dyDescent="0.35">
      <c r="A97" s="7" t="s">
        <v>462</v>
      </c>
      <c r="B97" s="4">
        <v>2300</v>
      </c>
      <c r="C97" s="141">
        <f t="shared" si="18"/>
        <v>9.4728171334431635E-2</v>
      </c>
    </row>
    <row r="98" spans="1:3" x14ac:dyDescent="0.35">
      <c r="A98" s="7" t="s">
        <v>463</v>
      </c>
      <c r="B98" s="4">
        <v>2300</v>
      </c>
      <c r="C98" s="141">
        <f t="shared" si="18"/>
        <v>9.4728171334431635E-2</v>
      </c>
    </row>
    <row r="99" spans="1:3" x14ac:dyDescent="0.35">
      <c r="A99" s="7" t="s">
        <v>464</v>
      </c>
      <c r="B99" s="4">
        <v>2300</v>
      </c>
      <c r="C99" s="141">
        <f t="shared" si="18"/>
        <v>9.4728171334431635E-2</v>
      </c>
    </row>
    <row r="100" spans="1:3" x14ac:dyDescent="0.35">
      <c r="A100" s="7" t="s">
        <v>465</v>
      </c>
      <c r="B100" s="4">
        <v>2300</v>
      </c>
      <c r="C100" s="141">
        <f t="shared" si="18"/>
        <v>9.4728171334431635E-2</v>
      </c>
    </row>
    <row r="101" spans="1:3" x14ac:dyDescent="0.35">
      <c r="A101" s="7" t="s">
        <v>466</v>
      </c>
      <c r="B101" s="4">
        <v>2300</v>
      </c>
      <c r="C101" s="141">
        <f t="shared" si="18"/>
        <v>9.4728171334431635E-2</v>
      </c>
    </row>
    <row r="102" spans="1:3" x14ac:dyDescent="0.35">
      <c r="A102" s="7" t="s">
        <v>467</v>
      </c>
      <c r="B102" s="4">
        <v>2300</v>
      </c>
      <c r="C102" s="141">
        <f t="shared" si="18"/>
        <v>9.4728171334431635E-2</v>
      </c>
    </row>
    <row r="103" spans="1:3" x14ac:dyDescent="0.35">
      <c r="A103" s="7" t="s">
        <v>468</v>
      </c>
      <c r="B103" s="4">
        <v>2300</v>
      </c>
      <c r="C103" s="141">
        <f t="shared" si="18"/>
        <v>9.4728171334431635E-2</v>
      </c>
    </row>
    <row r="104" spans="1:3" x14ac:dyDescent="0.35">
      <c r="A104" s="7" t="s">
        <v>469</v>
      </c>
      <c r="B104" s="4">
        <v>2300</v>
      </c>
      <c r="C104" s="141">
        <f t="shared" si="18"/>
        <v>9.4728171334431635E-2</v>
      </c>
    </row>
    <row r="105" spans="1:3" x14ac:dyDescent="0.35">
      <c r="A105" s="7" t="s">
        <v>470</v>
      </c>
      <c r="B105" s="4">
        <v>2300</v>
      </c>
      <c r="C105" s="141">
        <f t="shared" si="18"/>
        <v>9.4728171334431635E-2</v>
      </c>
    </row>
    <row r="106" spans="1:3" x14ac:dyDescent="0.35">
      <c r="A106" s="7" t="s">
        <v>471</v>
      </c>
      <c r="B106" s="4">
        <v>2300</v>
      </c>
      <c r="C106" s="141">
        <f t="shared" si="18"/>
        <v>9.4728171334431635E-2</v>
      </c>
    </row>
    <row r="108" spans="1:3" x14ac:dyDescent="0.35">
      <c r="A108" s="7" t="s">
        <v>472</v>
      </c>
      <c r="B108" s="4">
        <f>(20*320)/1000</f>
        <v>6.4</v>
      </c>
      <c r="C108" s="141">
        <f t="shared" si="18"/>
        <v>2.6359143327841849E-4</v>
      </c>
    </row>
    <row r="109" spans="1:3" x14ac:dyDescent="0.35">
      <c r="A109" s="7" t="s">
        <v>473</v>
      </c>
      <c r="B109" s="4">
        <f>(20*325)/1000</f>
        <v>6.5</v>
      </c>
      <c r="C109" s="141">
        <f t="shared" si="18"/>
        <v>2.6771004942339376E-4</v>
      </c>
    </row>
    <row r="110" spans="1:3" x14ac:dyDescent="0.35">
      <c r="A110" s="7" t="s">
        <v>474</v>
      </c>
      <c r="B110" s="4">
        <f>540*29/1000</f>
        <v>15.66</v>
      </c>
      <c r="C110" s="141">
        <f t="shared" si="18"/>
        <v>6.4497528830313017E-4</v>
      </c>
    </row>
    <row r="111" spans="1:3" x14ac:dyDescent="0.35">
      <c r="A111" s="7" t="s">
        <v>475</v>
      </c>
      <c r="B111" s="4">
        <f>545*29/1000</f>
        <v>15.805</v>
      </c>
      <c r="C111" s="141">
        <f>IFERROR(B111/$V$5,"")</f>
        <v>6.509472817133443E-4</v>
      </c>
    </row>
    <row r="112" spans="1:3" x14ac:dyDescent="0.35">
      <c r="A112" s="7" t="s">
        <v>476</v>
      </c>
      <c r="B112" s="4">
        <f>545*29*2/1000</f>
        <v>31.61</v>
      </c>
      <c r="C112" s="141">
        <f t="shared" ref="C112:C177" si="20">IFERROR(B112/$V$5,"")</f>
        <v>1.3018945634266886E-3</v>
      </c>
    </row>
    <row r="113" spans="1:6" x14ac:dyDescent="0.35">
      <c r="A113" s="7" t="s">
        <v>477</v>
      </c>
      <c r="B113" s="4">
        <f>540*29*2/1000</f>
        <v>31.32</v>
      </c>
      <c r="C113" s="141">
        <f t="shared" si="20"/>
        <v>1.2899505766062603E-3</v>
      </c>
    </row>
    <row r="114" spans="1:6" x14ac:dyDescent="0.35">
      <c r="A114" s="7" t="s">
        <v>131</v>
      </c>
      <c r="B114" s="4">
        <v>1190.1799999999998</v>
      </c>
      <c r="C114" s="141">
        <f t="shared" si="20"/>
        <v>4.9018945634266876E-2</v>
      </c>
    </row>
    <row r="115" spans="1:6" x14ac:dyDescent="0.35">
      <c r="A115" s="7" t="s">
        <v>132</v>
      </c>
      <c r="B115" s="4">
        <v>1221.4799999999998</v>
      </c>
      <c r="C115" s="141">
        <f t="shared" si="20"/>
        <v>5.0308072487644143E-2</v>
      </c>
    </row>
    <row r="116" spans="1:6" x14ac:dyDescent="0.35">
      <c r="A116" s="7" t="s">
        <v>133</v>
      </c>
      <c r="B116" s="4">
        <v>1190.3150000000001</v>
      </c>
      <c r="C116" s="141">
        <f t="shared" si="20"/>
        <v>4.9024505766062605E-2</v>
      </c>
    </row>
    <row r="117" spans="1:6" x14ac:dyDescent="0.35">
      <c r="A117" s="7" t="s">
        <v>134</v>
      </c>
      <c r="B117" s="4">
        <v>1224.7550000000001</v>
      </c>
      <c r="C117" s="141">
        <f t="shared" si="20"/>
        <v>5.0442957166392098E-2</v>
      </c>
    </row>
    <row r="118" spans="1:6" x14ac:dyDescent="0.35">
      <c r="A118" s="7" t="s">
        <v>135</v>
      </c>
      <c r="B118" s="4">
        <v>1231.6000000000001</v>
      </c>
      <c r="C118" s="141">
        <f t="shared" si="20"/>
        <v>5.0724876441515659E-2</v>
      </c>
    </row>
    <row r="119" spans="1:6" x14ac:dyDescent="0.35">
      <c r="A119" s="7" t="s">
        <v>136</v>
      </c>
      <c r="B119" s="5">
        <v>1195.0899999999999</v>
      </c>
      <c r="C119" s="141">
        <f t="shared" si="20"/>
        <v>4.9221169686985172E-2</v>
      </c>
    </row>
    <row r="120" spans="1:6" x14ac:dyDescent="0.35">
      <c r="A120" s="7" t="s">
        <v>137</v>
      </c>
      <c r="B120" s="5">
        <v>1228.355</v>
      </c>
      <c r="C120" s="141">
        <f t="shared" si="20"/>
        <v>5.0591227347611206E-2</v>
      </c>
      <c r="E120" s="211"/>
      <c r="F120" s="211"/>
    </row>
    <row r="121" spans="1:6" x14ac:dyDescent="0.35">
      <c r="A121" s="7" t="s">
        <v>138</v>
      </c>
      <c r="B121" s="5">
        <v>1226.07</v>
      </c>
      <c r="C121" s="141">
        <f t="shared" si="20"/>
        <v>5.0497116968698512E-2</v>
      </c>
      <c r="E121" s="211"/>
      <c r="F121" s="211"/>
    </row>
    <row r="122" spans="1:6" x14ac:dyDescent="0.35">
      <c r="A122" s="7" t="s">
        <v>478</v>
      </c>
      <c r="B122" s="4">
        <v>4826.7299999999996</v>
      </c>
      <c r="C122" s="141">
        <f t="shared" si="20"/>
        <v>0.1987944810543657</v>
      </c>
      <c r="E122" s="211"/>
      <c r="F122" s="211"/>
    </row>
    <row r="123" spans="1:6" x14ac:dyDescent="0.35">
      <c r="A123" s="7" t="s">
        <v>140</v>
      </c>
      <c r="B123" s="4">
        <v>4881.1149999999998</v>
      </c>
      <c r="C123" s="141">
        <f t="shared" si="20"/>
        <v>0.20103439044481053</v>
      </c>
      <c r="E123" s="211"/>
      <c r="F123" s="211"/>
    </row>
    <row r="124" spans="1:6" x14ac:dyDescent="0.35">
      <c r="A124" s="7" t="s">
        <v>139</v>
      </c>
      <c r="B124" s="5">
        <v>1454.0600000000004</v>
      </c>
      <c r="C124" s="141">
        <f t="shared" si="20"/>
        <v>5.9887149917627697E-2</v>
      </c>
      <c r="E124" s="211"/>
      <c r="F124" s="211"/>
    </row>
    <row r="125" spans="1:6" x14ac:dyDescent="0.35">
      <c r="A125" s="7" t="s">
        <v>479</v>
      </c>
      <c r="B125" s="5">
        <v>1548.8900000000003</v>
      </c>
      <c r="C125" s="141">
        <f t="shared" si="20"/>
        <v>6.3792833607907759E-2</v>
      </c>
      <c r="E125" s="211"/>
      <c r="F125" s="211"/>
    </row>
    <row r="126" spans="1:6" x14ac:dyDescent="0.35">
      <c r="A126" s="7" t="s">
        <v>480</v>
      </c>
      <c r="B126" s="5">
        <v>250.55999999999997</v>
      </c>
      <c r="C126" s="141">
        <f t="shared" si="20"/>
        <v>1.0319604612850081E-2</v>
      </c>
      <c r="E126" s="211"/>
      <c r="F126" s="211"/>
    </row>
    <row r="127" spans="1:6" x14ac:dyDescent="0.35">
      <c r="A127" s="7" t="s">
        <v>481</v>
      </c>
      <c r="B127" s="5">
        <v>250.55999999999997</v>
      </c>
      <c r="C127" s="141">
        <f t="shared" si="20"/>
        <v>1.0319604612850081E-2</v>
      </c>
      <c r="E127" s="211"/>
      <c r="F127" s="211"/>
    </row>
    <row r="128" spans="1:6" x14ac:dyDescent="0.35">
      <c r="A128" s="7" t="s">
        <v>482</v>
      </c>
      <c r="B128" s="5">
        <v>250.55999999999997</v>
      </c>
      <c r="C128" s="141">
        <f t="shared" si="20"/>
        <v>1.0319604612850081E-2</v>
      </c>
      <c r="E128" s="211"/>
      <c r="F128" s="211"/>
    </row>
    <row r="129" spans="1:6" x14ac:dyDescent="0.35">
      <c r="A129" s="7" t="s">
        <v>483</v>
      </c>
      <c r="B129" s="5">
        <v>219.23999999999998</v>
      </c>
      <c r="C129" s="141">
        <f t="shared" si="20"/>
        <v>9.029654036243822E-3</v>
      </c>
      <c r="E129" s="211"/>
      <c r="F129" s="211"/>
    </row>
    <row r="130" spans="1:6" x14ac:dyDescent="0.35">
      <c r="A130" s="7" t="s">
        <v>484</v>
      </c>
      <c r="B130" s="5">
        <v>219.26</v>
      </c>
      <c r="C130" s="141">
        <f t="shared" si="20"/>
        <v>9.0304777594728165E-3</v>
      </c>
      <c r="E130" s="211"/>
      <c r="F130" s="211"/>
    </row>
    <row r="131" spans="1:6" x14ac:dyDescent="0.35">
      <c r="A131" s="7" t="s">
        <v>485</v>
      </c>
      <c r="B131" s="5">
        <v>219.23999999999998</v>
      </c>
      <c r="C131" s="141">
        <f t="shared" si="20"/>
        <v>9.029654036243822E-3</v>
      </c>
      <c r="E131" s="211"/>
      <c r="F131" s="211"/>
    </row>
    <row r="132" spans="1:6" x14ac:dyDescent="0.35">
      <c r="A132" s="7" t="s">
        <v>486</v>
      </c>
      <c r="B132" s="5">
        <v>250.55999999999997</v>
      </c>
      <c r="C132" s="141">
        <f t="shared" si="20"/>
        <v>1.0319604612850081E-2</v>
      </c>
      <c r="E132" s="211"/>
      <c r="F132" s="211"/>
    </row>
    <row r="133" spans="1:6" x14ac:dyDescent="0.35">
      <c r="A133" s="7" t="s">
        <v>487</v>
      </c>
      <c r="B133" s="5">
        <v>250.55999999999997</v>
      </c>
      <c r="C133" s="141">
        <f t="shared" si="20"/>
        <v>1.0319604612850081E-2</v>
      </c>
      <c r="E133" s="211"/>
      <c r="F133" s="211"/>
    </row>
    <row r="134" spans="1:6" x14ac:dyDescent="0.35">
      <c r="A134" s="7" t="s">
        <v>488</v>
      </c>
      <c r="B134" s="5">
        <v>250.55999999999997</v>
      </c>
      <c r="C134" s="141">
        <f t="shared" si="20"/>
        <v>1.0319604612850081E-2</v>
      </c>
    </row>
    <row r="135" spans="1:6" x14ac:dyDescent="0.35">
      <c r="A135" s="7" t="s">
        <v>489</v>
      </c>
      <c r="B135" s="5">
        <v>250.55999999999997</v>
      </c>
      <c r="C135" s="141">
        <f t="shared" si="20"/>
        <v>1.0319604612850081E-2</v>
      </c>
    </row>
    <row r="136" spans="1:6" x14ac:dyDescent="0.35">
      <c r="A136" s="7" t="s">
        <v>490</v>
      </c>
      <c r="B136" s="5">
        <v>250.71499999999997</v>
      </c>
      <c r="C136" s="141">
        <f t="shared" si="20"/>
        <v>1.0325988467874792E-2</v>
      </c>
    </row>
    <row r="137" spans="1:6" x14ac:dyDescent="0.35">
      <c r="A137" s="7" t="s">
        <v>491</v>
      </c>
      <c r="B137" s="5">
        <v>250.55999999999997</v>
      </c>
      <c r="C137" s="141">
        <f t="shared" si="20"/>
        <v>1.0319604612850081E-2</v>
      </c>
    </row>
    <row r="138" spans="1:6" x14ac:dyDescent="0.35">
      <c r="A138" s="7" t="s">
        <v>492</v>
      </c>
      <c r="B138" s="5">
        <v>219.23999999999998</v>
      </c>
      <c r="C138" s="141">
        <f t="shared" si="20"/>
        <v>9.029654036243822E-3</v>
      </c>
    </row>
    <row r="139" spans="1:6" x14ac:dyDescent="0.35">
      <c r="A139" s="7" t="s">
        <v>493</v>
      </c>
      <c r="B139" s="5">
        <v>219.23999999999998</v>
      </c>
      <c r="C139" s="141">
        <f t="shared" si="20"/>
        <v>9.029654036243822E-3</v>
      </c>
    </row>
    <row r="140" spans="1:6" x14ac:dyDescent="0.35">
      <c r="A140" s="7" t="s">
        <v>494</v>
      </c>
      <c r="B140" s="5">
        <v>250.55999999999997</v>
      </c>
      <c r="C140" s="141">
        <f t="shared" si="20"/>
        <v>1.0319604612850081E-2</v>
      </c>
    </row>
    <row r="141" spans="1:6" x14ac:dyDescent="0.35">
      <c r="A141" s="7" t="s">
        <v>495</v>
      </c>
      <c r="B141" s="5">
        <v>250.55999999999997</v>
      </c>
      <c r="C141" s="141">
        <f t="shared" si="20"/>
        <v>1.0319604612850081E-2</v>
      </c>
    </row>
    <row r="142" spans="1:6" x14ac:dyDescent="0.35">
      <c r="A142" s="7" t="s">
        <v>496</v>
      </c>
      <c r="B142" s="5">
        <v>234.89999999999998</v>
      </c>
      <c r="C142" s="141">
        <f t="shared" si="20"/>
        <v>9.6746293245469506E-3</v>
      </c>
    </row>
    <row r="143" spans="1:6" x14ac:dyDescent="0.35">
      <c r="A143" s="7" t="s">
        <v>497</v>
      </c>
      <c r="B143" s="5">
        <v>252.90500000000003</v>
      </c>
      <c r="C143" s="141">
        <f t="shared" si="20"/>
        <v>1.0416186161449754E-2</v>
      </c>
    </row>
    <row r="144" spans="1:6" x14ac:dyDescent="0.35">
      <c r="A144" s="7" t="s">
        <v>498</v>
      </c>
      <c r="B144" s="5">
        <v>235.60499999999999</v>
      </c>
      <c r="C144" s="141">
        <f t="shared" si="20"/>
        <v>9.7036655683690274E-3</v>
      </c>
    </row>
    <row r="145" spans="1:3" x14ac:dyDescent="0.35">
      <c r="A145" s="7" t="s">
        <v>499</v>
      </c>
      <c r="B145" s="5">
        <v>250.785</v>
      </c>
      <c r="C145" s="141">
        <f t="shared" si="20"/>
        <v>1.0328871499176277E-2</v>
      </c>
    </row>
    <row r="146" spans="1:3" x14ac:dyDescent="0.35">
      <c r="A146" s="7" t="s">
        <v>500</v>
      </c>
      <c r="B146" s="5">
        <v>252.03</v>
      </c>
      <c r="C146" s="141">
        <f t="shared" si="20"/>
        <v>1.038014827018122E-2</v>
      </c>
    </row>
    <row r="147" spans="1:3" x14ac:dyDescent="0.35">
      <c r="A147" s="7" t="s">
        <v>501</v>
      </c>
      <c r="B147" s="5">
        <v>253.10000000000002</v>
      </c>
      <c r="C147" s="141">
        <f t="shared" si="20"/>
        <v>1.0424217462932456E-2</v>
      </c>
    </row>
    <row r="148" spans="1:3" x14ac:dyDescent="0.35">
      <c r="A148" s="7" t="s">
        <v>502</v>
      </c>
      <c r="B148" s="5">
        <v>252.78500000000003</v>
      </c>
      <c r="C148" s="141">
        <f t="shared" si="20"/>
        <v>1.0411243822075783E-2</v>
      </c>
    </row>
    <row r="149" spans="1:3" x14ac:dyDescent="0.35">
      <c r="A149" s="7" t="s">
        <v>503</v>
      </c>
      <c r="B149" s="5">
        <v>252.88000000000005</v>
      </c>
      <c r="C149" s="141">
        <f t="shared" si="20"/>
        <v>1.0415156507413511E-2</v>
      </c>
    </row>
    <row r="150" spans="1:3" x14ac:dyDescent="0.35">
      <c r="A150" s="7" t="s">
        <v>504</v>
      </c>
      <c r="B150" s="5">
        <v>220.80500000000001</v>
      </c>
      <c r="C150" s="141">
        <f t="shared" si="20"/>
        <v>9.0941103789126849E-3</v>
      </c>
    </row>
    <row r="151" spans="1:3" x14ac:dyDescent="0.35">
      <c r="A151" s="7" t="s">
        <v>505</v>
      </c>
      <c r="B151" s="5">
        <v>219.23999999999998</v>
      </c>
      <c r="C151" s="141">
        <f t="shared" si="20"/>
        <v>9.029654036243822E-3</v>
      </c>
    </row>
    <row r="152" spans="1:3" x14ac:dyDescent="0.35">
      <c r="A152" s="7" t="s">
        <v>506</v>
      </c>
      <c r="B152" s="5">
        <v>219.625</v>
      </c>
      <c r="C152" s="141">
        <f t="shared" si="20"/>
        <v>9.0455107084019774E-3</v>
      </c>
    </row>
    <row r="153" spans="1:3" x14ac:dyDescent="0.35">
      <c r="A153" s="7" t="s">
        <v>507</v>
      </c>
      <c r="B153" s="5">
        <v>251.91499999999996</v>
      </c>
      <c r="C153" s="141">
        <f t="shared" si="20"/>
        <v>1.0375411861614496E-2</v>
      </c>
    </row>
    <row r="154" spans="1:3" x14ac:dyDescent="0.35">
      <c r="A154" s="7" t="s">
        <v>508</v>
      </c>
      <c r="B154" s="5">
        <v>252.01000000000005</v>
      </c>
      <c r="C154" s="141">
        <f t="shared" si="20"/>
        <v>1.0379324546952225E-2</v>
      </c>
    </row>
    <row r="155" spans="1:3" x14ac:dyDescent="0.35">
      <c r="A155" s="7" t="s">
        <v>509</v>
      </c>
      <c r="B155" s="5">
        <v>252.3</v>
      </c>
      <c r="C155" s="141">
        <f t="shared" si="20"/>
        <v>1.0391268533772653E-2</v>
      </c>
    </row>
    <row r="156" spans="1:3" x14ac:dyDescent="0.35">
      <c r="A156" s="7" t="s">
        <v>510</v>
      </c>
      <c r="B156" s="5">
        <v>219.36499999999998</v>
      </c>
      <c r="C156" s="141">
        <f t="shared" si="20"/>
        <v>9.0348023064250396E-3</v>
      </c>
    </row>
    <row r="157" spans="1:3" x14ac:dyDescent="0.35">
      <c r="A157" s="7" t="s">
        <v>511</v>
      </c>
      <c r="B157" s="5">
        <v>252.59000000000003</v>
      </c>
      <c r="C157" s="141">
        <f t="shared" si="20"/>
        <v>1.0403212520593083E-2</v>
      </c>
    </row>
    <row r="158" spans="1:3" x14ac:dyDescent="0.35">
      <c r="A158" s="7" t="s">
        <v>512</v>
      </c>
      <c r="B158" s="5">
        <v>252.45000000000005</v>
      </c>
      <c r="C158" s="141">
        <f t="shared" si="20"/>
        <v>1.0397446457990117E-2</v>
      </c>
    </row>
    <row r="159" spans="1:3" x14ac:dyDescent="0.35">
      <c r="A159" s="7" t="s">
        <v>513</v>
      </c>
      <c r="B159" s="5">
        <v>252.88000000000005</v>
      </c>
      <c r="C159" s="141">
        <f t="shared" si="20"/>
        <v>1.0415156507413511E-2</v>
      </c>
    </row>
    <row r="160" spans="1:3" x14ac:dyDescent="0.35">
      <c r="A160" s="7" t="s">
        <v>514</v>
      </c>
      <c r="B160" s="5">
        <v>251.07</v>
      </c>
      <c r="C160" s="141">
        <f t="shared" si="20"/>
        <v>1.0340609555189456E-2</v>
      </c>
    </row>
    <row r="161" spans="1:6" x14ac:dyDescent="0.35">
      <c r="A161" s="7" t="s">
        <v>515</v>
      </c>
      <c r="B161" s="5">
        <v>252.875</v>
      </c>
      <c r="C161" s="141">
        <f t="shared" si="20"/>
        <v>1.041495057660626E-2</v>
      </c>
    </row>
    <row r="162" spans="1:6" x14ac:dyDescent="0.35">
      <c r="A162" s="7" t="s">
        <v>516</v>
      </c>
      <c r="B162" s="5">
        <v>250.58499999999998</v>
      </c>
      <c r="C162" s="141">
        <f t="shared" si="20"/>
        <v>1.0320634266886326E-2</v>
      </c>
    </row>
    <row r="163" spans="1:6" x14ac:dyDescent="0.35">
      <c r="A163" s="7" t="s">
        <v>517</v>
      </c>
      <c r="B163" s="5">
        <v>250.58499999999998</v>
      </c>
      <c r="C163" s="141">
        <f t="shared" si="20"/>
        <v>1.0320634266886326E-2</v>
      </c>
      <c r="E163" s="212"/>
      <c r="F163" s="212"/>
    </row>
    <row r="164" spans="1:6" x14ac:dyDescent="0.35">
      <c r="A164" s="7" t="s">
        <v>518</v>
      </c>
      <c r="B164" s="5">
        <v>220.875</v>
      </c>
      <c r="C164" s="141">
        <f t="shared" si="20"/>
        <v>9.0969934102141676E-3</v>
      </c>
      <c r="E164" s="213"/>
      <c r="F164" s="213"/>
    </row>
    <row r="165" spans="1:6" x14ac:dyDescent="0.35">
      <c r="A165" s="7" t="s">
        <v>519</v>
      </c>
      <c r="B165" s="5">
        <v>251.15000000000003</v>
      </c>
      <c r="C165" s="141">
        <f t="shared" si="20"/>
        <v>1.0343904448105437E-2</v>
      </c>
    </row>
    <row r="166" spans="1:6" x14ac:dyDescent="0.35">
      <c r="A166" s="7" t="s">
        <v>520</v>
      </c>
      <c r="B166" s="5">
        <v>221.27000000000004</v>
      </c>
      <c r="C166" s="141">
        <f t="shared" si="20"/>
        <v>9.113261943986822E-3</v>
      </c>
    </row>
    <row r="167" spans="1:6" x14ac:dyDescent="0.35">
      <c r="A167" s="7" t="s">
        <v>521</v>
      </c>
      <c r="B167" s="5">
        <v>252.88000000000005</v>
      </c>
      <c r="C167" s="141">
        <f t="shared" si="20"/>
        <v>1.0415156507413511E-2</v>
      </c>
    </row>
    <row r="168" spans="1:6" x14ac:dyDescent="0.35">
      <c r="A168" s="7" t="s">
        <v>522</v>
      </c>
      <c r="B168" s="5">
        <v>252.88000000000005</v>
      </c>
      <c r="C168" s="141">
        <f t="shared" si="20"/>
        <v>1.0415156507413511E-2</v>
      </c>
    </row>
    <row r="169" spans="1:6" x14ac:dyDescent="0.35">
      <c r="A169" s="7" t="s">
        <v>523</v>
      </c>
      <c r="B169" s="5">
        <v>252.88000000000005</v>
      </c>
      <c r="C169" s="141">
        <f t="shared" si="20"/>
        <v>1.0415156507413511E-2</v>
      </c>
    </row>
    <row r="170" spans="1:6" x14ac:dyDescent="0.35">
      <c r="A170" s="7" t="s">
        <v>524</v>
      </c>
      <c r="B170" s="5">
        <v>221.27000000000004</v>
      </c>
      <c r="C170" s="141">
        <f t="shared" si="20"/>
        <v>9.113261943986822E-3</v>
      </c>
    </row>
    <row r="171" spans="1:6" x14ac:dyDescent="0.35">
      <c r="A171" s="7" t="s">
        <v>525</v>
      </c>
      <c r="B171" s="5">
        <v>252.88000000000005</v>
      </c>
      <c r="C171" s="141">
        <f t="shared" si="20"/>
        <v>1.0415156507413511E-2</v>
      </c>
    </row>
    <row r="172" spans="1:6" x14ac:dyDescent="0.35">
      <c r="A172" s="7" t="s">
        <v>526</v>
      </c>
      <c r="B172" s="5">
        <v>252.88000000000005</v>
      </c>
      <c r="C172" s="141">
        <f t="shared" si="20"/>
        <v>1.0415156507413511E-2</v>
      </c>
    </row>
    <row r="173" spans="1:6" x14ac:dyDescent="0.35">
      <c r="A173" s="7" t="s">
        <v>527</v>
      </c>
      <c r="B173" s="5">
        <v>252.88000000000005</v>
      </c>
      <c r="C173" s="141">
        <f t="shared" si="20"/>
        <v>1.0415156507413511E-2</v>
      </c>
    </row>
    <row r="174" spans="1:6" x14ac:dyDescent="0.35">
      <c r="A174" s="7" t="s">
        <v>528</v>
      </c>
      <c r="B174" s="5">
        <v>252.88000000000005</v>
      </c>
      <c r="C174" s="141">
        <f t="shared" si="20"/>
        <v>1.0415156507413511E-2</v>
      </c>
    </row>
    <row r="175" spans="1:6" x14ac:dyDescent="0.35">
      <c r="A175" s="7" t="s">
        <v>529</v>
      </c>
      <c r="B175" s="5">
        <v>252.88000000000005</v>
      </c>
      <c r="C175" s="141">
        <f t="shared" si="20"/>
        <v>1.0415156507413511E-2</v>
      </c>
    </row>
    <row r="176" spans="1:6" x14ac:dyDescent="0.35">
      <c r="A176" s="7" t="s">
        <v>530</v>
      </c>
      <c r="B176" s="5">
        <v>252.88000000000005</v>
      </c>
      <c r="C176" s="141">
        <f t="shared" si="20"/>
        <v>1.0415156507413511E-2</v>
      </c>
    </row>
    <row r="177" spans="1:3" x14ac:dyDescent="0.35">
      <c r="A177" s="7" t="s">
        <v>531</v>
      </c>
      <c r="B177" s="5">
        <v>284.49000000000007</v>
      </c>
      <c r="C177" s="141">
        <f t="shared" si="20"/>
        <v>1.1717051070840201E-2</v>
      </c>
    </row>
    <row r="178" spans="1:3" x14ac:dyDescent="0.35">
      <c r="A178" s="7" t="s">
        <v>532</v>
      </c>
      <c r="B178" s="5">
        <v>9707.8449999999957</v>
      </c>
      <c r="C178" s="141">
        <f t="shared" ref="C178:C187" si="21">IFERROR(B178/$V$5,"")</f>
        <v>0.39982887149917612</v>
      </c>
    </row>
    <row r="179" spans="1:3" x14ac:dyDescent="0.35">
      <c r="A179" s="7" t="s">
        <v>533</v>
      </c>
      <c r="B179" s="5">
        <v>3002.9500000000012</v>
      </c>
      <c r="C179" s="141">
        <f t="shared" si="21"/>
        <v>0.12367998352553547</v>
      </c>
    </row>
    <row r="180" spans="1:3" x14ac:dyDescent="0.35">
      <c r="A180" s="7" t="s">
        <v>534</v>
      </c>
      <c r="B180" s="5">
        <v>9707.8449999999957</v>
      </c>
      <c r="C180" s="141">
        <f t="shared" si="21"/>
        <v>0.39982887149917612</v>
      </c>
    </row>
    <row r="181" spans="1:3" x14ac:dyDescent="0.35">
      <c r="A181" s="7" t="s">
        <v>535</v>
      </c>
      <c r="B181" s="5">
        <v>3002.9500000000012</v>
      </c>
      <c r="C181" s="141">
        <f t="shared" si="21"/>
        <v>0.12367998352553547</v>
      </c>
    </row>
    <row r="182" spans="1:3" x14ac:dyDescent="0.35">
      <c r="A182" s="7" t="s">
        <v>536</v>
      </c>
      <c r="B182" s="5">
        <v>11503</v>
      </c>
      <c r="C182" s="141">
        <f t="shared" si="21"/>
        <v>0.47376441515650741</v>
      </c>
    </row>
    <row r="183" spans="1:3" x14ac:dyDescent="0.35">
      <c r="A183" s="7" t="s">
        <v>168</v>
      </c>
      <c r="B183" s="5">
        <v>24213.794999999998</v>
      </c>
      <c r="C183" s="141">
        <f t="shared" si="21"/>
        <v>0.99727327018121903</v>
      </c>
    </row>
    <row r="184" spans="1:3" x14ac:dyDescent="0.35">
      <c r="A184" s="7" t="s">
        <v>537</v>
      </c>
      <c r="B184" s="5">
        <f>SUM(B2:B7)</f>
        <v>6908.7</v>
      </c>
      <c r="C184" s="141">
        <f t="shared" si="21"/>
        <v>0.28454283360790772</v>
      </c>
    </row>
    <row r="185" spans="1:3" x14ac:dyDescent="0.35">
      <c r="A185" s="7" t="s">
        <v>538</v>
      </c>
      <c r="B185" s="5">
        <f>SUM(B8:B11)</f>
        <v>4594.3999999999996</v>
      </c>
      <c r="C185" s="141">
        <f t="shared" si="21"/>
        <v>0.18922570016474463</v>
      </c>
    </row>
    <row r="186" spans="1:3" x14ac:dyDescent="0.35">
      <c r="A186" s="7" t="s">
        <v>539</v>
      </c>
      <c r="B186" s="5">
        <f>B180</f>
        <v>9707.8449999999957</v>
      </c>
      <c r="C186" s="141">
        <f t="shared" si="21"/>
        <v>0.39982887149917612</v>
      </c>
    </row>
    <row r="187" spans="1:3" x14ac:dyDescent="0.35">
      <c r="A187" s="7" t="s">
        <v>540</v>
      </c>
      <c r="B187" s="5">
        <f>B181</f>
        <v>3002.9500000000012</v>
      </c>
      <c r="C187" s="141">
        <f t="shared" si="21"/>
        <v>0.12367998352553547</v>
      </c>
    </row>
  </sheetData>
  <mergeCells count="1">
    <mergeCell ref="AK2:AX2"/>
  </mergeCells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6203-DDE9-4723-814E-DCF6C2128A12}">
  <dimension ref="A1:AS37"/>
  <sheetViews>
    <sheetView workbookViewId="0">
      <pane xSplit="4" ySplit="1" topLeftCell="L17" activePane="bottomRight" state="frozen"/>
      <selection pane="topRight" activeCell="S1" sqref="S1"/>
      <selection pane="bottomLeft" activeCell="S1" sqref="S1"/>
      <selection pane="bottomRight" activeCell="T29" sqref="T29"/>
    </sheetView>
  </sheetViews>
  <sheetFormatPr defaultColWidth="8.54296875" defaultRowHeight="14.5" x14ac:dyDescent="0.35"/>
  <cols>
    <col min="1" max="2" width="9.453125" style="6" customWidth="1"/>
    <col min="3" max="3" width="15.81640625" style="6" customWidth="1"/>
    <col min="4" max="6" width="8.54296875" style="6"/>
    <col min="7" max="7" width="20.54296875" style="6" customWidth="1"/>
    <col min="8" max="8" width="8.54296875" style="6"/>
    <col min="9" max="9" width="9.453125" style="6" bestFit="1" customWidth="1"/>
    <col min="10" max="14" width="8.54296875" style="6"/>
    <col min="15" max="15" width="9.81640625" style="6" bestFit="1" customWidth="1"/>
    <col min="16" max="16" width="11" style="6" customWidth="1"/>
    <col min="17" max="17" width="15.453125" style="6" customWidth="1"/>
    <col min="18" max="19" width="10.81640625" style="6" customWidth="1"/>
    <col min="20" max="20" width="13" style="6" customWidth="1"/>
    <col min="21" max="25" width="12.81640625" style="6" customWidth="1"/>
    <col min="26" max="27" width="14.54296875" style="6" customWidth="1"/>
    <col min="28" max="29" width="15.54296875" style="6" customWidth="1"/>
    <col min="30" max="38" width="9.81640625" style="6" customWidth="1"/>
    <col min="39" max="39" width="11.453125" style="6" customWidth="1"/>
    <col min="40" max="40" width="12.453125" style="6" bestFit="1" customWidth="1"/>
    <col min="41" max="41" width="9.81640625" style="6" customWidth="1"/>
    <col min="42" max="42" width="8.1796875" style="6" customWidth="1"/>
    <col min="43" max="16384" width="8.54296875" style="6"/>
  </cols>
  <sheetData>
    <row r="1" spans="1:45" ht="43.5" x14ac:dyDescent="0.35">
      <c r="A1" s="235" t="s">
        <v>7</v>
      </c>
      <c r="B1" s="235" t="s">
        <v>246</v>
      </c>
      <c r="C1" s="235" t="s">
        <v>247</v>
      </c>
      <c r="D1" s="235" t="s">
        <v>248</v>
      </c>
      <c r="E1" s="235" t="s">
        <v>249</v>
      </c>
      <c r="F1" s="235" t="s">
        <v>250</v>
      </c>
      <c r="G1" s="235" t="s">
        <v>251</v>
      </c>
      <c r="H1" s="235" t="s">
        <v>541</v>
      </c>
      <c r="I1" s="235" t="s">
        <v>542</v>
      </c>
      <c r="J1" s="235" t="s">
        <v>543</v>
      </c>
      <c r="K1" s="235" t="s">
        <v>544</v>
      </c>
      <c r="L1" s="235" t="s">
        <v>545</v>
      </c>
      <c r="M1" s="235" t="s">
        <v>546</v>
      </c>
      <c r="N1" s="235" t="s">
        <v>547</v>
      </c>
      <c r="O1" s="235" t="s">
        <v>548</v>
      </c>
      <c r="P1" s="235" t="s">
        <v>549</v>
      </c>
      <c r="Q1" s="235" t="s">
        <v>252</v>
      </c>
      <c r="R1" s="235" t="s">
        <v>550</v>
      </c>
      <c r="S1" s="235" t="s">
        <v>551</v>
      </c>
      <c r="T1" s="235" t="s">
        <v>552</v>
      </c>
      <c r="U1" s="235" t="s">
        <v>553</v>
      </c>
      <c r="V1" s="235" t="s">
        <v>554</v>
      </c>
      <c r="W1" s="235" t="s">
        <v>555</v>
      </c>
      <c r="X1" s="235" t="s">
        <v>556</v>
      </c>
      <c r="Y1" s="235" t="s">
        <v>557</v>
      </c>
      <c r="Z1" s="235" t="s">
        <v>558</v>
      </c>
      <c r="AA1" s="235" t="s">
        <v>559</v>
      </c>
      <c r="AB1" s="235" t="s">
        <v>560</v>
      </c>
      <c r="AC1" s="235" t="s">
        <v>561</v>
      </c>
      <c r="AD1" s="235" t="s">
        <v>562</v>
      </c>
      <c r="AE1" s="235" t="s">
        <v>563</v>
      </c>
      <c r="AF1" s="235" t="s">
        <v>564</v>
      </c>
      <c r="AG1" s="235" t="s">
        <v>565</v>
      </c>
      <c r="AH1" s="235" t="s">
        <v>566</v>
      </c>
      <c r="AI1" s="235" t="s">
        <v>567</v>
      </c>
      <c r="AJ1" s="235" t="s">
        <v>568</v>
      </c>
      <c r="AK1" s="235" t="s">
        <v>569</v>
      </c>
      <c r="AL1" s="235" t="s">
        <v>570</v>
      </c>
      <c r="AM1" s="235" t="s">
        <v>571</v>
      </c>
      <c r="AN1" s="235" t="s">
        <v>572</v>
      </c>
      <c r="AO1" s="235" t="s">
        <v>253</v>
      </c>
      <c r="AP1" s="235" t="s">
        <v>257</v>
      </c>
      <c r="AR1" s="6" t="s">
        <v>573</v>
      </c>
      <c r="AS1" s="236">
        <v>24.303100000000001</v>
      </c>
    </row>
    <row r="2" spans="1:45" x14ac:dyDescent="0.35">
      <c r="A2" s="237">
        <v>1</v>
      </c>
      <c r="B2" s="238" t="s">
        <v>266</v>
      </c>
      <c r="C2" s="237">
        <v>4</v>
      </c>
      <c r="D2" s="239">
        <v>45017</v>
      </c>
      <c r="E2" s="240">
        <f t="shared" ref="E2:E3" si="0">YEAR(D2)</f>
        <v>2023</v>
      </c>
      <c r="F2" s="240" t="s">
        <v>267</v>
      </c>
      <c r="G2" s="241">
        <f t="shared" ref="G2:G3" si="1">DAY(EOMONTH(D2,0))</f>
        <v>30</v>
      </c>
      <c r="H2" s="242">
        <v>197.1</v>
      </c>
      <c r="I2" s="242">
        <v>198.7</v>
      </c>
      <c r="J2" s="243"/>
      <c r="K2" s="242">
        <v>31.76</v>
      </c>
      <c r="L2" s="241"/>
      <c r="M2" s="244">
        <f>SUM(AO2+AP2)</f>
        <v>3730.4496872999898</v>
      </c>
      <c r="N2" s="244">
        <v>24.303100000000001</v>
      </c>
      <c r="O2" s="245">
        <f t="shared" ref="O2:O3" si="2">IFERROR(M2/I2/N2,"")</f>
        <v>0.77250561717314392</v>
      </c>
      <c r="P2" s="243">
        <f t="shared" ref="P2:P3" si="3">IFERROR(I2/G2,"")</f>
        <v>6.6233333333333331</v>
      </c>
      <c r="Q2" s="241">
        <f>COUNTIFS('Daily KPI'!$D:$D,D2,'Daily KPI'!$I:$I,"&gt;0")</f>
        <v>0</v>
      </c>
      <c r="R2" s="244">
        <f t="shared" ref="R2:R37" si="4">I2/G2*Q2</f>
        <v>0</v>
      </c>
      <c r="S2" s="244">
        <f>SUMIF($F$2:F2,F2,$R$2:R2)</f>
        <v>0</v>
      </c>
      <c r="T2" s="243">
        <f t="shared" ref="T2:T3" si="5">M2/G2</f>
        <v>124.34832290999967</v>
      </c>
      <c r="U2" s="244">
        <f t="shared" ref="U2:U3" si="6">M2/G2*Q2</f>
        <v>0</v>
      </c>
      <c r="V2" s="244">
        <f>SUMIF($F$2:F2,F2,$U$2:U2)</f>
        <v>0</v>
      </c>
      <c r="W2" s="245">
        <f t="shared" ref="W2:W3" si="7">IFERROR(T2/(24*N2),"")</f>
        <v>0.21319009185042179</v>
      </c>
      <c r="X2" s="245" t="str">
        <f t="shared" ref="X2:X37" si="8">IFERROR(U2/(24*N2*Q2),"")</f>
        <v/>
      </c>
      <c r="Y2" s="245" t="str">
        <f t="shared" ref="Y2:Y25" si="9">IFERROR(V2/(24*N2*SUMIFS($Q:$Q,$F:$F,$F2,$D:$D,"&lt;="&amp;D2)),"")</f>
        <v/>
      </c>
      <c r="Z2" s="243">
        <v>11.5031</v>
      </c>
      <c r="AA2" s="246">
        <f>IFERROR(AVERAGEIF($F$2:F2,F2,$N$2:N2),"")</f>
        <v>24.303100000000001</v>
      </c>
      <c r="AB2" s="244"/>
      <c r="AC2" s="243"/>
      <c r="AD2" s="243"/>
      <c r="AE2" s="245">
        <v>0.995</v>
      </c>
      <c r="AF2" s="245">
        <v>0.995</v>
      </c>
      <c r="AG2" s="245"/>
      <c r="AH2" s="245"/>
      <c r="AI2" s="245"/>
      <c r="AJ2" s="245"/>
      <c r="AK2" s="245"/>
      <c r="AL2" s="245"/>
      <c r="AM2" s="247"/>
      <c r="AN2" s="247"/>
      <c r="AO2" s="247">
        <v>1520</v>
      </c>
      <c r="AP2" s="253">
        <v>2210.4496872999898</v>
      </c>
    </row>
    <row r="3" spans="1:45" x14ac:dyDescent="0.35">
      <c r="A3" s="238">
        <f t="shared" ref="A3:A37" si="10">A2+1</f>
        <v>2</v>
      </c>
      <c r="B3" s="238" t="s">
        <v>272</v>
      </c>
      <c r="C3" s="237">
        <v>5</v>
      </c>
      <c r="D3" s="239">
        <v>45047</v>
      </c>
      <c r="E3" s="248">
        <f t="shared" si="0"/>
        <v>2023</v>
      </c>
      <c r="F3" s="240" t="s">
        <v>267</v>
      </c>
      <c r="G3" s="249">
        <f t="shared" si="1"/>
        <v>31</v>
      </c>
      <c r="H3" s="246">
        <v>204.3</v>
      </c>
      <c r="I3" s="246">
        <v>202.4</v>
      </c>
      <c r="J3" s="250"/>
      <c r="K3" s="246">
        <v>30.53</v>
      </c>
      <c r="L3" s="249"/>
      <c r="M3" s="244">
        <f t="shared" ref="M3:M37" si="11">SUM(AO3+AP3)</f>
        <v>3686.24832899999</v>
      </c>
      <c r="N3" s="244">
        <v>24.303100000000001</v>
      </c>
      <c r="O3" s="252">
        <f t="shared" si="2"/>
        <v>0.74939778762913356</v>
      </c>
      <c r="P3" s="250">
        <f t="shared" si="3"/>
        <v>6.5290322580645164</v>
      </c>
      <c r="Q3" s="249">
        <f>COUNTIFS('Daily KPI'!$D:$D,D3,'Daily KPI'!$I:$I,"&gt;0")</f>
        <v>0</v>
      </c>
      <c r="R3" s="244">
        <f t="shared" si="4"/>
        <v>0</v>
      </c>
      <c r="S3" s="244">
        <f>SUMIF($F$2:F3,F3,$R$2:R3)</f>
        <v>0</v>
      </c>
      <c r="T3" s="250">
        <f t="shared" si="5"/>
        <v>118.91123641935452</v>
      </c>
      <c r="U3" s="251">
        <f t="shared" si="6"/>
        <v>0</v>
      </c>
      <c r="V3" s="244">
        <f>SUMIF($F$2:F3,F3,$U$2:U3)</f>
        <v>0</v>
      </c>
      <c r="W3" s="252">
        <f t="shared" si="7"/>
        <v>0.2038684303980331</v>
      </c>
      <c r="X3" s="252" t="str">
        <f t="shared" si="8"/>
        <v/>
      </c>
      <c r="Y3" s="252" t="str">
        <f t="shared" si="9"/>
        <v/>
      </c>
      <c r="Z3" s="250">
        <v>11.503100000000002</v>
      </c>
      <c r="AA3" s="246">
        <f>IFERROR(AVERAGEIF($F$2:F3,F3,$N$2:N3),"")</f>
        <v>24.303100000000001</v>
      </c>
      <c r="AB3" s="251"/>
      <c r="AC3" s="250"/>
      <c r="AD3" s="250"/>
      <c r="AE3" s="245">
        <v>0.995</v>
      </c>
      <c r="AF3" s="245">
        <v>0.995</v>
      </c>
      <c r="AG3" s="245"/>
      <c r="AH3" s="252"/>
      <c r="AI3" s="252"/>
      <c r="AJ3" s="252"/>
      <c r="AK3" s="252"/>
      <c r="AL3" s="252"/>
      <c r="AM3" s="247"/>
      <c r="AN3" s="247"/>
      <c r="AO3" s="247">
        <v>1620</v>
      </c>
      <c r="AP3" s="253">
        <v>2066.24832899999</v>
      </c>
    </row>
    <row r="4" spans="1:45" x14ac:dyDescent="0.35">
      <c r="A4" s="237">
        <f t="shared" si="10"/>
        <v>3</v>
      </c>
      <c r="B4" s="238" t="s">
        <v>277</v>
      </c>
      <c r="C4" s="237">
        <v>6</v>
      </c>
      <c r="D4" s="239">
        <v>45078</v>
      </c>
      <c r="E4" s="240">
        <f>YEAR(D4)</f>
        <v>2023</v>
      </c>
      <c r="F4" s="240" t="s">
        <v>267</v>
      </c>
      <c r="G4" s="241">
        <f>DAY(EOMONTH(D4,0))</f>
        <v>30</v>
      </c>
      <c r="H4" s="246">
        <v>156</v>
      </c>
      <c r="I4" s="246">
        <v>153.69999999999999</v>
      </c>
      <c r="J4" s="243"/>
      <c r="K4" s="246">
        <v>26.96</v>
      </c>
      <c r="L4" s="241"/>
      <c r="M4" s="244">
        <f t="shared" si="11"/>
        <v>2817.333100599998</v>
      </c>
      <c r="N4" s="244">
        <v>24.303100000000001</v>
      </c>
      <c r="O4" s="245">
        <f>IFERROR(M4/I4/N4,"")</f>
        <v>0.75422800913020338</v>
      </c>
      <c r="P4" s="243">
        <f>IFERROR(I4/G4,"")</f>
        <v>5.1233333333333331</v>
      </c>
      <c r="Q4" s="241">
        <f>COUNTIFS('Daily KPI'!$D:$D,D4,'Daily KPI'!$I:$I,"&gt;0")</f>
        <v>0</v>
      </c>
      <c r="R4" s="244">
        <f t="shared" si="4"/>
        <v>0</v>
      </c>
      <c r="S4" s="244">
        <f>SUMIF($F$2:F4,F4,$R$2:R4)</f>
        <v>0</v>
      </c>
      <c r="T4" s="243">
        <f>M4/G4</f>
        <v>93.911103353333274</v>
      </c>
      <c r="U4" s="244">
        <f>M4/G4*Q4</f>
        <v>0</v>
      </c>
      <c r="V4" s="244">
        <f>SUMIF($F$2:F4,F4,$U$2:U4)</f>
        <v>0</v>
      </c>
      <c r="W4" s="245">
        <f>IFERROR(T4/(24*N4),"")</f>
        <v>0.16100672917126702</v>
      </c>
      <c r="X4" s="245" t="str">
        <f t="shared" si="8"/>
        <v/>
      </c>
      <c r="Y4" s="245" t="str">
        <f t="shared" si="9"/>
        <v/>
      </c>
      <c r="Z4" s="243">
        <v>11.5031</v>
      </c>
      <c r="AA4" s="246">
        <f>IFERROR(AVERAGEIF($F$2:F4,F4,$N$2:N4),"")</f>
        <v>24.303100000000001</v>
      </c>
      <c r="AB4" s="244"/>
      <c r="AC4" s="243"/>
      <c r="AD4" s="243"/>
      <c r="AE4" s="245">
        <v>0.995</v>
      </c>
      <c r="AF4" s="245">
        <v>0.995</v>
      </c>
      <c r="AG4" s="245"/>
      <c r="AH4" s="245"/>
      <c r="AI4" s="245"/>
      <c r="AJ4" s="245"/>
      <c r="AK4" s="245"/>
      <c r="AL4" s="245"/>
      <c r="AM4" s="247"/>
      <c r="AN4" s="247"/>
      <c r="AO4" s="247">
        <v>1230</v>
      </c>
      <c r="AP4" s="253">
        <v>1587.3331005999978</v>
      </c>
    </row>
    <row r="5" spans="1:45" x14ac:dyDescent="0.35">
      <c r="A5" s="238">
        <f t="shared" si="10"/>
        <v>4</v>
      </c>
      <c r="B5" s="238" t="s">
        <v>282</v>
      </c>
      <c r="C5" s="237">
        <v>7</v>
      </c>
      <c r="D5" s="239">
        <v>45108</v>
      </c>
      <c r="E5" s="248">
        <f>YEAR(D5)</f>
        <v>2023</v>
      </c>
      <c r="F5" s="240" t="s">
        <v>267</v>
      </c>
      <c r="G5" s="249">
        <f>DAY(EOMONTH(D5,0))</f>
        <v>31</v>
      </c>
      <c r="H5" s="246">
        <v>138</v>
      </c>
      <c r="I5" s="246">
        <v>136.6</v>
      </c>
      <c r="J5" s="250"/>
      <c r="K5" s="246">
        <v>25.04</v>
      </c>
      <c r="L5" s="249"/>
      <c r="M5" s="244">
        <f t="shared" si="11"/>
        <v>2462.477316200001</v>
      </c>
      <c r="N5" s="244">
        <v>24.303100000000001</v>
      </c>
      <c r="O5" s="252">
        <f>IFERROR(M5/I5/N5,"")</f>
        <v>0.7417539459399205</v>
      </c>
      <c r="P5" s="250">
        <f>IFERROR(I5/G5,"")</f>
        <v>4.4064516129032256</v>
      </c>
      <c r="Q5" s="249">
        <f>COUNTIFS('Daily KPI'!$D:$D,D5,'Daily KPI'!$I:$I,"&gt;0")</f>
        <v>0</v>
      </c>
      <c r="R5" s="244">
        <f t="shared" si="4"/>
        <v>0</v>
      </c>
      <c r="S5" s="244">
        <f>SUMIF($F$2:F5,F5,$R$2:R5)</f>
        <v>0</v>
      </c>
      <c r="T5" s="250">
        <f>M5/G5</f>
        <v>79.434752135483905</v>
      </c>
      <c r="U5" s="251">
        <f>M5/G5*Q5</f>
        <v>0</v>
      </c>
      <c r="V5" s="244">
        <f>SUMIF($F$2:F5,F5,$U$2:U5)</f>
        <v>0</v>
      </c>
      <c r="W5" s="252">
        <f>IFERROR(T5/(24*N5),"")</f>
        <v>0.13618761964434561</v>
      </c>
      <c r="X5" s="252" t="str">
        <f t="shared" si="8"/>
        <v/>
      </c>
      <c r="Y5" s="252" t="str">
        <f t="shared" si="9"/>
        <v/>
      </c>
      <c r="Z5" s="250">
        <v>11.503100000000002</v>
      </c>
      <c r="AA5" s="246">
        <f>IFERROR(AVERAGEIF($F$2:F5,F5,$N$2:N5),"")</f>
        <v>24.303100000000001</v>
      </c>
      <c r="AB5" s="251"/>
      <c r="AC5" s="250"/>
      <c r="AD5" s="250"/>
      <c r="AE5" s="245">
        <v>0.995</v>
      </c>
      <c r="AF5" s="245">
        <v>0.995</v>
      </c>
      <c r="AG5" s="245"/>
      <c r="AH5" s="252"/>
      <c r="AI5" s="252"/>
      <c r="AJ5" s="252"/>
      <c r="AK5" s="252"/>
      <c r="AL5" s="252"/>
      <c r="AM5" s="247"/>
      <c r="AN5" s="247"/>
      <c r="AO5" s="247">
        <v>1150</v>
      </c>
      <c r="AP5" s="253">
        <v>1312.477316200001</v>
      </c>
    </row>
    <row r="6" spans="1:45" x14ac:dyDescent="0.35">
      <c r="A6" s="237">
        <f t="shared" si="10"/>
        <v>5</v>
      </c>
      <c r="B6" s="238" t="s">
        <v>287</v>
      </c>
      <c r="C6" s="237">
        <v>8</v>
      </c>
      <c r="D6" s="239">
        <v>45139</v>
      </c>
      <c r="E6" s="240">
        <f t="shared" ref="E6:E13" si="12">YEAR(D6)</f>
        <v>2023</v>
      </c>
      <c r="F6" s="240" t="s">
        <v>267</v>
      </c>
      <c r="G6" s="241">
        <f t="shared" ref="G6:G13" si="13">DAY(EOMONTH(D6,0))</f>
        <v>31</v>
      </c>
      <c r="H6" s="246">
        <v>129.30000000000001</v>
      </c>
      <c r="I6" s="246">
        <v>129.4</v>
      </c>
      <c r="J6" s="243"/>
      <c r="K6" s="246">
        <v>24.6</v>
      </c>
      <c r="L6" s="241"/>
      <c r="M6" s="244">
        <f t="shared" si="11"/>
        <v>2483.6344976000009</v>
      </c>
      <c r="N6" s="244">
        <v>24.303100000000001</v>
      </c>
      <c r="O6" s="245">
        <f t="shared" ref="O6:O37" si="14">IFERROR(M6/I6/N6,"")</f>
        <v>0.78975381652388688</v>
      </c>
      <c r="P6" s="243">
        <f t="shared" ref="P6:P37" si="15">IFERROR(I6/G6,"")</f>
        <v>4.1741935483870973</v>
      </c>
      <c r="Q6" s="241">
        <f>COUNTIFS('Daily KPI'!$D:$D,D6,'Daily KPI'!$I:$I,"&gt;0")</f>
        <v>0</v>
      </c>
      <c r="R6" s="244">
        <f t="shared" si="4"/>
        <v>0</v>
      </c>
      <c r="S6" s="244">
        <f>SUMIF($F$2:F6,F6,$R$2:R6)</f>
        <v>0</v>
      </c>
      <c r="T6" s="243">
        <f t="shared" ref="T6:T25" si="16">M6/G6</f>
        <v>80.117241858064546</v>
      </c>
      <c r="U6" s="244">
        <f t="shared" ref="U6:U25" si="17">M6/G6*Q6</f>
        <v>0</v>
      </c>
      <c r="V6" s="244">
        <f>SUMIF($F$2:F6,F6,$U$2:U6)</f>
        <v>0</v>
      </c>
      <c r="W6" s="245">
        <f t="shared" ref="W6:W25" si="18">IFERROR(T6/(24*N6),"")</f>
        <v>0.13735772023950399</v>
      </c>
      <c r="X6" s="245" t="str">
        <f t="shared" si="8"/>
        <v/>
      </c>
      <c r="Y6" s="245" t="str">
        <f t="shared" si="9"/>
        <v/>
      </c>
      <c r="Z6" s="243">
        <v>11.503100000000002</v>
      </c>
      <c r="AA6" s="246">
        <f>IFERROR(AVERAGEIF($F$2:F6,F6,$N$2:N6),"")</f>
        <v>24.303100000000001</v>
      </c>
      <c r="AB6" s="244"/>
      <c r="AC6" s="243"/>
      <c r="AD6" s="243"/>
      <c r="AE6" s="245">
        <v>0.995</v>
      </c>
      <c r="AF6" s="245">
        <v>0.995</v>
      </c>
      <c r="AG6" s="245"/>
      <c r="AH6" s="245"/>
      <c r="AI6" s="245"/>
      <c r="AJ6" s="245"/>
      <c r="AK6" s="245"/>
      <c r="AL6" s="245"/>
      <c r="AM6" s="247"/>
      <c r="AN6" s="247"/>
      <c r="AO6" s="247">
        <v>1090</v>
      </c>
      <c r="AP6" s="253">
        <v>1393.6344976000007</v>
      </c>
    </row>
    <row r="7" spans="1:45" x14ac:dyDescent="0.35">
      <c r="A7" s="237">
        <f t="shared" si="10"/>
        <v>6</v>
      </c>
      <c r="B7" s="238" t="s">
        <v>291</v>
      </c>
      <c r="C7" s="237">
        <v>9</v>
      </c>
      <c r="D7" s="239">
        <v>45170</v>
      </c>
      <c r="E7" s="240">
        <f t="shared" si="12"/>
        <v>2023</v>
      </c>
      <c r="F7" s="240" t="s">
        <v>267</v>
      </c>
      <c r="G7" s="249">
        <f t="shared" si="13"/>
        <v>30</v>
      </c>
      <c r="H7" s="246">
        <v>145.19999999999999</v>
      </c>
      <c r="I7" s="246">
        <v>148</v>
      </c>
      <c r="J7" s="243"/>
      <c r="K7" s="246">
        <v>25.31</v>
      </c>
      <c r="L7" s="241"/>
      <c r="M7" s="244">
        <f t="shared" si="11"/>
        <v>2834.4158026999953</v>
      </c>
      <c r="N7" s="244">
        <v>24.303100000000001</v>
      </c>
      <c r="O7" s="245">
        <f t="shared" si="14"/>
        <v>0.78802531884209492</v>
      </c>
      <c r="P7" s="243">
        <f t="shared" si="15"/>
        <v>4.9333333333333336</v>
      </c>
      <c r="Q7" s="241">
        <f>COUNTIFS('Daily KPI'!$D:$D,D7,'Daily KPI'!$I:$I,"&gt;0")</f>
        <v>0</v>
      </c>
      <c r="R7" s="244">
        <f t="shared" si="4"/>
        <v>0</v>
      </c>
      <c r="S7" s="244">
        <f>SUMIF($F$2:F7,F7,$R$2:R7)</f>
        <v>0</v>
      </c>
      <c r="T7" s="243">
        <f t="shared" si="16"/>
        <v>94.480526756666507</v>
      </c>
      <c r="U7" s="244">
        <f t="shared" si="17"/>
        <v>0</v>
      </c>
      <c r="V7" s="244">
        <f>SUMIF($F$2:F7,F7,$U$2:U7)</f>
        <v>0</v>
      </c>
      <c r="W7" s="245">
        <f t="shared" si="18"/>
        <v>0.16198298220643065</v>
      </c>
      <c r="X7" s="245" t="str">
        <f t="shared" si="8"/>
        <v/>
      </c>
      <c r="Y7" s="245" t="str">
        <f t="shared" si="9"/>
        <v/>
      </c>
      <c r="Z7" s="243">
        <v>11.5031</v>
      </c>
      <c r="AA7" s="246">
        <f>IFERROR(AVERAGEIF($F$2:F7,F7,$N$2:N7),"")</f>
        <v>24.303100000000001</v>
      </c>
      <c r="AB7" s="244"/>
      <c r="AC7" s="243"/>
      <c r="AD7" s="243"/>
      <c r="AE7" s="245">
        <v>0.995</v>
      </c>
      <c r="AF7" s="245">
        <v>0.995</v>
      </c>
      <c r="AG7" s="245"/>
      <c r="AH7" s="245"/>
      <c r="AI7" s="245"/>
      <c r="AJ7" s="245"/>
      <c r="AK7" s="245"/>
      <c r="AL7" s="245"/>
      <c r="AM7" s="247"/>
      <c r="AN7" s="247"/>
      <c r="AO7" s="247">
        <v>1200</v>
      </c>
      <c r="AP7" s="253">
        <v>1634.4158026999953</v>
      </c>
    </row>
    <row r="8" spans="1:45" x14ac:dyDescent="0.35">
      <c r="A8" s="238">
        <f t="shared" si="10"/>
        <v>7</v>
      </c>
      <c r="B8" s="238" t="s">
        <v>296</v>
      </c>
      <c r="C8" s="237">
        <v>10</v>
      </c>
      <c r="D8" s="239">
        <v>45200</v>
      </c>
      <c r="E8" s="248">
        <f t="shared" si="12"/>
        <v>2023</v>
      </c>
      <c r="F8" s="240" t="s">
        <v>267</v>
      </c>
      <c r="G8" s="241">
        <f t="shared" si="13"/>
        <v>31</v>
      </c>
      <c r="H8" s="246">
        <v>160</v>
      </c>
      <c r="I8" s="246">
        <v>187.1</v>
      </c>
      <c r="J8" s="250"/>
      <c r="K8" s="242">
        <v>26.6</v>
      </c>
      <c r="L8" s="249"/>
      <c r="M8" s="244">
        <f t="shared" si="11"/>
        <v>3327.7068845999879</v>
      </c>
      <c r="N8" s="244">
        <v>24.303100000000001</v>
      </c>
      <c r="O8" s="252">
        <f t="shared" si="14"/>
        <v>0.73182898088713444</v>
      </c>
      <c r="P8" s="250">
        <f t="shared" si="15"/>
        <v>6.0354838709677416</v>
      </c>
      <c r="Q8" s="249">
        <f>COUNTIFS('Daily KPI'!$D:$D,D8,'Daily KPI'!$I:$I,"&gt;0")</f>
        <v>0</v>
      </c>
      <c r="R8" s="244">
        <f t="shared" si="4"/>
        <v>0</v>
      </c>
      <c r="S8" s="244">
        <f>SUMIF($F$2:F8,F8,$R$2:R8)</f>
        <v>0</v>
      </c>
      <c r="T8" s="250">
        <f t="shared" si="16"/>
        <v>107.34538337419316</v>
      </c>
      <c r="U8" s="251">
        <f t="shared" si="17"/>
        <v>0</v>
      </c>
      <c r="V8" s="244">
        <f>SUMIF($F$2:F8,F8,$U$2:U8)</f>
        <v>0</v>
      </c>
      <c r="W8" s="252">
        <f t="shared" si="18"/>
        <v>0.18403925043546085</v>
      </c>
      <c r="X8" s="252" t="str">
        <f t="shared" si="8"/>
        <v/>
      </c>
      <c r="Y8" s="252" t="str">
        <f t="shared" si="9"/>
        <v/>
      </c>
      <c r="Z8" s="250">
        <v>11.503100000000002</v>
      </c>
      <c r="AA8" s="246">
        <f>IFERROR(AVERAGEIF($F$2:F8,F8,$N$2:N8),"")</f>
        <v>24.303100000000001</v>
      </c>
      <c r="AB8" s="251"/>
      <c r="AC8" s="250"/>
      <c r="AD8" s="250"/>
      <c r="AE8" s="245">
        <v>0.995</v>
      </c>
      <c r="AF8" s="245">
        <v>0.995</v>
      </c>
      <c r="AG8" s="245"/>
      <c r="AH8" s="252"/>
      <c r="AI8" s="252"/>
      <c r="AJ8" s="252"/>
      <c r="AK8" s="252"/>
      <c r="AL8" s="252"/>
      <c r="AM8" s="247"/>
      <c r="AN8" s="247"/>
      <c r="AO8" s="247">
        <v>1530</v>
      </c>
      <c r="AP8" s="253">
        <v>1797.7068845999879</v>
      </c>
    </row>
    <row r="9" spans="1:45" x14ac:dyDescent="0.35">
      <c r="A9" s="237">
        <f t="shared" si="10"/>
        <v>8</v>
      </c>
      <c r="B9" s="238" t="s">
        <v>301</v>
      </c>
      <c r="C9" s="237">
        <v>11</v>
      </c>
      <c r="D9" s="239">
        <v>45231</v>
      </c>
      <c r="E9" s="240">
        <f t="shared" si="12"/>
        <v>2023</v>
      </c>
      <c r="F9" s="240" t="s">
        <v>267</v>
      </c>
      <c r="G9" s="241">
        <f t="shared" si="13"/>
        <v>30</v>
      </c>
      <c r="H9" s="246">
        <v>147.9</v>
      </c>
      <c r="I9" s="246">
        <v>192.4</v>
      </c>
      <c r="J9" s="243"/>
      <c r="K9" s="246">
        <v>24.86</v>
      </c>
      <c r="L9" s="241"/>
      <c r="M9" s="244">
        <f t="shared" si="11"/>
        <v>3395.8173360999908</v>
      </c>
      <c r="N9" s="244">
        <v>24.303100000000001</v>
      </c>
      <c r="O9" s="245">
        <f t="shared" si="14"/>
        <v>0.72623567586678051</v>
      </c>
      <c r="P9" s="243">
        <f t="shared" si="15"/>
        <v>6.4133333333333331</v>
      </c>
      <c r="Q9" s="241">
        <f>COUNTIFS('Daily KPI'!$D:$D,D9,'Daily KPI'!$I:$I,"&gt;0")</f>
        <v>0</v>
      </c>
      <c r="R9" s="244">
        <f t="shared" si="4"/>
        <v>0</v>
      </c>
      <c r="S9" s="244">
        <f>SUMIF($F$2:F9,F9,$R$2:R9)</f>
        <v>0</v>
      </c>
      <c r="T9" s="243">
        <f t="shared" si="16"/>
        <v>113.19391120333303</v>
      </c>
      <c r="U9" s="244">
        <f t="shared" si="17"/>
        <v>0</v>
      </c>
      <c r="V9" s="244">
        <f>SUMIF($F$2:F9,F9,$U$2:U9)</f>
        <v>0</v>
      </c>
      <c r="W9" s="245">
        <f t="shared" si="18"/>
        <v>0.1940663111621786</v>
      </c>
      <c r="X9" s="245" t="str">
        <f t="shared" si="8"/>
        <v/>
      </c>
      <c r="Y9" s="245" t="str">
        <f t="shared" si="9"/>
        <v/>
      </c>
      <c r="Z9" s="243">
        <v>11.5031</v>
      </c>
      <c r="AA9" s="246">
        <f>IFERROR(AVERAGEIF($F$2:F9,F9,$N$2:N9),"")</f>
        <v>24.303100000000001</v>
      </c>
      <c r="AB9" s="244"/>
      <c r="AC9" s="243"/>
      <c r="AD9" s="243"/>
      <c r="AE9" s="245">
        <v>0.995</v>
      </c>
      <c r="AF9" s="245">
        <v>0.995</v>
      </c>
      <c r="AG9" s="245"/>
      <c r="AH9" s="245"/>
      <c r="AI9" s="245"/>
      <c r="AJ9" s="245"/>
      <c r="AK9" s="245"/>
      <c r="AL9" s="245"/>
      <c r="AM9" s="247"/>
      <c r="AN9" s="247"/>
      <c r="AO9" s="247">
        <v>1520</v>
      </c>
      <c r="AP9" s="253">
        <v>1875.8173360999908</v>
      </c>
    </row>
    <row r="10" spans="1:45" x14ac:dyDescent="0.35">
      <c r="A10" s="238">
        <f t="shared" si="10"/>
        <v>9</v>
      </c>
      <c r="B10" s="238" t="s">
        <v>306</v>
      </c>
      <c r="C10" s="237">
        <v>12</v>
      </c>
      <c r="D10" s="239">
        <v>45261</v>
      </c>
      <c r="E10" s="248">
        <f t="shared" si="12"/>
        <v>2023</v>
      </c>
      <c r="F10" s="240" t="s">
        <v>267</v>
      </c>
      <c r="G10" s="249">
        <f t="shared" si="13"/>
        <v>31</v>
      </c>
      <c r="H10" s="246">
        <v>144.5</v>
      </c>
      <c r="I10" s="246">
        <v>200.9</v>
      </c>
      <c r="J10" s="250"/>
      <c r="K10" s="242">
        <v>22.67</v>
      </c>
      <c r="L10" s="249"/>
      <c r="M10" s="244">
        <f t="shared" si="11"/>
        <v>3465.8564542999929</v>
      </c>
      <c r="N10" s="244">
        <v>24.303100000000001</v>
      </c>
      <c r="O10" s="252">
        <f t="shared" si="14"/>
        <v>0.70985388066492006</v>
      </c>
      <c r="P10" s="250">
        <f t="shared" si="15"/>
        <v>6.4806451612903224</v>
      </c>
      <c r="Q10" s="249">
        <f>COUNTIFS('Daily KPI'!$D:$D,D10,'Daily KPI'!$I:$I,"&gt;0")</f>
        <v>0</v>
      </c>
      <c r="R10" s="244">
        <f t="shared" si="4"/>
        <v>0</v>
      </c>
      <c r="S10" s="244">
        <f>SUMIF($F$2:F10,F10,$R$2:R10)</f>
        <v>0</v>
      </c>
      <c r="T10" s="250">
        <f t="shared" si="16"/>
        <v>111.80182110645138</v>
      </c>
      <c r="U10" s="251">
        <f t="shared" si="17"/>
        <v>0</v>
      </c>
      <c r="V10" s="244">
        <f>SUMIF($F$2:F10,F10,$U$2:U10)</f>
        <v>0</v>
      </c>
      <c r="W10" s="252">
        <f t="shared" si="18"/>
        <v>0.1916796298730947</v>
      </c>
      <c r="X10" s="252" t="str">
        <f t="shared" si="8"/>
        <v/>
      </c>
      <c r="Y10" s="252" t="str">
        <f t="shared" si="9"/>
        <v/>
      </c>
      <c r="Z10" s="250">
        <v>11.503100000000002</v>
      </c>
      <c r="AA10" s="246">
        <f>IFERROR(AVERAGEIF($F$2:F10,F10,$N$2:N10),"")</f>
        <v>24.303100000000001</v>
      </c>
      <c r="AB10" s="251"/>
      <c r="AC10" s="250"/>
      <c r="AD10" s="250"/>
      <c r="AE10" s="245">
        <v>0.995</v>
      </c>
      <c r="AF10" s="245">
        <v>0.995</v>
      </c>
      <c r="AG10" s="245"/>
      <c r="AH10" s="252"/>
      <c r="AI10" s="252"/>
      <c r="AJ10" s="252"/>
      <c r="AK10" s="252"/>
      <c r="AL10" s="252"/>
      <c r="AM10" s="247"/>
      <c r="AN10" s="247"/>
      <c r="AO10" s="247">
        <v>1660</v>
      </c>
      <c r="AP10" s="253">
        <v>1805.8564542999927</v>
      </c>
    </row>
    <row r="11" spans="1:45" x14ac:dyDescent="0.35">
      <c r="A11" s="237">
        <f t="shared" si="10"/>
        <v>10</v>
      </c>
      <c r="B11" s="238" t="s">
        <v>311</v>
      </c>
      <c r="C11" s="237">
        <v>1</v>
      </c>
      <c r="D11" s="239">
        <v>45292</v>
      </c>
      <c r="E11" s="240">
        <f t="shared" si="12"/>
        <v>2024</v>
      </c>
      <c r="F11" s="240" t="s">
        <v>267</v>
      </c>
      <c r="G11" s="241">
        <f t="shared" si="13"/>
        <v>31</v>
      </c>
      <c r="H11" s="246">
        <v>155.6</v>
      </c>
      <c r="I11" s="246">
        <v>210.5</v>
      </c>
      <c r="J11" s="243"/>
      <c r="K11" s="246">
        <v>23.04</v>
      </c>
      <c r="L11" s="241"/>
      <c r="M11" s="244">
        <f t="shared" si="11"/>
        <v>3669.8167972999918</v>
      </c>
      <c r="N11" s="244">
        <v>24.303100000000001</v>
      </c>
      <c r="O11" s="245">
        <f t="shared" si="14"/>
        <v>0.71734918645364676</v>
      </c>
      <c r="P11" s="243">
        <f t="shared" si="15"/>
        <v>6.790322580645161</v>
      </c>
      <c r="Q11" s="241">
        <f>COUNTIFS('Daily KPI'!$D:$D,D11,'Daily KPI'!$I:$I,"&gt;0")</f>
        <v>0</v>
      </c>
      <c r="R11" s="244">
        <f t="shared" si="4"/>
        <v>0</v>
      </c>
      <c r="S11" s="244">
        <f>SUMIF($F$2:F11,F11,$R$2:R11)</f>
        <v>0</v>
      </c>
      <c r="T11" s="243">
        <f t="shared" si="16"/>
        <v>118.38118700967715</v>
      </c>
      <c r="U11" s="244">
        <f t="shared" si="17"/>
        <v>0</v>
      </c>
      <c r="V11" s="244">
        <f>SUMIF($F$2:F11,F11,$U$2:U11)</f>
        <v>0</v>
      </c>
      <c r="W11" s="245">
        <f t="shared" si="18"/>
        <v>0.20295968245765139</v>
      </c>
      <c r="X11" s="245" t="str">
        <f t="shared" si="8"/>
        <v/>
      </c>
      <c r="Y11" s="245" t="str">
        <f t="shared" si="9"/>
        <v/>
      </c>
      <c r="Z11" s="243">
        <v>24.303099999999983</v>
      </c>
      <c r="AA11" s="246">
        <f>IFERROR(AVERAGEIF($F$2:F11,F11,$N$2:N11),"")</f>
        <v>24.303100000000001</v>
      </c>
      <c r="AB11" s="244"/>
      <c r="AC11" s="243"/>
      <c r="AD11" s="243"/>
      <c r="AE11" s="245">
        <v>0.995</v>
      </c>
      <c r="AF11" s="245">
        <v>0.995</v>
      </c>
      <c r="AG11" s="245"/>
      <c r="AH11" s="245"/>
      <c r="AI11" s="245"/>
      <c r="AJ11" s="245"/>
      <c r="AK11" s="245"/>
      <c r="AL11" s="245"/>
      <c r="AM11" s="247"/>
      <c r="AN11" s="247"/>
      <c r="AO11" s="247">
        <v>1730</v>
      </c>
      <c r="AP11" s="253">
        <v>1939.8167972999918</v>
      </c>
    </row>
    <row r="12" spans="1:45" x14ac:dyDescent="0.35">
      <c r="A12" s="238">
        <f t="shared" si="10"/>
        <v>11</v>
      </c>
      <c r="B12" s="238" t="s">
        <v>316</v>
      </c>
      <c r="C12" s="237">
        <v>2</v>
      </c>
      <c r="D12" s="239">
        <v>45323</v>
      </c>
      <c r="E12" s="248">
        <f t="shared" si="12"/>
        <v>2024</v>
      </c>
      <c r="F12" s="240" t="s">
        <v>267</v>
      </c>
      <c r="G12" s="249">
        <f t="shared" si="13"/>
        <v>29</v>
      </c>
      <c r="H12" s="246">
        <v>157.9</v>
      </c>
      <c r="I12" s="246">
        <v>193</v>
      </c>
      <c r="J12" s="250"/>
      <c r="K12" s="242">
        <v>25.46</v>
      </c>
      <c r="L12" s="249"/>
      <c r="M12" s="244">
        <f t="shared" si="11"/>
        <v>3412.3302503999903</v>
      </c>
      <c r="N12" s="244">
        <v>24.303100000000001</v>
      </c>
      <c r="O12" s="252">
        <f t="shared" si="14"/>
        <v>0.72749845158242354</v>
      </c>
      <c r="P12" s="250">
        <f t="shared" si="15"/>
        <v>6.6551724137931032</v>
      </c>
      <c r="Q12" s="249">
        <f>COUNTIFS('Daily KPI'!$D:$D,D12,'Daily KPI'!$I:$I,"&gt;0")</f>
        <v>0</v>
      </c>
      <c r="R12" s="244">
        <f t="shared" si="4"/>
        <v>0</v>
      </c>
      <c r="S12" s="244">
        <f>SUMIF($F$2:F12,F12,$R$2:R12)</f>
        <v>0</v>
      </c>
      <c r="T12" s="250">
        <f t="shared" si="16"/>
        <v>117.66656035862036</v>
      </c>
      <c r="U12" s="251">
        <f t="shared" si="17"/>
        <v>0</v>
      </c>
      <c r="V12" s="244">
        <f>SUMIF($F$2:F12,F12,$U$2:U12)</f>
        <v>0</v>
      </c>
      <c r="W12" s="252">
        <f t="shared" si="18"/>
        <v>0.2017344844186893</v>
      </c>
      <c r="X12" s="252" t="str">
        <f t="shared" si="8"/>
        <v/>
      </c>
      <c r="Y12" s="252" t="str">
        <f t="shared" si="9"/>
        <v/>
      </c>
      <c r="Z12" s="250">
        <v>22.996765517241368</v>
      </c>
      <c r="AA12" s="246">
        <f>IFERROR(AVERAGEIF($F$2:F12,F12,$N$2:N12),"")</f>
        <v>24.303100000000004</v>
      </c>
      <c r="AB12" s="251"/>
      <c r="AC12" s="250"/>
      <c r="AD12" s="250"/>
      <c r="AE12" s="245">
        <v>0.995</v>
      </c>
      <c r="AF12" s="245">
        <v>0.995</v>
      </c>
      <c r="AG12" s="245"/>
      <c r="AH12" s="252"/>
      <c r="AI12" s="252"/>
      <c r="AJ12" s="252"/>
      <c r="AK12" s="252"/>
      <c r="AL12" s="252"/>
      <c r="AM12" s="253"/>
      <c r="AN12" s="253"/>
      <c r="AO12" s="253">
        <v>1460</v>
      </c>
      <c r="AP12" s="253">
        <v>1952.3302503999901</v>
      </c>
    </row>
    <row r="13" spans="1:45" x14ac:dyDescent="0.35">
      <c r="A13" s="237">
        <f t="shared" si="10"/>
        <v>12</v>
      </c>
      <c r="B13" s="238" t="s">
        <v>320</v>
      </c>
      <c r="C13" s="237">
        <v>3</v>
      </c>
      <c r="D13" s="239">
        <v>45352</v>
      </c>
      <c r="E13" s="240">
        <f t="shared" si="12"/>
        <v>2024</v>
      </c>
      <c r="F13" s="240" t="s">
        <v>267</v>
      </c>
      <c r="G13" s="241">
        <f t="shared" si="13"/>
        <v>31</v>
      </c>
      <c r="H13" s="246">
        <v>197.2</v>
      </c>
      <c r="I13" s="246">
        <v>213.9</v>
      </c>
      <c r="J13" s="243"/>
      <c r="K13" s="246">
        <v>29.58</v>
      </c>
      <c r="L13" s="241"/>
      <c r="M13" s="244">
        <f t="shared" si="11"/>
        <v>3966.1271901999853</v>
      </c>
      <c r="N13" s="244">
        <v>24.303100000000001</v>
      </c>
      <c r="O13" s="245">
        <f t="shared" si="14"/>
        <v>0.76294666518444787</v>
      </c>
      <c r="P13" s="243">
        <f t="shared" si="15"/>
        <v>6.9</v>
      </c>
      <c r="Q13" s="241">
        <f>COUNTIFS('Daily KPI'!$D:$D,D13,'Daily KPI'!$I:$I,"&gt;0")</f>
        <v>0</v>
      </c>
      <c r="R13" s="244">
        <f t="shared" si="4"/>
        <v>0</v>
      </c>
      <c r="S13" s="244">
        <f>SUMIF($F$2:F13,F13,$R$2:R13)</f>
        <v>0</v>
      </c>
      <c r="T13" s="243">
        <f t="shared" si="16"/>
        <v>127.93958678064469</v>
      </c>
      <c r="U13" s="244">
        <f t="shared" si="17"/>
        <v>0</v>
      </c>
      <c r="V13" s="244">
        <f>SUMIF($F$2:F13,F13,$U$2:U13)</f>
        <v>0</v>
      </c>
      <c r="W13" s="245">
        <f t="shared" si="18"/>
        <v>0.2193471662405288</v>
      </c>
      <c r="X13" s="245" t="str">
        <f t="shared" si="8"/>
        <v/>
      </c>
      <c r="Y13" s="245" t="str">
        <f t="shared" si="9"/>
        <v/>
      </c>
      <c r="Z13" s="243">
        <v>24.303099999999983</v>
      </c>
      <c r="AA13" s="246">
        <f>IFERROR(AVERAGEIF($F$2:F13,F13,$N$2:N13),"")</f>
        <v>24.303100000000001</v>
      </c>
      <c r="AB13" s="244"/>
      <c r="AC13" s="243"/>
      <c r="AD13" s="243"/>
      <c r="AE13" s="245">
        <v>0.995</v>
      </c>
      <c r="AF13" s="245">
        <v>0.995</v>
      </c>
      <c r="AG13" s="245"/>
      <c r="AH13" s="245"/>
      <c r="AI13" s="245"/>
      <c r="AJ13" s="245"/>
      <c r="AK13" s="245"/>
      <c r="AL13" s="245"/>
      <c r="AM13" s="253"/>
      <c r="AN13" s="253"/>
      <c r="AO13" s="253">
        <v>1690</v>
      </c>
      <c r="AP13" s="253">
        <v>2276.1271901999853</v>
      </c>
    </row>
    <row r="14" spans="1:45" x14ac:dyDescent="0.35">
      <c r="A14" s="238">
        <f t="shared" si="10"/>
        <v>13</v>
      </c>
      <c r="B14" s="238" t="str">
        <f>B2</f>
        <v>April</v>
      </c>
      <c r="C14" s="238">
        <f>C2</f>
        <v>4</v>
      </c>
      <c r="D14" s="239">
        <v>45383</v>
      </c>
      <c r="E14" s="248">
        <f>YEAR(D14)</f>
        <v>2024</v>
      </c>
      <c r="F14" s="240" t="s">
        <v>324</v>
      </c>
      <c r="G14" s="249">
        <f>DAY(EOMONTH(D14,0))</f>
        <v>30</v>
      </c>
      <c r="H14" s="246">
        <f>H2</f>
        <v>197.1</v>
      </c>
      <c r="I14" s="246">
        <f>I2</f>
        <v>198.7</v>
      </c>
      <c r="J14" s="250"/>
      <c r="K14" s="242">
        <f>K2</f>
        <v>31.76</v>
      </c>
      <c r="L14" s="249"/>
      <c r="M14" s="244">
        <f t="shared" si="11"/>
        <v>2605.2205557784978</v>
      </c>
      <c r="N14" s="244">
        <v>24.303100000000001</v>
      </c>
      <c r="O14" s="252">
        <f t="shared" si="14"/>
        <v>0.5394919331482696</v>
      </c>
      <c r="P14" s="250">
        <f t="shared" si="15"/>
        <v>6.6233333333333331</v>
      </c>
      <c r="Q14" s="249">
        <f>COUNTIFS('Daily KPI'!$D:$D,D14,'Daily KPI'!$I:$I,"&gt;0")</f>
        <v>0</v>
      </c>
      <c r="R14" s="244">
        <f t="shared" si="4"/>
        <v>0</v>
      </c>
      <c r="S14" s="244">
        <f>SUMIF($F$2:F14,F14,$R$2:R14)</f>
        <v>0</v>
      </c>
      <c r="T14" s="250">
        <f t="shared" si="16"/>
        <v>86.84068519261659</v>
      </c>
      <c r="U14" s="251">
        <f t="shared" si="17"/>
        <v>0</v>
      </c>
      <c r="V14" s="244">
        <f>SUMIF($F$2:F14,F14,$U$2:U14)</f>
        <v>0</v>
      </c>
      <c r="W14" s="252">
        <f t="shared" si="18"/>
        <v>0.14888478766189051</v>
      </c>
      <c r="X14" s="252" t="str">
        <f t="shared" si="8"/>
        <v/>
      </c>
      <c r="Y14" s="252" t="str">
        <f t="shared" si="9"/>
        <v/>
      </c>
      <c r="Z14" s="250">
        <v>24.303099999999983</v>
      </c>
      <c r="AA14" s="246">
        <f>IFERROR(AVERAGEIF($F$2:F14,F14,$N$2:N14),"")</f>
        <v>24.303100000000001</v>
      </c>
      <c r="AB14" s="251"/>
      <c r="AC14" s="250"/>
      <c r="AD14" s="250"/>
      <c r="AE14" s="245">
        <v>0.995</v>
      </c>
      <c r="AF14" s="245">
        <v>0.995</v>
      </c>
      <c r="AG14" s="245"/>
      <c r="AH14" s="252"/>
      <c r="AI14" s="252"/>
      <c r="AJ14" s="252"/>
      <c r="AK14" s="252"/>
      <c r="AL14" s="252"/>
      <c r="AM14" s="253"/>
      <c r="AN14" s="253"/>
      <c r="AO14" s="253">
        <v>1529.1</v>
      </c>
      <c r="AP14" s="253">
        <v>1076.1205557784979</v>
      </c>
    </row>
    <row r="15" spans="1:45" x14ac:dyDescent="0.35">
      <c r="A15" s="237">
        <f t="shared" si="10"/>
        <v>14</v>
      </c>
      <c r="B15" s="238" t="str">
        <f t="shared" ref="B15:C25" si="19">B3</f>
        <v>May</v>
      </c>
      <c r="C15" s="238">
        <f t="shared" si="19"/>
        <v>5</v>
      </c>
      <c r="D15" s="239">
        <v>45413</v>
      </c>
      <c r="E15" s="240">
        <f>YEAR(D15)</f>
        <v>2024</v>
      </c>
      <c r="F15" s="240" t="s">
        <v>324</v>
      </c>
      <c r="G15" s="241">
        <f>DAY(EOMONTH(D15,0))</f>
        <v>31</v>
      </c>
      <c r="H15" s="246">
        <f t="shared" ref="H15:H37" si="20">H3</f>
        <v>204.3</v>
      </c>
      <c r="I15" s="246">
        <f t="shared" ref="I15:I37" si="21">I3</f>
        <v>202.4</v>
      </c>
      <c r="J15" s="243"/>
      <c r="K15" s="242">
        <f t="shared" ref="K15:K37" si="22">K3</f>
        <v>30.53</v>
      </c>
      <c r="L15" s="241"/>
      <c r="M15" s="244">
        <f t="shared" si="11"/>
        <v>3808.5051500540003</v>
      </c>
      <c r="N15" s="244">
        <v>24.303100000000001</v>
      </c>
      <c r="O15" s="245">
        <f t="shared" si="14"/>
        <v>0.77425205219391402</v>
      </c>
      <c r="P15" s="243">
        <f t="shared" si="15"/>
        <v>6.5290322580645164</v>
      </c>
      <c r="Q15" s="241">
        <f>COUNTIFS('Daily KPI'!$D:$D,D15,'Daily KPI'!$I:$I,"&gt;0")</f>
        <v>0</v>
      </c>
      <c r="R15" s="244">
        <f t="shared" si="4"/>
        <v>0</v>
      </c>
      <c r="S15" s="244">
        <f>SUMIF($F$2:F15,F15,$R$2:R15)</f>
        <v>0</v>
      </c>
      <c r="T15" s="243">
        <f t="shared" si="16"/>
        <v>122.85500484045163</v>
      </c>
      <c r="U15" s="244">
        <f t="shared" si="17"/>
        <v>0</v>
      </c>
      <c r="V15" s="244">
        <f>SUMIF($F$2:F15,F15,$U$2:U15)</f>
        <v>0</v>
      </c>
      <c r="W15" s="245">
        <f t="shared" si="18"/>
        <v>0.21062985936027986</v>
      </c>
      <c r="X15" s="245" t="str">
        <f t="shared" si="8"/>
        <v/>
      </c>
      <c r="Y15" s="245" t="str">
        <f t="shared" si="9"/>
        <v/>
      </c>
      <c r="Z15" s="243">
        <v>24.303099999999983</v>
      </c>
      <c r="AA15" s="246">
        <f>IFERROR(AVERAGEIF($F$2:F15,F15,$N$2:N15),"")</f>
        <v>24.303100000000001</v>
      </c>
      <c r="AB15" s="244"/>
      <c r="AC15" s="243"/>
      <c r="AD15" s="243"/>
      <c r="AE15" s="245">
        <v>0.995</v>
      </c>
      <c r="AF15" s="245">
        <v>0.995</v>
      </c>
      <c r="AG15" s="245"/>
      <c r="AH15" s="245"/>
      <c r="AI15" s="245"/>
      <c r="AJ15" s="245"/>
      <c r="AK15" s="245"/>
      <c r="AL15" s="245"/>
      <c r="AM15" s="253"/>
      <c r="AN15" s="253"/>
      <c r="AO15" s="253">
        <v>1573.6000000000001</v>
      </c>
      <c r="AP15" s="253">
        <v>2234.9051500539999</v>
      </c>
    </row>
    <row r="16" spans="1:45" x14ac:dyDescent="0.35">
      <c r="A16" s="237">
        <f t="shared" si="10"/>
        <v>15</v>
      </c>
      <c r="B16" s="238" t="str">
        <f t="shared" si="19"/>
        <v>June</v>
      </c>
      <c r="C16" s="238">
        <f t="shared" si="19"/>
        <v>6</v>
      </c>
      <c r="D16" s="239">
        <v>45444</v>
      </c>
      <c r="E16" s="240">
        <f t="shared" ref="E16:E25" si="23">YEAR(D16)</f>
        <v>2024</v>
      </c>
      <c r="F16" s="240" t="s">
        <v>324</v>
      </c>
      <c r="G16" s="241">
        <f t="shared" ref="G16:G25" si="24">DAY(EOMONTH(D16,0))</f>
        <v>30</v>
      </c>
      <c r="H16" s="246">
        <f t="shared" si="20"/>
        <v>156</v>
      </c>
      <c r="I16" s="246">
        <f t="shared" si="21"/>
        <v>153.69999999999999</v>
      </c>
      <c r="J16" s="243"/>
      <c r="K16" s="242">
        <f t="shared" si="22"/>
        <v>26.96</v>
      </c>
      <c r="L16" s="241"/>
      <c r="M16" s="244">
        <f t="shared" si="11"/>
        <v>2765.4051193114274</v>
      </c>
      <c r="N16" s="244">
        <v>24.303100000000001</v>
      </c>
      <c r="O16" s="245">
        <f t="shared" si="14"/>
        <v>0.74032637359513365</v>
      </c>
      <c r="P16" s="243">
        <f t="shared" si="15"/>
        <v>5.1233333333333331</v>
      </c>
      <c r="Q16" s="241">
        <f>COUNTIFS('Daily KPI'!$D:$D,D16,'Daily KPI'!$I:$I,"&gt;0")</f>
        <v>0</v>
      </c>
      <c r="R16" s="244">
        <f t="shared" si="4"/>
        <v>0</v>
      </c>
      <c r="S16" s="244">
        <f>SUMIF($F$2:F16,F16,$R$2:R16)</f>
        <v>0</v>
      </c>
      <c r="T16" s="243">
        <f t="shared" si="16"/>
        <v>92.180170643714249</v>
      </c>
      <c r="U16" s="244">
        <f t="shared" si="17"/>
        <v>0</v>
      </c>
      <c r="V16" s="244">
        <f>SUMIF($F$2:F16,F16,$U$2:U16)</f>
        <v>0</v>
      </c>
      <c r="W16" s="245">
        <f t="shared" si="18"/>
        <v>0.15803911614107227</v>
      </c>
      <c r="X16" s="245" t="str">
        <f t="shared" si="8"/>
        <v/>
      </c>
      <c r="Y16" s="245" t="str">
        <f t="shared" si="9"/>
        <v/>
      </c>
      <c r="Z16" s="243">
        <v>24.303099999999983</v>
      </c>
      <c r="AA16" s="246">
        <f>IFERROR(AVERAGEIF($F$2:F16,F16,$N$2:N16),"")</f>
        <v>24.303100000000001</v>
      </c>
      <c r="AB16" s="244"/>
      <c r="AC16" s="243"/>
      <c r="AD16" s="243"/>
      <c r="AE16" s="245">
        <v>0.995</v>
      </c>
      <c r="AF16" s="245">
        <v>0.995</v>
      </c>
      <c r="AG16" s="245"/>
      <c r="AH16" s="245"/>
      <c r="AI16" s="245"/>
      <c r="AJ16" s="245"/>
      <c r="AK16" s="245"/>
      <c r="AL16" s="245"/>
      <c r="AM16" s="253"/>
      <c r="AN16" s="253"/>
      <c r="AO16" s="253">
        <v>1236.3</v>
      </c>
      <c r="AP16" s="253">
        <v>1529.1051193114272</v>
      </c>
    </row>
    <row r="17" spans="1:42" x14ac:dyDescent="0.35">
      <c r="A17" s="237">
        <f t="shared" si="10"/>
        <v>16</v>
      </c>
      <c r="B17" s="238" t="str">
        <f t="shared" si="19"/>
        <v>July</v>
      </c>
      <c r="C17" s="238">
        <f t="shared" si="19"/>
        <v>7</v>
      </c>
      <c r="D17" s="239">
        <v>45474</v>
      </c>
      <c r="E17" s="240">
        <f t="shared" si="23"/>
        <v>2024</v>
      </c>
      <c r="F17" s="240" t="s">
        <v>324</v>
      </c>
      <c r="G17" s="241">
        <f t="shared" si="24"/>
        <v>31</v>
      </c>
      <c r="H17" s="246">
        <f t="shared" si="20"/>
        <v>138</v>
      </c>
      <c r="I17" s="246">
        <f t="shared" si="21"/>
        <v>136.6</v>
      </c>
      <c r="J17" s="243"/>
      <c r="K17" s="242">
        <f t="shared" si="22"/>
        <v>25.04</v>
      </c>
      <c r="L17" s="241"/>
      <c r="M17" s="244">
        <f t="shared" si="11"/>
        <v>2424.5807545687867</v>
      </c>
      <c r="N17" s="244">
        <v>24.303100000000001</v>
      </c>
      <c r="O17" s="245">
        <f t="shared" si="14"/>
        <v>0.73033864317039632</v>
      </c>
      <c r="P17" s="243">
        <f t="shared" si="15"/>
        <v>4.4064516129032256</v>
      </c>
      <c r="Q17" s="241">
        <f>COUNTIFS('Daily KPI'!$D:$D,D17,'Daily KPI'!$I:$I,"&gt;0")</f>
        <v>0</v>
      </c>
      <c r="R17" s="244">
        <f t="shared" si="4"/>
        <v>0</v>
      </c>
      <c r="S17" s="244">
        <f>SUMIF($F$2:F17,F17,$R$2:R17)</f>
        <v>0</v>
      </c>
      <c r="T17" s="243">
        <f t="shared" si="16"/>
        <v>78.212282405444725</v>
      </c>
      <c r="U17" s="244">
        <f t="shared" si="17"/>
        <v>0</v>
      </c>
      <c r="V17" s="244">
        <f>SUMIF($F$2:F17,F17,$U$2:U17)</f>
        <v>0</v>
      </c>
      <c r="W17" s="245">
        <f t="shared" si="18"/>
        <v>0.13409174550682273</v>
      </c>
      <c r="X17" s="245" t="str">
        <f t="shared" si="8"/>
        <v/>
      </c>
      <c r="Y17" s="245" t="str">
        <f t="shared" si="9"/>
        <v/>
      </c>
      <c r="Z17" s="243">
        <v>24.303099999999983</v>
      </c>
      <c r="AA17" s="246">
        <f>IFERROR(AVERAGEIF($F$2:F17,F17,$N$2:N17),"")</f>
        <v>24.303100000000001</v>
      </c>
      <c r="AB17" s="244"/>
      <c r="AC17" s="243"/>
      <c r="AD17" s="243"/>
      <c r="AE17" s="245">
        <v>0.995</v>
      </c>
      <c r="AF17" s="245">
        <v>0.995</v>
      </c>
      <c r="AG17" s="245"/>
      <c r="AH17" s="245"/>
      <c r="AI17" s="245"/>
      <c r="AJ17" s="245"/>
      <c r="AK17" s="245"/>
      <c r="AL17" s="245"/>
      <c r="AM17" s="253"/>
      <c r="AN17" s="253"/>
      <c r="AO17" s="253">
        <v>1124.2</v>
      </c>
      <c r="AP17" s="253">
        <v>1300.3807545687864</v>
      </c>
    </row>
    <row r="18" spans="1:42" x14ac:dyDescent="0.35">
      <c r="A18" s="237">
        <f t="shared" si="10"/>
        <v>17</v>
      </c>
      <c r="B18" s="238" t="str">
        <f t="shared" si="19"/>
        <v>August</v>
      </c>
      <c r="C18" s="238">
        <f t="shared" si="19"/>
        <v>8</v>
      </c>
      <c r="D18" s="239">
        <v>45505</v>
      </c>
      <c r="E18" s="240">
        <f t="shared" si="23"/>
        <v>2024</v>
      </c>
      <c r="F18" s="240" t="s">
        <v>324</v>
      </c>
      <c r="G18" s="241">
        <f t="shared" si="24"/>
        <v>31</v>
      </c>
      <c r="H18" s="246">
        <f t="shared" si="20"/>
        <v>129.30000000000001</v>
      </c>
      <c r="I18" s="246">
        <f t="shared" si="21"/>
        <v>129.4</v>
      </c>
      <c r="J18" s="243"/>
      <c r="K18" s="242">
        <f t="shared" si="22"/>
        <v>24.6</v>
      </c>
      <c r="L18" s="241"/>
      <c r="M18" s="244">
        <f t="shared" si="11"/>
        <v>2422.2312478976301</v>
      </c>
      <c r="N18" s="244">
        <v>24.303100000000001</v>
      </c>
      <c r="O18" s="245">
        <f t="shared" si="14"/>
        <v>0.77022862034615736</v>
      </c>
      <c r="P18" s="243">
        <f t="shared" si="15"/>
        <v>4.1741935483870973</v>
      </c>
      <c r="Q18" s="241">
        <f>COUNTIFS('Daily KPI'!$D:$D,D18,'Daily KPI'!$I:$I,"&gt;0")</f>
        <v>0</v>
      </c>
      <c r="R18" s="244">
        <f t="shared" si="4"/>
        <v>0</v>
      </c>
      <c r="S18" s="244">
        <f>SUMIF($F$2:F18,F18,$R$2:R18)</f>
        <v>0</v>
      </c>
      <c r="T18" s="243">
        <f t="shared" si="16"/>
        <v>78.136491867665484</v>
      </c>
      <c r="U18" s="244">
        <f t="shared" si="17"/>
        <v>0</v>
      </c>
      <c r="V18" s="244">
        <f>SUMIF($F$2:F18,F18,$U$2:U18)</f>
        <v>0</v>
      </c>
      <c r="W18" s="245">
        <f t="shared" si="18"/>
        <v>0.13396180574300104</v>
      </c>
      <c r="X18" s="245" t="str">
        <f t="shared" si="8"/>
        <v/>
      </c>
      <c r="Y18" s="245" t="str">
        <f t="shared" si="9"/>
        <v/>
      </c>
      <c r="Z18" s="243">
        <v>24.303099999999983</v>
      </c>
      <c r="AA18" s="246">
        <f>IFERROR(AVERAGEIF($F$2:F18,F18,$N$2:N18),"")</f>
        <v>24.303100000000001</v>
      </c>
      <c r="AB18" s="244"/>
      <c r="AC18" s="243"/>
      <c r="AD18" s="243"/>
      <c r="AE18" s="245">
        <v>0.995</v>
      </c>
      <c r="AF18" s="245">
        <v>0.995</v>
      </c>
      <c r="AG18" s="245"/>
      <c r="AH18" s="245"/>
      <c r="AI18" s="245"/>
      <c r="AJ18" s="245"/>
      <c r="AK18" s="245"/>
      <c r="AL18" s="245"/>
      <c r="AM18" s="253"/>
      <c r="AN18" s="253"/>
      <c r="AO18" s="253">
        <v>1062.2</v>
      </c>
      <c r="AP18" s="253">
        <v>1360.0312478976298</v>
      </c>
    </row>
    <row r="19" spans="1:42" x14ac:dyDescent="0.35">
      <c r="A19" s="237">
        <f t="shared" si="10"/>
        <v>18</v>
      </c>
      <c r="B19" s="238" t="str">
        <f t="shared" si="19"/>
        <v>September</v>
      </c>
      <c r="C19" s="238">
        <f t="shared" si="19"/>
        <v>9</v>
      </c>
      <c r="D19" s="239">
        <v>45536</v>
      </c>
      <c r="E19" s="240">
        <f t="shared" si="23"/>
        <v>2024</v>
      </c>
      <c r="F19" s="240" t="s">
        <v>324</v>
      </c>
      <c r="G19" s="241">
        <f t="shared" si="24"/>
        <v>30</v>
      </c>
      <c r="H19" s="246">
        <f t="shared" si="20"/>
        <v>145.19999999999999</v>
      </c>
      <c r="I19" s="246">
        <f t="shared" si="21"/>
        <v>148</v>
      </c>
      <c r="J19" s="243"/>
      <c r="K19" s="242">
        <f t="shared" si="22"/>
        <v>25.31</v>
      </c>
      <c r="L19" s="241"/>
      <c r="M19" s="244">
        <f t="shared" si="11"/>
        <v>2662.1507723633322</v>
      </c>
      <c r="N19" s="244">
        <v>24.303100000000001</v>
      </c>
      <c r="O19" s="245">
        <f t="shared" si="14"/>
        <v>0.74013213206015538</v>
      </c>
      <c r="P19" s="243">
        <f t="shared" si="15"/>
        <v>4.9333333333333336</v>
      </c>
      <c r="Q19" s="241">
        <f>COUNTIFS('Daily KPI'!$D:$D,D19,'Daily KPI'!$I:$I,"&gt;0")</f>
        <v>0</v>
      </c>
      <c r="R19" s="244">
        <f t="shared" si="4"/>
        <v>0</v>
      </c>
      <c r="S19" s="244">
        <f>SUMIF($F$2:F19,F19,$R$2:R19)</f>
        <v>0</v>
      </c>
      <c r="T19" s="243">
        <f t="shared" si="16"/>
        <v>88.738359078777734</v>
      </c>
      <c r="U19" s="244">
        <f t="shared" si="17"/>
        <v>0</v>
      </c>
      <c r="V19" s="244">
        <f>SUMIF($F$2:F19,F19,$U$2:U19)</f>
        <v>0</v>
      </c>
      <c r="W19" s="245">
        <f t="shared" si="18"/>
        <v>0.15213827159014304</v>
      </c>
      <c r="X19" s="245" t="str">
        <f t="shared" si="8"/>
        <v/>
      </c>
      <c r="Y19" s="245" t="str">
        <f t="shared" si="9"/>
        <v/>
      </c>
      <c r="Z19" s="243">
        <v>24.303099999999983</v>
      </c>
      <c r="AA19" s="246">
        <f>IFERROR(AVERAGEIF($F$2:F19,F19,$N$2:N19),"")</f>
        <v>24.303100000000001</v>
      </c>
      <c r="AB19" s="244"/>
      <c r="AC19" s="243"/>
      <c r="AD19" s="243"/>
      <c r="AE19" s="245">
        <v>0.995</v>
      </c>
      <c r="AF19" s="245">
        <v>0.995</v>
      </c>
      <c r="AG19" s="245"/>
      <c r="AH19" s="245"/>
      <c r="AI19" s="245"/>
      <c r="AJ19" s="245"/>
      <c r="AK19" s="245"/>
      <c r="AL19" s="245"/>
      <c r="AM19" s="253"/>
      <c r="AN19" s="253"/>
      <c r="AO19" s="253">
        <v>1203.5999999999999</v>
      </c>
      <c r="AP19" s="253">
        <v>1458.5507723633323</v>
      </c>
    </row>
    <row r="20" spans="1:42" x14ac:dyDescent="0.35">
      <c r="A20" s="237">
        <f t="shared" si="10"/>
        <v>19</v>
      </c>
      <c r="B20" s="238" t="str">
        <f t="shared" si="19"/>
        <v>October</v>
      </c>
      <c r="C20" s="238">
        <f t="shared" si="19"/>
        <v>10</v>
      </c>
      <c r="D20" s="239">
        <v>45566</v>
      </c>
      <c r="E20" s="240">
        <f t="shared" si="23"/>
        <v>2024</v>
      </c>
      <c r="F20" s="240" t="s">
        <v>324</v>
      </c>
      <c r="G20" s="241">
        <f t="shared" si="24"/>
        <v>31</v>
      </c>
      <c r="H20" s="246">
        <f t="shared" si="20"/>
        <v>160</v>
      </c>
      <c r="I20" s="246">
        <f t="shared" si="21"/>
        <v>187.1</v>
      </c>
      <c r="J20" s="243"/>
      <c r="K20" s="242">
        <f t="shared" si="22"/>
        <v>26.6</v>
      </c>
      <c r="L20" s="241"/>
      <c r="M20" s="244">
        <f t="shared" si="11"/>
        <v>3354.272091415171</v>
      </c>
      <c r="N20" s="244">
        <v>24.303100000000001</v>
      </c>
      <c r="O20" s="245">
        <f t="shared" si="14"/>
        <v>0.73767119863791697</v>
      </c>
      <c r="P20" s="243">
        <f t="shared" si="15"/>
        <v>6.0354838709677416</v>
      </c>
      <c r="Q20" s="241">
        <f>COUNTIFS('Daily KPI'!$D:$D,D20,'Daily KPI'!$I:$I,"&gt;0")</f>
        <v>0</v>
      </c>
      <c r="R20" s="244">
        <f t="shared" si="4"/>
        <v>0</v>
      </c>
      <c r="S20" s="244">
        <f>SUMIF($F$2:F20,F20,$R$2:R20)</f>
        <v>0</v>
      </c>
      <c r="T20" s="243">
        <f t="shared" si="16"/>
        <v>108.20232552952164</v>
      </c>
      <c r="U20" s="244">
        <f t="shared" si="17"/>
        <v>0</v>
      </c>
      <c r="V20" s="244">
        <f>SUMIF($F$2:F20,F20,$U$2:U20)</f>
        <v>0</v>
      </c>
      <c r="W20" s="245">
        <f t="shared" si="18"/>
        <v>0.18550844256069124</v>
      </c>
      <c r="X20" s="245" t="str">
        <f t="shared" si="8"/>
        <v/>
      </c>
      <c r="Y20" s="245" t="str">
        <f t="shared" si="9"/>
        <v/>
      </c>
      <c r="Z20" s="243">
        <v>24.303099999999983</v>
      </c>
      <c r="AA20" s="246">
        <f>IFERROR(AVERAGEIF($F$2:F20,F20,$N$2:N20),"")</f>
        <v>24.303100000000001</v>
      </c>
      <c r="AB20" s="244"/>
      <c r="AC20" s="243"/>
      <c r="AD20" s="243"/>
      <c r="AE20" s="245">
        <v>0.995</v>
      </c>
      <c r="AF20" s="245">
        <v>0.995</v>
      </c>
      <c r="AG20" s="245"/>
      <c r="AH20" s="245"/>
      <c r="AI20" s="245"/>
      <c r="AJ20" s="245"/>
      <c r="AK20" s="245"/>
      <c r="AL20" s="245"/>
      <c r="AM20" s="253"/>
      <c r="AN20" s="253"/>
      <c r="AO20" s="253">
        <v>1489.2</v>
      </c>
      <c r="AP20" s="253">
        <v>1865.0720914151709</v>
      </c>
    </row>
    <row r="21" spans="1:42" x14ac:dyDescent="0.35">
      <c r="A21" s="237">
        <f t="shared" si="10"/>
        <v>20</v>
      </c>
      <c r="B21" s="238" t="str">
        <f t="shared" si="19"/>
        <v>November</v>
      </c>
      <c r="C21" s="238">
        <f t="shared" si="19"/>
        <v>11</v>
      </c>
      <c r="D21" s="239">
        <v>45597</v>
      </c>
      <c r="E21" s="240">
        <f t="shared" si="23"/>
        <v>2024</v>
      </c>
      <c r="F21" s="240" t="s">
        <v>324</v>
      </c>
      <c r="G21" s="241">
        <f t="shared" si="24"/>
        <v>30</v>
      </c>
      <c r="H21" s="246">
        <f t="shared" si="20"/>
        <v>147.9</v>
      </c>
      <c r="I21" s="246">
        <f t="shared" si="21"/>
        <v>192.4</v>
      </c>
      <c r="J21" s="243"/>
      <c r="K21" s="242">
        <f t="shared" si="22"/>
        <v>24.86</v>
      </c>
      <c r="L21" s="241"/>
      <c r="M21" s="244">
        <f t="shared" si="11"/>
        <v>3334.8428629467735</v>
      </c>
      <c r="N21" s="244">
        <v>24.303100000000001</v>
      </c>
      <c r="O21" s="245">
        <f t="shared" si="14"/>
        <v>0.71319556406503559</v>
      </c>
      <c r="P21" s="243">
        <f t="shared" si="15"/>
        <v>6.4133333333333331</v>
      </c>
      <c r="Q21" s="241">
        <f>COUNTIFS('Daily KPI'!$D:$D,D21,'Daily KPI'!$I:$I,"&gt;0")</f>
        <v>0</v>
      </c>
      <c r="R21" s="244">
        <f t="shared" si="4"/>
        <v>0</v>
      </c>
      <c r="S21" s="244">
        <f>SUMIF($F$2:F21,F21,$R$2:R21)</f>
        <v>0</v>
      </c>
      <c r="T21" s="243">
        <f t="shared" si="16"/>
        <v>111.16142876489245</v>
      </c>
      <c r="U21" s="244">
        <f t="shared" si="17"/>
        <v>0</v>
      </c>
      <c r="V21" s="244">
        <f>SUMIF($F$2:F21,F21,$U$2:U21)</f>
        <v>0</v>
      </c>
      <c r="W21" s="245">
        <f t="shared" si="18"/>
        <v>0.19058170350849007</v>
      </c>
      <c r="X21" s="245" t="str">
        <f t="shared" si="8"/>
        <v/>
      </c>
      <c r="Y21" s="245" t="str">
        <f t="shared" si="9"/>
        <v/>
      </c>
      <c r="Z21" s="243">
        <v>24.303099999999983</v>
      </c>
      <c r="AA21" s="246">
        <f>IFERROR(AVERAGEIF($F$2:F21,F21,$N$2:N21),"")</f>
        <v>24.303100000000001</v>
      </c>
      <c r="AB21" s="244"/>
      <c r="AC21" s="243"/>
      <c r="AD21" s="243"/>
      <c r="AE21" s="245">
        <v>0.995</v>
      </c>
      <c r="AF21" s="245">
        <v>0.995</v>
      </c>
      <c r="AG21" s="245"/>
      <c r="AH21" s="245"/>
      <c r="AI21" s="245"/>
      <c r="AJ21" s="245"/>
      <c r="AK21" s="245"/>
      <c r="AL21" s="245"/>
      <c r="AM21" s="253"/>
      <c r="AN21" s="253"/>
      <c r="AO21" s="253">
        <v>1532.5</v>
      </c>
      <c r="AP21" s="253">
        <v>1802.3428629467737</v>
      </c>
    </row>
    <row r="22" spans="1:42" x14ac:dyDescent="0.35">
      <c r="A22" s="237">
        <f t="shared" si="10"/>
        <v>21</v>
      </c>
      <c r="B22" s="238" t="str">
        <f t="shared" si="19"/>
        <v>December</v>
      </c>
      <c r="C22" s="238">
        <f t="shared" si="19"/>
        <v>12</v>
      </c>
      <c r="D22" s="239">
        <v>45627</v>
      </c>
      <c r="E22" s="240">
        <f t="shared" si="23"/>
        <v>2024</v>
      </c>
      <c r="F22" s="240" t="s">
        <v>324</v>
      </c>
      <c r="G22" s="241">
        <f t="shared" si="24"/>
        <v>31</v>
      </c>
      <c r="H22" s="246">
        <f t="shared" si="20"/>
        <v>144.5</v>
      </c>
      <c r="I22" s="246">
        <f t="shared" si="21"/>
        <v>200.9</v>
      </c>
      <c r="J22" s="243"/>
      <c r="K22" s="242">
        <f t="shared" si="22"/>
        <v>22.67</v>
      </c>
      <c r="L22" s="241"/>
      <c r="M22" s="244">
        <f t="shared" si="11"/>
        <v>3421.0704650494899</v>
      </c>
      <c r="N22" s="244">
        <v>24.303100000000001</v>
      </c>
      <c r="O22" s="245">
        <f t="shared" si="14"/>
        <v>0.70068110946447293</v>
      </c>
      <c r="P22" s="243">
        <f t="shared" si="15"/>
        <v>6.4806451612903224</v>
      </c>
      <c r="Q22" s="241">
        <f>COUNTIFS('Daily KPI'!$D:$D,D22,'Daily KPI'!$I:$I,"&gt;0")</f>
        <v>0</v>
      </c>
      <c r="R22" s="244">
        <f t="shared" si="4"/>
        <v>0</v>
      </c>
      <c r="S22" s="244">
        <f>SUMIF($F$2:F22,F22,$R$2:R22)</f>
        <v>0</v>
      </c>
      <c r="T22" s="243">
        <f t="shared" si="16"/>
        <v>110.35711177579</v>
      </c>
      <c r="U22" s="244">
        <f t="shared" si="17"/>
        <v>0</v>
      </c>
      <c r="V22" s="244">
        <f>SUMIF($F$2:F22,F22,$U$2:U22)</f>
        <v>0</v>
      </c>
      <c r="W22" s="245">
        <f t="shared" si="18"/>
        <v>0.18920273506910298</v>
      </c>
      <c r="X22" s="245" t="str">
        <f t="shared" si="8"/>
        <v/>
      </c>
      <c r="Y22" s="245" t="str">
        <f t="shared" si="9"/>
        <v/>
      </c>
      <c r="Z22" s="243">
        <v>24.303099999999983</v>
      </c>
      <c r="AA22" s="246">
        <f>IFERROR(AVERAGEIF($F$2:F22,F22,$N$2:N22),"")</f>
        <v>24.303100000000001</v>
      </c>
      <c r="AB22" s="244"/>
      <c r="AC22" s="243"/>
      <c r="AD22" s="243"/>
      <c r="AE22" s="245">
        <v>0.995</v>
      </c>
      <c r="AF22" s="245">
        <v>0.995</v>
      </c>
      <c r="AG22" s="245"/>
      <c r="AH22" s="245"/>
      <c r="AI22" s="245"/>
      <c r="AJ22" s="245"/>
      <c r="AK22" s="245"/>
      <c r="AL22" s="245"/>
      <c r="AM22" s="253"/>
      <c r="AN22" s="253"/>
      <c r="AO22" s="253">
        <v>1618.3000000000002</v>
      </c>
      <c r="AP22" s="253">
        <v>1802.7704650494898</v>
      </c>
    </row>
    <row r="23" spans="1:42" x14ac:dyDescent="0.35">
      <c r="A23" s="237">
        <f t="shared" si="10"/>
        <v>22</v>
      </c>
      <c r="B23" s="238" t="str">
        <f t="shared" si="19"/>
        <v>January</v>
      </c>
      <c r="C23" s="238">
        <f t="shared" si="19"/>
        <v>1</v>
      </c>
      <c r="D23" s="239">
        <v>45658</v>
      </c>
      <c r="E23" s="240">
        <f t="shared" si="23"/>
        <v>2025</v>
      </c>
      <c r="F23" s="240" t="s">
        <v>324</v>
      </c>
      <c r="G23" s="241">
        <f t="shared" si="24"/>
        <v>31</v>
      </c>
      <c r="H23" s="246">
        <f t="shared" si="20"/>
        <v>155.6</v>
      </c>
      <c r="I23" s="246">
        <f t="shared" si="21"/>
        <v>210.5</v>
      </c>
      <c r="J23" s="243"/>
      <c r="K23" s="242">
        <f t="shared" si="22"/>
        <v>23.04</v>
      </c>
      <c r="L23" s="241"/>
      <c r="M23" s="244">
        <f t="shared" si="11"/>
        <v>3585.4975871397628</v>
      </c>
      <c r="N23" s="244">
        <v>24.303100000000001</v>
      </c>
      <c r="O23" s="245">
        <f t="shared" si="14"/>
        <v>0.70086707844886675</v>
      </c>
      <c r="P23" s="243">
        <f t="shared" si="15"/>
        <v>6.790322580645161</v>
      </c>
      <c r="Q23" s="241">
        <f>COUNTIFS('Daily KPI'!$D:$D,D23,'Daily KPI'!$I:$I,"&gt;0")</f>
        <v>0</v>
      </c>
      <c r="R23" s="244">
        <f t="shared" si="4"/>
        <v>0</v>
      </c>
      <c r="S23" s="244">
        <f>SUMIF($F$2:F23,F23,$R$2:R23)</f>
        <v>0</v>
      </c>
      <c r="T23" s="243">
        <f t="shared" si="16"/>
        <v>115.66121248837945</v>
      </c>
      <c r="U23" s="244">
        <f t="shared" si="17"/>
        <v>0</v>
      </c>
      <c r="V23" s="244">
        <f>SUMIF($F$2:F23,F23,$U$2:U23)</f>
        <v>0</v>
      </c>
      <c r="W23" s="245">
        <f t="shared" si="18"/>
        <v>0.19829639786758932</v>
      </c>
      <c r="X23" s="245" t="str">
        <f t="shared" si="8"/>
        <v/>
      </c>
      <c r="Y23" s="245" t="str">
        <f t="shared" si="9"/>
        <v/>
      </c>
      <c r="Z23" s="243">
        <v>24.303099999999983</v>
      </c>
      <c r="AA23" s="246">
        <f>IFERROR(AVERAGEIF($F$2:F23,F23,$N$2:N23),"")</f>
        <v>24.303100000000001</v>
      </c>
      <c r="AB23" s="244"/>
      <c r="AC23" s="243"/>
      <c r="AD23" s="243"/>
      <c r="AE23" s="245">
        <v>0.995</v>
      </c>
      <c r="AF23" s="245">
        <v>0.995</v>
      </c>
      <c r="AG23" s="245"/>
      <c r="AH23" s="245"/>
      <c r="AI23" s="245"/>
      <c r="AJ23" s="245"/>
      <c r="AK23" s="245"/>
      <c r="AL23" s="245"/>
      <c r="AM23" s="253"/>
      <c r="AN23" s="253"/>
      <c r="AO23" s="253">
        <v>1682</v>
      </c>
      <c r="AP23" s="253">
        <v>1903.4975871397628</v>
      </c>
    </row>
    <row r="24" spans="1:42" x14ac:dyDescent="0.35">
      <c r="A24" s="237">
        <f t="shared" si="10"/>
        <v>23</v>
      </c>
      <c r="B24" s="238" t="str">
        <f t="shared" si="19"/>
        <v>February</v>
      </c>
      <c r="C24" s="238">
        <f t="shared" si="19"/>
        <v>2</v>
      </c>
      <c r="D24" s="239">
        <v>45689</v>
      </c>
      <c r="E24" s="240">
        <f t="shared" si="23"/>
        <v>2025</v>
      </c>
      <c r="F24" s="240" t="s">
        <v>324</v>
      </c>
      <c r="G24" s="241">
        <f t="shared" si="24"/>
        <v>28</v>
      </c>
      <c r="H24" s="246">
        <f t="shared" si="20"/>
        <v>157.9</v>
      </c>
      <c r="I24" s="246">
        <f t="shared" si="21"/>
        <v>193</v>
      </c>
      <c r="J24" s="243"/>
      <c r="K24" s="242">
        <f t="shared" si="22"/>
        <v>25.46</v>
      </c>
      <c r="L24" s="241"/>
      <c r="M24" s="244">
        <f t="shared" si="11"/>
        <v>3338.5223636943456</v>
      </c>
      <c r="N24" s="244">
        <v>24.303100000000001</v>
      </c>
      <c r="O24" s="245">
        <f t="shared" si="14"/>
        <v>0.71176283417357722</v>
      </c>
      <c r="P24" s="243">
        <f t="shared" si="15"/>
        <v>6.8928571428571432</v>
      </c>
      <c r="Q24" s="241">
        <f>COUNTIFS('Daily KPI'!$D:$D,D24,'Daily KPI'!$I:$I,"&gt;0")</f>
        <v>0</v>
      </c>
      <c r="R24" s="244">
        <f t="shared" si="4"/>
        <v>0</v>
      </c>
      <c r="S24" s="244">
        <f>SUMIF($F$2:F24,F24,$R$2:R24)</f>
        <v>0</v>
      </c>
      <c r="T24" s="243">
        <f t="shared" si="16"/>
        <v>119.23294156051234</v>
      </c>
      <c r="U24" s="244">
        <f t="shared" si="17"/>
        <v>0</v>
      </c>
      <c r="V24" s="244">
        <f>SUMIF($F$2:F24,F24,$U$2:U24)</f>
        <v>0</v>
      </c>
      <c r="W24" s="245">
        <f t="shared" si="18"/>
        <v>0.20441998064806605</v>
      </c>
      <c r="X24" s="245" t="str">
        <f t="shared" si="8"/>
        <v/>
      </c>
      <c r="Y24" s="245" t="str">
        <f t="shared" si="9"/>
        <v/>
      </c>
      <c r="Z24" s="243">
        <v>24.303099999999983</v>
      </c>
      <c r="AA24" s="246">
        <f>IFERROR(AVERAGEIF($F$2:F24,F24,$N$2:N24),"")</f>
        <v>24.303100000000004</v>
      </c>
      <c r="AB24" s="244"/>
      <c r="AC24" s="243"/>
      <c r="AD24" s="243"/>
      <c r="AE24" s="245">
        <v>0.995</v>
      </c>
      <c r="AF24" s="245">
        <v>0.995</v>
      </c>
      <c r="AG24" s="245"/>
      <c r="AH24" s="245"/>
      <c r="AI24" s="245"/>
      <c r="AJ24" s="245"/>
      <c r="AK24" s="245"/>
      <c r="AL24" s="245"/>
      <c r="AM24" s="253"/>
      <c r="AN24" s="253"/>
      <c r="AO24" s="253">
        <v>1507.7</v>
      </c>
      <c r="AP24" s="253">
        <v>1830.8223636943455</v>
      </c>
    </row>
    <row r="25" spans="1:42" x14ac:dyDescent="0.35">
      <c r="A25" s="237">
        <f t="shared" si="10"/>
        <v>24</v>
      </c>
      <c r="B25" s="238" t="str">
        <f t="shared" si="19"/>
        <v>March</v>
      </c>
      <c r="C25" s="238">
        <f t="shared" si="19"/>
        <v>3</v>
      </c>
      <c r="D25" s="239">
        <v>45717</v>
      </c>
      <c r="E25" s="240">
        <f t="shared" si="23"/>
        <v>2025</v>
      </c>
      <c r="F25" s="240" t="s">
        <v>324</v>
      </c>
      <c r="G25" s="241">
        <f t="shared" si="24"/>
        <v>31</v>
      </c>
      <c r="H25" s="246">
        <f t="shared" si="20"/>
        <v>197.2</v>
      </c>
      <c r="I25" s="246">
        <f t="shared" si="21"/>
        <v>213.9</v>
      </c>
      <c r="J25" s="243"/>
      <c r="K25" s="242">
        <f t="shared" si="22"/>
        <v>29.58</v>
      </c>
      <c r="L25" s="241"/>
      <c r="M25" s="244">
        <f t="shared" si="11"/>
        <v>3999.4429837080997</v>
      </c>
      <c r="N25" s="244">
        <v>24.303100000000001</v>
      </c>
      <c r="O25" s="245">
        <f t="shared" si="14"/>
        <v>0.76935547971207985</v>
      </c>
      <c r="P25" s="243">
        <f t="shared" si="15"/>
        <v>6.9</v>
      </c>
      <c r="Q25" s="241">
        <f>COUNTIFS('Daily KPI'!$D:$D,D25,'Daily KPI'!$I:$I,"&gt;0")</f>
        <v>3</v>
      </c>
      <c r="R25" s="244">
        <f t="shared" si="4"/>
        <v>20.700000000000003</v>
      </c>
      <c r="S25" s="244">
        <f>SUMIF($F$2:F37,F25,$R$2:R37)</f>
        <v>20.700000000000003</v>
      </c>
      <c r="T25" s="243">
        <f t="shared" si="16"/>
        <v>129.01428979703547</v>
      </c>
      <c r="U25" s="244">
        <f t="shared" si="17"/>
        <v>387.04286939110642</v>
      </c>
      <c r="V25" s="244">
        <f>SUMIF($F$2:F37,F25,$U$2:U37)</f>
        <v>387.04286939110642</v>
      </c>
      <c r="W25" s="245">
        <f t="shared" si="18"/>
        <v>0.22118970041722297</v>
      </c>
      <c r="X25" s="245">
        <f t="shared" si="8"/>
        <v>0.22118970041722297</v>
      </c>
      <c r="Y25" s="245">
        <f t="shared" si="9"/>
        <v>0.22118970041722297</v>
      </c>
      <c r="Z25" s="243">
        <v>24.303099999999983</v>
      </c>
      <c r="AA25" s="246">
        <f>IFERROR(AVERAGEIF($F$2:F37,F25,$N$2:N37),"")</f>
        <v>24.303100000000001</v>
      </c>
      <c r="AB25" s="244"/>
      <c r="AC25" s="243"/>
      <c r="AD25" s="243"/>
      <c r="AE25" s="245">
        <v>0.995</v>
      </c>
      <c r="AF25" s="245">
        <v>0.995</v>
      </c>
      <c r="AG25" s="245"/>
      <c r="AH25" s="245"/>
      <c r="AI25" s="245"/>
      <c r="AJ25" s="245"/>
      <c r="AK25" s="245"/>
      <c r="AL25" s="245"/>
      <c r="AM25" s="253"/>
      <c r="AN25" s="254"/>
      <c r="AO25" s="254">
        <v>1649.3</v>
      </c>
      <c r="AP25" s="254">
        <v>2350.1429837080996</v>
      </c>
    </row>
    <row r="26" spans="1:42" x14ac:dyDescent="0.35">
      <c r="A26" s="237">
        <f t="shared" si="10"/>
        <v>25</v>
      </c>
      <c r="B26" s="238" t="str">
        <f t="shared" ref="B26:C26" si="25">B14</f>
        <v>April</v>
      </c>
      <c r="C26" s="238">
        <f t="shared" si="25"/>
        <v>4</v>
      </c>
      <c r="D26" s="239">
        <v>45748</v>
      </c>
      <c r="E26" s="240">
        <f t="shared" ref="E26:E37" si="26">YEAR(D26)</f>
        <v>2025</v>
      </c>
      <c r="F26" s="240" t="s">
        <v>352</v>
      </c>
      <c r="G26" s="241">
        <f t="shared" ref="G26:G37" si="27">DAY(EOMONTH(D26,0))</f>
        <v>30</v>
      </c>
      <c r="H26" s="246">
        <f t="shared" si="20"/>
        <v>197.1</v>
      </c>
      <c r="I26" s="246">
        <f t="shared" si="21"/>
        <v>198.7</v>
      </c>
      <c r="J26" s="243"/>
      <c r="K26" s="242">
        <f t="shared" si="22"/>
        <v>31.76</v>
      </c>
      <c r="L26" s="241"/>
      <c r="M26" s="244">
        <f t="shared" si="11"/>
        <v>3614.9982047307058</v>
      </c>
      <c r="N26" s="244">
        <v>24.303100000000001</v>
      </c>
      <c r="O26" s="245">
        <f t="shared" si="14"/>
        <v>0.74859779740027077</v>
      </c>
      <c r="P26" s="243">
        <f t="shared" si="15"/>
        <v>6.6233333333333331</v>
      </c>
      <c r="Q26" s="241">
        <f>COUNTIFS('Daily KPI'!$D:$D,D26,'Daily KPI'!$I:$I,"&gt;0")</f>
        <v>30</v>
      </c>
      <c r="R26" s="244">
        <f t="shared" si="4"/>
        <v>198.7</v>
      </c>
      <c r="S26" s="244">
        <f>SUMIF($F$2:F26,F26,$R$2:R26)</f>
        <v>198.7</v>
      </c>
      <c r="T26" s="243">
        <f t="shared" ref="T26:T37" si="28">M26/G26</f>
        <v>120.49994015769019</v>
      </c>
      <c r="U26" s="244">
        <f t="shared" ref="U26:U37" si="29">M26/G26*Q26</f>
        <v>3614.9982047307058</v>
      </c>
      <c r="V26" s="244">
        <f>SUMIF($F$2:F26,F26,$U$2:U26)</f>
        <v>3614.9982047307058</v>
      </c>
      <c r="W26" s="245">
        <f t="shared" ref="W26:W37" si="30">IFERROR(T26/(24*N26),"")</f>
        <v>0.20659219769921358</v>
      </c>
      <c r="X26" s="245">
        <f t="shared" si="8"/>
        <v>0.20659219769921361</v>
      </c>
      <c r="Y26" s="245">
        <f t="shared" ref="Y26:Y37" si="31">IFERROR(V26/(24*N26*SUMIFS($Q:$Q,$F:$F,$F26,$D:$D,"&lt;="&amp;D26)),"")</f>
        <v>0.20659219769921361</v>
      </c>
      <c r="Z26" s="243">
        <f>IFERROR(AVERAGEIF('Daily KPI'!$D:$D,New_Modelling[[#This Row],[Month]],'Daily KPI'!$AB:$AB),"")</f>
        <v>24.303099999999983</v>
      </c>
      <c r="AA26" s="246">
        <f>IFERROR(AVERAGEIF($F$2:F26,F26,$N$2:N26),"")</f>
        <v>24.303100000000001</v>
      </c>
      <c r="AB26" s="244"/>
      <c r="AC26" s="243"/>
      <c r="AD26" s="243"/>
      <c r="AE26" s="245">
        <v>0.995</v>
      </c>
      <c r="AF26" s="245">
        <v>0.995</v>
      </c>
      <c r="AG26" s="245"/>
      <c r="AH26" s="245"/>
      <c r="AI26" s="245"/>
      <c r="AJ26" s="245"/>
      <c r="AK26" s="245"/>
      <c r="AL26" s="245"/>
      <c r="AM26" s="253"/>
      <c r="AN26" s="254"/>
      <c r="AO26" s="254">
        <v>1518.3717248598457</v>
      </c>
      <c r="AP26" s="254">
        <v>2096.6264798708603</v>
      </c>
    </row>
    <row r="27" spans="1:42" x14ac:dyDescent="0.35">
      <c r="A27" s="237">
        <f t="shared" si="10"/>
        <v>26</v>
      </c>
      <c r="B27" s="238" t="str">
        <f t="shared" ref="B27:C27" si="32">B15</f>
        <v>May</v>
      </c>
      <c r="C27" s="238">
        <f t="shared" si="32"/>
        <v>5</v>
      </c>
      <c r="D27" s="239">
        <v>45778</v>
      </c>
      <c r="E27" s="240">
        <f t="shared" si="26"/>
        <v>2025</v>
      </c>
      <c r="F27" s="240" t="s">
        <v>352</v>
      </c>
      <c r="G27" s="241">
        <f t="shared" si="27"/>
        <v>31</v>
      </c>
      <c r="H27" s="246">
        <f t="shared" si="20"/>
        <v>204.3</v>
      </c>
      <c r="I27" s="246">
        <f t="shared" si="21"/>
        <v>202.4</v>
      </c>
      <c r="J27" s="243"/>
      <c r="K27" s="242">
        <f t="shared" si="22"/>
        <v>30.53</v>
      </c>
      <c r="L27" s="241"/>
      <c r="M27" s="244">
        <f t="shared" si="11"/>
        <v>3717.077236564397</v>
      </c>
      <c r="N27" s="244">
        <v>24.303100000000001</v>
      </c>
      <c r="O27" s="245">
        <f t="shared" si="14"/>
        <v>0.75566516656343796</v>
      </c>
      <c r="P27" s="243">
        <f t="shared" si="15"/>
        <v>6.5290322580645164</v>
      </c>
      <c r="Q27" s="241">
        <f>COUNTIFS('Daily KPI'!$D:$D,D27,'Daily KPI'!$I:$I,"&gt;0")</f>
        <v>31</v>
      </c>
      <c r="R27" s="244">
        <f t="shared" si="4"/>
        <v>202.4</v>
      </c>
      <c r="S27" s="244">
        <f>SUMIF($F$2:F27,F27,$R$2:R27)</f>
        <v>401.1</v>
      </c>
      <c r="T27" s="243">
        <f t="shared" si="28"/>
        <v>119.90571730852893</v>
      </c>
      <c r="U27" s="244">
        <f t="shared" si="29"/>
        <v>3717.077236564397</v>
      </c>
      <c r="V27" s="244">
        <f>SUMIF($F$2:F27,F27,$U$2:U27)</f>
        <v>7332.0754412951028</v>
      </c>
      <c r="W27" s="245">
        <f t="shared" si="30"/>
        <v>0.20557342703284925</v>
      </c>
      <c r="X27" s="245">
        <f t="shared" si="8"/>
        <v>0.20557342703284925</v>
      </c>
      <c r="Y27" s="245">
        <f t="shared" si="31"/>
        <v>0.20607446178679892</v>
      </c>
      <c r="Z27" s="243">
        <f>IFERROR(AVERAGEIF('Daily KPI'!$D:$D,New_Modelling[[#This Row],[Month]],'Daily KPI'!$AB:$AB),"")</f>
        <v>24.303099999999983</v>
      </c>
      <c r="AA27" s="246">
        <f>IFERROR(AVERAGEIF($F$2:F27,F27,$N$2:N27),"")</f>
        <v>24.303100000000001</v>
      </c>
      <c r="AB27" s="244"/>
      <c r="AC27" s="243"/>
      <c r="AD27" s="243"/>
      <c r="AE27" s="245">
        <v>0.995</v>
      </c>
      <c r="AF27" s="245">
        <v>0.995</v>
      </c>
      <c r="AG27" s="245"/>
      <c r="AH27" s="245"/>
      <c r="AI27" s="245"/>
      <c r="AJ27" s="245"/>
      <c r="AK27" s="245"/>
      <c r="AL27" s="245"/>
      <c r="AM27" s="253"/>
      <c r="AN27" s="254"/>
      <c r="AO27" s="254">
        <v>1562.5453784313002</v>
      </c>
      <c r="AP27" s="254">
        <v>2154.5318581330966</v>
      </c>
    </row>
    <row r="28" spans="1:42" x14ac:dyDescent="0.35">
      <c r="A28" s="237">
        <f t="shared" si="10"/>
        <v>27</v>
      </c>
      <c r="B28" s="238" t="str">
        <f t="shared" ref="B28:C28" si="33">B16</f>
        <v>June</v>
      </c>
      <c r="C28" s="238">
        <f t="shared" si="33"/>
        <v>6</v>
      </c>
      <c r="D28" s="239">
        <v>45809</v>
      </c>
      <c r="E28" s="240">
        <f t="shared" si="26"/>
        <v>2025</v>
      </c>
      <c r="F28" s="240" t="s">
        <v>352</v>
      </c>
      <c r="G28" s="241">
        <f t="shared" si="27"/>
        <v>30</v>
      </c>
      <c r="H28" s="246">
        <f t="shared" si="20"/>
        <v>156</v>
      </c>
      <c r="I28" s="246">
        <f t="shared" si="21"/>
        <v>153.69999999999999</v>
      </c>
      <c r="J28" s="243"/>
      <c r="K28" s="242">
        <f t="shared" si="22"/>
        <v>26.96</v>
      </c>
      <c r="L28" s="241"/>
      <c r="M28" s="244">
        <f t="shared" si="11"/>
        <v>2732.7507200728442</v>
      </c>
      <c r="N28" s="244">
        <v>24.303100000000001</v>
      </c>
      <c r="O28" s="245">
        <f t="shared" si="14"/>
        <v>0.73158446710143066</v>
      </c>
      <c r="P28" s="243">
        <f t="shared" si="15"/>
        <v>5.1233333333333331</v>
      </c>
      <c r="Q28" s="241">
        <f>COUNTIFS('Daily KPI'!$D:$D,D28,'Daily KPI'!$I:$I,"&gt;0")</f>
        <v>30</v>
      </c>
      <c r="R28" s="244">
        <f t="shared" si="4"/>
        <v>153.69999999999999</v>
      </c>
      <c r="S28" s="244">
        <f>SUMIF($F$2:F28,F28,$R$2:R28)</f>
        <v>554.79999999999995</v>
      </c>
      <c r="T28" s="243">
        <f t="shared" si="28"/>
        <v>91.091690669094803</v>
      </c>
      <c r="U28" s="244">
        <f t="shared" si="29"/>
        <v>2732.7507200728442</v>
      </c>
      <c r="V28" s="244">
        <f>SUMIF($F$2:F28,F28,$U$2:U28)</f>
        <v>10064.826161367946</v>
      </c>
      <c r="W28" s="245">
        <f t="shared" si="30"/>
        <v>0.15617296193540262</v>
      </c>
      <c r="X28" s="245">
        <f t="shared" si="8"/>
        <v>0.15617296193540262</v>
      </c>
      <c r="Y28" s="245">
        <f t="shared" si="31"/>
        <v>0.18962341787974521</v>
      </c>
      <c r="Z28" s="243">
        <f>IFERROR(AVERAGEIF('Daily KPI'!$D:$D,New_Modelling[[#This Row],[Month]],'Daily KPI'!$AB:$AB),"")</f>
        <v>24.303099999999983</v>
      </c>
      <c r="AA28" s="246">
        <f>IFERROR(AVERAGEIF($F$2:F28,F28,$N$2:N28),"")</f>
        <v>24.303100000000001</v>
      </c>
      <c r="AB28" s="244"/>
      <c r="AC28" s="243"/>
      <c r="AD28" s="243"/>
      <c r="AE28" s="245">
        <v>0.995</v>
      </c>
      <c r="AF28" s="245">
        <v>0.995</v>
      </c>
      <c r="AG28" s="245"/>
      <c r="AH28" s="245"/>
      <c r="AI28" s="245"/>
      <c r="AJ28" s="245"/>
      <c r="AK28" s="245"/>
      <c r="AL28" s="245"/>
      <c r="AM28" s="253"/>
      <c r="AN28" s="254"/>
      <c r="AO28" s="254">
        <v>1227.6924532087487</v>
      </c>
      <c r="AP28" s="254">
        <v>1505.0582668640955</v>
      </c>
    </row>
    <row r="29" spans="1:42" x14ac:dyDescent="0.35">
      <c r="A29" s="237">
        <f t="shared" si="10"/>
        <v>28</v>
      </c>
      <c r="B29" s="238" t="str">
        <f t="shared" ref="B29:C29" si="34">B17</f>
        <v>July</v>
      </c>
      <c r="C29" s="238">
        <f t="shared" si="34"/>
        <v>7</v>
      </c>
      <c r="D29" s="239">
        <v>45839</v>
      </c>
      <c r="E29" s="240">
        <f t="shared" si="26"/>
        <v>2025</v>
      </c>
      <c r="F29" s="240" t="s">
        <v>352</v>
      </c>
      <c r="G29" s="241">
        <f t="shared" si="27"/>
        <v>31</v>
      </c>
      <c r="H29" s="246">
        <f t="shared" si="20"/>
        <v>138</v>
      </c>
      <c r="I29" s="246">
        <f t="shared" si="21"/>
        <v>136.6</v>
      </c>
      <c r="J29" s="243"/>
      <c r="K29" s="242">
        <f t="shared" si="22"/>
        <v>25.04</v>
      </c>
      <c r="L29" s="241"/>
      <c r="M29" s="244">
        <f t="shared" si="11"/>
        <v>2401.779663494875</v>
      </c>
      <c r="N29" s="244">
        <v>24.303100000000001</v>
      </c>
      <c r="O29" s="245">
        <f t="shared" si="14"/>
        <v>0.72347043806469047</v>
      </c>
      <c r="P29" s="243">
        <f t="shared" si="15"/>
        <v>4.4064516129032256</v>
      </c>
      <c r="Q29" s="241">
        <f>COUNTIFS('Daily KPI'!$D:$D,D29,'Daily KPI'!$I:$I,"&gt;0")</f>
        <v>31</v>
      </c>
      <c r="R29" s="244">
        <f t="shared" si="4"/>
        <v>136.6</v>
      </c>
      <c r="S29" s="244">
        <f>SUMIF($F$2:F29,F29,$R$2:R29)</f>
        <v>691.4</v>
      </c>
      <c r="T29" s="243">
        <f t="shared" si="28"/>
        <v>77.476763338544359</v>
      </c>
      <c r="U29" s="244">
        <f t="shared" si="29"/>
        <v>2401.779663494875</v>
      </c>
      <c r="V29" s="244">
        <f>SUMIF($F$2:F29,F29,$U$2:U29)</f>
        <v>12466.605824862821</v>
      </c>
      <c r="W29" s="245">
        <f t="shared" si="30"/>
        <v>0.1328307282790816</v>
      </c>
      <c r="X29" s="245">
        <f t="shared" si="8"/>
        <v>0.1328307282790816</v>
      </c>
      <c r="Y29" s="245">
        <f t="shared" si="31"/>
        <v>0.1751924885549864</v>
      </c>
      <c r="Z29" s="243">
        <f>IFERROR(AVERAGEIF('Daily KPI'!$D:$D,New_Modelling[[#This Row],[Month]],'Daily KPI'!$AB:$AB),"")</f>
        <v>24.303099999999983</v>
      </c>
      <c r="AA29" s="246">
        <f>IFERROR(AVERAGEIF($F$2:F29,F29,$N$2:N29),"")</f>
        <v>24.303100000000001</v>
      </c>
      <c r="AB29" s="244"/>
      <c r="AC29" s="243"/>
      <c r="AD29" s="243"/>
      <c r="AE29" s="245">
        <v>0.995</v>
      </c>
      <c r="AF29" s="245">
        <v>0.995</v>
      </c>
      <c r="AG29" s="245"/>
      <c r="AH29" s="245"/>
      <c r="AI29" s="245"/>
      <c r="AJ29" s="245"/>
      <c r="AK29" s="245"/>
      <c r="AL29" s="245"/>
      <c r="AM29" s="253"/>
      <c r="AN29" s="254"/>
      <c r="AO29" s="254">
        <v>1116.3480657720338</v>
      </c>
      <c r="AP29" s="254">
        <v>1285.4315977228412</v>
      </c>
    </row>
    <row r="30" spans="1:42" x14ac:dyDescent="0.35">
      <c r="A30" s="237">
        <f t="shared" si="10"/>
        <v>29</v>
      </c>
      <c r="B30" s="238" t="str">
        <f t="shared" ref="B30:C30" si="35">B18</f>
        <v>August</v>
      </c>
      <c r="C30" s="238">
        <f t="shared" si="35"/>
        <v>8</v>
      </c>
      <c r="D30" s="239">
        <v>45870</v>
      </c>
      <c r="E30" s="240">
        <f t="shared" si="26"/>
        <v>2025</v>
      </c>
      <c r="F30" s="240" t="s">
        <v>352</v>
      </c>
      <c r="G30" s="241">
        <f t="shared" si="27"/>
        <v>31</v>
      </c>
      <c r="H30" s="246">
        <f t="shared" si="20"/>
        <v>129.30000000000001</v>
      </c>
      <c r="I30" s="246">
        <f t="shared" si="21"/>
        <v>129.4</v>
      </c>
      <c r="J30" s="243"/>
      <c r="K30" s="242">
        <f t="shared" si="22"/>
        <v>24.6</v>
      </c>
      <c r="L30" s="241"/>
      <c r="M30" s="244">
        <f t="shared" si="11"/>
        <v>2420.0836088493279</v>
      </c>
      <c r="N30" s="244">
        <v>24.303100000000001</v>
      </c>
      <c r="O30" s="245">
        <f t="shared" si="14"/>
        <v>0.76954570740685357</v>
      </c>
      <c r="P30" s="243">
        <f t="shared" si="15"/>
        <v>4.1741935483870973</v>
      </c>
      <c r="Q30" s="241">
        <f>COUNTIFS('Daily KPI'!$D:$D,D30,'Daily KPI'!$I:$I,"&gt;0")</f>
        <v>3</v>
      </c>
      <c r="R30" s="244">
        <f t="shared" si="4"/>
        <v>12.522580645161291</v>
      </c>
      <c r="S30" s="244">
        <f>SUMIF($F$2:F30,F30,$R$2:R30)</f>
        <v>703.92258064516125</v>
      </c>
      <c r="T30" s="243">
        <f t="shared" si="28"/>
        <v>78.067213188688001</v>
      </c>
      <c r="U30" s="244">
        <f t="shared" si="29"/>
        <v>234.20163956606399</v>
      </c>
      <c r="V30" s="244">
        <f>SUMIF($F$2:F30,F30,$U$2:U30)</f>
        <v>12700.807464428886</v>
      </c>
      <c r="W30" s="245">
        <f t="shared" si="30"/>
        <v>0.13384303029361139</v>
      </c>
      <c r="X30" s="245">
        <f t="shared" si="8"/>
        <v>0.13384303029361136</v>
      </c>
      <c r="Y30" s="245">
        <f t="shared" si="31"/>
        <v>0.17420010155671342</v>
      </c>
      <c r="Z30" s="243">
        <f>IFERROR(AVERAGEIF('Daily KPI'!$D:$D,New_Modelling[[#This Row],[Month]],'Daily KPI'!$AB:$AB),"")</f>
        <v>24.303100000000001</v>
      </c>
      <c r="AA30" s="246">
        <f>IFERROR(AVERAGEIF($F$2:F30,F30,$N$2:N30),"")</f>
        <v>24.303100000000001</v>
      </c>
      <c r="AB30" s="244"/>
      <c r="AC30" s="243"/>
      <c r="AD30" s="243"/>
      <c r="AE30" s="245">
        <v>0.995</v>
      </c>
      <c r="AF30" s="245">
        <v>0.995</v>
      </c>
      <c r="AG30" s="245"/>
      <c r="AH30" s="245"/>
      <c r="AI30" s="245"/>
      <c r="AJ30" s="245"/>
      <c r="AK30" s="245"/>
      <c r="AL30" s="245"/>
      <c r="AM30" s="253"/>
      <c r="AN30" s="254"/>
      <c r="AO30" s="254">
        <v>1054.8036088535146</v>
      </c>
      <c r="AP30" s="254">
        <v>1365.2799999958136</v>
      </c>
    </row>
    <row r="31" spans="1:42" x14ac:dyDescent="0.35">
      <c r="A31" s="237">
        <f t="shared" si="10"/>
        <v>30</v>
      </c>
      <c r="B31" s="238" t="str">
        <f t="shared" ref="B31:C31" si="36">B19</f>
        <v>September</v>
      </c>
      <c r="C31" s="238">
        <f t="shared" si="36"/>
        <v>9</v>
      </c>
      <c r="D31" s="239">
        <v>45901</v>
      </c>
      <c r="E31" s="240">
        <f t="shared" si="26"/>
        <v>2025</v>
      </c>
      <c r="F31" s="240" t="s">
        <v>352</v>
      </c>
      <c r="G31" s="241">
        <f t="shared" si="27"/>
        <v>30</v>
      </c>
      <c r="H31" s="246">
        <f t="shared" si="20"/>
        <v>145.19999999999999</v>
      </c>
      <c r="I31" s="246">
        <f t="shared" si="21"/>
        <v>148</v>
      </c>
      <c r="J31" s="243"/>
      <c r="K31" s="242">
        <f t="shared" si="22"/>
        <v>25.31</v>
      </c>
      <c r="L31" s="241"/>
      <c r="M31" s="244">
        <f t="shared" si="11"/>
        <v>2744.7447083142306</v>
      </c>
      <c r="N31" s="244">
        <v>24.303100000000001</v>
      </c>
      <c r="O31" s="245">
        <f t="shared" si="14"/>
        <v>0.76309492836200032</v>
      </c>
      <c r="P31" s="243">
        <f t="shared" si="15"/>
        <v>4.9333333333333336</v>
      </c>
      <c r="Q31" s="241">
        <f>COUNTIFS('Daily KPI'!$D:$D,D31,'Daily KPI'!$I:$I,"&gt;0")</f>
        <v>0</v>
      </c>
      <c r="R31" s="244">
        <f t="shared" si="4"/>
        <v>0</v>
      </c>
      <c r="S31" s="244">
        <f>SUMIF($F$2:F31,F31,$R$2:R31)</f>
        <v>703.92258064516125</v>
      </c>
      <c r="T31" s="243">
        <f t="shared" si="28"/>
        <v>91.491490277141025</v>
      </c>
      <c r="U31" s="244">
        <f t="shared" si="29"/>
        <v>0</v>
      </c>
      <c r="V31" s="244">
        <f>SUMIF($F$2:F31,F31,$U$2:U31)</f>
        <v>12700.807464428886</v>
      </c>
      <c r="W31" s="245">
        <f t="shared" si="30"/>
        <v>0.15685840194107786</v>
      </c>
      <c r="X31" s="245" t="str">
        <f t="shared" si="8"/>
        <v/>
      </c>
      <c r="Y31" s="245">
        <f t="shared" si="31"/>
        <v>0.17420010155671342</v>
      </c>
      <c r="Z31" s="243" t="str">
        <f>IFERROR(AVERAGEIF('Daily KPI'!$D:$D,New_Modelling[[#This Row],[Month]],'Daily KPI'!$AB:$AB),"")</f>
        <v/>
      </c>
      <c r="AA31" s="246">
        <f>IFERROR(AVERAGEIF($F$2:F31,F31,$N$2:N31),"")</f>
        <v>24.303100000000001</v>
      </c>
      <c r="AB31" s="244"/>
      <c r="AC31" s="243"/>
      <c r="AD31" s="243"/>
      <c r="AE31" s="245">
        <v>0.995</v>
      </c>
      <c r="AF31" s="245">
        <v>0.995</v>
      </c>
      <c r="AG31" s="245"/>
      <c r="AH31" s="245"/>
      <c r="AI31" s="245"/>
      <c r="AJ31" s="245"/>
      <c r="AK31" s="245"/>
      <c r="AL31" s="245"/>
      <c r="AM31" s="253"/>
      <c r="AN31" s="254"/>
      <c r="AO31" s="254">
        <v>1195.2047699065679</v>
      </c>
      <c r="AP31" s="254">
        <v>1549.5399384076629</v>
      </c>
    </row>
    <row r="32" spans="1:42" x14ac:dyDescent="0.35">
      <c r="A32" s="237">
        <f t="shared" si="10"/>
        <v>31</v>
      </c>
      <c r="B32" s="238" t="str">
        <f t="shared" ref="B32:C32" si="37">B20</f>
        <v>October</v>
      </c>
      <c r="C32" s="238">
        <f t="shared" si="37"/>
        <v>10</v>
      </c>
      <c r="D32" s="239">
        <v>45931</v>
      </c>
      <c r="E32" s="240">
        <f t="shared" si="26"/>
        <v>2025</v>
      </c>
      <c r="F32" s="240" t="s">
        <v>352</v>
      </c>
      <c r="G32" s="241">
        <f t="shared" si="27"/>
        <v>31</v>
      </c>
      <c r="H32" s="246">
        <f t="shared" si="20"/>
        <v>160</v>
      </c>
      <c r="I32" s="246">
        <f t="shared" si="21"/>
        <v>187.1</v>
      </c>
      <c r="J32" s="243"/>
      <c r="K32" s="242">
        <f t="shared" si="22"/>
        <v>26.6</v>
      </c>
      <c r="L32" s="241"/>
      <c r="M32" s="244">
        <f t="shared" si="11"/>
        <v>3371.4684902607914</v>
      </c>
      <c r="N32" s="244">
        <v>24.303100000000001</v>
      </c>
      <c r="O32" s="245">
        <f t="shared" si="14"/>
        <v>0.74145302903300359</v>
      </c>
      <c r="P32" s="243">
        <f t="shared" si="15"/>
        <v>6.0354838709677416</v>
      </c>
      <c r="Q32" s="241">
        <f>COUNTIFS('Daily KPI'!$D:$D,D32,'Daily KPI'!$I:$I,"&gt;0")</f>
        <v>0</v>
      </c>
      <c r="R32" s="244">
        <f t="shared" si="4"/>
        <v>0</v>
      </c>
      <c r="S32" s="244">
        <f>SUMIF($F$2:F32,F32,$R$2:R32)</f>
        <v>703.92258064516125</v>
      </c>
      <c r="T32" s="243">
        <f t="shared" si="28"/>
        <v>108.75704807292875</v>
      </c>
      <c r="U32" s="244">
        <f t="shared" si="29"/>
        <v>0</v>
      </c>
      <c r="V32" s="244">
        <f>SUMIF($F$2:F32,F32,$U$2:U32)</f>
        <v>12700.807464428886</v>
      </c>
      <c r="W32" s="245">
        <f t="shared" si="30"/>
        <v>0.18645949157536959</v>
      </c>
      <c r="X32" s="245" t="str">
        <f t="shared" si="8"/>
        <v/>
      </c>
      <c r="Y32" s="245">
        <f t="shared" si="31"/>
        <v>0.17420010155671342</v>
      </c>
      <c r="Z32" s="243" t="str">
        <f>IFERROR(AVERAGEIF('Daily KPI'!$D:$D,New_Modelling[[#This Row],[Month]],'Daily KPI'!$AB:$AB),"")</f>
        <v/>
      </c>
      <c r="AA32" s="246">
        <f>IFERROR(AVERAGEIF($F$2:F32,F32,$N$2:N32),"")</f>
        <v>24.303100000000001</v>
      </c>
      <c r="AB32" s="244"/>
      <c r="AC32" s="243"/>
      <c r="AD32" s="243"/>
      <c r="AE32" s="245">
        <v>0.995</v>
      </c>
      <c r="AF32" s="245">
        <v>0.995</v>
      </c>
      <c r="AG32" s="245"/>
      <c r="AH32" s="245"/>
      <c r="AI32" s="245"/>
      <c r="AJ32" s="245"/>
      <c r="AK32" s="245"/>
      <c r="AL32" s="245"/>
      <c r="AM32" s="253"/>
      <c r="AN32" s="254"/>
      <c r="AO32" s="254">
        <v>1478.7765342922041</v>
      </c>
      <c r="AP32" s="254">
        <v>1892.6919559685875</v>
      </c>
    </row>
    <row r="33" spans="1:42" x14ac:dyDescent="0.35">
      <c r="A33" s="237">
        <f t="shared" si="10"/>
        <v>32</v>
      </c>
      <c r="B33" s="238" t="str">
        <f t="shared" ref="B33:C33" si="38">B21</f>
        <v>November</v>
      </c>
      <c r="C33" s="238">
        <f t="shared" si="38"/>
        <v>11</v>
      </c>
      <c r="D33" s="239">
        <v>45962</v>
      </c>
      <c r="E33" s="240">
        <f t="shared" si="26"/>
        <v>2025</v>
      </c>
      <c r="F33" s="240" t="s">
        <v>352</v>
      </c>
      <c r="G33" s="241">
        <f t="shared" si="27"/>
        <v>30</v>
      </c>
      <c r="H33" s="246">
        <f t="shared" si="20"/>
        <v>147.9</v>
      </c>
      <c r="I33" s="246">
        <f t="shared" si="21"/>
        <v>192.4</v>
      </c>
      <c r="J33" s="243"/>
      <c r="K33" s="242">
        <f t="shared" si="22"/>
        <v>24.86</v>
      </c>
      <c r="L33" s="241"/>
      <c r="M33" s="244">
        <f t="shared" si="11"/>
        <v>3300.3930185926106</v>
      </c>
      <c r="N33" s="244">
        <v>24.303100000000001</v>
      </c>
      <c r="O33" s="245">
        <f t="shared" si="14"/>
        <v>0.70582805765293155</v>
      </c>
      <c r="P33" s="243">
        <f t="shared" si="15"/>
        <v>6.4133333333333331</v>
      </c>
      <c r="Q33" s="241">
        <f>COUNTIFS('Daily KPI'!$D:$D,D33,'Daily KPI'!$I:$I,"&gt;0")</f>
        <v>0</v>
      </c>
      <c r="R33" s="244">
        <f t="shared" si="4"/>
        <v>0</v>
      </c>
      <c r="S33" s="244">
        <f>SUMIF($F$2:F33,F33,$R$2:R33)</f>
        <v>703.92258064516125</v>
      </c>
      <c r="T33" s="243">
        <f t="shared" si="28"/>
        <v>110.01310061975369</v>
      </c>
      <c r="U33" s="244">
        <f t="shared" si="29"/>
        <v>0</v>
      </c>
      <c r="V33" s="244">
        <f>SUMIF($F$2:F33,F33,$U$2:U33)</f>
        <v>12700.807464428886</v>
      </c>
      <c r="W33" s="245">
        <f t="shared" si="30"/>
        <v>0.18861294207281115</v>
      </c>
      <c r="X33" s="245" t="str">
        <f t="shared" si="8"/>
        <v/>
      </c>
      <c r="Y33" s="245">
        <f t="shared" si="31"/>
        <v>0.17420010155671342</v>
      </c>
      <c r="Z33" s="243" t="str">
        <f>IFERROR(AVERAGEIF('Daily KPI'!$D:$D,New_Modelling[[#This Row],[Month]],'Daily KPI'!$AB:$AB),"")</f>
        <v/>
      </c>
      <c r="AA33" s="246">
        <f>IFERROR(AVERAGEIF($F$2:F33,F33,$N$2:N33),"")</f>
        <v>24.303100000000001</v>
      </c>
      <c r="AB33" s="244"/>
      <c r="AC33" s="243"/>
      <c r="AD33" s="243"/>
      <c r="AE33" s="245">
        <v>0.995</v>
      </c>
      <c r="AF33" s="245">
        <v>0.995</v>
      </c>
      <c r="AG33" s="245"/>
      <c r="AH33" s="245"/>
      <c r="AI33" s="245"/>
      <c r="AJ33" s="245"/>
      <c r="AK33" s="245"/>
      <c r="AL33" s="245"/>
      <c r="AM33" s="253"/>
      <c r="AN33" s="254"/>
      <c r="AO33" s="254">
        <v>1521.7914809969168</v>
      </c>
      <c r="AP33" s="254">
        <v>1778.6015375956938</v>
      </c>
    </row>
    <row r="34" spans="1:42" x14ac:dyDescent="0.35">
      <c r="A34" s="237">
        <f t="shared" si="10"/>
        <v>33</v>
      </c>
      <c r="B34" s="238" t="str">
        <f t="shared" ref="B34:C34" si="39">B22</f>
        <v>December</v>
      </c>
      <c r="C34" s="238">
        <f t="shared" si="39"/>
        <v>12</v>
      </c>
      <c r="D34" s="239">
        <v>45992</v>
      </c>
      <c r="E34" s="240">
        <f t="shared" si="26"/>
        <v>2025</v>
      </c>
      <c r="F34" s="240" t="s">
        <v>352</v>
      </c>
      <c r="G34" s="241">
        <f t="shared" si="27"/>
        <v>31</v>
      </c>
      <c r="H34" s="246">
        <f t="shared" si="20"/>
        <v>144.5</v>
      </c>
      <c r="I34" s="246">
        <f t="shared" si="21"/>
        <v>200.9</v>
      </c>
      <c r="J34" s="243"/>
      <c r="K34" s="242">
        <f t="shared" si="22"/>
        <v>22.67</v>
      </c>
      <c r="L34" s="241"/>
      <c r="M34" s="244">
        <f t="shared" si="11"/>
        <v>3465.998529530304</v>
      </c>
      <c r="N34" s="244">
        <v>24.303100000000001</v>
      </c>
      <c r="O34" s="245">
        <f t="shared" si="14"/>
        <v>0.709882979577386</v>
      </c>
      <c r="P34" s="243">
        <f t="shared" si="15"/>
        <v>6.4806451612903224</v>
      </c>
      <c r="Q34" s="241">
        <f>COUNTIFS('Daily KPI'!$D:$D,D34,'Daily KPI'!$I:$I,"&gt;0")</f>
        <v>0</v>
      </c>
      <c r="R34" s="244">
        <f t="shared" si="4"/>
        <v>0</v>
      </c>
      <c r="S34" s="244">
        <f>SUMIF($F$2:F34,F34,$R$2:R34)</f>
        <v>703.92258064516125</v>
      </c>
      <c r="T34" s="243">
        <f t="shared" si="28"/>
        <v>111.8064041783969</v>
      </c>
      <c r="U34" s="244">
        <f t="shared" si="29"/>
        <v>0</v>
      </c>
      <c r="V34" s="244">
        <f>SUMIF($F$2:F34,F34,$U$2:U34)</f>
        <v>12700.807464428886</v>
      </c>
      <c r="W34" s="245">
        <f t="shared" si="30"/>
        <v>0.19168748736168928</v>
      </c>
      <c r="X34" s="245" t="str">
        <f t="shared" si="8"/>
        <v/>
      </c>
      <c r="Y34" s="245">
        <f t="shared" si="31"/>
        <v>0.17420010155671342</v>
      </c>
      <c r="Z34" s="243" t="str">
        <f>IFERROR(AVERAGEIF('Daily KPI'!$D:$D,New_Modelling[[#This Row],[Month]],'Daily KPI'!$AB:$AB),"")</f>
        <v/>
      </c>
      <c r="AA34" s="246">
        <f>IFERROR(AVERAGEIF($F$2:F34,F34,$N$2:N34),"")</f>
        <v>24.303100000000001</v>
      </c>
      <c r="AB34" s="244"/>
      <c r="AC34" s="243"/>
      <c r="AD34" s="243"/>
      <c r="AE34" s="245">
        <v>0.995</v>
      </c>
      <c r="AF34" s="245">
        <v>0.995</v>
      </c>
      <c r="AG34" s="245"/>
      <c r="AH34" s="245"/>
      <c r="AI34" s="245"/>
      <c r="AJ34" s="245"/>
      <c r="AK34" s="245"/>
      <c r="AL34" s="245"/>
      <c r="AM34" s="253"/>
      <c r="AN34" s="254"/>
      <c r="AO34" s="254">
        <v>1606.9941528724548</v>
      </c>
      <c r="AP34" s="254">
        <v>1859.0043766578494</v>
      </c>
    </row>
    <row r="35" spans="1:42" x14ac:dyDescent="0.35">
      <c r="A35" s="237">
        <f t="shared" si="10"/>
        <v>34</v>
      </c>
      <c r="B35" s="238" t="str">
        <f t="shared" ref="B35:C35" si="40">B23</f>
        <v>January</v>
      </c>
      <c r="C35" s="238">
        <f t="shared" si="40"/>
        <v>1</v>
      </c>
      <c r="D35" s="239">
        <v>46023</v>
      </c>
      <c r="E35" s="240">
        <f t="shared" si="26"/>
        <v>2026</v>
      </c>
      <c r="F35" s="240" t="s">
        <v>352</v>
      </c>
      <c r="G35" s="241">
        <f t="shared" si="27"/>
        <v>31</v>
      </c>
      <c r="H35" s="246">
        <f t="shared" si="20"/>
        <v>155.6</v>
      </c>
      <c r="I35" s="246">
        <f t="shared" si="21"/>
        <v>210.5</v>
      </c>
      <c r="J35" s="243"/>
      <c r="K35" s="242">
        <f t="shared" si="22"/>
        <v>23.04</v>
      </c>
      <c r="L35" s="241"/>
      <c r="M35" s="244">
        <f t="shared" si="11"/>
        <v>3553.7359052082966</v>
      </c>
      <c r="N35" s="244">
        <v>24.303100000000001</v>
      </c>
      <c r="O35" s="245">
        <f t="shared" si="14"/>
        <v>0.69465853509305142</v>
      </c>
      <c r="P35" s="243">
        <f t="shared" si="15"/>
        <v>6.790322580645161</v>
      </c>
      <c r="Q35" s="241">
        <f>COUNTIFS('Daily KPI'!$D:$D,D35,'Daily KPI'!$I:$I,"&gt;0")</f>
        <v>0</v>
      </c>
      <c r="R35" s="244">
        <f t="shared" si="4"/>
        <v>0</v>
      </c>
      <c r="S35" s="244">
        <f>SUMIF($F$2:F35,F35,$R$2:R35)</f>
        <v>703.92258064516125</v>
      </c>
      <c r="T35" s="243">
        <f t="shared" si="28"/>
        <v>114.63664210349344</v>
      </c>
      <c r="U35" s="244">
        <f t="shared" si="29"/>
        <v>0</v>
      </c>
      <c r="V35" s="244">
        <f>SUMIF($F$2:F35,F35,$U$2:U35)</f>
        <v>12700.807464428886</v>
      </c>
      <c r="W35" s="245">
        <f t="shared" si="30"/>
        <v>0.19653981402834317</v>
      </c>
      <c r="X35" s="245" t="str">
        <f t="shared" si="8"/>
        <v/>
      </c>
      <c r="Y35" s="245">
        <f t="shared" si="31"/>
        <v>0.17420010155671342</v>
      </c>
      <c r="Z35" s="243" t="str">
        <f>IFERROR(AVERAGEIF('Daily KPI'!$D:$D,New_Modelling[[#This Row],[Month]],'Daily KPI'!$AB:$AB),"")</f>
        <v/>
      </c>
      <c r="AA35" s="246">
        <f>IFERROR(AVERAGEIF($F$2:F35,F35,$N$2:N35),"")</f>
        <v>24.303100000000001</v>
      </c>
      <c r="AB35" s="244"/>
      <c r="AC35" s="243"/>
      <c r="AD35" s="243"/>
      <c r="AE35" s="245">
        <v>0.995</v>
      </c>
      <c r="AF35" s="245">
        <v>0.995</v>
      </c>
      <c r="AG35" s="245"/>
      <c r="AH35" s="245"/>
      <c r="AI35" s="245"/>
      <c r="AJ35" s="245"/>
      <c r="AK35" s="245"/>
      <c r="AL35" s="245"/>
      <c r="AM35" s="253"/>
      <c r="AN35" s="254"/>
      <c r="AO35" s="254">
        <v>1670.2481780387088</v>
      </c>
      <c r="AP35" s="254">
        <v>1883.4877271695877</v>
      </c>
    </row>
    <row r="36" spans="1:42" x14ac:dyDescent="0.35">
      <c r="A36" s="237">
        <f t="shared" si="10"/>
        <v>35</v>
      </c>
      <c r="B36" s="238" t="str">
        <f t="shared" ref="B36:C36" si="41">B24</f>
        <v>February</v>
      </c>
      <c r="C36" s="238">
        <f t="shared" si="41"/>
        <v>2</v>
      </c>
      <c r="D36" s="239">
        <v>46054</v>
      </c>
      <c r="E36" s="240">
        <f t="shared" si="26"/>
        <v>2026</v>
      </c>
      <c r="F36" s="240" t="s">
        <v>352</v>
      </c>
      <c r="G36" s="241">
        <f t="shared" si="27"/>
        <v>28</v>
      </c>
      <c r="H36" s="246">
        <f t="shared" si="20"/>
        <v>157.9</v>
      </c>
      <c r="I36" s="246">
        <f t="shared" si="21"/>
        <v>193</v>
      </c>
      <c r="J36" s="243"/>
      <c r="K36" s="242">
        <f t="shared" si="22"/>
        <v>25.46</v>
      </c>
      <c r="L36" s="241"/>
      <c r="M36" s="244">
        <f t="shared" si="11"/>
        <v>3209.6434171289402</v>
      </c>
      <c r="N36" s="244">
        <v>24.303100000000001</v>
      </c>
      <c r="O36" s="245">
        <f t="shared" si="14"/>
        <v>0.68428623396557675</v>
      </c>
      <c r="P36" s="243">
        <f t="shared" si="15"/>
        <v>6.8928571428571432</v>
      </c>
      <c r="Q36" s="241">
        <f>COUNTIFS('Daily KPI'!$D:$D,D36,'Daily KPI'!$I:$I,"&gt;0")</f>
        <v>0</v>
      </c>
      <c r="R36" s="244">
        <f t="shared" si="4"/>
        <v>0</v>
      </c>
      <c r="S36" s="244">
        <f>SUMIF($F$2:F36,F36,$R$2:R36)</f>
        <v>703.92258064516125</v>
      </c>
      <c r="T36" s="243">
        <f t="shared" si="28"/>
        <v>114.63012204031929</v>
      </c>
      <c r="U36" s="244">
        <f t="shared" si="29"/>
        <v>0</v>
      </c>
      <c r="V36" s="244">
        <f>SUMIF($F$2:F36,F36,$U$2:U36)</f>
        <v>12700.807464428886</v>
      </c>
      <c r="W36" s="245">
        <f t="shared" si="30"/>
        <v>0.19652863564785167</v>
      </c>
      <c r="X36" s="245" t="str">
        <f t="shared" si="8"/>
        <v/>
      </c>
      <c r="Y36" s="245">
        <f t="shared" si="31"/>
        <v>0.17420010155671342</v>
      </c>
      <c r="Z36" s="243" t="str">
        <f>IFERROR(AVERAGEIF('Daily KPI'!$D:$D,New_Modelling[[#This Row],[Month]],'Daily KPI'!$AB:$AB),"")</f>
        <v/>
      </c>
      <c r="AA36" s="246">
        <f>IFERROR(AVERAGEIF($F$2:F36,F36,$N$2:N36),"")</f>
        <v>24.303100000000004</v>
      </c>
      <c r="AB36" s="244"/>
      <c r="AC36" s="243"/>
      <c r="AD36" s="243"/>
      <c r="AE36" s="245">
        <v>0.995</v>
      </c>
      <c r="AF36" s="245">
        <v>0.995</v>
      </c>
      <c r="AG36" s="245"/>
      <c r="AH36" s="245"/>
      <c r="AI36" s="245"/>
      <c r="AJ36" s="245"/>
      <c r="AK36" s="245"/>
      <c r="AL36" s="245"/>
      <c r="AM36" s="253"/>
      <c r="AN36" s="254"/>
      <c r="AO36" s="254">
        <v>1497.1769268727976</v>
      </c>
      <c r="AP36" s="254">
        <v>1712.4664902561424</v>
      </c>
    </row>
    <row r="37" spans="1:42" x14ac:dyDescent="0.35">
      <c r="A37" s="237">
        <f t="shared" si="10"/>
        <v>36</v>
      </c>
      <c r="B37" s="238" t="str">
        <f t="shared" ref="B37:C37" si="42">B25</f>
        <v>March</v>
      </c>
      <c r="C37" s="238">
        <f t="shared" si="42"/>
        <v>3</v>
      </c>
      <c r="D37" s="239">
        <v>46082</v>
      </c>
      <c r="E37" s="240">
        <f t="shared" si="26"/>
        <v>2026</v>
      </c>
      <c r="F37" s="240" t="s">
        <v>352</v>
      </c>
      <c r="G37" s="241">
        <f t="shared" si="27"/>
        <v>31</v>
      </c>
      <c r="H37" s="246">
        <f t="shared" si="20"/>
        <v>197.2</v>
      </c>
      <c r="I37" s="246">
        <f t="shared" si="21"/>
        <v>213.9</v>
      </c>
      <c r="J37" s="243"/>
      <c r="K37" s="242">
        <f t="shared" si="22"/>
        <v>29.58</v>
      </c>
      <c r="L37" s="241"/>
      <c r="M37" s="244">
        <f t="shared" si="11"/>
        <v>3848.0639978122849</v>
      </c>
      <c r="N37" s="244">
        <v>24.303100000000001</v>
      </c>
      <c r="O37" s="245">
        <f t="shared" si="14"/>
        <v>0.74023536153896807</v>
      </c>
      <c r="P37" s="243">
        <f t="shared" si="15"/>
        <v>6.9</v>
      </c>
      <c r="Q37" s="241">
        <f>COUNTIFS('Daily KPI'!$D:$D,D37,'Daily KPI'!$I:$I,"&gt;0")</f>
        <v>0</v>
      </c>
      <c r="R37" s="244">
        <f t="shared" si="4"/>
        <v>0</v>
      </c>
      <c r="S37" s="244">
        <f>SUMIF($F$2:F37,F37,$R$2:R37)</f>
        <v>703.92258064516125</v>
      </c>
      <c r="T37" s="243">
        <f t="shared" si="28"/>
        <v>124.13109670362209</v>
      </c>
      <c r="U37" s="244">
        <f t="shared" si="29"/>
        <v>0</v>
      </c>
      <c r="V37" s="244">
        <f>SUMIF($F$2:F37,F37,$U$2:U37)</f>
        <v>12700.807464428886</v>
      </c>
      <c r="W37" s="245">
        <f t="shared" si="30"/>
        <v>0.21281766644245331</v>
      </c>
      <c r="X37" s="245" t="str">
        <f t="shared" si="8"/>
        <v/>
      </c>
      <c r="Y37" s="245">
        <f t="shared" si="31"/>
        <v>0.17420010155671342</v>
      </c>
      <c r="Z37" s="243" t="str">
        <f>IFERROR(AVERAGEIF('Daily KPI'!$D:$D,New_Modelling[[#This Row],[Month]],'Daily KPI'!$AB:$AB),"")</f>
        <v/>
      </c>
      <c r="AA37" s="246">
        <f>IFERROR(AVERAGEIF($F$2:F37,F37,$N$2:N37),"")</f>
        <v>24.303100000000001</v>
      </c>
      <c r="AB37" s="244"/>
      <c r="AC37" s="243"/>
      <c r="AD37" s="243"/>
      <c r="AE37" s="245">
        <v>0.995</v>
      </c>
      <c r="AF37" s="245">
        <v>0.995</v>
      </c>
      <c r="AG37" s="245"/>
      <c r="AH37" s="245"/>
      <c r="AI37" s="245"/>
      <c r="AJ37" s="245"/>
      <c r="AK37" s="245"/>
      <c r="AL37" s="245"/>
      <c r="AM37" s="253"/>
      <c r="AN37" s="254"/>
      <c r="AO37" s="254">
        <v>1637.7663813317126</v>
      </c>
      <c r="AP37" s="254">
        <v>2210.2976164805723</v>
      </c>
    </row>
  </sheetData>
  <phoneticPr fontId="18" type="noConversion"/>
  <pageMargins left="0.7" right="0.7" top="0.75" bottom="0.75" header="0.3" footer="0.3"/>
  <ignoredErrors>
    <ignoredError sqref="Z2:AA35" calculatedColumn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CH748"/>
  <sheetViews>
    <sheetView topLeftCell="C1" zoomScale="60" zoomScaleNormal="60" workbookViewId="0">
      <selection activeCell="M116" sqref="M116"/>
    </sheetView>
  </sheetViews>
  <sheetFormatPr defaultColWidth="8.81640625" defaultRowHeight="14.5" x14ac:dyDescent="0.35"/>
  <cols>
    <col min="1" max="1" width="16" customWidth="1"/>
    <col min="2" max="3" width="11.1796875" customWidth="1"/>
    <col min="4" max="4" width="12.453125" customWidth="1"/>
    <col min="5" max="5" width="14.1796875" customWidth="1"/>
    <col min="6" max="6" width="13" customWidth="1"/>
    <col min="7" max="7" width="10.81640625" customWidth="1"/>
    <col min="8" max="8" width="11.453125" customWidth="1"/>
    <col min="9" max="9" width="11.1796875" customWidth="1"/>
    <col min="10" max="10" width="10.453125" customWidth="1"/>
    <col min="11" max="11" width="9.81640625" customWidth="1"/>
    <col min="12" max="12" width="11.453125" bestFit="1" customWidth="1"/>
    <col min="13" max="14" width="21.81640625" customWidth="1"/>
    <col min="15" max="15" width="22" customWidth="1"/>
    <col min="16" max="16" width="15.81640625" customWidth="1"/>
    <col min="17" max="17" width="15.453125" customWidth="1"/>
    <col min="18" max="18" width="15" customWidth="1"/>
    <col min="19" max="20" width="16.453125" customWidth="1"/>
    <col min="21" max="22" width="15.81640625" customWidth="1"/>
    <col min="23" max="23" width="13.81640625" customWidth="1"/>
    <col min="25" max="25" width="11.453125" bestFit="1" customWidth="1"/>
    <col min="26" max="27" width="11.1796875" customWidth="1"/>
    <col min="28" max="28" width="12.453125" customWidth="1"/>
    <col min="29" max="29" width="14.1796875" customWidth="1"/>
    <col min="30" max="30" width="13" customWidth="1"/>
    <col min="31" max="31" width="10.81640625" customWidth="1"/>
    <col min="32" max="32" width="11.453125" customWidth="1"/>
    <col min="33" max="33" width="11.1796875" customWidth="1"/>
    <col min="34" max="34" width="10.453125" customWidth="1"/>
    <col min="35" max="35" width="9.81640625" customWidth="1"/>
    <col min="36" max="36" width="11.453125" bestFit="1" customWidth="1"/>
    <col min="37" max="37" width="21.81640625" customWidth="1"/>
    <col min="38" max="38" width="20.81640625" bestFit="1" customWidth="1"/>
    <col min="39" max="39" width="22" customWidth="1"/>
    <col min="40" max="40" width="15.81640625" customWidth="1"/>
    <col min="41" max="41" width="15.453125" customWidth="1"/>
    <col min="42" max="42" width="15" customWidth="1"/>
    <col min="43" max="44" width="16.453125" customWidth="1"/>
    <col min="45" max="45" width="15.81640625" customWidth="1"/>
    <col min="46" max="46" width="11.453125" customWidth="1"/>
    <col min="47" max="47" width="12.453125" customWidth="1"/>
    <col min="48" max="48" width="15.81640625" customWidth="1"/>
    <col min="49" max="49" width="12.1796875" customWidth="1"/>
    <col min="56" max="56" width="14.1796875" customWidth="1"/>
    <col min="57" max="58" width="11.1796875" customWidth="1"/>
    <col min="59" max="59" width="12.453125" customWidth="1"/>
    <col min="60" max="60" width="14.1796875" customWidth="1"/>
    <col min="61" max="61" width="13" customWidth="1"/>
    <col min="62" max="62" width="10.81640625" customWidth="1"/>
    <col min="63" max="63" width="11.453125" customWidth="1"/>
    <col min="64" max="64" width="11.1796875" customWidth="1"/>
    <col min="65" max="65" width="10.453125" customWidth="1"/>
    <col min="66" max="66" width="9.81640625" customWidth="1"/>
    <col min="67" max="67" width="11.453125" bestFit="1" customWidth="1"/>
    <col min="68" max="68" width="16.453125" customWidth="1"/>
    <col min="69" max="69" width="13.1796875" customWidth="1"/>
    <col min="70" max="70" width="14.453125" customWidth="1"/>
    <col min="71" max="71" width="15.81640625" customWidth="1"/>
    <col min="72" max="72" width="15.453125" customWidth="1"/>
    <col min="73" max="73" width="15" customWidth="1"/>
    <col min="74" max="75" width="16.453125" customWidth="1"/>
    <col min="76" max="76" width="15.81640625" customWidth="1"/>
    <col min="77" max="77" width="13.453125" customWidth="1"/>
    <col min="78" max="78" width="12.453125" customWidth="1"/>
    <col min="79" max="79" width="15.81640625" customWidth="1"/>
    <col min="80" max="80" width="12.1796875" customWidth="1"/>
    <col min="85" max="85" width="10.1796875" bestFit="1" customWidth="1"/>
    <col min="86" max="86" width="9.453125" bestFit="1" customWidth="1"/>
  </cols>
  <sheetData>
    <row r="1" spans="1:76" ht="29" x14ac:dyDescent="0.35">
      <c r="A1" s="13"/>
      <c r="B1" s="13" t="s">
        <v>248</v>
      </c>
      <c r="C1" s="13"/>
      <c r="D1" s="14" t="s">
        <v>574</v>
      </c>
      <c r="E1" s="15" t="s">
        <v>575</v>
      </c>
      <c r="F1" s="15" t="s">
        <v>576</v>
      </c>
      <c r="G1" s="15" t="s">
        <v>577</v>
      </c>
      <c r="H1" s="15" t="s">
        <v>578</v>
      </c>
      <c r="I1" s="15" t="s">
        <v>579</v>
      </c>
      <c r="J1" s="15" t="s">
        <v>580</v>
      </c>
      <c r="K1" s="15" t="s">
        <v>581</v>
      </c>
      <c r="L1" s="16" t="s">
        <v>582</v>
      </c>
      <c r="M1" s="16" t="s">
        <v>583</v>
      </c>
      <c r="P1" t="s">
        <v>190</v>
      </c>
      <c r="Q1">
        <v>11.5031</v>
      </c>
      <c r="R1">
        <f>AO1</f>
        <v>12.8</v>
      </c>
      <c r="S1">
        <f>Q1+R1</f>
        <v>24.303100000000001</v>
      </c>
      <c r="Y1" s="13"/>
      <c r="Z1" s="13" t="s">
        <v>248</v>
      </c>
      <c r="AA1" s="13"/>
      <c r="AB1" s="14" t="s">
        <v>584</v>
      </c>
      <c r="AC1" s="15" t="s">
        <v>585</v>
      </c>
      <c r="AD1" s="15" t="s">
        <v>586</v>
      </c>
      <c r="AE1" s="15" t="s">
        <v>587</v>
      </c>
      <c r="AF1" s="15" t="s">
        <v>588</v>
      </c>
      <c r="AG1" s="15" t="s">
        <v>589</v>
      </c>
      <c r="AH1" s="15" t="s">
        <v>590</v>
      </c>
      <c r="AI1" s="16"/>
      <c r="AJ1" s="16" t="s">
        <v>582</v>
      </c>
      <c r="AK1" s="16" t="s">
        <v>583</v>
      </c>
      <c r="AN1" t="s">
        <v>190</v>
      </c>
      <c r="AO1">
        <v>12.8</v>
      </c>
      <c r="BD1" s="13"/>
      <c r="BE1" s="13" t="s">
        <v>248</v>
      </c>
      <c r="BF1" s="13"/>
      <c r="BG1" s="14" t="s">
        <v>584</v>
      </c>
      <c r="BH1" s="15" t="s">
        <v>585</v>
      </c>
      <c r="BI1" s="15" t="s">
        <v>586</v>
      </c>
      <c r="BJ1" s="15" t="s">
        <v>587</v>
      </c>
      <c r="BK1" s="15" t="s">
        <v>588</v>
      </c>
      <c r="BL1" s="15" t="s">
        <v>589</v>
      </c>
      <c r="BM1" s="15" t="s">
        <v>590</v>
      </c>
      <c r="BN1" s="16"/>
      <c r="BO1" s="16" t="s">
        <v>582</v>
      </c>
      <c r="BP1" s="16" t="s">
        <v>583</v>
      </c>
      <c r="BS1" t="s">
        <v>190</v>
      </c>
      <c r="BT1">
        <v>12.8</v>
      </c>
    </row>
    <row r="2" spans="1:76" x14ac:dyDescent="0.35">
      <c r="A2" s="17">
        <v>31</v>
      </c>
      <c r="B2" s="17" t="s">
        <v>591</v>
      </c>
      <c r="C2" s="17">
        <v>1</v>
      </c>
      <c r="D2" s="18">
        <v>155.6</v>
      </c>
      <c r="E2" s="18">
        <v>33.5</v>
      </c>
      <c r="F2" s="19">
        <v>23.04</v>
      </c>
      <c r="G2" s="18">
        <v>210.5</v>
      </c>
      <c r="H2" s="86">
        <v>200.2</v>
      </c>
      <c r="I2" s="87">
        <v>1895</v>
      </c>
      <c r="J2" s="20">
        <v>1719.5588531771623</v>
      </c>
      <c r="K2" s="24">
        <f>J2/G2/$Q$1</f>
        <v>0.71014993074041421</v>
      </c>
      <c r="L2" s="21">
        <v>1730</v>
      </c>
      <c r="M2" s="22">
        <f>G2/A2</f>
        <v>6.790322580645161</v>
      </c>
      <c r="N2">
        <v>1682</v>
      </c>
      <c r="O2">
        <f>N2/1000</f>
        <v>1.6819999999999999</v>
      </c>
      <c r="P2" t="s">
        <v>592</v>
      </c>
      <c r="Q2" s="23">
        <v>7.0000000000000001E-3</v>
      </c>
      <c r="T2">
        <v>1707.5219412049223</v>
      </c>
      <c r="Y2" s="17">
        <v>31</v>
      </c>
      <c r="Z2" s="17" t="s">
        <v>311</v>
      </c>
      <c r="AA2" s="17">
        <v>1</v>
      </c>
      <c r="AB2" s="18">
        <v>152.60004539999997</v>
      </c>
      <c r="AC2" s="18"/>
      <c r="AD2" s="19">
        <v>22.000026881720409</v>
      </c>
      <c r="AE2" s="18">
        <v>175.43287200000006</v>
      </c>
      <c r="AF2" s="86"/>
      <c r="AG2" s="87"/>
      <c r="AH2" s="20">
        <v>1939.8167972999918</v>
      </c>
      <c r="AI2" s="21"/>
      <c r="AJ2" s="21">
        <f>AH2</f>
        <v>1939.8167972999918</v>
      </c>
      <c r="AK2" s="22">
        <f>AE2/Y2</f>
        <v>5.6591249032258082</v>
      </c>
      <c r="AL2">
        <v>1905.1168908057109</v>
      </c>
      <c r="AN2" t="s">
        <v>592</v>
      </c>
      <c r="AO2" s="23">
        <v>4.4999999999999997E-3</v>
      </c>
      <c r="BD2" s="17">
        <v>31</v>
      </c>
      <c r="BE2" s="17" t="s">
        <v>311</v>
      </c>
      <c r="BF2" s="17">
        <v>1</v>
      </c>
      <c r="BG2" s="18">
        <v>152.60004539999997</v>
      </c>
      <c r="BH2" s="18"/>
      <c r="BI2" s="19">
        <v>22.000026881720409</v>
      </c>
      <c r="BJ2" s="18">
        <v>175.43287200000006</v>
      </c>
      <c r="BK2" s="86"/>
      <c r="BL2" s="87"/>
      <c r="BM2" s="20">
        <v>1939.8167972999918</v>
      </c>
      <c r="BN2" s="21"/>
      <c r="BO2" s="21">
        <f>BM2</f>
        <v>1939.8167972999918</v>
      </c>
      <c r="BP2" s="22">
        <f>BJ2/BD2</f>
        <v>5.6591249032258082</v>
      </c>
      <c r="BQ2" s="186">
        <f>N2+AL2</f>
        <v>3587.1168908057107</v>
      </c>
      <c r="BS2" t="s">
        <v>592</v>
      </c>
      <c r="BT2" s="23">
        <v>4.4999999999999997E-3</v>
      </c>
    </row>
    <row r="3" spans="1:76" x14ac:dyDescent="0.35">
      <c r="A3" s="17">
        <v>28</v>
      </c>
      <c r="B3" s="17" t="s">
        <v>593</v>
      </c>
      <c r="C3" s="17">
        <v>2</v>
      </c>
      <c r="D3" s="18">
        <v>157.9</v>
      </c>
      <c r="E3" s="18">
        <v>36.700000000000003</v>
      </c>
      <c r="F3" s="19">
        <v>25.46</v>
      </c>
      <c r="G3" s="18">
        <v>193</v>
      </c>
      <c r="H3" s="88">
        <v>183.2</v>
      </c>
      <c r="I3" s="89">
        <v>1708</v>
      </c>
      <c r="J3" s="20">
        <v>1549.8715151591521</v>
      </c>
      <c r="K3" s="24">
        <f t="shared" ref="K3:K13" si="0">J3/G3/$Q$1</f>
        <v>0.6981094103622133</v>
      </c>
      <c r="L3" s="21">
        <v>1460</v>
      </c>
      <c r="M3" s="22">
        <f t="shared" ref="M3:M13" si="1">G3/A3</f>
        <v>6.8928571428571432</v>
      </c>
      <c r="N3">
        <v>1507.7</v>
      </c>
      <c r="O3">
        <f t="shared" ref="O3:O13" si="2">N3/1000</f>
        <v>1.5077</v>
      </c>
      <c r="P3" t="s">
        <v>594</v>
      </c>
      <c r="Q3" s="23">
        <v>0</v>
      </c>
      <c r="T3">
        <v>1539.0224145530378</v>
      </c>
      <c r="Y3" s="17">
        <v>28</v>
      </c>
      <c r="Z3" s="17" t="s">
        <v>316</v>
      </c>
      <c r="AA3" s="17">
        <v>2</v>
      </c>
      <c r="AB3" s="18">
        <v>161.49946820000008</v>
      </c>
      <c r="AC3" s="18"/>
      <c r="AD3" s="19">
        <v>24.699999999999996</v>
      </c>
      <c r="AE3" s="18">
        <v>179.59497800000008</v>
      </c>
      <c r="AF3" s="88"/>
      <c r="AG3" s="89"/>
      <c r="AH3" s="20">
        <v>1952.3302503999901</v>
      </c>
      <c r="AI3" s="21"/>
      <c r="AJ3" s="21">
        <v>2020</v>
      </c>
      <c r="AK3" s="22">
        <f t="shared" ref="AK3:AK14" si="3">AE3/Y3</f>
        <v>6.4141063571428605</v>
      </c>
      <c r="AL3">
        <v>1917.7172608787296</v>
      </c>
      <c r="AN3" t="s">
        <v>594</v>
      </c>
      <c r="AO3" s="23">
        <v>0</v>
      </c>
      <c r="BD3" s="17">
        <v>28</v>
      </c>
      <c r="BE3" s="17" t="s">
        <v>316</v>
      </c>
      <c r="BF3" s="17">
        <v>2</v>
      </c>
      <c r="BG3" s="18">
        <v>161.49946820000008</v>
      </c>
      <c r="BH3" s="18"/>
      <c r="BI3" s="19">
        <v>24.699999999999996</v>
      </c>
      <c r="BJ3" s="18">
        <v>179.59497800000008</v>
      </c>
      <c r="BK3" s="88"/>
      <c r="BL3" s="89"/>
      <c r="BM3" s="20">
        <v>1952.3302503999901</v>
      </c>
      <c r="BN3" s="21"/>
      <c r="BO3" s="21">
        <f t="shared" ref="BO3:BO13" si="4">BM3</f>
        <v>1952.3302503999901</v>
      </c>
      <c r="BP3" s="22">
        <f t="shared" ref="BP3:BP14" si="5">BJ3/BD3</f>
        <v>6.4141063571428605</v>
      </c>
      <c r="BQ3" s="186">
        <f t="shared" ref="BQ3:BQ13" si="6">N3+AL3</f>
        <v>3425.4172608787294</v>
      </c>
      <c r="BS3" t="s">
        <v>594</v>
      </c>
      <c r="BT3" s="23">
        <v>0</v>
      </c>
    </row>
    <row r="4" spans="1:76" x14ac:dyDescent="0.35">
      <c r="A4" s="17">
        <v>31</v>
      </c>
      <c r="B4" s="17" t="s">
        <v>595</v>
      </c>
      <c r="C4" s="17">
        <v>3</v>
      </c>
      <c r="D4" s="18">
        <v>197.2</v>
      </c>
      <c r="E4" s="18">
        <v>48.7</v>
      </c>
      <c r="F4" s="19">
        <v>29.58</v>
      </c>
      <c r="G4" s="18">
        <v>213.9</v>
      </c>
      <c r="H4" s="88">
        <v>202.2</v>
      </c>
      <c r="I4" s="89">
        <v>1858</v>
      </c>
      <c r="J4" s="20">
        <v>1685.9843531415131</v>
      </c>
      <c r="K4" s="24">
        <f t="shared" si="0"/>
        <v>0.68521657535319724</v>
      </c>
      <c r="L4" s="21">
        <v>1690</v>
      </c>
      <c r="M4" s="22">
        <f t="shared" si="1"/>
        <v>6.9</v>
      </c>
      <c r="N4">
        <v>1649.3</v>
      </c>
      <c r="O4">
        <f t="shared" si="2"/>
        <v>1.6493</v>
      </c>
      <c r="T4">
        <v>1674.1824626695225</v>
      </c>
      <c r="Y4" s="17">
        <v>31</v>
      </c>
      <c r="Z4" s="17" t="s">
        <v>320</v>
      </c>
      <c r="AA4" s="17">
        <v>3</v>
      </c>
      <c r="AB4" s="18">
        <v>201.60102410000013</v>
      </c>
      <c r="AC4" s="18"/>
      <c r="AD4" s="19">
        <v>28.299865591397797</v>
      </c>
      <c r="AE4" s="18">
        <v>213.18881840000014</v>
      </c>
      <c r="AF4" s="88"/>
      <c r="AG4" s="89"/>
      <c r="AH4" s="20">
        <v>2276.1271901999853</v>
      </c>
      <c r="AI4" s="21"/>
      <c r="AJ4" s="21">
        <f t="shared" ref="AJ4:AJ13" si="7">AH4</f>
        <v>2276.1271901999853</v>
      </c>
      <c r="AK4" s="22">
        <f t="shared" si="3"/>
        <v>6.877058658064521</v>
      </c>
      <c r="AL4" s="185">
        <v>2235.6797244400609</v>
      </c>
      <c r="BD4" s="17">
        <v>31</v>
      </c>
      <c r="BE4" s="17" t="s">
        <v>320</v>
      </c>
      <c r="BF4" s="17">
        <v>3</v>
      </c>
      <c r="BG4" s="18">
        <v>201.60102410000013</v>
      </c>
      <c r="BH4" s="18"/>
      <c r="BI4" s="19">
        <v>28.299865591397797</v>
      </c>
      <c r="BJ4" s="18">
        <v>213.18881840000014</v>
      </c>
      <c r="BK4" s="88"/>
      <c r="BL4" s="89"/>
      <c r="BM4" s="20">
        <v>2276.1271901999853</v>
      </c>
      <c r="BN4" s="21"/>
      <c r="BO4" s="21">
        <f t="shared" si="4"/>
        <v>2276.1271901999853</v>
      </c>
      <c r="BP4" s="22">
        <f t="shared" si="5"/>
        <v>6.877058658064521</v>
      </c>
      <c r="BQ4" s="186">
        <f t="shared" si="6"/>
        <v>3884.9797244400606</v>
      </c>
    </row>
    <row r="5" spans="1:76" x14ac:dyDescent="0.35">
      <c r="A5" s="17">
        <v>30</v>
      </c>
      <c r="B5" s="17" t="s">
        <v>596</v>
      </c>
      <c r="C5" s="17">
        <v>4</v>
      </c>
      <c r="D5" s="18">
        <v>197.1</v>
      </c>
      <c r="E5" s="18">
        <v>57.9</v>
      </c>
      <c r="F5" s="19">
        <v>31.76</v>
      </c>
      <c r="G5" s="18">
        <v>198.7</v>
      </c>
      <c r="H5" s="88">
        <v>187.5</v>
      </c>
      <c r="I5" s="89">
        <v>1722</v>
      </c>
      <c r="J5" s="20">
        <v>1562.5753800375057</v>
      </c>
      <c r="K5" s="24">
        <f t="shared" si="0"/>
        <v>0.68364117965911964</v>
      </c>
      <c r="L5" s="21">
        <v>1520</v>
      </c>
      <c r="M5" s="22">
        <f t="shared" si="1"/>
        <v>6.6233333333333331</v>
      </c>
      <c r="N5">
        <v>1529.1</v>
      </c>
      <c r="O5">
        <f t="shared" si="2"/>
        <v>1.5290999999999999</v>
      </c>
      <c r="T5">
        <v>1551.6373523772475</v>
      </c>
      <c r="Y5" s="17">
        <v>30</v>
      </c>
      <c r="Z5" s="17" t="s">
        <v>266</v>
      </c>
      <c r="AA5" s="17">
        <v>4</v>
      </c>
      <c r="AB5" s="18">
        <v>207.19970250000011</v>
      </c>
      <c r="AC5" s="18"/>
      <c r="AD5" s="19">
        <v>32.300125000000008</v>
      </c>
      <c r="AE5" s="18">
        <v>208.95740029999993</v>
      </c>
      <c r="AF5" s="88"/>
      <c r="AG5" s="89"/>
      <c r="AH5" s="20">
        <v>2210.4496872999898</v>
      </c>
      <c r="AI5" s="21"/>
      <c r="AJ5" s="21">
        <f t="shared" si="7"/>
        <v>2210.4496872999898</v>
      </c>
      <c r="AK5" s="22">
        <f t="shared" si="3"/>
        <v>6.9652466766666645</v>
      </c>
      <c r="AL5">
        <v>2171.4965893806216</v>
      </c>
      <c r="BD5" s="17">
        <v>30</v>
      </c>
      <c r="BE5" s="17" t="s">
        <v>266</v>
      </c>
      <c r="BF5" s="17">
        <v>4</v>
      </c>
      <c r="BG5" s="18">
        <v>207.19970250000011</v>
      </c>
      <c r="BH5" s="18"/>
      <c r="BI5" s="19">
        <v>32.300125000000008</v>
      </c>
      <c r="BJ5" s="18">
        <v>208.95740029999993</v>
      </c>
      <c r="BK5" s="88"/>
      <c r="BL5" s="89"/>
      <c r="BM5" s="20">
        <v>2210.4496872999898</v>
      </c>
      <c r="BN5" s="21"/>
      <c r="BO5" s="21">
        <f t="shared" si="4"/>
        <v>2210.4496872999898</v>
      </c>
      <c r="BP5" s="22">
        <f t="shared" si="5"/>
        <v>6.9652466766666645</v>
      </c>
      <c r="BQ5" s="186">
        <f t="shared" si="6"/>
        <v>3700.5965893806215</v>
      </c>
    </row>
    <row r="6" spans="1:76" x14ac:dyDescent="0.35">
      <c r="A6" s="17">
        <v>31</v>
      </c>
      <c r="B6" s="17" t="s">
        <v>597</v>
      </c>
      <c r="C6" s="17">
        <v>5</v>
      </c>
      <c r="D6" s="18">
        <v>204.3</v>
      </c>
      <c r="E6" s="18">
        <v>66</v>
      </c>
      <c r="F6" s="19">
        <v>30.53</v>
      </c>
      <c r="G6" s="18">
        <v>202.4</v>
      </c>
      <c r="H6" s="88">
        <v>190.8</v>
      </c>
      <c r="I6" s="89">
        <v>1773</v>
      </c>
      <c r="J6" s="20">
        <v>1608.8537449515086</v>
      </c>
      <c r="K6" s="24">
        <f t="shared" si="0"/>
        <v>0.69102086733910695</v>
      </c>
      <c r="L6" s="21">
        <v>1620</v>
      </c>
      <c r="M6" s="22">
        <f t="shared" si="1"/>
        <v>6.5290322580645164</v>
      </c>
      <c r="N6">
        <v>1573.6000000000001</v>
      </c>
      <c r="O6">
        <f t="shared" si="2"/>
        <v>1.5736000000000001</v>
      </c>
      <c r="T6">
        <v>1597.5917687368478</v>
      </c>
      <c r="Y6" s="17">
        <v>31</v>
      </c>
      <c r="Z6" s="17" t="s">
        <v>272</v>
      </c>
      <c r="AA6" s="17">
        <v>5</v>
      </c>
      <c r="AB6" s="18">
        <v>212.10052730000007</v>
      </c>
      <c r="AC6" s="18"/>
      <c r="AD6" s="19">
        <v>33.600067204301077</v>
      </c>
      <c r="AE6" s="18">
        <v>205.74141250000002</v>
      </c>
      <c r="AF6" s="88"/>
      <c r="AG6" s="89"/>
      <c r="AH6" s="20">
        <v>2066.24832899999</v>
      </c>
      <c r="AI6" s="21"/>
      <c r="AJ6" s="21">
        <f t="shared" si="7"/>
        <v>2066.24832899999</v>
      </c>
      <c r="AK6" s="22">
        <f t="shared" si="3"/>
        <v>6.636819758064517</v>
      </c>
      <c r="AL6">
        <v>2159.486861654776</v>
      </c>
      <c r="BD6" s="17">
        <v>31</v>
      </c>
      <c r="BE6" s="17" t="s">
        <v>272</v>
      </c>
      <c r="BF6" s="17">
        <v>5</v>
      </c>
      <c r="BG6" s="18">
        <v>212.10052730000007</v>
      </c>
      <c r="BH6" s="18"/>
      <c r="BI6" s="19">
        <v>33.600067204301077</v>
      </c>
      <c r="BJ6" s="18">
        <v>205.74141250000002</v>
      </c>
      <c r="BK6" s="88"/>
      <c r="BL6" s="89"/>
      <c r="BM6" s="20">
        <v>2066.24832899999</v>
      </c>
      <c r="BN6" s="21"/>
      <c r="BO6" s="21">
        <f t="shared" si="4"/>
        <v>2066.24832899999</v>
      </c>
      <c r="BP6" s="22">
        <f t="shared" si="5"/>
        <v>6.636819758064517</v>
      </c>
      <c r="BQ6" s="186">
        <f t="shared" si="6"/>
        <v>3733.0868616547759</v>
      </c>
    </row>
    <row r="7" spans="1:76" x14ac:dyDescent="0.35">
      <c r="A7" s="17">
        <v>30</v>
      </c>
      <c r="B7" s="17" t="s">
        <v>598</v>
      </c>
      <c r="C7" s="17">
        <v>6</v>
      </c>
      <c r="D7" s="18">
        <v>156</v>
      </c>
      <c r="E7" s="18">
        <v>72.3</v>
      </c>
      <c r="F7" s="19">
        <v>26.96</v>
      </c>
      <c r="G7" s="18">
        <v>153.69999999999999</v>
      </c>
      <c r="H7" s="88">
        <v>144</v>
      </c>
      <c r="I7" s="89">
        <v>1392</v>
      </c>
      <c r="J7" s="20">
        <v>1263.1271364763113</v>
      </c>
      <c r="K7" s="24">
        <f t="shared" si="0"/>
        <v>0.71442772939723653</v>
      </c>
      <c r="L7" s="21">
        <v>1230</v>
      </c>
      <c r="M7" s="22">
        <f t="shared" si="1"/>
        <v>5.1233333333333331</v>
      </c>
      <c r="N7">
        <v>1236.3</v>
      </c>
      <c r="O7">
        <f t="shared" si="2"/>
        <v>1.2363</v>
      </c>
      <c r="T7">
        <v>1254.2852465209771</v>
      </c>
      <c r="Y7" s="17">
        <v>30</v>
      </c>
      <c r="Z7" s="17" t="s">
        <v>277</v>
      </c>
      <c r="AA7" s="17">
        <v>6</v>
      </c>
      <c r="AB7" s="18">
        <v>150.90013509999997</v>
      </c>
      <c r="AC7" s="18"/>
      <c r="AD7" s="19">
        <v>29.699875000000006</v>
      </c>
      <c r="AE7" s="18">
        <v>144.30212540000002</v>
      </c>
      <c r="AF7" s="88"/>
      <c r="AG7" s="89"/>
      <c r="AH7" s="20">
        <v>1587.3331005999978</v>
      </c>
      <c r="AI7" s="21"/>
      <c r="AJ7" s="21">
        <f t="shared" si="7"/>
        <v>1587.3331005999978</v>
      </c>
      <c r="AK7" s="22">
        <f t="shared" si="3"/>
        <v>4.8100708466666671</v>
      </c>
      <c r="AL7">
        <v>1558.8035945800875</v>
      </c>
      <c r="BD7" s="17">
        <v>30</v>
      </c>
      <c r="BE7" s="17" t="s">
        <v>277</v>
      </c>
      <c r="BF7" s="17">
        <v>6</v>
      </c>
      <c r="BG7" s="18">
        <v>150.90013509999997</v>
      </c>
      <c r="BH7" s="18"/>
      <c r="BI7" s="19">
        <v>29.699875000000006</v>
      </c>
      <c r="BJ7" s="18">
        <v>144.30212540000002</v>
      </c>
      <c r="BK7" s="88"/>
      <c r="BL7" s="89"/>
      <c r="BM7" s="20">
        <v>1587.3331005999978</v>
      </c>
      <c r="BN7" s="21"/>
      <c r="BO7" s="21">
        <f t="shared" si="4"/>
        <v>1587.3331005999978</v>
      </c>
      <c r="BP7" s="22">
        <f t="shared" si="5"/>
        <v>4.8100708466666671</v>
      </c>
      <c r="BQ7" s="186">
        <f t="shared" si="6"/>
        <v>2795.1035945800877</v>
      </c>
    </row>
    <row r="8" spans="1:76" x14ac:dyDescent="0.35">
      <c r="A8" s="17">
        <v>31</v>
      </c>
      <c r="B8" s="17" t="s">
        <v>599</v>
      </c>
      <c r="C8" s="17">
        <v>7</v>
      </c>
      <c r="D8" s="18">
        <v>138</v>
      </c>
      <c r="E8" s="18">
        <v>75</v>
      </c>
      <c r="F8" s="19">
        <v>25.04</v>
      </c>
      <c r="G8" s="18">
        <v>136.6</v>
      </c>
      <c r="H8" s="88">
        <v>127.8</v>
      </c>
      <c r="I8" s="89">
        <v>1266</v>
      </c>
      <c r="J8" s="20">
        <v>1148.7923525711278</v>
      </c>
      <c r="K8" s="24">
        <f t="shared" si="0"/>
        <v>0.73109858142837625</v>
      </c>
      <c r="L8" s="21">
        <v>1150</v>
      </c>
      <c r="M8" s="22">
        <f t="shared" si="1"/>
        <v>4.4064516129032256</v>
      </c>
      <c r="N8">
        <v>1124.2</v>
      </c>
      <c r="O8">
        <f t="shared" si="2"/>
        <v>1.1242000000000001</v>
      </c>
      <c r="T8">
        <v>1140.7508061031301</v>
      </c>
      <c r="Y8" s="17">
        <v>31</v>
      </c>
      <c r="Z8" s="17" t="s">
        <v>282</v>
      </c>
      <c r="AA8" s="17">
        <v>7</v>
      </c>
      <c r="AB8" s="18">
        <v>122.2003033</v>
      </c>
      <c r="AC8" s="18"/>
      <c r="AD8" s="19">
        <v>27.200094086021519</v>
      </c>
      <c r="AE8" s="18">
        <v>117.91425350000002</v>
      </c>
      <c r="AF8" s="88"/>
      <c r="AG8" s="89"/>
      <c r="AH8" s="20">
        <v>1312.477316200001</v>
      </c>
      <c r="AI8" s="21"/>
      <c r="AJ8" s="21">
        <f t="shared" si="7"/>
        <v>1312.477316200001</v>
      </c>
      <c r="AK8" s="22">
        <f t="shared" si="3"/>
        <v>3.8036855967741938</v>
      </c>
      <c r="AL8">
        <v>1288.3878399661626</v>
      </c>
      <c r="BD8" s="17">
        <v>31</v>
      </c>
      <c r="BE8" s="17" t="s">
        <v>282</v>
      </c>
      <c r="BF8" s="17">
        <v>7</v>
      </c>
      <c r="BG8" s="18">
        <v>122.2003033</v>
      </c>
      <c r="BH8" s="18"/>
      <c r="BI8" s="19">
        <v>27.200094086021519</v>
      </c>
      <c r="BJ8" s="18">
        <v>117.91425350000002</v>
      </c>
      <c r="BK8" s="88"/>
      <c r="BL8" s="89"/>
      <c r="BM8" s="20">
        <v>1312.477316200001</v>
      </c>
      <c r="BN8" s="21"/>
      <c r="BO8" s="21">
        <f t="shared" si="4"/>
        <v>1312.477316200001</v>
      </c>
      <c r="BP8" s="22">
        <f t="shared" si="5"/>
        <v>3.8036855967741938</v>
      </c>
      <c r="BQ8" s="186">
        <f t="shared" si="6"/>
        <v>2412.5878399661624</v>
      </c>
    </row>
    <row r="9" spans="1:76" x14ac:dyDescent="0.35">
      <c r="A9" s="17">
        <v>31</v>
      </c>
      <c r="B9" s="17" t="s">
        <v>600</v>
      </c>
      <c r="C9" s="17">
        <v>8</v>
      </c>
      <c r="D9" s="18">
        <v>129.30000000000001</v>
      </c>
      <c r="E9" s="18">
        <v>72.2</v>
      </c>
      <c r="F9" s="19">
        <v>24.6</v>
      </c>
      <c r="G9" s="18">
        <v>129.4</v>
      </c>
      <c r="H9" s="88">
        <v>121.1</v>
      </c>
      <c r="I9" s="89">
        <v>1197</v>
      </c>
      <c r="J9" s="20">
        <v>1086.1804470992417</v>
      </c>
      <c r="K9" s="24">
        <f t="shared" si="0"/>
        <v>0.7297142191636089</v>
      </c>
      <c r="L9" s="21">
        <v>1090</v>
      </c>
      <c r="M9" s="22">
        <f t="shared" si="1"/>
        <v>4.1741935483870973</v>
      </c>
      <c r="N9">
        <v>1062.2</v>
      </c>
      <c r="O9">
        <f t="shared" si="2"/>
        <v>1.0622</v>
      </c>
      <c r="T9">
        <v>1078.5771839695471</v>
      </c>
      <c r="Y9" s="17">
        <v>31</v>
      </c>
      <c r="Z9" s="17" t="s">
        <v>287</v>
      </c>
      <c r="AA9" s="17">
        <v>8</v>
      </c>
      <c r="AB9" s="18">
        <v>126.89948080000003</v>
      </c>
      <c r="AC9" s="18"/>
      <c r="AD9" s="19">
        <v>26.499959677419355</v>
      </c>
      <c r="AE9" s="18">
        <v>124.96255929999998</v>
      </c>
      <c r="AF9" s="88"/>
      <c r="AG9" s="89"/>
      <c r="AH9" s="20">
        <v>1393.6344976000007</v>
      </c>
      <c r="AI9" s="21"/>
      <c r="AJ9" s="21">
        <f t="shared" si="7"/>
        <v>1393.6344976000007</v>
      </c>
      <c r="AK9" s="22">
        <f t="shared" si="3"/>
        <v>4.0310502999999995</v>
      </c>
      <c r="AL9">
        <v>1368.4198780080703</v>
      </c>
      <c r="BD9" s="17">
        <v>31</v>
      </c>
      <c r="BE9" s="17" t="s">
        <v>287</v>
      </c>
      <c r="BF9" s="17">
        <v>8</v>
      </c>
      <c r="BG9" s="18">
        <v>126.89948080000003</v>
      </c>
      <c r="BH9" s="18"/>
      <c r="BI9" s="19">
        <v>26.499959677419355</v>
      </c>
      <c r="BJ9" s="18">
        <v>124.96255929999998</v>
      </c>
      <c r="BK9" s="88"/>
      <c r="BL9" s="89"/>
      <c r="BM9" s="20">
        <v>1393.6344976000007</v>
      </c>
      <c r="BN9" s="21"/>
      <c r="BO9" s="21">
        <f t="shared" si="4"/>
        <v>1393.6344976000007</v>
      </c>
      <c r="BP9" s="22">
        <f t="shared" si="5"/>
        <v>4.0310502999999995</v>
      </c>
      <c r="BQ9" s="186">
        <f t="shared" si="6"/>
        <v>2430.6198780080704</v>
      </c>
    </row>
    <row r="10" spans="1:76" x14ac:dyDescent="0.35">
      <c r="A10" s="17">
        <v>30</v>
      </c>
      <c r="B10" s="17" t="s">
        <v>601</v>
      </c>
      <c r="C10" s="17">
        <v>9</v>
      </c>
      <c r="D10" s="18">
        <v>145.19999999999999</v>
      </c>
      <c r="E10" s="18">
        <v>63</v>
      </c>
      <c r="F10" s="19">
        <v>25.31</v>
      </c>
      <c r="G10" s="18">
        <v>148</v>
      </c>
      <c r="H10" s="88">
        <v>138.9</v>
      </c>
      <c r="I10" s="89">
        <v>1356</v>
      </c>
      <c r="J10" s="20">
        <v>1230.4600553605446</v>
      </c>
      <c r="K10" s="24">
        <f t="shared" si="0"/>
        <v>0.72275467421622464</v>
      </c>
      <c r="L10" s="21">
        <v>1200</v>
      </c>
      <c r="M10" s="22">
        <f t="shared" si="1"/>
        <v>4.9333333333333336</v>
      </c>
      <c r="N10">
        <v>1203.5999999999999</v>
      </c>
      <c r="O10">
        <f t="shared" si="2"/>
        <v>1.2036</v>
      </c>
      <c r="T10">
        <v>1221.846834973021</v>
      </c>
      <c r="Y10" s="17">
        <v>30</v>
      </c>
      <c r="Z10" s="17" t="s">
        <v>291</v>
      </c>
      <c r="AA10" s="17">
        <v>9</v>
      </c>
      <c r="AB10" s="18">
        <v>144.89909959999997</v>
      </c>
      <c r="AC10" s="18"/>
      <c r="AD10" s="19">
        <v>26.500041666666689</v>
      </c>
      <c r="AE10" s="18">
        <v>148.1895749</v>
      </c>
      <c r="AF10" s="88"/>
      <c r="AG10" s="89"/>
      <c r="AH10" s="20">
        <v>1634.4158026999953</v>
      </c>
      <c r="AI10" s="21"/>
      <c r="AJ10" s="21">
        <f t="shared" si="7"/>
        <v>1634.4158026999953</v>
      </c>
      <c r="AK10" s="22">
        <f t="shared" si="3"/>
        <v>4.9396524966666666</v>
      </c>
      <c r="AL10">
        <v>1604.8736976595621</v>
      </c>
      <c r="AM10">
        <v>0</v>
      </c>
      <c r="BD10" s="17">
        <v>30</v>
      </c>
      <c r="BE10" s="17" t="s">
        <v>291</v>
      </c>
      <c r="BF10" s="17">
        <v>9</v>
      </c>
      <c r="BG10" s="18">
        <v>144.89909959999997</v>
      </c>
      <c r="BH10" s="18"/>
      <c r="BI10" s="19">
        <v>26.500041666666689</v>
      </c>
      <c r="BJ10" s="18">
        <v>148.1895749</v>
      </c>
      <c r="BK10" s="88"/>
      <c r="BL10" s="89"/>
      <c r="BM10" s="20">
        <v>1634.4158026999953</v>
      </c>
      <c r="BN10" s="21"/>
      <c r="BO10" s="21">
        <f t="shared" si="4"/>
        <v>1634.4158026999953</v>
      </c>
      <c r="BP10" s="22">
        <f t="shared" si="5"/>
        <v>4.9396524966666666</v>
      </c>
      <c r="BQ10" s="186">
        <f t="shared" si="6"/>
        <v>2808.4736976595623</v>
      </c>
    </row>
    <row r="11" spans="1:76" x14ac:dyDescent="0.35">
      <c r="A11" s="17">
        <v>31</v>
      </c>
      <c r="B11" s="17" t="s">
        <v>602</v>
      </c>
      <c r="C11" s="17">
        <v>10</v>
      </c>
      <c r="D11" s="18">
        <v>160</v>
      </c>
      <c r="E11" s="18">
        <v>50.5</v>
      </c>
      <c r="F11" s="19">
        <v>26.6</v>
      </c>
      <c r="G11" s="18">
        <v>187.1</v>
      </c>
      <c r="H11" s="88">
        <v>177</v>
      </c>
      <c r="I11" s="89">
        <v>1677</v>
      </c>
      <c r="J11" s="20">
        <v>1521.7415286427974</v>
      </c>
      <c r="K11" s="24">
        <f t="shared" si="0"/>
        <v>0.70705339186437499</v>
      </c>
      <c r="L11" s="21">
        <v>1530</v>
      </c>
      <c r="M11" s="22">
        <f t="shared" si="1"/>
        <v>6.0354838709677416</v>
      </c>
      <c r="N11">
        <v>1489.2</v>
      </c>
      <c r="O11">
        <f t="shared" si="2"/>
        <v>1.4892000000000001</v>
      </c>
      <c r="T11">
        <v>1511.0893379422978</v>
      </c>
      <c r="Y11" s="17">
        <v>31</v>
      </c>
      <c r="Z11" s="17" t="s">
        <v>296</v>
      </c>
      <c r="AA11" s="17">
        <v>10</v>
      </c>
      <c r="AB11" s="18">
        <v>162.49946420000006</v>
      </c>
      <c r="AC11" s="18"/>
      <c r="AD11" s="19">
        <v>26.199919354838716</v>
      </c>
      <c r="AE11" s="18">
        <v>176.09892420000006</v>
      </c>
      <c r="AF11" s="88"/>
      <c r="AG11" s="89"/>
      <c r="AH11" s="20">
        <v>1797.7068845999879</v>
      </c>
      <c r="AI11" s="21"/>
      <c r="AJ11" s="21">
        <f t="shared" si="7"/>
        <v>1797.7068845999879</v>
      </c>
      <c r="AK11" s="22">
        <f t="shared" si="3"/>
        <v>5.6806104580645176</v>
      </c>
      <c r="AL11">
        <v>1897.0447787276833</v>
      </c>
      <c r="BD11" s="17">
        <v>31</v>
      </c>
      <c r="BE11" s="17" t="s">
        <v>296</v>
      </c>
      <c r="BF11" s="17">
        <v>10</v>
      </c>
      <c r="BG11" s="18">
        <v>162.49946420000006</v>
      </c>
      <c r="BH11" s="18"/>
      <c r="BI11" s="19">
        <v>26.199919354838716</v>
      </c>
      <c r="BJ11" s="18">
        <v>176.09892420000006</v>
      </c>
      <c r="BK11" s="88"/>
      <c r="BL11" s="89"/>
      <c r="BM11" s="20">
        <v>1797.7068845999879</v>
      </c>
      <c r="BN11" s="21"/>
      <c r="BO11" s="21">
        <f t="shared" si="4"/>
        <v>1797.7068845999879</v>
      </c>
      <c r="BP11" s="22">
        <f t="shared" si="5"/>
        <v>5.6806104580645176</v>
      </c>
      <c r="BQ11" s="186">
        <f t="shared" si="6"/>
        <v>3386.2447787276833</v>
      </c>
    </row>
    <row r="12" spans="1:76" x14ac:dyDescent="0.35">
      <c r="A12" s="17">
        <v>30</v>
      </c>
      <c r="B12" s="17" t="s">
        <v>603</v>
      </c>
      <c r="C12" s="17">
        <v>11</v>
      </c>
      <c r="D12" s="18">
        <v>147.9</v>
      </c>
      <c r="E12" s="18">
        <v>36.9</v>
      </c>
      <c r="F12" s="19">
        <v>24.86</v>
      </c>
      <c r="G12" s="18">
        <v>192.4</v>
      </c>
      <c r="H12" s="88">
        <v>182.7</v>
      </c>
      <c r="I12" s="89">
        <v>1726</v>
      </c>
      <c r="J12" s="20">
        <v>1566.2050557170353</v>
      </c>
      <c r="K12" s="24">
        <f t="shared" si="0"/>
        <v>0.70766653488609232</v>
      </c>
      <c r="L12" s="21">
        <v>1520</v>
      </c>
      <c r="M12" s="22">
        <f t="shared" si="1"/>
        <v>6.4133333333333331</v>
      </c>
      <c r="N12">
        <v>1532.5</v>
      </c>
      <c r="O12">
        <f t="shared" si="2"/>
        <v>1.5325</v>
      </c>
      <c r="T12">
        <v>1555.2416203270159</v>
      </c>
      <c r="Y12" s="17">
        <v>30</v>
      </c>
      <c r="Z12" s="17" t="s">
        <v>301</v>
      </c>
      <c r="AA12" s="17">
        <v>11</v>
      </c>
      <c r="AB12" s="18">
        <v>148.69926950000007</v>
      </c>
      <c r="AC12" s="18"/>
      <c r="AD12" s="19">
        <v>24.000069444444438</v>
      </c>
      <c r="AE12" s="18">
        <v>169.40124190000009</v>
      </c>
      <c r="AF12" s="88"/>
      <c r="AG12" s="89"/>
      <c r="AH12" s="20">
        <v>1875.8173360999908</v>
      </c>
      <c r="AI12" s="21"/>
      <c r="AJ12" s="21">
        <f t="shared" si="7"/>
        <v>1875.8173360999908</v>
      </c>
      <c r="AK12" s="22">
        <f t="shared" si="3"/>
        <v>5.6467080633333362</v>
      </c>
      <c r="AL12">
        <v>1842.1150404406171</v>
      </c>
      <c r="BD12" s="17">
        <v>30</v>
      </c>
      <c r="BE12" s="17" t="s">
        <v>301</v>
      </c>
      <c r="BF12" s="17">
        <v>11</v>
      </c>
      <c r="BG12" s="18">
        <v>148.69926950000007</v>
      </c>
      <c r="BH12" s="18"/>
      <c r="BI12" s="19">
        <v>24.000069444444438</v>
      </c>
      <c r="BJ12" s="18">
        <v>169.40124190000009</v>
      </c>
      <c r="BK12" s="88"/>
      <c r="BL12" s="89"/>
      <c r="BM12" s="20">
        <v>1875.8173360999908</v>
      </c>
      <c r="BN12" s="21"/>
      <c r="BO12" s="21">
        <f t="shared" si="4"/>
        <v>1875.8173360999908</v>
      </c>
      <c r="BP12" s="22">
        <f t="shared" si="5"/>
        <v>5.6467080633333362</v>
      </c>
      <c r="BQ12" s="186">
        <f t="shared" si="6"/>
        <v>3374.6150404406171</v>
      </c>
    </row>
    <row r="13" spans="1:76" x14ac:dyDescent="0.35">
      <c r="A13" s="17">
        <v>31</v>
      </c>
      <c r="B13" s="17" t="s">
        <v>604</v>
      </c>
      <c r="C13" s="17">
        <v>12</v>
      </c>
      <c r="D13" s="18">
        <v>144.5</v>
      </c>
      <c r="E13" s="18">
        <v>33.200000000000003</v>
      </c>
      <c r="F13" s="19">
        <v>22.67</v>
      </c>
      <c r="G13" s="18">
        <v>200.9</v>
      </c>
      <c r="H13" s="90">
        <v>191</v>
      </c>
      <c r="I13" s="91">
        <v>1819</v>
      </c>
      <c r="J13" s="20">
        <v>1650.5950152660994</v>
      </c>
      <c r="K13" s="24">
        <f t="shared" si="0"/>
        <v>0.71424251397875582</v>
      </c>
      <c r="L13" s="21">
        <v>1660</v>
      </c>
      <c r="M13" s="22">
        <f t="shared" si="1"/>
        <v>6.4806451612903224</v>
      </c>
      <c r="N13">
        <v>1618.3000000000002</v>
      </c>
      <c r="O13">
        <f t="shared" si="2"/>
        <v>1.6183000000000001</v>
      </c>
      <c r="T13">
        <v>1639.0408501592367</v>
      </c>
      <c r="Y13" s="17">
        <v>31</v>
      </c>
      <c r="Z13" s="17" t="s">
        <v>306</v>
      </c>
      <c r="AA13" s="17">
        <v>12</v>
      </c>
      <c r="AB13" s="18">
        <v>145.80132379999998</v>
      </c>
      <c r="AC13" s="18"/>
      <c r="AD13" s="19">
        <v>21.788844086021509</v>
      </c>
      <c r="AE13" s="18">
        <v>170.37201700000006</v>
      </c>
      <c r="AF13" s="90"/>
      <c r="AG13" s="91"/>
      <c r="AH13" s="20">
        <v>1805.8564542999927</v>
      </c>
      <c r="AI13" s="21"/>
      <c r="AJ13" s="21">
        <f t="shared" si="7"/>
        <v>1805.8564542999927</v>
      </c>
      <c r="AK13" s="22">
        <f t="shared" si="3"/>
        <v>5.4958715161290339</v>
      </c>
      <c r="AL13">
        <v>1863.2797245476409</v>
      </c>
      <c r="BD13" s="17">
        <v>31</v>
      </c>
      <c r="BE13" s="17" t="s">
        <v>306</v>
      </c>
      <c r="BF13" s="17">
        <v>12</v>
      </c>
      <c r="BG13" s="18">
        <v>145.80132379999998</v>
      </c>
      <c r="BH13" s="18"/>
      <c r="BI13" s="19">
        <v>21.788844086021509</v>
      </c>
      <c r="BJ13" s="18">
        <v>170.37201700000006</v>
      </c>
      <c r="BK13" s="90"/>
      <c r="BL13" s="91"/>
      <c r="BM13" s="20">
        <v>1805.8564542999927</v>
      </c>
      <c r="BN13" s="21"/>
      <c r="BO13" s="21">
        <f t="shared" si="4"/>
        <v>1805.8564542999927</v>
      </c>
      <c r="BP13" s="22">
        <f t="shared" si="5"/>
        <v>5.4958715161290339</v>
      </c>
      <c r="BQ13" s="186">
        <f t="shared" si="6"/>
        <v>3481.579724547641</v>
      </c>
    </row>
    <row r="14" spans="1:76" x14ac:dyDescent="0.35">
      <c r="A14" s="17">
        <f>SUM(A2:A13)</f>
        <v>365</v>
      </c>
      <c r="B14" s="17" t="s">
        <v>605</v>
      </c>
      <c r="C14" s="17"/>
      <c r="D14" s="18">
        <f>SUM(D2:D13)</f>
        <v>1933</v>
      </c>
      <c r="E14" s="18">
        <f>SUM(E2:E13)</f>
        <v>645.9</v>
      </c>
      <c r="F14" s="19">
        <f>AVERAGE(F2:F13)</f>
        <v>26.367500000000003</v>
      </c>
      <c r="G14" s="18">
        <f>SUM(G2:G13)</f>
        <v>2166.6</v>
      </c>
      <c r="H14" s="18"/>
      <c r="I14" s="20"/>
      <c r="J14" s="20">
        <f>SUM(J2:J13)</f>
        <v>17593.945437599999</v>
      </c>
      <c r="K14" s="24">
        <f>J14/G14/$Q$1</f>
        <v>0.70594295209083369</v>
      </c>
      <c r="L14" s="21">
        <f>SUM(L2:L13)</f>
        <v>17400</v>
      </c>
      <c r="M14" s="22">
        <f>G14/A14</f>
        <v>5.9358904109589039</v>
      </c>
      <c r="T14">
        <v>17470.787819536803</v>
      </c>
      <c r="Y14" s="17">
        <v>365</v>
      </c>
      <c r="Z14" s="17" t="s">
        <v>39</v>
      </c>
      <c r="AA14" s="17"/>
      <c r="AB14" s="18">
        <v>1936.8998438000008</v>
      </c>
      <c r="AC14" s="18">
        <v>0</v>
      </c>
      <c r="AD14" s="19">
        <v>26.899073999402628</v>
      </c>
      <c r="AE14" s="18">
        <v>2034.1561774000006</v>
      </c>
      <c r="AF14" s="18"/>
      <c r="AG14" s="20"/>
      <c r="AH14" s="20">
        <v>21852.213646299911</v>
      </c>
      <c r="AI14" s="21"/>
      <c r="AJ14" s="21">
        <f>SUM(AJ2:AJ13)</f>
        <v>21919.88339589992</v>
      </c>
      <c r="AK14" s="22">
        <f t="shared" si="3"/>
        <v>5.5730306230137003</v>
      </c>
      <c r="BD14" s="17">
        <v>365</v>
      </c>
      <c r="BE14" s="17" t="s">
        <v>39</v>
      </c>
      <c r="BF14" s="17"/>
      <c r="BG14" s="18">
        <v>1936.8998438000008</v>
      </c>
      <c r="BH14" s="18">
        <v>0</v>
      </c>
      <c r="BI14" s="19">
        <v>26.899073999402628</v>
      </c>
      <c r="BJ14" s="18">
        <v>2034.1561774000006</v>
      </c>
      <c r="BK14" s="90"/>
      <c r="BL14" s="91"/>
      <c r="BM14" s="20">
        <v>21852.213646299911</v>
      </c>
      <c r="BN14" s="21"/>
      <c r="BO14" s="21">
        <f>SUM(BO2:BO13)</f>
        <v>21852.213646299911</v>
      </c>
      <c r="BP14" s="22">
        <f t="shared" si="5"/>
        <v>5.5730306230137003</v>
      </c>
      <c r="BQ14" s="186">
        <f>SUM(BQ2:BQ13)</f>
        <v>39020.421881089722</v>
      </c>
    </row>
    <row r="16" spans="1:76" x14ac:dyDescent="0.35">
      <c r="B16">
        <v>2</v>
      </c>
      <c r="C16" s="56">
        <f>B16+1</f>
        <v>3</v>
      </c>
      <c r="D16" s="56">
        <f t="shared" ref="D16:U16" si="8">C16+1</f>
        <v>4</v>
      </c>
      <c r="E16" s="56">
        <f t="shared" si="8"/>
        <v>5</v>
      </c>
      <c r="F16" s="56">
        <f t="shared" si="8"/>
        <v>6</v>
      </c>
      <c r="G16" s="56">
        <f t="shared" si="8"/>
        <v>7</v>
      </c>
      <c r="H16" s="56">
        <f t="shared" si="8"/>
        <v>8</v>
      </c>
      <c r="I16" s="56">
        <f t="shared" si="8"/>
        <v>9</v>
      </c>
      <c r="J16" s="56">
        <f t="shared" si="8"/>
        <v>10</v>
      </c>
      <c r="K16" s="56">
        <f t="shared" si="8"/>
        <v>11</v>
      </c>
      <c r="L16" s="56">
        <f t="shared" si="8"/>
        <v>12</v>
      </c>
      <c r="M16" s="56">
        <f t="shared" si="8"/>
        <v>13</v>
      </c>
      <c r="N16" s="56">
        <f t="shared" si="8"/>
        <v>14</v>
      </c>
      <c r="O16" s="56">
        <f t="shared" si="8"/>
        <v>15</v>
      </c>
      <c r="P16" s="56">
        <f t="shared" si="8"/>
        <v>16</v>
      </c>
      <c r="Q16" s="56">
        <f t="shared" si="8"/>
        <v>17</v>
      </c>
      <c r="R16" s="56">
        <f t="shared" si="8"/>
        <v>18</v>
      </c>
      <c r="S16" s="56">
        <f t="shared" si="8"/>
        <v>19</v>
      </c>
      <c r="T16" s="56">
        <f t="shared" si="8"/>
        <v>20</v>
      </c>
      <c r="U16" s="56">
        <f t="shared" si="8"/>
        <v>21</v>
      </c>
      <c r="V16" s="56"/>
      <c r="Z16">
        <v>2</v>
      </c>
      <c r="AA16" s="56">
        <f t="shared" ref="AA16:AS16" si="9">Z16+1</f>
        <v>3</v>
      </c>
      <c r="AB16" s="56">
        <f t="shared" si="9"/>
        <v>4</v>
      </c>
      <c r="AC16" s="56">
        <f t="shared" si="9"/>
        <v>5</v>
      </c>
      <c r="AD16" s="56">
        <f t="shared" si="9"/>
        <v>6</v>
      </c>
      <c r="AE16" s="56">
        <f t="shared" si="9"/>
        <v>7</v>
      </c>
      <c r="AF16" s="56">
        <f t="shared" si="9"/>
        <v>8</v>
      </c>
      <c r="AG16" s="56">
        <f t="shared" si="9"/>
        <v>9</v>
      </c>
      <c r="AH16" s="56">
        <f t="shared" si="9"/>
        <v>10</v>
      </c>
      <c r="AI16" s="56">
        <f t="shared" si="9"/>
        <v>11</v>
      </c>
      <c r="AJ16" s="56">
        <f t="shared" si="9"/>
        <v>12</v>
      </c>
      <c r="AK16" s="56">
        <f t="shared" si="9"/>
        <v>13</v>
      </c>
      <c r="AL16" s="56">
        <f t="shared" si="9"/>
        <v>14</v>
      </c>
      <c r="AM16" s="56">
        <f t="shared" si="9"/>
        <v>15</v>
      </c>
      <c r="AN16" s="56">
        <f t="shared" si="9"/>
        <v>16</v>
      </c>
      <c r="AO16" s="56">
        <f t="shared" si="9"/>
        <v>17</v>
      </c>
      <c r="AP16" s="56">
        <f t="shared" si="9"/>
        <v>18</v>
      </c>
      <c r="AQ16" s="56">
        <f t="shared" si="9"/>
        <v>19</v>
      </c>
      <c r="AR16" s="56">
        <f t="shared" si="9"/>
        <v>20</v>
      </c>
      <c r="AS16" s="56">
        <f t="shared" si="9"/>
        <v>21</v>
      </c>
      <c r="BE16">
        <v>2</v>
      </c>
      <c r="BF16" s="56">
        <f t="shared" ref="BF16:BX16" si="10">BE16+1</f>
        <v>3</v>
      </c>
      <c r="BG16" s="56">
        <f t="shared" si="10"/>
        <v>4</v>
      </c>
      <c r="BH16" s="56">
        <f t="shared" si="10"/>
        <v>5</v>
      </c>
      <c r="BI16" s="56">
        <f t="shared" si="10"/>
        <v>6</v>
      </c>
      <c r="BJ16" s="56">
        <f t="shared" si="10"/>
        <v>7</v>
      </c>
      <c r="BK16" s="56">
        <f t="shared" si="10"/>
        <v>8</v>
      </c>
      <c r="BL16" s="56">
        <f t="shared" si="10"/>
        <v>9</v>
      </c>
      <c r="BM16" s="56">
        <f t="shared" si="10"/>
        <v>10</v>
      </c>
      <c r="BN16" s="56">
        <f t="shared" si="10"/>
        <v>11</v>
      </c>
      <c r="BO16" s="56">
        <f t="shared" si="10"/>
        <v>12</v>
      </c>
      <c r="BP16" s="56">
        <f t="shared" si="10"/>
        <v>13</v>
      </c>
      <c r="BQ16" s="56">
        <f t="shared" si="10"/>
        <v>14</v>
      </c>
      <c r="BR16" s="56">
        <f t="shared" si="10"/>
        <v>15</v>
      </c>
      <c r="BS16" s="56">
        <f t="shared" si="10"/>
        <v>16</v>
      </c>
      <c r="BT16" s="56">
        <f t="shared" si="10"/>
        <v>17</v>
      </c>
      <c r="BU16" s="56">
        <f t="shared" si="10"/>
        <v>18</v>
      </c>
      <c r="BV16" s="56">
        <f t="shared" si="10"/>
        <v>19</v>
      </c>
      <c r="BW16" s="56">
        <f t="shared" si="10"/>
        <v>20</v>
      </c>
      <c r="BX16" s="56">
        <f t="shared" si="10"/>
        <v>21</v>
      </c>
    </row>
    <row r="17" spans="1:86" ht="54" x14ac:dyDescent="0.35">
      <c r="A17" s="29" t="s">
        <v>72</v>
      </c>
      <c r="B17" s="30" t="s">
        <v>117</v>
      </c>
      <c r="C17" s="30" t="s">
        <v>116</v>
      </c>
      <c r="D17" s="30" t="s">
        <v>118</v>
      </c>
      <c r="E17" s="30" t="s">
        <v>119</v>
      </c>
      <c r="F17" s="30" t="s">
        <v>120</v>
      </c>
      <c r="G17" s="30" t="s">
        <v>75</v>
      </c>
      <c r="H17" s="30" t="s">
        <v>606</v>
      </c>
      <c r="I17" s="31" t="s">
        <v>248</v>
      </c>
      <c r="J17" s="31" t="s">
        <v>607</v>
      </c>
      <c r="K17" s="31" t="s">
        <v>608</v>
      </c>
      <c r="L17" s="31" t="s">
        <v>609</v>
      </c>
      <c r="M17" s="30" t="s">
        <v>610</v>
      </c>
      <c r="N17" s="30" t="s">
        <v>611</v>
      </c>
      <c r="O17" s="30" t="s">
        <v>612</v>
      </c>
      <c r="P17" s="30" t="s">
        <v>613</v>
      </c>
      <c r="Q17" s="30" t="s">
        <v>614</v>
      </c>
      <c r="R17" s="30" t="s">
        <v>615</v>
      </c>
      <c r="S17" s="30" t="s">
        <v>616</v>
      </c>
      <c r="T17" s="30" t="s">
        <v>617</v>
      </c>
      <c r="U17" s="32" t="s">
        <v>618</v>
      </c>
      <c r="V17" s="30" t="s">
        <v>619</v>
      </c>
      <c r="Y17" s="29" t="s">
        <v>72</v>
      </c>
      <c r="Z17" s="30" t="s">
        <v>117</v>
      </c>
      <c r="AA17" s="30" t="s">
        <v>116</v>
      </c>
      <c r="AB17" s="30" t="s">
        <v>118</v>
      </c>
      <c r="AC17" s="30" t="s">
        <v>119</v>
      </c>
      <c r="AD17" s="30" t="s">
        <v>120</v>
      </c>
      <c r="AE17" s="30" t="s">
        <v>75</v>
      </c>
      <c r="AF17" s="30" t="s">
        <v>606</v>
      </c>
      <c r="AG17" s="31" t="s">
        <v>248</v>
      </c>
      <c r="AH17" s="31" t="s">
        <v>607</v>
      </c>
      <c r="AI17" s="31" t="s">
        <v>608</v>
      </c>
      <c r="AJ17" s="31" t="s">
        <v>609</v>
      </c>
      <c r="AK17" s="30" t="s">
        <v>610</v>
      </c>
      <c r="AL17" s="30" t="s">
        <v>611</v>
      </c>
      <c r="AM17" s="30" t="s">
        <v>612</v>
      </c>
      <c r="AN17" s="30" t="s">
        <v>613</v>
      </c>
      <c r="AO17" s="30" t="s">
        <v>614</v>
      </c>
      <c r="AP17" s="30" t="s">
        <v>615</v>
      </c>
      <c r="AQ17" s="30" t="s">
        <v>616</v>
      </c>
      <c r="AR17" s="30" t="s">
        <v>617</v>
      </c>
      <c r="AS17" s="32" t="s">
        <v>618</v>
      </c>
      <c r="AT17" s="30" t="s">
        <v>620</v>
      </c>
      <c r="AU17" s="30" t="s">
        <v>621</v>
      </c>
      <c r="AV17" s="30" t="s">
        <v>622</v>
      </c>
      <c r="AW17" s="30" t="s">
        <v>623</v>
      </c>
      <c r="BD17" s="29" t="s">
        <v>72</v>
      </c>
      <c r="BE17" s="30" t="s">
        <v>117</v>
      </c>
      <c r="BF17" s="30" t="s">
        <v>116</v>
      </c>
      <c r="BG17" s="30" t="s">
        <v>118</v>
      </c>
      <c r="BH17" s="30" t="s">
        <v>119</v>
      </c>
      <c r="BI17" s="30" t="s">
        <v>120</v>
      </c>
      <c r="BJ17" s="30" t="s">
        <v>75</v>
      </c>
      <c r="BK17" s="30" t="s">
        <v>606</v>
      </c>
      <c r="BL17" s="31" t="s">
        <v>248</v>
      </c>
      <c r="BM17" s="31" t="s">
        <v>607</v>
      </c>
      <c r="BN17" s="31" t="s">
        <v>608</v>
      </c>
      <c r="BO17" s="31" t="s">
        <v>609</v>
      </c>
      <c r="BP17" s="30" t="s">
        <v>610</v>
      </c>
      <c r="BQ17" s="30" t="s">
        <v>611</v>
      </c>
      <c r="BR17" s="30" t="s">
        <v>612</v>
      </c>
      <c r="BS17" s="30" t="s">
        <v>613</v>
      </c>
      <c r="BT17" s="30" t="s">
        <v>614</v>
      </c>
      <c r="BU17" s="30" t="s">
        <v>615</v>
      </c>
      <c r="BV17" s="30" t="s">
        <v>616</v>
      </c>
      <c r="BW17" s="30" t="s">
        <v>617</v>
      </c>
      <c r="BX17" s="32" t="s">
        <v>618</v>
      </c>
      <c r="BY17" s="30" t="s">
        <v>620</v>
      </c>
      <c r="BZ17" s="30" t="s">
        <v>621</v>
      </c>
      <c r="CA17" s="30" t="s">
        <v>622</v>
      </c>
      <c r="CB17" s="30" t="s">
        <v>623</v>
      </c>
      <c r="CG17" t="s">
        <v>624</v>
      </c>
      <c r="CH17" t="s">
        <v>625</v>
      </c>
    </row>
    <row r="18" spans="1:86" x14ac:dyDescent="0.35">
      <c r="A18" s="27">
        <v>45017</v>
      </c>
      <c r="B18" s="5">
        <f>MONTH(Modelling_old[[#This Row],[Date]])</f>
        <v>4</v>
      </c>
      <c r="C18" s="25">
        <f t="shared" ref="C18:C81" si="11">YEAR(A18)+(MONTH(A18)&gt;=B18)</f>
        <v>2024</v>
      </c>
      <c r="D18" s="3">
        <f t="shared" ref="D18:D81" si="12">YEAR(A18)</f>
        <v>2023</v>
      </c>
      <c r="E18" s="3" t="s">
        <v>626</v>
      </c>
      <c r="F18" s="5" t="s">
        <v>626</v>
      </c>
      <c r="G18" s="102">
        <v>45017</v>
      </c>
      <c r="H18" s="5">
        <f t="shared" ref="H18:H81" si="13">DAY(EOMONTH(G18,0))</f>
        <v>30</v>
      </c>
      <c r="I18" s="5">
        <f t="shared" ref="I18:I81" si="14">MONTH(A18)</f>
        <v>4</v>
      </c>
      <c r="J18" s="4">
        <f t="shared" ref="J18:J81" si="15">VLOOKUP(I18,$C$2:$L$13,10,0)/H18</f>
        <v>50.666666666666664</v>
      </c>
      <c r="K18" s="4">
        <f>SUM($J$18:J18)</f>
        <v>50.666666666666664</v>
      </c>
      <c r="L18" s="4">
        <f>SUM($J$18:J18)</f>
        <v>50.666666666666664</v>
      </c>
      <c r="M18" s="4">
        <f t="shared" ref="M18:M81" si="16">VLOOKUP(I18,$C$2:$M$13,11,0)</f>
        <v>6.6233333333333331</v>
      </c>
      <c r="N18" s="4">
        <f>SUM($M$18:M18)</f>
        <v>6.6233333333333331</v>
      </c>
      <c r="O18" s="4">
        <f>SUM($M$18:M18)</f>
        <v>6.6233333333333331</v>
      </c>
      <c r="P18" s="9">
        <f t="shared" ref="P18:P81" si="17">J18/$Q$1/M18</f>
        <v>0.66501405715026674</v>
      </c>
      <c r="Q18" s="26">
        <f t="shared" ref="Q18:R33" si="18">K18/N18/$Q$1</f>
        <v>0.66501405715026674</v>
      </c>
      <c r="R18" s="26">
        <f t="shared" si="18"/>
        <v>0.66501405715026674</v>
      </c>
      <c r="S18" s="9">
        <f t="shared" ref="S18:S81" si="19">J18/(24*$Q$1)</f>
        <v>0.18352540716077503</v>
      </c>
      <c r="T18" s="9">
        <f>K18/((COUNT($K$18:K18))*24*$Q$1)</f>
        <v>0.18352540716077503</v>
      </c>
      <c r="U18" s="28">
        <f>L18/((COUNT($L$18:L18))*24*$Q$1)</f>
        <v>0.18352540716077503</v>
      </c>
      <c r="V18" s="134">
        <v>11.5031</v>
      </c>
      <c r="Y18" s="27">
        <f>Modelling_old[[#This Row],[Date]]</f>
        <v>45017</v>
      </c>
      <c r="Z18" s="5">
        <f>MONTH(Modelling_new[[#This Row],[Date]])</f>
        <v>4</v>
      </c>
      <c r="AA18" s="25">
        <f>YEAR(Y18)+IF(MONTH(Modelling_new[[#This Row],[Date]])&gt;=4,1,0)</f>
        <v>2024</v>
      </c>
      <c r="AB18" s="3">
        <f t="shared" ref="AB18:AB81" si="20">YEAR(Y18)</f>
        <v>2023</v>
      </c>
      <c r="AC18" s="3" t="s">
        <v>626</v>
      </c>
      <c r="AD18" s="5" t="s">
        <v>626</v>
      </c>
      <c r="AE18" s="102">
        <v>45017</v>
      </c>
      <c r="AF18" s="5">
        <f t="shared" ref="AF18:AF81" si="21">DAY(EOMONTH(AE18,0))</f>
        <v>30</v>
      </c>
      <c r="AG18" s="5">
        <f t="shared" ref="AG18:AG81" si="22">MONTH(Y18)</f>
        <v>4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BD18" s="27">
        <f>Modelling_old[[#This Row],[Date]]</f>
        <v>45017</v>
      </c>
      <c r="BE18" s="5">
        <f>MONTH(Modelling[[#This Row],[Date]])</f>
        <v>4</v>
      </c>
      <c r="BF18" s="25">
        <f>YEAR(BD18)+IF(MONTH(Modelling[[#This Row],[Date]])&gt;=4,1,0)</f>
        <v>2024</v>
      </c>
      <c r="BG18" s="3">
        <f t="shared" ref="BG18:BG81" si="23">YEAR(BD18)</f>
        <v>2023</v>
      </c>
      <c r="BH18" s="3" t="s">
        <v>626</v>
      </c>
      <c r="BI18" s="5" t="s">
        <v>626</v>
      </c>
      <c r="BJ18" s="102">
        <v>45017</v>
      </c>
      <c r="BK18" s="5">
        <f t="shared" ref="BK18:BK81" si="24">DAY(EOMONTH(BJ18,0))</f>
        <v>30</v>
      </c>
      <c r="BL18" s="5">
        <f t="shared" ref="BL18:BL81" si="25">MONTH(BD18)</f>
        <v>4</v>
      </c>
      <c r="BM18" s="4">
        <f>Modelling_old[[#This Row],[Target E_Grid daily
MWh]]+Modelling_new[[#This Row],[Target E_Grid daily
MWh]]</f>
        <v>50.666666666666664</v>
      </c>
      <c r="BN18" s="4">
        <f>Modelling_old[[#This Row],[Target E_Grid MTD
MWh]]+Modelling_new[[#This Row],[Target E_Grid MTD
MWh]]</f>
        <v>50.666666666666664</v>
      </c>
      <c r="BO18" s="4">
        <f>Modelling_old[[#This Row],[Target E_Grid YTD
MWh]]+Modelling_new[[#This Row],[Target E_Grid YTD
MWh]]</f>
        <v>50.666666666666664</v>
      </c>
      <c r="BP1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18" s="4">
        <f>SUMIFS(Modelling[Target POA Daily (KWh/m2)],Modelling[Date],"&lt;="&amp;Modelling[[#This Row],[Date]],Modelling[Month Year],Modelling[[#This Row],[Month Year]])</f>
        <v>6.6233333333333331</v>
      </c>
      <c r="BR18" s="4">
        <f>SUMIFS(Modelling[Target POA Daily (KWh/m2)],Modelling[Date],"&lt;="&amp;Modelling[[#This Row],[Date]],Modelling[Finacial Year],Modelling[[#This Row],[Finacial Year]])</f>
        <v>6.6233333333333331</v>
      </c>
      <c r="BS18" s="9">
        <f>BM18/Modelling[[#This Row],[Comisined DC ]]/BP18</f>
        <v>0.66501405715026674</v>
      </c>
      <c r="BT18" s="9">
        <f>BN18/BQ18/Modelling[[#This Row],[Comisined DC ]]</f>
        <v>0.66501405715026674</v>
      </c>
      <c r="BU18" s="9">
        <f>BO18/BR18/Modelling[[#This Row],[Comisined DC ]]</f>
        <v>0.66501405715026674</v>
      </c>
      <c r="BV18" s="9">
        <f>BM18/(24*Modelling[[#This Row],[Comisined DC ]])</f>
        <v>0.18352540716077503</v>
      </c>
      <c r="BW18" s="9">
        <f>BN18/((COUNTIFS(Modelling[Date],"&lt;="&amp;Modelling[[#This Row],[Date]],Modelling[Month Year],Modelling[[#This Row],[Month Year]])*24*Modelling[[#This Row],[MTD DC Capcity]]))</f>
        <v>0.18352540716077503</v>
      </c>
      <c r="BX18" s="9">
        <f>BO18/((COUNTIFS(Modelling[Date],"&lt;="&amp;Modelling[[#This Row],[Date]],Modelling[Finacial Year],Modelling[[#This Row],[Finacial Year]])*24*Modelling[[#This Row],[MTD DC Capcity]]))</f>
        <v>0.18352540716077503</v>
      </c>
      <c r="BY18" s="4">
        <f>Modelling_old[[#This Row],[DC Capcity]]+Modelling_new[[#This Row],[Comisined DC ]]</f>
        <v>11.5031</v>
      </c>
      <c r="BZ18" s="4">
        <v>0</v>
      </c>
      <c r="CA18" s="4">
        <f>AVERAGEIFS(Modelling[[Comisined DC ]],Modelling[Date],"&lt;="&amp;Modelling[[#This Row],[Date]],Modelling[Month Year],Modelling[[#This Row],[Month Year]])</f>
        <v>11.5031</v>
      </c>
      <c r="CB18" s="4">
        <f>AVERAGEIFS(Modelling[[Comisined DC ]],Modelling[Date],"&lt;="&amp;Modelling[[#This Row],[Date]],Modelling[Finacial Year],Modelling[[#This Row],[Finacial Year]])</f>
        <v>11.5031</v>
      </c>
      <c r="CG18">
        <v>1</v>
      </c>
      <c r="CH18">
        <v>1</v>
      </c>
    </row>
    <row r="19" spans="1:86" x14ac:dyDescent="0.35">
      <c r="A19" s="27">
        <v>45018</v>
      </c>
      <c r="B19" s="5">
        <f>MONTH(Modelling_old[[#This Row],[Date]])</f>
        <v>4</v>
      </c>
      <c r="C19" s="25">
        <f t="shared" si="11"/>
        <v>2024</v>
      </c>
      <c r="D19" s="3">
        <f t="shared" si="12"/>
        <v>2023</v>
      </c>
      <c r="E19" s="3" t="s">
        <v>626</v>
      </c>
      <c r="F19" s="5" t="s">
        <v>626</v>
      </c>
      <c r="G19" s="102">
        <v>45017</v>
      </c>
      <c r="H19" s="5">
        <f t="shared" si="13"/>
        <v>30</v>
      </c>
      <c r="I19" s="5">
        <f t="shared" si="14"/>
        <v>4</v>
      </c>
      <c r="J19" s="4">
        <f>VLOOKUP(I19,$C$2:$L$13,10,0)/H19</f>
        <v>50.666666666666664</v>
      </c>
      <c r="K19" s="4">
        <f>SUM($J$18:J19)</f>
        <v>101.33333333333333</v>
      </c>
      <c r="L19" s="4">
        <f>SUM($J$18:J19)</f>
        <v>101.33333333333333</v>
      </c>
      <c r="M19" s="4">
        <f t="shared" si="16"/>
        <v>6.6233333333333331</v>
      </c>
      <c r="N19" s="4">
        <f>SUM($M$18:M19)</f>
        <v>13.246666666666666</v>
      </c>
      <c r="O19" s="4">
        <f>SUM($M$18:M19)</f>
        <v>13.246666666666666</v>
      </c>
      <c r="P19" s="9">
        <f t="shared" si="17"/>
        <v>0.66501405715026674</v>
      </c>
      <c r="Q19" s="26">
        <f t="shared" si="18"/>
        <v>0.66501405715026674</v>
      </c>
      <c r="R19" s="26">
        <f t="shared" si="18"/>
        <v>0.66501405715026674</v>
      </c>
      <c r="S19" s="9">
        <f t="shared" si="19"/>
        <v>0.18352540716077503</v>
      </c>
      <c r="T19" s="9">
        <f>K19/((COUNT($K$18:K19))*24*$Q$1)</f>
        <v>0.18352540716077503</v>
      </c>
      <c r="U19" s="28">
        <f>L19/((COUNT($L$18:L19))*24*$Q$1)</f>
        <v>0.18352540716077503</v>
      </c>
      <c r="V19" s="134">
        <v>11.5031</v>
      </c>
      <c r="Y19" s="27">
        <f>Y18+1</f>
        <v>45018</v>
      </c>
      <c r="Z19" s="5">
        <f>MONTH(Modelling_new[[#This Row],[Date]])</f>
        <v>4</v>
      </c>
      <c r="AA19" s="25">
        <f>YEAR(Y19)+IF(MONTH(Modelling_new[[#This Row],[Date]])&gt;=4,1,0)</f>
        <v>2024</v>
      </c>
      <c r="AB19" s="3">
        <f t="shared" si="20"/>
        <v>2023</v>
      </c>
      <c r="AC19" s="3" t="s">
        <v>626</v>
      </c>
      <c r="AD19" s="5" t="s">
        <v>626</v>
      </c>
      <c r="AE19" s="102">
        <v>45017</v>
      </c>
      <c r="AF19" s="5">
        <f t="shared" si="21"/>
        <v>30</v>
      </c>
      <c r="AG19" s="5">
        <f t="shared" si="22"/>
        <v>4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BD19" s="27">
        <f>BD18+1</f>
        <v>45018</v>
      </c>
      <c r="BE19" s="5">
        <f>MONTH(Modelling[[#This Row],[Date]])</f>
        <v>4</v>
      </c>
      <c r="BF19" s="25">
        <f>YEAR(BD19)+IF(MONTH(Modelling[[#This Row],[Date]])&gt;=4,1,0)</f>
        <v>2024</v>
      </c>
      <c r="BG19" s="3">
        <f t="shared" si="23"/>
        <v>2023</v>
      </c>
      <c r="BH19" s="3" t="s">
        <v>626</v>
      </c>
      <c r="BI19" s="5" t="s">
        <v>626</v>
      </c>
      <c r="BJ19" s="102">
        <v>45017</v>
      </c>
      <c r="BK19" s="5">
        <f t="shared" si="24"/>
        <v>30</v>
      </c>
      <c r="BL19" s="5">
        <f t="shared" si="25"/>
        <v>4</v>
      </c>
      <c r="BM19" s="4">
        <f>Modelling_old[[#This Row],[Target E_Grid daily
MWh]]+Modelling_new[[#This Row],[Target E_Grid daily
MWh]]</f>
        <v>50.666666666666664</v>
      </c>
      <c r="BN19" s="4">
        <f>Modelling_old[[#This Row],[Target E_Grid MTD
MWh]]+Modelling_new[[#This Row],[Target E_Grid MTD
MWh]]</f>
        <v>101.33333333333333</v>
      </c>
      <c r="BO19" s="4">
        <f>Modelling_old[[#This Row],[Target E_Grid YTD
MWh]]+Modelling_new[[#This Row],[Target E_Grid YTD
MWh]]</f>
        <v>101.33333333333333</v>
      </c>
      <c r="BP1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19" s="4">
        <f>SUMIFS(Modelling[Target POA Daily (KWh/m2)],Modelling[Date],"&lt;="&amp;Modelling[[#This Row],[Date]],Modelling[Month Year],Modelling[[#This Row],[Month Year]])</f>
        <v>13.246666666666666</v>
      </c>
      <c r="BR19" s="4">
        <f>SUMIFS(Modelling[Target POA Daily (KWh/m2)],Modelling[Date],"&lt;="&amp;Modelling[[#This Row],[Date]],Modelling[Finacial Year],Modelling[[#This Row],[Finacial Year]])</f>
        <v>13.246666666666666</v>
      </c>
      <c r="BS19" s="9">
        <f>BM19/Modelling[[#This Row],[Comisined DC ]]/BP19</f>
        <v>0.66501405715026674</v>
      </c>
      <c r="BT19" s="9">
        <f>BN19/BQ19/Modelling[[#This Row],[Comisined DC ]]</f>
        <v>0.66501405715026674</v>
      </c>
      <c r="BU19" s="9">
        <f>BO19/BR19/Modelling[[#This Row],[Comisined DC ]]</f>
        <v>0.66501405715026674</v>
      </c>
      <c r="BV19" s="9">
        <f>BM19/(24*Modelling[[#This Row],[Comisined DC ]])</f>
        <v>0.18352540716077503</v>
      </c>
      <c r="BW19" s="9">
        <f>BN19/((COUNTIFS(Modelling[Date],"&lt;="&amp;Modelling[[#This Row],[Date]],Modelling[Month Year],Modelling[[#This Row],[Month Year]])*24*Modelling[[#This Row],[MTD DC Capcity]]))</f>
        <v>0.18352540716077503</v>
      </c>
      <c r="BX19" s="28">
        <f>BO19/((COUNTIFS(Modelling[Date],"&lt;="&amp;Modelling[[#This Row],[Date]],Modelling[Finacial Year],Modelling[[#This Row],[Finacial Year]])*24*Modelling[[#This Row],[MTD DC Capcity]]))</f>
        <v>0.18352540716077503</v>
      </c>
      <c r="BY19" s="4">
        <f>Modelling_old[[#This Row],[DC Capcity]]+Modelling_new[[#This Row],[Comisined DC ]]</f>
        <v>11.5031</v>
      </c>
      <c r="BZ19" s="4">
        <v>0</v>
      </c>
      <c r="CA19" s="4">
        <f>AVERAGEIFS(Modelling[[Comisined DC ]],Modelling[Date],"&lt;="&amp;Modelling[[#This Row],[Date]],Modelling[Month Year],Modelling[[#This Row],[Month Year]])</f>
        <v>11.5031</v>
      </c>
      <c r="CB19" s="4">
        <f>AVERAGEIFS(Modelling[[Comisined DC ]],Modelling[Date],"&lt;="&amp;Modelling[[#This Row],[Date]],Modelling[Finacial Year],Modelling[[#This Row],[Finacial Year]])</f>
        <v>11.5031</v>
      </c>
      <c r="CG19">
        <f>CG18+1</f>
        <v>2</v>
      </c>
      <c r="CH19">
        <f>CH18+1</f>
        <v>2</v>
      </c>
    </row>
    <row r="20" spans="1:86" x14ac:dyDescent="0.35">
      <c r="A20" s="27">
        <v>45019</v>
      </c>
      <c r="B20" s="5">
        <f>MONTH(Modelling_old[[#This Row],[Date]])</f>
        <v>4</v>
      </c>
      <c r="C20" s="25">
        <f t="shared" si="11"/>
        <v>2024</v>
      </c>
      <c r="D20" s="3">
        <f t="shared" si="12"/>
        <v>2023</v>
      </c>
      <c r="E20" s="3" t="s">
        <v>626</v>
      </c>
      <c r="F20" s="5" t="s">
        <v>626</v>
      </c>
      <c r="G20" s="102">
        <v>45017</v>
      </c>
      <c r="H20" s="5">
        <f t="shared" si="13"/>
        <v>30</v>
      </c>
      <c r="I20" s="5">
        <f t="shared" si="14"/>
        <v>4</v>
      </c>
      <c r="J20" s="4">
        <f t="shared" si="15"/>
        <v>50.666666666666664</v>
      </c>
      <c r="K20" s="4">
        <f>SUM($J$18:J20)</f>
        <v>152</v>
      </c>
      <c r="L20" s="4">
        <f>SUM($J$18:J20)</f>
        <v>152</v>
      </c>
      <c r="M20" s="4">
        <f t="shared" si="16"/>
        <v>6.6233333333333331</v>
      </c>
      <c r="N20" s="4">
        <f>SUM($M$18:M20)</f>
        <v>19.869999999999997</v>
      </c>
      <c r="O20" s="4">
        <f>SUM($M$18:M20)</f>
        <v>19.869999999999997</v>
      </c>
      <c r="P20" s="9">
        <f t="shared" si="17"/>
        <v>0.66501405715026674</v>
      </c>
      <c r="Q20" s="26">
        <f t="shared" si="18"/>
        <v>0.66501405715026696</v>
      </c>
      <c r="R20" s="26">
        <f t="shared" si="18"/>
        <v>0.66501405715026696</v>
      </c>
      <c r="S20" s="9">
        <f t="shared" si="19"/>
        <v>0.18352540716077503</v>
      </c>
      <c r="T20" s="9">
        <f>K20/((COUNT($K$18:K20))*24*$Q$1)</f>
        <v>0.18352540716077501</v>
      </c>
      <c r="U20" s="28">
        <f>L20/((COUNT($L$18:L20))*24*$Q$1)</f>
        <v>0.18352540716077501</v>
      </c>
      <c r="V20" s="134">
        <v>11.5031</v>
      </c>
      <c r="Y20" s="27">
        <f t="shared" ref="Y20:Y83" si="26">Y19+1</f>
        <v>45019</v>
      </c>
      <c r="Z20" s="5">
        <f>MONTH(Modelling_new[[#This Row],[Date]])</f>
        <v>4</v>
      </c>
      <c r="AA20" s="25">
        <f>YEAR(Y20)+IF(MONTH(Modelling_new[[#This Row],[Date]])&gt;=4,1,0)</f>
        <v>2024</v>
      </c>
      <c r="AB20" s="3">
        <f t="shared" si="20"/>
        <v>2023</v>
      </c>
      <c r="AC20" s="3" t="s">
        <v>626</v>
      </c>
      <c r="AD20" s="5" t="s">
        <v>626</v>
      </c>
      <c r="AE20" s="102">
        <v>45017</v>
      </c>
      <c r="AF20" s="5">
        <f t="shared" si="21"/>
        <v>30</v>
      </c>
      <c r="AG20" s="5">
        <f t="shared" si="22"/>
        <v>4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BD20" s="27">
        <f t="shared" ref="BD20:BD83" si="27">BD19+1</f>
        <v>45019</v>
      </c>
      <c r="BE20" s="5">
        <f>MONTH(Modelling[[#This Row],[Date]])</f>
        <v>4</v>
      </c>
      <c r="BF20" s="25">
        <f>YEAR(BD20)+IF(MONTH(Modelling[[#This Row],[Date]])&gt;=4,1,0)</f>
        <v>2024</v>
      </c>
      <c r="BG20" s="3">
        <f t="shared" si="23"/>
        <v>2023</v>
      </c>
      <c r="BH20" s="3" t="s">
        <v>626</v>
      </c>
      <c r="BI20" s="5" t="s">
        <v>626</v>
      </c>
      <c r="BJ20" s="102">
        <v>45017</v>
      </c>
      <c r="BK20" s="5">
        <f t="shared" si="24"/>
        <v>30</v>
      </c>
      <c r="BL20" s="5">
        <f t="shared" si="25"/>
        <v>4</v>
      </c>
      <c r="BM20" s="4">
        <f>Modelling_old[[#This Row],[Target E_Grid daily
MWh]]+Modelling_new[[#This Row],[Target E_Grid daily
MWh]]</f>
        <v>50.666666666666664</v>
      </c>
      <c r="BN20" s="4">
        <f>Modelling_old[[#This Row],[Target E_Grid MTD
MWh]]+Modelling_new[[#This Row],[Target E_Grid MTD
MWh]]</f>
        <v>152</v>
      </c>
      <c r="BO20" s="4">
        <f>Modelling_old[[#This Row],[Target E_Grid YTD
MWh]]+Modelling_new[[#This Row],[Target E_Grid YTD
MWh]]</f>
        <v>152</v>
      </c>
      <c r="BP2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20" s="4">
        <f>SUMIFS(Modelling[Target POA Daily (KWh/m2)],Modelling[Date],"&lt;="&amp;Modelling[[#This Row],[Date]],Modelling[Month Year],Modelling[[#This Row],[Month Year]])</f>
        <v>19.869999999999997</v>
      </c>
      <c r="BR20" s="4">
        <f>SUMIFS(Modelling[Target POA Daily (KWh/m2)],Modelling[Date],"&lt;="&amp;Modelling[[#This Row],[Date]],Modelling[Finacial Year],Modelling[[#This Row],[Finacial Year]])</f>
        <v>19.869999999999997</v>
      </c>
      <c r="BS20" s="9">
        <f>BM20/Modelling[[#This Row],[Comisined DC ]]/BP20</f>
        <v>0.66501405715026674</v>
      </c>
      <c r="BT20" s="9">
        <f>BN20/BQ20/Modelling[[#This Row],[Comisined DC ]]</f>
        <v>0.66501405715026696</v>
      </c>
      <c r="BU20" s="9">
        <f>BO20/BR20/Modelling[[#This Row],[Comisined DC ]]</f>
        <v>0.66501405715026696</v>
      </c>
      <c r="BV20" s="9">
        <f>BM20/(24*Modelling[[#This Row],[Comisined DC ]])</f>
        <v>0.18352540716077503</v>
      </c>
      <c r="BW20" s="9">
        <f>BN20/((COUNTIFS(Modelling[Date],"&lt;="&amp;Modelling[[#This Row],[Date]],Modelling[Month Year],Modelling[[#This Row],[Month Year]])*24*Modelling[[#This Row],[MTD DC Capcity]]))</f>
        <v>0.18352540716077503</v>
      </c>
      <c r="BX20" s="28">
        <f>BO20/((COUNTIFS(Modelling[Date],"&lt;="&amp;Modelling[[#This Row],[Date]],Modelling[Finacial Year],Modelling[[#This Row],[Finacial Year]])*24*Modelling[[#This Row],[MTD DC Capcity]]))</f>
        <v>0.18352540716077503</v>
      </c>
      <c r="BY20" s="4">
        <f>Modelling_old[[#This Row],[DC Capcity]]+Modelling_new[[#This Row],[Comisined DC ]]</f>
        <v>11.5031</v>
      </c>
      <c r="BZ20" s="4">
        <v>0</v>
      </c>
      <c r="CA20" s="4">
        <f>AVERAGEIFS(Modelling[[Comisined DC ]],Modelling[Date],"&lt;="&amp;Modelling[[#This Row],[Date]],Modelling[Month Year],Modelling[[#This Row],[Month Year]])</f>
        <v>11.503099999999998</v>
      </c>
      <c r="CB20" s="4">
        <f>AVERAGEIFS(Modelling[[Comisined DC ]],Modelling[Date],"&lt;="&amp;Modelling[[#This Row],[Date]],Modelling[Finacial Year],Modelling[[#This Row],[Finacial Year]])</f>
        <v>11.503099999999998</v>
      </c>
      <c r="CG20">
        <f t="shared" ref="CG20:CG83" si="28">CG19+1</f>
        <v>3</v>
      </c>
      <c r="CH20">
        <f t="shared" ref="CH20:CH83" si="29">CH19+1</f>
        <v>3</v>
      </c>
    </row>
    <row r="21" spans="1:86" x14ac:dyDescent="0.35">
      <c r="A21" s="27">
        <v>45020</v>
      </c>
      <c r="B21" s="5">
        <f>MONTH(Modelling_old[[#This Row],[Date]])</f>
        <v>4</v>
      </c>
      <c r="C21" s="25">
        <f t="shared" si="11"/>
        <v>2024</v>
      </c>
      <c r="D21" s="3">
        <f t="shared" si="12"/>
        <v>2023</v>
      </c>
      <c r="E21" s="3" t="s">
        <v>626</v>
      </c>
      <c r="F21" s="5" t="s">
        <v>626</v>
      </c>
      <c r="G21" s="102">
        <v>45017</v>
      </c>
      <c r="H21" s="5">
        <f t="shared" si="13"/>
        <v>30</v>
      </c>
      <c r="I21" s="5">
        <f t="shared" si="14"/>
        <v>4</v>
      </c>
      <c r="J21" s="4">
        <f t="shared" si="15"/>
        <v>50.666666666666664</v>
      </c>
      <c r="K21" s="4">
        <f>SUM($J$18:J21)</f>
        <v>202.66666666666666</v>
      </c>
      <c r="L21" s="4">
        <f>SUM($J$18:J21)</f>
        <v>202.66666666666666</v>
      </c>
      <c r="M21" s="4">
        <f t="shared" si="16"/>
        <v>6.6233333333333331</v>
      </c>
      <c r="N21" s="4">
        <f>SUM($M$18:M21)</f>
        <v>26.493333333333332</v>
      </c>
      <c r="O21" s="4">
        <f>SUM($M$18:M21)</f>
        <v>26.493333333333332</v>
      </c>
      <c r="P21" s="9">
        <f t="shared" si="17"/>
        <v>0.66501405715026674</v>
      </c>
      <c r="Q21" s="26">
        <f t="shared" si="18"/>
        <v>0.66501405715026674</v>
      </c>
      <c r="R21" s="26">
        <f t="shared" si="18"/>
        <v>0.66501405715026674</v>
      </c>
      <c r="S21" s="9">
        <f t="shared" si="19"/>
        <v>0.18352540716077503</v>
      </c>
      <c r="T21" s="9">
        <f>K21/((COUNT($K$18:K21))*24*$Q$1)</f>
        <v>0.18352540716077503</v>
      </c>
      <c r="U21" s="28">
        <f>L21/((COUNT($L$18:L21))*24*$Q$1)</f>
        <v>0.18352540716077503</v>
      </c>
      <c r="V21" s="134">
        <v>11.5031</v>
      </c>
      <c r="Y21" s="27">
        <f t="shared" si="26"/>
        <v>45020</v>
      </c>
      <c r="Z21" s="5">
        <f>MONTH(Modelling_new[[#This Row],[Date]])</f>
        <v>4</v>
      </c>
      <c r="AA21" s="25">
        <f>YEAR(Y21)+IF(MONTH(Modelling_new[[#This Row],[Date]])&gt;=4,1,0)</f>
        <v>2024</v>
      </c>
      <c r="AB21" s="3">
        <f t="shared" si="20"/>
        <v>2023</v>
      </c>
      <c r="AC21" s="3" t="s">
        <v>626</v>
      </c>
      <c r="AD21" s="5" t="s">
        <v>626</v>
      </c>
      <c r="AE21" s="102">
        <v>45017</v>
      </c>
      <c r="AF21" s="5">
        <f t="shared" si="21"/>
        <v>30</v>
      </c>
      <c r="AG21" s="5">
        <f t="shared" si="22"/>
        <v>4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BD21" s="27">
        <f t="shared" si="27"/>
        <v>45020</v>
      </c>
      <c r="BE21" s="5">
        <f>MONTH(Modelling[[#This Row],[Date]])</f>
        <v>4</v>
      </c>
      <c r="BF21" s="25">
        <f>YEAR(BD21)+IF(MONTH(Modelling[[#This Row],[Date]])&gt;=4,1,0)</f>
        <v>2024</v>
      </c>
      <c r="BG21" s="3">
        <f t="shared" si="23"/>
        <v>2023</v>
      </c>
      <c r="BH21" s="3" t="s">
        <v>626</v>
      </c>
      <c r="BI21" s="5" t="s">
        <v>626</v>
      </c>
      <c r="BJ21" s="102">
        <v>45017</v>
      </c>
      <c r="BK21" s="5">
        <f t="shared" si="24"/>
        <v>30</v>
      </c>
      <c r="BL21" s="5">
        <f t="shared" si="25"/>
        <v>4</v>
      </c>
      <c r="BM21" s="4">
        <f>Modelling_old[[#This Row],[Target E_Grid daily
MWh]]+Modelling_new[[#This Row],[Target E_Grid daily
MWh]]</f>
        <v>50.666666666666664</v>
      </c>
      <c r="BN21" s="4">
        <f>Modelling_old[[#This Row],[Target E_Grid MTD
MWh]]+Modelling_new[[#This Row],[Target E_Grid MTD
MWh]]</f>
        <v>202.66666666666666</v>
      </c>
      <c r="BO21" s="4">
        <f>Modelling_old[[#This Row],[Target E_Grid YTD
MWh]]+Modelling_new[[#This Row],[Target E_Grid YTD
MWh]]</f>
        <v>202.66666666666666</v>
      </c>
      <c r="BP2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21" s="4">
        <f>SUMIFS(Modelling[Target POA Daily (KWh/m2)],Modelling[Date],"&lt;="&amp;Modelling[[#This Row],[Date]],Modelling[Month Year],Modelling[[#This Row],[Month Year]])</f>
        <v>26.493333333333332</v>
      </c>
      <c r="BR21" s="4">
        <f>SUMIFS(Modelling[Target POA Daily (KWh/m2)],Modelling[Date],"&lt;="&amp;Modelling[[#This Row],[Date]],Modelling[Finacial Year],Modelling[[#This Row],[Finacial Year]])</f>
        <v>26.493333333333332</v>
      </c>
      <c r="BS21" s="9">
        <f>BM21/Modelling[[#This Row],[Comisined DC ]]/BP21</f>
        <v>0.66501405715026674</v>
      </c>
      <c r="BT21" s="9">
        <f>BN21/BQ21/Modelling[[#This Row],[Comisined DC ]]</f>
        <v>0.66501405715026674</v>
      </c>
      <c r="BU21" s="9">
        <f>BO21/BR21/Modelling[[#This Row],[Comisined DC ]]</f>
        <v>0.66501405715026674</v>
      </c>
      <c r="BV21" s="9">
        <f>BM21/(24*Modelling[[#This Row],[Comisined DC ]])</f>
        <v>0.18352540716077503</v>
      </c>
      <c r="BW21" s="9">
        <f>BN21/((COUNTIFS(Modelling[Date],"&lt;="&amp;Modelling[[#This Row],[Date]],Modelling[Month Year],Modelling[[#This Row],[Month Year]])*24*Modelling[[#This Row],[MTD DC Capcity]]))</f>
        <v>0.18352540716077503</v>
      </c>
      <c r="BX21" s="28">
        <f>BO21/((COUNTIFS(Modelling[Date],"&lt;="&amp;Modelling[[#This Row],[Date]],Modelling[Finacial Year],Modelling[[#This Row],[Finacial Year]])*24*Modelling[[#This Row],[MTD DC Capcity]]))</f>
        <v>0.18352540716077503</v>
      </c>
      <c r="BY21" s="4">
        <f>Modelling_old[[#This Row],[DC Capcity]]+Modelling_new[[#This Row],[Comisined DC ]]</f>
        <v>11.5031</v>
      </c>
      <c r="BZ21" s="4">
        <v>0</v>
      </c>
      <c r="CA21" s="4">
        <f>AVERAGEIFS(Modelling[[Comisined DC ]],Modelling[Date],"&lt;="&amp;Modelling[[#This Row],[Date]],Modelling[Month Year],Modelling[[#This Row],[Month Year]])</f>
        <v>11.5031</v>
      </c>
      <c r="CB21" s="4">
        <f>AVERAGEIFS(Modelling[[Comisined DC ]],Modelling[Date],"&lt;="&amp;Modelling[[#This Row],[Date]],Modelling[Finacial Year],Modelling[[#This Row],[Finacial Year]])</f>
        <v>11.5031</v>
      </c>
      <c r="CG21">
        <f t="shared" si="28"/>
        <v>4</v>
      </c>
      <c r="CH21">
        <f t="shared" si="29"/>
        <v>4</v>
      </c>
    </row>
    <row r="22" spans="1:86" x14ac:dyDescent="0.35">
      <c r="A22" s="27">
        <v>45021</v>
      </c>
      <c r="B22" s="5">
        <f>MONTH(Modelling_old[[#This Row],[Date]])</f>
        <v>4</v>
      </c>
      <c r="C22" s="25">
        <f t="shared" si="11"/>
        <v>2024</v>
      </c>
      <c r="D22" s="3">
        <f t="shared" si="12"/>
        <v>2023</v>
      </c>
      <c r="E22" s="3" t="s">
        <v>626</v>
      </c>
      <c r="F22" s="5" t="s">
        <v>626</v>
      </c>
      <c r="G22" s="102">
        <v>45017</v>
      </c>
      <c r="H22" s="5">
        <f t="shared" si="13"/>
        <v>30</v>
      </c>
      <c r="I22" s="5">
        <f t="shared" si="14"/>
        <v>4</v>
      </c>
      <c r="J22" s="4">
        <f t="shared" si="15"/>
        <v>50.666666666666664</v>
      </c>
      <c r="K22" s="4">
        <f>SUM($J$18:J22)</f>
        <v>253.33333333333331</v>
      </c>
      <c r="L22" s="4">
        <f>SUM($J$18:J22)</f>
        <v>253.33333333333331</v>
      </c>
      <c r="M22" s="4">
        <f t="shared" si="16"/>
        <v>6.6233333333333331</v>
      </c>
      <c r="N22" s="4">
        <f>SUM($M$18:M22)</f>
        <v>33.116666666666667</v>
      </c>
      <c r="O22" s="4">
        <f>SUM($M$18:M22)</f>
        <v>33.116666666666667</v>
      </c>
      <c r="P22" s="9">
        <f t="shared" si="17"/>
        <v>0.66501405715026674</v>
      </c>
      <c r="Q22" s="26">
        <f t="shared" si="18"/>
        <v>0.66501405715026674</v>
      </c>
      <c r="R22" s="26">
        <f t="shared" si="18"/>
        <v>0.66501405715026674</v>
      </c>
      <c r="S22" s="9">
        <f t="shared" si="19"/>
        <v>0.18352540716077503</v>
      </c>
      <c r="T22" s="9">
        <f>K22/((COUNT($K$18:K22))*24*$Q$1)</f>
        <v>0.18352540716077501</v>
      </c>
      <c r="U22" s="28">
        <f>L22/((COUNT($L$18:L22))*24*$Q$1)</f>
        <v>0.18352540716077501</v>
      </c>
      <c r="V22" s="134">
        <v>11.5031</v>
      </c>
      <c r="Y22" s="27">
        <f t="shared" si="26"/>
        <v>45021</v>
      </c>
      <c r="Z22" s="5">
        <f>MONTH(Modelling_new[[#This Row],[Date]])</f>
        <v>4</v>
      </c>
      <c r="AA22" s="25">
        <f>YEAR(Y22)+IF(MONTH(Modelling_new[[#This Row],[Date]])&gt;=4,1,0)</f>
        <v>2024</v>
      </c>
      <c r="AB22" s="3">
        <f t="shared" si="20"/>
        <v>2023</v>
      </c>
      <c r="AC22" s="3" t="s">
        <v>626</v>
      </c>
      <c r="AD22" s="5" t="s">
        <v>626</v>
      </c>
      <c r="AE22" s="102">
        <v>45017</v>
      </c>
      <c r="AF22" s="5">
        <f t="shared" si="21"/>
        <v>30</v>
      </c>
      <c r="AG22" s="5">
        <f t="shared" si="22"/>
        <v>4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BD22" s="27">
        <f t="shared" si="27"/>
        <v>45021</v>
      </c>
      <c r="BE22" s="5">
        <f>MONTH(Modelling[[#This Row],[Date]])</f>
        <v>4</v>
      </c>
      <c r="BF22" s="25">
        <f>YEAR(BD22)+IF(MONTH(Modelling[[#This Row],[Date]])&gt;=4,1,0)</f>
        <v>2024</v>
      </c>
      <c r="BG22" s="3">
        <f t="shared" si="23"/>
        <v>2023</v>
      </c>
      <c r="BH22" s="3" t="s">
        <v>626</v>
      </c>
      <c r="BI22" s="5" t="s">
        <v>626</v>
      </c>
      <c r="BJ22" s="102">
        <v>45017</v>
      </c>
      <c r="BK22" s="5">
        <f t="shared" si="24"/>
        <v>30</v>
      </c>
      <c r="BL22" s="5">
        <f t="shared" si="25"/>
        <v>4</v>
      </c>
      <c r="BM22" s="4">
        <f>Modelling_old[[#This Row],[Target E_Grid daily
MWh]]+Modelling_new[[#This Row],[Target E_Grid daily
MWh]]</f>
        <v>50.666666666666664</v>
      </c>
      <c r="BN22" s="4">
        <f>Modelling_old[[#This Row],[Target E_Grid MTD
MWh]]+Modelling_new[[#This Row],[Target E_Grid MTD
MWh]]</f>
        <v>253.33333333333331</v>
      </c>
      <c r="BO22" s="4">
        <f>Modelling_old[[#This Row],[Target E_Grid YTD
MWh]]+Modelling_new[[#This Row],[Target E_Grid YTD
MWh]]</f>
        <v>253.33333333333331</v>
      </c>
      <c r="BP2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22" s="4">
        <f>SUMIFS(Modelling[Target POA Daily (KWh/m2)],Modelling[Date],"&lt;="&amp;Modelling[[#This Row],[Date]],Modelling[Month Year],Modelling[[#This Row],[Month Year]])</f>
        <v>33.116666666666667</v>
      </c>
      <c r="BR22" s="4">
        <f>SUMIFS(Modelling[Target POA Daily (KWh/m2)],Modelling[Date],"&lt;="&amp;Modelling[[#This Row],[Date]],Modelling[Finacial Year],Modelling[[#This Row],[Finacial Year]])</f>
        <v>33.116666666666667</v>
      </c>
      <c r="BS22" s="9">
        <f>BM22/Modelling[[#This Row],[Comisined DC ]]/BP22</f>
        <v>0.66501405715026674</v>
      </c>
      <c r="BT22" s="9">
        <f>BN22/BQ22/Modelling[[#This Row],[Comisined DC ]]</f>
        <v>0.66501405715026674</v>
      </c>
      <c r="BU22" s="9">
        <f>BO22/BR22/Modelling[[#This Row],[Comisined DC ]]</f>
        <v>0.66501405715026674</v>
      </c>
      <c r="BV22" s="9">
        <f>BM22/(24*Modelling[[#This Row],[Comisined DC ]])</f>
        <v>0.18352540716077503</v>
      </c>
      <c r="BW22" s="9">
        <f>BN22/((COUNTIFS(Modelling[Date],"&lt;="&amp;Modelling[[#This Row],[Date]],Modelling[Month Year],Modelling[[#This Row],[Month Year]])*24*Modelling[[#This Row],[MTD DC Capcity]]))</f>
        <v>0.18352540716077501</v>
      </c>
      <c r="BX22" s="28">
        <f>BO22/((COUNTIFS(Modelling[Date],"&lt;="&amp;Modelling[[#This Row],[Date]],Modelling[Finacial Year],Modelling[[#This Row],[Finacial Year]])*24*Modelling[[#This Row],[MTD DC Capcity]]))</f>
        <v>0.18352540716077501</v>
      </c>
      <c r="BY22" s="4">
        <f>Modelling_old[[#This Row],[DC Capcity]]+Modelling_new[[#This Row],[Comisined DC ]]</f>
        <v>11.5031</v>
      </c>
      <c r="BZ22" s="4">
        <v>0</v>
      </c>
      <c r="CA22" s="4">
        <f>AVERAGEIFS(Modelling[[Comisined DC ]],Modelling[Date],"&lt;="&amp;Modelling[[#This Row],[Date]],Modelling[Month Year],Modelling[[#This Row],[Month Year]])</f>
        <v>11.5031</v>
      </c>
      <c r="CB22" s="4">
        <f>AVERAGEIFS(Modelling[[Comisined DC ]],Modelling[Date],"&lt;="&amp;Modelling[[#This Row],[Date]],Modelling[Finacial Year],Modelling[[#This Row],[Finacial Year]])</f>
        <v>11.5031</v>
      </c>
      <c r="CG22">
        <f t="shared" si="28"/>
        <v>5</v>
      </c>
      <c r="CH22">
        <f t="shared" si="29"/>
        <v>5</v>
      </c>
    </row>
    <row r="23" spans="1:86" x14ac:dyDescent="0.35">
      <c r="A23" s="27">
        <v>45022</v>
      </c>
      <c r="B23" s="5">
        <f>MONTH(Modelling_old[[#This Row],[Date]])</f>
        <v>4</v>
      </c>
      <c r="C23" s="25">
        <f t="shared" si="11"/>
        <v>2024</v>
      </c>
      <c r="D23" s="3">
        <f t="shared" si="12"/>
        <v>2023</v>
      </c>
      <c r="E23" s="3" t="s">
        <v>626</v>
      </c>
      <c r="F23" s="5" t="s">
        <v>626</v>
      </c>
      <c r="G23" s="102">
        <v>45017</v>
      </c>
      <c r="H23" s="5">
        <f t="shared" si="13"/>
        <v>30</v>
      </c>
      <c r="I23" s="5">
        <f t="shared" si="14"/>
        <v>4</v>
      </c>
      <c r="J23" s="4">
        <f t="shared" si="15"/>
        <v>50.666666666666664</v>
      </c>
      <c r="K23" s="4">
        <f>SUM($J$18:J23)</f>
        <v>304</v>
      </c>
      <c r="L23" s="4">
        <f>SUM($J$18:J23)</f>
        <v>304</v>
      </c>
      <c r="M23" s="4">
        <f t="shared" si="16"/>
        <v>6.6233333333333331</v>
      </c>
      <c r="N23" s="4">
        <f>SUM($M$18:M23)</f>
        <v>39.74</v>
      </c>
      <c r="O23" s="4">
        <f>SUM($M$18:M23)</f>
        <v>39.74</v>
      </c>
      <c r="P23" s="9">
        <f t="shared" si="17"/>
        <v>0.66501405715026674</v>
      </c>
      <c r="Q23" s="26">
        <f t="shared" si="18"/>
        <v>0.66501405715026674</v>
      </c>
      <c r="R23" s="26">
        <f t="shared" si="18"/>
        <v>0.66501405715026674</v>
      </c>
      <c r="S23" s="9">
        <f t="shared" si="19"/>
        <v>0.18352540716077503</v>
      </c>
      <c r="T23" s="9">
        <f>K23/((COUNT($K$18:K23))*24*$Q$1)</f>
        <v>0.18352540716077501</v>
      </c>
      <c r="U23" s="28">
        <f>L23/((COUNT($L$18:L23))*24*$Q$1)</f>
        <v>0.18352540716077501</v>
      </c>
      <c r="V23" s="134">
        <v>11.5031</v>
      </c>
      <c r="Y23" s="27">
        <f t="shared" si="26"/>
        <v>45022</v>
      </c>
      <c r="Z23" s="5">
        <f>MONTH(Modelling_new[[#This Row],[Date]])</f>
        <v>4</v>
      </c>
      <c r="AA23" s="25">
        <f>YEAR(Y23)+IF(MONTH(Modelling_new[[#This Row],[Date]])&gt;=4,1,0)</f>
        <v>2024</v>
      </c>
      <c r="AB23" s="3">
        <f t="shared" si="20"/>
        <v>2023</v>
      </c>
      <c r="AC23" s="3" t="s">
        <v>626</v>
      </c>
      <c r="AD23" s="5" t="s">
        <v>626</v>
      </c>
      <c r="AE23" s="102">
        <v>45017</v>
      </c>
      <c r="AF23" s="5">
        <f t="shared" si="21"/>
        <v>30</v>
      </c>
      <c r="AG23" s="5">
        <f t="shared" si="22"/>
        <v>4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BD23" s="27">
        <f t="shared" si="27"/>
        <v>45022</v>
      </c>
      <c r="BE23" s="5">
        <f>MONTH(Modelling[[#This Row],[Date]])</f>
        <v>4</v>
      </c>
      <c r="BF23" s="25">
        <f>YEAR(BD23)+IF(MONTH(Modelling[[#This Row],[Date]])&gt;=4,1,0)</f>
        <v>2024</v>
      </c>
      <c r="BG23" s="3">
        <f t="shared" si="23"/>
        <v>2023</v>
      </c>
      <c r="BH23" s="3" t="s">
        <v>626</v>
      </c>
      <c r="BI23" s="5" t="s">
        <v>626</v>
      </c>
      <c r="BJ23" s="102">
        <v>45017</v>
      </c>
      <c r="BK23" s="5">
        <f t="shared" si="24"/>
        <v>30</v>
      </c>
      <c r="BL23" s="5">
        <f t="shared" si="25"/>
        <v>4</v>
      </c>
      <c r="BM23" s="4">
        <f>Modelling_old[[#This Row],[Target E_Grid daily
MWh]]+Modelling_new[[#This Row],[Target E_Grid daily
MWh]]</f>
        <v>50.666666666666664</v>
      </c>
      <c r="BN23" s="4">
        <f>Modelling_old[[#This Row],[Target E_Grid MTD
MWh]]+Modelling_new[[#This Row],[Target E_Grid MTD
MWh]]</f>
        <v>304</v>
      </c>
      <c r="BO23" s="4">
        <f>Modelling_old[[#This Row],[Target E_Grid YTD
MWh]]+Modelling_new[[#This Row],[Target E_Grid YTD
MWh]]</f>
        <v>304</v>
      </c>
      <c r="BP2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23" s="4">
        <f>SUMIFS(Modelling[Target POA Daily (KWh/m2)],Modelling[Date],"&lt;="&amp;Modelling[[#This Row],[Date]],Modelling[Month Year],Modelling[[#This Row],[Month Year]])</f>
        <v>39.74</v>
      </c>
      <c r="BR23" s="4">
        <f>SUMIFS(Modelling[Target POA Daily (KWh/m2)],Modelling[Date],"&lt;="&amp;Modelling[[#This Row],[Date]],Modelling[Finacial Year],Modelling[[#This Row],[Finacial Year]])</f>
        <v>39.74</v>
      </c>
      <c r="BS23" s="9">
        <f>BM23/Modelling[[#This Row],[Comisined DC ]]/BP23</f>
        <v>0.66501405715026674</v>
      </c>
      <c r="BT23" s="9">
        <f>BN23/BQ23/Modelling[[#This Row],[Comisined DC ]]</f>
        <v>0.66501405715026674</v>
      </c>
      <c r="BU23" s="9">
        <f>BO23/BR23/Modelling[[#This Row],[Comisined DC ]]</f>
        <v>0.66501405715026674</v>
      </c>
      <c r="BV23" s="9">
        <f>BM23/(24*Modelling[[#This Row],[Comisined DC ]])</f>
        <v>0.18352540716077503</v>
      </c>
      <c r="BW23" s="9">
        <f>BN23/((COUNTIFS(Modelling[Date],"&lt;="&amp;Modelling[[#This Row],[Date]],Modelling[Month Year],Modelling[[#This Row],[Month Year]])*24*Modelling[[#This Row],[MTD DC Capcity]]))</f>
        <v>0.18352540716077498</v>
      </c>
      <c r="BX23" s="28">
        <f>BO23/((COUNTIFS(Modelling[Date],"&lt;="&amp;Modelling[[#This Row],[Date]],Modelling[Finacial Year],Modelling[[#This Row],[Finacial Year]])*24*Modelling[[#This Row],[MTD DC Capcity]]))</f>
        <v>0.18352540716077498</v>
      </c>
      <c r="BY23" s="4">
        <f>Modelling_old[[#This Row],[DC Capcity]]+Modelling_new[[#This Row],[Comisined DC ]]</f>
        <v>11.5031</v>
      </c>
      <c r="BZ23" s="4">
        <v>0</v>
      </c>
      <c r="CA23" s="4">
        <f>AVERAGEIFS(Modelling[[Comisined DC ]],Modelling[Date],"&lt;="&amp;Modelling[[#This Row],[Date]],Modelling[Month Year],Modelling[[#This Row],[Month Year]])</f>
        <v>11.503100000000002</v>
      </c>
      <c r="CB23" s="4">
        <f>AVERAGEIFS(Modelling[[Comisined DC ]],Modelling[Date],"&lt;="&amp;Modelling[[#This Row],[Date]],Modelling[Finacial Year],Modelling[[#This Row],[Finacial Year]])</f>
        <v>11.503100000000002</v>
      </c>
      <c r="CG23">
        <f t="shared" si="28"/>
        <v>6</v>
      </c>
      <c r="CH23">
        <f t="shared" si="29"/>
        <v>6</v>
      </c>
    </row>
    <row r="24" spans="1:86" x14ac:dyDescent="0.35">
      <c r="A24" s="27">
        <v>45023</v>
      </c>
      <c r="B24" s="5">
        <f>MONTH(Modelling_old[[#This Row],[Date]])</f>
        <v>4</v>
      </c>
      <c r="C24" s="25">
        <f t="shared" si="11"/>
        <v>2024</v>
      </c>
      <c r="D24" s="3">
        <f t="shared" si="12"/>
        <v>2023</v>
      </c>
      <c r="E24" s="3" t="s">
        <v>626</v>
      </c>
      <c r="F24" s="5" t="s">
        <v>626</v>
      </c>
      <c r="G24" s="102">
        <v>45017</v>
      </c>
      <c r="H24" s="5">
        <f t="shared" si="13"/>
        <v>30</v>
      </c>
      <c r="I24" s="5">
        <f t="shared" si="14"/>
        <v>4</v>
      </c>
      <c r="J24" s="4">
        <f t="shared" si="15"/>
        <v>50.666666666666664</v>
      </c>
      <c r="K24" s="4">
        <f>SUM($J$18:J24)</f>
        <v>354.66666666666669</v>
      </c>
      <c r="L24" s="4">
        <f>SUM($J$18:J24)</f>
        <v>354.66666666666669</v>
      </c>
      <c r="M24" s="4">
        <f t="shared" si="16"/>
        <v>6.6233333333333331</v>
      </c>
      <c r="N24" s="4">
        <f>SUM($M$18:M24)</f>
        <v>46.363333333333337</v>
      </c>
      <c r="O24" s="4">
        <f>SUM($M$18:M24)</f>
        <v>46.363333333333337</v>
      </c>
      <c r="P24" s="9">
        <f t="shared" si="17"/>
        <v>0.66501405715026674</v>
      </c>
      <c r="Q24" s="26">
        <f t="shared" si="18"/>
        <v>0.66501405715026674</v>
      </c>
      <c r="R24" s="26">
        <f t="shared" si="18"/>
        <v>0.66501405715026674</v>
      </c>
      <c r="S24" s="9">
        <f t="shared" si="19"/>
        <v>0.18352540716077503</v>
      </c>
      <c r="T24" s="9">
        <f>K24/((COUNT($K$18:K24))*24*$Q$1)</f>
        <v>0.18352540716077503</v>
      </c>
      <c r="U24" s="28">
        <f>L24/((COUNT($L$18:L24))*24*$Q$1)</f>
        <v>0.18352540716077503</v>
      </c>
      <c r="V24" s="134">
        <v>11.5031</v>
      </c>
      <c r="Y24" s="27">
        <f t="shared" si="26"/>
        <v>45023</v>
      </c>
      <c r="Z24" s="5">
        <f>MONTH(Modelling_new[[#This Row],[Date]])</f>
        <v>4</v>
      </c>
      <c r="AA24" s="25">
        <f>YEAR(Y24)+IF(MONTH(Modelling_new[[#This Row],[Date]])&gt;=4,1,0)</f>
        <v>2024</v>
      </c>
      <c r="AB24" s="3">
        <f t="shared" si="20"/>
        <v>2023</v>
      </c>
      <c r="AC24" s="3" t="s">
        <v>626</v>
      </c>
      <c r="AD24" s="5" t="s">
        <v>626</v>
      </c>
      <c r="AE24" s="102">
        <v>45017</v>
      </c>
      <c r="AF24" s="5">
        <f t="shared" si="21"/>
        <v>30</v>
      </c>
      <c r="AG24" s="5">
        <f t="shared" si="22"/>
        <v>4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BD24" s="27">
        <f t="shared" si="27"/>
        <v>45023</v>
      </c>
      <c r="BE24" s="5">
        <f>MONTH(Modelling[[#This Row],[Date]])</f>
        <v>4</v>
      </c>
      <c r="BF24" s="25">
        <f>YEAR(BD24)+IF(MONTH(Modelling[[#This Row],[Date]])&gt;=4,1,0)</f>
        <v>2024</v>
      </c>
      <c r="BG24" s="3">
        <f t="shared" si="23"/>
        <v>2023</v>
      </c>
      <c r="BH24" s="3" t="s">
        <v>626</v>
      </c>
      <c r="BI24" s="5" t="s">
        <v>626</v>
      </c>
      <c r="BJ24" s="102">
        <v>45017</v>
      </c>
      <c r="BK24" s="5">
        <f t="shared" si="24"/>
        <v>30</v>
      </c>
      <c r="BL24" s="5">
        <f t="shared" si="25"/>
        <v>4</v>
      </c>
      <c r="BM24" s="4">
        <f>Modelling_old[[#This Row],[Target E_Grid daily
MWh]]+Modelling_new[[#This Row],[Target E_Grid daily
MWh]]</f>
        <v>50.666666666666664</v>
      </c>
      <c r="BN24" s="4">
        <f>Modelling_old[[#This Row],[Target E_Grid MTD
MWh]]+Modelling_new[[#This Row],[Target E_Grid MTD
MWh]]</f>
        <v>354.66666666666669</v>
      </c>
      <c r="BO24" s="4">
        <f>Modelling_old[[#This Row],[Target E_Grid YTD
MWh]]+Modelling_new[[#This Row],[Target E_Grid YTD
MWh]]</f>
        <v>354.66666666666669</v>
      </c>
      <c r="BP2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24" s="4">
        <f>SUMIFS(Modelling[Target POA Daily (KWh/m2)],Modelling[Date],"&lt;="&amp;Modelling[[#This Row],[Date]],Modelling[Month Year],Modelling[[#This Row],[Month Year]])</f>
        <v>46.363333333333337</v>
      </c>
      <c r="BR24" s="4">
        <f>SUMIFS(Modelling[Target POA Daily (KWh/m2)],Modelling[Date],"&lt;="&amp;Modelling[[#This Row],[Date]],Modelling[Finacial Year],Modelling[[#This Row],[Finacial Year]])</f>
        <v>46.363333333333337</v>
      </c>
      <c r="BS24" s="9">
        <f>BM24/Modelling[[#This Row],[Comisined DC ]]/BP24</f>
        <v>0.66501405715026674</v>
      </c>
      <c r="BT24" s="9">
        <f>BN24/BQ24/Modelling[[#This Row],[Comisined DC ]]</f>
        <v>0.66501405715026674</v>
      </c>
      <c r="BU24" s="9">
        <f>BO24/BR24/Modelling[[#This Row],[Comisined DC ]]</f>
        <v>0.66501405715026674</v>
      </c>
      <c r="BV24" s="9">
        <f>BM24/(24*Modelling[[#This Row],[Comisined DC ]])</f>
        <v>0.18352540716077503</v>
      </c>
      <c r="BW24" s="9">
        <f>BN24/((COUNTIFS(Modelling[Date],"&lt;="&amp;Modelling[[#This Row],[Date]],Modelling[Month Year],Modelling[[#This Row],[Month Year]])*24*Modelling[[#This Row],[MTD DC Capcity]]))</f>
        <v>0.18352540716077501</v>
      </c>
      <c r="BX24" s="28">
        <f>BO24/((COUNTIFS(Modelling[Date],"&lt;="&amp;Modelling[[#This Row],[Date]],Modelling[Finacial Year],Modelling[[#This Row],[Finacial Year]])*24*Modelling[[#This Row],[MTD DC Capcity]]))</f>
        <v>0.18352540716077501</v>
      </c>
      <c r="BY24" s="4">
        <f>Modelling_old[[#This Row],[DC Capcity]]+Modelling_new[[#This Row],[Comisined DC ]]</f>
        <v>11.5031</v>
      </c>
      <c r="BZ24" s="4">
        <v>0</v>
      </c>
      <c r="CA24" s="4">
        <f>AVERAGEIFS(Modelling[[Comisined DC ]],Modelling[Date],"&lt;="&amp;Modelling[[#This Row],[Date]],Modelling[Month Year],Modelling[[#This Row],[Month Year]])</f>
        <v>11.503100000000002</v>
      </c>
      <c r="CB24" s="4">
        <f>AVERAGEIFS(Modelling[[Comisined DC ]],Modelling[Date],"&lt;="&amp;Modelling[[#This Row],[Date]],Modelling[Finacial Year],Modelling[[#This Row],[Finacial Year]])</f>
        <v>11.503100000000002</v>
      </c>
      <c r="CG24">
        <f t="shared" si="28"/>
        <v>7</v>
      </c>
      <c r="CH24">
        <f t="shared" si="29"/>
        <v>7</v>
      </c>
    </row>
    <row r="25" spans="1:86" x14ac:dyDescent="0.35">
      <c r="A25" s="27">
        <v>45024</v>
      </c>
      <c r="B25" s="5">
        <f>MONTH(Modelling_old[[#This Row],[Date]])</f>
        <v>4</v>
      </c>
      <c r="C25" s="25">
        <f t="shared" si="11"/>
        <v>2024</v>
      </c>
      <c r="D25" s="3">
        <f t="shared" si="12"/>
        <v>2023</v>
      </c>
      <c r="E25" s="3" t="s">
        <v>626</v>
      </c>
      <c r="F25" s="5" t="s">
        <v>626</v>
      </c>
      <c r="G25" s="102">
        <v>45017</v>
      </c>
      <c r="H25" s="5">
        <f t="shared" si="13"/>
        <v>30</v>
      </c>
      <c r="I25" s="5">
        <f t="shared" si="14"/>
        <v>4</v>
      </c>
      <c r="J25" s="4">
        <f t="shared" si="15"/>
        <v>50.666666666666664</v>
      </c>
      <c r="K25" s="4">
        <f>SUM($J$18:J25)</f>
        <v>405.33333333333337</v>
      </c>
      <c r="L25" s="4">
        <f>SUM($J$18:J25)</f>
        <v>405.33333333333337</v>
      </c>
      <c r="M25" s="4">
        <f t="shared" si="16"/>
        <v>6.6233333333333331</v>
      </c>
      <c r="N25" s="4">
        <f>SUM($M$18:M25)</f>
        <v>52.986666666666672</v>
      </c>
      <c r="O25" s="4">
        <f>SUM($M$18:M25)</f>
        <v>52.986666666666672</v>
      </c>
      <c r="P25" s="9">
        <f t="shared" si="17"/>
        <v>0.66501405715026674</v>
      </c>
      <c r="Q25" s="26">
        <f t="shared" si="18"/>
        <v>0.66501405715026674</v>
      </c>
      <c r="R25" s="26">
        <f t="shared" si="18"/>
        <v>0.66501405715026674</v>
      </c>
      <c r="S25" s="9">
        <f t="shared" si="19"/>
        <v>0.18352540716077503</v>
      </c>
      <c r="T25" s="9">
        <f>K25/((COUNT($K$18:K25))*24*$Q$1)</f>
        <v>0.18352540716077506</v>
      </c>
      <c r="U25" s="28">
        <f>L25/((COUNT($L$18:L25))*24*$Q$1)</f>
        <v>0.18352540716077506</v>
      </c>
      <c r="V25" s="134">
        <v>11.5031</v>
      </c>
      <c r="Y25" s="27">
        <f t="shared" si="26"/>
        <v>45024</v>
      </c>
      <c r="Z25" s="5">
        <f>MONTH(Modelling_new[[#This Row],[Date]])</f>
        <v>4</v>
      </c>
      <c r="AA25" s="25">
        <f>YEAR(Y25)+IF(MONTH(Modelling_new[[#This Row],[Date]])&gt;=4,1,0)</f>
        <v>2024</v>
      </c>
      <c r="AB25" s="3">
        <f t="shared" si="20"/>
        <v>2023</v>
      </c>
      <c r="AC25" s="3" t="s">
        <v>626</v>
      </c>
      <c r="AD25" s="5" t="s">
        <v>626</v>
      </c>
      <c r="AE25" s="102">
        <v>45017</v>
      </c>
      <c r="AF25" s="5">
        <f t="shared" si="21"/>
        <v>30</v>
      </c>
      <c r="AG25" s="5">
        <f t="shared" si="22"/>
        <v>4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BD25" s="27">
        <f t="shared" si="27"/>
        <v>45024</v>
      </c>
      <c r="BE25" s="5">
        <f>MONTH(Modelling[[#This Row],[Date]])</f>
        <v>4</v>
      </c>
      <c r="BF25" s="25">
        <f>YEAR(BD25)+IF(MONTH(Modelling[[#This Row],[Date]])&gt;=4,1,0)</f>
        <v>2024</v>
      </c>
      <c r="BG25" s="3">
        <f t="shared" si="23"/>
        <v>2023</v>
      </c>
      <c r="BH25" s="3" t="s">
        <v>626</v>
      </c>
      <c r="BI25" s="5" t="s">
        <v>626</v>
      </c>
      <c r="BJ25" s="102">
        <v>45017</v>
      </c>
      <c r="BK25" s="5">
        <f t="shared" si="24"/>
        <v>30</v>
      </c>
      <c r="BL25" s="5">
        <f t="shared" si="25"/>
        <v>4</v>
      </c>
      <c r="BM25" s="4">
        <f>Modelling_old[[#This Row],[Target E_Grid daily
MWh]]+Modelling_new[[#This Row],[Target E_Grid daily
MWh]]</f>
        <v>50.666666666666664</v>
      </c>
      <c r="BN25" s="4">
        <f>Modelling_old[[#This Row],[Target E_Grid MTD
MWh]]+Modelling_new[[#This Row],[Target E_Grid MTD
MWh]]</f>
        <v>405.33333333333337</v>
      </c>
      <c r="BO25" s="4">
        <f>Modelling_old[[#This Row],[Target E_Grid YTD
MWh]]+Modelling_new[[#This Row],[Target E_Grid YTD
MWh]]</f>
        <v>405.33333333333337</v>
      </c>
      <c r="BP2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25" s="4">
        <f>SUMIFS(Modelling[Target POA Daily (KWh/m2)],Modelling[Date],"&lt;="&amp;Modelling[[#This Row],[Date]],Modelling[Month Year],Modelling[[#This Row],[Month Year]])</f>
        <v>52.986666666666672</v>
      </c>
      <c r="BR25" s="4">
        <f>SUMIFS(Modelling[Target POA Daily (KWh/m2)],Modelling[Date],"&lt;="&amp;Modelling[[#This Row],[Date]],Modelling[Finacial Year],Modelling[[#This Row],[Finacial Year]])</f>
        <v>52.986666666666672</v>
      </c>
      <c r="BS25" s="9">
        <f>BM25/Modelling[[#This Row],[Comisined DC ]]/BP25</f>
        <v>0.66501405715026674</v>
      </c>
      <c r="BT25" s="9">
        <f>BN25/BQ25/Modelling[[#This Row],[Comisined DC ]]</f>
        <v>0.66501405715026674</v>
      </c>
      <c r="BU25" s="9">
        <f>BO25/BR25/Modelling[[#This Row],[Comisined DC ]]</f>
        <v>0.66501405715026674</v>
      </c>
      <c r="BV25" s="9">
        <f>BM25/(24*Modelling[[#This Row],[Comisined DC ]])</f>
        <v>0.18352540716077503</v>
      </c>
      <c r="BW25" s="9">
        <f>BN25/((COUNTIFS(Modelling[Date],"&lt;="&amp;Modelling[[#This Row],[Date]],Modelling[Month Year],Modelling[[#This Row],[Month Year]])*24*Modelling[[#This Row],[MTD DC Capcity]]))</f>
        <v>0.18352540716077501</v>
      </c>
      <c r="BX25" s="28">
        <f>BO25/((COUNTIFS(Modelling[Date],"&lt;="&amp;Modelling[[#This Row],[Date]],Modelling[Finacial Year],Modelling[[#This Row],[Finacial Year]])*24*Modelling[[#This Row],[MTD DC Capcity]]))</f>
        <v>0.18352540716077501</v>
      </c>
      <c r="BY25" s="4">
        <f>Modelling_old[[#This Row],[DC Capcity]]+Modelling_new[[#This Row],[Comisined DC ]]</f>
        <v>11.5031</v>
      </c>
      <c r="BZ25" s="4">
        <v>0</v>
      </c>
      <c r="CA25" s="4">
        <f>AVERAGEIFS(Modelling[[Comisined DC ]],Modelling[Date],"&lt;="&amp;Modelling[[#This Row],[Date]],Modelling[Month Year],Modelling[[#This Row],[Month Year]])</f>
        <v>11.503100000000002</v>
      </c>
      <c r="CB25" s="4">
        <f>AVERAGEIFS(Modelling[[Comisined DC ]],Modelling[Date],"&lt;="&amp;Modelling[[#This Row],[Date]],Modelling[Finacial Year],Modelling[[#This Row],[Finacial Year]])</f>
        <v>11.503100000000002</v>
      </c>
      <c r="CG25">
        <f t="shared" si="28"/>
        <v>8</v>
      </c>
      <c r="CH25">
        <f t="shared" si="29"/>
        <v>8</v>
      </c>
    </row>
    <row r="26" spans="1:86" x14ac:dyDescent="0.35">
      <c r="A26" s="27">
        <v>45025</v>
      </c>
      <c r="B26" s="5">
        <f>MONTH(Modelling_old[[#This Row],[Date]])</f>
        <v>4</v>
      </c>
      <c r="C26" s="25">
        <f t="shared" si="11"/>
        <v>2024</v>
      </c>
      <c r="D26" s="3">
        <f t="shared" si="12"/>
        <v>2023</v>
      </c>
      <c r="E26" s="3" t="s">
        <v>626</v>
      </c>
      <c r="F26" s="5" t="s">
        <v>626</v>
      </c>
      <c r="G26" s="102">
        <v>45017</v>
      </c>
      <c r="H26" s="5">
        <f t="shared" si="13"/>
        <v>30</v>
      </c>
      <c r="I26" s="5">
        <f t="shared" si="14"/>
        <v>4</v>
      </c>
      <c r="J26" s="4">
        <f t="shared" si="15"/>
        <v>50.666666666666664</v>
      </c>
      <c r="K26" s="4">
        <f>SUM($J$18:J26)</f>
        <v>456.00000000000006</v>
      </c>
      <c r="L26" s="4">
        <f>SUM($J$18:J26)</f>
        <v>456.00000000000006</v>
      </c>
      <c r="M26" s="4">
        <f t="shared" si="16"/>
        <v>6.6233333333333331</v>
      </c>
      <c r="N26" s="4">
        <f>SUM($M$18:M26)</f>
        <v>59.610000000000007</v>
      </c>
      <c r="O26" s="4">
        <f>SUM($M$18:M26)</f>
        <v>59.610000000000007</v>
      </c>
      <c r="P26" s="9">
        <f t="shared" si="17"/>
        <v>0.66501405715026674</v>
      </c>
      <c r="Q26" s="26">
        <f t="shared" si="18"/>
        <v>0.66501405715026685</v>
      </c>
      <c r="R26" s="26">
        <f t="shared" si="18"/>
        <v>0.66501405715026685</v>
      </c>
      <c r="S26" s="9">
        <f t="shared" si="19"/>
        <v>0.18352540716077503</v>
      </c>
      <c r="T26" s="9">
        <f>K26/((COUNT($K$18:K26))*24*$Q$1)</f>
        <v>0.18352540716077503</v>
      </c>
      <c r="U26" s="28">
        <f>L26/((COUNT($L$18:L26))*24*$Q$1)</f>
        <v>0.18352540716077503</v>
      </c>
      <c r="V26" s="134">
        <v>11.5031</v>
      </c>
      <c r="Y26" s="27">
        <f t="shared" si="26"/>
        <v>45025</v>
      </c>
      <c r="Z26" s="5">
        <f>MONTH(Modelling_new[[#This Row],[Date]])</f>
        <v>4</v>
      </c>
      <c r="AA26" s="25">
        <f>YEAR(Y26)+IF(MONTH(Modelling_new[[#This Row],[Date]])&gt;=4,1,0)</f>
        <v>2024</v>
      </c>
      <c r="AB26" s="3">
        <f t="shared" si="20"/>
        <v>2023</v>
      </c>
      <c r="AC26" s="3" t="s">
        <v>626</v>
      </c>
      <c r="AD26" s="5" t="s">
        <v>626</v>
      </c>
      <c r="AE26" s="102">
        <v>45017</v>
      </c>
      <c r="AF26" s="5">
        <f t="shared" si="21"/>
        <v>30</v>
      </c>
      <c r="AG26" s="5">
        <f t="shared" si="22"/>
        <v>4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BD26" s="27">
        <f t="shared" si="27"/>
        <v>45025</v>
      </c>
      <c r="BE26" s="5">
        <f>MONTH(Modelling[[#This Row],[Date]])</f>
        <v>4</v>
      </c>
      <c r="BF26" s="25">
        <f>YEAR(BD26)+IF(MONTH(Modelling[[#This Row],[Date]])&gt;=4,1,0)</f>
        <v>2024</v>
      </c>
      <c r="BG26" s="3">
        <f t="shared" si="23"/>
        <v>2023</v>
      </c>
      <c r="BH26" s="3" t="s">
        <v>626</v>
      </c>
      <c r="BI26" s="5" t="s">
        <v>626</v>
      </c>
      <c r="BJ26" s="102">
        <v>45017</v>
      </c>
      <c r="BK26" s="5">
        <f t="shared" si="24"/>
        <v>30</v>
      </c>
      <c r="BL26" s="5">
        <f t="shared" si="25"/>
        <v>4</v>
      </c>
      <c r="BM26" s="4">
        <f>Modelling_old[[#This Row],[Target E_Grid daily
MWh]]+Modelling_new[[#This Row],[Target E_Grid daily
MWh]]</f>
        <v>50.666666666666664</v>
      </c>
      <c r="BN26" s="4">
        <f>Modelling_old[[#This Row],[Target E_Grid MTD
MWh]]+Modelling_new[[#This Row],[Target E_Grid MTD
MWh]]</f>
        <v>456.00000000000006</v>
      </c>
      <c r="BO26" s="4">
        <f>Modelling_old[[#This Row],[Target E_Grid YTD
MWh]]+Modelling_new[[#This Row],[Target E_Grid YTD
MWh]]</f>
        <v>456.00000000000006</v>
      </c>
      <c r="BP2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26" s="4">
        <f>SUMIFS(Modelling[Target POA Daily (KWh/m2)],Modelling[Date],"&lt;="&amp;Modelling[[#This Row],[Date]],Modelling[Month Year],Modelling[[#This Row],[Month Year]])</f>
        <v>59.610000000000007</v>
      </c>
      <c r="BR26" s="4">
        <f>SUMIFS(Modelling[Target POA Daily (KWh/m2)],Modelling[Date],"&lt;="&amp;Modelling[[#This Row],[Date]],Modelling[Finacial Year],Modelling[[#This Row],[Finacial Year]])</f>
        <v>59.610000000000007</v>
      </c>
      <c r="BS26" s="9">
        <f>BM26/Modelling[[#This Row],[Comisined DC ]]/BP26</f>
        <v>0.66501405715026674</v>
      </c>
      <c r="BT26" s="9">
        <f>BN26/BQ26/Modelling[[#This Row],[Comisined DC ]]</f>
        <v>0.66501405715026685</v>
      </c>
      <c r="BU26" s="9">
        <f>BO26/BR26/Modelling[[#This Row],[Comisined DC ]]</f>
        <v>0.66501405715026685</v>
      </c>
      <c r="BV26" s="9">
        <f>BM26/(24*Modelling[[#This Row],[Comisined DC ]])</f>
        <v>0.18352540716077503</v>
      </c>
      <c r="BW26" s="9">
        <f>BN26/((COUNTIFS(Modelling[Date],"&lt;="&amp;Modelling[[#This Row],[Date]],Modelling[Month Year],Modelling[[#This Row],[Month Year]])*24*Modelling[[#This Row],[MTD DC Capcity]]))</f>
        <v>0.18352540716077503</v>
      </c>
      <c r="BX26" s="28">
        <f>BO26/((COUNTIFS(Modelling[Date],"&lt;="&amp;Modelling[[#This Row],[Date]],Modelling[Finacial Year],Modelling[[#This Row],[Finacial Year]])*24*Modelling[[#This Row],[MTD DC Capcity]]))</f>
        <v>0.18352540716077503</v>
      </c>
      <c r="BY26" s="4">
        <f>Modelling_old[[#This Row],[DC Capcity]]+Modelling_new[[#This Row],[Comisined DC ]]</f>
        <v>11.5031</v>
      </c>
      <c r="BZ26" s="4">
        <v>0</v>
      </c>
      <c r="CA26" s="4">
        <f>AVERAGEIFS(Modelling[[Comisined DC ]],Modelling[Date],"&lt;="&amp;Modelling[[#This Row],[Date]],Modelling[Month Year],Modelling[[#This Row],[Month Year]])</f>
        <v>11.503100000000002</v>
      </c>
      <c r="CB26" s="4">
        <f>AVERAGEIFS(Modelling[[Comisined DC ]],Modelling[Date],"&lt;="&amp;Modelling[[#This Row],[Date]],Modelling[Finacial Year],Modelling[[#This Row],[Finacial Year]])</f>
        <v>11.503100000000002</v>
      </c>
      <c r="CG26">
        <f t="shared" si="28"/>
        <v>9</v>
      </c>
      <c r="CH26">
        <f t="shared" si="29"/>
        <v>9</v>
      </c>
    </row>
    <row r="27" spans="1:86" x14ac:dyDescent="0.35">
      <c r="A27" s="27">
        <v>45026</v>
      </c>
      <c r="B27" s="5">
        <f>MONTH(Modelling_old[[#This Row],[Date]])</f>
        <v>4</v>
      </c>
      <c r="C27" s="25">
        <f t="shared" si="11"/>
        <v>2024</v>
      </c>
      <c r="D27" s="3">
        <f t="shared" si="12"/>
        <v>2023</v>
      </c>
      <c r="E27" s="3" t="s">
        <v>626</v>
      </c>
      <c r="F27" s="5" t="s">
        <v>626</v>
      </c>
      <c r="G27" s="102">
        <v>45017</v>
      </c>
      <c r="H27" s="5">
        <f t="shared" si="13"/>
        <v>30</v>
      </c>
      <c r="I27" s="5">
        <f t="shared" si="14"/>
        <v>4</v>
      </c>
      <c r="J27" s="4">
        <f t="shared" si="15"/>
        <v>50.666666666666664</v>
      </c>
      <c r="K27" s="4">
        <f>SUM($J$18:J27)</f>
        <v>506.66666666666674</v>
      </c>
      <c r="L27" s="4">
        <f>SUM($J$18:J27)</f>
        <v>506.66666666666674</v>
      </c>
      <c r="M27" s="4">
        <f t="shared" si="16"/>
        <v>6.6233333333333331</v>
      </c>
      <c r="N27" s="4">
        <f>SUM($M$18:M27)</f>
        <v>66.233333333333334</v>
      </c>
      <c r="O27" s="4">
        <f>SUM($M$18:M27)</f>
        <v>66.233333333333334</v>
      </c>
      <c r="P27" s="9">
        <f t="shared" si="17"/>
        <v>0.66501405715026674</v>
      </c>
      <c r="Q27" s="26">
        <f t="shared" si="18"/>
        <v>0.66501405715026696</v>
      </c>
      <c r="R27" s="26">
        <f t="shared" si="18"/>
        <v>0.66501405715026696</v>
      </c>
      <c r="S27" s="9">
        <f t="shared" si="19"/>
        <v>0.18352540716077503</v>
      </c>
      <c r="T27" s="9">
        <f>K27/((COUNT($K$18:K27))*24*$Q$1)</f>
        <v>0.18352540716077503</v>
      </c>
      <c r="U27" s="28">
        <f>L27/((COUNT($L$18:L27))*24*$Q$1)</f>
        <v>0.18352540716077503</v>
      </c>
      <c r="V27" s="134">
        <v>11.5031</v>
      </c>
      <c r="Y27" s="27">
        <f t="shared" si="26"/>
        <v>45026</v>
      </c>
      <c r="Z27" s="5">
        <f>MONTH(Modelling_new[[#This Row],[Date]])</f>
        <v>4</v>
      </c>
      <c r="AA27" s="25">
        <f>YEAR(Y27)+IF(MONTH(Modelling_new[[#This Row],[Date]])&gt;=4,1,0)</f>
        <v>2024</v>
      </c>
      <c r="AB27" s="3">
        <f t="shared" si="20"/>
        <v>2023</v>
      </c>
      <c r="AC27" s="3" t="s">
        <v>626</v>
      </c>
      <c r="AD27" s="5" t="s">
        <v>626</v>
      </c>
      <c r="AE27" s="102">
        <v>45017</v>
      </c>
      <c r="AF27" s="5">
        <f t="shared" si="21"/>
        <v>30</v>
      </c>
      <c r="AG27" s="5">
        <f t="shared" si="22"/>
        <v>4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BD27" s="27">
        <f t="shared" si="27"/>
        <v>45026</v>
      </c>
      <c r="BE27" s="5">
        <f>MONTH(Modelling[[#This Row],[Date]])</f>
        <v>4</v>
      </c>
      <c r="BF27" s="25">
        <f>YEAR(BD27)+IF(MONTH(Modelling[[#This Row],[Date]])&gt;=4,1,0)</f>
        <v>2024</v>
      </c>
      <c r="BG27" s="3">
        <f t="shared" si="23"/>
        <v>2023</v>
      </c>
      <c r="BH27" s="3" t="s">
        <v>626</v>
      </c>
      <c r="BI27" s="5" t="s">
        <v>626</v>
      </c>
      <c r="BJ27" s="102">
        <v>45017</v>
      </c>
      <c r="BK27" s="5">
        <f t="shared" si="24"/>
        <v>30</v>
      </c>
      <c r="BL27" s="5">
        <f t="shared" si="25"/>
        <v>4</v>
      </c>
      <c r="BM27" s="4">
        <f>Modelling_old[[#This Row],[Target E_Grid daily
MWh]]+Modelling_new[[#This Row],[Target E_Grid daily
MWh]]</f>
        <v>50.666666666666664</v>
      </c>
      <c r="BN27" s="4">
        <f>Modelling_old[[#This Row],[Target E_Grid MTD
MWh]]+Modelling_new[[#This Row],[Target E_Grid MTD
MWh]]</f>
        <v>506.66666666666674</v>
      </c>
      <c r="BO27" s="4">
        <f>Modelling_old[[#This Row],[Target E_Grid YTD
MWh]]+Modelling_new[[#This Row],[Target E_Grid YTD
MWh]]</f>
        <v>506.66666666666674</v>
      </c>
      <c r="BP2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27" s="4">
        <f>SUMIFS(Modelling[Target POA Daily (KWh/m2)],Modelling[Date],"&lt;="&amp;Modelling[[#This Row],[Date]],Modelling[Month Year],Modelling[[#This Row],[Month Year]])</f>
        <v>66.233333333333334</v>
      </c>
      <c r="BR27" s="4">
        <f>SUMIFS(Modelling[Target POA Daily (KWh/m2)],Modelling[Date],"&lt;="&amp;Modelling[[#This Row],[Date]],Modelling[Finacial Year],Modelling[[#This Row],[Finacial Year]])</f>
        <v>66.233333333333334</v>
      </c>
      <c r="BS27" s="9">
        <f>BM27/Modelling[[#This Row],[Comisined DC ]]/BP27</f>
        <v>0.66501405715026674</v>
      </c>
      <c r="BT27" s="9">
        <f>BN27/BQ27/Modelling[[#This Row],[Comisined DC ]]</f>
        <v>0.66501405715026696</v>
      </c>
      <c r="BU27" s="9">
        <f>BO27/BR27/Modelling[[#This Row],[Comisined DC ]]</f>
        <v>0.66501405715026696</v>
      </c>
      <c r="BV27" s="9">
        <f>BM27/(24*Modelling[[#This Row],[Comisined DC ]])</f>
        <v>0.18352540716077503</v>
      </c>
      <c r="BW27" s="9">
        <f>BN27/((COUNTIFS(Modelling[Date],"&lt;="&amp;Modelling[[#This Row],[Date]],Modelling[Month Year],Modelling[[#This Row],[Month Year]])*24*Modelling[[#This Row],[MTD DC Capcity]]))</f>
        <v>0.18352540716077501</v>
      </c>
      <c r="BX27" s="28">
        <f>BO27/((COUNTIFS(Modelling[Date],"&lt;="&amp;Modelling[[#This Row],[Date]],Modelling[Finacial Year],Modelling[[#This Row],[Finacial Year]])*24*Modelling[[#This Row],[MTD DC Capcity]]))</f>
        <v>0.18352540716077501</v>
      </c>
      <c r="BY27" s="4">
        <f>Modelling_old[[#This Row],[DC Capcity]]+Modelling_new[[#This Row],[Comisined DC ]]</f>
        <v>11.5031</v>
      </c>
      <c r="BZ27" s="4">
        <v>0</v>
      </c>
      <c r="CA27" s="4">
        <f>AVERAGEIFS(Modelling[[Comisined DC ]],Modelling[Date],"&lt;="&amp;Modelling[[#This Row],[Date]],Modelling[Month Year],Modelling[[#This Row],[Month Year]])</f>
        <v>11.503100000000002</v>
      </c>
      <c r="CB27" s="4">
        <f>AVERAGEIFS(Modelling[[Comisined DC ]],Modelling[Date],"&lt;="&amp;Modelling[[#This Row],[Date]],Modelling[Finacial Year],Modelling[[#This Row],[Finacial Year]])</f>
        <v>11.503100000000002</v>
      </c>
      <c r="CG27">
        <f t="shared" si="28"/>
        <v>10</v>
      </c>
      <c r="CH27">
        <f t="shared" si="29"/>
        <v>10</v>
      </c>
    </row>
    <row r="28" spans="1:86" x14ac:dyDescent="0.35">
      <c r="A28" s="27">
        <v>45027</v>
      </c>
      <c r="B28" s="5">
        <f>MONTH(Modelling_old[[#This Row],[Date]])</f>
        <v>4</v>
      </c>
      <c r="C28" s="25">
        <f t="shared" si="11"/>
        <v>2024</v>
      </c>
      <c r="D28" s="3">
        <f t="shared" si="12"/>
        <v>2023</v>
      </c>
      <c r="E28" s="3" t="s">
        <v>626</v>
      </c>
      <c r="F28" s="5" t="s">
        <v>626</v>
      </c>
      <c r="G28" s="102">
        <v>45017</v>
      </c>
      <c r="H28" s="5">
        <f t="shared" si="13"/>
        <v>30</v>
      </c>
      <c r="I28" s="5">
        <f t="shared" si="14"/>
        <v>4</v>
      </c>
      <c r="J28" s="4">
        <f t="shared" si="15"/>
        <v>50.666666666666664</v>
      </c>
      <c r="K28" s="4">
        <f>SUM($J$18:J28)</f>
        <v>557.33333333333337</v>
      </c>
      <c r="L28" s="4">
        <f>SUM($J$18:J28)</f>
        <v>557.33333333333337</v>
      </c>
      <c r="M28" s="4">
        <f t="shared" si="16"/>
        <v>6.6233333333333331</v>
      </c>
      <c r="N28" s="4">
        <f>SUM($M$18:M28)</f>
        <v>72.856666666666669</v>
      </c>
      <c r="O28" s="4">
        <f>SUM($M$18:M28)</f>
        <v>72.856666666666669</v>
      </c>
      <c r="P28" s="9">
        <f t="shared" si="17"/>
        <v>0.66501405715026674</v>
      </c>
      <c r="Q28" s="26">
        <f t="shared" si="18"/>
        <v>0.66501405715026685</v>
      </c>
      <c r="R28" s="26">
        <f t="shared" si="18"/>
        <v>0.66501405715026685</v>
      </c>
      <c r="S28" s="9">
        <f t="shared" si="19"/>
        <v>0.18352540716077503</v>
      </c>
      <c r="T28" s="9">
        <f>K28/((COUNT($K$18:K28))*24*$Q$1)</f>
        <v>0.18352540716077503</v>
      </c>
      <c r="U28" s="28">
        <f>L28/((COUNT($L$18:L28))*24*$Q$1)</f>
        <v>0.18352540716077503</v>
      </c>
      <c r="V28" s="134">
        <v>11.5031</v>
      </c>
      <c r="Y28" s="27">
        <f t="shared" si="26"/>
        <v>45027</v>
      </c>
      <c r="Z28" s="5">
        <f>MONTH(Modelling_new[[#This Row],[Date]])</f>
        <v>4</v>
      </c>
      <c r="AA28" s="25">
        <f>YEAR(Y28)+IF(MONTH(Modelling_new[[#This Row],[Date]])&gt;=4,1,0)</f>
        <v>2024</v>
      </c>
      <c r="AB28" s="3">
        <f t="shared" si="20"/>
        <v>2023</v>
      </c>
      <c r="AC28" s="3" t="s">
        <v>626</v>
      </c>
      <c r="AD28" s="5" t="s">
        <v>626</v>
      </c>
      <c r="AE28" s="102">
        <v>45017</v>
      </c>
      <c r="AF28" s="5">
        <f t="shared" si="21"/>
        <v>30</v>
      </c>
      <c r="AG28" s="5">
        <f t="shared" si="22"/>
        <v>4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BD28" s="27">
        <f t="shared" si="27"/>
        <v>45027</v>
      </c>
      <c r="BE28" s="5">
        <f>MONTH(Modelling[[#This Row],[Date]])</f>
        <v>4</v>
      </c>
      <c r="BF28" s="25">
        <f>YEAR(BD28)+IF(MONTH(Modelling[[#This Row],[Date]])&gt;=4,1,0)</f>
        <v>2024</v>
      </c>
      <c r="BG28" s="3">
        <f t="shared" si="23"/>
        <v>2023</v>
      </c>
      <c r="BH28" s="3" t="s">
        <v>626</v>
      </c>
      <c r="BI28" s="5" t="s">
        <v>626</v>
      </c>
      <c r="BJ28" s="102">
        <v>45017</v>
      </c>
      <c r="BK28" s="5">
        <f t="shared" si="24"/>
        <v>30</v>
      </c>
      <c r="BL28" s="5">
        <f t="shared" si="25"/>
        <v>4</v>
      </c>
      <c r="BM28" s="4">
        <f>Modelling_old[[#This Row],[Target E_Grid daily
MWh]]+Modelling_new[[#This Row],[Target E_Grid daily
MWh]]</f>
        <v>50.666666666666664</v>
      </c>
      <c r="BN28" s="4">
        <f>Modelling_old[[#This Row],[Target E_Grid MTD
MWh]]+Modelling_new[[#This Row],[Target E_Grid MTD
MWh]]</f>
        <v>557.33333333333337</v>
      </c>
      <c r="BO28" s="4">
        <f>Modelling_old[[#This Row],[Target E_Grid YTD
MWh]]+Modelling_new[[#This Row],[Target E_Grid YTD
MWh]]</f>
        <v>557.33333333333337</v>
      </c>
      <c r="BP2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28" s="4">
        <f>SUMIFS(Modelling[Target POA Daily (KWh/m2)],Modelling[Date],"&lt;="&amp;Modelling[[#This Row],[Date]],Modelling[Month Year],Modelling[[#This Row],[Month Year]])</f>
        <v>72.856666666666669</v>
      </c>
      <c r="BR28" s="4">
        <f>SUMIFS(Modelling[Target POA Daily (KWh/m2)],Modelling[Date],"&lt;="&amp;Modelling[[#This Row],[Date]],Modelling[Finacial Year],Modelling[[#This Row],[Finacial Year]])</f>
        <v>72.856666666666669</v>
      </c>
      <c r="BS28" s="9">
        <f>BM28/Modelling[[#This Row],[Comisined DC ]]/BP28</f>
        <v>0.66501405715026674</v>
      </c>
      <c r="BT28" s="9">
        <f>BN28/BQ28/Modelling[[#This Row],[Comisined DC ]]</f>
        <v>0.66501405715026685</v>
      </c>
      <c r="BU28" s="9">
        <f>BO28/BR28/Modelling[[#This Row],[Comisined DC ]]</f>
        <v>0.66501405715026685</v>
      </c>
      <c r="BV28" s="9">
        <f>BM28/(24*Modelling[[#This Row],[Comisined DC ]])</f>
        <v>0.18352540716077503</v>
      </c>
      <c r="BW28" s="9">
        <f>BN28/((COUNTIFS(Modelling[Date],"&lt;="&amp;Modelling[[#This Row],[Date]],Modelling[Month Year],Modelling[[#This Row],[Month Year]])*24*Modelling[[#This Row],[MTD DC Capcity]]))</f>
        <v>0.18352540716077501</v>
      </c>
      <c r="BX28" s="28">
        <f>BO28/((COUNTIFS(Modelling[Date],"&lt;="&amp;Modelling[[#This Row],[Date]],Modelling[Finacial Year],Modelling[[#This Row],[Finacial Year]])*24*Modelling[[#This Row],[MTD DC Capcity]]))</f>
        <v>0.18352540716077501</v>
      </c>
      <c r="BY28" s="4">
        <f>Modelling_old[[#This Row],[DC Capcity]]+Modelling_new[[#This Row],[Comisined DC ]]</f>
        <v>11.5031</v>
      </c>
      <c r="BZ28" s="4">
        <v>0</v>
      </c>
      <c r="CA28" s="4">
        <f>AVERAGEIFS(Modelling[[Comisined DC ]],Modelling[Date],"&lt;="&amp;Modelling[[#This Row],[Date]],Modelling[Month Year],Modelling[[#This Row],[Month Year]])</f>
        <v>11.503100000000002</v>
      </c>
      <c r="CB28" s="4">
        <f>AVERAGEIFS(Modelling[[Comisined DC ]],Modelling[Date],"&lt;="&amp;Modelling[[#This Row],[Date]],Modelling[Finacial Year],Modelling[[#This Row],[Finacial Year]])</f>
        <v>11.503100000000002</v>
      </c>
      <c r="CG28">
        <f t="shared" si="28"/>
        <v>11</v>
      </c>
      <c r="CH28">
        <f t="shared" si="29"/>
        <v>11</v>
      </c>
    </row>
    <row r="29" spans="1:86" x14ac:dyDescent="0.35">
      <c r="A29" s="27">
        <v>45028</v>
      </c>
      <c r="B29" s="5">
        <f>MONTH(Modelling_old[[#This Row],[Date]])</f>
        <v>4</v>
      </c>
      <c r="C29" s="25">
        <f t="shared" si="11"/>
        <v>2024</v>
      </c>
      <c r="D29" s="3">
        <f t="shared" si="12"/>
        <v>2023</v>
      </c>
      <c r="E29" s="3" t="s">
        <v>626</v>
      </c>
      <c r="F29" s="5" t="s">
        <v>626</v>
      </c>
      <c r="G29" s="102">
        <v>45017</v>
      </c>
      <c r="H29" s="5">
        <f t="shared" si="13"/>
        <v>30</v>
      </c>
      <c r="I29" s="5">
        <f t="shared" si="14"/>
        <v>4</v>
      </c>
      <c r="J29" s="4">
        <f t="shared" si="15"/>
        <v>50.666666666666664</v>
      </c>
      <c r="K29" s="4">
        <f>SUM($J$18:J29)</f>
        <v>608</v>
      </c>
      <c r="L29" s="4">
        <f>SUM($J$18:J29)</f>
        <v>608</v>
      </c>
      <c r="M29" s="4">
        <f t="shared" si="16"/>
        <v>6.6233333333333331</v>
      </c>
      <c r="N29" s="4">
        <f>SUM($M$18:M29)</f>
        <v>79.48</v>
      </c>
      <c r="O29" s="4">
        <f>SUM($M$18:M29)</f>
        <v>79.48</v>
      </c>
      <c r="P29" s="9">
        <f t="shared" si="17"/>
        <v>0.66501405715026674</v>
      </c>
      <c r="Q29" s="26">
        <f t="shared" si="18"/>
        <v>0.66501405715026674</v>
      </c>
      <c r="R29" s="26">
        <f t="shared" si="18"/>
        <v>0.66501405715026674</v>
      </c>
      <c r="S29" s="9">
        <f t="shared" si="19"/>
        <v>0.18352540716077503</v>
      </c>
      <c r="T29" s="9">
        <f>K29/((COUNT($K$18:K29))*24*$Q$1)</f>
        <v>0.18352540716077501</v>
      </c>
      <c r="U29" s="28">
        <f>L29/((COUNT($L$18:L29))*24*$Q$1)</f>
        <v>0.18352540716077501</v>
      </c>
      <c r="V29" s="134">
        <v>11.5031</v>
      </c>
      <c r="Y29" s="27">
        <f t="shared" si="26"/>
        <v>45028</v>
      </c>
      <c r="Z29" s="5">
        <f>MONTH(Modelling_new[[#This Row],[Date]])</f>
        <v>4</v>
      </c>
      <c r="AA29" s="25">
        <f>YEAR(Y29)+IF(MONTH(Modelling_new[[#This Row],[Date]])&gt;=4,1,0)</f>
        <v>2024</v>
      </c>
      <c r="AB29" s="3">
        <f t="shared" si="20"/>
        <v>2023</v>
      </c>
      <c r="AC29" s="3" t="s">
        <v>626</v>
      </c>
      <c r="AD29" s="5" t="s">
        <v>626</v>
      </c>
      <c r="AE29" s="102">
        <v>45017</v>
      </c>
      <c r="AF29" s="5">
        <f t="shared" si="21"/>
        <v>30</v>
      </c>
      <c r="AG29" s="5">
        <f t="shared" si="22"/>
        <v>4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BD29" s="27">
        <f t="shared" si="27"/>
        <v>45028</v>
      </c>
      <c r="BE29" s="5">
        <f>MONTH(Modelling[[#This Row],[Date]])</f>
        <v>4</v>
      </c>
      <c r="BF29" s="25">
        <f>YEAR(BD29)+IF(MONTH(Modelling[[#This Row],[Date]])&gt;=4,1,0)</f>
        <v>2024</v>
      </c>
      <c r="BG29" s="3">
        <f t="shared" si="23"/>
        <v>2023</v>
      </c>
      <c r="BH29" s="3" t="s">
        <v>626</v>
      </c>
      <c r="BI29" s="5" t="s">
        <v>626</v>
      </c>
      <c r="BJ29" s="102">
        <v>45017</v>
      </c>
      <c r="BK29" s="5">
        <f t="shared" si="24"/>
        <v>30</v>
      </c>
      <c r="BL29" s="5">
        <f t="shared" si="25"/>
        <v>4</v>
      </c>
      <c r="BM29" s="4">
        <f>Modelling_old[[#This Row],[Target E_Grid daily
MWh]]+Modelling_new[[#This Row],[Target E_Grid daily
MWh]]</f>
        <v>50.666666666666664</v>
      </c>
      <c r="BN29" s="4">
        <f>Modelling_old[[#This Row],[Target E_Grid MTD
MWh]]+Modelling_new[[#This Row],[Target E_Grid MTD
MWh]]</f>
        <v>608</v>
      </c>
      <c r="BO29" s="4">
        <f>Modelling_old[[#This Row],[Target E_Grid YTD
MWh]]+Modelling_new[[#This Row],[Target E_Grid YTD
MWh]]</f>
        <v>608</v>
      </c>
      <c r="BP2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29" s="4">
        <f>SUMIFS(Modelling[Target POA Daily (KWh/m2)],Modelling[Date],"&lt;="&amp;Modelling[[#This Row],[Date]],Modelling[Month Year],Modelling[[#This Row],[Month Year]])</f>
        <v>79.48</v>
      </c>
      <c r="BR29" s="4">
        <f>SUMIFS(Modelling[Target POA Daily (KWh/m2)],Modelling[Date],"&lt;="&amp;Modelling[[#This Row],[Date]],Modelling[Finacial Year],Modelling[[#This Row],[Finacial Year]])</f>
        <v>79.48</v>
      </c>
      <c r="BS29" s="9">
        <f>BM29/Modelling[[#This Row],[Comisined DC ]]/BP29</f>
        <v>0.66501405715026674</v>
      </c>
      <c r="BT29" s="9">
        <f>BN29/BQ29/Modelling[[#This Row],[Comisined DC ]]</f>
        <v>0.66501405715026674</v>
      </c>
      <c r="BU29" s="9">
        <f>BO29/BR29/Modelling[[#This Row],[Comisined DC ]]</f>
        <v>0.66501405715026674</v>
      </c>
      <c r="BV29" s="9">
        <f>BM29/(24*Modelling[[#This Row],[Comisined DC ]])</f>
        <v>0.18352540716077503</v>
      </c>
      <c r="BW29" s="9">
        <f>BN29/((COUNTIFS(Modelling[Date],"&lt;="&amp;Modelling[[#This Row],[Date]],Modelling[Month Year],Modelling[[#This Row],[Month Year]])*24*Modelling[[#This Row],[MTD DC Capcity]]))</f>
        <v>0.18352540716077498</v>
      </c>
      <c r="BX29" s="28">
        <f>BO29/((COUNTIFS(Modelling[Date],"&lt;="&amp;Modelling[[#This Row],[Date]],Modelling[Finacial Year],Modelling[[#This Row],[Finacial Year]])*24*Modelling[[#This Row],[MTD DC Capcity]]))</f>
        <v>0.18352540716077498</v>
      </c>
      <c r="BY29" s="4">
        <f>Modelling_old[[#This Row],[DC Capcity]]+Modelling_new[[#This Row],[Comisined DC ]]</f>
        <v>11.5031</v>
      </c>
      <c r="BZ29" s="4">
        <v>0</v>
      </c>
      <c r="CA29" s="4">
        <f>AVERAGEIFS(Modelling[[Comisined DC ]],Modelling[Date],"&lt;="&amp;Modelling[[#This Row],[Date]],Modelling[Month Year],Modelling[[#This Row],[Month Year]])</f>
        <v>11.503100000000002</v>
      </c>
      <c r="CB29" s="4">
        <f>AVERAGEIFS(Modelling[[Comisined DC ]],Modelling[Date],"&lt;="&amp;Modelling[[#This Row],[Date]],Modelling[Finacial Year],Modelling[[#This Row],[Finacial Year]])</f>
        <v>11.503100000000002</v>
      </c>
      <c r="CG29">
        <f t="shared" si="28"/>
        <v>12</v>
      </c>
      <c r="CH29">
        <f t="shared" si="29"/>
        <v>12</v>
      </c>
    </row>
    <row r="30" spans="1:86" x14ac:dyDescent="0.35">
      <c r="A30" s="27">
        <v>45029</v>
      </c>
      <c r="B30" s="5">
        <f>MONTH(Modelling_old[[#This Row],[Date]])</f>
        <v>4</v>
      </c>
      <c r="C30" s="25">
        <f t="shared" si="11"/>
        <v>2024</v>
      </c>
      <c r="D30" s="3">
        <f t="shared" si="12"/>
        <v>2023</v>
      </c>
      <c r="E30" s="3" t="s">
        <v>626</v>
      </c>
      <c r="F30" s="5" t="s">
        <v>626</v>
      </c>
      <c r="G30" s="102">
        <v>45017</v>
      </c>
      <c r="H30" s="5">
        <f t="shared" si="13"/>
        <v>30</v>
      </c>
      <c r="I30" s="5">
        <f t="shared" si="14"/>
        <v>4</v>
      </c>
      <c r="J30" s="4">
        <f t="shared" si="15"/>
        <v>50.666666666666664</v>
      </c>
      <c r="K30" s="4">
        <f>SUM($J$18:J30)</f>
        <v>658.66666666666663</v>
      </c>
      <c r="L30" s="4">
        <f>SUM($J$18:J30)</f>
        <v>658.66666666666663</v>
      </c>
      <c r="M30" s="4">
        <f t="shared" si="16"/>
        <v>6.6233333333333331</v>
      </c>
      <c r="N30" s="4">
        <f>SUM($M$18:M30)</f>
        <v>86.103333333333339</v>
      </c>
      <c r="O30" s="4">
        <f>SUM($M$18:M30)</f>
        <v>86.103333333333339</v>
      </c>
      <c r="P30" s="9">
        <f t="shared" si="17"/>
        <v>0.66501405715026674</v>
      </c>
      <c r="Q30" s="26">
        <f t="shared" si="18"/>
        <v>0.66501405715026674</v>
      </c>
      <c r="R30" s="26">
        <f t="shared" si="18"/>
        <v>0.66501405715026674</v>
      </c>
      <c r="S30" s="9">
        <f t="shared" si="19"/>
        <v>0.18352540716077503</v>
      </c>
      <c r="T30" s="9">
        <f>K30/((COUNT($K$18:K30))*24*$Q$1)</f>
        <v>0.18352540716077501</v>
      </c>
      <c r="U30" s="28">
        <f>L30/((COUNT($L$18:L30))*24*$Q$1)</f>
        <v>0.18352540716077501</v>
      </c>
      <c r="V30" s="134">
        <v>11.5031</v>
      </c>
      <c r="Y30" s="27">
        <f t="shared" si="26"/>
        <v>45029</v>
      </c>
      <c r="Z30" s="5">
        <f>MONTH(Modelling_new[[#This Row],[Date]])</f>
        <v>4</v>
      </c>
      <c r="AA30" s="25">
        <f>YEAR(Y30)+IF(MONTH(Modelling_new[[#This Row],[Date]])&gt;=4,1,0)</f>
        <v>2024</v>
      </c>
      <c r="AB30" s="3">
        <f t="shared" si="20"/>
        <v>2023</v>
      </c>
      <c r="AC30" s="3" t="s">
        <v>626</v>
      </c>
      <c r="AD30" s="5" t="s">
        <v>626</v>
      </c>
      <c r="AE30" s="102">
        <v>45017</v>
      </c>
      <c r="AF30" s="5">
        <f t="shared" si="21"/>
        <v>30</v>
      </c>
      <c r="AG30" s="5">
        <f t="shared" si="22"/>
        <v>4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BD30" s="27">
        <f t="shared" si="27"/>
        <v>45029</v>
      </c>
      <c r="BE30" s="5">
        <f>MONTH(Modelling[[#This Row],[Date]])</f>
        <v>4</v>
      </c>
      <c r="BF30" s="25">
        <f>YEAR(BD30)+IF(MONTH(Modelling[[#This Row],[Date]])&gt;=4,1,0)</f>
        <v>2024</v>
      </c>
      <c r="BG30" s="3">
        <f t="shared" si="23"/>
        <v>2023</v>
      </c>
      <c r="BH30" s="3" t="s">
        <v>626</v>
      </c>
      <c r="BI30" s="5" t="s">
        <v>626</v>
      </c>
      <c r="BJ30" s="102">
        <v>45017</v>
      </c>
      <c r="BK30" s="5">
        <f t="shared" si="24"/>
        <v>30</v>
      </c>
      <c r="BL30" s="5">
        <f t="shared" si="25"/>
        <v>4</v>
      </c>
      <c r="BM30" s="4">
        <f>Modelling_old[[#This Row],[Target E_Grid daily
MWh]]+Modelling_new[[#This Row],[Target E_Grid daily
MWh]]</f>
        <v>50.666666666666664</v>
      </c>
      <c r="BN30" s="4">
        <f>Modelling_old[[#This Row],[Target E_Grid MTD
MWh]]+Modelling_new[[#This Row],[Target E_Grid MTD
MWh]]</f>
        <v>658.66666666666663</v>
      </c>
      <c r="BO30" s="4">
        <f>Modelling_old[[#This Row],[Target E_Grid YTD
MWh]]+Modelling_new[[#This Row],[Target E_Grid YTD
MWh]]</f>
        <v>658.66666666666663</v>
      </c>
      <c r="BP3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30" s="4">
        <f>SUMIFS(Modelling[Target POA Daily (KWh/m2)],Modelling[Date],"&lt;="&amp;Modelling[[#This Row],[Date]],Modelling[Month Year],Modelling[[#This Row],[Month Year]])</f>
        <v>86.103333333333339</v>
      </c>
      <c r="BR30" s="4">
        <f>SUMIFS(Modelling[Target POA Daily (KWh/m2)],Modelling[Date],"&lt;="&amp;Modelling[[#This Row],[Date]],Modelling[Finacial Year],Modelling[[#This Row],[Finacial Year]])</f>
        <v>86.103333333333339</v>
      </c>
      <c r="BS30" s="9">
        <f>BM30/Modelling[[#This Row],[Comisined DC ]]/BP30</f>
        <v>0.66501405715026674</v>
      </c>
      <c r="BT30" s="9">
        <f>BN30/BQ30/Modelling[[#This Row],[Comisined DC ]]</f>
        <v>0.66501405715026674</v>
      </c>
      <c r="BU30" s="9">
        <f>BO30/BR30/Modelling[[#This Row],[Comisined DC ]]</f>
        <v>0.66501405715026674</v>
      </c>
      <c r="BV30" s="9">
        <f>BM30/(24*Modelling[[#This Row],[Comisined DC ]])</f>
        <v>0.18352540716077503</v>
      </c>
      <c r="BW30" s="9">
        <f>BN30/((COUNTIFS(Modelling[Date],"&lt;="&amp;Modelling[[#This Row],[Date]],Modelling[Month Year],Modelling[[#This Row],[Month Year]])*24*Modelling[[#This Row],[MTD DC Capcity]]))</f>
        <v>0.18352540716077501</v>
      </c>
      <c r="BX30" s="28">
        <f>BO30/((COUNTIFS(Modelling[Date],"&lt;="&amp;Modelling[[#This Row],[Date]],Modelling[Finacial Year],Modelling[[#This Row],[Finacial Year]])*24*Modelling[[#This Row],[MTD DC Capcity]]))</f>
        <v>0.18352540716077501</v>
      </c>
      <c r="BY30" s="4">
        <f>Modelling_old[[#This Row],[DC Capcity]]+Modelling_new[[#This Row],[Comisined DC ]]</f>
        <v>11.5031</v>
      </c>
      <c r="BZ30" s="4">
        <v>0</v>
      </c>
      <c r="CA30" s="4">
        <f>AVERAGEIFS(Modelling[[Comisined DC ]],Modelling[Date],"&lt;="&amp;Modelling[[#This Row],[Date]],Modelling[Month Year],Modelling[[#This Row],[Month Year]])</f>
        <v>11.5031</v>
      </c>
      <c r="CB30" s="4">
        <f>AVERAGEIFS(Modelling[[Comisined DC ]],Modelling[Date],"&lt;="&amp;Modelling[[#This Row],[Date]],Modelling[Finacial Year],Modelling[[#This Row],[Finacial Year]])</f>
        <v>11.5031</v>
      </c>
      <c r="CG30">
        <f t="shared" si="28"/>
        <v>13</v>
      </c>
      <c r="CH30">
        <f t="shared" si="29"/>
        <v>13</v>
      </c>
    </row>
    <row r="31" spans="1:86" x14ac:dyDescent="0.35">
      <c r="A31" s="27">
        <v>45030</v>
      </c>
      <c r="B31" s="5">
        <f>MONTH(Modelling_old[[#This Row],[Date]])</f>
        <v>4</v>
      </c>
      <c r="C31" s="25">
        <f t="shared" si="11"/>
        <v>2024</v>
      </c>
      <c r="D31" s="3">
        <f t="shared" si="12"/>
        <v>2023</v>
      </c>
      <c r="E31" s="3" t="s">
        <v>626</v>
      </c>
      <c r="F31" s="5" t="s">
        <v>626</v>
      </c>
      <c r="G31" s="102">
        <v>45017</v>
      </c>
      <c r="H31" s="5">
        <f t="shared" si="13"/>
        <v>30</v>
      </c>
      <c r="I31" s="5">
        <f t="shared" si="14"/>
        <v>4</v>
      </c>
      <c r="J31" s="4">
        <f t="shared" si="15"/>
        <v>50.666666666666664</v>
      </c>
      <c r="K31" s="4">
        <f>SUM($J$18:J31)</f>
        <v>709.33333333333326</v>
      </c>
      <c r="L31" s="4">
        <f>SUM($J$18:J31)</f>
        <v>709.33333333333326</v>
      </c>
      <c r="M31" s="4">
        <f t="shared" si="16"/>
        <v>6.6233333333333331</v>
      </c>
      <c r="N31" s="4">
        <f>SUM($M$18:M31)</f>
        <v>92.726666666666674</v>
      </c>
      <c r="O31" s="4">
        <f>SUM($M$18:M31)</f>
        <v>92.726666666666674</v>
      </c>
      <c r="P31" s="9">
        <f t="shared" si="17"/>
        <v>0.66501405715026674</v>
      </c>
      <c r="Q31" s="26">
        <f t="shared" si="18"/>
        <v>0.66501405715026674</v>
      </c>
      <c r="R31" s="26">
        <f t="shared" si="18"/>
        <v>0.66501405715026674</v>
      </c>
      <c r="S31" s="9">
        <f t="shared" si="19"/>
        <v>0.18352540716077503</v>
      </c>
      <c r="T31" s="9">
        <f>K31/((COUNT($K$18:K31))*24*$Q$1)</f>
        <v>0.18352540716077501</v>
      </c>
      <c r="U31" s="28">
        <f>L31/((COUNT($L$18:L31))*24*$Q$1)</f>
        <v>0.18352540716077501</v>
      </c>
      <c r="V31" s="134">
        <v>11.5031</v>
      </c>
      <c r="Y31" s="27">
        <f t="shared" si="26"/>
        <v>45030</v>
      </c>
      <c r="Z31" s="5">
        <f>MONTH(Modelling_new[[#This Row],[Date]])</f>
        <v>4</v>
      </c>
      <c r="AA31" s="25">
        <f>YEAR(Y31)+IF(MONTH(Modelling_new[[#This Row],[Date]])&gt;=4,1,0)</f>
        <v>2024</v>
      </c>
      <c r="AB31" s="3">
        <f t="shared" si="20"/>
        <v>2023</v>
      </c>
      <c r="AC31" s="3" t="s">
        <v>626</v>
      </c>
      <c r="AD31" s="5" t="s">
        <v>626</v>
      </c>
      <c r="AE31" s="102">
        <v>45017</v>
      </c>
      <c r="AF31" s="5">
        <f t="shared" si="21"/>
        <v>30</v>
      </c>
      <c r="AG31" s="5">
        <f t="shared" si="22"/>
        <v>4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BD31" s="27">
        <f t="shared" si="27"/>
        <v>45030</v>
      </c>
      <c r="BE31" s="5">
        <f>MONTH(Modelling[[#This Row],[Date]])</f>
        <v>4</v>
      </c>
      <c r="BF31" s="25">
        <f>YEAR(BD31)+IF(MONTH(Modelling[[#This Row],[Date]])&gt;=4,1,0)</f>
        <v>2024</v>
      </c>
      <c r="BG31" s="3">
        <f t="shared" si="23"/>
        <v>2023</v>
      </c>
      <c r="BH31" s="3" t="s">
        <v>626</v>
      </c>
      <c r="BI31" s="5" t="s">
        <v>626</v>
      </c>
      <c r="BJ31" s="102">
        <v>45017</v>
      </c>
      <c r="BK31" s="5">
        <f t="shared" si="24"/>
        <v>30</v>
      </c>
      <c r="BL31" s="5">
        <f t="shared" si="25"/>
        <v>4</v>
      </c>
      <c r="BM31" s="4">
        <f>Modelling_old[[#This Row],[Target E_Grid daily
MWh]]+Modelling_new[[#This Row],[Target E_Grid daily
MWh]]</f>
        <v>50.666666666666664</v>
      </c>
      <c r="BN31" s="4">
        <f>Modelling_old[[#This Row],[Target E_Grid MTD
MWh]]+Modelling_new[[#This Row],[Target E_Grid MTD
MWh]]</f>
        <v>709.33333333333326</v>
      </c>
      <c r="BO31" s="4">
        <f>Modelling_old[[#This Row],[Target E_Grid YTD
MWh]]+Modelling_new[[#This Row],[Target E_Grid YTD
MWh]]</f>
        <v>709.33333333333326</v>
      </c>
      <c r="BP3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31" s="4">
        <f>SUMIFS(Modelling[Target POA Daily (KWh/m2)],Modelling[Date],"&lt;="&amp;Modelling[[#This Row],[Date]],Modelling[Month Year],Modelling[[#This Row],[Month Year]])</f>
        <v>92.726666666666674</v>
      </c>
      <c r="BR31" s="4">
        <f>SUMIFS(Modelling[Target POA Daily (KWh/m2)],Modelling[Date],"&lt;="&amp;Modelling[[#This Row],[Date]],Modelling[Finacial Year],Modelling[[#This Row],[Finacial Year]])</f>
        <v>92.726666666666674</v>
      </c>
      <c r="BS31" s="9">
        <f>BM31/Modelling[[#This Row],[Comisined DC ]]/BP31</f>
        <v>0.66501405715026674</v>
      </c>
      <c r="BT31" s="9">
        <f>BN31/BQ31/Modelling[[#This Row],[Comisined DC ]]</f>
        <v>0.66501405715026674</v>
      </c>
      <c r="BU31" s="9">
        <f>BO31/BR31/Modelling[[#This Row],[Comisined DC ]]</f>
        <v>0.66501405715026674</v>
      </c>
      <c r="BV31" s="9">
        <f>BM31/(24*Modelling[[#This Row],[Comisined DC ]])</f>
        <v>0.18352540716077503</v>
      </c>
      <c r="BW31" s="9">
        <f>BN31/((COUNTIFS(Modelling[Date],"&lt;="&amp;Modelling[[#This Row],[Date]],Modelling[Month Year],Modelling[[#This Row],[Month Year]])*24*Modelling[[#This Row],[MTD DC Capcity]]))</f>
        <v>0.18352540716077501</v>
      </c>
      <c r="BX31" s="28">
        <f>BO31/((COUNTIFS(Modelling[Date],"&lt;="&amp;Modelling[[#This Row],[Date]],Modelling[Finacial Year],Modelling[[#This Row],[Finacial Year]])*24*Modelling[[#This Row],[MTD DC Capcity]]))</f>
        <v>0.18352540716077501</v>
      </c>
      <c r="BY31" s="4">
        <f>Modelling_old[[#This Row],[DC Capcity]]+Modelling_new[[#This Row],[Comisined DC ]]</f>
        <v>11.5031</v>
      </c>
      <c r="BZ31" s="4">
        <v>0</v>
      </c>
      <c r="CA31" s="4">
        <f>AVERAGEIFS(Modelling[[Comisined DC ]],Modelling[Date],"&lt;="&amp;Modelling[[#This Row],[Date]],Modelling[Month Year],Modelling[[#This Row],[Month Year]])</f>
        <v>11.5031</v>
      </c>
      <c r="CB31" s="4">
        <f>AVERAGEIFS(Modelling[[Comisined DC ]],Modelling[Date],"&lt;="&amp;Modelling[[#This Row],[Date]],Modelling[Finacial Year],Modelling[[#This Row],[Finacial Year]])</f>
        <v>11.5031</v>
      </c>
      <c r="CG31">
        <f t="shared" si="28"/>
        <v>14</v>
      </c>
      <c r="CH31">
        <f t="shared" si="29"/>
        <v>14</v>
      </c>
    </row>
    <row r="32" spans="1:86" x14ac:dyDescent="0.35">
      <c r="A32" s="27">
        <v>45031</v>
      </c>
      <c r="B32" s="5">
        <f>MONTH(Modelling_old[[#This Row],[Date]])</f>
        <v>4</v>
      </c>
      <c r="C32" s="25">
        <f t="shared" si="11"/>
        <v>2024</v>
      </c>
      <c r="D32" s="3">
        <f t="shared" si="12"/>
        <v>2023</v>
      </c>
      <c r="E32" s="3" t="s">
        <v>626</v>
      </c>
      <c r="F32" s="5" t="s">
        <v>626</v>
      </c>
      <c r="G32" s="102">
        <v>45017</v>
      </c>
      <c r="H32" s="5">
        <f t="shared" si="13"/>
        <v>30</v>
      </c>
      <c r="I32" s="5">
        <f t="shared" si="14"/>
        <v>4</v>
      </c>
      <c r="J32" s="4">
        <f t="shared" si="15"/>
        <v>50.666666666666664</v>
      </c>
      <c r="K32" s="4">
        <f>SUM($J$18:J32)</f>
        <v>759.99999999999989</v>
      </c>
      <c r="L32" s="4">
        <f>SUM($J$18:J32)</f>
        <v>759.99999999999989</v>
      </c>
      <c r="M32" s="4">
        <f t="shared" si="16"/>
        <v>6.6233333333333331</v>
      </c>
      <c r="N32" s="4">
        <f>SUM($M$18:M32)</f>
        <v>99.350000000000009</v>
      </c>
      <c r="O32" s="4">
        <f>SUM($M$18:M32)</f>
        <v>99.350000000000009</v>
      </c>
      <c r="P32" s="9">
        <f t="shared" si="17"/>
        <v>0.66501405715026674</v>
      </c>
      <c r="Q32" s="26">
        <f t="shared" si="18"/>
        <v>0.66501405715026662</v>
      </c>
      <c r="R32" s="26">
        <f t="shared" si="18"/>
        <v>0.66501405715026662</v>
      </c>
      <c r="S32" s="9">
        <f t="shared" si="19"/>
        <v>0.18352540716077503</v>
      </c>
      <c r="T32" s="9">
        <f>K32/((COUNT($K$18:K32))*24*$Q$1)</f>
        <v>0.18352540716077498</v>
      </c>
      <c r="U32" s="28">
        <f>L32/((COUNT($L$18:L32))*24*$Q$1)</f>
        <v>0.18352540716077498</v>
      </c>
      <c r="V32" s="134">
        <v>11.5031</v>
      </c>
      <c r="Y32" s="27">
        <f t="shared" si="26"/>
        <v>45031</v>
      </c>
      <c r="Z32" s="5">
        <f>MONTH(Modelling_new[[#This Row],[Date]])</f>
        <v>4</v>
      </c>
      <c r="AA32" s="25">
        <f>YEAR(Y32)+IF(MONTH(Modelling_new[[#This Row],[Date]])&gt;=4,1,0)</f>
        <v>2024</v>
      </c>
      <c r="AB32" s="3">
        <f t="shared" si="20"/>
        <v>2023</v>
      </c>
      <c r="AC32" s="3" t="s">
        <v>626</v>
      </c>
      <c r="AD32" s="5" t="s">
        <v>626</v>
      </c>
      <c r="AE32" s="102">
        <v>45017</v>
      </c>
      <c r="AF32" s="5">
        <f t="shared" si="21"/>
        <v>30</v>
      </c>
      <c r="AG32" s="5">
        <f t="shared" si="22"/>
        <v>4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BD32" s="27">
        <f t="shared" si="27"/>
        <v>45031</v>
      </c>
      <c r="BE32" s="5">
        <f>MONTH(Modelling[[#This Row],[Date]])</f>
        <v>4</v>
      </c>
      <c r="BF32" s="25">
        <f>YEAR(BD32)+IF(MONTH(Modelling[[#This Row],[Date]])&gt;=4,1,0)</f>
        <v>2024</v>
      </c>
      <c r="BG32" s="3">
        <f t="shared" si="23"/>
        <v>2023</v>
      </c>
      <c r="BH32" s="3" t="s">
        <v>626</v>
      </c>
      <c r="BI32" s="5" t="s">
        <v>626</v>
      </c>
      <c r="BJ32" s="102">
        <v>45017</v>
      </c>
      <c r="BK32" s="5">
        <f t="shared" si="24"/>
        <v>30</v>
      </c>
      <c r="BL32" s="5">
        <f t="shared" si="25"/>
        <v>4</v>
      </c>
      <c r="BM32" s="4">
        <f>Modelling_old[[#This Row],[Target E_Grid daily
MWh]]+Modelling_new[[#This Row],[Target E_Grid daily
MWh]]</f>
        <v>50.666666666666664</v>
      </c>
      <c r="BN32" s="4">
        <f>Modelling_old[[#This Row],[Target E_Grid MTD
MWh]]+Modelling_new[[#This Row],[Target E_Grid MTD
MWh]]</f>
        <v>759.99999999999989</v>
      </c>
      <c r="BO32" s="4">
        <f>Modelling_old[[#This Row],[Target E_Grid YTD
MWh]]+Modelling_new[[#This Row],[Target E_Grid YTD
MWh]]</f>
        <v>759.99999999999989</v>
      </c>
      <c r="BP3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32" s="4">
        <f>SUMIFS(Modelling[Target POA Daily (KWh/m2)],Modelling[Date],"&lt;="&amp;Modelling[[#This Row],[Date]],Modelling[Month Year],Modelling[[#This Row],[Month Year]])</f>
        <v>99.350000000000009</v>
      </c>
      <c r="BR32" s="4">
        <f>SUMIFS(Modelling[Target POA Daily (KWh/m2)],Modelling[Date],"&lt;="&amp;Modelling[[#This Row],[Date]],Modelling[Finacial Year],Modelling[[#This Row],[Finacial Year]])</f>
        <v>99.350000000000009</v>
      </c>
      <c r="BS32" s="9">
        <f>BM32/Modelling[[#This Row],[Comisined DC ]]/BP32</f>
        <v>0.66501405715026674</v>
      </c>
      <c r="BT32" s="9">
        <f>BN32/BQ32/Modelling[[#This Row],[Comisined DC ]]</f>
        <v>0.66501405715026662</v>
      </c>
      <c r="BU32" s="9">
        <f>BO32/BR32/Modelling[[#This Row],[Comisined DC ]]</f>
        <v>0.66501405715026662</v>
      </c>
      <c r="BV32" s="9">
        <f>BM32/(24*Modelling[[#This Row],[Comisined DC ]])</f>
        <v>0.18352540716077503</v>
      </c>
      <c r="BW32" s="9">
        <f>BN32/((COUNTIFS(Modelling[Date],"&lt;="&amp;Modelling[[#This Row],[Date]],Modelling[Month Year],Modelling[[#This Row],[Month Year]])*24*Modelling[[#This Row],[MTD DC Capcity]]))</f>
        <v>0.18352540716077503</v>
      </c>
      <c r="BX32" s="28">
        <f>BO32/((COUNTIFS(Modelling[Date],"&lt;="&amp;Modelling[[#This Row],[Date]],Modelling[Finacial Year],Modelling[[#This Row],[Finacial Year]])*24*Modelling[[#This Row],[MTD DC Capcity]]))</f>
        <v>0.18352540716077503</v>
      </c>
      <c r="BY32" s="4">
        <f>Modelling_old[[#This Row],[DC Capcity]]+Modelling_new[[#This Row],[Comisined DC ]]</f>
        <v>11.5031</v>
      </c>
      <c r="BZ32" s="4">
        <v>0</v>
      </c>
      <c r="CA32" s="4">
        <f>AVERAGEIFS(Modelling[[Comisined DC ]],Modelling[Date],"&lt;="&amp;Modelling[[#This Row],[Date]],Modelling[Month Year],Modelling[[#This Row],[Month Year]])</f>
        <v>11.503099999999998</v>
      </c>
      <c r="CB32" s="4">
        <f>AVERAGEIFS(Modelling[[Comisined DC ]],Modelling[Date],"&lt;="&amp;Modelling[[#This Row],[Date]],Modelling[Finacial Year],Modelling[[#This Row],[Finacial Year]])</f>
        <v>11.503099999999998</v>
      </c>
      <c r="CG32">
        <f t="shared" si="28"/>
        <v>15</v>
      </c>
      <c r="CH32">
        <f t="shared" si="29"/>
        <v>15</v>
      </c>
    </row>
    <row r="33" spans="1:86" x14ac:dyDescent="0.35">
      <c r="A33" s="27">
        <v>45032</v>
      </c>
      <c r="B33" s="5">
        <f>MONTH(Modelling_old[[#This Row],[Date]])</f>
        <v>4</v>
      </c>
      <c r="C33" s="25">
        <f t="shared" si="11"/>
        <v>2024</v>
      </c>
      <c r="D33" s="3">
        <f t="shared" si="12"/>
        <v>2023</v>
      </c>
      <c r="E33" s="3" t="s">
        <v>626</v>
      </c>
      <c r="F33" s="5" t="s">
        <v>626</v>
      </c>
      <c r="G33" s="102">
        <v>45017</v>
      </c>
      <c r="H33" s="5">
        <f t="shared" si="13"/>
        <v>30</v>
      </c>
      <c r="I33" s="5">
        <f t="shared" si="14"/>
        <v>4</v>
      </c>
      <c r="J33" s="4">
        <f t="shared" si="15"/>
        <v>50.666666666666664</v>
      </c>
      <c r="K33" s="4">
        <f>SUM($J$18:J33)</f>
        <v>810.66666666666652</v>
      </c>
      <c r="L33" s="4">
        <f>SUM($J$18:J33)</f>
        <v>810.66666666666652</v>
      </c>
      <c r="M33" s="4">
        <f t="shared" si="16"/>
        <v>6.6233333333333331</v>
      </c>
      <c r="N33" s="4">
        <f>SUM($M$18:M33)</f>
        <v>105.97333333333334</v>
      </c>
      <c r="O33" s="4">
        <f>SUM($M$18:M33)</f>
        <v>105.97333333333334</v>
      </c>
      <c r="P33" s="9">
        <f t="shared" si="17"/>
        <v>0.66501405715026674</v>
      </c>
      <c r="Q33" s="26">
        <f t="shared" si="18"/>
        <v>0.66501405715026662</v>
      </c>
      <c r="R33" s="26">
        <f t="shared" si="18"/>
        <v>0.66501405715026662</v>
      </c>
      <c r="S33" s="9">
        <f t="shared" si="19"/>
        <v>0.18352540716077503</v>
      </c>
      <c r="T33" s="9">
        <f>K33/((COUNT($K$18:K33))*24*$Q$1)</f>
        <v>0.18352540716077501</v>
      </c>
      <c r="U33" s="28">
        <f>L33/((COUNT($L$18:L33))*24*$Q$1)</f>
        <v>0.18352540716077501</v>
      </c>
      <c r="V33" s="134">
        <v>11.5031</v>
      </c>
      <c r="Y33" s="27">
        <f t="shared" si="26"/>
        <v>45032</v>
      </c>
      <c r="Z33" s="5">
        <f>MONTH(Modelling_new[[#This Row],[Date]])</f>
        <v>4</v>
      </c>
      <c r="AA33" s="25">
        <f>YEAR(Y33)+IF(MONTH(Modelling_new[[#This Row],[Date]])&gt;=4,1,0)</f>
        <v>2024</v>
      </c>
      <c r="AB33" s="3">
        <f t="shared" si="20"/>
        <v>2023</v>
      </c>
      <c r="AC33" s="3" t="s">
        <v>626</v>
      </c>
      <c r="AD33" s="5" t="s">
        <v>626</v>
      </c>
      <c r="AE33" s="102">
        <v>45017</v>
      </c>
      <c r="AF33" s="5">
        <f t="shared" si="21"/>
        <v>30</v>
      </c>
      <c r="AG33" s="5">
        <f t="shared" si="22"/>
        <v>4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BD33" s="27">
        <f t="shared" si="27"/>
        <v>45032</v>
      </c>
      <c r="BE33" s="5">
        <f>MONTH(Modelling[[#This Row],[Date]])</f>
        <v>4</v>
      </c>
      <c r="BF33" s="25">
        <f>YEAR(BD33)+IF(MONTH(Modelling[[#This Row],[Date]])&gt;=4,1,0)</f>
        <v>2024</v>
      </c>
      <c r="BG33" s="3">
        <f t="shared" si="23"/>
        <v>2023</v>
      </c>
      <c r="BH33" s="3" t="s">
        <v>626</v>
      </c>
      <c r="BI33" s="5" t="s">
        <v>626</v>
      </c>
      <c r="BJ33" s="102">
        <v>45017</v>
      </c>
      <c r="BK33" s="5">
        <f t="shared" si="24"/>
        <v>30</v>
      </c>
      <c r="BL33" s="5">
        <f t="shared" si="25"/>
        <v>4</v>
      </c>
      <c r="BM33" s="4">
        <f>Modelling_old[[#This Row],[Target E_Grid daily
MWh]]+Modelling_new[[#This Row],[Target E_Grid daily
MWh]]</f>
        <v>50.666666666666664</v>
      </c>
      <c r="BN33" s="4">
        <f>Modelling_old[[#This Row],[Target E_Grid MTD
MWh]]+Modelling_new[[#This Row],[Target E_Grid MTD
MWh]]</f>
        <v>810.66666666666652</v>
      </c>
      <c r="BO33" s="4">
        <f>Modelling_old[[#This Row],[Target E_Grid YTD
MWh]]+Modelling_new[[#This Row],[Target E_Grid YTD
MWh]]</f>
        <v>810.66666666666652</v>
      </c>
      <c r="BP3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33" s="4">
        <f>SUMIFS(Modelling[Target POA Daily (KWh/m2)],Modelling[Date],"&lt;="&amp;Modelling[[#This Row],[Date]],Modelling[Month Year],Modelling[[#This Row],[Month Year]])</f>
        <v>105.97333333333334</v>
      </c>
      <c r="BR33" s="4">
        <f>SUMIFS(Modelling[Target POA Daily (KWh/m2)],Modelling[Date],"&lt;="&amp;Modelling[[#This Row],[Date]],Modelling[Finacial Year],Modelling[[#This Row],[Finacial Year]])</f>
        <v>105.97333333333334</v>
      </c>
      <c r="BS33" s="9">
        <f>BM33/Modelling[[#This Row],[Comisined DC ]]/BP33</f>
        <v>0.66501405715026674</v>
      </c>
      <c r="BT33" s="9">
        <f>BN33/BQ33/Modelling[[#This Row],[Comisined DC ]]</f>
        <v>0.66501405715026662</v>
      </c>
      <c r="BU33" s="9">
        <f>BO33/BR33/Modelling[[#This Row],[Comisined DC ]]</f>
        <v>0.66501405715026662</v>
      </c>
      <c r="BV33" s="9">
        <f>BM33/(24*Modelling[[#This Row],[Comisined DC ]])</f>
        <v>0.18352540716077503</v>
      </c>
      <c r="BW33" s="9">
        <f>BN33/((COUNTIFS(Modelling[Date],"&lt;="&amp;Modelling[[#This Row],[Date]],Modelling[Month Year],Modelling[[#This Row],[Month Year]])*24*Modelling[[#This Row],[MTD DC Capcity]]))</f>
        <v>0.18352540716077501</v>
      </c>
      <c r="BX33" s="28">
        <f>BO33/((COUNTIFS(Modelling[Date],"&lt;="&amp;Modelling[[#This Row],[Date]],Modelling[Finacial Year],Modelling[[#This Row],[Finacial Year]])*24*Modelling[[#This Row],[MTD DC Capcity]]))</f>
        <v>0.18352540716077501</v>
      </c>
      <c r="BY33" s="4">
        <f>Modelling_old[[#This Row],[DC Capcity]]+Modelling_new[[#This Row],[Comisined DC ]]</f>
        <v>11.5031</v>
      </c>
      <c r="BZ33" s="4">
        <v>0</v>
      </c>
      <c r="CA33" s="4">
        <f>AVERAGEIFS(Modelling[[Comisined DC ]],Modelling[Date],"&lt;="&amp;Modelling[[#This Row],[Date]],Modelling[Month Year],Modelling[[#This Row],[Month Year]])</f>
        <v>11.503099999999998</v>
      </c>
      <c r="CB33" s="4">
        <f>AVERAGEIFS(Modelling[[Comisined DC ]],Modelling[Date],"&lt;="&amp;Modelling[[#This Row],[Date]],Modelling[Finacial Year],Modelling[[#This Row],[Finacial Year]])</f>
        <v>11.503099999999998</v>
      </c>
      <c r="CG33">
        <f t="shared" si="28"/>
        <v>16</v>
      </c>
      <c r="CH33">
        <f t="shared" si="29"/>
        <v>16</v>
      </c>
    </row>
    <row r="34" spans="1:86" x14ac:dyDescent="0.35">
      <c r="A34" s="27">
        <v>45033</v>
      </c>
      <c r="B34" s="5">
        <f>MONTH(Modelling_old[[#This Row],[Date]])</f>
        <v>4</v>
      </c>
      <c r="C34" s="25">
        <f t="shared" si="11"/>
        <v>2024</v>
      </c>
      <c r="D34" s="3">
        <f t="shared" si="12"/>
        <v>2023</v>
      </c>
      <c r="E34" s="3" t="s">
        <v>626</v>
      </c>
      <c r="F34" s="5" t="s">
        <v>626</v>
      </c>
      <c r="G34" s="102">
        <v>45017</v>
      </c>
      <c r="H34" s="5">
        <f t="shared" si="13"/>
        <v>30</v>
      </c>
      <c r="I34" s="5">
        <f t="shared" si="14"/>
        <v>4</v>
      </c>
      <c r="J34" s="4">
        <f t="shared" si="15"/>
        <v>50.666666666666664</v>
      </c>
      <c r="K34" s="4">
        <f>SUM($J$18:J34)</f>
        <v>861.33333333333314</v>
      </c>
      <c r="L34" s="4">
        <f>SUM($J$18:J34)</f>
        <v>861.33333333333314</v>
      </c>
      <c r="M34" s="4">
        <f t="shared" si="16"/>
        <v>6.6233333333333331</v>
      </c>
      <c r="N34" s="4">
        <f>SUM($M$18:M34)</f>
        <v>112.59666666666668</v>
      </c>
      <c r="O34" s="4">
        <f>SUM($M$18:M34)</f>
        <v>112.59666666666668</v>
      </c>
      <c r="P34" s="9">
        <f t="shared" si="17"/>
        <v>0.66501405715026674</v>
      </c>
      <c r="Q34" s="26">
        <f t="shared" ref="Q34:R97" si="30">K34/N34/$Q$1</f>
        <v>0.66501405715026662</v>
      </c>
      <c r="R34" s="26">
        <f t="shared" si="30"/>
        <v>0.66501405715026662</v>
      </c>
      <c r="S34" s="9">
        <f t="shared" si="19"/>
        <v>0.18352540716077503</v>
      </c>
      <c r="T34" s="9">
        <f>K34/((COUNT($K$18:K34))*24*$Q$1)</f>
        <v>0.18352540716077498</v>
      </c>
      <c r="U34" s="28">
        <f>L34/((COUNT($L$18:L34))*24*$Q$1)</f>
        <v>0.18352540716077498</v>
      </c>
      <c r="V34" s="134">
        <v>11.5031</v>
      </c>
      <c r="Y34" s="27">
        <f t="shared" si="26"/>
        <v>45033</v>
      </c>
      <c r="Z34" s="5">
        <f>MONTH(Modelling_new[[#This Row],[Date]])</f>
        <v>4</v>
      </c>
      <c r="AA34" s="25">
        <f>YEAR(Y34)+IF(MONTH(Modelling_new[[#This Row],[Date]])&gt;=4,1,0)</f>
        <v>2024</v>
      </c>
      <c r="AB34" s="3">
        <f t="shared" si="20"/>
        <v>2023</v>
      </c>
      <c r="AC34" s="3" t="s">
        <v>626</v>
      </c>
      <c r="AD34" s="5" t="s">
        <v>626</v>
      </c>
      <c r="AE34" s="102">
        <v>45017</v>
      </c>
      <c r="AF34" s="5">
        <f t="shared" si="21"/>
        <v>30</v>
      </c>
      <c r="AG34" s="5">
        <f t="shared" si="22"/>
        <v>4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BD34" s="27">
        <f t="shared" si="27"/>
        <v>45033</v>
      </c>
      <c r="BE34" s="5">
        <f>MONTH(Modelling[[#This Row],[Date]])</f>
        <v>4</v>
      </c>
      <c r="BF34" s="25">
        <f>YEAR(BD34)+IF(MONTH(Modelling[[#This Row],[Date]])&gt;=4,1,0)</f>
        <v>2024</v>
      </c>
      <c r="BG34" s="3">
        <f t="shared" si="23"/>
        <v>2023</v>
      </c>
      <c r="BH34" s="3" t="s">
        <v>626</v>
      </c>
      <c r="BI34" s="5" t="s">
        <v>626</v>
      </c>
      <c r="BJ34" s="102">
        <v>45017</v>
      </c>
      <c r="BK34" s="5">
        <f t="shared" si="24"/>
        <v>30</v>
      </c>
      <c r="BL34" s="5">
        <f t="shared" si="25"/>
        <v>4</v>
      </c>
      <c r="BM34" s="4">
        <f>Modelling_old[[#This Row],[Target E_Grid daily
MWh]]+Modelling_new[[#This Row],[Target E_Grid daily
MWh]]</f>
        <v>50.666666666666664</v>
      </c>
      <c r="BN34" s="4">
        <f>Modelling_old[[#This Row],[Target E_Grid MTD
MWh]]+Modelling_new[[#This Row],[Target E_Grid MTD
MWh]]</f>
        <v>861.33333333333314</v>
      </c>
      <c r="BO34" s="4">
        <f>Modelling_old[[#This Row],[Target E_Grid YTD
MWh]]+Modelling_new[[#This Row],[Target E_Grid YTD
MWh]]</f>
        <v>861.33333333333314</v>
      </c>
      <c r="BP3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34" s="4">
        <f>SUMIFS(Modelling[Target POA Daily (KWh/m2)],Modelling[Date],"&lt;="&amp;Modelling[[#This Row],[Date]],Modelling[Month Year],Modelling[[#This Row],[Month Year]])</f>
        <v>112.59666666666668</v>
      </c>
      <c r="BR34" s="4">
        <f>SUMIFS(Modelling[Target POA Daily (KWh/m2)],Modelling[Date],"&lt;="&amp;Modelling[[#This Row],[Date]],Modelling[Finacial Year],Modelling[[#This Row],[Finacial Year]])</f>
        <v>112.59666666666668</v>
      </c>
      <c r="BS34" s="9">
        <f>BM34/Modelling[[#This Row],[Comisined DC ]]/BP34</f>
        <v>0.66501405715026674</v>
      </c>
      <c r="BT34" s="9">
        <f>BN34/BQ34/Modelling[[#This Row],[Comisined DC ]]</f>
        <v>0.66501405715026662</v>
      </c>
      <c r="BU34" s="9">
        <f>BO34/BR34/Modelling[[#This Row],[Comisined DC ]]</f>
        <v>0.66501405715026662</v>
      </c>
      <c r="BV34" s="9">
        <f>BM34/(24*Modelling[[#This Row],[Comisined DC ]])</f>
        <v>0.18352540716077503</v>
      </c>
      <c r="BW34" s="9">
        <f>BN34/((COUNTIFS(Modelling[Date],"&lt;="&amp;Modelling[[#This Row],[Date]],Modelling[Month Year],Modelling[[#This Row],[Month Year]])*24*Modelling[[#This Row],[MTD DC Capcity]]))</f>
        <v>0.18352540716077501</v>
      </c>
      <c r="BX34" s="28">
        <f>BO34/((COUNTIFS(Modelling[Date],"&lt;="&amp;Modelling[[#This Row],[Date]],Modelling[Finacial Year],Modelling[[#This Row],[Finacial Year]])*24*Modelling[[#This Row],[MTD DC Capcity]]))</f>
        <v>0.18352540716077501</v>
      </c>
      <c r="BY34" s="4">
        <f>Modelling_old[[#This Row],[DC Capcity]]+Modelling_new[[#This Row],[Comisined DC ]]</f>
        <v>11.5031</v>
      </c>
      <c r="BZ34" s="4">
        <v>0</v>
      </c>
      <c r="CA34" s="4">
        <f>AVERAGEIFS(Modelling[[Comisined DC ]],Modelling[Date],"&lt;="&amp;Modelling[[#This Row],[Date]],Modelling[Month Year],Modelling[[#This Row],[Month Year]])</f>
        <v>11.503099999999998</v>
      </c>
      <c r="CB34" s="4">
        <f>AVERAGEIFS(Modelling[[Comisined DC ]],Modelling[Date],"&lt;="&amp;Modelling[[#This Row],[Date]],Modelling[Finacial Year],Modelling[[#This Row],[Finacial Year]])</f>
        <v>11.503099999999998</v>
      </c>
      <c r="CG34">
        <f t="shared" si="28"/>
        <v>17</v>
      </c>
      <c r="CH34">
        <f t="shared" si="29"/>
        <v>17</v>
      </c>
    </row>
    <row r="35" spans="1:86" x14ac:dyDescent="0.35">
      <c r="A35" s="27">
        <v>45034</v>
      </c>
      <c r="B35" s="5">
        <f>MONTH(Modelling_old[[#This Row],[Date]])</f>
        <v>4</v>
      </c>
      <c r="C35" s="25">
        <f t="shared" si="11"/>
        <v>2024</v>
      </c>
      <c r="D35" s="3">
        <f t="shared" si="12"/>
        <v>2023</v>
      </c>
      <c r="E35" s="3" t="s">
        <v>626</v>
      </c>
      <c r="F35" s="5" t="s">
        <v>626</v>
      </c>
      <c r="G35" s="102">
        <v>45017</v>
      </c>
      <c r="H35" s="5">
        <f t="shared" si="13"/>
        <v>30</v>
      </c>
      <c r="I35" s="5">
        <f t="shared" si="14"/>
        <v>4</v>
      </c>
      <c r="J35" s="4">
        <f t="shared" si="15"/>
        <v>50.666666666666664</v>
      </c>
      <c r="K35" s="4">
        <f>SUM($J$18:J35)</f>
        <v>911.99999999999977</v>
      </c>
      <c r="L35" s="4">
        <f>SUM($J$18:J35)</f>
        <v>911.99999999999977</v>
      </c>
      <c r="M35" s="4">
        <f t="shared" si="16"/>
        <v>6.6233333333333331</v>
      </c>
      <c r="N35" s="4">
        <f>SUM($M$18:M35)</f>
        <v>119.22000000000001</v>
      </c>
      <c r="O35" s="4">
        <f>SUM($M$18:M35)</f>
        <v>119.22000000000001</v>
      </c>
      <c r="P35" s="9">
        <f t="shared" si="17"/>
        <v>0.66501405715026674</v>
      </c>
      <c r="Q35" s="26">
        <f t="shared" si="30"/>
        <v>0.66501405715026651</v>
      </c>
      <c r="R35" s="26">
        <f t="shared" si="30"/>
        <v>0.66501405715026651</v>
      </c>
      <c r="S35" s="9">
        <f t="shared" si="19"/>
        <v>0.18352540716077503</v>
      </c>
      <c r="T35" s="9">
        <f>K35/((COUNT($K$18:K35))*24*$Q$1)</f>
        <v>0.18352540716077495</v>
      </c>
      <c r="U35" s="28">
        <f>L35/((COUNT($L$18:L35))*24*$Q$1)</f>
        <v>0.18352540716077495</v>
      </c>
      <c r="V35" s="134">
        <v>11.5031</v>
      </c>
      <c r="Y35" s="27">
        <f t="shared" si="26"/>
        <v>45034</v>
      </c>
      <c r="Z35" s="5">
        <f>MONTH(Modelling_new[[#This Row],[Date]])</f>
        <v>4</v>
      </c>
      <c r="AA35" s="25">
        <f>YEAR(Y35)+IF(MONTH(Modelling_new[[#This Row],[Date]])&gt;=4,1,0)</f>
        <v>2024</v>
      </c>
      <c r="AB35" s="3">
        <f t="shared" si="20"/>
        <v>2023</v>
      </c>
      <c r="AC35" s="3" t="s">
        <v>626</v>
      </c>
      <c r="AD35" s="5" t="s">
        <v>626</v>
      </c>
      <c r="AE35" s="102">
        <v>45017</v>
      </c>
      <c r="AF35" s="5">
        <f t="shared" si="21"/>
        <v>30</v>
      </c>
      <c r="AG35" s="5">
        <f t="shared" si="22"/>
        <v>4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BD35" s="27">
        <f t="shared" si="27"/>
        <v>45034</v>
      </c>
      <c r="BE35" s="5">
        <f>MONTH(Modelling[[#This Row],[Date]])</f>
        <v>4</v>
      </c>
      <c r="BF35" s="25">
        <f>YEAR(BD35)+IF(MONTH(Modelling[[#This Row],[Date]])&gt;=4,1,0)</f>
        <v>2024</v>
      </c>
      <c r="BG35" s="3">
        <f t="shared" si="23"/>
        <v>2023</v>
      </c>
      <c r="BH35" s="3" t="s">
        <v>626</v>
      </c>
      <c r="BI35" s="5" t="s">
        <v>626</v>
      </c>
      <c r="BJ35" s="102">
        <v>45017</v>
      </c>
      <c r="BK35" s="5">
        <f t="shared" si="24"/>
        <v>30</v>
      </c>
      <c r="BL35" s="5">
        <f t="shared" si="25"/>
        <v>4</v>
      </c>
      <c r="BM35" s="4">
        <f>Modelling_old[[#This Row],[Target E_Grid daily
MWh]]+Modelling_new[[#This Row],[Target E_Grid daily
MWh]]</f>
        <v>50.666666666666664</v>
      </c>
      <c r="BN35" s="4">
        <f>Modelling_old[[#This Row],[Target E_Grid MTD
MWh]]+Modelling_new[[#This Row],[Target E_Grid MTD
MWh]]</f>
        <v>911.99999999999977</v>
      </c>
      <c r="BO35" s="4">
        <f>Modelling_old[[#This Row],[Target E_Grid YTD
MWh]]+Modelling_new[[#This Row],[Target E_Grid YTD
MWh]]</f>
        <v>911.99999999999977</v>
      </c>
      <c r="BP3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35" s="4">
        <f>SUMIFS(Modelling[Target POA Daily (KWh/m2)],Modelling[Date],"&lt;="&amp;Modelling[[#This Row],[Date]],Modelling[Month Year],Modelling[[#This Row],[Month Year]])</f>
        <v>119.22000000000001</v>
      </c>
      <c r="BR35" s="4">
        <f>SUMIFS(Modelling[Target POA Daily (KWh/m2)],Modelling[Date],"&lt;="&amp;Modelling[[#This Row],[Date]],Modelling[Finacial Year],Modelling[[#This Row],[Finacial Year]])</f>
        <v>119.22000000000001</v>
      </c>
      <c r="BS35" s="9">
        <f>BM35/Modelling[[#This Row],[Comisined DC ]]/BP35</f>
        <v>0.66501405715026674</v>
      </c>
      <c r="BT35" s="9">
        <f>BN35/BQ35/Modelling[[#This Row],[Comisined DC ]]</f>
        <v>0.66501405715026651</v>
      </c>
      <c r="BU35" s="9">
        <f>BO35/BR35/Modelling[[#This Row],[Comisined DC ]]</f>
        <v>0.66501405715026651</v>
      </c>
      <c r="BV35" s="9">
        <f>BM35/(24*Modelling[[#This Row],[Comisined DC ]])</f>
        <v>0.18352540716077503</v>
      </c>
      <c r="BW35" s="9">
        <f>BN35/((COUNTIFS(Modelling[Date],"&lt;="&amp;Modelling[[#This Row],[Date]],Modelling[Month Year],Modelling[[#This Row],[Month Year]])*24*Modelling[[#This Row],[MTD DC Capcity]]))</f>
        <v>0.18352540716077503</v>
      </c>
      <c r="BX35" s="28">
        <f>BO35/((COUNTIFS(Modelling[Date],"&lt;="&amp;Modelling[[#This Row],[Date]],Modelling[Finacial Year],Modelling[[#This Row],[Finacial Year]])*24*Modelling[[#This Row],[MTD DC Capcity]]))</f>
        <v>0.18352540716077503</v>
      </c>
      <c r="BY35" s="4">
        <f>Modelling_old[[#This Row],[DC Capcity]]+Modelling_new[[#This Row],[Comisined DC ]]</f>
        <v>11.5031</v>
      </c>
      <c r="BZ35" s="4">
        <v>0</v>
      </c>
      <c r="CA35" s="4">
        <f>AVERAGEIFS(Modelling[[Comisined DC ]],Modelling[Date],"&lt;="&amp;Modelling[[#This Row],[Date]],Modelling[Month Year],Modelling[[#This Row],[Month Year]])</f>
        <v>11.503099999999996</v>
      </c>
      <c r="CB35" s="4">
        <f>AVERAGEIFS(Modelling[[Comisined DC ]],Modelling[Date],"&lt;="&amp;Modelling[[#This Row],[Date]],Modelling[Finacial Year],Modelling[[#This Row],[Finacial Year]])</f>
        <v>11.503099999999996</v>
      </c>
      <c r="CG35">
        <f t="shared" si="28"/>
        <v>18</v>
      </c>
      <c r="CH35">
        <f t="shared" si="29"/>
        <v>18</v>
      </c>
    </row>
    <row r="36" spans="1:86" x14ac:dyDescent="0.35">
      <c r="A36" s="27">
        <v>45035</v>
      </c>
      <c r="B36" s="5">
        <f>MONTH(Modelling_old[[#This Row],[Date]])</f>
        <v>4</v>
      </c>
      <c r="C36" s="25">
        <f t="shared" si="11"/>
        <v>2024</v>
      </c>
      <c r="D36" s="3">
        <f t="shared" si="12"/>
        <v>2023</v>
      </c>
      <c r="E36" s="3" t="s">
        <v>626</v>
      </c>
      <c r="F36" s="5" t="s">
        <v>626</v>
      </c>
      <c r="G36" s="102">
        <v>45017</v>
      </c>
      <c r="H36" s="5">
        <f t="shared" si="13"/>
        <v>30</v>
      </c>
      <c r="I36" s="5">
        <f t="shared" si="14"/>
        <v>4</v>
      </c>
      <c r="J36" s="4">
        <f t="shared" si="15"/>
        <v>50.666666666666664</v>
      </c>
      <c r="K36" s="4">
        <f>SUM($J$18:J36)</f>
        <v>962.6666666666664</v>
      </c>
      <c r="L36" s="4">
        <f>SUM($J$18:J36)</f>
        <v>962.6666666666664</v>
      </c>
      <c r="M36" s="4">
        <f t="shared" si="16"/>
        <v>6.6233333333333331</v>
      </c>
      <c r="N36" s="4">
        <f>SUM($M$18:M36)</f>
        <v>125.84333333333335</v>
      </c>
      <c r="O36" s="4">
        <f>SUM($M$18:M36)</f>
        <v>125.84333333333335</v>
      </c>
      <c r="P36" s="9">
        <f t="shared" si="17"/>
        <v>0.66501405715026674</v>
      </c>
      <c r="Q36" s="26">
        <f t="shared" si="30"/>
        <v>0.66501405715026651</v>
      </c>
      <c r="R36" s="26">
        <f t="shared" si="30"/>
        <v>0.66501405715026651</v>
      </c>
      <c r="S36" s="9">
        <f t="shared" si="19"/>
        <v>0.18352540716077503</v>
      </c>
      <c r="T36" s="9">
        <f>K36/((COUNT($K$18:K36))*24*$Q$1)</f>
        <v>0.18352540716077498</v>
      </c>
      <c r="U36" s="28">
        <f>L36/((COUNT($L$18:L36))*24*$Q$1)</f>
        <v>0.18352540716077498</v>
      </c>
      <c r="V36" s="134">
        <v>11.5031</v>
      </c>
      <c r="Y36" s="27">
        <f t="shared" si="26"/>
        <v>45035</v>
      </c>
      <c r="Z36" s="5">
        <f>MONTH(Modelling_new[[#This Row],[Date]])</f>
        <v>4</v>
      </c>
      <c r="AA36" s="25">
        <f>YEAR(Y36)+IF(MONTH(Modelling_new[[#This Row],[Date]])&gt;=4,1,0)</f>
        <v>2024</v>
      </c>
      <c r="AB36" s="3">
        <f t="shared" si="20"/>
        <v>2023</v>
      </c>
      <c r="AC36" s="3" t="s">
        <v>626</v>
      </c>
      <c r="AD36" s="5" t="s">
        <v>626</v>
      </c>
      <c r="AE36" s="102">
        <v>45017</v>
      </c>
      <c r="AF36" s="5">
        <f t="shared" si="21"/>
        <v>30</v>
      </c>
      <c r="AG36" s="5">
        <f t="shared" si="22"/>
        <v>4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BD36" s="27">
        <f t="shared" si="27"/>
        <v>45035</v>
      </c>
      <c r="BE36" s="5">
        <f>MONTH(Modelling[[#This Row],[Date]])</f>
        <v>4</v>
      </c>
      <c r="BF36" s="25">
        <f>YEAR(BD36)+IF(MONTH(Modelling[[#This Row],[Date]])&gt;=4,1,0)</f>
        <v>2024</v>
      </c>
      <c r="BG36" s="3">
        <f t="shared" si="23"/>
        <v>2023</v>
      </c>
      <c r="BH36" s="3" t="s">
        <v>626</v>
      </c>
      <c r="BI36" s="5" t="s">
        <v>626</v>
      </c>
      <c r="BJ36" s="102">
        <v>45017</v>
      </c>
      <c r="BK36" s="5">
        <f t="shared" si="24"/>
        <v>30</v>
      </c>
      <c r="BL36" s="5">
        <f t="shared" si="25"/>
        <v>4</v>
      </c>
      <c r="BM36" s="4">
        <f>Modelling_old[[#This Row],[Target E_Grid daily
MWh]]+Modelling_new[[#This Row],[Target E_Grid daily
MWh]]</f>
        <v>50.666666666666664</v>
      </c>
      <c r="BN36" s="4">
        <f>Modelling_old[[#This Row],[Target E_Grid MTD
MWh]]+Modelling_new[[#This Row],[Target E_Grid MTD
MWh]]</f>
        <v>962.6666666666664</v>
      </c>
      <c r="BO36" s="4">
        <f>Modelling_old[[#This Row],[Target E_Grid YTD
MWh]]+Modelling_new[[#This Row],[Target E_Grid YTD
MWh]]</f>
        <v>962.6666666666664</v>
      </c>
      <c r="BP3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36" s="4">
        <f>SUMIFS(Modelling[Target POA Daily (KWh/m2)],Modelling[Date],"&lt;="&amp;Modelling[[#This Row],[Date]],Modelling[Month Year],Modelling[[#This Row],[Month Year]])</f>
        <v>125.84333333333335</v>
      </c>
      <c r="BR36" s="4">
        <f>SUMIFS(Modelling[Target POA Daily (KWh/m2)],Modelling[Date],"&lt;="&amp;Modelling[[#This Row],[Date]],Modelling[Finacial Year],Modelling[[#This Row],[Finacial Year]])</f>
        <v>125.84333333333335</v>
      </c>
      <c r="BS36" s="9">
        <f>BM36/Modelling[[#This Row],[Comisined DC ]]/BP36</f>
        <v>0.66501405715026674</v>
      </c>
      <c r="BT36" s="9">
        <f>BN36/BQ36/Modelling[[#This Row],[Comisined DC ]]</f>
        <v>0.66501405715026651</v>
      </c>
      <c r="BU36" s="9">
        <f>BO36/BR36/Modelling[[#This Row],[Comisined DC ]]</f>
        <v>0.66501405715026651</v>
      </c>
      <c r="BV36" s="9">
        <f>BM36/(24*Modelling[[#This Row],[Comisined DC ]])</f>
        <v>0.18352540716077503</v>
      </c>
      <c r="BW36" s="9">
        <f>BN36/((COUNTIFS(Modelling[Date],"&lt;="&amp;Modelling[[#This Row],[Date]],Modelling[Month Year],Modelling[[#This Row],[Month Year]])*24*Modelling[[#This Row],[MTD DC Capcity]]))</f>
        <v>0.18352540716077503</v>
      </c>
      <c r="BX36" s="28">
        <f>BO36/((COUNTIFS(Modelling[Date],"&lt;="&amp;Modelling[[#This Row],[Date]],Modelling[Finacial Year],Modelling[[#This Row],[Finacial Year]])*24*Modelling[[#This Row],[MTD DC Capcity]]))</f>
        <v>0.18352540716077503</v>
      </c>
      <c r="BY36" s="4">
        <f>Modelling_old[[#This Row],[DC Capcity]]+Modelling_new[[#This Row],[Comisined DC ]]</f>
        <v>11.5031</v>
      </c>
      <c r="BZ36" s="4">
        <v>0</v>
      </c>
      <c r="CA36" s="4">
        <f>AVERAGEIFS(Modelling[[Comisined DC ]],Modelling[Date],"&lt;="&amp;Modelling[[#This Row],[Date]],Modelling[Month Year],Modelling[[#This Row],[Month Year]])</f>
        <v>11.503099999999996</v>
      </c>
      <c r="CB36" s="4">
        <f>AVERAGEIFS(Modelling[[Comisined DC ]],Modelling[Date],"&lt;="&amp;Modelling[[#This Row],[Date]],Modelling[Finacial Year],Modelling[[#This Row],[Finacial Year]])</f>
        <v>11.503099999999996</v>
      </c>
      <c r="CG36">
        <f t="shared" si="28"/>
        <v>19</v>
      </c>
      <c r="CH36">
        <f t="shared" si="29"/>
        <v>19</v>
      </c>
    </row>
    <row r="37" spans="1:86" x14ac:dyDescent="0.35">
      <c r="A37" s="27">
        <v>45036</v>
      </c>
      <c r="B37" s="5">
        <f>MONTH(Modelling_old[[#This Row],[Date]])</f>
        <v>4</v>
      </c>
      <c r="C37" s="25">
        <f t="shared" si="11"/>
        <v>2024</v>
      </c>
      <c r="D37" s="3">
        <f t="shared" si="12"/>
        <v>2023</v>
      </c>
      <c r="E37" s="3" t="s">
        <v>626</v>
      </c>
      <c r="F37" s="5" t="s">
        <v>626</v>
      </c>
      <c r="G37" s="102">
        <v>45017</v>
      </c>
      <c r="H37" s="5">
        <f t="shared" si="13"/>
        <v>30</v>
      </c>
      <c r="I37" s="5">
        <f t="shared" si="14"/>
        <v>4</v>
      </c>
      <c r="J37" s="4">
        <f t="shared" si="15"/>
        <v>50.666666666666664</v>
      </c>
      <c r="K37" s="4">
        <f>SUM($J$18:J37)</f>
        <v>1013.333333333333</v>
      </c>
      <c r="L37" s="4">
        <f>SUM($J$18:J37)</f>
        <v>1013.333333333333</v>
      </c>
      <c r="M37" s="4">
        <f t="shared" si="16"/>
        <v>6.6233333333333331</v>
      </c>
      <c r="N37" s="4">
        <f>SUM($M$18:M37)</f>
        <v>132.46666666666667</v>
      </c>
      <c r="O37" s="4">
        <f>SUM($M$18:M37)</f>
        <v>132.46666666666667</v>
      </c>
      <c r="P37" s="9">
        <f t="shared" si="17"/>
        <v>0.66501405715026674</v>
      </c>
      <c r="Q37" s="26">
        <f t="shared" si="30"/>
        <v>0.66501405715026662</v>
      </c>
      <c r="R37" s="26">
        <f t="shared" si="30"/>
        <v>0.66501405715026662</v>
      </c>
      <c r="S37" s="9">
        <f t="shared" si="19"/>
        <v>0.18352540716077503</v>
      </c>
      <c r="T37" s="9">
        <f>K37/((COUNT($K$18:K37))*24*$Q$1)</f>
        <v>0.18352540716077495</v>
      </c>
      <c r="U37" s="28">
        <f>L37/((COUNT($L$18:L37))*24*$Q$1)</f>
        <v>0.18352540716077495</v>
      </c>
      <c r="V37" s="134">
        <v>11.5031</v>
      </c>
      <c r="Y37" s="27">
        <f t="shared" si="26"/>
        <v>45036</v>
      </c>
      <c r="Z37" s="5">
        <f>MONTH(Modelling_new[[#This Row],[Date]])</f>
        <v>4</v>
      </c>
      <c r="AA37" s="25">
        <f>YEAR(Y37)+IF(MONTH(Modelling_new[[#This Row],[Date]])&gt;=4,1,0)</f>
        <v>2024</v>
      </c>
      <c r="AB37" s="3">
        <f t="shared" si="20"/>
        <v>2023</v>
      </c>
      <c r="AC37" s="3" t="s">
        <v>626</v>
      </c>
      <c r="AD37" s="5" t="s">
        <v>626</v>
      </c>
      <c r="AE37" s="102">
        <v>45017</v>
      </c>
      <c r="AF37" s="5">
        <f t="shared" si="21"/>
        <v>30</v>
      </c>
      <c r="AG37" s="5">
        <f t="shared" si="22"/>
        <v>4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BD37" s="27">
        <f t="shared" si="27"/>
        <v>45036</v>
      </c>
      <c r="BE37" s="5">
        <f>MONTH(Modelling[[#This Row],[Date]])</f>
        <v>4</v>
      </c>
      <c r="BF37" s="25">
        <f>YEAR(BD37)+IF(MONTH(Modelling[[#This Row],[Date]])&gt;=4,1,0)</f>
        <v>2024</v>
      </c>
      <c r="BG37" s="3">
        <f t="shared" si="23"/>
        <v>2023</v>
      </c>
      <c r="BH37" s="3" t="s">
        <v>626</v>
      </c>
      <c r="BI37" s="5" t="s">
        <v>626</v>
      </c>
      <c r="BJ37" s="102">
        <v>45017</v>
      </c>
      <c r="BK37" s="5">
        <f t="shared" si="24"/>
        <v>30</v>
      </c>
      <c r="BL37" s="5">
        <f t="shared" si="25"/>
        <v>4</v>
      </c>
      <c r="BM37" s="4">
        <f>Modelling_old[[#This Row],[Target E_Grid daily
MWh]]+Modelling_new[[#This Row],[Target E_Grid daily
MWh]]</f>
        <v>50.666666666666664</v>
      </c>
      <c r="BN37" s="4">
        <f>Modelling_old[[#This Row],[Target E_Grid MTD
MWh]]+Modelling_new[[#This Row],[Target E_Grid MTD
MWh]]</f>
        <v>1013.333333333333</v>
      </c>
      <c r="BO37" s="4">
        <f>Modelling_old[[#This Row],[Target E_Grid YTD
MWh]]+Modelling_new[[#This Row],[Target E_Grid YTD
MWh]]</f>
        <v>1013.333333333333</v>
      </c>
      <c r="BP3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37" s="4">
        <f>SUMIFS(Modelling[Target POA Daily (KWh/m2)],Modelling[Date],"&lt;="&amp;Modelling[[#This Row],[Date]],Modelling[Month Year],Modelling[[#This Row],[Month Year]])</f>
        <v>132.46666666666667</v>
      </c>
      <c r="BR37" s="4">
        <f>SUMIFS(Modelling[Target POA Daily (KWh/m2)],Modelling[Date],"&lt;="&amp;Modelling[[#This Row],[Date]],Modelling[Finacial Year],Modelling[[#This Row],[Finacial Year]])</f>
        <v>132.46666666666667</v>
      </c>
      <c r="BS37" s="9">
        <f>BM37/Modelling[[#This Row],[Comisined DC ]]/BP37</f>
        <v>0.66501405715026674</v>
      </c>
      <c r="BT37" s="9">
        <f>BN37/BQ37/Modelling[[#This Row],[Comisined DC ]]</f>
        <v>0.66501405715026662</v>
      </c>
      <c r="BU37" s="9">
        <f>BO37/BR37/Modelling[[#This Row],[Comisined DC ]]</f>
        <v>0.66501405715026662</v>
      </c>
      <c r="BV37" s="9">
        <f>BM37/(24*Modelling[[#This Row],[Comisined DC ]])</f>
        <v>0.18352540716077503</v>
      </c>
      <c r="BW37" s="9">
        <f>BN37/((COUNTIFS(Modelling[Date],"&lt;="&amp;Modelling[[#This Row],[Date]],Modelling[Month Year],Modelling[[#This Row],[Month Year]])*24*Modelling[[#This Row],[MTD DC Capcity]]))</f>
        <v>0.18352540716077501</v>
      </c>
      <c r="BX37" s="28">
        <f>BO37/((COUNTIFS(Modelling[Date],"&lt;="&amp;Modelling[[#This Row],[Date]],Modelling[Finacial Year],Modelling[[#This Row],[Finacial Year]])*24*Modelling[[#This Row],[MTD DC Capcity]]))</f>
        <v>0.18352540716077501</v>
      </c>
      <c r="BY37" s="4">
        <f>Modelling_old[[#This Row],[DC Capcity]]+Modelling_new[[#This Row],[Comisined DC ]]</f>
        <v>11.5031</v>
      </c>
      <c r="BZ37" s="4">
        <v>0</v>
      </c>
      <c r="CA37" s="4">
        <f>AVERAGEIFS(Modelling[[Comisined DC ]],Modelling[Date],"&lt;="&amp;Modelling[[#This Row],[Date]],Modelling[Month Year],Modelling[[#This Row],[Month Year]])</f>
        <v>11.503099999999996</v>
      </c>
      <c r="CB37" s="4">
        <f>AVERAGEIFS(Modelling[[Comisined DC ]],Modelling[Date],"&lt;="&amp;Modelling[[#This Row],[Date]],Modelling[Finacial Year],Modelling[[#This Row],[Finacial Year]])</f>
        <v>11.503099999999996</v>
      </c>
      <c r="CG37">
        <f t="shared" si="28"/>
        <v>20</v>
      </c>
      <c r="CH37">
        <f t="shared" si="29"/>
        <v>20</v>
      </c>
    </row>
    <row r="38" spans="1:86" x14ac:dyDescent="0.35">
      <c r="A38" s="27">
        <v>45037</v>
      </c>
      <c r="B38" s="5">
        <f>MONTH(Modelling_old[[#This Row],[Date]])</f>
        <v>4</v>
      </c>
      <c r="C38" s="25">
        <f t="shared" si="11"/>
        <v>2024</v>
      </c>
      <c r="D38" s="3">
        <f t="shared" si="12"/>
        <v>2023</v>
      </c>
      <c r="E38" s="3" t="s">
        <v>626</v>
      </c>
      <c r="F38" s="5" t="s">
        <v>626</v>
      </c>
      <c r="G38" s="102">
        <v>45017</v>
      </c>
      <c r="H38" s="5">
        <f t="shared" si="13"/>
        <v>30</v>
      </c>
      <c r="I38" s="5">
        <f t="shared" si="14"/>
        <v>4</v>
      </c>
      <c r="J38" s="4">
        <f t="shared" si="15"/>
        <v>50.666666666666664</v>
      </c>
      <c r="K38" s="4">
        <f>SUM($J$18:J38)</f>
        <v>1063.9999999999998</v>
      </c>
      <c r="L38" s="4">
        <f>SUM($J$18:J38)</f>
        <v>1063.9999999999998</v>
      </c>
      <c r="M38" s="4">
        <f t="shared" si="16"/>
        <v>6.6233333333333331</v>
      </c>
      <c r="N38" s="4">
        <f>SUM($M$18:M38)</f>
        <v>139.09</v>
      </c>
      <c r="O38" s="4">
        <f>SUM($M$18:M38)</f>
        <v>139.09</v>
      </c>
      <c r="P38" s="9">
        <f t="shared" si="17"/>
        <v>0.66501405715026674</v>
      </c>
      <c r="Q38" s="26">
        <f t="shared" si="30"/>
        <v>0.66501405715026662</v>
      </c>
      <c r="R38" s="26">
        <f t="shared" si="30"/>
        <v>0.66501405715026662</v>
      </c>
      <c r="S38" s="9">
        <f t="shared" si="19"/>
        <v>0.18352540716077503</v>
      </c>
      <c r="T38" s="9">
        <f>K38/((COUNT($K$18:K38))*24*$Q$1)</f>
        <v>0.18352540716077498</v>
      </c>
      <c r="U38" s="28">
        <f>L38/((COUNT($L$18:L38))*24*$Q$1)</f>
        <v>0.18352540716077498</v>
      </c>
      <c r="V38" s="134">
        <v>11.5031</v>
      </c>
      <c r="Y38" s="27">
        <f t="shared" si="26"/>
        <v>45037</v>
      </c>
      <c r="Z38" s="5">
        <f>MONTH(Modelling_new[[#This Row],[Date]])</f>
        <v>4</v>
      </c>
      <c r="AA38" s="25">
        <f>YEAR(Y38)+IF(MONTH(Modelling_new[[#This Row],[Date]])&gt;=4,1,0)</f>
        <v>2024</v>
      </c>
      <c r="AB38" s="3">
        <f t="shared" si="20"/>
        <v>2023</v>
      </c>
      <c r="AC38" s="3" t="s">
        <v>626</v>
      </c>
      <c r="AD38" s="5" t="s">
        <v>626</v>
      </c>
      <c r="AE38" s="102">
        <v>45017</v>
      </c>
      <c r="AF38" s="5">
        <f t="shared" si="21"/>
        <v>30</v>
      </c>
      <c r="AG38" s="5">
        <f t="shared" si="22"/>
        <v>4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BD38" s="27">
        <f t="shared" si="27"/>
        <v>45037</v>
      </c>
      <c r="BE38" s="5">
        <f>MONTH(Modelling[[#This Row],[Date]])</f>
        <v>4</v>
      </c>
      <c r="BF38" s="25">
        <f>YEAR(BD38)+IF(MONTH(Modelling[[#This Row],[Date]])&gt;=4,1,0)</f>
        <v>2024</v>
      </c>
      <c r="BG38" s="3">
        <f t="shared" si="23"/>
        <v>2023</v>
      </c>
      <c r="BH38" s="3" t="s">
        <v>626</v>
      </c>
      <c r="BI38" s="5" t="s">
        <v>626</v>
      </c>
      <c r="BJ38" s="102">
        <v>45017</v>
      </c>
      <c r="BK38" s="5">
        <f t="shared" si="24"/>
        <v>30</v>
      </c>
      <c r="BL38" s="5">
        <f t="shared" si="25"/>
        <v>4</v>
      </c>
      <c r="BM38" s="4">
        <f>Modelling_old[[#This Row],[Target E_Grid daily
MWh]]+Modelling_new[[#This Row],[Target E_Grid daily
MWh]]</f>
        <v>50.666666666666664</v>
      </c>
      <c r="BN38" s="4">
        <f>Modelling_old[[#This Row],[Target E_Grid MTD
MWh]]+Modelling_new[[#This Row],[Target E_Grid MTD
MWh]]</f>
        <v>1063.9999999999998</v>
      </c>
      <c r="BO38" s="4">
        <f>Modelling_old[[#This Row],[Target E_Grid YTD
MWh]]+Modelling_new[[#This Row],[Target E_Grid YTD
MWh]]</f>
        <v>1063.9999999999998</v>
      </c>
      <c r="BP3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38" s="4">
        <f>SUMIFS(Modelling[Target POA Daily (KWh/m2)],Modelling[Date],"&lt;="&amp;Modelling[[#This Row],[Date]],Modelling[Month Year],Modelling[[#This Row],[Month Year]])</f>
        <v>139.09</v>
      </c>
      <c r="BR38" s="4">
        <f>SUMIFS(Modelling[Target POA Daily (KWh/m2)],Modelling[Date],"&lt;="&amp;Modelling[[#This Row],[Date]],Modelling[Finacial Year],Modelling[[#This Row],[Finacial Year]])</f>
        <v>139.09</v>
      </c>
      <c r="BS38" s="9">
        <f>BM38/Modelling[[#This Row],[Comisined DC ]]/BP38</f>
        <v>0.66501405715026674</v>
      </c>
      <c r="BT38" s="9">
        <f>BN38/BQ38/Modelling[[#This Row],[Comisined DC ]]</f>
        <v>0.66501405715026662</v>
      </c>
      <c r="BU38" s="9">
        <f>BO38/BR38/Modelling[[#This Row],[Comisined DC ]]</f>
        <v>0.66501405715026662</v>
      </c>
      <c r="BV38" s="9">
        <f>BM38/(24*Modelling[[#This Row],[Comisined DC ]])</f>
        <v>0.18352540716077503</v>
      </c>
      <c r="BW38" s="9">
        <f>BN38/((COUNTIFS(Modelling[Date],"&lt;="&amp;Modelling[[#This Row],[Date]],Modelling[Month Year],Modelling[[#This Row],[Month Year]])*24*Modelling[[#This Row],[MTD DC Capcity]]))</f>
        <v>0.18352540716077503</v>
      </c>
      <c r="BX38" s="28">
        <f>BO38/((COUNTIFS(Modelling[Date],"&lt;="&amp;Modelling[[#This Row],[Date]],Modelling[Finacial Year],Modelling[[#This Row],[Finacial Year]])*24*Modelling[[#This Row],[MTD DC Capcity]]))</f>
        <v>0.18352540716077503</v>
      </c>
      <c r="BY38" s="4">
        <f>Modelling_old[[#This Row],[DC Capcity]]+Modelling_new[[#This Row],[Comisined DC ]]</f>
        <v>11.5031</v>
      </c>
      <c r="BZ38" s="4">
        <v>0</v>
      </c>
      <c r="CA38" s="4">
        <f>AVERAGEIFS(Modelling[[Comisined DC ]],Modelling[Date],"&lt;="&amp;Modelling[[#This Row],[Date]],Modelling[Month Year],Modelling[[#This Row],[Month Year]])</f>
        <v>11.503099999999996</v>
      </c>
      <c r="CB38" s="4">
        <f>AVERAGEIFS(Modelling[[Comisined DC ]],Modelling[Date],"&lt;="&amp;Modelling[[#This Row],[Date]],Modelling[Finacial Year],Modelling[[#This Row],[Finacial Year]])</f>
        <v>11.503099999999996</v>
      </c>
      <c r="CG38">
        <f t="shared" si="28"/>
        <v>21</v>
      </c>
      <c r="CH38">
        <f t="shared" si="29"/>
        <v>21</v>
      </c>
    </row>
    <row r="39" spans="1:86" x14ac:dyDescent="0.35">
      <c r="A39" s="27">
        <v>45038</v>
      </c>
      <c r="B39" s="5">
        <f>MONTH(Modelling_old[[#This Row],[Date]])</f>
        <v>4</v>
      </c>
      <c r="C39" s="25">
        <f t="shared" si="11"/>
        <v>2024</v>
      </c>
      <c r="D39" s="3">
        <f t="shared" si="12"/>
        <v>2023</v>
      </c>
      <c r="E39" s="3" t="s">
        <v>626</v>
      </c>
      <c r="F39" s="5" t="s">
        <v>626</v>
      </c>
      <c r="G39" s="102">
        <v>45017</v>
      </c>
      <c r="H39" s="5">
        <f t="shared" si="13"/>
        <v>30</v>
      </c>
      <c r="I39" s="5">
        <f t="shared" si="14"/>
        <v>4</v>
      </c>
      <c r="J39" s="4">
        <f t="shared" si="15"/>
        <v>50.666666666666664</v>
      </c>
      <c r="K39" s="4">
        <f>SUM($J$18:J39)</f>
        <v>1114.6666666666665</v>
      </c>
      <c r="L39" s="4">
        <f>SUM($J$18:J39)</f>
        <v>1114.6666666666665</v>
      </c>
      <c r="M39" s="4">
        <f t="shared" si="16"/>
        <v>6.6233333333333331</v>
      </c>
      <c r="N39" s="4">
        <f>SUM($M$18:M39)</f>
        <v>145.71333333333334</v>
      </c>
      <c r="O39" s="4">
        <f>SUM($M$18:M39)</f>
        <v>145.71333333333334</v>
      </c>
      <c r="P39" s="9">
        <f t="shared" si="17"/>
        <v>0.66501405715026674</v>
      </c>
      <c r="Q39" s="26">
        <f t="shared" si="30"/>
        <v>0.66501405715026674</v>
      </c>
      <c r="R39" s="26">
        <f t="shared" si="30"/>
        <v>0.66501405715026674</v>
      </c>
      <c r="S39" s="9">
        <f t="shared" si="19"/>
        <v>0.18352540716077503</v>
      </c>
      <c r="T39" s="9">
        <f>K39/((COUNT($K$18:K39))*24*$Q$1)</f>
        <v>0.18352540716077498</v>
      </c>
      <c r="U39" s="28">
        <f>L39/((COUNT($L$18:L39))*24*$Q$1)</f>
        <v>0.18352540716077498</v>
      </c>
      <c r="V39" s="134">
        <v>11.5031</v>
      </c>
      <c r="Y39" s="27">
        <f t="shared" si="26"/>
        <v>45038</v>
      </c>
      <c r="Z39" s="5">
        <f>MONTH(Modelling_new[[#This Row],[Date]])</f>
        <v>4</v>
      </c>
      <c r="AA39" s="25">
        <f>YEAR(Y39)+IF(MONTH(Modelling_new[[#This Row],[Date]])&gt;=4,1,0)</f>
        <v>2024</v>
      </c>
      <c r="AB39" s="3">
        <f t="shared" si="20"/>
        <v>2023</v>
      </c>
      <c r="AC39" s="3" t="s">
        <v>626</v>
      </c>
      <c r="AD39" s="5" t="s">
        <v>626</v>
      </c>
      <c r="AE39" s="102">
        <v>45017</v>
      </c>
      <c r="AF39" s="5">
        <f t="shared" si="21"/>
        <v>30</v>
      </c>
      <c r="AG39" s="5">
        <f t="shared" si="22"/>
        <v>4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BD39" s="27">
        <f t="shared" si="27"/>
        <v>45038</v>
      </c>
      <c r="BE39" s="5">
        <f>MONTH(Modelling[[#This Row],[Date]])</f>
        <v>4</v>
      </c>
      <c r="BF39" s="25">
        <f>YEAR(BD39)+IF(MONTH(Modelling[[#This Row],[Date]])&gt;=4,1,0)</f>
        <v>2024</v>
      </c>
      <c r="BG39" s="3">
        <f t="shared" si="23"/>
        <v>2023</v>
      </c>
      <c r="BH39" s="3" t="s">
        <v>626</v>
      </c>
      <c r="BI39" s="5" t="s">
        <v>626</v>
      </c>
      <c r="BJ39" s="102">
        <v>45017</v>
      </c>
      <c r="BK39" s="5">
        <f t="shared" si="24"/>
        <v>30</v>
      </c>
      <c r="BL39" s="5">
        <f t="shared" si="25"/>
        <v>4</v>
      </c>
      <c r="BM39" s="4">
        <f>Modelling_old[[#This Row],[Target E_Grid daily
MWh]]+Modelling_new[[#This Row],[Target E_Grid daily
MWh]]</f>
        <v>50.666666666666664</v>
      </c>
      <c r="BN39" s="4">
        <f>Modelling_old[[#This Row],[Target E_Grid MTD
MWh]]+Modelling_new[[#This Row],[Target E_Grid MTD
MWh]]</f>
        <v>1114.6666666666665</v>
      </c>
      <c r="BO39" s="4">
        <f>Modelling_old[[#This Row],[Target E_Grid YTD
MWh]]+Modelling_new[[#This Row],[Target E_Grid YTD
MWh]]</f>
        <v>1114.6666666666665</v>
      </c>
      <c r="BP3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39" s="4">
        <f>SUMIFS(Modelling[Target POA Daily (KWh/m2)],Modelling[Date],"&lt;="&amp;Modelling[[#This Row],[Date]],Modelling[Month Year],Modelling[[#This Row],[Month Year]])</f>
        <v>145.71333333333334</v>
      </c>
      <c r="BR39" s="4">
        <f>SUMIFS(Modelling[Target POA Daily (KWh/m2)],Modelling[Date],"&lt;="&amp;Modelling[[#This Row],[Date]],Modelling[Finacial Year],Modelling[[#This Row],[Finacial Year]])</f>
        <v>145.71333333333334</v>
      </c>
      <c r="BS39" s="9">
        <f>BM39/Modelling[[#This Row],[Comisined DC ]]/BP39</f>
        <v>0.66501405715026674</v>
      </c>
      <c r="BT39" s="9">
        <f>BN39/BQ39/Modelling[[#This Row],[Comisined DC ]]</f>
        <v>0.66501405715026674</v>
      </c>
      <c r="BU39" s="9">
        <f>BO39/BR39/Modelling[[#This Row],[Comisined DC ]]</f>
        <v>0.66501405715026674</v>
      </c>
      <c r="BV39" s="9">
        <f>BM39/(24*Modelling[[#This Row],[Comisined DC ]])</f>
        <v>0.18352540716077503</v>
      </c>
      <c r="BW39" s="9">
        <f>BN39/((COUNTIFS(Modelling[Date],"&lt;="&amp;Modelling[[#This Row],[Date]],Modelling[Month Year],Modelling[[#This Row],[Month Year]])*24*Modelling[[#This Row],[MTD DC Capcity]]))</f>
        <v>0.18352540716077503</v>
      </c>
      <c r="BX39" s="28">
        <f>BO39/((COUNTIFS(Modelling[Date],"&lt;="&amp;Modelling[[#This Row],[Date]],Modelling[Finacial Year],Modelling[[#This Row],[Finacial Year]])*24*Modelling[[#This Row],[MTD DC Capcity]]))</f>
        <v>0.18352540716077503</v>
      </c>
      <c r="BY39" s="4">
        <f>Modelling_old[[#This Row],[DC Capcity]]+Modelling_new[[#This Row],[Comisined DC ]]</f>
        <v>11.5031</v>
      </c>
      <c r="BZ39" s="4">
        <v>0</v>
      </c>
      <c r="CA39" s="4">
        <f>AVERAGEIFS(Modelling[[Comisined DC ]],Modelling[Date],"&lt;="&amp;Modelling[[#This Row],[Date]],Modelling[Month Year],Modelling[[#This Row],[Month Year]])</f>
        <v>11.503099999999996</v>
      </c>
      <c r="CB39" s="4">
        <f>AVERAGEIFS(Modelling[[Comisined DC ]],Modelling[Date],"&lt;="&amp;Modelling[[#This Row],[Date]],Modelling[Finacial Year],Modelling[[#This Row],[Finacial Year]])</f>
        <v>11.503099999999996</v>
      </c>
      <c r="CG39">
        <f t="shared" si="28"/>
        <v>22</v>
      </c>
      <c r="CH39">
        <f t="shared" si="29"/>
        <v>22</v>
      </c>
    </row>
    <row r="40" spans="1:86" x14ac:dyDescent="0.35">
      <c r="A40" s="27">
        <v>45039</v>
      </c>
      <c r="B40" s="5">
        <f>MONTH(Modelling_old[[#This Row],[Date]])</f>
        <v>4</v>
      </c>
      <c r="C40" s="25">
        <f t="shared" si="11"/>
        <v>2024</v>
      </c>
      <c r="D40" s="3">
        <f t="shared" si="12"/>
        <v>2023</v>
      </c>
      <c r="E40" s="3" t="s">
        <v>626</v>
      </c>
      <c r="F40" s="5" t="s">
        <v>626</v>
      </c>
      <c r="G40" s="102">
        <v>45017</v>
      </c>
      <c r="H40" s="5">
        <f t="shared" si="13"/>
        <v>30</v>
      </c>
      <c r="I40" s="5">
        <f t="shared" si="14"/>
        <v>4</v>
      </c>
      <c r="J40" s="4">
        <f t="shared" si="15"/>
        <v>50.666666666666664</v>
      </c>
      <c r="K40" s="4">
        <f>SUM($J$18:J40)</f>
        <v>1165.3333333333333</v>
      </c>
      <c r="L40" s="4">
        <f>SUM($J$18:J40)</f>
        <v>1165.3333333333333</v>
      </c>
      <c r="M40" s="4">
        <f t="shared" si="16"/>
        <v>6.6233333333333331</v>
      </c>
      <c r="N40" s="4">
        <f>SUM($M$18:M40)</f>
        <v>152.33666666666667</v>
      </c>
      <c r="O40" s="4">
        <f>SUM($M$18:M40)</f>
        <v>152.33666666666667</v>
      </c>
      <c r="P40" s="9">
        <f t="shared" si="17"/>
        <v>0.66501405715026674</v>
      </c>
      <c r="Q40" s="26">
        <f t="shared" si="30"/>
        <v>0.66501405715026674</v>
      </c>
      <c r="R40" s="26">
        <f t="shared" si="30"/>
        <v>0.66501405715026674</v>
      </c>
      <c r="S40" s="9">
        <f t="shared" si="19"/>
        <v>0.18352540716077503</v>
      </c>
      <c r="T40" s="9">
        <f>K40/((COUNT($K$18:K40))*24*$Q$1)</f>
        <v>0.18352540716077501</v>
      </c>
      <c r="U40" s="28">
        <f>L40/((COUNT($L$18:L40))*24*$Q$1)</f>
        <v>0.18352540716077501</v>
      </c>
      <c r="V40" s="134">
        <v>11.5031</v>
      </c>
      <c r="Y40" s="27">
        <f t="shared" si="26"/>
        <v>45039</v>
      </c>
      <c r="Z40" s="5">
        <f>MONTH(Modelling_new[[#This Row],[Date]])</f>
        <v>4</v>
      </c>
      <c r="AA40" s="25">
        <f>YEAR(Y40)+IF(MONTH(Modelling_new[[#This Row],[Date]])&gt;=4,1,0)</f>
        <v>2024</v>
      </c>
      <c r="AB40" s="3">
        <f t="shared" si="20"/>
        <v>2023</v>
      </c>
      <c r="AC40" s="3" t="s">
        <v>626</v>
      </c>
      <c r="AD40" s="5" t="s">
        <v>626</v>
      </c>
      <c r="AE40" s="102">
        <v>45017</v>
      </c>
      <c r="AF40" s="5">
        <f t="shared" si="21"/>
        <v>30</v>
      </c>
      <c r="AG40" s="5">
        <f t="shared" si="22"/>
        <v>4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BD40" s="27">
        <f t="shared" si="27"/>
        <v>45039</v>
      </c>
      <c r="BE40" s="5">
        <f>MONTH(Modelling[[#This Row],[Date]])</f>
        <v>4</v>
      </c>
      <c r="BF40" s="25">
        <f>YEAR(BD40)+IF(MONTH(Modelling[[#This Row],[Date]])&gt;=4,1,0)</f>
        <v>2024</v>
      </c>
      <c r="BG40" s="3">
        <f t="shared" si="23"/>
        <v>2023</v>
      </c>
      <c r="BH40" s="3" t="s">
        <v>626</v>
      </c>
      <c r="BI40" s="5" t="s">
        <v>626</v>
      </c>
      <c r="BJ40" s="102">
        <v>45017</v>
      </c>
      <c r="BK40" s="5">
        <f t="shared" si="24"/>
        <v>30</v>
      </c>
      <c r="BL40" s="5">
        <f t="shared" si="25"/>
        <v>4</v>
      </c>
      <c r="BM40" s="4">
        <f>Modelling_old[[#This Row],[Target E_Grid daily
MWh]]+Modelling_new[[#This Row],[Target E_Grid daily
MWh]]</f>
        <v>50.666666666666664</v>
      </c>
      <c r="BN40" s="4">
        <f>Modelling_old[[#This Row],[Target E_Grid MTD
MWh]]+Modelling_new[[#This Row],[Target E_Grid MTD
MWh]]</f>
        <v>1165.3333333333333</v>
      </c>
      <c r="BO40" s="4">
        <f>Modelling_old[[#This Row],[Target E_Grid YTD
MWh]]+Modelling_new[[#This Row],[Target E_Grid YTD
MWh]]</f>
        <v>1165.3333333333333</v>
      </c>
      <c r="BP4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40" s="4">
        <f>SUMIFS(Modelling[Target POA Daily (KWh/m2)],Modelling[Date],"&lt;="&amp;Modelling[[#This Row],[Date]],Modelling[Month Year],Modelling[[#This Row],[Month Year]])</f>
        <v>152.33666666666667</v>
      </c>
      <c r="BR40" s="4">
        <f>SUMIFS(Modelling[Target POA Daily (KWh/m2)],Modelling[Date],"&lt;="&amp;Modelling[[#This Row],[Date]],Modelling[Finacial Year],Modelling[[#This Row],[Finacial Year]])</f>
        <v>152.33666666666667</v>
      </c>
      <c r="BS40" s="9">
        <f>BM40/Modelling[[#This Row],[Comisined DC ]]/BP40</f>
        <v>0.66501405715026674</v>
      </c>
      <c r="BT40" s="9">
        <f>BN40/BQ40/Modelling[[#This Row],[Comisined DC ]]</f>
        <v>0.66501405715026674</v>
      </c>
      <c r="BU40" s="9">
        <f>BO40/BR40/Modelling[[#This Row],[Comisined DC ]]</f>
        <v>0.66501405715026674</v>
      </c>
      <c r="BV40" s="9">
        <f>BM40/(24*Modelling[[#This Row],[Comisined DC ]])</f>
        <v>0.18352540716077503</v>
      </c>
      <c r="BW40" s="9">
        <f>BN40/((COUNTIFS(Modelling[Date],"&lt;="&amp;Modelling[[#This Row],[Date]],Modelling[Month Year],Modelling[[#This Row],[Month Year]])*24*Modelling[[#This Row],[MTD DC Capcity]]))</f>
        <v>0.18352540716077509</v>
      </c>
      <c r="BX40" s="28">
        <f>BO40/((COUNTIFS(Modelling[Date],"&lt;="&amp;Modelling[[#This Row],[Date]],Modelling[Finacial Year],Modelling[[#This Row],[Finacial Year]])*24*Modelling[[#This Row],[MTD DC Capcity]]))</f>
        <v>0.18352540716077509</v>
      </c>
      <c r="BY40" s="4">
        <f>Modelling_old[[#This Row],[DC Capcity]]+Modelling_new[[#This Row],[Comisined DC ]]</f>
        <v>11.5031</v>
      </c>
      <c r="BZ40" s="4">
        <v>0</v>
      </c>
      <c r="CA40" s="4">
        <f>AVERAGEIFS(Modelling[[Comisined DC ]],Modelling[Date],"&lt;="&amp;Modelling[[#This Row],[Date]],Modelling[Month Year],Modelling[[#This Row],[Month Year]])</f>
        <v>11.503099999999995</v>
      </c>
      <c r="CB40" s="4">
        <f>AVERAGEIFS(Modelling[[Comisined DC ]],Modelling[Date],"&lt;="&amp;Modelling[[#This Row],[Date]],Modelling[Finacial Year],Modelling[[#This Row],[Finacial Year]])</f>
        <v>11.503099999999995</v>
      </c>
      <c r="CG40">
        <f t="shared" si="28"/>
        <v>23</v>
      </c>
      <c r="CH40">
        <f t="shared" si="29"/>
        <v>23</v>
      </c>
    </row>
    <row r="41" spans="1:86" x14ac:dyDescent="0.35">
      <c r="A41" s="27">
        <v>45040</v>
      </c>
      <c r="B41" s="5">
        <f>MONTH(Modelling_old[[#This Row],[Date]])</f>
        <v>4</v>
      </c>
      <c r="C41" s="25">
        <f t="shared" si="11"/>
        <v>2024</v>
      </c>
      <c r="D41" s="3">
        <f t="shared" si="12"/>
        <v>2023</v>
      </c>
      <c r="E41" s="3" t="s">
        <v>626</v>
      </c>
      <c r="F41" s="5" t="s">
        <v>626</v>
      </c>
      <c r="G41" s="102">
        <v>45017</v>
      </c>
      <c r="H41" s="5">
        <f t="shared" si="13"/>
        <v>30</v>
      </c>
      <c r="I41" s="5">
        <f t="shared" si="14"/>
        <v>4</v>
      </c>
      <c r="J41" s="4">
        <f t="shared" si="15"/>
        <v>50.666666666666664</v>
      </c>
      <c r="K41" s="4">
        <f>SUM($J$18:J41)</f>
        <v>1216</v>
      </c>
      <c r="L41" s="4">
        <f>SUM($J$18:J41)</f>
        <v>1216</v>
      </c>
      <c r="M41" s="4">
        <f t="shared" si="16"/>
        <v>6.6233333333333331</v>
      </c>
      <c r="N41" s="4">
        <f>SUM($M$18:M41)</f>
        <v>158.96</v>
      </c>
      <c r="O41" s="4">
        <f>SUM($M$18:M41)</f>
        <v>158.96</v>
      </c>
      <c r="P41" s="9">
        <f t="shared" si="17"/>
        <v>0.66501405715026674</v>
      </c>
      <c r="Q41" s="26">
        <f t="shared" si="30"/>
        <v>0.66501405715026674</v>
      </c>
      <c r="R41" s="26">
        <f t="shared" si="30"/>
        <v>0.66501405715026674</v>
      </c>
      <c r="S41" s="9">
        <f t="shared" si="19"/>
        <v>0.18352540716077503</v>
      </c>
      <c r="T41" s="9">
        <f>K41/((COUNT($K$18:K41))*24*$Q$1)</f>
        <v>0.18352540716077501</v>
      </c>
      <c r="U41" s="28">
        <f>L41/((COUNT($L$18:L41))*24*$Q$1)</f>
        <v>0.18352540716077501</v>
      </c>
      <c r="V41" s="134">
        <v>11.5031</v>
      </c>
      <c r="Y41" s="27">
        <f t="shared" si="26"/>
        <v>45040</v>
      </c>
      <c r="Z41" s="5">
        <f>MONTH(Modelling_new[[#This Row],[Date]])</f>
        <v>4</v>
      </c>
      <c r="AA41" s="25">
        <f>YEAR(Y41)+IF(MONTH(Modelling_new[[#This Row],[Date]])&gt;=4,1,0)</f>
        <v>2024</v>
      </c>
      <c r="AB41" s="3">
        <f t="shared" si="20"/>
        <v>2023</v>
      </c>
      <c r="AC41" s="3" t="s">
        <v>626</v>
      </c>
      <c r="AD41" s="5" t="s">
        <v>626</v>
      </c>
      <c r="AE41" s="102">
        <v>45017</v>
      </c>
      <c r="AF41" s="5">
        <f t="shared" si="21"/>
        <v>30</v>
      </c>
      <c r="AG41" s="5">
        <f t="shared" si="22"/>
        <v>4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BD41" s="27">
        <f t="shared" si="27"/>
        <v>45040</v>
      </c>
      <c r="BE41" s="5">
        <f>MONTH(Modelling[[#This Row],[Date]])</f>
        <v>4</v>
      </c>
      <c r="BF41" s="25">
        <f>YEAR(BD41)+IF(MONTH(Modelling[[#This Row],[Date]])&gt;=4,1,0)</f>
        <v>2024</v>
      </c>
      <c r="BG41" s="3">
        <f t="shared" si="23"/>
        <v>2023</v>
      </c>
      <c r="BH41" s="3" t="s">
        <v>626</v>
      </c>
      <c r="BI41" s="5" t="s">
        <v>626</v>
      </c>
      <c r="BJ41" s="102">
        <v>45017</v>
      </c>
      <c r="BK41" s="5">
        <f t="shared" si="24"/>
        <v>30</v>
      </c>
      <c r="BL41" s="5">
        <f t="shared" si="25"/>
        <v>4</v>
      </c>
      <c r="BM41" s="4">
        <f>Modelling_old[[#This Row],[Target E_Grid daily
MWh]]+Modelling_new[[#This Row],[Target E_Grid daily
MWh]]</f>
        <v>50.666666666666664</v>
      </c>
      <c r="BN41" s="4">
        <f>Modelling_old[[#This Row],[Target E_Grid MTD
MWh]]+Modelling_new[[#This Row],[Target E_Grid MTD
MWh]]</f>
        <v>1216</v>
      </c>
      <c r="BO41" s="4">
        <f>Modelling_old[[#This Row],[Target E_Grid YTD
MWh]]+Modelling_new[[#This Row],[Target E_Grid YTD
MWh]]</f>
        <v>1216</v>
      </c>
      <c r="BP4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41" s="4">
        <f>SUMIFS(Modelling[Target POA Daily (KWh/m2)],Modelling[Date],"&lt;="&amp;Modelling[[#This Row],[Date]],Modelling[Month Year],Modelling[[#This Row],[Month Year]])</f>
        <v>158.96</v>
      </c>
      <c r="BR41" s="4">
        <f>SUMIFS(Modelling[Target POA Daily (KWh/m2)],Modelling[Date],"&lt;="&amp;Modelling[[#This Row],[Date]],Modelling[Finacial Year],Modelling[[#This Row],[Finacial Year]])</f>
        <v>158.96</v>
      </c>
      <c r="BS41" s="9">
        <f>BM41/Modelling[[#This Row],[Comisined DC ]]/BP41</f>
        <v>0.66501405715026674</v>
      </c>
      <c r="BT41" s="9">
        <f>BN41/BQ41/Modelling[[#This Row],[Comisined DC ]]</f>
        <v>0.66501405715026674</v>
      </c>
      <c r="BU41" s="9">
        <f>BO41/BR41/Modelling[[#This Row],[Comisined DC ]]</f>
        <v>0.66501405715026674</v>
      </c>
      <c r="BV41" s="9">
        <f>BM41/(24*Modelling[[#This Row],[Comisined DC ]])</f>
        <v>0.18352540716077503</v>
      </c>
      <c r="BW41" s="9">
        <f>BN41/((COUNTIFS(Modelling[Date],"&lt;="&amp;Modelling[[#This Row],[Date]],Modelling[Month Year],Modelling[[#This Row],[Month Year]])*24*Modelling[[#This Row],[MTD DC Capcity]]))</f>
        <v>0.18352540716077509</v>
      </c>
      <c r="BX41" s="28">
        <f>BO41/((COUNTIFS(Modelling[Date],"&lt;="&amp;Modelling[[#This Row],[Date]],Modelling[Finacial Year],Modelling[[#This Row],[Finacial Year]])*24*Modelling[[#This Row],[MTD DC Capcity]]))</f>
        <v>0.18352540716077509</v>
      </c>
      <c r="BY41" s="4">
        <f>Modelling_old[[#This Row],[DC Capcity]]+Modelling_new[[#This Row],[Comisined DC ]]</f>
        <v>11.5031</v>
      </c>
      <c r="BZ41" s="4">
        <v>0</v>
      </c>
      <c r="CA41" s="4">
        <f>AVERAGEIFS(Modelling[[Comisined DC ]],Modelling[Date],"&lt;="&amp;Modelling[[#This Row],[Date]],Modelling[Month Year],Modelling[[#This Row],[Month Year]])</f>
        <v>11.503099999999996</v>
      </c>
      <c r="CB41" s="4">
        <f>AVERAGEIFS(Modelling[[Comisined DC ]],Modelling[Date],"&lt;="&amp;Modelling[[#This Row],[Date]],Modelling[Finacial Year],Modelling[[#This Row],[Finacial Year]])</f>
        <v>11.503099999999996</v>
      </c>
      <c r="CG41">
        <f t="shared" si="28"/>
        <v>24</v>
      </c>
      <c r="CH41">
        <f t="shared" si="29"/>
        <v>24</v>
      </c>
    </row>
    <row r="42" spans="1:86" x14ac:dyDescent="0.35">
      <c r="A42" s="27">
        <v>45041</v>
      </c>
      <c r="B42" s="5">
        <f>MONTH(Modelling_old[[#This Row],[Date]])</f>
        <v>4</v>
      </c>
      <c r="C42" s="25">
        <f t="shared" si="11"/>
        <v>2024</v>
      </c>
      <c r="D42" s="3">
        <f t="shared" si="12"/>
        <v>2023</v>
      </c>
      <c r="E42" s="3" t="s">
        <v>626</v>
      </c>
      <c r="F42" s="5" t="s">
        <v>626</v>
      </c>
      <c r="G42" s="102">
        <v>45017</v>
      </c>
      <c r="H42" s="5">
        <f t="shared" si="13"/>
        <v>30</v>
      </c>
      <c r="I42" s="5">
        <f t="shared" si="14"/>
        <v>4</v>
      </c>
      <c r="J42" s="4">
        <f t="shared" si="15"/>
        <v>50.666666666666664</v>
      </c>
      <c r="K42" s="4">
        <f>SUM($J$18:J42)</f>
        <v>1266.6666666666667</v>
      </c>
      <c r="L42" s="4">
        <f>SUM($J$18:J42)</f>
        <v>1266.6666666666667</v>
      </c>
      <c r="M42" s="4">
        <f t="shared" si="16"/>
        <v>6.6233333333333331</v>
      </c>
      <c r="N42" s="4">
        <f>SUM($M$18:M42)</f>
        <v>165.58333333333334</v>
      </c>
      <c r="O42" s="4">
        <f>SUM($M$18:M42)</f>
        <v>165.58333333333334</v>
      </c>
      <c r="P42" s="9">
        <f t="shared" si="17"/>
        <v>0.66501405715026674</v>
      </c>
      <c r="Q42" s="26">
        <f t="shared" si="30"/>
        <v>0.66501405715026674</v>
      </c>
      <c r="R42" s="26">
        <f t="shared" si="30"/>
        <v>0.66501405715026674</v>
      </c>
      <c r="S42" s="9">
        <f t="shared" si="19"/>
        <v>0.18352540716077503</v>
      </c>
      <c r="T42" s="9">
        <f>K42/((COUNT($K$18:K42))*24*$Q$1)</f>
        <v>0.18352540716077503</v>
      </c>
      <c r="U42" s="28">
        <f>L42/((COUNT($L$18:L42))*24*$Q$1)</f>
        <v>0.18352540716077503</v>
      </c>
      <c r="V42" s="134">
        <v>11.5031</v>
      </c>
      <c r="Y42" s="27">
        <f t="shared" si="26"/>
        <v>45041</v>
      </c>
      <c r="Z42" s="5">
        <f>MONTH(Modelling_new[[#This Row],[Date]])</f>
        <v>4</v>
      </c>
      <c r="AA42" s="25">
        <f>YEAR(Y42)+IF(MONTH(Modelling_new[[#This Row],[Date]])&gt;=4,1,0)</f>
        <v>2024</v>
      </c>
      <c r="AB42" s="3">
        <f t="shared" si="20"/>
        <v>2023</v>
      </c>
      <c r="AC42" s="3" t="s">
        <v>626</v>
      </c>
      <c r="AD42" s="5" t="s">
        <v>626</v>
      </c>
      <c r="AE42" s="102">
        <v>45017</v>
      </c>
      <c r="AF42" s="5">
        <f t="shared" si="21"/>
        <v>30</v>
      </c>
      <c r="AG42" s="5">
        <f t="shared" si="22"/>
        <v>4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BD42" s="27">
        <f t="shared" si="27"/>
        <v>45041</v>
      </c>
      <c r="BE42" s="5">
        <f>MONTH(Modelling[[#This Row],[Date]])</f>
        <v>4</v>
      </c>
      <c r="BF42" s="25">
        <f>YEAR(BD42)+IF(MONTH(Modelling[[#This Row],[Date]])&gt;=4,1,0)</f>
        <v>2024</v>
      </c>
      <c r="BG42" s="3">
        <f t="shared" si="23"/>
        <v>2023</v>
      </c>
      <c r="BH42" s="3" t="s">
        <v>626</v>
      </c>
      <c r="BI42" s="5" t="s">
        <v>626</v>
      </c>
      <c r="BJ42" s="102">
        <v>45017</v>
      </c>
      <c r="BK42" s="5">
        <f t="shared" si="24"/>
        <v>30</v>
      </c>
      <c r="BL42" s="5">
        <f t="shared" si="25"/>
        <v>4</v>
      </c>
      <c r="BM42" s="4">
        <f>Modelling_old[[#This Row],[Target E_Grid daily
MWh]]+Modelling_new[[#This Row],[Target E_Grid daily
MWh]]</f>
        <v>50.666666666666664</v>
      </c>
      <c r="BN42" s="4">
        <f>Modelling_old[[#This Row],[Target E_Grid MTD
MWh]]+Modelling_new[[#This Row],[Target E_Grid MTD
MWh]]</f>
        <v>1266.6666666666667</v>
      </c>
      <c r="BO42" s="4">
        <f>Modelling_old[[#This Row],[Target E_Grid YTD
MWh]]+Modelling_new[[#This Row],[Target E_Grid YTD
MWh]]</f>
        <v>1266.6666666666667</v>
      </c>
      <c r="BP4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42" s="4">
        <f>SUMIFS(Modelling[Target POA Daily (KWh/m2)],Modelling[Date],"&lt;="&amp;Modelling[[#This Row],[Date]],Modelling[Month Year],Modelling[[#This Row],[Month Year]])</f>
        <v>165.58333333333334</v>
      </c>
      <c r="BR42" s="4">
        <f>SUMIFS(Modelling[Target POA Daily (KWh/m2)],Modelling[Date],"&lt;="&amp;Modelling[[#This Row],[Date]],Modelling[Finacial Year],Modelling[[#This Row],[Finacial Year]])</f>
        <v>165.58333333333334</v>
      </c>
      <c r="BS42" s="9">
        <f>BM42/Modelling[[#This Row],[Comisined DC ]]/BP42</f>
        <v>0.66501405715026674</v>
      </c>
      <c r="BT42" s="9">
        <f>BN42/BQ42/Modelling[[#This Row],[Comisined DC ]]</f>
        <v>0.66501405715026674</v>
      </c>
      <c r="BU42" s="9">
        <f>BO42/BR42/Modelling[[#This Row],[Comisined DC ]]</f>
        <v>0.66501405715026674</v>
      </c>
      <c r="BV42" s="9">
        <f>BM42/(24*Modelling[[#This Row],[Comisined DC ]])</f>
        <v>0.18352540716077503</v>
      </c>
      <c r="BW42" s="9">
        <f>BN42/((COUNTIFS(Modelling[Date],"&lt;="&amp;Modelling[[#This Row],[Date]],Modelling[Month Year],Modelling[[#This Row],[Month Year]])*24*Modelling[[#This Row],[MTD DC Capcity]]))</f>
        <v>0.18352540716077509</v>
      </c>
      <c r="BX42" s="28">
        <f>BO42/((COUNTIFS(Modelling[Date],"&lt;="&amp;Modelling[[#This Row],[Date]],Modelling[Finacial Year],Modelling[[#This Row],[Finacial Year]])*24*Modelling[[#This Row],[MTD DC Capcity]]))</f>
        <v>0.18352540716077509</v>
      </c>
      <c r="BY42" s="4">
        <f>Modelling_old[[#This Row],[DC Capcity]]+Modelling_new[[#This Row],[Comisined DC ]]</f>
        <v>11.5031</v>
      </c>
      <c r="BZ42" s="4">
        <v>0</v>
      </c>
      <c r="CA42" s="4">
        <f>AVERAGEIFS(Modelling[[Comisined DC ]],Modelling[Date],"&lt;="&amp;Modelling[[#This Row],[Date]],Modelling[Month Year],Modelling[[#This Row],[Month Year]])</f>
        <v>11.503099999999996</v>
      </c>
      <c r="CB42" s="4">
        <f>AVERAGEIFS(Modelling[[Comisined DC ]],Modelling[Date],"&lt;="&amp;Modelling[[#This Row],[Date]],Modelling[Finacial Year],Modelling[[#This Row],[Finacial Year]])</f>
        <v>11.503099999999996</v>
      </c>
      <c r="CG42">
        <f t="shared" si="28"/>
        <v>25</v>
      </c>
      <c r="CH42">
        <f t="shared" si="29"/>
        <v>25</v>
      </c>
    </row>
    <row r="43" spans="1:86" x14ac:dyDescent="0.35">
      <c r="A43" s="27">
        <v>45042</v>
      </c>
      <c r="B43" s="5">
        <f>MONTH(Modelling_old[[#This Row],[Date]])</f>
        <v>4</v>
      </c>
      <c r="C43" s="25">
        <f t="shared" si="11"/>
        <v>2024</v>
      </c>
      <c r="D43" s="3">
        <f t="shared" si="12"/>
        <v>2023</v>
      </c>
      <c r="E43" s="3" t="s">
        <v>626</v>
      </c>
      <c r="F43" s="5" t="s">
        <v>626</v>
      </c>
      <c r="G43" s="102">
        <v>45017</v>
      </c>
      <c r="H43" s="5">
        <f t="shared" si="13"/>
        <v>30</v>
      </c>
      <c r="I43" s="5">
        <f t="shared" si="14"/>
        <v>4</v>
      </c>
      <c r="J43" s="4">
        <f t="shared" si="15"/>
        <v>50.666666666666664</v>
      </c>
      <c r="K43" s="4">
        <f>SUM($J$18:J43)</f>
        <v>1317.3333333333335</v>
      </c>
      <c r="L43" s="4">
        <f>SUM($J$18:J43)</f>
        <v>1317.3333333333335</v>
      </c>
      <c r="M43" s="4">
        <f t="shared" si="16"/>
        <v>6.6233333333333331</v>
      </c>
      <c r="N43" s="4">
        <f>SUM($M$18:M43)</f>
        <v>172.20666666666668</v>
      </c>
      <c r="O43" s="4">
        <f>SUM($M$18:M43)</f>
        <v>172.20666666666668</v>
      </c>
      <c r="P43" s="9">
        <f t="shared" si="17"/>
        <v>0.66501405715026674</v>
      </c>
      <c r="Q43" s="26">
        <f t="shared" si="30"/>
        <v>0.66501405715026685</v>
      </c>
      <c r="R43" s="26">
        <f t="shared" si="30"/>
        <v>0.66501405715026685</v>
      </c>
      <c r="S43" s="9">
        <f t="shared" si="19"/>
        <v>0.18352540716077503</v>
      </c>
      <c r="T43" s="9">
        <f>K43/((COUNT($K$18:K43))*24*$Q$1)</f>
        <v>0.18352540716077503</v>
      </c>
      <c r="U43" s="28">
        <f>L43/((COUNT($L$18:L43))*24*$Q$1)</f>
        <v>0.18352540716077503</v>
      </c>
      <c r="V43" s="134">
        <v>11.5031</v>
      </c>
      <c r="Y43" s="27">
        <f t="shared" si="26"/>
        <v>45042</v>
      </c>
      <c r="Z43" s="5">
        <f>MONTH(Modelling_new[[#This Row],[Date]])</f>
        <v>4</v>
      </c>
      <c r="AA43" s="25">
        <f>YEAR(Y43)+IF(MONTH(Modelling_new[[#This Row],[Date]])&gt;=4,1,0)</f>
        <v>2024</v>
      </c>
      <c r="AB43" s="3">
        <f t="shared" si="20"/>
        <v>2023</v>
      </c>
      <c r="AC43" s="3" t="s">
        <v>626</v>
      </c>
      <c r="AD43" s="5" t="s">
        <v>626</v>
      </c>
      <c r="AE43" s="102">
        <v>45017</v>
      </c>
      <c r="AF43" s="5">
        <f t="shared" si="21"/>
        <v>30</v>
      </c>
      <c r="AG43" s="5">
        <f t="shared" si="22"/>
        <v>4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BD43" s="27">
        <f t="shared" si="27"/>
        <v>45042</v>
      </c>
      <c r="BE43" s="5">
        <f>MONTH(Modelling[[#This Row],[Date]])</f>
        <v>4</v>
      </c>
      <c r="BF43" s="25">
        <f>YEAR(BD43)+IF(MONTH(Modelling[[#This Row],[Date]])&gt;=4,1,0)</f>
        <v>2024</v>
      </c>
      <c r="BG43" s="3">
        <f t="shared" si="23"/>
        <v>2023</v>
      </c>
      <c r="BH43" s="3" t="s">
        <v>626</v>
      </c>
      <c r="BI43" s="5" t="s">
        <v>626</v>
      </c>
      <c r="BJ43" s="102">
        <v>45017</v>
      </c>
      <c r="BK43" s="5">
        <f t="shared" si="24"/>
        <v>30</v>
      </c>
      <c r="BL43" s="5">
        <f t="shared" si="25"/>
        <v>4</v>
      </c>
      <c r="BM43" s="4">
        <f>Modelling_old[[#This Row],[Target E_Grid daily
MWh]]+Modelling_new[[#This Row],[Target E_Grid daily
MWh]]</f>
        <v>50.666666666666664</v>
      </c>
      <c r="BN43" s="4">
        <f>Modelling_old[[#This Row],[Target E_Grid MTD
MWh]]+Modelling_new[[#This Row],[Target E_Grid MTD
MWh]]</f>
        <v>1317.3333333333335</v>
      </c>
      <c r="BO43" s="4">
        <f>Modelling_old[[#This Row],[Target E_Grid YTD
MWh]]+Modelling_new[[#This Row],[Target E_Grid YTD
MWh]]</f>
        <v>1317.3333333333335</v>
      </c>
      <c r="BP4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43" s="4">
        <f>SUMIFS(Modelling[Target POA Daily (KWh/m2)],Modelling[Date],"&lt;="&amp;Modelling[[#This Row],[Date]],Modelling[Month Year],Modelling[[#This Row],[Month Year]])</f>
        <v>172.20666666666668</v>
      </c>
      <c r="BR43" s="4">
        <f>SUMIFS(Modelling[Target POA Daily (KWh/m2)],Modelling[Date],"&lt;="&amp;Modelling[[#This Row],[Date]],Modelling[Finacial Year],Modelling[[#This Row],[Finacial Year]])</f>
        <v>172.20666666666668</v>
      </c>
      <c r="BS43" s="9">
        <f>BM43/Modelling[[#This Row],[Comisined DC ]]/BP43</f>
        <v>0.66501405715026674</v>
      </c>
      <c r="BT43" s="9">
        <f>BN43/BQ43/Modelling[[#This Row],[Comisined DC ]]</f>
        <v>0.66501405715026685</v>
      </c>
      <c r="BU43" s="9">
        <f>BO43/BR43/Modelling[[#This Row],[Comisined DC ]]</f>
        <v>0.66501405715026685</v>
      </c>
      <c r="BV43" s="9">
        <f>BM43/(24*Modelling[[#This Row],[Comisined DC ]])</f>
        <v>0.18352540716077503</v>
      </c>
      <c r="BW43" s="9">
        <f>BN43/((COUNTIFS(Modelling[Date],"&lt;="&amp;Modelling[[#This Row],[Date]],Modelling[Month Year],Modelling[[#This Row],[Month Year]])*24*Modelling[[#This Row],[MTD DC Capcity]]))</f>
        <v>0.18352540716077506</v>
      </c>
      <c r="BX43" s="28">
        <f>BO43/((COUNTIFS(Modelling[Date],"&lt;="&amp;Modelling[[#This Row],[Date]],Modelling[Finacial Year],Modelling[[#This Row],[Finacial Year]])*24*Modelling[[#This Row],[MTD DC Capcity]]))</f>
        <v>0.18352540716077506</v>
      </c>
      <c r="BY43" s="4">
        <f>Modelling_old[[#This Row],[DC Capcity]]+Modelling_new[[#This Row],[Comisined DC ]]</f>
        <v>11.5031</v>
      </c>
      <c r="BZ43" s="4">
        <v>0</v>
      </c>
      <c r="CA43" s="4">
        <f>AVERAGEIFS(Modelling[[Comisined DC ]],Modelling[Date],"&lt;="&amp;Modelling[[#This Row],[Date]],Modelling[Month Year],Modelling[[#This Row],[Month Year]])</f>
        <v>11.503099999999998</v>
      </c>
      <c r="CB43" s="4">
        <f>AVERAGEIFS(Modelling[[Comisined DC ]],Modelling[Date],"&lt;="&amp;Modelling[[#This Row],[Date]],Modelling[Finacial Year],Modelling[[#This Row],[Finacial Year]])</f>
        <v>11.503099999999998</v>
      </c>
      <c r="CG43">
        <f t="shared" si="28"/>
        <v>26</v>
      </c>
      <c r="CH43">
        <f t="shared" si="29"/>
        <v>26</v>
      </c>
    </row>
    <row r="44" spans="1:86" x14ac:dyDescent="0.35">
      <c r="A44" s="27">
        <v>45043</v>
      </c>
      <c r="B44" s="5">
        <f>MONTH(Modelling_old[[#This Row],[Date]])</f>
        <v>4</v>
      </c>
      <c r="C44" s="25">
        <f t="shared" si="11"/>
        <v>2024</v>
      </c>
      <c r="D44" s="3">
        <f t="shared" si="12"/>
        <v>2023</v>
      </c>
      <c r="E44" s="3" t="s">
        <v>626</v>
      </c>
      <c r="F44" s="5" t="s">
        <v>626</v>
      </c>
      <c r="G44" s="102">
        <v>45017</v>
      </c>
      <c r="H44" s="5">
        <f t="shared" si="13"/>
        <v>30</v>
      </c>
      <c r="I44" s="5">
        <f t="shared" si="14"/>
        <v>4</v>
      </c>
      <c r="J44" s="4">
        <f t="shared" si="15"/>
        <v>50.666666666666664</v>
      </c>
      <c r="K44" s="4">
        <f>SUM($J$18:J44)</f>
        <v>1368.0000000000002</v>
      </c>
      <c r="L44" s="4">
        <f>SUM($J$18:J44)</f>
        <v>1368.0000000000002</v>
      </c>
      <c r="M44" s="4">
        <f t="shared" si="16"/>
        <v>6.6233333333333331</v>
      </c>
      <c r="N44" s="4">
        <f>SUM($M$18:M44)</f>
        <v>178.83</v>
      </c>
      <c r="O44" s="4">
        <f>SUM($M$18:M44)</f>
        <v>178.83</v>
      </c>
      <c r="P44" s="9">
        <f t="shared" si="17"/>
        <v>0.66501405715026674</v>
      </c>
      <c r="Q44" s="26">
        <f t="shared" si="30"/>
        <v>0.66501405715026685</v>
      </c>
      <c r="R44" s="26">
        <f t="shared" si="30"/>
        <v>0.66501405715026685</v>
      </c>
      <c r="S44" s="9">
        <f t="shared" si="19"/>
        <v>0.18352540716077503</v>
      </c>
      <c r="T44" s="9">
        <f>K44/((COUNT($K$18:K44))*24*$Q$1)</f>
        <v>0.18352540716077506</v>
      </c>
      <c r="U44" s="28">
        <f>L44/((COUNT($L$18:L44))*24*$Q$1)</f>
        <v>0.18352540716077506</v>
      </c>
      <c r="V44" s="134">
        <v>11.5031</v>
      </c>
      <c r="Y44" s="27">
        <f t="shared" si="26"/>
        <v>45043</v>
      </c>
      <c r="Z44" s="5">
        <f>MONTH(Modelling_new[[#This Row],[Date]])</f>
        <v>4</v>
      </c>
      <c r="AA44" s="25">
        <f>YEAR(Y44)+IF(MONTH(Modelling_new[[#This Row],[Date]])&gt;=4,1,0)</f>
        <v>2024</v>
      </c>
      <c r="AB44" s="3">
        <f t="shared" si="20"/>
        <v>2023</v>
      </c>
      <c r="AC44" s="3" t="s">
        <v>626</v>
      </c>
      <c r="AD44" s="5" t="s">
        <v>626</v>
      </c>
      <c r="AE44" s="102">
        <v>45017</v>
      </c>
      <c r="AF44" s="5">
        <f t="shared" si="21"/>
        <v>30</v>
      </c>
      <c r="AG44" s="5">
        <f t="shared" si="22"/>
        <v>4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BD44" s="27">
        <f t="shared" si="27"/>
        <v>45043</v>
      </c>
      <c r="BE44" s="5">
        <f>MONTH(Modelling[[#This Row],[Date]])</f>
        <v>4</v>
      </c>
      <c r="BF44" s="25">
        <f>YEAR(BD44)+IF(MONTH(Modelling[[#This Row],[Date]])&gt;=4,1,0)</f>
        <v>2024</v>
      </c>
      <c r="BG44" s="3">
        <f t="shared" si="23"/>
        <v>2023</v>
      </c>
      <c r="BH44" s="3" t="s">
        <v>626</v>
      </c>
      <c r="BI44" s="5" t="s">
        <v>626</v>
      </c>
      <c r="BJ44" s="102">
        <v>45017</v>
      </c>
      <c r="BK44" s="5">
        <f t="shared" si="24"/>
        <v>30</v>
      </c>
      <c r="BL44" s="5">
        <f t="shared" si="25"/>
        <v>4</v>
      </c>
      <c r="BM44" s="4">
        <f>Modelling_old[[#This Row],[Target E_Grid daily
MWh]]+Modelling_new[[#This Row],[Target E_Grid daily
MWh]]</f>
        <v>50.666666666666664</v>
      </c>
      <c r="BN44" s="4">
        <f>Modelling_old[[#This Row],[Target E_Grid MTD
MWh]]+Modelling_new[[#This Row],[Target E_Grid MTD
MWh]]</f>
        <v>1368.0000000000002</v>
      </c>
      <c r="BO44" s="4">
        <f>Modelling_old[[#This Row],[Target E_Grid YTD
MWh]]+Modelling_new[[#This Row],[Target E_Grid YTD
MWh]]</f>
        <v>1368.0000000000002</v>
      </c>
      <c r="BP4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44" s="4">
        <f>SUMIFS(Modelling[Target POA Daily (KWh/m2)],Modelling[Date],"&lt;="&amp;Modelling[[#This Row],[Date]],Modelling[Month Year],Modelling[[#This Row],[Month Year]])</f>
        <v>178.83</v>
      </c>
      <c r="BR44" s="4">
        <f>SUMIFS(Modelling[Target POA Daily (KWh/m2)],Modelling[Date],"&lt;="&amp;Modelling[[#This Row],[Date]],Modelling[Finacial Year],Modelling[[#This Row],[Finacial Year]])</f>
        <v>178.83</v>
      </c>
      <c r="BS44" s="9">
        <f>BM44/Modelling[[#This Row],[Comisined DC ]]/BP44</f>
        <v>0.66501405715026674</v>
      </c>
      <c r="BT44" s="9">
        <f>BN44/BQ44/Modelling[[#This Row],[Comisined DC ]]</f>
        <v>0.66501405715026685</v>
      </c>
      <c r="BU44" s="9">
        <f>BO44/BR44/Modelling[[#This Row],[Comisined DC ]]</f>
        <v>0.66501405715026685</v>
      </c>
      <c r="BV44" s="9">
        <f>BM44/(24*Modelling[[#This Row],[Comisined DC ]])</f>
        <v>0.18352540716077503</v>
      </c>
      <c r="BW44" s="9">
        <f>BN44/((COUNTIFS(Modelling[Date],"&lt;="&amp;Modelling[[#This Row],[Date]],Modelling[Month Year],Modelling[[#This Row],[Month Year]])*24*Modelling[[#This Row],[MTD DC Capcity]]))</f>
        <v>0.18352540716077509</v>
      </c>
      <c r="BX44" s="28">
        <f>BO44/((COUNTIFS(Modelling[Date],"&lt;="&amp;Modelling[[#This Row],[Date]],Modelling[Finacial Year],Modelling[[#This Row],[Finacial Year]])*24*Modelling[[#This Row],[MTD DC Capcity]]))</f>
        <v>0.18352540716077509</v>
      </c>
      <c r="BY44" s="4">
        <f>Modelling_old[[#This Row],[DC Capcity]]+Modelling_new[[#This Row],[Comisined DC ]]</f>
        <v>11.5031</v>
      </c>
      <c r="BZ44" s="4">
        <v>0</v>
      </c>
      <c r="CA44" s="4">
        <f>AVERAGEIFS(Modelling[[Comisined DC ]],Modelling[Date],"&lt;="&amp;Modelling[[#This Row],[Date]],Modelling[Month Year],Modelling[[#This Row],[Month Year]])</f>
        <v>11.503099999999998</v>
      </c>
      <c r="CB44" s="4">
        <f>AVERAGEIFS(Modelling[[Comisined DC ]],Modelling[Date],"&lt;="&amp;Modelling[[#This Row],[Date]],Modelling[Finacial Year],Modelling[[#This Row],[Finacial Year]])</f>
        <v>11.503099999999998</v>
      </c>
      <c r="CG44">
        <f t="shared" si="28"/>
        <v>27</v>
      </c>
      <c r="CH44">
        <f t="shared" si="29"/>
        <v>27</v>
      </c>
    </row>
    <row r="45" spans="1:86" x14ac:dyDescent="0.35">
      <c r="A45" s="27">
        <v>45044</v>
      </c>
      <c r="B45" s="5">
        <f>MONTH(Modelling_old[[#This Row],[Date]])</f>
        <v>4</v>
      </c>
      <c r="C45" s="25">
        <f t="shared" si="11"/>
        <v>2024</v>
      </c>
      <c r="D45" s="3">
        <f t="shared" si="12"/>
        <v>2023</v>
      </c>
      <c r="E45" s="3" t="s">
        <v>626</v>
      </c>
      <c r="F45" s="5" t="s">
        <v>626</v>
      </c>
      <c r="G45" s="102">
        <v>45017</v>
      </c>
      <c r="H45" s="5">
        <f t="shared" si="13"/>
        <v>30</v>
      </c>
      <c r="I45" s="5">
        <f t="shared" si="14"/>
        <v>4</v>
      </c>
      <c r="J45" s="4">
        <f t="shared" si="15"/>
        <v>50.666666666666664</v>
      </c>
      <c r="K45" s="4">
        <f>SUM($J$18:J45)</f>
        <v>1418.666666666667</v>
      </c>
      <c r="L45" s="4">
        <f>SUM($J$18:J45)</f>
        <v>1418.666666666667</v>
      </c>
      <c r="M45" s="4">
        <f t="shared" si="16"/>
        <v>6.6233333333333331</v>
      </c>
      <c r="N45" s="4">
        <f>SUM($M$18:M45)</f>
        <v>185.45333333333335</v>
      </c>
      <c r="O45" s="4">
        <f>SUM($M$18:M45)</f>
        <v>185.45333333333335</v>
      </c>
      <c r="P45" s="9">
        <f t="shared" si="17"/>
        <v>0.66501405715026674</v>
      </c>
      <c r="Q45" s="26">
        <f t="shared" si="30"/>
        <v>0.66501405715026696</v>
      </c>
      <c r="R45" s="26">
        <f t="shared" si="30"/>
        <v>0.66501405715026696</v>
      </c>
      <c r="S45" s="9">
        <f t="shared" si="19"/>
        <v>0.18352540716077503</v>
      </c>
      <c r="T45" s="9">
        <f>K45/((COUNT($K$18:K45))*24*$Q$1)</f>
        <v>0.18352540716077506</v>
      </c>
      <c r="U45" s="28">
        <f>L45/((COUNT($L$18:L45))*24*$Q$1)</f>
        <v>0.18352540716077506</v>
      </c>
      <c r="V45" s="134">
        <v>11.5031</v>
      </c>
      <c r="Y45" s="27">
        <f t="shared" si="26"/>
        <v>45044</v>
      </c>
      <c r="Z45" s="5">
        <f>MONTH(Modelling_new[[#This Row],[Date]])</f>
        <v>4</v>
      </c>
      <c r="AA45" s="25">
        <f>YEAR(Y45)+IF(MONTH(Modelling_new[[#This Row],[Date]])&gt;=4,1,0)</f>
        <v>2024</v>
      </c>
      <c r="AB45" s="3">
        <f t="shared" si="20"/>
        <v>2023</v>
      </c>
      <c r="AC45" s="3" t="s">
        <v>626</v>
      </c>
      <c r="AD45" s="5" t="s">
        <v>626</v>
      </c>
      <c r="AE45" s="102">
        <v>45017</v>
      </c>
      <c r="AF45" s="5">
        <f t="shared" si="21"/>
        <v>30</v>
      </c>
      <c r="AG45" s="5">
        <f t="shared" si="22"/>
        <v>4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BD45" s="27">
        <f t="shared" si="27"/>
        <v>45044</v>
      </c>
      <c r="BE45" s="5">
        <f>MONTH(Modelling[[#This Row],[Date]])</f>
        <v>4</v>
      </c>
      <c r="BF45" s="25">
        <f>YEAR(BD45)+IF(MONTH(Modelling[[#This Row],[Date]])&gt;=4,1,0)</f>
        <v>2024</v>
      </c>
      <c r="BG45" s="3">
        <f t="shared" si="23"/>
        <v>2023</v>
      </c>
      <c r="BH45" s="3" t="s">
        <v>626</v>
      </c>
      <c r="BI45" s="5" t="s">
        <v>626</v>
      </c>
      <c r="BJ45" s="102">
        <v>45017</v>
      </c>
      <c r="BK45" s="5">
        <f t="shared" si="24"/>
        <v>30</v>
      </c>
      <c r="BL45" s="5">
        <f t="shared" si="25"/>
        <v>4</v>
      </c>
      <c r="BM45" s="4">
        <f>Modelling_old[[#This Row],[Target E_Grid daily
MWh]]+Modelling_new[[#This Row],[Target E_Grid daily
MWh]]</f>
        <v>50.666666666666664</v>
      </c>
      <c r="BN45" s="4">
        <f>Modelling_old[[#This Row],[Target E_Grid MTD
MWh]]+Modelling_new[[#This Row],[Target E_Grid MTD
MWh]]</f>
        <v>1418.666666666667</v>
      </c>
      <c r="BO45" s="4">
        <f>Modelling_old[[#This Row],[Target E_Grid YTD
MWh]]+Modelling_new[[#This Row],[Target E_Grid YTD
MWh]]</f>
        <v>1418.666666666667</v>
      </c>
      <c r="BP4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45" s="4">
        <f>SUMIFS(Modelling[Target POA Daily (KWh/m2)],Modelling[Date],"&lt;="&amp;Modelling[[#This Row],[Date]],Modelling[Month Year],Modelling[[#This Row],[Month Year]])</f>
        <v>185.45333333333335</v>
      </c>
      <c r="BR45" s="4">
        <f>SUMIFS(Modelling[Target POA Daily (KWh/m2)],Modelling[Date],"&lt;="&amp;Modelling[[#This Row],[Date]],Modelling[Finacial Year],Modelling[[#This Row],[Finacial Year]])</f>
        <v>185.45333333333335</v>
      </c>
      <c r="BS45" s="9">
        <f>BM45/Modelling[[#This Row],[Comisined DC ]]/BP45</f>
        <v>0.66501405715026674</v>
      </c>
      <c r="BT45" s="9">
        <f>BN45/BQ45/Modelling[[#This Row],[Comisined DC ]]</f>
        <v>0.66501405715026696</v>
      </c>
      <c r="BU45" s="9">
        <f>BO45/BR45/Modelling[[#This Row],[Comisined DC ]]</f>
        <v>0.66501405715026696</v>
      </c>
      <c r="BV45" s="9">
        <f>BM45/(24*Modelling[[#This Row],[Comisined DC ]])</f>
        <v>0.18352540716077503</v>
      </c>
      <c r="BW45" s="9">
        <f>BN45/((COUNTIFS(Modelling[Date],"&lt;="&amp;Modelling[[#This Row],[Date]],Modelling[Month Year],Modelling[[#This Row],[Month Year]])*24*Modelling[[#This Row],[MTD DC Capcity]]))</f>
        <v>0.18352540716077506</v>
      </c>
      <c r="BX45" s="28">
        <f>BO45/((COUNTIFS(Modelling[Date],"&lt;="&amp;Modelling[[#This Row],[Date]],Modelling[Finacial Year],Modelling[[#This Row],[Finacial Year]])*24*Modelling[[#This Row],[MTD DC Capcity]]))</f>
        <v>0.18352540716077506</v>
      </c>
      <c r="BY45" s="4">
        <f>Modelling_old[[#This Row],[DC Capcity]]+Modelling_new[[#This Row],[Comisined DC ]]</f>
        <v>11.5031</v>
      </c>
      <c r="BZ45" s="4">
        <v>0</v>
      </c>
      <c r="CA45" s="4">
        <f>AVERAGEIFS(Modelling[[Comisined DC ]],Modelling[Date],"&lt;="&amp;Modelling[[#This Row],[Date]],Modelling[Month Year],Modelling[[#This Row],[Month Year]])</f>
        <v>11.5031</v>
      </c>
      <c r="CB45" s="4">
        <f>AVERAGEIFS(Modelling[[Comisined DC ]],Modelling[Date],"&lt;="&amp;Modelling[[#This Row],[Date]],Modelling[Finacial Year],Modelling[[#This Row],[Finacial Year]])</f>
        <v>11.5031</v>
      </c>
      <c r="CG45">
        <f t="shared" si="28"/>
        <v>28</v>
      </c>
      <c r="CH45">
        <f t="shared" si="29"/>
        <v>28</v>
      </c>
    </row>
    <row r="46" spans="1:86" x14ac:dyDescent="0.35">
      <c r="A46" s="27">
        <v>45045</v>
      </c>
      <c r="B46" s="5">
        <f>MONTH(Modelling_old[[#This Row],[Date]])</f>
        <v>4</v>
      </c>
      <c r="C46" s="25">
        <f t="shared" si="11"/>
        <v>2024</v>
      </c>
      <c r="D46" s="3">
        <f t="shared" si="12"/>
        <v>2023</v>
      </c>
      <c r="E46" s="3" t="s">
        <v>626</v>
      </c>
      <c r="F46" s="5" t="s">
        <v>626</v>
      </c>
      <c r="G46" s="102">
        <v>45017</v>
      </c>
      <c r="H46" s="5">
        <f t="shared" si="13"/>
        <v>30</v>
      </c>
      <c r="I46" s="5">
        <f t="shared" si="14"/>
        <v>4</v>
      </c>
      <c r="J46" s="4">
        <f t="shared" si="15"/>
        <v>50.666666666666664</v>
      </c>
      <c r="K46" s="4">
        <f>SUM($J$18:J46)</f>
        <v>1469.3333333333337</v>
      </c>
      <c r="L46" s="4">
        <f>SUM($J$18:J46)</f>
        <v>1469.3333333333337</v>
      </c>
      <c r="M46" s="4">
        <f t="shared" si="16"/>
        <v>6.6233333333333331</v>
      </c>
      <c r="N46" s="4">
        <f>SUM($M$18:M46)</f>
        <v>192.07666666666668</v>
      </c>
      <c r="O46" s="4">
        <f>SUM($M$18:M46)</f>
        <v>192.07666666666668</v>
      </c>
      <c r="P46" s="9">
        <f t="shared" si="17"/>
        <v>0.66501405715026674</v>
      </c>
      <c r="Q46" s="26">
        <f t="shared" si="30"/>
        <v>0.66501405715026696</v>
      </c>
      <c r="R46" s="26">
        <f t="shared" si="30"/>
        <v>0.66501405715026696</v>
      </c>
      <c r="S46" s="9">
        <f t="shared" si="19"/>
        <v>0.18352540716077503</v>
      </c>
      <c r="T46" s="9">
        <f>K46/((COUNT($K$18:K46))*24*$Q$1)</f>
        <v>0.18352540716077509</v>
      </c>
      <c r="U46" s="28">
        <f>L46/((COUNT($L$18:L46))*24*$Q$1)</f>
        <v>0.18352540716077509</v>
      </c>
      <c r="V46" s="134">
        <v>11.5031</v>
      </c>
      <c r="Y46" s="27">
        <f t="shared" si="26"/>
        <v>45045</v>
      </c>
      <c r="Z46" s="5">
        <f>MONTH(Modelling_new[[#This Row],[Date]])</f>
        <v>4</v>
      </c>
      <c r="AA46" s="25">
        <f>YEAR(Y46)+IF(MONTH(Modelling_new[[#This Row],[Date]])&gt;=4,1,0)</f>
        <v>2024</v>
      </c>
      <c r="AB46" s="3">
        <f t="shared" si="20"/>
        <v>2023</v>
      </c>
      <c r="AC46" s="3" t="s">
        <v>626</v>
      </c>
      <c r="AD46" s="5" t="s">
        <v>626</v>
      </c>
      <c r="AE46" s="102">
        <v>45017</v>
      </c>
      <c r="AF46" s="5">
        <f t="shared" si="21"/>
        <v>30</v>
      </c>
      <c r="AG46" s="5">
        <f t="shared" si="22"/>
        <v>4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BD46" s="27">
        <f t="shared" si="27"/>
        <v>45045</v>
      </c>
      <c r="BE46" s="5">
        <f>MONTH(Modelling[[#This Row],[Date]])</f>
        <v>4</v>
      </c>
      <c r="BF46" s="25">
        <f>YEAR(BD46)+IF(MONTH(Modelling[[#This Row],[Date]])&gt;=4,1,0)</f>
        <v>2024</v>
      </c>
      <c r="BG46" s="3">
        <f t="shared" si="23"/>
        <v>2023</v>
      </c>
      <c r="BH46" s="3" t="s">
        <v>626</v>
      </c>
      <c r="BI46" s="5" t="s">
        <v>626</v>
      </c>
      <c r="BJ46" s="102">
        <v>45017</v>
      </c>
      <c r="BK46" s="5">
        <f t="shared" si="24"/>
        <v>30</v>
      </c>
      <c r="BL46" s="5">
        <f t="shared" si="25"/>
        <v>4</v>
      </c>
      <c r="BM46" s="4">
        <f>Modelling_old[[#This Row],[Target E_Grid daily
MWh]]+Modelling_new[[#This Row],[Target E_Grid daily
MWh]]</f>
        <v>50.666666666666664</v>
      </c>
      <c r="BN46" s="4">
        <f>Modelling_old[[#This Row],[Target E_Grid MTD
MWh]]+Modelling_new[[#This Row],[Target E_Grid MTD
MWh]]</f>
        <v>1469.3333333333337</v>
      </c>
      <c r="BO46" s="4">
        <f>Modelling_old[[#This Row],[Target E_Grid YTD
MWh]]+Modelling_new[[#This Row],[Target E_Grid YTD
MWh]]</f>
        <v>1469.3333333333337</v>
      </c>
      <c r="BP4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46" s="4">
        <f>SUMIFS(Modelling[Target POA Daily (KWh/m2)],Modelling[Date],"&lt;="&amp;Modelling[[#This Row],[Date]],Modelling[Month Year],Modelling[[#This Row],[Month Year]])</f>
        <v>192.07666666666668</v>
      </c>
      <c r="BR46" s="4">
        <f>SUMIFS(Modelling[Target POA Daily (KWh/m2)],Modelling[Date],"&lt;="&amp;Modelling[[#This Row],[Date]],Modelling[Finacial Year],Modelling[[#This Row],[Finacial Year]])</f>
        <v>192.07666666666668</v>
      </c>
      <c r="BS46" s="9">
        <f>BM46/Modelling[[#This Row],[Comisined DC ]]/BP46</f>
        <v>0.66501405715026674</v>
      </c>
      <c r="BT46" s="9">
        <f>BN46/BQ46/Modelling[[#This Row],[Comisined DC ]]</f>
        <v>0.66501405715026696</v>
      </c>
      <c r="BU46" s="9">
        <f>BO46/BR46/Modelling[[#This Row],[Comisined DC ]]</f>
        <v>0.66501405715026696</v>
      </c>
      <c r="BV46" s="9">
        <f>BM46/(24*Modelling[[#This Row],[Comisined DC ]])</f>
        <v>0.18352540716077503</v>
      </c>
      <c r="BW46" s="9">
        <f>BN46/((COUNTIFS(Modelling[Date],"&lt;="&amp;Modelling[[#This Row],[Date]],Modelling[Month Year],Modelling[[#This Row],[Month Year]])*24*Modelling[[#This Row],[MTD DC Capcity]]))</f>
        <v>0.18352540716077509</v>
      </c>
      <c r="BX46" s="28">
        <f>BO46/((COUNTIFS(Modelling[Date],"&lt;="&amp;Modelling[[#This Row],[Date]],Modelling[Finacial Year],Modelling[[#This Row],[Finacial Year]])*24*Modelling[[#This Row],[MTD DC Capcity]]))</f>
        <v>0.18352540716077509</v>
      </c>
      <c r="BY46" s="4">
        <f>Modelling_old[[#This Row],[DC Capcity]]+Modelling_new[[#This Row],[Comisined DC ]]</f>
        <v>11.5031</v>
      </c>
      <c r="BZ46" s="4">
        <v>0</v>
      </c>
      <c r="CA46" s="4">
        <f>AVERAGEIFS(Modelling[[Comisined DC ]],Modelling[Date],"&lt;="&amp;Modelling[[#This Row],[Date]],Modelling[Month Year],Modelling[[#This Row],[Month Year]])</f>
        <v>11.5031</v>
      </c>
      <c r="CB46" s="4">
        <f>AVERAGEIFS(Modelling[[Comisined DC ]],Modelling[Date],"&lt;="&amp;Modelling[[#This Row],[Date]],Modelling[Finacial Year],Modelling[[#This Row],[Finacial Year]])</f>
        <v>11.5031</v>
      </c>
      <c r="CG46">
        <f t="shared" si="28"/>
        <v>29</v>
      </c>
      <c r="CH46">
        <f t="shared" si="29"/>
        <v>29</v>
      </c>
    </row>
    <row r="47" spans="1:86" x14ac:dyDescent="0.35">
      <c r="A47" s="27">
        <v>45046</v>
      </c>
      <c r="B47" s="5">
        <f>MONTH(Modelling_old[[#This Row],[Date]])</f>
        <v>4</v>
      </c>
      <c r="C47" s="25">
        <f t="shared" si="11"/>
        <v>2024</v>
      </c>
      <c r="D47" s="3">
        <f t="shared" si="12"/>
        <v>2023</v>
      </c>
      <c r="E47" s="3" t="s">
        <v>626</v>
      </c>
      <c r="F47" s="5" t="s">
        <v>626</v>
      </c>
      <c r="G47" s="102">
        <v>45017</v>
      </c>
      <c r="H47" s="5">
        <f t="shared" si="13"/>
        <v>30</v>
      </c>
      <c r="I47" s="5">
        <f t="shared" si="14"/>
        <v>4</v>
      </c>
      <c r="J47" s="4">
        <f t="shared" si="15"/>
        <v>50.666666666666664</v>
      </c>
      <c r="K47" s="4">
        <f>SUM($J$18:J47)</f>
        <v>1520.0000000000005</v>
      </c>
      <c r="L47" s="4">
        <f>SUM($J$18:J47)</f>
        <v>1520.0000000000005</v>
      </c>
      <c r="M47" s="4">
        <f t="shared" si="16"/>
        <v>6.6233333333333331</v>
      </c>
      <c r="N47" s="4">
        <f>SUM($M$18:M47)</f>
        <v>198.70000000000002</v>
      </c>
      <c r="O47" s="4">
        <f>SUM($M$18:M47)</f>
        <v>198.70000000000002</v>
      </c>
      <c r="P47" s="9">
        <f t="shared" si="17"/>
        <v>0.66501405715026674</v>
      </c>
      <c r="Q47" s="26">
        <f t="shared" si="30"/>
        <v>0.66501405715026696</v>
      </c>
      <c r="R47" s="26">
        <f t="shared" si="30"/>
        <v>0.66501405715026696</v>
      </c>
      <c r="S47" s="9">
        <f t="shared" si="19"/>
        <v>0.18352540716077503</v>
      </c>
      <c r="T47" s="9">
        <f>K47/((COUNT($K$18:K47))*24*$Q$1)</f>
        <v>0.18352540716077506</v>
      </c>
      <c r="U47" s="28">
        <f>L47/((COUNT($L$18:L47))*24*$Q$1)</f>
        <v>0.18352540716077506</v>
      </c>
      <c r="V47" s="134">
        <v>11.5031</v>
      </c>
      <c r="Y47" s="27">
        <f t="shared" si="26"/>
        <v>45046</v>
      </c>
      <c r="Z47" s="5">
        <f>MONTH(Modelling_new[[#This Row],[Date]])</f>
        <v>4</v>
      </c>
      <c r="AA47" s="25">
        <f>YEAR(Y47)+IF(MONTH(Modelling_new[[#This Row],[Date]])&gt;=4,1,0)</f>
        <v>2024</v>
      </c>
      <c r="AB47" s="3">
        <f t="shared" si="20"/>
        <v>2023</v>
      </c>
      <c r="AC47" s="3" t="s">
        <v>626</v>
      </c>
      <c r="AD47" s="5" t="s">
        <v>626</v>
      </c>
      <c r="AE47" s="102">
        <v>45017</v>
      </c>
      <c r="AF47" s="5">
        <f t="shared" si="21"/>
        <v>30</v>
      </c>
      <c r="AG47" s="5">
        <f t="shared" si="22"/>
        <v>4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BD47" s="27">
        <f t="shared" si="27"/>
        <v>45046</v>
      </c>
      <c r="BE47" s="5">
        <f>MONTH(Modelling[[#This Row],[Date]])</f>
        <v>4</v>
      </c>
      <c r="BF47" s="25">
        <f>YEAR(BD47)+IF(MONTH(Modelling[[#This Row],[Date]])&gt;=4,1,0)</f>
        <v>2024</v>
      </c>
      <c r="BG47" s="3">
        <f t="shared" si="23"/>
        <v>2023</v>
      </c>
      <c r="BH47" s="3" t="s">
        <v>626</v>
      </c>
      <c r="BI47" s="5" t="s">
        <v>626</v>
      </c>
      <c r="BJ47" s="102">
        <v>45017</v>
      </c>
      <c r="BK47" s="5">
        <f t="shared" si="24"/>
        <v>30</v>
      </c>
      <c r="BL47" s="5">
        <f t="shared" si="25"/>
        <v>4</v>
      </c>
      <c r="BM47" s="4">
        <f>Modelling_old[[#This Row],[Target E_Grid daily
MWh]]+Modelling_new[[#This Row],[Target E_Grid daily
MWh]]</f>
        <v>50.666666666666664</v>
      </c>
      <c r="BN47" s="4">
        <f>Modelling_old[[#This Row],[Target E_Grid MTD
MWh]]+Modelling_new[[#This Row],[Target E_Grid MTD
MWh]]</f>
        <v>1520.0000000000005</v>
      </c>
      <c r="BO47" s="4">
        <f>Modelling_old[[#This Row],[Target E_Grid YTD
MWh]]+Modelling_new[[#This Row],[Target E_Grid YTD
MWh]]</f>
        <v>1520.0000000000005</v>
      </c>
      <c r="BP4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6.6233333333333331</v>
      </c>
      <c r="BQ47" s="4">
        <f>SUMIFS(Modelling[Target POA Daily (KWh/m2)],Modelling[Date],"&lt;="&amp;Modelling[[#This Row],[Date]],Modelling[Month Year],Modelling[[#This Row],[Month Year]])</f>
        <v>198.70000000000002</v>
      </c>
      <c r="BR47" s="4">
        <f>SUMIFS(Modelling[Target POA Daily (KWh/m2)],Modelling[Date],"&lt;="&amp;Modelling[[#This Row],[Date]],Modelling[Finacial Year],Modelling[[#This Row],[Finacial Year]])</f>
        <v>198.70000000000002</v>
      </c>
      <c r="BS47" s="9">
        <f>BM47/Modelling[[#This Row],[Comisined DC ]]/BP47</f>
        <v>0.66501405715026674</v>
      </c>
      <c r="BT47" s="9">
        <f>BN47/BQ47/Modelling[[#This Row],[Comisined DC ]]</f>
        <v>0.66501405715026696</v>
      </c>
      <c r="BU47" s="9">
        <f>BO47/BR47/Modelling[[#This Row],[Comisined DC ]]</f>
        <v>0.66501405715026696</v>
      </c>
      <c r="BV47" s="9">
        <f>BM47/(24*Modelling[[#This Row],[Comisined DC ]])</f>
        <v>0.18352540716077503</v>
      </c>
      <c r="BW47" s="9">
        <f>BN47/((COUNTIFS(Modelling[Date],"&lt;="&amp;Modelling[[#This Row],[Date]],Modelling[Month Year],Modelling[[#This Row],[Month Year]])*24*Modelling[[#This Row],[MTD DC Capcity]]))</f>
        <v>0.18352540716077506</v>
      </c>
      <c r="BX47" s="28">
        <f>BO47/((COUNTIFS(Modelling[Date],"&lt;="&amp;Modelling[[#This Row],[Date]],Modelling[Finacial Year],Modelling[[#This Row],[Finacial Year]])*24*Modelling[[#This Row],[MTD DC Capcity]]))</f>
        <v>0.18352540716077506</v>
      </c>
      <c r="BY47" s="4">
        <f>Modelling_old[[#This Row],[DC Capcity]]+Modelling_new[[#This Row],[Comisined DC ]]</f>
        <v>11.5031</v>
      </c>
      <c r="BZ47" s="4">
        <v>0</v>
      </c>
      <c r="CA47" s="4">
        <f>AVERAGEIFS(Modelling[[Comisined DC ]],Modelling[Date],"&lt;="&amp;Modelling[[#This Row],[Date]],Modelling[Month Year],Modelling[[#This Row],[Month Year]])</f>
        <v>11.5031</v>
      </c>
      <c r="CB47" s="4">
        <f>AVERAGEIFS(Modelling[[Comisined DC ]],Modelling[Date],"&lt;="&amp;Modelling[[#This Row],[Date]],Modelling[Finacial Year],Modelling[[#This Row],[Finacial Year]])</f>
        <v>11.5031</v>
      </c>
      <c r="CG47">
        <f t="shared" si="28"/>
        <v>30</v>
      </c>
      <c r="CH47">
        <f t="shared" si="29"/>
        <v>30</v>
      </c>
    </row>
    <row r="48" spans="1:86" x14ac:dyDescent="0.35">
      <c r="A48" s="27">
        <v>45047</v>
      </c>
      <c r="B48" s="5">
        <f>MONTH(Modelling_old[[#This Row],[Date]])</f>
        <v>5</v>
      </c>
      <c r="C48" s="25">
        <f t="shared" si="11"/>
        <v>2024</v>
      </c>
      <c r="D48" s="3">
        <f t="shared" si="12"/>
        <v>2023</v>
      </c>
      <c r="E48" s="3" t="s">
        <v>626</v>
      </c>
      <c r="F48" s="5" t="s">
        <v>626</v>
      </c>
      <c r="G48" s="102">
        <v>45047</v>
      </c>
      <c r="H48" s="5">
        <f t="shared" si="13"/>
        <v>31</v>
      </c>
      <c r="I48" s="5">
        <f t="shared" si="14"/>
        <v>5</v>
      </c>
      <c r="J48" s="4">
        <f t="shared" si="15"/>
        <v>52.258064516129032</v>
      </c>
      <c r="K48" s="4">
        <f>SUM($J$48:J48)</f>
        <v>52.258064516129032</v>
      </c>
      <c r="L48" s="4">
        <f>SUM($J$18:J48)</f>
        <v>1572.2580645161295</v>
      </c>
      <c r="M48" s="4">
        <f t="shared" si="16"/>
        <v>6.5290322580645164</v>
      </c>
      <c r="N48" s="4">
        <f>SUM($M$48:M48)</f>
        <v>6.5290322580645164</v>
      </c>
      <c r="O48" s="4">
        <f>SUM($M$18:M48)</f>
        <v>205.22903225806454</v>
      </c>
      <c r="P48" s="9">
        <f t="shared" si="17"/>
        <v>0.69580830986168607</v>
      </c>
      <c r="Q48" s="26">
        <f t="shared" si="30"/>
        <v>0.69580830986168607</v>
      </c>
      <c r="R48" s="26">
        <f t="shared" si="30"/>
        <v>0.66599372687391023</v>
      </c>
      <c r="S48" s="9">
        <f t="shared" si="19"/>
        <v>0.18928978752151246</v>
      </c>
      <c r="T48" s="9">
        <f>K48/((COUNT($K$48:K48))*24*$Q$1)</f>
        <v>0.18928978752151246</v>
      </c>
      <c r="U48" s="28">
        <f>L48/((COUNT($L$18:L48))*24*$Q$1)</f>
        <v>0.18371135491434726</v>
      </c>
      <c r="V48" s="134">
        <v>11.5031</v>
      </c>
      <c r="Y48" s="27">
        <f t="shared" si="26"/>
        <v>45047</v>
      </c>
      <c r="Z48" s="5">
        <f>MONTH(Modelling_new[[#This Row],[Date]])</f>
        <v>5</v>
      </c>
      <c r="AA48" s="25">
        <f>YEAR(Y48)+IF(MONTH(Modelling_new[[#This Row],[Date]])&gt;=4,1,0)</f>
        <v>2024</v>
      </c>
      <c r="AB48" s="3">
        <f t="shared" si="20"/>
        <v>2023</v>
      </c>
      <c r="AC48" s="3" t="s">
        <v>626</v>
      </c>
      <c r="AD48" s="5" t="s">
        <v>626</v>
      </c>
      <c r="AE48" s="102">
        <v>45047</v>
      </c>
      <c r="AF48" s="5">
        <f t="shared" si="21"/>
        <v>31</v>
      </c>
      <c r="AG48" s="5">
        <f t="shared" si="22"/>
        <v>5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BD48" s="27">
        <f t="shared" si="27"/>
        <v>45047</v>
      </c>
      <c r="BE48" s="5">
        <f>MONTH(Modelling[[#This Row],[Date]])</f>
        <v>5</v>
      </c>
      <c r="BF48" s="25">
        <f>YEAR(BD48)+IF(MONTH(Modelling[[#This Row],[Date]])&gt;=4,1,0)</f>
        <v>2024</v>
      </c>
      <c r="BG48" s="3">
        <f t="shared" si="23"/>
        <v>2023</v>
      </c>
      <c r="BH48" s="3" t="s">
        <v>626</v>
      </c>
      <c r="BI48" s="5" t="s">
        <v>626</v>
      </c>
      <c r="BJ48" s="102">
        <v>45047</v>
      </c>
      <c r="BK48" s="5">
        <f t="shared" si="24"/>
        <v>31</v>
      </c>
      <c r="BL48" s="5">
        <f t="shared" si="25"/>
        <v>5</v>
      </c>
      <c r="BM48" s="4">
        <f>Modelling_old[[#This Row],[Target E_Grid daily
MWh]]+Modelling_new[[#This Row],[Target E_Grid daily
MWh]]</f>
        <v>52.258064516129032</v>
      </c>
      <c r="BN48" s="4">
        <f>Modelling_old[[#This Row],[Target E_Grid MTD
MWh]]+Modelling_new[[#This Row],[Target E_Grid MTD
MWh]]</f>
        <v>52.258064516129032</v>
      </c>
      <c r="BO48" s="4">
        <f>Modelling_old[[#This Row],[Target E_Grid YTD
MWh]]+Modelling_new[[#This Row],[Target E_Grid YTD
MWh]]</f>
        <v>1572.2580645161295</v>
      </c>
      <c r="BP4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48" s="4">
        <f>SUMIFS(Modelling[Target POA Daily (KWh/m2)],Modelling[Date],"&lt;="&amp;Modelling[[#This Row],[Date]],Modelling[Month Year],Modelling[[#This Row],[Month Year]])</f>
        <v>6.5290322580645164</v>
      </c>
      <c r="BR48" s="4">
        <f>SUMIFS(Modelling[Target POA Daily (KWh/m2)],Modelling[Date],"&lt;="&amp;Modelling[[#This Row],[Date]],Modelling[Finacial Year],Modelling[[#This Row],[Finacial Year]])</f>
        <v>205.22903225806454</v>
      </c>
      <c r="BS48" s="9">
        <f>BM48/Modelling[[#This Row],[Comisined DC ]]/BP48</f>
        <v>0.69580830986168607</v>
      </c>
      <c r="BT48" s="9">
        <f>BN48/BQ48/Modelling[[#This Row],[Comisined DC ]]</f>
        <v>0.69580830986168607</v>
      </c>
      <c r="BU48" s="9">
        <f>BO48/BR48/Modelling[[#This Row],[Comisined DC ]]</f>
        <v>0.66599372687391023</v>
      </c>
      <c r="BV48" s="9">
        <f>BM48/(24*Modelling[[#This Row],[Comisined DC ]])</f>
        <v>0.18928978752151246</v>
      </c>
      <c r="BW48" s="9">
        <f>BN48/((COUNTIFS(Modelling[Date],"&lt;="&amp;Modelling[[#This Row],[Date]],Modelling[Month Year],Modelling[[#This Row],[Month Year]])*24*Modelling[[#This Row],[MTD DC Capcity]]))</f>
        <v>0.18928978752151246</v>
      </c>
      <c r="BX48" s="28">
        <f>BO48/((COUNTIFS(Modelling[Date],"&lt;="&amp;Modelling[[#This Row],[Date]],Modelling[Finacial Year],Modelling[[#This Row],[Finacial Year]])*24*Modelling[[#This Row],[MTD DC Capcity]]))</f>
        <v>0.18371135491434726</v>
      </c>
      <c r="BY48" s="4">
        <f>Modelling_old[[#This Row],[DC Capcity]]+Modelling_new[[#This Row],[Comisined DC ]]</f>
        <v>11.5031</v>
      </c>
      <c r="BZ48" s="4">
        <v>0</v>
      </c>
      <c r="CA48" s="4">
        <f>AVERAGEIFS(Modelling[[Comisined DC ]],Modelling[Date],"&lt;="&amp;Modelling[[#This Row],[Date]],Modelling[Month Year],Modelling[[#This Row],[Month Year]])</f>
        <v>11.5031</v>
      </c>
      <c r="CB48" s="4">
        <f>AVERAGEIFS(Modelling[[Comisined DC ]],Modelling[Date],"&lt;="&amp;Modelling[[#This Row],[Date]],Modelling[Finacial Year],Modelling[[#This Row],[Finacial Year]])</f>
        <v>11.503100000000002</v>
      </c>
      <c r="CG48">
        <v>1</v>
      </c>
      <c r="CH48">
        <f t="shared" si="29"/>
        <v>31</v>
      </c>
    </row>
    <row r="49" spans="1:86" x14ac:dyDescent="0.35">
      <c r="A49" s="27">
        <v>45048</v>
      </c>
      <c r="B49" s="5">
        <f>MONTH(Modelling_old[[#This Row],[Date]])</f>
        <v>5</v>
      </c>
      <c r="C49" s="25">
        <f t="shared" si="11"/>
        <v>2024</v>
      </c>
      <c r="D49" s="3">
        <f t="shared" si="12"/>
        <v>2023</v>
      </c>
      <c r="E49" s="3" t="s">
        <v>626</v>
      </c>
      <c r="F49" s="5" t="s">
        <v>626</v>
      </c>
      <c r="G49" s="102">
        <v>45047</v>
      </c>
      <c r="H49" s="5">
        <f t="shared" si="13"/>
        <v>31</v>
      </c>
      <c r="I49" s="5">
        <f t="shared" si="14"/>
        <v>5</v>
      </c>
      <c r="J49" s="4">
        <f t="shared" si="15"/>
        <v>52.258064516129032</v>
      </c>
      <c r="K49" s="4">
        <f>SUM($J$48:J49)</f>
        <v>104.51612903225806</v>
      </c>
      <c r="L49" s="4">
        <f>SUM($J$18:J49)</f>
        <v>1624.5161290322585</v>
      </c>
      <c r="M49" s="4">
        <f t="shared" si="16"/>
        <v>6.5290322580645164</v>
      </c>
      <c r="N49" s="4">
        <f>SUM($M$48:M49)</f>
        <v>13.058064516129033</v>
      </c>
      <c r="O49" s="4">
        <f>SUM($M$18:M49)</f>
        <v>211.75806451612905</v>
      </c>
      <c r="P49" s="9">
        <f t="shared" si="17"/>
        <v>0.69580830986168607</v>
      </c>
      <c r="Q49" s="26">
        <f>K49/N49/$Q$1</f>
        <v>0.69580830986168607</v>
      </c>
      <c r="R49" s="26">
        <f t="shared" si="30"/>
        <v>0.66691298524800213</v>
      </c>
      <c r="S49" s="9">
        <f t="shared" si="19"/>
        <v>0.18928978752151246</v>
      </c>
      <c r="T49" s="9">
        <f>K49/((COUNT($K$48:K49))*24*$Q$1)</f>
        <v>0.18928978752151246</v>
      </c>
      <c r="U49" s="28">
        <f>L49/((COUNT($L$18:L49))*24*$Q$1)</f>
        <v>0.18388568093332117</v>
      </c>
      <c r="V49" s="134">
        <v>11.5031</v>
      </c>
      <c r="Y49" s="27">
        <f t="shared" si="26"/>
        <v>45048</v>
      </c>
      <c r="Z49" s="5">
        <f>MONTH(Modelling_new[[#This Row],[Date]])</f>
        <v>5</v>
      </c>
      <c r="AA49" s="25">
        <f>YEAR(Y49)+IF(MONTH(Modelling_new[[#This Row],[Date]])&gt;=4,1,0)</f>
        <v>2024</v>
      </c>
      <c r="AB49" s="3">
        <f t="shared" si="20"/>
        <v>2023</v>
      </c>
      <c r="AC49" s="3" t="s">
        <v>626</v>
      </c>
      <c r="AD49" s="5" t="s">
        <v>626</v>
      </c>
      <c r="AE49" s="102">
        <v>45047</v>
      </c>
      <c r="AF49" s="5">
        <f t="shared" si="21"/>
        <v>31</v>
      </c>
      <c r="AG49" s="5">
        <f t="shared" si="22"/>
        <v>5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BD49" s="27">
        <f t="shared" si="27"/>
        <v>45048</v>
      </c>
      <c r="BE49" s="5">
        <f>MONTH(Modelling[[#This Row],[Date]])</f>
        <v>5</v>
      </c>
      <c r="BF49" s="25">
        <f>YEAR(BD49)+IF(MONTH(Modelling[[#This Row],[Date]])&gt;=4,1,0)</f>
        <v>2024</v>
      </c>
      <c r="BG49" s="3">
        <f t="shared" si="23"/>
        <v>2023</v>
      </c>
      <c r="BH49" s="3" t="s">
        <v>626</v>
      </c>
      <c r="BI49" s="5" t="s">
        <v>626</v>
      </c>
      <c r="BJ49" s="102">
        <v>45047</v>
      </c>
      <c r="BK49" s="5">
        <f t="shared" si="24"/>
        <v>31</v>
      </c>
      <c r="BL49" s="5">
        <f t="shared" si="25"/>
        <v>5</v>
      </c>
      <c r="BM49" s="4">
        <f>Modelling_old[[#This Row],[Target E_Grid daily
MWh]]+Modelling_new[[#This Row],[Target E_Grid daily
MWh]]</f>
        <v>52.258064516129032</v>
      </c>
      <c r="BN49" s="4">
        <f>Modelling_old[[#This Row],[Target E_Grid MTD
MWh]]+Modelling_new[[#This Row],[Target E_Grid MTD
MWh]]</f>
        <v>104.51612903225806</v>
      </c>
      <c r="BO49" s="4">
        <f>Modelling_old[[#This Row],[Target E_Grid YTD
MWh]]+Modelling_new[[#This Row],[Target E_Grid YTD
MWh]]</f>
        <v>1624.5161290322585</v>
      </c>
      <c r="BP4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49" s="4">
        <f>SUMIFS(Modelling[Target POA Daily (KWh/m2)],Modelling[Date],"&lt;="&amp;Modelling[[#This Row],[Date]],Modelling[Month Year],Modelling[[#This Row],[Month Year]])</f>
        <v>13.058064516129033</v>
      </c>
      <c r="BR49" s="4">
        <f>SUMIFS(Modelling[Target POA Daily (KWh/m2)],Modelling[Date],"&lt;="&amp;Modelling[[#This Row],[Date]],Modelling[Finacial Year],Modelling[[#This Row],[Finacial Year]])</f>
        <v>211.75806451612905</v>
      </c>
      <c r="BS49" s="9">
        <f>BM49/Modelling[[#This Row],[Comisined DC ]]/BP49</f>
        <v>0.69580830986168607</v>
      </c>
      <c r="BT49" s="9">
        <f>BN49/BQ49/Modelling[[#This Row],[Comisined DC ]]</f>
        <v>0.69580830986168607</v>
      </c>
      <c r="BU49" s="9">
        <f>BO49/BR49/Modelling[[#This Row],[Comisined DC ]]</f>
        <v>0.66691298524800213</v>
      </c>
      <c r="BV49" s="9">
        <f>BM49/(24*Modelling[[#This Row],[Comisined DC ]])</f>
        <v>0.18928978752151246</v>
      </c>
      <c r="BW49" s="9">
        <f>BN49/((COUNTIFS(Modelling[Date],"&lt;="&amp;Modelling[[#This Row],[Date]],Modelling[Month Year],Modelling[[#This Row],[Month Year]])*24*Modelling[[#This Row],[MTD DC Capcity]]))</f>
        <v>0.18928978752151246</v>
      </c>
      <c r="BX49" s="28">
        <f>BO49/((COUNTIFS(Modelling[Date],"&lt;="&amp;Modelling[[#This Row],[Date]],Modelling[Finacial Year],Modelling[[#This Row],[Finacial Year]])*24*Modelling[[#This Row],[MTD DC Capcity]]))</f>
        <v>0.18388568093332117</v>
      </c>
      <c r="BY49" s="4">
        <f>Modelling_old[[#This Row],[DC Capcity]]+Modelling_new[[#This Row],[Comisined DC ]]</f>
        <v>11.5031</v>
      </c>
      <c r="BZ49" s="4">
        <v>0</v>
      </c>
      <c r="CA49" s="4">
        <f>AVERAGEIFS(Modelling[[Comisined DC ]],Modelling[Date],"&lt;="&amp;Modelling[[#This Row],[Date]],Modelling[Month Year],Modelling[[#This Row],[Month Year]])</f>
        <v>11.5031</v>
      </c>
      <c r="CB49" s="4">
        <f>AVERAGEIFS(Modelling[[Comisined DC ]],Modelling[Date],"&lt;="&amp;Modelling[[#This Row],[Date]],Modelling[Finacial Year],Modelling[[#This Row],[Finacial Year]])</f>
        <v>11.503100000000002</v>
      </c>
      <c r="CG49">
        <f t="shared" si="28"/>
        <v>2</v>
      </c>
      <c r="CH49">
        <f t="shared" si="29"/>
        <v>32</v>
      </c>
    </row>
    <row r="50" spans="1:86" x14ac:dyDescent="0.35">
      <c r="A50" s="27">
        <v>45049</v>
      </c>
      <c r="B50" s="5">
        <f>MONTH(Modelling_old[[#This Row],[Date]])</f>
        <v>5</v>
      </c>
      <c r="C50" s="25">
        <f t="shared" si="11"/>
        <v>2024</v>
      </c>
      <c r="D50" s="3">
        <f t="shared" si="12"/>
        <v>2023</v>
      </c>
      <c r="E50" s="3" t="s">
        <v>626</v>
      </c>
      <c r="F50" s="5" t="s">
        <v>626</v>
      </c>
      <c r="G50" s="102">
        <v>45047</v>
      </c>
      <c r="H50" s="5">
        <f t="shared" si="13"/>
        <v>31</v>
      </c>
      <c r="I50" s="5">
        <f t="shared" si="14"/>
        <v>5</v>
      </c>
      <c r="J50" s="4">
        <f t="shared" si="15"/>
        <v>52.258064516129032</v>
      </c>
      <c r="K50" s="4">
        <f>SUM($J$48:J50)</f>
        <v>156.7741935483871</v>
      </c>
      <c r="L50" s="4">
        <f>SUM($J$18:J50)</f>
        <v>1676.7741935483875</v>
      </c>
      <c r="M50" s="4">
        <f t="shared" si="16"/>
        <v>6.5290322580645164</v>
      </c>
      <c r="N50" s="4">
        <f>SUM($M$48:M50)</f>
        <v>19.587096774193547</v>
      </c>
      <c r="O50" s="4">
        <f>SUM($M$18:M50)</f>
        <v>218.28709677419357</v>
      </c>
      <c r="P50" s="9">
        <f t="shared" si="17"/>
        <v>0.69580830986168607</v>
      </c>
      <c r="Q50" s="26">
        <f>K50/N50/$Q$1</f>
        <v>0.69580830986168607</v>
      </c>
      <c r="R50" s="26">
        <f t="shared" si="30"/>
        <v>0.66777725303706492</v>
      </c>
      <c r="S50" s="9">
        <f t="shared" si="19"/>
        <v>0.18928978752151246</v>
      </c>
      <c r="T50" s="9">
        <f>K50/((COUNT($K$48:K50))*24*$Q$1)</f>
        <v>0.18928978752151243</v>
      </c>
      <c r="U50" s="28">
        <f>L50/((COUNT($L$18:L50))*24*$Q$1)</f>
        <v>0.18404944173902391</v>
      </c>
      <c r="V50" s="134">
        <v>11.5031</v>
      </c>
      <c r="Y50" s="27">
        <f t="shared" si="26"/>
        <v>45049</v>
      </c>
      <c r="Z50" s="5">
        <f>MONTH(Modelling_new[[#This Row],[Date]])</f>
        <v>5</v>
      </c>
      <c r="AA50" s="25">
        <f>YEAR(Y50)+IF(MONTH(Modelling_new[[#This Row],[Date]])&gt;=4,1,0)</f>
        <v>2024</v>
      </c>
      <c r="AB50" s="3">
        <f t="shared" si="20"/>
        <v>2023</v>
      </c>
      <c r="AC50" s="3" t="s">
        <v>626</v>
      </c>
      <c r="AD50" s="5" t="s">
        <v>626</v>
      </c>
      <c r="AE50" s="102">
        <v>45047</v>
      </c>
      <c r="AF50" s="5">
        <f t="shared" si="21"/>
        <v>31</v>
      </c>
      <c r="AG50" s="5">
        <f t="shared" si="22"/>
        <v>5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BD50" s="27">
        <f t="shared" si="27"/>
        <v>45049</v>
      </c>
      <c r="BE50" s="5">
        <f>MONTH(Modelling[[#This Row],[Date]])</f>
        <v>5</v>
      </c>
      <c r="BF50" s="25">
        <f>YEAR(BD50)+IF(MONTH(Modelling[[#This Row],[Date]])&gt;=4,1,0)</f>
        <v>2024</v>
      </c>
      <c r="BG50" s="3">
        <f t="shared" si="23"/>
        <v>2023</v>
      </c>
      <c r="BH50" s="3" t="s">
        <v>626</v>
      </c>
      <c r="BI50" s="5" t="s">
        <v>626</v>
      </c>
      <c r="BJ50" s="102">
        <v>45047</v>
      </c>
      <c r="BK50" s="5">
        <f t="shared" si="24"/>
        <v>31</v>
      </c>
      <c r="BL50" s="5">
        <f t="shared" si="25"/>
        <v>5</v>
      </c>
      <c r="BM50" s="4">
        <f>Modelling_old[[#This Row],[Target E_Grid daily
MWh]]+Modelling_new[[#This Row],[Target E_Grid daily
MWh]]</f>
        <v>52.258064516129032</v>
      </c>
      <c r="BN50" s="4">
        <f>Modelling_old[[#This Row],[Target E_Grid MTD
MWh]]+Modelling_new[[#This Row],[Target E_Grid MTD
MWh]]</f>
        <v>156.7741935483871</v>
      </c>
      <c r="BO50" s="4">
        <f>Modelling_old[[#This Row],[Target E_Grid YTD
MWh]]+Modelling_new[[#This Row],[Target E_Grid YTD
MWh]]</f>
        <v>1676.7741935483875</v>
      </c>
      <c r="BP5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50" s="4">
        <f>SUMIFS(Modelling[Target POA Daily (KWh/m2)],Modelling[Date],"&lt;="&amp;Modelling[[#This Row],[Date]],Modelling[Month Year],Modelling[[#This Row],[Month Year]])</f>
        <v>19.587096774193547</v>
      </c>
      <c r="BR50" s="4">
        <f>SUMIFS(Modelling[Target POA Daily (KWh/m2)],Modelling[Date],"&lt;="&amp;Modelling[[#This Row],[Date]],Modelling[Finacial Year],Modelling[[#This Row],[Finacial Year]])</f>
        <v>218.28709677419357</v>
      </c>
      <c r="BS50" s="9">
        <f>BM50/Modelling[[#This Row],[Comisined DC ]]/BP50</f>
        <v>0.69580830986168607</v>
      </c>
      <c r="BT50" s="9">
        <f>BN50/BQ50/Modelling[[#This Row],[Comisined DC ]]</f>
        <v>0.69580830986168607</v>
      </c>
      <c r="BU50" s="9">
        <f>BO50/BR50/Modelling[[#This Row],[Comisined DC ]]</f>
        <v>0.66777725303706492</v>
      </c>
      <c r="BV50" s="9">
        <f>BM50/(24*Modelling[[#This Row],[Comisined DC ]])</f>
        <v>0.18928978752151246</v>
      </c>
      <c r="BW50" s="9">
        <f>BN50/((COUNTIFS(Modelling[Date],"&lt;="&amp;Modelling[[#This Row],[Date]],Modelling[Month Year],Modelling[[#This Row],[Month Year]])*24*Modelling[[#This Row],[MTD DC Capcity]]))</f>
        <v>0.18928978752151246</v>
      </c>
      <c r="BX50" s="28">
        <f>BO50/((COUNTIFS(Modelling[Date],"&lt;="&amp;Modelling[[#This Row],[Date]],Modelling[Finacial Year],Modelling[[#This Row],[Finacial Year]])*24*Modelling[[#This Row],[MTD DC Capcity]]))</f>
        <v>0.18404944173902396</v>
      </c>
      <c r="BY50" s="4">
        <f>Modelling_old[[#This Row],[DC Capcity]]+Modelling_new[[#This Row],[Comisined DC ]]</f>
        <v>11.5031</v>
      </c>
      <c r="BZ50" s="4">
        <v>0</v>
      </c>
      <c r="CA50" s="4">
        <f>AVERAGEIFS(Modelling[[Comisined DC ]],Modelling[Date],"&lt;="&amp;Modelling[[#This Row],[Date]],Modelling[Month Year],Modelling[[#This Row],[Month Year]])</f>
        <v>11.503099999999998</v>
      </c>
      <c r="CB50" s="4">
        <f>AVERAGEIFS(Modelling[[Comisined DC ]],Modelling[Date],"&lt;="&amp;Modelling[[#This Row],[Date]],Modelling[Finacial Year],Modelling[[#This Row],[Finacial Year]])</f>
        <v>11.503100000000002</v>
      </c>
      <c r="CG50">
        <f t="shared" si="28"/>
        <v>3</v>
      </c>
      <c r="CH50">
        <f t="shared" si="29"/>
        <v>33</v>
      </c>
    </row>
    <row r="51" spans="1:86" x14ac:dyDescent="0.35">
      <c r="A51" s="27">
        <v>45050</v>
      </c>
      <c r="B51" s="5">
        <f>MONTH(Modelling_old[[#This Row],[Date]])</f>
        <v>5</v>
      </c>
      <c r="C51" s="25">
        <f t="shared" si="11"/>
        <v>2024</v>
      </c>
      <c r="D51" s="3">
        <f t="shared" si="12"/>
        <v>2023</v>
      </c>
      <c r="E51" s="3" t="s">
        <v>626</v>
      </c>
      <c r="F51" s="5" t="s">
        <v>626</v>
      </c>
      <c r="G51" s="102">
        <v>45047</v>
      </c>
      <c r="H51" s="5">
        <f t="shared" si="13"/>
        <v>31</v>
      </c>
      <c r="I51" s="5">
        <f t="shared" si="14"/>
        <v>5</v>
      </c>
      <c r="J51" s="4">
        <f t="shared" si="15"/>
        <v>52.258064516129032</v>
      </c>
      <c r="K51" s="4">
        <f>SUM($J$48:J51)</f>
        <v>209.03225806451613</v>
      </c>
      <c r="L51" s="4">
        <f>SUM($J$18:J51)</f>
        <v>1729.0322580645166</v>
      </c>
      <c r="M51" s="4">
        <f t="shared" si="16"/>
        <v>6.5290322580645164</v>
      </c>
      <c r="N51" s="4">
        <f>SUM($M$48:M51)</f>
        <v>26.116129032258065</v>
      </c>
      <c r="O51" s="4">
        <f>SUM($M$18:M51)</f>
        <v>224.81612903225809</v>
      </c>
      <c r="P51" s="9">
        <f t="shared" si="17"/>
        <v>0.69580830986168607</v>
      </c>
      <c r="Q51" s="26">
        <f t="shared" si="30"/>
        <v>0.69580830986168607</v>
      </c>
      <c r="R51" s="26">
        <f t="shared" si="30"/>
        <v>0.66859132129374832</v>
      </c>
      <c r="S51" s="9">
        <f t="shared" si="19"/>
        <v>0.18928978752151246</v>
      </c>
      <c r="T51" s="9">
        <f>K51/((COUNT($K$48:K51))*24*$Q$1)</f>
        <v>0.18928978752151246</v>
      </c>
      <c r="U51" s="28">
        <f>L51/((COUNT($L$18:L51))*24*$Q$1)</f>
        <v>0.18420356955615594</v>
      </c>
      <c r="V51" s="134">
        <v>11.5031</v>
      </c>
      <c r="Y51" s="27">
        <f t="shared" si="26"/>
        <v>45050</v>
      </c>
      <c r="Z51" s="5">
        <f>MONTH(Modelling_new[[#This Row],[Date]])</f>
        <v>5</v>
      </c>
      <c r="AA51" s="25">
        <f>YEAR(Y51)+IF(MONTH(Modelling_new[[#This Row],[Date]])&gt;=4,1,0)</f>
        <v>2024</v>
      </c>
      <c r="AB51" s="3">
        <f t="shared" si="20"/>
        <v>2023</v>
      </c>
      <c r="AC51" s="3" t="s">
        <v>626</v>
      </c>
      <c r="AD51" s="5" t="s">
        <v>626</v>
      </c>
      <c r="AE51" s="102">
        <v>45047</v>
      </c>
      <c r="AF51" s="5">
        <f t="shared" si="21"/>
        <v>31</v>
      </c>
      <c r="AG51" s="5">
        <f t="shared" si="22"/>
        <v>5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BD51" s="27">
        <f t="shared" si="27"/>
        <v>45050</v>
      </c>
      <c r="BE51" s="5">
        <f>MONTH(Modelling[[#This Row],[Date]])</f>
        <v>5</v>
      </c>
      <c r="BF51" s="25">
        <f>YEAR(BD51)+IF(MONTH(Modelling[[#This Row],[Date]])&gt;=4,1,0)</f>
        <v>2024</v>
      </c>
      <c r="BG51" s="3">
        <f t="shared" si="23"/>
        <v>2023</v>
      </c>
      <c r="BH51" s="3" t="s">
        <v>626</v>
      </c>
      <c r="BI51" s="5" t="s">
        <v>626</v>
      </c>
      <c r="BJ51" s="102">
        <v>45047</v>
      </c>
      <c r="BK51" s="5">
        <f t="shared" si="24"/>
        <v>31</v>
      </c>
      <c r="BL51" s="5">
        <f t="shared" si="25"/>
        <v>5</v>
      </c>
      <c r="BM51" s="4">
        <f>Modelling_old[[#This Row],[Target E_Grid daily
MWh]]+Modelling_new[[#This Row],[Target E_Grid daily
MWh]]</f>
        <v>52.258064516129032</v>
      </c>
      <c r="BN51" s="4">
        <f>Modelling_old[[#This Row],[Target E_Grid MTD
MWh]]+Modelling_new[[#This Row],[Target E_Grid MTD
MWh]]</f>
        <v>209.03225806451613</v>
      </c>
      <c r="BO51" s="4">
        <f>Modelling_old[[#This Row],[Target E_Grid YTD
MWh]]+Modelling_new[[#This Row],[Target E_Grid YTD
MWh]]</f>
        <v>1729.0322580645166</v>
      </c>
      <c r="BP5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51" s="4">
        <f>SUMIFS(Modelling[Target POA Daily (KWh/m2)],Modelling[Date],"&lt;="&amp;Modelling[[#This Row],[Date]],Modelling[Month Year],Modelling[[#This Row],[Month Year]])</f>
        <v>26.116129032258065</v>
      </c>
      <c r="BR51" s="4">
        <f>SUMIFS(Modelling[Target POA Daily (KWh/m2)],Modelling[Date],"&lt;="&amp;Modelling[[#This Row],[Date]],Modelling[Finacial Year],Modelling[[#This Row],[Finacial Year]])</f>
        <v>224.81612903225809</v>
      </c>
      <c r="BS51" s="9">
        <f>BM51/Modelling[[#This Row],[Comisined DC ]]/BP51</f>
        <v>0.69580830986168607</v>
      </c>
      <c r="BT51" s="9">
        <f>BN51/BQ51/Modelling[[#This Row],[Comisined DC ]]</f>
        <v>0.69580830986168607</v>
      </c>
      <c r="BU51" s="9">
        <f>BO51/BR51/Modelling[[#This Row],[Comisined DC ]]</f>
        <v>0.66859132129374832</v>
      </c>
      <c r="BV51" s="9">
        <f>BM51/(24*Modelling[[#This Row],[Comisined DC ]])</f>
        <v>0.18928978752151246</v>
      </c>
      <c r="BW51" s="9">
        <f>BN51/((COUNTIFS(Modelling[Date],"&lt;="&amp;Modelling[[#This Row],[Date]],Modelling[Month Year],Modelling[[#This Row],[Month Year]])*24*Modelling[[#This Row],[MTD DC Capcity]]))</f>
        <v>0.18928978752151246</v>
      </c>
      <c r="BX51" s="28">
        <f>BO51/((COUNTIFS(Modelling[Date],"&lt;="&amp;Modelling[[#This Row],[Date]],Modelling[Finacial Year],Modelling[[#This Row],[Finacial Year]])*24*Modelling[[#This Row],[MTD DC Capcity]]))</f>
        <v>0.18420356955615594</v>
      </c>
      <c r="BY51" s="4">
        <f>Modelling_old[[#This Row],[DC Capcity]]+Modelling_new[[#This Row],[Comisined DC ]]</f>
        <v>11.5031</v>
      </c>
      <c r="BZ51" s="4">
        <v>0</v>
      </c>
      <c r="CA51" s="4">
        <f>AVERAGEIFS(Modelling[[Comisined DC ]],Modelling[Date],"&lt;="&amp;Modelling[[#This Row],[Date]],Modelling[Month Year],Modelling[[#This Row],[Month Year]])</f>
        <v>11.5031</v>
      </c>
      <c r="CB51" s="4">
        <f>AVERAGEIFS(Modelling[[Comisined DC ]],Modelling[Date],"&lt;="&amp;Modelling[[#This Row],[Date]],Modelling[Finacial Year],Modelling[[#This Row],[Finacial Year]])</f>
        <v>11.503100000000003</v>
      </c>
      <c r="CG51">
        <f t="shared" si="28"/>
        <v>4</v>
      </c>
      <c r="CH51">
        <f t="shared" si="29"/>
        <v>34</v>
      </c>
    </row>
    <row r="52" spans="1:86" x14ac:dyDescent="0.35">
      <c r="A52" s="27">
        <v>45051</v>
      </c>
      <c r="B52" s="5">
        <f>MONTH(Modelling_old[[#This Row],[Date]])</f>
        <v>5</v>
      </c>
      <c r="C52" s="25">
        <f t="shared" si="11"/>
        <v>2024</v>
      </c>
      <c r="D52" s="3">
        <f t="shared" si="12"/>
        <v>2023</v>
      </c>
      <c r="E52" s="3" t="s">
        <v>626</v>
      </c>
      <c r="F52" s="5" t="s">
        <v>626</v>
      </c>
      <c r="G52" s="102">
        <v>45047</v>
      </c>
      <c r="H52" s="5">
        <f t="shared" si="13"/>
        <v>31</v>
      </c>
      <c r="I52" s="5">
        <f t="shared" si="14"/>
        <v>5</v>
      </c>
      <c r="J52" s="4">
        <f t="shared" si="15"/>
        <v>52.258064516129032</v>
      </c>
      <c r="K52" s="4">
        <f>SUM($J$48:J52)</f>
        <v>261.29032258064518</v>
      </c>
      <c r="L52" s="4">
        <f>SUM($J$18:J52)</f>
        <v>1781.2903225806456</v>
      </c>
      <c r="M52" s="4">
        <f t="shared" si="16"/>
        <v>6.5290322580645164</v>
      </c>
      <c r="N52" s="4">
        <f>SUM($M$48:M52)</f>
        <v>32.645161290322584</v>
      </c>
      <c r="O52" s="4">
        <f>SUM($M$18:M52)</f>
        <v>231.34516129032261</v>
      </c>
      <c r="P52" s="9">
        <f t="shared" si="17"/>
        <v>0.69580830986168607</v>
      </c>
      <c r="Q52" s="26">
        <f t="shared" si="30"/>
        <v>0.69580830986168607</v>
      </c>
      <c r="R52" s="26">
        <f t="shared" si="30"/>
        <v>0.66935944021759486</v>
      </c>
      <c r="S52" s="9">
        <f t="shared" si="19"/>
        <v>0.18928978752151246</v>
      </c>
      <c r="T52" s="9">
        <f>K52/((COUNT($K$48:K52))*24*$Q$1)</f>
        <v>0.18928978752151243</v>
      </c>
      <c r="U52" s="28">
        <f>L52/((COUNT($L$18:L52))*24*$Q$1)</f>
        <v>0.18434889006945185</v>
      </c>
      <c r="V52" s="134">
        <v>11.5031</v>
      </c>
      <c r="Y52" s="27">
        <f t="shared" si="26"/>
        <v>45051</v>
      </c>
      <c r="Z52" s="5">
        <f>MONTH(Modelling_new[[#This Row],[Date]])</f>
        <v>5</v>
      </c>
      <c r="AA52" s="25">
        <f>YEAR(Y52)+IF(MONTH(Modelling_new[[#This Row],[Date]])&gt;=4,1,0)</f>
        <v>2024</v>
      </c>
      <c r="AB52" s="3">
        <f t="shared" si="20"/>
        <v>2023</v>
      </c>
      <c r="AC52" s="3" t="s">
        <v>626</v>
      </c>
      <c r="AD52" s="5" t="s">
        <v>626</v>
      </c>
      <c r="AE52" s="102">
        <v>45047</v>
      </c>
      <c r="AF52" s="5">
        <f t="shared" si="21"/>
        <v>31</v>
      </c>
      <c r="AG52" s="5">
        <f t="shared" si="22"/>
        <v>5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BD52" s="27">
        <f t="shared" si="27"/>
        <v>45051</v>
      </c>
      <c r="BE52" s="5">
        <f>MONTH(Modelling[[#This Row],[Date]])</f>
        <v>5</v>
      </c>
      <c r="BF52" s="25">
        <f>YEAR(BD52)+IF(MONTH(Modelling[[#This Row],[Date]])&gt;=4,1,0)</f>
        <v>2024</v>
      </c>
      <c r="BG52" s="3">
        <f t="shared" si="23"/>
        <v>2023</v>
      </c>
      <c r="BH52" s="3" t="s">
        <v>626</v>
      </c>
      <c r="BI52" s="5" t="s">
        <v>626</v>
      </c>
      <c r="BJ52" s="102">
        <v>45047</v>
      </c>
      <c r="BK52" s="5">
        <f t="shared" si="24"/>
        <v>31</v>
      </c>
      <c r="BL52" s="5">
        <f t="shared" si="25"/>
        <v>5</v>
      </c>
      <c r="BM52" s="4">
        <f>Modelling_old[[#This Row],[Target E_Grid daily
MWh]]+Modelling_new[[#This Row],[Target E_Grid daily
MWh]]</f>
        <v>52.258064516129032</v>
      </c>
      <c r="BN52" s="4">
        <f>Modelling_old[[#This Row],[Target E_Grid MTD
MWh]]+Modelling_new[[#This Row],[Target E_Grid MTD
MWh]]</f>
        <v>261.29032258064518</v>
      </c>
      <c r="BO52" s="4">
        <f>Modelling_old[[#This Row],[Target E_Grid YTD
MWh]]+Modelling_new[[#This Row],[Target E_Grid YTD
MWh]]</f>
        <v>1781.2903225806456</v>
      </c>
      <c r="BP5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52" s="4">
        <f>SUMIFS(Modelling[Target POA Daily (KWh/m2)],Modelling[Date],"&lt;="&amp;Modelling[[#This Row],[Date]],Modelling[Month Year],Modelling[[#This Row],[Month Year]])</f>
        <v>32.645161290322584</v>
      </c>
      <c r="BR52" s="4">
        <f>SUMIFS(Modelling[Target POA Daily (KWh/m2)],Modelling[Date],"&lt;="&amp;Modelling[[#This Row],[Date]],Modelling[Finacial Year],Modelling[[#This Row],[Finacial Year]])</f>
        <v>231.34516129032261</v>
      </c>
      <c r="BS52" s="9">
        <f>BM52/Modelling[[#This Row],[Comisined DC ]]/BP52</f>
        <v>0.69580830986168607</v>
      </c>
      <c r="BT52" s="9">
        <f>BN52/BQ52/Modelling[[#This Row],[Comisined DC ]]</f>
        <v>0.69580830986168607</v>
      </c>
      <c r="BU52" s="9">
        <f>BO52/BR52/Modelling[[#This Row],[Comisined DC ]]</f>
        <v>0.66935944021759486</v>
      </c>
      <c r="BV52" s="9">
        <f>BM52/(24*Modelling[[#This Row],[Comisined DC ]])</f>
        <v>0.18928978752151246</v>
      </c>
      <c r="BW52" s="9">
        <f>BN52/((COUNTIFS(Modelling[Date],"&lt;="&amp;Modelling[[#This Row],[Date]],Modelling[Month Year],Modelling[[#This Row],[Month Year]])*24*Modelling[[#This Row],[MTD DC Capcity]]))</f>
        <v>0.18928978752151243</v>
      </c>
      <c r="BX52" s="28">
        <f>BO52/((COUNTIFS(Modelling[Date],"&lt;="&amp;Modelling[[#This Row],[Date]],Modelling[Finacial Year],Modelling[[#This Row],[Finacial Year]])*24*Modelling[[#This Row],[MTD DC Capcity]]))</f>
        <v>0.18434889006945185</v>
      </c>
      <c r="BY52" s="4">
        <f>Modelling_old[[#This Row],[DC Capcity]]+Modelling_new[[#This Row],[Comisined DC ]]</f>
        <v>11.5031</v>
      </c>
      <c r="BZ52" s="4">
        <v>0</v>
      </c>
      <c r="CA52" s="4">
        <f>AVERAGEIFS(Modelling[[Comisined DC ]],Modelling[Date],"&lt;="&amp;Modelling[[#This Row],[Date]],Modelling[Month Year],Modelling[[#This Row],[Month Year]])</f>
        <v>11.5031</v>
      </c>
      <c r="CB52" s="4">
        <f>AVERAGEIFS(Modelling[[Comisined DC ]],Modelling[Date],"&lt;="&amp;Modelling[[#This Row],[Date]],Modelling[Finacial Year],Modelling[[#This Row],[Finacial Year]])</f>
        <v>11.503100000000003</v>
      </c>
      <c r="CG52">
        <f t="shared" si="28"/>
        <v>5</v>
      </c>
      <c r="CH52">
        <f t="shared" si="29"/>
        <v>35</v>
      </c>
    </row>
    <row r="53" spans="1:86" x14ac:dyDescent="0.35">
      <c r="A53" s="27">
        <v>45052</v>
      </c>
      <c r="B53" s="5">
        <f>MONTH(Modelling_old[[#This Row],[Date]])</f>
        <v>5</v>
      </c>
      <c r="C53" s="25">
        <f t="shared" si="11"/>
        <v>2024</v>
      </c>
      <c r="D53" s="3">
        <f t="shared" si="12"/>
        <v>2023</v>
      </c>
      <c r="E53" s="3" t="s">
        <v>626</v>
      </c>
      <c r="F53" s="5" t="s">
        <v>626</v>
      </c>
      <c r="G53" s="102">
        <v>45047</v>
      </c>
      <c r="H53" s="5">
        <f t="shared" si="13"/>
        <v>31</v>
      </c>
      <c r="I53" s="5">
        <f t="shared" si="14"/>
        <v>5</v>
      </c>
      <c r="J53" s="4">
        <f t="shared" si="15"/>
        <v>52.258064516129032</v>
      </c>
      <c r="K53" s="4">
        <f>SUM($J$48:J53)</f>
        <v>313.54838709677421</v>
      </c>
      <c r="L53" s="4">
        <f>SUM($J$18:J53)</f>
        <v>1833.5483870967746</v>
      </c>
      <c r="M53" s="4">
        <f t="shared" si="16"/>
        <v>6.5290322580645164</v>
      </c>
      <c r="N53" s="4">
        <f>SUM($M$48:M53)</f>
        <v>39.174193548387102</v>
      </c>
      <c r="O53" s="4">
        <f>SUM($M$18:M53)</f>
        <v>237.87419354838713</v>
      </c>
      <c r="P53" s="9">
        <f t="shared" si="17"/>
        <v>0.69580830986168607</v>
      </c>
      <c r="Q53" s="26">
        <f t="shared" si="30"/>
        <v>0.69580830986168596</v>
      </c>
      <c r="R53" s="26">
        <f t="shared" si="30"/>
        <v>0.67008539338014539</v>
      </c>
      <c r="S53" s="9">
        <f t="shared" si="19"/>
        <v>0.18928978752151246</v>
      </c>
      <c r="T53" s="9">
        <f>K53/((COUNT($K$48:K53))*24*$Q$1)</f>
        <v>0.18928978752151243</v>
      </c>
      <c r="U53" s="28">
        <f>L53/((COUNT($L$18:L53))*24*$Q$1)</f>
        <v>0.18448613722089796</v>
      </c>
      <c r="V53" s="134">
        <v>11.5031</v>
      </c>
      <c r="Y53" s="27">
        <f t="shared" si="26"/>
        <v>45052</v>
      </c>
      <c r="Z53" s="5">
        <f>MONTH(Modelling_new[[#This Row],[Date]])</f>
        <v>5</v>
      </c>
      <c r="AA53" s="25">
        <f>YEAR(Y53)+IF(MONTH(Modelling_new[[#This Row],[Date]])&gt;=4,1,0)</f>
        <v>2024</v>
      </c>
      <c r="AB53" s="3">
        <f t="shared" si="20"/>
        <v>2023</v>
      </c>
      <c r="AC53" s="3" t="s">
        <v>626</v>
      </c>
      <c r="AD53" s="5" t="s">
        <v>626</v>
      </c>
      <c r="AE53" s="102">
        <v>45047</v>
      </c>
      <c r="AF53" s="5">
        <f t="shared" si="21"/>
        <v>31</v>
      </c>
      <c r="AG53" s="5">
        <f t="shared" si="22"/>
        <v>5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BD53" s="27">
        <f t="shared" si="27"/>
        <v>45052</v>
      </c>
      <c r="BE53" s="5">
        <f>MONTH(Modelling[[#This Row],[Date]])</f>
        <v>5</v>
      </c>
      <c r="BF53" s="25">
        <f>YEAR(BD53)+IF(MONTH(Modelling[[#This Row],[Date]])&gt;=4,1,0)</f>
        <v>2024</v>
      </c>
      <c r="BG53" s="3">
        <f t="shared" si="23"/>
        <v>2023</v>
      </c>
      <c r="BH53" s="3" t="s">
        <v>626</v>
      </c>
      <c r="BI53" s="5" t="s">
        <v>626</v>
      </c>
      <c r="BJ53" s="102">
        <v>45047</v>
      </c>
      <c r="BK53" s="5">
        <f t="shared" si="24"/>
        <v>31</v>
      </c>
      <c r="BL53" s="5">
        <f t="shared" si="25"/>
        <v>5</v>
      </c>
      <c r="BM53" s="4">
        <f>Modelling_old[[#This Row],[Target E_Grid daily
MWh]]+Modelling_new[[#This Row],[Target E_Grid daily
MWh]]</f>
        <v>52.258064516129032</v>
      </c>
      <c r="BN53" s="4">
        <f>Modelling_old[[#This Row],[Target E_Grid MTD
MWh]]+Modelling_new[[#This Row],[Target E_Grid MTD
MWh]]</f>
        <v>313.54838709677421</v>
      </c>
      <c r="BO53" s="4">
        <f>Modelling_old[[#This Row],[Target E_Grid YTD
MWh]]+Modelling_new[[#This Row],[Target E_Grid YTD
MWh]]</f>
        <v>1833.5483870967746</v>
      </c>
      <c r="BP5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53" s="4">
        <f>SUMIFS(Modelling[Target POA Daily (KWh/m2)],Modelling[Date],"&lt;="&amp;Modelling[[#This Row],[Date]],Modelling[Month Year],Modelling[[#This Row],[Month Year]])</f>
        <v>39.174193548387102</v>
      </c>
      <c r="BR53" s="4">
        <f>SUMIFS(Modelling[Target POA Daily (KWh/m2)],Modelling[Date],"&lt;="&amp;Modelling[[#This Row],[Date]],Modelling[Finacial Year],Modelling[[#This Row],[Finacial Year]])</f>
        <v>237.87419354838713</v>
      </c>
      <c r="BS53" s="9">
        <f>BM53/Modelling[[#This Row],[Comisined DC ]]/BP53</f>
        <v>0.69580830986168607</v>
      </c>
      <c r="BT53" s="9">
        <f>BN53/BQ53/Modelling[[#This Row],[Comisined DC ]]</f>
        <v>0.69580830986168596</v>
      </c>
      <c r="BU53" s="9">
        <f>BO53/BR53/Modelling[[#This Row],[Comisined DC ]]</f>
        <v>0.67008539338014539</v>
      </c>
      <c r="BV53" s="9">
        <f>BM53/(24*Modelling[[#This Row],[Comisined DC ]])</f>
        <v>0.18928978752151246</v>
      </c>
      <c r="BW53" s="9">
        <f>BN53/((COUNTIFS(Modelling[Date],"&lt;="&amp;Modelling[[#This Row],[Date]],Modelling[Month Year],Modelling[[#This Row],[Month Year]])*24*Modelling[[#This Row],[MTD DC Capcity]]))</f>
        <v>0.1892897875215124</v>
      </c>
      <c r="BX53" s="28">
        <f>BO53/((COUNTIFS(Modelling[Date],"&lt;="&amp;Modelling[[#This Row],[Date]],Modelling[Finacial Year],Modelling[[#This Row],[Finacial Year]])*24*Modelling[[#This Row],[MTD DC Capcity]]))</f>
        <v>0.18448613722089796</v>
      </c>
      <c r="BY53" s="4">
        <f>Modelling_old[[#This Row],[DC Capcity]]+Modelling_new[[#This Row],[Comisined DC ]]</f>
        <v>11.5031</v>
      </c>
      <c r="BZ53" s="4">
        <v>0</v>
      </c>
      <c r="CA53" s="4">
        <f>AVERAGEIFS(Modelling[[Comisined DC ]],Modelling[Date],"&lt;="&amp;Modelling[[#This Row],[Date]],Modelling[Month Year],Modelling[[#This Row],[Month Year]])</f>
        <v>11.503100000000002</v>
      </c>
      <c r="CB53" s="4">
        <f>AVERAGEIFS(Modelling[[Comisined DC ]],Modelling[Date],"&lt;="&amp;Modelling[[#This Row],[Date]],Modelling[Finacial Year],Modelling[[#This Row],[Finacial Year]])</f>
        <v>11.503100000000003</v>
      </c>
      <c r="CG53">
        <f t="shared" si="28"/>
        <v>6</v>
      </c>
      <c r="CH53">
        <f t="shared" si="29"/>
        <v>36</v>
      </c>
    </row>
    <row r="54" spans="1:86" x14ac:dyDescent="0.35">
      <c r="A54" s="27">
        <v>45053</v>
      </c>
      <c r="B54" s="5">
        <f>MONTH(Modelling_old[[#This Row],[Date]])</f>
        <v>5</v>
      </c>
      <c r="C54" s="25">
        <f t="shared" si="11"/>
        <v>2024</v>
      </c>
      <c r="D54" s="3">
        <f t="shared" si="12"/>
        <v>2023</v>
      </c>
      <c r="E54" s="3" t="s">
        <v>626</v>
      </c>
      <c r="F54" s="5" t="s">
        <v>626</v>
      </c>
      <c r="G54" s="102">
        <v>45047</v>
      </c>
      <c r="H54" s="5">
        <f t="shared" si="13"/>
        <v>31</v>
      </c>
      <c r="I54" s="5">
        <f t="shared" si="14"/>
        <v>5</v>
      </c>
      <c r="J54" s="4">
        <f t="shared" si="15"/>
        <v>52.258064516129032</v>
      </c>
      <c r="K54" s="4">
        <f>SUM($J$48:J54)</f>
        <v>365.80645161290323</v>
      </c>
      <c r="L54" s="4">
        <f>SUM($J$18:J54)</f>
        <v>1885.8064516129036</v>
      </c>
      <c r="M54" s="4">
        <f t="shared" si="16"/>
        <v>6.5290322580645164</v>
      </c>
      <c r="N54" s="4">
        <f>SUM($M$48:M54)</f>
        <v>45.70322580645162</v>
      </c>
      <c r="O54" s="4">
        <f>SUM($M$18:M54)</f>
        <v>244.40322580645164</v>
      </c>
      <c r="P54" s="9">
        <f t="shared" si="17"/>
        <v>0.69580830986168607</v>
      </c>
      <c r="Q54" s="26">
        <f t="shared" si="30"/>
        <v>0.69580830986168596</v>
      </c>
      <c r="R54" s="26">
        <f t="shared" si="30"/>
        <v>0.67077256005286545</v>
      </c>
      <c r="S54" s="9">
        <f t="shared" si="19"/>
        <v>0.18928978752151246</v>
      </c>
      <c r="T54" s="9">
        <f>K54/((COUNT($K$48:K54))*24*$Q$1)</f>
        <v>0.18928978752151243</v>
      </c>
      <c r="U54" s="28">
        <f>L54/((COUNT($L$18:L54))*24*$Q$1)</f>
        <v>0.18461596560740104</v>
      </c>
      <c r="V54" s="134">
        <v>11.5031</v>
      </c>
      <c r="Y54" s="27">
        <f t="shared" si="26"/>
        <v>45053</v>
      </c>
      <c r="Z54" s="5">
        <f>MONTH(Modelling_new[[#This Row],[Date]])</f>
        <v>5</v>
      </c>
      <c r="AA54" s="25">
        <f>YEAR(Y54)+IF(MONTH(Modelling_new[[#This Row],[Date]])&gt;=4,1,0)</f>
        <v>2024</v>
      </c>
      <c r="AB54" s="3">
        <f t="shared" si="20"/>
        <v>2023</v>
      </c>
      <c r="AC54" s="3" t="s">
        <v>626</v>
      </c>
      <c r="AD54" s="5" t="s">
        <v>626</v>
      </c>
      <c r="AE54" s="102">
        <v>45047</v>
      </c>
      <c r="AF54" s="5">
        <f t="shared" si="21"/>
        <v>31</v>
      </c>
      <c r="AG54" s="5">
        <f t="shared" si="22"/>
        <v>5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BD54" s="27">
        <f t="shared" si="27"/>
        <v>45053</v>
      </c>
      <c r="BE54" s="5">
        <f>MONTH(Modelling[[#This Row],[Date]])</f>
        <v>5</v>
      </c>
      <c r="BF54" s="25">
        <f>YEAR(BD54)+IF(MONTH(Modelling[[#This Row],[Date]])&gt;=4,1,0)</f>
        <v>2024</v>
      </c>
      <c r="BG54" s="3">
        <f t="shared" si="23"/>
        <v>2023</v>
      </c>
      <c r="BH54" s="3" t="s">
        <v>626</v>
      </c>
      <c r="BI54" s="5" t="s">
        <v>626</v>
      </c>
      <c r="BJ54" s="102">
        <v>45047</v>
      </c>
      <c r="BK54" s="5">
        <f t="shared" si="24"/>
        <v>31</v>
      </c>
      <c r="BL54" s="5">
        <f t="shared" si="25"/>
        <v>5</v>
      </c>
      <c r="BM54" s="4">
        <f>Modelling_old[[#This Row],[Target E_Grid daily
MWh]]+Modelling_new[[#This Row],[Target E_Grid daily
MWh]]</f>
        <v>52.258064516129032</v>
      </c>
      <c r="BN54" s="4">
        <f>Modelling_old[[#This Row],[Target E_Grid MTD
MWh]]+Modelling_new[[#This Row],[Target E_Grid MTD
MWh]]</f>
        <v>365.80645161290323</v>
      </c>
      <c r="BO54" s="4">
        <f>Modelling_old[[#This Row],[Target E_Grid YTD
MWh]]+Modelling_new[[#This Row],[Target E_Grid YTD
MWh]]</f>
        <v>1885.8064516129036</v>
      </c>
      <c r="BP5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54" s="4">
        <f>SUMIFS(Modelling[Target POA Daily (KWh/m2)],Modelling[Date],"&lt;="&amp;Modelling[[#This Row],[Date]],Modelling[Month Year],Modelling[[#This Row],[Month Year]])</f>
        <v>45.70322580645162</v>
      </c>
      <c r="BR54" s="4">
        <f>SUMIFS(Modelling[Target POA Daily (KWh/m2)],Modelling[Date],"&lt;="&amp;Modelling[[#This Row],[Date]],Modelling[Finacial Year],Modelling[[#This Row],[Finacial Year]])</f>
        <v>244.40322580645164</v>
      </c>
      <c r="BS54" s="9">
        <f>BM54/Modelling[[#This Row],[Comisined DC ]]/BP54</f>
        <v>0.69580830986168607</v>
      </c>
      <c r="BT54" s="9">
        <f>BN54/BQ54/Modelling[[#This Row],[Comisined DC ]]</f>
        <v>0.69580830986168596</v>
      </c>
      <c r="BU54" s="9">
        <f>BO54/BR54/Modelling[[#This Row],[Comisined DC ]]</f>
        <v>0.67077256005286545</v>
      </c>
      <c r="BV54" s="9">
        <f>BM54/(24*Modelling[[#This Row],[Comisined DC ]])</f>
        <v>0.18928978752151246</v>
      </c>
      <c r="BW54" s="9">
        <f>BN54/((COUNTIFS(Modelling[Date],"&lt;="&amp;Modelling[[#This Row],[Date]],Modelling[Month Year],Modelling[[#This Row],[Month Year]])*24*Modelling[[#This Row],[MTD DC Capcity]]))</f>
        <v>0.1892897875215124</v>
      </c>
      <c r="BX54" s="28">
        <f>BO54/((COUNTIFS(Modelling[Date],"&lt;="&amp;Modelling[[#This Row],[Date]],Modelling[Finacial Year],Modelling[[#This Row],[Finacial Year]])*24*Modelling[[#This Row],[MTD DC Capcity]]))</f>
        <v>0.18461596560740101</v>
      </c>
      <c r="BY54" s="4">
        <f>Modelling_old[[#This Row],[DC Capcity]]+Modelling_new[[#This Row],[Comisined DC ]]</f>
        <v>11.5031</v>
      </c>
      <c r="BZ54" s="4">
        <v>0</v>
      </c>
      <c r="CA54" s="4">
        <f>AVERAGEIFS(Modelling[[Comisined DC ]],Modelling[Date],"&lt;="&amp;Modelling[[#This Row],[Date]],Modelling[Month Year],Modelling[[#This Row],[Month Year]])</f>
        <v>11.503100000000002</v>
      </c>
      <c r="CB54" s="4">
        <f>AVERAGEIFS(Modelling[[Comisined DC ]],Modelling[Date],"&lt;="&amp;Modelling[[#This Row],[Date]],Modelling[Finacial Year],Modelling[[#This Row],[Finacial Year]])</f>
        <v>11.503100000000003</v>
      </c>
      <c r="CG54">
        <f t="shared" si="28"/>
        <v>7</v>
      </c>
      <c r="CH54">
        <f t="shared" si="29"/>
        <v>37</v>
      </c>
    </row>
    <row r="55" spans="1:86" x14ac:dyDescent="0.35">
      <c r="A55" s="27">
        <v>45054</v>
      </c>
      <c r="B55" s="5">
        <f>MONTH(Modelling_old[[#This Row],[Date]])</f>
        <v>5</v>
      </c>
      <c r="C55" s="25">
        <f t="shared" si="11"/>
        <v>2024</v>
      </c>
      <c r="D55" s="3">
        <f t="shared" si="12"/>
        <v>2023</v>
      </c>
      <c r="E55" s="3" t="s">
        <v>626</v>
      </c>
      <c r="F55" s="5" t="s">
        <v>626</v>
      </c>
      <c r="G55" s="102">
        <v>45047</v>
      </c>
      <c r="H55" s="5">
        <f t="shared" si="13"/>
        <v>31</v>
      </c>
      <c r="I55" s="5">
        <f t="shared" si="14"/>
        <v>5</v>
      </c>
      <c r="J55" s="4">
        <f t="shared" si="15"/>
        <v>52.258064516129032</v>
      </c>
      <c r="K55" s="4">
        <f>SUM($J$48:J55)</f>
        <v>418.06451612903226</v>
      </c>
      <c r="L55" s="4">
        <f>SUM($J$18:J55)</f>
        <v>1938.0645161290327</v>
      </c>
      <c r="M55" s="4">
        <f t="shared" si="16"/>
        <v>6.5290322580645164</v>
      </c>
      <c r="N55" s="4">
        <f>SUM($M$48:M55)</f>
        <v>52.232258064516138</v>
      </c>
      <c r="O55" s="4">
        <f>SUM($M$18:M55)</f>
        <v>250.93225806451616</v>
      </c>
      <c r="P55" s="9">
        <f t="shared" si="17"/>
        <v>0.69580830986168607</v>
      </c>
      <c r="Q55" s="26">
        <f t="shared" si="30"/>
        <v>0.69580830986168596</v>
      </c>
      <c r="R55" s="26">
        <f t="shared" si="30"/>
        <v>0.67142396780477198</v>
      </c>
      <c r="S55" s="9">
        <f t="shared" si="19"/>
        <v>0.18928978752151246</v>
      </c>
      <c r="T55" s="9">
        <f>K55/((COUNT($K$48:K55))*24*$Q$1)</f>
        <v>0.18928978752151246</v>
      </c>
      <c r="U55" s="28">
        <f>L55/((COUNT($L$18:L55))*24*$Q$1)</f>
        <v>0.18473896092093031</v>
      </c>
      <c r="V55" s="134">
        <v>11.5031</v>
      </c>
      <c r="Y55" s="27">
        <f t="shared" si="26"/>
        <v>45054</v>
      </c>
      <c r="Z55" s="5">
        <f>MONTH(Modelling_new[[#This Row],[Date]])</f>
        <v>5</v>
      </c>
      <c r="AA55" s="25">
        <f>YEAR(Y55)+IF(MONTH(Modelling_new[[#This Row],[Date]])&gt;=4,1,0)</f>
        <v>2024</v>
      </c>
      <c r="AB55" s="3">
        <f t="shared" si="20"/>
        <v>2023</v>
      </c>
      <c r="AC55" s="3" t="s">
        <v>626</v>
      </c>
      <c r="AD55" s="5" t="s">
        <v>626</v>
      </c>
      <c r="AE55" s="102">
        <v>45047</v>
      </c>
      <c r="AF55" s="5">
        <f t="shared" si="21"/>
        <v>31</v>
      </c>
      <c r="AG55" s="5">
        <f t="shared" si="22"/>
        <v>5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BD55" s="27">
        <f t="shared" si="27"/>
        <v>45054</v>
      </c>
      <c r="BE55" s="5">
        <f>MONTH(Modelling[[#This Row],[Date]])</f>
        <v>5</v>
      </c>
      <c r="BF55" s="25">
        <f>YEAR(BD55)+IF(MONTH(Modelling[[#This Row],[Date]])&gt;=4,1,0)</f>
        <v>2024</v>
      </c>
      <c r="BG55" s="3">
        <f t="shared" si="23"/>
        <v>2023</v>
      </c>
      <c r="BH55" s="3" t="s">
        <v>626</v>
      </c>
      <c r="BI55" s="5" t="s">
        <v>626</v>
      </c>
      <c r="BJ55" s="102">
        <v>45047</v>
      </c>
      <c r="BK55" s="5">
        <f t="shared" si="24"/>
        <v>31</v>
      </c>
      <c r="BL55" s="5">
        <f t="shared" si="25"/>
        <v>5</v>
      </c>
      <c r="BM55" s="4">
        <f>Modelling_old[[#This Row],[Target E_Grid daily
MWh]]+Modelling_new[[#This Row],[Target E_Grid daily
MWh]]</f>
        <v>52.258064516129032</v>
      </c>
      <c r="BN55" s="4">
        <f>Modelling_old[[#This Row],[Target E_Grid MTD
MWh]]+Modelling_new[[#This Row],[Target E_Grid MTD
MWh]]</f>
        <v>418.06451612903226</v>
      </c>
      <c r="BO55" s="4">
        <f>Modelling_old[[#This Row],[Target E_Grid YTD
MWh]]+Modelling_new[[#This Row],[Target E_Grid YTD
MWh]]</f>
        <v>1938.0645161290327</v>
      </c>
      <c r="BP5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55" s="4">
        <f>SUMIFS(Modelling[Target POA Daily (KWh/m2)],Modelling[Date],"&lt;="&amp;Modelling[[#This Row],[Date]],Modelling[Month Year],Modelling[[#This Row],[Month Year]])</f>
        <v>52.232258064516138</v>
      </c>
      <c r="BR55" s="4">
        <f>SUMIFS(Modelling[Target POA Daily (KWh/m2)],Modelling[Date],"&lt;="&amp;Modelling[[#This Row],[Date]],Modelling[Finacial Year],Modelling[[#This Row],[Finacial Year]])</f>
        <v>250.93225806451616</v>
      </c>
      <c r="BS55" s="9">
        <f>BM55/Modelling[[#This Row],[Comisined DC ]]/BP55</f>
        <v>0.69580830986168607</v>
      </c>
      <c r="BT55" s="9">
        <f>BN55/BQ55/Modelling[[#This Row],[Comisined DC ]]</f>
        <v>0.69580830986168596</v>
      </c>
      <c r="BU55" s="9">
        <f>BO55/BR55/Modelling[[#This Row],[Comisined DC ]]</f>
        <v>0.67142396780477198</v>
      </c>
      <c r="BV55" s="9">
        <f>BM55/(24*Modelling[[#This Row],[Comisined DC ]])</f>
        <v>0.18928978752151246</v>
      </c>
      <c r="BW55" s="9">
        <f>BN55/((COUNTIFS(Modelling[Date],"&lt;="&amp;Modelling[[#This Row],[Date]],Modelling[Month Year],Modelling[[#This Row],[Month Year]])*24*Modelling[[#This Row],[MTD DC Capcity]]))</f>
        <v>0.1892897875215124</v>
      </c>
      <c r="BX55" s="28">
        <f>BO55/((COUNTIFS(Modelling[Date],"&lt;="&amp;Modelling[[#This Row],[Date]],Modelling[Finacial Year],Modelling[[#This Row],[Finacial Year]])*24*Modelling[[#This Row],[MTD DC Capcity]]))</f>
        <v>0.18473896092093028</v>
      </c>
      <c r="BY55" s="4">
        <f>Modelling_old[[#This Row],[DC Capcity]]+Modelling_new[[#This Row],[Comisined DC ]]</f>
        <v>11.5031</v>
      </c>
      <c r="BZ55" s="4">
        <v>0</v>
      </c>
      <c r="CA55" s="4">
        <f>AVERAGEIFS(Modelling[[Comisined DC ]],Modelling[Date],"&lt;="&amp;Modelling[[#This Row],[Date]],Modelling[Month Year],Modelling[[#This Row],[Month Year]])</f>
        <v>11.503100000000002</v>
      </c>
      <c r="CB55" s="4">
        <f>AVERAGEIFS(Modelling[[Comisined DC ]],Modelling[Date],"&lt;="&amp;Modelling[[#This Row],[Date]],Modelling[Finacial Year],Modelling[[#This Row],[Finacial Year]])</f>
        <v>11.503100000000003</v>
      </c>
      <c r="CG55">
        <f t="shared" si="28"/>
        <v>8</v>
      </c>
      <c r="CH55">
        <f t="shared" si="29"/>
        <v>38</v>
      </c>
    </row>
    <row r="56" spans="1:86" x14ac:dyDescent="0.35">
      <c r="A56" s="27">
        <v>45055</v>
      </c>
      <c r="B56" s="5">
        <f>MONTH(Modelling_old[[#This Row],[Date]])</f>
        <v>5</v>
      </c>
      <c r="C56" s="25">
        <f t="shared" si="11"/>
        <v>2024</v>
      </c>
      <c r="D56" s="3">
        <f t="shared" si="12"/>
        <v>2023</v>
      </c>
      <c r="E56" s="3" t="s">
        <v>626</v>
      </c>
      <c r="F56" s="5" t="s">
        <v>626</v>
      </c>
      <c r="G56" s="102">
        <v>45047</v>
      </c>
      <c r="H56" s="5">
        <f t="shared" si="13"/>
        <v>31</v>
      </c>
      <c r="I56" s="5">
        <f t="shared" si="14"/>
        <v>5</v>
      </c>
      <c r="J56" s="4">
        <f t="shared" si="15"/>
        <v>52.258064516129032</v>
      </c>
      <c r="K56" s="4">
        <f>SUM($J$48:J56)</f>
        <v>470.32258064516128</v>
      </c>
      <c r="L56" s="4">
        <f>SUM($J$18:J56)</f>
        <v>1990.3225806451617</v>
      </c>
      <c r="M56" s="4">
        <f t="shared" si="16"/>
        <v>6.5290322580645164</v>
      </c>
      <c r="N56" s="4">
        <f>SUM($M$48:M56)</f>
        <v>58.761290322580656</v>
      </c>
      <c r="O56" s="4">
        <f>SUM($M$18:M56)</f>
        <v>257.46129032258068</v>
      </c>
      <c r="P56" s="9">
        <f t="shared" si="17"/>
        <v>0.69580830986168607</v>
      </c>
      <c r="Q56" s="26">
        <f t="shared" si="30"/>
        <v>0.69580830986168596</v>
      </c>
      <c r="R56" s="26">
        <f t="shared" si="30"/>
        <v>0.67204233709703254</v>
      </c>
      <c r="S56" s="9">
        <f t="shared" si="19"/>
        <v>0.18928978752151246</v>
      </c>
      <c r="T56" s="9">
        <f>K56/((COUNT($K$48:K56))*24*$Q$1)</f>
        <v>0.1892897875215124</v>
      </c>
      <c r="U56" s="28">
        <f>L56/((COUNT($L$18:L56))*24*$Q$1)</f>
        <v>0.1848556487824837</v>
      </c>
      <c r="V56" s="134">
        <v>11.5031</v>
      </c>
      <c r="Y56" s="27">
        <f t="shared" si="26"/>
        <v>45055</v>
      </c>
      <c r="Z56" s="5">
        <f>MONTH(Modelling_new[[#This Row],[Date]])</f>
        <v>5</v>
      </c>
      <c r="AA56" s="25">
        <f>YEAR(Y56)+IF(MONTH(Modelling_new[[#This Row],[Date]])&gt;=4,1,0)</f>
        <v>2024</v>
      </c>
      <c r="AB56" s="3">
        <f t="shared" si="20"/>
        <v>2023</v>
      </c>
      <c r="AC56" s="3" t="s">
        <v>626</v>
      </c>
      <c r="AD56" s="5" t="s">
        <v>626</v>
      </c>
      <c r="AE56" s="102">
        <v>45047</v>
      </c>
      <c r="AF56" s="5">
        <f t="shared" si="21"/>
        <v>31</v>
      </c>
      <c r="AG56" s="5">
        <f t="shared" si="22"/>
        <v>5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BD56" s="27">
        <f t="shared" si="27"/>
        <v>45055</v>
      </c>
      <c r="BE56" s="5">
        <f>MONTH(Modelling[[#This Row],[Date]])</f>
        <v>5</v>
      </c>
      <c r="BF56" s="25">
        <f>YEAR(BD56)+IF(MONTH(Modelling[[#This Row],[Date]])&gt;=4,1,0)</f>
        <v>2024</v>
      </c>
      <c r="BG56" s="3">
        <f t="shared" si="23"/>
        <v>2023</v>
      </c>
      <c r="BH56" s="3" t="s">
        <v>626</v>
      </c>
      <c r="BI56" s="5" t="s">
        <v>626</v>
      </c>
      <c r="BJ56" s="102">
        <v>45047</v>
      </c>
      <c r="BK56" s="5">
        <f t="shared" si="24"/>
        <v>31</v>
      </c>
      <c r="BL56" s="5">
        <f t="shared" si="25"/>
        <v>5</v>
      </c>
      <c r="BM56" s="4">
        <f>Modelling_old[[#This Row],[Target E_Grid daily
MWh]]+Modelling_new[[#This Row],[Target E_Grid daily
MWh]]</f>
        <v>52.258064516129032</v>
      </c>
      <c r="BN56" s="4">
        <f>Modelling_old[[#This Row],[Target E_Grid MTD
MWh]]+Modelling_new[[#This Row],[Target E_Grid MTD
MWh]]</f>
        <v>470.32258064516128</v>
      </c>
      <c r="BO56" s="4">
        <f>Modelling_old[[#This Row],[Target E_Grid YTD
MWh]]+Modelling_new[[#This Row],[Target E_Grid YTD
MWh]]</f>
        <v>1990.3225806451617</v>
      </c>
      <c r="BP5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56" s="4">
        <f>SUMIFS(Modelling[Target POA Daily (KWh/m2)],Modelling[Date],"&lt;="&amp;Modelling[[#This Row],[Date]],Modelling[Month Year],Modelling[[#This Row],[Month Year]])</f>
        <v>58.761290322580656</v>
      </c>
      <c r="BR56" s="4">
        <f>SUMIFS(Modelling[Target POA Daily (KWh/m2)],Modelling[Date],"&lt;="&amp;Modelling[[#This Row],[Date]],Modelling[Finacial Year],Modelling[[#This Row],[Finacial Year]])</f>
        <v>257.46129032258068</v>
      </c>
      <c r="BS56" s="9">
        <f>BM56/Modelling[[#This Row],[Comisined DC ]]/BP56</f>
        <v>0.69580830986168607</v>
      </c>
      <c r="BT56" s="9">
        <f>BN56/BQ56/Modelling[[#This Row],[Comisined DC ]]</f>
        <v>0.69580830986168596</v>
      </c>
      <c r="BU56" s="9">
        <f>BO56/BR56/Modelling[[#This Row],[Comisined DC ]]</f>
        <v>0.67204233709703254</v>
      </c>
      <c r="BV56" s="9">
        <f>BM56/(24*Modelling[[#This Row],[Comisined DC ]])</f>
        <v>0.18928978752151246</v>
      </c>
      <c r="BW56" s="9">
        <f>BN56/((COUNTIFS(Modelling[Date],"&lt;="&amp;Modelling[[#This Row],[Date]],Modelling[Month Year],Modelling[[#This Row],[Month Year]])*24*Modelling[[#This Row],[MTD DC Capcity]]))</f>
        <v>0.1892897875215124</v>
      </c>
      <c r="BX56" s="28">
        <f>BO56/((COUNTIFS(Modelling[Date],"&lt;="&amp;Modelling[[#This Row],[Date]],Modelling[Finacial Year],Modelling[[#This Row],[Finacial Year]])*24*Modelling[[#This Row],[MTD DC Capcity]]))</f>
        <v>0.18485564878248367</v>
      </c>
      <c r="BY56" s="4">
        <f>Modelling_old[[#This Row],[DC Capcity]]+Modelling_new[[#This Row],[Comisined DC ]]</f>
        <v>11.5031</v>
      </c>
      <c r="BZ56" s="4">
        <v>0</v>
      </c>
      <c r="CA56" s="4">
        <f>AVERAGEIFS(Modelling[[Comisined DC ]],Modelling[Date],"&lt;="&amp;Modelling[[#This Row],[Date]],Modelling[Month Year],Modelling[[#This Row],[Month Year]])</f>
        <v>11.503100000000002</v>
      </c>
      <c r="CB56" s="4">
        <f>AVERAGEIFS(Modelling[[Comisined DC ]],Modelling[Date],"&lt;="&amp;Modelling[[#This Row],[Date]],Modelling[Finacial Year],Modelling[[#This Row],[Finacial Year]])</f>
        <v>11.503100000000005</v>
      </c>
      <c r="CG56">
        <f t="shared" si="28"/>
        <v>9</v>
      </c>
      <c r="CH56">
        <f t="shared" si="29"/>
        <v>39</v>
      </c>
    </row>
    <row r="57" spans="1:86" x14ac:dyDescent="0.35">
      <c r="A57" s="27">
        <v>45056</v>
      </c>
      <c r="B57" s="5">
        <f>MONTH(Modelling_old[[#This Row],[Date]])</f>
        <v>5</v>
      </c>
      <c r="C57" s="25">
        <f t="shared" si="11"/>
        <v>2024</v>
      </c>
      <c r="D57" s="3">
        <f t="shared" si="12"/>
        <v>2023</v>
      </c>
      <c r="E57" s="3" t="s">
        <v>626</v>
      </c>
      <c r="F57" s="5" t="s">
        <v>626</v>
      </c>
      <c r="G57" s="102">
        <v>45047</v>
      </c>
      <c r="H57" s="5">
        <f t="shared" si="13"/>
        <v>31</v>
      </c>
      <c r="I57" s="5">
        <f t="shared" si="14"/>
        <v>5</v>
      </c>
      <c r="J57" s="4">
        <f t="shared" si="15"/>
        <v>52.258064516129032</v>
      </c>
      <c r="K57" s="4">
        <f>SUM($J$48:J57)</f>
        <v>522.58064516129036</v>
      </c>
      <c r="L57" s="4">
        <f>SUM($J$18:J57)</f>
        <v>2042.5806451612907</v>
      </c>
      <c r="M57" s="4">
        <f t="shared" si="16"/>
        <v>6.5290322580645164</v>
      </c>
      <c r="N57" s="4">
        <f>SUM($M$48:M57)</f>
        <v>65.290322580645167</v>
      </c>
      <c r="O57" s="4">
        <f>SUM($M$18:M57)</f>
        <v>263.99032258064517</v>
      </c>
      <c r="P57" s="9">
        <f t="shared" si="17"/>
        <v>0.69580830986168607</v>
      </c>
      <c r="Q57" s="26">
        <f t="shared" si="30"/>
        <v>0.69580830986168607</v>
      </c>
      <c r="R57" s="26">
        <f t="shared" si="30"/>
        <v>0.67263011926005989</v>
      </c>
      <c r="S57" s="9">
        <f t="shared" si="19"/>
        <v>0.18928978752151246</v>
      </c>
      <c r="T57" s="9">
        <f>K57/((COUNT($K$48:K57))*24*$Q$1)</f>
        <v>0.18928978752151243</v>
      </c>
      <c r="U57" s="28">
        <f>L57/((COUNT($L$18:L57))*24*$Q$1)</f>
        <v>0.1849665022509594</v>
      </c>
      <c r="V57" s="134">
        <v>11.5031</v>
      </c>
      <c r="Y57" s="27">
        <f t="shared" si="26"/>
        <v>45056</v>
      </c>
      <c r="Z57" s="5">
        <f>MONTH(Modelling_new[[#This Row],[Date]])</f>
        <v>5</v>
      </c>
      <c r="AA57" s="25">
        <f>YEAR(Y57)+IF(MONTH(Modelling_new[[#This Row],[Date]])&gt;=4,1,0)</f>
        <v>2024</v>
      </c>
      <c r="AB57" s="3">
        <f t="shared" si="20"/>
        <v>2023</v>
      </c>
      <c r="AC57" s="3" t="s">
        <v>626</v>
      </c>
      <c r="AD57" s="5" t="s">
        <v>626</v>
      </c>
      <c r="AE57" s="102">
        <v>45047</v>
      </c>
      <c r="AF57" s="5">
        <f t="shared" si="21"/>
        <v>31</v>
      </c>
      <c r="AG57" s="5">
        <f t="shared" si="22"/>
        <v>5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BD57" s="27">
        <f t="shared" si="27"/>
        <v>45056</v>
      </c>
      <c r="BE57" s="5">
        <f>MONTH(Modelling[[#This Row],[Date]])</f>
        <v>5</v>
      </c>
      <c r="BF57" s="25">
        <f>YEAR(BD57)+IF(MONTH(Modelling[[#This Row],[Date]])&gt;=4,1,0)</f>
        <v>2024</v>
      </c>
      <c r="BG57" s="3">
        <f t="shared" si="23"/>
        <v>2023</v>
      </c>
      <c r="BH57" s="3" t="s">
        <v>626</v>
      </c>
      <c r="BI57" s="5" t="s">
        <v>626</v>
      </c>
      <c r="BJ57" s="102">
        <v>45047</v>
      </c>
      <c r="BK57" s="5">
        <f t="shared" si="24"/>
        <v>31</v>
      </c>
      <c r="BL57" s="5">
        <f t="shared" si="25"/>
        <v>5</v>
      </c>
      <c r="BM57" s="4">
        <f>Modelling_old[[#This Row],[Target E_Grid daily
MWh]]+Modelling_new[[#This Row],[Target E_Grid daily
MWh]]</f>
        <v>52.258064516129032</v>
      </c>
      <c r="BN57" s="4">
        <f>Modelling_old[[#This Row],[Target E_Grid MTD
MWh]]+Modelling_new[[#This Row],[Target E_Grid MTD
MWh]]</f>
        <v>522.58064516129036</v>
      </c>
      <c r="BO57" s="4">
        <f>Modelling_old[[#This Row],[Target E_Grid YTD
MWh]]+Modelling_new[[#This Row],[Target E_Grid YTD
MWh]]</f>
        <v>2042.5806451612907</v>
      </c>
      <c r="BP5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57" s="4">
        <f>SUMIFS(Modelling[Target POA Daily (KWh/m2)],Modelling[Date],"&lt;="&amp;Modelling[[#This Row],[Date]],Modelling[Month Year],Modelling[[#This Row],[Month Year]])</f>
        <v>65.290322580645167</v>
      </c>
      <c r="BR57" s="4">
        <f>SUMIFS(Modelling[Target POA Daily (KWh/m2)],Modelling[Date],"&lt;="&amp;Modelling[[#This Row],[Date]],Modelling[Finacial Year],Modelling[[#This Row],[Finacial Year]])</f>
        <v>263.99032258064517</v>
      </c>
      <c r="BS57" s="9">
        <f>BM57/Modelling[[#This Row],[Comisined DC ]]/BP57</f>
        <v>0.69580830986168607</v>
      </c>
      <c r="BT57" s="9">
        <f>BN57/BQ57/Modelling[[#This Row],[Comisined DC ]]</f>
        <v>0.69580830986168607</v>
      </c>
      <c r="BU57" s="9">
        <f>BO57/BR57/Modelling[[#This Row],[Comisined DC ]]</f>
        <v>0.67263011926005989</v>
      </c>
      <c r="BV57" s="9">
        <f>BM57/(24*Modelling[[#This Row],[Comisined DC ]])</f>
        <v>0.18928978752151246</v>
      </c>
      <c r="BW57" s="9">
        <f>BN57/((COUNTIFS(Modelling[Date],"&lt;="&amp;Modelling[[#This Row],[Date]],Modelling[Month Year],Modelling[[#This Row],[Month Year]])*24*Modelling[[#This Row],[MTD DC Capcity]]))</f>
        <v>0.1892897875215124</v>
      </c>
      <c r="BX57" s="28">
        <f>BO57/((COUNTIFS(Modelling[Date],"&lt;="&amp;Modelling[[#This Row],[Date]],Modelling[Finacial Year],Modelling[[#This Row],[Finacial Year]])*24*Modelling[[#This Row],[MTD DC Capcity]]))</f>
        <v>0.18496650225095937</v>
      </c>
      <c r="BY57" s="4">
        <f>Modelling_old[[#This Row],[DC Capcity]]+Modelling_new[[#This Row],[Comisined DC ]]</f>
        <v>11.5031</v>
      </c>
      <c r="BZ57" s="4">
        <v>0</v>
      </c>
      <c r="CA57" s="4">
        <f>AVERAGEIFS(Modelling[[Comisined DC ]],Modelling[Date],"&lt;="&amp;Modelling[[#This Row],[Date]],Modelling[Month Year],Modelling[[#This Row],[Month Year]])</f>
        <v>11.503100000000002</v>
      </c>
      <c r="CB57" s="4">
        <f>AVERAGEIFS(Modelling[[Comisined DC ]],Modelling[Date],"&lt;="&amp;Modelling[[#This Row],[Date]],Modelling[Finacial Year],Modelling[[#This Row],[Finacial Year]])</f>
        <v>11.503100000000005</v>
      </c>
      <c r="CG57">
        <f t="shared" si="28"/>
        <v>10</v>
      </c>
      <c r="CH57">
        <f t="shared" si="29"/>
        <v>40</v>
      </c>
    </row>
    <row r="58" spans="1:86" x14ac:dyDescent="0.35">
      <c r="A58" s="27">
        <v>45057</v>
      </c>
      <c r="B58" s="5">
        <f>MONTH(Modelling_old[[#This Row],[Date]])</f>
        <v>5</v>
      </c>
      <c r="C58" s="25">
        <f t="shared" si="11"/>
        <v>2024</v>
      </c>
      <c r="D58" s="3">
        <f t="shared" si="12"/>
        <v>2023</v>
      </c>
      <c r="E58" s="3" t="s">
        <v>626</v>
      </c>
      <c r="F58" s="5" t="s">
        <v>626</v>
      </c>
      <c r="G58" s="102">
        <v>45047</v>
      </c>
      <c r="H58" s="5">
        <f t="shared" si="13"/>
        <v>31</v>
      </c>
      <c r="I58" s="5">
        <f t="shared" si="14"/>
        <v>5</v>
      </c>
      <c r="J58" s="4">
        <f t="shared" si="15"/>
        <v>52.258064516129032</v>
      </c>
      <c r="K58" s="4">
        <f>SUM($J$48:J58)</f>
        <v>574.83870967741939</v>
      </c>
      <c r="L58" s="4">
        <f>SUM($J$18:J58)</f>
        <v>2094.83870967742</v>
      </c>
      <c r="M58" s="4">
        <f t="shared" si="16"/>
        <v>6.5290322580645164</v>
      </c>
      <c r="N58" s="4">
        <f>SUM($M$48:M58)</f>
        <v>71.819354838709685</v>
      </c>
      <c r="O58" s="4">
        <f>SUM($M$18:M58)</f>
        <v>270.51935483870966</v>
      </c>
      <c r="P58" s="9">
        <f t="shared" si="17"/>
        <v>0.69580830986168607</v>
      </c>
      <c r="Q58" s="26">
        <f t="shared" si="30"/>
        <v>0.69580830986168607</v>
      </c>
      <c r="R58" s="26">
        <f t="shared" si="30"/>
        <v>0.67318952897110196</v>
      </c>
      <c r="S58" s="9">
        <f t="shared" si="19"/>
        <v>0.18928978752151246</v>
      </c>
      <c r="T58" s="9">
        <f>K58/((COUNT($K$48:K58))*24*$Q$1)</f>
        <v>0.18928978752151243</v>
      </c>
      <c r="U58" s="28">
        <f>L58/((COUNT($L$18:L58))*24*$Q$1)</f>
        <v>0.18507194823316803</v>
      </c>
      <c r="V58" s="134">
        <v>11.5031</v>
      </c>
      <c r="Y58" s="27">
        <f t="shared" si="26"/>
        <v>45057</v>
      </c>
      <c r="Z58" s="5">
        <f>MONTH(Modelling_new[[#This Row],[Date]])</f>
        <v>5</v>
      </c>
      <c r="AA58" s="25">
        <f>YEAR(Y58)+IF(MONTH(Modelling_new[[#This Row],[Date]])&gt;=4,1,0)</f>
        <v>2024</v>
      </c>
      <c r="AB58" s="3">
        <f t="shared" si="20"/>
        <v>2023</v>
      </c>
      <c r="AC58" s="3" t="s">
        <v>626</v>
      </c>
      <c r="AD58" s="5" t="s">
        <v>626</v>
      </c>
      <c r="AE58" s="102">
        <v>45047</v>
      </c>
      <c r="AF58" s="5">
        <f t="shared" si="21"/>
        <v>31</v>
      </c>
      <c r="AG58" s="5">
        <f t="shared" si="22"/>
        <v>5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BD58" s="27">
        <f t="shared" si="27"/>
        <v>45057</v>
      </c>
      <c r="BE58" s="5">
        <f>MONTH(Modelling[[#This Row],[Date]])</f>
        <v>5</v>
      </c>
      <c r="BF58" s="25">
        <f>YEAR(BD58)+IF(MONTH(Modelling[[#This Row],[Date]])&gt;=4,1,0)</f>
        <v>2024</v>
      </c>
      <c r="BG58" s="3">
        <f t="shared" si="23"/>
        <v>2023</v>
      </c>
      <c r="BH58" s="3" t="s">
        <v>626</v>
      </c>
      <c r="BI58" s="5" t="s">
        <v>626</v>
      </c>
      <c r="BJ58" s="102">
        <v>45047</v>
      </c>
      <c r="BK58" s="5">
        <f t="shared" si="24"/>
        <v>31</v>
      </c>
      <c r="BL58" s="5">
        <f t="shared" si="25"/>
        <v>5</v>
      </c>
      <c r="BM58" s="4">
        <f>Modelling_old[[#This Row],[Target E_Grid daily
MWh]]+Modelling_new[[#This Row],[Target E_Grid daily
MWh]]</f>
        <v>52.258064516129032</v>
      </c>
      <c r="BN58" s="4">
        <f>Modelling_old[[#This Row],[Target E_Grid MTD
MWh]]+Modelling_new[[#This Row],[Target E_Grid MTD
MWh]]</f>
        <v>574.83870967741939</v>
      </c>
      <c r="BO58" s="4">
        <f>Modelling_old[[#This Row],[Target E_Grid YTD
MWh]]+Modelling_new[[#This Row],[Target E_Grid YTD
MWh]]</f>
        <v>2094.83870967742</v>
      </c>
      <c r="BP5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58" s="4">
        <f>SUMIFS(Modelling[Target POA Daily (KWh/m2)],Modelling[Date],"&lt;="&amp;Modelling[[#This Row],[Date]],Modelling[Month Year],Modelling[[#This Row],[Month Year]])</f>
        <v>71.819354838709685</v>
      </c>
      <c r="BR58" s="4">
        <f>SUMIFS(Modelling[Target POA Daily (KWh/m2)],Modelling[Date],"&lt;="&amp;Modelling[[#This Row],[Date]],Modelling[Finacial Year],Modelling[[#This Row],[Finacial Year]])</f>
        <v>270.51935483870966</v>
      </c>
      <c r="BS58" s="9">
        <f>BM58/Modelling[[#This Row],[Comisined DC ]]/BP58</f>
        <v>0.69580830986168607</v>
      </c>
      <c r="BT58" s="9">
        <f>BN58/BQ58/Modelling[[#This Row],[Comisined DC ]]</f>
        <v>0.69580830986168607</v>
      </c>
      <c r="BU58" s="9">
        <f>BO58/BR58/Modelling[[#This Row],[Comisined DC ]]</f>
        <v>0.67318952897110196</v>
      </c>
      <c r="BV58" s="9">
        <f>BM58/(24*Modelling[[#This Row],[Comisined DC ]])</f>
        <v>0.18928978752151246</v>
      </c>
      <c r="BW58" s="9">
        <f>BN58/((COUNTIFS(Modelling[Date],"&lt;="&amp;Modelling[[#This Row],[Date]],Modelling[Month Year],Modelling[[#This Row],[Month Year]])*24*Modelling[[#This Row],[MTD DC Capcity]]))</f>
        <v>0.1892897875215124</v>
      </c>
      <c r="BX58" s="28">
        <f>BO58/((COUNTIFS(Modelling[Date],"&lt;="&amp;Modelling[[#This Row],[Date]],Modelling[Finacial Year],Modelling[[#This Row],[Finacial Year]])*24*Modelling[[#This Row],[MTD DC Capcity]]))</f>
        <v>0.185071948233168</v>
      </c>
      <c r="BY58" s="4">
        <f>Modelling_old[[#This Row],[DC Capcity]]+Modelling_new[[#This Row],[Comisined DC ]]</f>
        <v>11.5031</v>
      </c>
      <c r="BZ58" s="4">
        <v>0</v>
      </c>
      <c r="CA58" s="4">
        <f>AVERAGEIFS(Modelling[[Comisined DC ]],Modelling[Date],"&lt;="&amp;Modelling[[#This Row],[Date]],Modelling[Month Year],Modelling[[#This Row],[Month Year]])</f>
        <v>11.503100000000002</v>
      </c>
      <c r="CB58" s="4">
        <f>AVERAGEIFS(Modelling[[Comisined DC ]],Modelling[Date],"&lt;="&amp;Modelling[[#This Row],[Date]],Modelling[Finacial Year],Modelling[[#This Row],[Finacial Year]])</f>
        <v>11.503100000000005</v>
      </c>
      <c r="CG58">
        <f t="shared" si="28"/>
        <v>11</v>
      </c>
      <c r="CH58">
        <f t="shared" si="29"/>
        <v>41</v>
      </c>
    </row>
    <row r="59" spans="1:86" x14ac:dyDescent="0.35">
      <c r="A59" s="27">
        <v>45058</v>
      </c>
      <c r="B59" s="5">
        <f>MONTH(Modelling_old[[#This Row],[Date]])</f>
        <v>5</v>
      </c>
      <c r="C59" s="25">
        <f t="shared" si="11"/>
        <v>2024</v>
      </c>
      <c r="D59" s="3">
        <f t="shared" si="12"/>
        <v>2023</v>
      </c>
      <c r="E59" s="3" t="s">
        <v>626</v>
      </c>
      <c r="F59" s="5" t="s">
        <v>626</v>
      </c>
      <c r="G59" s="102">
        <v>45047</v>
      </c>
      <c r="H59" s="5">
        <f t="shared" si="13"/>
        <v>31</v>
      </c>
      <c r="I59" s="5">
        <f t="shared" si="14"/>
        <v>5</v>
      </c>
      <c r="J59" s="4">
        <f t="shared" si="15"/>
        <v>52.258064516129032</v>
      </c>
      <c r="K59" s="4">
        <f>SUM($J$48:J59)</f>
        <v>627.09677419354841</v>
      </c>
      <c r="L59" s="4">
        <f>SUM($J$18:J59)</f>
        <v>2147.0967741935492</v>
      </c>
      <c r="M59" s="4">
        <f t="shared" si="16"/>
        <v>6.5290322580645164</v>
      </c>
      <c r="N59" s="4">
        <f>SUM($M$48:M59)</f>
        <v>78.348387096774204</v>
      </c>
      <c r="O59" s="4">
        <f>SUM($M$18:M59)</f>
        <v>277.04838709677415</v>
      </c>
      <c r="P59" s="9">
        <f t="shared" si="17"/>
        <v>0.69580830986168607</v>
      </c>
      <c r="Q59" s="26">
        <f t="shared" si="30"/>
        <v>0.69580830986168596</v>
      </c>
      <c r="R59" s="26">
        <f t="shared" si="30"/>
        <v>0.67372257213955467</v>
      </c>
      <c r="S59" s="9">
        <f t="shared" si="19"/>
        <v>0.18928978752151246</v>
      </c>
      <c r="T59" s="9">
        <f>K59/((COUNT($K$48:K59))*24*$Q$1)</f>
        <v>0.18928978752151243</v>
      </c>
      <c r="U59" s="28">
        <f>L59/((COUNT($L$18:L59))*24*$Q$1)</f>
        <v>0.18517237297812864</v>
      </c>
      <c r="V59" s="134">
        <v>11.5031</v>
      </c>
      <c r="Y59" s="27">
        <f t="shared" si="26"/>
        <v>45058</v>
      </c>
      <c r="Z59" s="5">
        <f>MONTH(Modelling_new[[#This Row],[Date]])</f>
        <v>5</v>
      </c>
      <c r="AA59" s="25">
        <f>YEAR(Y59)+IF(MONTH(Modelling_new[[#This Row],[Date]])&gt;=4,1,0)</f>
        <v>2024</v>
      </c>
      <c r="AB59" s="3">
        <f t="shared" si="20"/>
        <v>2023</v>
      </c>
      <c r="AC59" s="3" t="s">
        <v>626</v>
      </c>
      <c r="AD59" s="5" t="s">
        <v>626</v>
      </c>
      <c r="AE59" s="102">
        <v>45047</v>
      </c>
      <c r="AF59" s="5">
        <f t="shared" si="21"/>
        <v>31</v>
      </c>
      <c r="AG59" s="5">
        <f t="shared" si="22"/>
        <v>5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BD59" s="27">
        <f t="shared" si="27"/>
        <v>45058</v>
      </c>
      <c r="BE59" s="5">
        <f>MONTH(Modelling[[#This Row],[Date]])</f>
        <v>5</v>
      </c>
      <c r="BF59" s="25">
        <f>YEAR(BD59)+IF(MONTH(Modelling[[#This Row],[Date]])&gt;=4,1,0)</f>
        <v>2024</v>
      </c>
      <c r="BG59" s="3">
        <f t="shared" si="23"/>
        <v>2023</v>
      </c>
      <c r="BH59" s="3" t="s">
        <v>626</v>
      </c>
      <c r="BI59" s="5" t="s">
        <v>626</v>
      </c>
      <c r="BJ59" s="102">
        <v>45047</v>
      </c>
      <c r="BK59" s="5">
        <f t="shared" si="24"/>
        <v>31</v>
      </c>
      <c r="BL59" s="5">
        <f t="shared" si="25"/>
        <v>5</v>
      </c>
      <c r="BM59" s="4">
        <f>Modelling_old[[#This Row],[Target E_Grid daily
MWh]]+Modelling_new[[#This Row],[Target E_Grid daily
MWh]]</f>
        <v>52.258064516129032</v>
      </c>
      <c r="BN59" s="4">
        <f>Modelling_old[[#This Row],[Target E_Grid MTD
MWh]]+Modelling_new[[#This Row],[Target E_Grid MTD
MWh]]</f>
        <v>627.09677419354841</v>
      </c>
      <c r="BO59" s="4">
        <f>Modelling_old[[#This Row],[Target E_Grid YTD
MWh]]+Modelling_new[[#This Row],[Target E_Grid YTD
MWh]]</f>
        <v>2147.0967741935492</v>
      </c>
      <c r="BP5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59" s="4">
        <f>SUMIFS(Modelling[Target POA Daily (KWh/m2)],Modelling[Date],"&lt;="&amp;Modelling[[#This Row],[Date]],Modelling[Month Year],Modelling[[#This Row],[Month Year]])</f>
        <v>78.348387096774204</v>
      </c>
      <c r="BR59" s="4">
        <f>SUMIFS(Modelling[Target POA Daily (KWh/m2)],Modelling[Date],"&lt;="&amp;Modelling[[#This Row],[Date]],Modelling[Finacial Year],Modelling[[#This Row],[Finacial Year]])</f>
        <v>277.04838709677415</v>
      </c>
      <c r="BS59" s="9">
        <f>BM59/Modelling[[#This Row],[Comisined DC ]]/BP59</f>
        <v>0.69580830986168607</v>
      </c>
      <c r="BT59" s="9">
        <f>BN59/BQ59/Modelling[[#This Row],[Comisined DC ]]</f>
        <v>0.69580830986168596</v>
      </c>
      <c r="BU59" s="9">
        <f>BO59/BR59/Modelling[[#This Row],[Comisined DC ]]</f>
        <v>0.67372257213955467</v>
      </c>
      <c r="BV59" s="9">
        <f>BM59/(24*Modelling[[#This Row],[Comisined DC ]])</f>
        <v>0.18928978752151246</v>
      </c>
      <c r="BW59" s="9">
        <f>BN59/((COUNTIFS(Modelling[Date],"&lt;="&amp;Modelling[[#This Row],[Date]],Modelling[Month Year],Modelling[[#This Row],[Month Year]])*24*Modelling[[#This Row],[MTD DC Capcity]]))</f>
        <v>0.1892897875215124</v>
      </c>
      <c r="BX59" s="28">
        <f>BO59/((COUNTIFS(Modelling[Date],"&lt;="&amp;Modelling[[#This Row],[Date]],Modelling[Finacial Year],Modelling[[#This Row],[Finacial Year]])*24*Modelling[[#This Row],[MTD DC Capcity]]))</f>
        <v>0.18517237297812861</v>
      </c>
      <c r="BY59" s="4">
        <f>Modelling_old[[#This Row],[DC Capcity]]+Modelling_new[[#This Row],[Comisined DC ]]</f>
        <v>11.5031</v>
      </c>
      <c r="BZ59" s="4">
        <v>0</v>
      </c>
      <c r="CA59" s="4">
        <f>AVERAGEIFS(Modelling[[Comisined DC ]],Modelling[Date],"&lt;="&amp;Modelling[[#This Row],[Date]],Modelling[Month Year],Modelling[[#This Row],[Month Year]])</f>
        <v>11.503100000000002</v>
      </c>
      <c r="CB59" s="4">
        <f>AVERAGEIFS(Modelling[[Comisined DC ]],Modelling[Date],"&lt;="&amp;Modelling[[#This Row],[Date]],Modelling[Finacial Year],Modelling[[#This Row],[Finacial Year]])</f>
        <v>11.503100000000005</v>
      </c>
      <c r="CG59">
        <f t="shared" si="28"/>
        <v>12</v>
      </c>
      <c r="CH59">
        <f t="shared" si="29"/>
        <v>42</v>
      </c>
    </row>
    <row r="60" spans="1:86" x14ac:dyDescent="0.35">
      <c r="A60" s="27">
        <v>45059</v>
      </c>
      <c r="B60" s="5">
        <f>MONTH(Modelling_old[[#This Row],[Date]])</f>
        <v>5</v>
      </c>
      <c r="C60" s="25">
        <f t="shared" si="11"/>
        <v>2024</v>
      </c>
      <c r="D60" s="3">
        <f t="shared" si="12"/>
        <v>2023</v>
      </c>
      <c r="E60" s="3" t="s">
        <v>626</v>
      </c>
      <c r="F60" s="5" t="s">
        <v>626</v>
      </c>
      <c r="G60" s="102">
        <v>45047</v>
      </c>
      <c r="H60" s="5">
        <f t="shared" si="13"/>
        <v>31</v>
      </c>
      <c r="I60" s="5">
        <f t="shared" si="14"/>
        <v>5</v>
      </c>
      <c r="J60" s="4">
        <f t="shared" si="15"/>
        <v>52.258064516129032</v>
      </c>
      <c r="K60" s="4">
        <f>SUM($J$48:J60)</f>
        <v>679.35483870967744</v>
      </c>
      <c r="L60" s="4">
        <f>SUM($J$18:J60)</f>
        <v>2199.3548387096785</v>
      </c>
      <c r="M60" s="4">
        <f t="shared" si="16"/>
        <v>6.5290322580645164</v>
      </c>
      <c r="N60" s="4">
        <f>SUM($M$48:M60)</f>
        <v>84.877419354838722</v>
      </c>
      <c r="O60" s="4">
        <f>SUM($M$18:M60)</f>
        <v>283.57741935483864</v>
      </c>
      <c r="P60" s="9">
        <f t="shared" si="17"/>
        <v>0.69580830986168607</v>
      </c>
      <c r="Q60" s="26">
        <f t="shared" si="30"/>
        <v>0.69580830986168596</v>
      </c>
      <c r="R60" s="26">
        <f t="shared" si="30"/>
        <v>0.67423106994011661</v>
      </c>
      <c r="S60" s="9">
        <f t="shared" si="19"/>
        <v>0.18928978752151246</v>
      </c>
      <c r="T60" s="9">
        <f>K60/((COUNT($K$48:K60))*24*$Q$1)</f>
        <v>0.18928978752151243</v>
      </c>
      <c r="U60" s="28">
        <f>L60/((COUNT($L$18:L60))*24*$Q$1)</f>
        <v>0.18526812680471899</v>
      </c>
      <c r="V60" s="134">
        <v>11.5031</v>
      </c>
      <c r="Y60" s="27">
        <f t="shared" si="26"/>
        <v>45059</v>
      </c>
      <c r="Z60" s="5">
        <f>MONTH(Modelling_new[[#This Row],[Date]])</f>
        <v>5</v>
      </c>
      <c r="AA60" s="25">
        <f>YEAR(Y60)+IF(MONTH(Modelling_new[[#This Row],[Date]])&gt;=4,1,0)</f>
        <v>2024</v>
      </c>
      <c r="AB60" s="3">
        <f t="shared" si="20"/>
        <v>2023</v>
      </c>
      <c r="AC60" s="3" t="s">
        <v>626</v>
      </c>
      <c r="AD60" s="5" t="s">
        <v>626</v>
      </c>
      <c r="AE60" s="102">
        <v>45047</v>
      </c>
      <c r="AF60" s="5">
        <f t="shared" si="21"/>
        <v>31</v>
      </c>
      <c r="AG60" s="5">
        <f t="shared" si="22"/>
        <v>5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BD60" s="27">
        <f t="shared" si="27"/>
        <v>45059</v>
      </c>
      <c r="BE60" s="5">
        <f>MONTH(Modelling[[#This Row],[Date]])</f>
        <v>5</v>
      </c>
      <c r="BF60" s="25">
        <f>YEAR(BD60)+IF(MONTH(Modelling[[#This Row],[Date]])&gt;=4,1,0)</f>
        <v>2024</v>
      </c>
      <c r="BG60" s="3">
        <f t="shared" si="23"/>
        <v>2023</v>
      </c>
      <c r="BH60" s="3" t="s">
        <v>626</v>
      </c>
      <c r="BI60" s="5" t="s">
        <v>626</v>
      </c>
      <c r="BJ60" s="102">
        <v>45047</v>
      </c>
      <c r="BK60" s="5">
        <f t="shared" si="24"/>
        <v>31</v>
      </c>
      <c r="BL60" s="5">
        <f t="shared" si="25"/>
        <v>5</v>
      </c>
      <c r="BM60" s="4">
        <f>Modelling_old[[#This Row],[Target E_Grid daily
MWh]]+Modelling_new[[#This Row],[Target E_Grid daily
MWh]]</f>
        <v>52.258064516129032</v>
      </c>
      <c r="BN60" s="4">
        <f>Modelling_old[[#This Row],[Target E_Grid MTD
MWh]]+Modelling_new[[#This Row],[Target E_Grid MTD
MWh]]</f>
        <v>679.35483870967744</v>
      </c>
      <c r="BO60" s="4">
        <f>Modelling_old[[#This Row],[Target E_Grid YTD
MWh]]+Modelling_new[[#This Row],[Target E_Grid YTD
MWh]]</f>
        <v>2199.3548387096785</v>
      </c>
      <c r="BP6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60" s="4">
        <f>SUMIFS(Modelling[Target POA Daily (KWh/m2)],Modelling[Date],"&lt;="&amp;Modelling[[#This Row],[Date]],Modelling[Month Year],Modelling[[#This Row],[Month Year]])</f>
        <v>84.877419354838722</v>
      </c>
      <c r="BR60" s="4">
        <f>SUMIFS(Modelling[Target POA Daily (KWh/m2)],Modelling[Date],"&lt;="&amp;Modelling[[#This Row],[Date]],Modelling[Finacial Year],Modelling[[#This Row],[Finacial Year]])</f>
        <v>283.57741935483864</v>
      </c>
      <c r="BS60" s="9">
        <f>BM60/Modelling[[#This Row],[Comisined DC ]]/BP60</f>
        <v>0.69580830986168607</v>
      </c>
      <c r="BT60" s="9">
        <f>BN60/BQ60/Modelling[[#This Row],[Comisined DC ]]</f>
        <v>0.69580830986168596</v>
      </c>
      <c r="BU60" s="9">
        <f>BO60/BR60/Modelling[[#This Row],[Comisined DC ]]</f>
        <v>0.67423106994011661</v>
      </c>
      <c r="BV60" s="9">
        <f>BM60/(24*Modelling[[#This Row],[Comisined DC ]])</f>
        <v>0.18928978752151246</v>
      </c>
      <c r="BW60" s="9">
        <f>BN60/((COUNTIFS(Modelling[Date],"&lt;="&amp;Modelling[[#This Row],[Date]],Modelling[Month Year],Modelling[[#This Row],[Month Year]])*24*Modelling[[#This Row],[MTD DC Capcity]]))</f>
        <v>0.18928978752151243</v>
      </c>
      <c r="BX60" s="28">
        <f>BO60/((COUNTIFS(Modelling[Date],"&lt;="&amp;Modelling[[#This Row],[Date]],Modelling[Finacial Year],Modelling[[#This Row],[Finacial Year]])*24*Modelling[[#This Row],[MTD DC Capcity]]))</f>
        <v>0.18526812680471899</v>
      </c>
      <c r="BY60" s="4">
        <f>Modelling_old[[#This Row],[DC Capcity]]+Modelling_new[[#This Row],[Comisined DC ]]</f>
        <v>11.5031</v>
      </c>
      <c r="BZ60" s="4">
        <v>0</v>
      </c>
      <c r="CA60" s="4">
        <f>AVERAGEIFS(Modelling[[Comisined DC ]],Modelling[Date],"&lt;="&amp;Modelling[[#This Row],[Date]],Modelling[Month Year],Modelling[[#This Row],[Month Year]])</f>
        <v>11.5031</v>
      </c>
      <c r="CB60" s="4">
        <f>AVERAGEIFS(Modelling[[Comisined DC ]],Modelling[Date],"&lt;="&amp;Modelling[[#This Row],[Date]],Modelling[Finacial Year],Modelling[[#This Row],[Finacial Year]])</f>
        <v>11.503100000000005</v>
      </c>
      <c r="CG60">
        <f t="shared" si="28"/>
        <v>13</v>
      </c>
      <c r="CH60">
        <f t="shared" si="29"/>
        <v>43</v>
      </c>
    </row>
    <row r="61" spans="1:86" x14ac:dyDescent="0.35">
      <c r="A61" s="27">
        <v>45060</v>
      </c>
      <c r="B61" s="5">
        <f>MONTH(Modelling_old[[#This Row],[Date]])</f>
        <v>5</v>
      </c>
      <c r="C61" s="25">
        <f t="shared" si="11"/>
        <v>2024</v>
      </c>
      <c r="D61" s="3">
        <f t="shared" si="12"/>
        <v>2023</v>
      </c>
      <c r="E61" s="3" t="s">
        <v>626</v>
      </c>
      <c r="F61" s="5" t="s">
        <v>626</v>
      </c>
      <c r="G61" s="102">
        <v>45047</v>
      </c>
      <c r="H61" s="5">
        <f t="shared" si="13"/>
        <v>31</v>
      </c>
      <c r="I61" s="5">
        <f t="shared" si="14"/>
        <v>5</v>
      </c>
      <c r="J61" s="4">
        <f t="shared" si="15"/>
        <v>52.258064516129032</v>
      </c>
      <c r="K61" s="4">
        <f>SUM($J$48:J61)</f>
        <v>731.61290322580646</v>
      </c>
      <c r="L61" s="4">
        <f>SUM($J$18:J61)</f>
        <v>2251.6129032258077</v>
      </c>
      <c r="M61" s="4">
        <f t="shared" si="16"/>
        <v>6.5290322580645164</v>
      </c>
      <c r="N61" s="4">
        <f>SUM($M$48:M61)</f>
        <v>91.40645161290324</v>
      </c>
      <c r="O61" s="4">
        <f>SUM($M$18:M61)</f>
        <v>290.10645161290313</v>
      </c>
      <c r="P61" s="9">
        <f t="shared" si="17"/>
        <v>0.69580830986168607</v>
      </c>
      <c r="Q61" s="26">
        <f t="shared" si="30"/>
        <v>0.69580830986168596</v>
      </c>
      <c r="R61" s="26">
        <f t="shared" si="30"/>
        <v>0.67471667960065573</v>
      </c>
      <c r="S61" s="9">
        <f t="shared" si="19"/>
        <v>0.18928978752151246</v>
      </c>
      <c r="T61" s="9">
        <f>K61/((COUNT($K$48:K61))*24*$Q$1)</f>
        <v>0.18928978752151243</v>
      </c>
      <c r="U61" s="28">
        <f>L61/((COUNT($L$18:L61))*24*$Q$1)</f>
        <v>0.1853595281846461</v>
      </c>
      <c r="V61" s="134">
        <v>11.5031</v>
      </c>
      <c r="Y61" s="27">
        <f t="shared" si="26"/>
        <v>45060</v>
      </c>
      <c r="Z61" s="5">
        <f>MONTH(Modelling_new[[#This Row],[Date]])</f>
        <v>5</v>
      </c>
      <c r="AA61" s="25">
        <f>YEAR(Y61)+IF(MONTH(Modelling_new[[#This Row],[Date]])&gt;=4,1,0)</f>
        <v>2024</v>
      </c>
      <c r="AB61" s="3">
        <f t="shared" si="20"/>
        <v>2023</v>
      </c>
      <c r="AC61" s="3" t="s">
        <v>626</v>
      </c>
      <c r="AD61" s="5" t="s">
        <v>626</v>
      </c>
      <c r="AE61" s="102">
        <v>45047</v>
      </c>
      <c r="AF61" s="5">
        <f t="shared" si="21"/>
        <v>31</v>
      </c>
      <c r="AG61" s="5">
        <f t="shared" si="22"/>
        <v>5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BD61" s="27">
        <f t="shared" si="27"/>
        <v>45060</v>
      </c>
      <c r="BE61" s="5">
        <f>MONTH(Modelling[[#This Row],[Date]])</f>
        <v>5</v>
      </c>
      <c r="BF61" s="25">
        <f>YEAR(BD61)+IF(MONTH(Modelling[[#This Row],[Date]])&gt;=4,1,0)</f>
        <v>2024</v>
      </c>
      <c r="BG61" s="3">
        <f t="shared" si="23"/>
        <v>2023</v>
      </c>
      <c r="BH61" s="3" t="s">
        <v>626</v>
      </c>
      <c r="BI61" s="5" t="s">
        <v>626</v>
      </c>
      <c r="BJ61" s="102">
        <v>45047</v>
      </c>
      <c r="BK61" s="5">
        <f t="shared" si="24"/>
        <v>31</v>
      </c>
      <c r="BL61" s="5">
        <f t="shared" si="25"/>
        <v>5</v>
      </c>
      <c r="BM61" s="4">
        <f>Modelling_old[[#This Row],[Target E_Grid daily
MWh]]+Modelling_new[[#This Row],[Target E_Grid daily
MWh]]</f>
        <v>52.258064516129032</v>
      </c>
      <c r="BN61" s="4">
        <f>Modelling_old[[#This Row],[Target E_Grid MTD
MWh]]+Modelling_new[[#This Row],[Target E_Grid MTD
MWh]]</f>
        <v>731.61290322580646</v>
      </c>
      <c r="BO61" s="4">
        <f>Modelling_old[[#This Row],[Target E_Grid YTD
MWh]]+Modelling_new[[#This Row],[Target E_Grid YTD
MWh]]</f>
        <v>2251.6129032258077</v>
      </c>
      <c r="BP6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61" s="4">
        <f>SUMIFS(Modelling[Target POA Daily (KWh/m2)],Modelling[Date],"&lt;="&amp;Modelling[[#This Row],[Date]],Modelling[Month Year],Modelling[[#This Row],[Month Year]])</f>
        <v>91.40645161290324</v>
      </c>
      <c r="BR61" s="4">
        <f>SUMIFS(Modelling[Target POA Daily (KWh/m2)],Modelling[Date],"&lt;="&amp;Modelling[[#This Row],[Date]],Modelling[Finacial Year],Modelling[[#This Row],[Finacial Year]])</f>
        <v>290.10645161290313</v>
      </c>
      <c r="BS61" s="9">
        <f>BM61/Modelling[[#This Row],[Comisined DC ]]/BP61</f>
        <v>0.69580830986168607</v>
      </c>
      <c r="BT61" s="9">
        <f>BN61/BQ61/Modelling[[#This Row],[Comisined DC ]]</f>
        <v>0.69580830986168596</v>
      </c>
      <c r="BU61" s="9">
        <f>BO61/BR61/Modelling[[#This Row],[Comisined DC ]]</f>
        <v>0.67471667960065573</v>
      </c>
      <c r="BV61" s="9">
        <f>BM61/(24*Modelling[[#This Row],[Comisined DC ]])</f>
        <v>0.18928978752151246</v>
      </c>
      <c r="BW61" s="9">
        <f>BN61/((COUNTIFS(Modelling[Date],"&lt;="&amp;Modelling[[#This Row],[Date]],Modelling[Month Year],Modelling[[#This Row],[Month Year]])*24*Modelling[[#This Row],[MTD DC Capcity]]))</f>
        <v>0.18928978752151243</v>
      </c>
      <c r="BX61" s="28">
        <f>BO61/((COUNTIFS(Modelling[Date],"&lt;="&amp;Modelling[[#This Row],[Date]],Modelling[Finacial Year],Modelling[[#This Row],[Finacial Year]])*24*Modelling[[#This Row],[MTD DC Capcity]]))</f>
        <v>0.1853595281846461</v>
      </c>
      <c r="BY61" s="4">
        <f>Modelling_old[[#This Row],[DC Capcity]]+Modelling_new[[#This Row],[Comisined DC ]]</f>
        <v>11.5031</v>
      </c>
      <c r="BZ61" s="4">
        <v>0</v>
      </c>
      <c r="CA61" s="4">
        <f>AVERAGEIFS(Modelling[[Comisined DC ]],Modelling[Date],"&lt;="&amp;Modelling[[#This Row],[Date]],Modelling[Month Year],Modelling[[#This Row],[Month Year]])</f>
        <v>11.5031</v>
      </c>
      <c r="CB61" s="4">
        <f>AVERAGEIFS(Modelling[[Comisined DC ]],Modelling[Date],"&lt;="&amp;Modelling[[#This Row],[Date]],Modelling[Finacial Year],Modelling[[#This Row],[Finacial Year]])</f>
        <v>11.503100000000005</v>
      </c>
      <c r="CG61">
        <f t="shared" si="28"/>
        <v>14</v>
      </c>
      <c r="CH61">
        <f t="shared" si="29"/>
        <v>44</v>
      </c>
    </row>
    <row r="62" spans="1:86" x14ac:dyDescent="0.35">
      <c r="A62" s="27">
        <v>45061</v>
      </c>
      <c r="B62" s="5">
        <f>MONTH(Modelling_old[[#This Row],[Date]])</f>
        <v>5</v>
      </c>
      <c r="C62" s="25">
        <f t="shared" si="11"/>
        <v>2024</v>
      </c>
      <c r="D62" s="3">
        <f t="shared" si="12"/>
        <v>2023</v>
      </c>
      <c r="E62" s="3" t="s">
        <v>626</v>
      </c>
      <c r="F62" s="5" t="s">
        <v>626</v>
      </c>
      <c r="G62" s="102">
        <v>45047</v>
      </c>
      <c r="H62" s="5">
        <f t="shared" si="13"/>
        <v>31</v>
      </c>
      <c r="I62" s="5">
        <f t="shared" si="14"/>
        <v>5</v>
      </c>
      <c r="J62" s="4">
        <f t="shared" si="15"/>
        <v>52.258064516129032</v>
      </c>
      <c r="K62" s="4">
        <f>SUM($J$48:J62)</f>
        <v>783.87096774193549</v>
      </c>
      <c r="L62" s="4">
        <f>SUM($J$18:J62)</f>
        <v>2303.870967741937</v>
      </c>
      <c r="M62" s="4">
        <f t="shared" si="16"/>
        <v>6.5290322580645164</v>
      </c>
      <c r="N62" s="4">
        <f>SUM($M$48:M62)</f>
        <v>97.935483870967758</v>
      </c>
      <c r="O62" s="4">
        <f>SUM($M$18:M62)</f>
        <v>296.63548387096762</v>
      </c>
      <c r="P62" s="9">
        <f t="shared" si="17"/>
        <v>0.69580830986168607</v>
      </c>
      <c r="Q62" s="26">
        <f t="shared" si="30"/>
        <v>0.69580830986168596</v>
      </c>
      <c r="R62" s="26">
        <f t="shared" si="30"/>
        <v>0.67518091244479317</v>
      </c>
      <c r="S62" s="9">
        <f t="shared" si="19"/>
        <v>0.18928978752151246</v>
      </c>
      <c r="T62" s="9">
        <f>K62/((COUNT($K$48:K62))*24*$Q$1)</f>
        <v>0.18928978752151243</v>
      </c>
      <c r="U62" s="28">
        <f>L62/((COUNT($L$18:L62))*24*$Q$1)</f>
        <v>0.18544686728102094</v>
      </c>
      <c r="V62" s="134">
        <v>11.5031</v>
      </c>
      <c r="Y62" s="27">
        <f t="shared" si="26"/>
        <v>45061</v>
      </c>
      <c r="Z62" s="5">
        <f>MONTH(Modelling_new[[#This Row],[Date]])</f>
        <v>5</v>
      </c>
      <c r="AA62" s="25">
        <f>YEAR(Y62)+IF(MONTH(Modelling_new[[#This Row],[Date]])&gt;=4,1,0)</f>
        <v>2024</v>
      </c>
      <c r="AB62" s="3">
        <f t="shared" si="20"/>
        <v>2023</v>
      </c>
      <c r="AC62" s="3" t="s">
        <v>626</v>
      </c>
      <c r="AD62" s="5" t="s">
        <v>626</v>
      </c>
      <c r="AE62" s="102">
        <v>45047</v>
      </c>
      <c r="AF62" s="5">
        <f t="shared" si="21"/>
        <v>31</v>
      </c>
      <c r="AG62" s="5">
        <f t="shared" si="22"/>
        <v>5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BD62" s="27">
        <f t="shared" si="27"/>
        <v>45061</v>
      </c>
      <c r="BE62" s="5">
        <f>MONTH(Modelling[[#This Row],[Date]])</f>
        <v>5</v>
      </c>
      <c r="BF62" s="25">
        <f>YEAR(BD62)+IF(MONTH(Modelling[[#This Row],[Date]])&gt;=4,1,0)</f>
        <v>2024</v>
      </c>
      <c r="BG62" s="3">
        <f t="shared" si="23"/>
        <v>2023</v>
      </c>
      <c r="BH62" s="3" t="s">
        <v>626</v>
      </c>
      <c r="BI62" s="5" t="s">
        <v>626</v>
      </c>
      <c r="BJ62" s="102">
        <v>45047</v>
      </c>
      <c r="BK62" s="5">
        <f t="shared" si="24"/>
        <v>31</v>
      </c>
      <c r="BL62" s="5">
        <f t="shared" si="25"/>
        <v>5</v>
      </c>
      <c r="BM62" s="4">
        <f>Modelling_old[[#This Row],[Target E_Grid daily
MWh]]+Modelling_new[[#This Row],[Target E_Grid daily
MWh]]</f>
        <v>52.258064516129032</v>
      </c>
      <c r="BN62" s="4">
        <f>Modelling_old[[#This Row],[Target E_Grid MTD
MWh]]+Modelling_new[[#This Row],[Target E_Grid MTD
MWh]]</f>
        <v>783.87096774193549</v>
      </c>
      <c r="BO62" s="4">
        <f>Modelling_old[[#This Row],[Target E_Grid YTD
MWh]]+Modelling_new[[#This Row],[Target E_Grid YTD
MWh]]</f>
        <v>2303.870967741937</v>
      </c>
      <c r="BP6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62" s="4">
        <f>SUMIFS(Modelling[Target POA Daily (KWh/m2)],Modelling[Date],"&lt;="&amp;Modelling[[#This Row],[Date]],Modelling[Month Year],Modelling[[#This Row],[Month Year]])</f>
        <v>97.935483870967758</v>
      </c>
      <c r="BR62" s="4">
        <f>SUMIFS(Modelling[Target POA Daily (KWh/m2)],Modelling[Date],"&lt;="&amp;Modelling[[#This Row],[Date]],Modelling[Finacial Year],Modelling[[#This Row],[Finacial Year]])</f>
        <v>296.63548387096762</v>
      </c>
      <c r="BS62" s="9">
        <f>BM62/Modelling[[#This Row],[Comisined DC ]]/BP62</f>
        <v>0.69580830986168607</v>
      </c>
      <c r="BT62" s="9">
        <f>BN62/BQ62/Modelling[[#This Row],[Comisined DC ]]</f>
        <v>0.69580830986168596</v>
      </c>
      <c r="BU62" s="9">
        <f>BO62/BR62/Modelling[[#This Row],[Comisined DC ]]</f>
        <v>0.67518091244479317</v>
      </c>
      <c r="BV62" s="9">
        <f>BM62/(24*Modelling[[#This Row],[Comisined DC ]])</f>
        <v>0.18928978752151246</v>
      </c>
      <c r="BW62" s="9">
        <f>BN62/((COUNTIFS(Modelling[Date],"&lt;="&amp;Modelling[[#This Row],[Date]],Modelling[Month Year],Modelling[[#This Row],[Month Year]])*24*Modelling[[#This Row],[MTD DC Capcity]]))</f>
        <v>0.18928978752151249</v>
      </c>
      <c r="BX62" s="28">
        <f>BO62/((COUNTIFS(Modelling[Date],"&lt;="&amp;Modelling[[#This Row],[Date]],Modelling[Finacial Year],Modelling[[#This Row],[Finacial Year]])*24*Modelling[[#This Row],[MTD DC Capcity]]))</f>
        <v>0.18544686728102097</v>
      </c>
      <c r="BY62" s="4">
        <f>Modelling_old[[#This Row],[DC Capcity]]+Modelling_new[[#This Row],[Comisined DC ]]</f>
        <v>11.5031</v>
      </c>
      <c r="BZ62" s="4">
        <v>0</v>
      </c>
      <c r="CA62" s="4">
        <f>AVERAGEIFS(Modelling[[Comisined DC ]],Modelling[Date],"&lt;="&amp;Modelling[[#This Row],[Date]],Modelling[Month Year],Modelling[[#This Row],[Month Year]])</f>
        <v>11.503099999999998</v>
      </c>
      <c r="CB62" s="4">
        <f>AVERAGEIFS(Modelling[[Comisined DC ]],Modelling[Date],"&lt;="&amp;Modelling[[#This Row],[Date]],Modelling[Finacial Year],Modelling[[#This Row],[Finacial Year]])</f>
        <v>11.503100000000005</v>
      </c>
      <c r="CG62">
        <f t="shared" si="28"/>
        <v>15</v>
      </c>
      <c r="CH62">
        <f t="shared" si="29"/>
        <v>45</v>
      </c>
    </row>
    <row r="63" spans="1:86" x14ac:dyDescent="0.35">
      <c r="A63" s="27">
        <v>45062</v>
      </c>
      <c r="B63" s="5">
        <f>MONTH(Modelling_old[[#This Row],[Date]])</f>
        <v>5</v>
      </c>
      <c r="C63" s="25">
        <f t="shared" si="11"/>
        <v>2024</v>
      </c>
      <c r="D63" s="3">
        <f t="shared" si="12"/>
        <v>2023</v>
      </c>
      <c r="E63" s="3" t="s">
        <v>626</v>
      </c>
      <c r="F63" s="5" t="s">
        <v>626</v>
      </c>
      <c r="G63" s="102">
        <v>45047</v>
      </c>
      <c r="H63" s="5">
        <f t="shared" si="13"/>
        <v>31</v>
      </c>
      <c r="I63" s="5">
        <f t="shared" si="14"/>
        <v>5</v>
      </c>
      <c r="J63" s="4">
        <f t="shared" si="15"/>
        <v>52.258064516129032</v>
      </c>
      <c r="K63" s="4">
        <f>SUM($J$48:J63)</f>
        <v>836.12903225806451</v>
      </c>
      <c r="L63" s="4">
        <f>SUM($J$18:J63)</f>
        <v>2356.1290322580662</v>
      </c>
      <c r="M63" s="4">
        <f t="shared" si="16"/>
        <v>6.5290322580645164</v>
      </c>
      <c r="N63" s="4">
        <f>SUM($M$48:M63)</f>
        <v>104.46451612903228</v>
      </c>
      <c r="O63" s="4">
        <f>SUM($M$18:M63)</f>
        <v>303.16451612903211</v>
      </c>
      <c r="P63" s="9">
        <f t="shared" si="17"/>
        <v>0.69580830986168607</v>
      </c>
      <c r="Q63" s="26">
        <f t="shared" si="30"/>
        <v>0.69580830986168596</v>
      </c>
      <c r="R63" s="26">
        <f t="shared" si="30"/>
        <v>0.67562514960306763</v>
      </c>
      <c r="S63" s="9">
        <f t="shared" si="19"/>
        <v>0.18928978752151246</v>
      </c>
      <c r="T63" s="9">
        <f>K63/((COUNT($K$48:K63))*24*$Q$1)</f>
        <v>0.18928978752151246</v>
      </c>
      <c r="U63" s="28">
        <f>L63/((COUNT($L$18:L63))*24*$Q$1)</f>
        <v>0.18553040902537948</v>
      </c>
      <c r="V63" s="134">
        <v>11.5031</v>
      </c>
      <c r="Y63" s="27">
        <f t="shared" si="26"/>
        <v>45062</v>
      </c>
      <c r="Z63" s="5">
        <f>MONTH(Modelling_new[[#This Row],[Date]])</f>
        <v>5</v>
      </c>
      <c r="AA63" s="25">
        <f>YEAR(Y63)+IF(MONTH(Modelling_new[[#This Row],[Date]])&gt;=4,1,0)</f>
        <v>2024</v>
      </c>
      <c r="AB63" s="3">
        <f t="shared" si="20"/>
        <v>2023</v>
      </c>
      <c r="AC63" s="3" t="s">
        <v>626</v>
      </c>
      <c r="AD63" s="5" t="s">
        <v>626</v>
      </c>
      <c r="AE63" s="102">
        <v>45047</v>
      </c>
      <c r="AF63" s="5">
        <f t="shared" si="21"/>
        <v>31</v>
      </c>
      <c r="AG63" s="5">
        <f t="shared" si="22"/>
        <v>5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BD63" s="27">
        <f t="shared" si="27"/>
        <v>45062</v>
      </c>
      <c r="BE63" s="5">
        <f>MONTH(Modelling[[#This Row],[Date]])</f>
        <v>5</v>
      </c>
      <c r="BF63" s="25">
        <f>YEAR(BD63)+IF(MONTH(Modelling[[#This Row],[Date]])&gt;=4,1,0)</f>
        <v>2024</v>
      </c>
      <c r="BG63" s="3">
        <f t="shared" si="23"/>
        <v>2023</v>
      </c>
      <c r="BH63" s="3" t="s">
        <v>626</v>
      </c>
      <c r="BI63" s="5" t="s">
        <v>626</v>
      </c>
      <c r="BJ63" s="102">
        <v>45047</v>
      </c>
      <c r="BK63" s="5">
        <f t="shared" si="24"/>
        <v>31</v>
      </c>
      <c r="BL63" s="5">
        <f t="shared" si="25"/>
        <v>5</v>
      </c>
      <c r="BM63" s="4">
        <f>Modelling_old[[#This Row],[Target E_Grid daily
MWh]]+Modelling_new[[#This Row],[Target E_Grid daily
MWh]]</f>
        <v>52.258064516129032</v>
      </c>
      <c r="BN63" s="4">
        <f>Modelling_old[[#This Row],[Target E_Grid MTD
MWh]]+Modelling_new[[#This Row],[Target E_Grid MTD
MWh]]</f>
        <v>836.12903225806451</v>
      </c>
      <c r="BO63" s="4">
        <f>Modelling_old[[#This Row],[Target E_Grid YTD
MWh]]+Modelling_new[[#This Row],[Target E_Grid YTD
MWh]]</f>
        <v>2356.1290322580662</v>
      </c>
      <c r="BP6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63" s="4">
        <f>SUMIFS(Modelling[Target POA Daily (KWh/m2)],Modelling[Date],"&lt;="&amp;Modelling[[#This Row],[Date]],Modelling[Month Year],Modelling[[#This Row],[Month Year]])</f>
        <v>104.46451612903228</v>
      </c>
      <c r="BR63" s="4">
        <f>SUMIFS(Modelling[Target POA Daily (KWh/m2)],Modelling[Date],"&lt;="&amp;Modelling[[#This Row],[Date]],Modelling[Finacial Year],Modelling[[#This Row],[Finacial Year]])</f>
        <v>303.16451612903211</v>
      </c>
      <c r="BS63" s="9">
        <f>BM63/Modelling[[#This Row],[Comisined DC ]]/BP63</f>
        <v>0.69580830986168607</v>
      </c>
      <c r="BT63" s="9">
        <f>BN63/BQ63/Modelling[[#This Row],[Comisined DC ]]</f>
        <v>0.69580830986168596</v>
      </c>
      <c r="BU63" s="9">
        <f>BO63/BR63/Modelling[[#This Row],[Comisined DC ]]</f>
        <v>0.67562514960306763</v>
      </c>
      <c r="BV63" s="9">
        <f>BM63/(24*Modelling[[#This Row],[Comisined DC ]])</f>
        <v>0.18928978752151246</v>
      </c>
      <c r="BW63" s="9">
        <f>BN63/((COUNTIFS(Modelling[Date],"&lt;="&amp;Modelling[[#This Row],[Date]],Modelling[Month Year],Modelling[[#This Row],[Month Year]])*24*Modelling[[#This Row],[MTD DC Capcity]]))</f>
        <v>0.18928978752151246</v>
      </c>
      <c r="BX63" s="28">
        <f>BO63/((COUNTIFS(Modelling[Date],"&lt;="&amp;Modelling[[#This Row],[Date]],Modelling[Finacial Year],Modelling[[#This Row],[Finacial Year]])*24*Modelling[[#This Row],[MTD DC Capcity]]))</f>
        <v>0.18553040902537951</v>
      </c>
      <c r="BY63" s="4">
        <f>Modelling_old[[#This Row],[DC Capcity]]+Modelling_new[[#This Row],[Comisined DC ]]</f>
        <v>11.5031</v>
      </c>
      <c r="BZ63" s="4">
        <v>0</v>
      </c>
      <c r="CA63" s="4">
        <f>AVERAGEIFS(Modelling[[Comisined DC ]],Modelling[Date],"&lt;="&amp;Modelling[[#This Row],[Date]],Modelling[Month Year],Modelling[[#This Row],[Month Year]])</f>
        <v>11.503099999999998</v>
      </c>
      <c r="CB63" s="4">
        <f>AVERAGEIFS(Modelling[[Comisined DC ]],Modelling[Date],"&lt;="&amp;Modelling[[#This Row],[Date]],Modelling[Finacial Year],Modelling[[#This Row],[Finacial Year]])</f>
        <v>11.503100000000005</v>
      </c>
      <c r="CG63">
        <f t="shared" si="28"/>
        <v>16</v>
      </c>
      <c r="CH63">
        <f t="shared" si="29"/>
        <v>46</v>
      </c>
    </row>
    <row r="64" spans="1:86" x14ac:dyDescent="0.35">
      <c r="A64" s="27">
        <v>45063</v>
      </c>
      <c r="B64" s="5">
        <f>MONTH(Modelling_old[[#This Row],[Date]])</f>
        <v>5</v>
      </c>
      <c r="C64" s="25">
        <f t="shared" si="11"/>
        <v>2024</v>
      </c>
      <c r="D64" s="3">
        <f t="shared" si="12"/>
        <v>2023</v>
      </c>
      <c r="E64" s="3" t="s">
        <v>626</v>
      </c>
      <c r="F64" s="5" t="s">
        <v>626</v>
      </c>
      <c r="G64" s="102">
        <v>45047</v>
      </c>
      <c r="H64" s="5">
        <f t="shared" si="13"/>
        <v>31</v>
      </c>
      <c r="I64" s="5">
        <f t="shared" si="14"/>
        <v>5</v>
      </c>
      <c r="J64" s="4">
        <f t="shared" si="15"/>
        <v>52.258064516129032</v>
      </c>
      <c r="K64" s="4">
        <f>SUM($J$48:J64)</f>
        <v>888.38709677419354</v>
      </c>
      <c r="L64" s="4">
        <f>SUM($J$18:J64)</f>
        <v>2408.3870967741955</v>
      </c>
      <c r="M64" s="4">
        <f t="shared" si="16"/>
        <v>6.5290322580645164</v>
      </c>
      <c r="N64" s="4">
        <f>SUM($M$48:M64)</f>
        <v>110.99354838709679</v>
      </c>
      <c r="O64" s="4">
        <f>SUM($M$18:M64)</f>
        <v>309.6935483870966</v>
      </c>
      <c r="P64" s="9">
        <f t="shared" si="17"/>
        <v>0.69580830986168607</v>
      </c>
      <c r="Q64" s="26">
        <f t="shared" si="30"/>
        <v>0.69580830986168596</v>
      </c>
      <c r="R64" s="26">
        <f t="shared" si="30"/>
        <v>0.6760506557367425</v>
      </c>
      <c r="S64" s="9">
        <f t="shared" si="19"/>
        <v>0.18928978752151246</v>
      </c>
      <c r="T64" s="9">
        <f>K64/((COUNT($K$48:K64))*24*$Q$1)</f>
        <v>0.18928978752151243</v>
      </c>
      <c r="U64" s="28">
        <f>L64/((COUNT($L$18:L64))*24*$Q$1)</f>
        <v>0.18561039580189298</v>
      </c>
      <c r="V64" s="134">
        <v>11.5031</v>
      </c>
      <c r="Y64" s="27">
        <f t="shared" si="26"/>
        <v>45063</v>
      </c>
      <c r="Z64" s="5">
        <f>MONTH(Modelling_new[[#This Row],[Date]])</f>
        <v>5</v>
      </c>
      <c r="AA64" s="25">
        <f>YEAR(Y64)+IF(MONTH(Modelling_new[[#This Row],[Date]])&gt;=4,1,0)</f>
        <v>2024</v>
      </c>
      <c r="AB64" s="3">
        <f t="shared" si="20"/>
        <v>2023</v>
      </c>
      <c r="AC64" s="3" t="s">
        <v>626</v>
      </c>
      <c r="AD64" s="5" t="s">
        <v>626</v>
      </c>
      <c r="AE64" s="102">
        <v>45047</v>
      </c>
      <c r="AF64" s="5">
        <f t="shared" si="21"/>
        <v>31</v>
      </c>
      <c r="AG64" s="5">
        <f t="shared" si="22"/>
        <v>5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BD64" s="27">
        <f t="shared" si="27"/>
        <v>45063</v>
      </c>
      <c r="BE64" s="5">
        <f>MONTH(Modelling[[#This Row],[Date]])</f>
        <v>5</v>
      </c>
      <c r="BF64" s="25">
        <f>YEAR(BD64)+IF(MONTH(Modelling[[#This Row],[Date]])&gt;=4,1,0)</f>
        <v>2024</v>
      </c>
      <c r="BG64" s="3">
        <f t="shared" si="23"/>
        <v>2023</v>
      </c>
      <c r="BH64" s="3" t="s">
        <v>626</v>
      </c>
      <c r="BI64" s="5" t="s">
        <v>626</v>
      </c>
      <c r="BJ64" s="102">
        <v>45047</v>
      </c>
      <c r="BK64" s="5">
        <f t="shared" si="24"/>
        <v>31</v>
      </c>
      <c r="BL64" s="5">
        <f t="shared" si="25"/>
        <v>5</v>
      </c>
      <c r="BM64" s="4">
        <f>Modelling_old[[#This Row],[Target E_Grid daily
MWh]]+Modelling_new[[#This Row],[Target E_Grid daily
MWh]]</f>
        <v>52.258064516129032</v>
      </c>
      <c r="BN64" s="4">
        <f>Modelling_old[[#This Row],[Target E_Grid MTD
MWh]]+Modelling_new[[#This Row],[Target E_Grid MTD
MWh]]</f>
        <v>888.38709677419354</v>
      </c>
      <c r="BO64" s="4">
        <f>Modelling_old[[#This Row],[Target E_Grid YTD
MWh]]+Modelling_new[[#This Row],[Target E_Grid YTD
MWh]]</f>
        <v>2408.3870967741955</v>
      </c>
      <c r="BP6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64" s="4">
        <f>SUMIFS(Modelling[Target POA Daily (KWh/m2)],Modelling[Date],"&lt;="&amp;Modelling[[#This Row],[Date]],Modelling[Month Year],Modelling[[#This Row],[Month Year]])</f>
        <v>110.99354838709679</v>
      </c>
      <c r="BR64" s="4">
        <f>SUMIFS(Modelling[Target POA Daily (KWh/m2)],Modelling[Date],"&lt;="&amp;Modelling[[#This Row],[Date]],Modelling[Finacial Year],Modelling[[#This Row],[Finacial Year]])</f>
        <v>309.6935483870966</v>
      </c>
      <c r="BS64" s="9">
        <f>BM64/Modelling[[#This Row],[Comisined DC ]]/BP64</f>
        <v>0.69580830986168607</v>
      </c>
      <c r="BT64" s="9">
        <f>BN64/BQ64/Modelling[[#This Row],[Comisined DC ]]</f>
        <v>0.69580830986168596</v>
      </c>
      <c r="BU64" s="9">
        <f>BO64/BR64/Modelling[[#This Row],[Comisined DC ]]</f>
        <v>0.6760506557367425</v>
      </c>
      <c r="BV64" s="9">
        <f>BM64/(24*Modelling[[#This Row],[Comisined DC ]])</f>
        <v>0.18928978752151246</v>
      </c>
      <c r="BW64" s="9">
        <f>BN64/((COUNTIFS(Modelling[Date],"&lt;="&amp;Modelling[[#This Row],[Date]],Modelling[Month Year],Modelling[[#This Row],[Month Year]])*24*Modelling[[#This Row],[MTD DC Capcity]]))</f>
        <v>0.18928978752151246</v>
      </c>
      <c r="BX64" s="28">
        <f>BO64/((COUNTIFS(Modelling[Date],"&lt;="&amp;Modelling[[#This Row],[Date]],Modelling[Finacial Year],Modelling[[#This Row],[Finacial Year]])*24*Modelling[[#This Row],[MTD DC Capcity]]))</f>
        <v>0.18561039580189301</v>
      </c>
      <c r="BY64" s="4">
        <f>Modelling_old[[#This Row],[DC Capcity]]+Modelling_new[[#This Row],[Comisined DC ]]</f>
        <v>11.5031</v>
      </c>
      <c r="BZ64" s="4">
        <v>0</v>
      </c>
      <c r="CA64" s="4">
        <f>AVERAGEIFS(Modelling[[Comisined DC ]],Modelling[Date],"&lt;="&amp;Modelling[[#This Row],[Date]],Modelling[Month Year],Modelling[[#This Row],[Month Year]])</f>
        <v>11.503099999999998</v>
      </c>
      <c r="CB64" s="4">
        <f>AVERAGEIFS(Modelling[[Comisined DC ]],Modelling[Date],"&lt;="&amp;Modelling[[#This Row],[Date]],Modelling[Finacial Year],Modelling[[#This Row],[Finacial Year]])</f>
        <v>11.503100000000005</v>
      </c>
      <c r="CG64">
        <f t="shared" si="28"/>
        <v>17</v>
      </c>
      <c r="CH64">
        <f t="shared" si="29"/>
        <v>47</v>
      </c>
    </row>
    <row r="65" spans="1:86" x14ac:dyDescent="0.35">
      <c r="A65" s="27">
        <v>45064</v>
      </c>
      <c r="B65" s="5">
        <f>MONTH(Modelling_old[[#This Row],[Date]])</f>
        <v>5</v>
      </c>
      <c r="C65" s="25">
        <f t="shared" si="11"/>
        <v>2024</v>
      </c>
      <c r="D65" s="3">
        <f t="shared" si="12"/>
        <v>2023</v>
      </c>
      <c r="E65" s="3" t="s">
        <v>626</v>
      </c>
      <c r="F65" s="5" t="s">
        <v>626</v>
      </c>
      <c r="G65" s="102">
        <v>45047</v>
      </c>
      <c r="H65" s="5">
        <f t="shared" si="13"/>
        <v>31</v>
      </c>
      <c r="I65" s="5">
        <f t="shared" si="14"/>
        <v>5</v>
      </c>
      <c r="J65" s="4">
        <f t="shared" si="15"/>
        <v>52.258064516129032</v>
      </c>
      <c r="K65" s="4">
        <f>SUM($J$48:J65)</f>
        <v>940.64516129032256</v>
      </c>
      <c r="L65" s="4">
        <f>SUM($J$18:J65)</f>
        <v>2460.6451612903247</v>
      </c>
      <c r="M65" s="4">
        <f t="shared" si="16"/>
        <v>6.5290322580645164</v>
      </c>
      <c r="N65" s="4">
        <f>SUM($M$48:M65)</f>
        <v>117.52258064516131</v>
      </c>
      <c r="O65" s="4">
        <f>SUM($M$18:M65)</f>
        <v>316.22258064516109</v>
      </c>
      <c r="P65" s="9">
        <f t="shared" si="17"/>
        <v>0.69580830986168607</v>
      </c>
      <c r="Q65" s="26">
        <f t="shared" si="30"/>
        <v>0.69580830986168596</v>
      </c>
      <c r="R65" s="26">
        <f t="shared" si="30"/>
        <v>0.6764585910614821</v>
      </c>
      <c r="S65" s="9">
        <f t="shared" si="19"/>
        <v>0.18928978752151246</v>
      </c>
      <c r="T65" s="9">
        <f>K65/((COUNT($K$48:K65))*24*$Q$1)</f>
        <v>0.1892897875215124</v>
      </c>
      <c r="U65" s="28">
        <f>L65/((COUNT($L$18:L65))*24*$Q$1)</f>
        <v>0.18568704979605172</v>
      </c>
      <c r="V65" s="134">
        <v>11.5031</v>
      </c>
      <c r="Y65" s="27">
        <f t="shared" si="26"/>
        <v>45064</v>
      </c>
      <c r="Z65" s="5">
        <f>MONTH(Modelling_new[[#This Row],[Date]])</f>
        <v>5</v>
      </c>
      <c r="AA65" s="25">
        <f>YEAR(Y65)+IF(MONTH(Modelling_new[[#This Row],[Date]])&gt;=4,1,0)</f>
        <v>2024</v>
      </c>
      <c r="AB65" s="3">
        <f t="shared" si="20"/>
        <v>2023</v>
      </c>
      <c r="AC65" s="3" t="s">
        <v>626</v>
      </c>
      <c r="AD65" s="5" t="s">
        <v>626</v>
      </c>
      <c r="AE65" s="102">
        <v>45047</v>
      </c>
      <c r="AF65" s="5">
        <f t="shared" si="21"/>
        <v>31</v>
      </c>
      <c r="AG65" s="5">
        <f t="shared" si="22"/>
        <v>5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BD65" s="27">
        <f t="shared" si="27"/>
        <v>45064</v>
      </c>
      <c r="BE65" s="5">
        <f>MONTH(Modelling[[#This Row],[Date]])</f>
        <v>5</v>
      </c>
      <c r="BF65" s="25">
        <f>YEAR(BD65)+IF(MONTH(Modelling[[#This Row],[Date]])&gt;=4,1,0)</f>
        <v>2024</v>
      </c>
      <c r="BG65" s="3">
        <f t="shared" si="23"/>
        <v>2023</v>
      </c>
      <c r="BH65" s="3" t="s">
        <v>626</v>
      </c>
      <c r="BI65" s="5" t="s">
        <v>626</v>
      </c>
      <c r="BJ65" s="102">
        <v>45047</v>
      </c>
      <c r="BK65" s="5">
        <f t="shared" si="24"/>
        <v>31</v>
      </c>
      <c r="BL65" s="5">
        <f t="shared" si="25"/>
        <v>5</v>
      </c>
      <c r="BM65" s="4">
        <f>Modelling_old[[#This Row],[Target E_Grid daily
MWh]]+Modelling_new[[#This Row],[Target E_Grid daily
MWh]]</f>
        <v>52.258064516129032</v>
      </c>
      <c r="BN65" s="4">
        <f>Modelling_old[[#This Row],[Target E_Grid MTD
MWh]]+Modelling_new[[#This Row],[Target E_Grid MTD
MWh]]</f>
        <v>940.64516129032256</v>
      </c>
      <c r="BO65" s="4">
        <f>Modelling_old[[#This Row],[Target E_Grid YTD
MWh]]+Modelling_new[[#This Row],[Target E_Grid YTD
MWh]]</f>
        <v>2460.6451612903247</v>
      </c>
      <c r="BP6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65" s="4">
        <f>SUMIFS(Modelling[Target POA Daily (KWh/m2)],Modelling[Date],"&lt;="&amp;Modelling[[#This Row],[Date]],Modelling[Month Year],Modelling[[#This Row],[Month Year]])</f>
        <v>117.52258064516131</v>
      </c>
      <c r="BR65" s="4">
        <f>SUMIFS(Modelling[Target POA Daily (KWh/m2)],Modelling[Date],"&lt;="&amp;Modelling[[#This Row],[Date]],Modelling[Finacial Year],Modelling[[#This Row],[Finacial Year]])</f>
        <v>316.22258064516109</v>
      </c>
      <c r="BS65" s="9">
        <f>BM65/Modelling[[#This Row],[Comisined DC ]]/BP65</f>
        <v>0.69580830986168607</v>
      </c>
      <c r="BT65" s="9">
        <f>BN65/BQ65/Modelling[[#This Row],[Comisined DC ]]</f>
        <v>0.69580830986168596</v>
      </c>
      <c r="BU65" s="9">
        <f>BO65/BR65/Modelling[[#This Row],[Comisined DC ]]</f>
        <v>0.6764585910614821</v>
      </c>
      <c r="BV65" s="9">
        <f>BM65/(24*Modelling[[#This Row],[Comisined DC ]])</f>
        <v>0.18928978752151246</v>
      </c>
      <c r="BW65" s="9">
        <f>BN65/((COUNTIFS(Modelling[Date],"&lt;="&amp;Modelling[[#This Row],[Date]],Modelling[Month Year],Modelling[[#This Row],[Month Year]])*24*Modelling[[#This Row],[MTD DC Capcity]]))</f>
        <v>0.18928978752151249</v>
      </c>
      <c r="BX65" s="28">
        <f>BO65/((COUNTIFS(Modelling[Date],"&lt;="&amp;Modelling[[#This Row],[Date]],Modelling[Finacial Year],Modelling[[#This Row],[Finacial Year]])*24*Modelling[[#This Row],[MTD DC Capcity]]))</f>
        <v>0.18568704979605177</v>
      </c>
      <c r="BY65" s="4">
        <f>Modelling_old[[#This Row],[DC Capcity]]+Modelling_new[[#This Row],[Comisined DC ]]</f>
        <v>11.5031</v>
      </c>
      <c r="BZ65" s="4">
        <v>0</v>
      </c>
      <c r="CA65" s="4">
        <f>AVERAGEIFS(Modelling[[Comisined DC ]],Modelling[Date],"&lt;="&amp;Modelling[[#This Row],[Date]],Modelling[Month Year],Modelling[[#This Row],[Month Year]])</f>
        <v>11.503099999999996</v>
      </c>
      <c r="CB65" s="4">
        <f>AVERAGEIFS(Modelling[[Comisined DC ]],Modelling[Date],"&lt;="&amp;Modelling[[#This Row],[Date]],Modelling[Finacial Year],Modelling[[#This Row],[Finacial Year]])</f>
        <v>11.503100000000005</v>
      </c>
      <c r="CG65">
        <f t="shared" si="28"/>
        <v>18</v>
      </c>
      <c r="CH65">
        <f t="shared" si="29"/>
        <v>48</v>
      </c>
    </row>
    <row r="66" spans="1:86" x14ac:dyDescent="0.35">
      <c r="A66" s="27">
        <v>45065</v>
      </c>
      <c r="B66" s="5">
        <f>MONTH(Modelling_old[[#This Row],[Date]])</f>
        <v>5</v>
      </c>
      <c r="C66" s="25">
        <f t="shared" si="11"/>
        <v>2024</v>
      </c>
      <c r="D66" s="3">
        <f t="shared" si="12"/>
        <v>2023</v>
      </c>
      <c r="E66" s="3" t="s">
        <v>626</v>
      </c>
      <c r="F66" s="5" t="s">
        <v>626</v>
      </c>
      <c r="G66" s="102">
        <v>45047</v>
      </c>
      <c r="H66" s="5">
        <f t="shared" si="13"/>
        <v>31</v>
      </c>
      <c r="I66" s="5">
        <f t="shared" si="14"/>
        <v>5</v>
      </c>
      <c r="J66" s="4">
        <f t="shared" si="15"/>
        <v>52.258064516129032</v>
      </c>
      <c r="K66" s="4">
        <f>SUM($J$48:J66)</f>
        <v>992.90322580645159</v>
      </c>
      <c r="L66" s="4">
        <f>SUM($J$18:J66)</f>
        <v>2512.903225806454</v>
      </c>
      <c r="M66" s="4">
        <f t="shared" si="16"/>
        <v>6.5290322580645164</v>
      </c>
      <c r="N66" s="4">
        <f>SUM($M$48:M66)</f>
        <v>124.05161290322583</v>
      </c>
      <c r="O66" s="4">
        <f>SUM($M$18:M66)</f>
        <v>322.75161290322558</v>
      </c>
      <c r="P66" s="9">
        <f t="shared" si="17"/>
        <v>0.69580830986168607</v>
      </c>
      <c r="Q66" s="26">
        <f t="shared" si="30"/>
        <v>0.69580830986168596</v>
      </c>
      <c r="R66" s="26">
        <f t="shared" si="30"/>
        <v>0.67685002191164778</v>
      </c>
      <c r="S66" s="9">
        <f t="shared" si="19"/>
        <v>0.18928978752151246</v>
      </c>
      <c r="T66" s="9">
        <f>K66/((COUNT($K$48:K66))*24*$Q$1)</f>
        <v>0.18928978752151243</v>
      </c>
      <c r="U66" s="28">
        <f>L66/((COUNT($L$18:L66))*24*$Q$1)</f>
        <v>0.18576057505575502</v>
      </c>
      <c r="V66" s="134">
        <v>11.5031</v>
      </c>
      <c r="Y66" s="27">
        <f t="shared" si="26"/>
        <v>45065</v>
      </c>
      <c r="Z66" s="5">
        <f>MONTH(Modelling_new[[#This Row],[Date]])</f>
        <v>5</v>
      </c>
      <c r="AA66" s="25">
        <f>YEAR(Y66)+IF(MONTH(Modelling_new[[#This Row],[Date]])&gt;=4,1,0)</f>
        <v>2024</v>
      </c>
      <c r="AB66" s="3">
        <f t="shared" si="20"/>
        <v>2023</v>
      </c>
      <c r="AC66" s="3" t="s">
        <v>626</v>
      </c>
      <c r="AD66" s="5" t="s">
        <v>626</v>
      </c>
      <c r="AE66" s="102">
        <v>45047</v>
      </c>
      <c r="AF66" s="5">
        <f t="shared" si="21"/>
        <v>31</v>
      </c>
      <c r="AG66" s="5">
        <f t="shared" si="22"/>
        <v>5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BD66" s="27">
        <f t="shared" si="27"/>
        <v>45065</v>
      </c>
      <c r="BE66" s="5">
        <f>MONTH(Modelling[[#This Row],[Date]])</f>
        <v>5</v>
      </c>
      <c r="BF66" s="25">
        <f>YEAR(BD66)+IF(MONTH(Modelling[[#This Row],[Date]])&gt;=4,1,0)</f>
        <v>2024</v>
      </c>
      <c r="BG66" s="3">
        <f t="shared" si="23"/>
        <v>2023</v>
      </c>
      <c r="BH66" s="3" t="s">
        <v>626</v>
      </c>
      <c r="BI66" s="5" t="s">
        <v>626</v>
      </c>
      <c r="BJ66" s="102">
        <v>45047</v>
      </c>
      <c r="BK66" s="5">
        <f t="shared" si="24"/>
        <v>31</v>
      </c>
      <c r="BL66" s="5">
        <f t="shared" si="25"/>
        <v>5</v>
      </c>
      <c r="BM66" s="4">
        <f>Modelling_old[[#This Row],[Target E_Grid daily
MWh]]+Modelling_new[[#This Row],[Target E_Grid daily
MWh]]</f>
        <v>52.258064516129032</v>
      </c>
      <c r="BN66" s="4">
        <f>Modelling_old[[#This Row],[Target E_Grid MTD
MWh]]+Modelling_new[[#This Row],[Target E_Grid MTD
MWh]]</f>
        <v>992.90322580645159</v>
      </c>
      <c r="BO66" s="4">
        <f>Modelling_old[[#This Row],[Target E_Grid YTD
MWh]]+Modelling_new[[#This Row],[Target E_Grid YTD
MWh]]</f>
        <v>2512.903225806454</v>
      </c>
      <c r="BP6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66" s="4">
        <f>SUMIFS(Modelling[Target POA Daily (KWh/m2)],Modelling[Date],"&lt;="&amp;Modelling[[#This Row],[Date]],Modelling[Month Year],Modelling[[#This Row],[Month Year]])</f>
        <v>124.05161290322583</v>
      </c>
      <c r="BR66" s="4">
        <f>SUMIFS(Modelling[Target POA Daily (KWh/m2)],Modelling[Date],"&lt;="&amp;Modelling[[#This Row],[Date]],Modelling[Finacial Year],Modelling[[#This Row],[Finacial Year]])</f>
        <v>322.75161290322558</v>
      </c>
      <c r="BS66" s="9">
        <f>BM66/Modelling[[#This Row],[Comisined DC ]]/BP66</f>
        <v>0.69580830986168607</v>
      </c>
      <c r="BT66" s="9">
        <f>BN66/BQ66/Modelling[[#This Row],[Comisined DC ]]</f>
        <v>0.69580830986168596</v>
      </c>
      <c r="BU66" s="9">
        <f>BO66/BR66/Modelling[[#This Row],[Comisined DC ]]</f>
        <v>0.67685002191164778</v>
      </c>
      <c r="BV66" s="9">
        <f>BM66/(24*Modelling[[#This Row],[Comisined DC ]])</f>
        <v>0.18928978752151246</v>
      </c>
      <c r="BW66" s="9">
        <f>BN66/((COUNTIFS(Modelling[Date],"&lt;="&amp;Modelling[[#This Row],[Date]],Modelling[Month Year],Modelling[[#This Row],[Month Year]])*24*Modelling[[#This Row],[MTD DC Capcity]]))</f>
        <v>0.18928978752151249</v>
      </c>
      <c r="BX66" s="28">
        <f>BO66/((COUNTIFS(Modelling[Date],"&lt;="&amp;Modelling[[#This Row],[Date]],Modelling[Finacial Year],Modelling[[#This Row],[Finacial Year]])*24*Modelling[[#This Row],[MTD DC Capcity]]))</f>
        <v>0.18576057505575505</v>
      </c>
      <c r="BY66" s="4">
        <f>Modelling_old[[#This Row],[DC Capcity]]+Modelling_new[[#This Row],[Comisined DC ]]</f>
        <v>11.5031</v>
      </c>
      <c r="BZ66" s="4">
        <v>0</v>
      </c>
      <c r="CA66" s="4">
        <f>AVERAGEIFS(Modelling[[Comisined DC ]],Modelling[Date],"&lt;="&amp;Modelling[[#This Row],[Date]],Modelling[Month Year],Modelling[[#This Row],[Month Year]])</f>
        <v>11.503099999999996</v>
      </c>
      <c r="CB66" s="4">
        <f>AVERAGEIFS(Modelling[[Comisined DC ]],Modelling[Date],"&lt;="&amp;Modelling[[#This Row],[Date]],Modelling[Finacial Year],Modelling[[#This Row],[Finacial Year]])</f>
        <v>11.503100000000005</v>
      </c>
      <c r="CG66">
        <f t="shared" si="28"/>
        <v>19</v>
      </c>
      <c r="CH66">
        <f t="shared" si="29"/>
        <v>49</v>
      </c>
    </row>
    <row r="67" spans="1:86" x14ac:dyDescent="0.35">
      <c r="A67" s="27">
        <v>45066</v>
      </c>
      <c r="B67" s="5">
        <f>MONTH(Modelling_old[[#This Row],[Date]])</f>
        <v>5</v>
      </c>
      <c r="C67" s="25">
        <f t="shared" si="11"/>
        <v>2024</v>
      </c>
      <c r="D67" s="3">
        <f t="shared" si="12"/>
        <v>2023</v>
      </c>
      <c r="E67" s="3" t="s">
        <v>626</v>
      </c>
      <c r="F67" s="5" t="s">
        <v>626</v>
      </c>
      <c r="G67" s="102">
        <v>45047</v>
      </c>
      <c r="H67" s="5">
        <f t="shared" si="13"/>
        <v>31</v>
      </c>
      <c r="I67" s="5">
        <f t="shared" si="14"/>
        <v>5</v>
      </c>
      <c r="J67" s="4">
        <f t="shared" si="15"/>
        <v>52.258064516129032</v>
      </c>
      <c r="K67" s="4">
        <f>SUM($J$48:J67)</f>
        <v>1045.1612903225807</v>
      </c>
      <c r="L67" s="4">
        <f>SUM($J$18:J67)</f>
        <v>2565.1612903225832</v>
      </c>
      <c r="M67" s="4">
        <f t="shared" si="16"/>
        <v>6.5290322580645164</v>
      </c>
      <c r="N67" s="4">
        <f>SUM($M$48:M67)</f>
        <v>130.58064516129033</v>
      </c>
      <c r="O67" s="4">
        <f>SUM($M$18:M67)</f>
        <v>329.28064516129007</v>
      </c>
      <c r="P67" s="9">
        <f t="shared" si="17"/>
        <v>0.69580830986168607</v>
      </c>
      <c r="Q67" s="26">
        <f t="shared" si="30"/>
        <v>0.69580830986168607</v>
      </c>
      <c r="R67" s="26">
        <f t="shared" si="30"/>
        <v>0.67722593004776943</v>
      </c>
      <c r="S67" s="9">
        <f t="shared" si="19"/>
        <v>0.18928978752151246</v>
      </c>
      <c r="T67" s="9">
        <f>K67/((COUNT($K$48:K67))*24*$Q$1)</f>
        <v>0.18928978752151243</v>
      </c>
      <c r="U67" s="28">
        <f>L67/((COUNT($L$18:L67))*24*$Q$1)</f>
        <v>0.18583115930507019</v>
      </c>
      <c r="V67" s="134">
        <v>11.5031</v>
      </c>
      <c r="Y67" s="27">
        <f t="shared" si="26"/>
        <v>45066</v>
      </c>
      <c r="Z67" s="5">
        <f>MONTH(Modelling_new[[#This Row],[Date]])</f>
        <v>5</v>
      </c>
      <c r="AA67" s="25">
        <f>YEAR(Y67)+IF(MONTH(Modelling_new[[#This Row],[Date]])&gt;=4,1,0)</f>
        <v>2024</v>
      </c>
      <c r="AB67" s="3">
        <f t="shared" si="20"/>
        <v>2023</v>
      </c>
      <c r="AC67" s="3" t="s">
        <v>626</v>
      </c>
      <c r="AD67" s="5" t="s">
        <v>626</v>
      </c>
      <c r="AE67" s="102">
        <v>45047</v>
      </c>
      <c r="AF67" s="5">
        <f t="shared" si="21"/>
        <v>31</v>
      </c>
      <c r="AG67" s="5">
        <f t="shared" si="22"/>
        <v>5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BD67" s="27">
        <f t="shared" si="27"/>
        <v>45066</v>
      </c>
      <c r="BE67" s="5">
        <f>MONTH(Modelling[[#This Row],[Date]])</f>
        <v>5</v>
      </c>
      <c r="BF67" s="25">
        <f>YEAR(BD67)+IF(MONTH(Modelling[[#This Row],[Date]])&gt;=4,1,0)</f>
        <v>2024</v>
      </c>
      <c r="BG67" s="3">
        <f t="shared" si="23"/>
        <v>2023</v>
      </c>
      <c r="BH67" s="3" t="s">
        <v>626</v>
      </c>
      <c r="BI67" s="5" t="s">
        <v>626</v>
      </c>
      <c r="BJ67" s="102">
        <v>45047</v>
      </c>
      <c r="BK67" s="5">
        <f t="shared" si="24"/>
        <v>31</v>
      </c>
      <c r="BL67" s="5">
        <f t="shared" si="25"/>
        <v>5</v>
      </c>
      <c r="BM67" s="4">
        <f>Modelling_old[[#This Row],[Target E_Grid daily
MWh]]+Modelling_new[[#This Row],[Target E_Grid daily
MWh]]</f>
        <v>52.258064516129032</v>
      </c>
      <c r="BN67" s="4">
        <f>Modelling_old[[#This Row],[Target E_Grid MTD
MWh]]+Modelling_new[[#This Row],[Target E_Grid MTD
MWh]]</f>
        <v>1045.1612903225807</v>
      </c>
      <c r="BO67" s="4">
        <f>Modelling_old[[#This Row],[Target E_Grid YTD
MWh]]+Modelling_new[[#This Row],[Target E_Grid YTD
MWh]]</f>
        <v>2565.1612903225832</v>
      </c>
      <c r="BP6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67" s="4">
        <f>SUMIFS(Modelling[Target POA Daily (KWh/m2)],Modelling[Date],"&lt;="&amp;Modelling[[#This Row],[Date]],Modelling[Month Year],Modelling[[#This Row],[Month Year]])</f>
        <v>130.58064516129033</v>
      </c>
      <c r="BR67" s="4">
        <f>SUMIFS(Modelling[Target POA Daily (KWh/m2)],Modelling[Date],"&lt;="&amp;Modelling[[#This Row],[Date]],Modelling[Finacial Year],Modelling[[#This Row],[Finacial Year]])</f>
        <v>329.28064516129007</v>
      </c>
      <c r="BS67" s="9">
        <f>BM67/Modelling[[#This Row],[Comisined DC ]]/BP67</f>
        <v>0.69580830986168607</v>
      </c>
      <c r="BT67" s="9">
        <f>BN67/BQ67/Modelling[[#This Row],[Comisined DC ]]</f>
        <v>0.69580830986168607</v>
      </c>
      <c r="BU67" s="9">
        <f>BO67/BR67/Modelling[[#This Row],[Comisined DC ]]</f>
        <v>0.67722593004776943</v>
      </c>
      <c r="BV67" s="9">
        <f>BM67/(24*Modelling[[#This Row],[Comisined DC ]])</f>
        <v>0.18928978752151246</v>
      </c>
      <c r="BW67" s="9">
        <f>BN67/((COUNTIFS(Modelling[Date],"&lt;="&amp;Modelling[[#This Row],[Date]],Modelling[Month Year],Modelling[[#This Row],[Month Year]])*24*Modelling[[#This Row],[MTD DC Capcity]]))</f>
        <v>0.18928978752151251</v>
      </c>
      <c r="BX67" s="28">
        <f>BO67/((COUNTIFS(Modelling[Date],"&lt;="&amp;Modelling[[#This Row],[Date]],Modelling[Finacial Year],Modelling[[#This Row],[Finacial Year]])*24*Modelling[[#This Row],[MTD DC Capcity]]))</f>
        <v>0.18583115930507024</v>
      </c>
      <c r="BY67" s="4">
        <f>Modelling_old[[#This Row],[DC Capcity]]+Modelling_new[[#This Row],[Comisined DC ]]</f>
        <v>11.5031</v>
      </c>
      <c r="BZ67" s="4">
        <v>0</v>
      </c>
      <c r="CA67" s="4">
        <f>AVERAGEIFS(Modelling[[Comisined DC ]],Modelling[Date],"&lt;="&amp;Modelling[[#This Row],[Date]],Modelling[Month Year],Modelling[[#This Row],[Month Year]])</f>
        <v>11.503099999999996</v>
      </c>
      <c r="CB67" s="4">
        <f>AVERAGEIFS(Modelling[[Comisined DC ]],Modelling[Date],"&lt;="&amp;Modelling[[#This Row],[Date]],Modelling[Finacial Year],Modelling[[#This Row],[Finacial Year]])</f>
        <v>11.503100000000007</v>
      </c>
      <c r="CG67">
        <f t="shared" si="28"/>
        <v>20</v>
      </c>
      <c r="CH67">
        <f t="shared" si="29"/>
        <v>50</v>
      </c>
    </row>
    <row r="68" spans="1:86" x14ac:dyDescent="0.35">
      <c r="A68" s="27">
        <v>45067</v>
      </c>
      <c r="B68" s="5">
        <f>MONTH(Modelling_old[[#This Row],[Date]])</f>
        <v>5</v>
      </c>
      <c r="C68" s="25">
        <f t="shared" si="11"/>
        <v>2024</v>
      </c>
      <c r="D68" s="3">
        <f t="shared" si="12"/>
        <v>2023</v>
      </c>
      <c r="E68" s="3" t="s">
        <v>626</v>
      </c>
      <c r="F68" s="5" t="s">
        <v>626</v>
      </c>
      <c r="G68" s="102">
        <v>45047</v>
      </c>
      <c r="H68" s="5">
        <f t="shared" si="13"/>
        <v>31</v>
      </c>
      <c r="I68" s="5">
        <f t="shared" si="14"/>
        <v>5</v>
      </c>
      <c r="J68" s="4">
        <f t="shared" si="15"/>
        <v>52.258064516129032</v>
      </c>
      <c r="K68" s="4">
        <f>SUM($J$48:J68)</f>
        <v>1097.4193548387098</v>
      </c>
      <c r="L68" s="4">
        <f>SUM($J$18:J68)</f>
        <v>2617.4193548387125</v>
      </c>
      <c r="M68" s="4">
        <f t="shared" si="16"/>
        <v>6.5290322580645164</v>
      </c>
      <c r="N68" s="4">
        <f>SUM($M$48:M68)</f>
        <v>137.10967741935485</v>
      </c>
      <c r="O68" s="4">
        <f>SUM($M$18:M68)</f>
        <v>335.80967741935456</v>
      </c>
      <c r="P68" s="9">
        <f t="shared" si="17"/>
        <v>0.69580830986168607</v>
      </c>
      <c r="Q68" s="26">
        <f t="shared" si="30"/>
        <v>0.69580830986168607</v>
      </c>
      <c r="R68" s="26">
        <f t="shared" si="30"/>
        <v>0.67758722087824541</v>
      </c>
      <c r="S68" s="9">
        <f t="shared" si="19"/>
        <v>0.18928978752151246</v>
      </c>
      <c r="T68" s="9">
        <f>K68/((COUNT($K$48:K68))*24*$Q$1)</f>
        <v>0.18928978752151246</v>
      </c>
      <c r="U68" s="28">
        <f>L68/((COUNT($L$18:L68))*24*$Q$1)</f>
        <v>0.18589897554460827</v>
      </c>
      <c r="V68" s="134">
        <v>11.5031</v>
      </c>
      <c r="Y68" s="27">
        <f t="shared" si="26"/>
        <v>45067</v>
      </c>
      <c r="Z68" s="5">
        <f>MONTH(Modelling_new[[#This Row],[Date]])</f>
        <v>5</v>
      </c>
      <c r="AA68" s="25">
        <f>YEAR(Y68)+IF(MONTH(Modelling_new[[#This Row],[Date]])&gt;=4,1,0)</f>
        <v>2024</v>
      </c>
      <c r="AB68" s="3">
        <f t="shared" si="20"/>
        <v>2023</v>
      </c>
      <c r="AC68" s="3" t="s">
        <v>626</v>
      </c>
      <c r="AD68" s="5" t="s">
        <v>626</v>
      </c>
      <c r="AE68" s="102">
        <v>45047</v>
      </c>
      <c r="AF68" s="5">
        <f t="shared" si="21"/>
        <v>31</v>
      </c>
      <c r="AG68" s="5">
        <f t="shared" si="22"/>
        <v>5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BD68" s="27">
        <f t="shared" si="27"/>
        <v>45067</v>
      </c>
      <c r="BE68" s="5">
        <f>MONTH(Modelling[[#This Row],[Date]])</f>
        <v>5</v>
      </c>
      <c r="BF68" s="25">
        <f>YEAR(BD68)+IF(MONTH(Modelling[[#This Row],[Date]])&gt;=4,1,0)</f>
        <v>2024</v>
      </c>
      <c r="BG68" s="3">
        <f t="shared" si="23"/>
        <v>2023</v>
      </c>
      <c r="BH68" s="3" t="s">
        <v>626</v>
      </c>
      <c r="BI68" s="5" t="s">
        <v>626</v>
      </c>
      <c r="BJ68" s="102">
        <v>45047</v>
      </c>
      <c r="BK68" s="5">
        <f t="shared" si="24"/>
        <v>31</v>
      </c>
      <c r="BL68" s="5">
        <f t="shared" si="25"/>
        <v>5</v>
      </c>
      <c r="BM68" s="4">
        <f>Modelling_old[[#This Row],[Target E_Grid daily
MWh]]+Modelling_new[[#This Row],[Target E_Grid daily
MWh]]</f>
        <v>52.258064516129032</v>
      </c>
      <c r="BN68" s="4">
        <f>Modelling_old[[#This Row],[Target E_Grid MTD
MWh]]+Modelling_new[[#This Row],[Target E_Grid MTD
MWh]]</f>
        <v>1097.4193548387098</v>
      </c>
      <c r="BO68" s="4">
        <f>Modelling_old[[#This Row],[Target E_Grid YTD
MWh]]+Modelling_new[[#This Row],[Target E_Grid YTD
MWh]]</f>
        <v>2617.4193548387125</v>
      </c>
      <c r="BP6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68" s="4">
        <f>SUMIFS(Modelling[Target POA Daily (KWh/m2)],Modelling[Date],"&lt;="&amp;Modelling[[#This Row],[Date]],Modelling[Month Year],Modelling[[#This Row],[Month Year]])</f>
        <v>137.10967741935485</v>
      </c>
      <c r="BR68" s="4">
        <f>SUMIFS(Modelling[Target POA Daily (KWh/m2)],Modelling[Date],"&lt;="&amp;Modelling[[#This Row],[Date]],Modelling[Finacial Year],Modelling[[#This Row],[Finacial Year]])</f>
        <v>335.80967741935456</v>
      </c>
      <c r="BS68" s="9">
        <f>BM68/Modelling[[#This Row],[Comisined DC ]]/BP68</f>
        <v>0.69580830986168607</v>
      </c>
      <c r="BT68" s="9">
        <f>BN68/BQ68/Modelling[[#This Row],[Comisined DC ]]</f>
        <v>0.69580830986168607</v>
      </c>
      <c r="BU68" s="9">
        <f>BO68/BR68/Modelling[[#This Row],[Comisined DC ]]</f>
        <v>0.67758722087824541</v>
      </c>
      <c r="BV68" s="9">
        <f>BM68/(24*Modelling[[#This Row],[Comisined DC ]])</f>
        <v>0.18928978752151246</v>
      </c>
      <c r="BW68" s="9">
        <f>BN68/((COUNTIFS(Modelling[Date],"&lt;="&amp;Modelling[[#This Row],[Date]],Modelling[Month Year],Modelling[[#This Row],[Month Year]])*24*Modelling[[#This Row],[MTD DC Capcity]]))</f>
        <v>0.18928978752151251</v>
      </c>
      <c r="BX68" s="28">
        <f>BO68/((COUNTIFS(Modelling[Date],"&lt;="&amp;Modelling[[#This Row],[Date]],Modelling[Finacial Year],Modelling[[#This Row],[Finacial Year]])*24*Modelling[[#This Row],[MTD DC Capcity]]))</f>
        <v>0.18589897554460832</v>
      </c>
      <c r="BY68" s="4">
        <f>Modelling_old[[#This Row],[DC Capcity]]+Modelling_new[[#This Row],[Comisined DC ]]</f>
        <v>11.5031</v>
      </c>
      <c r="BZ68" s="4">
        <v>0</v>
      </c>
      <c r="CA68" s="4">
        <f>AVERAGEIFS(Modelling[[Comisined DC ]],Modelling[Date],"&lt;="&amp;Modelling[[#This Row],[Date]],Modelling[Month Year],Modelling[[#This Row],[Month Year]])</f>
        <v>11.503099999999996</v>
      </c>
      <c r="CB68" s="4">
        <f>AVERAGEIFS(Modelling[[Comisined DC ]],Modelling[Date],"&lt;="&amp;Modelling[[#This Row],[Date]],Modelling[Finacial Year],Modelling[[#This Row],[Finacial Year]])</f>
        <v>11.503100000000007</v>
      </c>
      <c r="CG68">
        <f t="shared" si="28"/>
        <v>21</v>
      </c>
      <c r="CH68">
        <f t="shared" si="29"/>
        <v>51</v>
      </c>
    </row>
    <row r="69" spans="1:86" x14ac:dyDescent="0.35">
      <c r="A69" s="27">
        <v>45068</v>
      </c>
      <c r="B69" s="5">
        <f>MONTH(Modelling_old[[#This Row],[Date]])</f>
        <v>5</v>
      </c>
      <c r="C69" s="25">
        <f t="shared" si="11"/>
        <v>2024</v>
      </c>
      <c r="D69" s="3">
        <f t="shared" si="12"/>
        <v>2023</v>
      </c>
      <c r="E69" s="3" t="s">
        <v>626</v>
      </c>
      <c r="F69" s="5" t="s">
        <v>626</v>
      </c>
      <c r="G69" s="102">
        <v>45047</v>
      </c>
      <c r="H69" s="5">
        <f t="shared" si="13"/>
        <v>31</v>
      </c>
      <c r="I69" s="5">
        <f t="shared" si="14"/>
        <v>5</v>
      </c>
      <c r="J69" s="4">
        <f t="shared" si="15"/>
        <v>52.258064516129032</v>
      </c>
      <c r="K69" s="4">
        <f>SUM($J$48:J69)</f>
        <v>1149.6774193548388</v>
      </c>
      <c r="L69" s="4">
        <f>SUM($J$18:J69)</f>
        <v>2669.6774193548417</v>
      </c>
      <c r="M69" s="4">
        <f t="shared" si="16"/>
        <v>6.5290322580645164</v>
      </c>
      <c r="N69" s="4">
        <f>SUM($M$48:M69)</f>
        <v>143.63870967741937</v>
      </c>
      <c r="O69" s="4">
        <f>SUM($M$18:M69)</f>
        <v>342.33870967741905</v>
      </c>
      <c r="P69" s="9">
        <f t="shared" si="17"/>
        <v>0.69580830986168607</v>
      </c>
      <c r="Q69" s="26">
        <f t="shared" si="30"/>
        <v>0.69580830986168607</v>
      </c>
      <c r="R69" s="26">
        <f t="shared" si="30"/>
        <v>0.67793473074022415</v>
      </c>
      <c r="S69" s="9">
        <f t="shared" si="19"/>
        <v>0.18928978752151246</v>
      </c>
      <c r="T69" s="9">
        <f>K69/((COUNT($K$48:K69))*24*$Q$1)</f>
        <v>0.18928978752151243</v>
      </c>
      <c r="U69" s="28">
        <f>L69/((COUNT($L$18:L69))*24*$Q$1)</f>
        <v>0.18596418346724106</v>
      </c>
      <c r="V69" s="134">
        <v>11.5031</v>
      </c>
      <c r="Y69" s="27">
        <f t="shared" si="26"/>
        <v>45068</v>
      </c>
      <c r="Z69" s="5">
        <f>MONTH(Modelling_new[[#This Row],[Date]])</f>
        <v>5</v>
      </c>
      <c r="AA69" s="25">
        <f>YEAR(Y69)+IF(MONTH(Modelling_new[[#This Row],[Date]])&gt;=4,1,0)</f>
        <v>2024</v>
      </c>
      <c r="AB69" s="3">
        <f t="shared" si="20"/>
        <v>2023</v>
      </c>
      <c r="AC69" s="3" t="s">
        <v>626</v>
      </c>
      <c r="AD69" s="5" t="s">
        <v>626</v>
      </c>
      <c r="AE69" s="102">
        <v>45047</v>
      </c>
      <c r="AF69" s="5">
        <f t="shared" si="21"/>
        <v>31</v>
      </c>
      <c r="AG69" s="5">
        <f t="shared" si="22"/>
        <v>5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BD69" s="27">
        <f t="shared" si="27"/>
        <v>45068</v>
      </c>
      <c r="BE69" s="5">
        <f>MONTH(Modelling[[#This Row],[Date]])</f>
        <v>5</v>
      </c>
      <c r="BF69" s="25">
        <f>YEAR(BD69)+IF(MONTH(Modelling[[#This Row],[Date]])&gt;=4,1,0)</f>
        <v>2024</v>
      </c>
      <c r="BG69" s="3">
        <f t="shared" si="23"/>
        <v>2023</v>
      </c>
      <c r="BH69" s="3" t="s">
        <v>626</v>
      </c>
      <c r="BI69" s="5" t="s">
        <v>626</v>
      </c>
      <c r="BJ69" s="102">
        <v>45047</v>
      </c>
      <c r="BK69" s="5">
        <f t="shared" si="24"/>
        <v>31</v>
      </c>
      <c r="BL69" s="5">
        <f t="shared" si="25"/>
        <v>5</v>
      </c>
      <c r="BM69" s="4">
        <f>Modelling_old[[#This Row],[Target E_Grid daily
MWh]]+Modelling_new[[#This Row],[Target E_Grid daily
MWh]]</f>
        <v>52.258064516129032</v>
      </c>
      <c r="BN69" s="4">
        <f>Modelling_old[[#This Row],[Target E_Grid MTD
MWh]]+Modelling_new[[#This Row],[Target E_Grid MTD
MWh]]</f>
        <v>1149.6774193548388</v>
      </c>
      <c r="BO69" s="4">
        <f>Modelling_old[[#This Row],[Target E_Grid YTD
MWh]]+Modelling_new[[#This Row],[Target E_Grid YTD
MWh]]</f>
        <v>2669.6774193548417</v>
      </c>
      <c r="BP6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69" s="4">
        <f>SUMIFS(Modelling[Target POA Daily (KWh/m2)],Modelling[Date],"&lt;="&amp;Modelling[[#This Row],[Date]],Modelling[Month Year],Modelling[[#This Row],[Month Year]])</f>
        <v>143.63870967741937</v>
      </c>
      <c r="BR69" s="4">
        <f>SUMIFS(Modelling[Target POA Daily (KWh/m2)],Modelling[Date],"&lt;="&amp;Modelling[[#This Row],[Date]],Modelling[Finacial Year],Modelling[[#This Row],[Finacial Year]])</f>
        <v>342.33870967741905</v>
      </c>
      <c r="BS69" s="9">
        <f>BM69/Modelling[[#This Row],[Comisined DC ]]/BP69</f>
        <v>0.69580830986168607</v>
      </c>
      <c r="BT69" s="9">
        <f>BN69/BQ69/Modelling[[#This Row],[Comisined DC ]]</f>
        <v>0.69580830986168607</v>
      </c>
      <c r="BU69" s="9">
        <f>BO69/BR69/Modelling[[#This Row],[Comisined DC ]]</f>
        <v>0.67793473074022415</v>
      </c>
      <c r="BV69" s="9">
        <f>BM69/(24*Modelling[[#This Row],[Comisined DC ]])</f>
        <v>0.18928978752151246</v>
      </c>
      <c r="BW69" s="9">
        <f>BN69/((COUNTIFS(Modelling[Date],"&lt;="&amp;Modelling[[#This Row],[Date]],Modelling[Month Year],Modelling[[#This Row],[Month Year]])*24*Modelling[[#This Row],[MTD DC Capcity]]))</f>
        <v>0.18928978752151249</v>
      </c>
      <c r="BX69" s="28">
        <f>BO69/((COUNTIFS(Modelling[Date],"&lt;="&amp;Modelling[[#This Row],[Date]],Modelling[Finacial Year],Modelling[[#This Row],[Finacial Year]])*24*Modelling[[#This Row],[MTD DC Capcity]]))</f>
        <v>0.18596418346724114</v>
      </c>
      <c r="BY69" s="4">
        <f>Modelling_old[[#This Row],[DC Capcity]]+Modelling_new[[#This Row],[Comisined DC ]]</f>
        <v>11.5031</v>
      </c>
      <c r="BZ69" s="4">
        <v>0</v>
      </c>
      <c r="CA69" s="4">
        <f>AVERAGEIFS(Modelling[[Comisined DC ]],Modelling[Date],"&lt;="&amp;Modelling[[#This Row],[Date]],Modelling[Month Year],Modelling[[#This Row],[Month Year]])</f>
        <v>11.503099999999996</v>
      </c>
      <c r="CB69" s="4">
        <f>AVERAGEIFS(Modelling[[Comisined DC ]],Modelling[Date],"&lt;="&amp;Modelling[[#This Row],[Date]],Modelling[Finacial Year],Modelling[[#This Row],[Finacial Year]])</f>
        <v>11.503100000000007</v>
      </c>
      <c r="CG69">
        <f t="shared" si="28"/>
        <v>22</v>
      </c>
      <c r="CH69">
        <f t="shared" si="29"/>
        <v>52</v>
      </c>
    </row>
    <row r="70" spans="1:86" x14ac:dyDescent="0.35">
      <c r="A70" s="27">
        <v>45069</v>
      </c>
      <c r="B70" s="5">
        <f>MONTH(Modelling_old[[#This Row],[Date]])</f>
        <v>5</v>
      </c>
      <c r="C70" s="25">
        <f t="shared" si="11"/>
        <v>2024</v>
      </c>
      <c r="D70" s="3">
        <f t="shared" si="12"/>
        <v>2023</v>
      </c>
      <c r="E70" s="3" t="s">
        <v>626</v>
      </c>
      <c r="F70" s="5" t="s">
        <v>626</v>
      </c>
      <c r="G70" s="102">
        <v>45047</v>
      </c>
      <c r="H70" s="5">
        <f t="shared" si="13"/>
        <v>31</v>
      </c>
      <c r="I70" s="5">
        <f t="shared" si="14"/>
        <v>5</v>
      </c>
      <c r="J70" s="4">
        <f t="shared" si="15"/>
        <v>52.258064516129032</v>
      </c>
      <c r="K70" s="4">
        <f>SUM($J$48:J70)</f>
        <v>1201.9354838709678</v>
      </c>
      <c r="L70" s="4">
        <f>SUM($J$18:J70)</f>
        <v>2721.935483870971</v>
      </c>
      <c r="M70" s="4">
        <f t="shared" si="16"/>
        <v>6.5290322580645164</v>
      </c>
      <c r="N70" s="4">
        <f>SUM($M$48:M70)</f>
        <v>150.16774193548389</v>
      </c>
      <c r="O70" s="4">
        <f>SUM($M$18:M70)</f>
        <v>348.86774193548354</v>
      </c>
      <c r="P70" s="9">
        <f t="shared" si="17"/>
        <v>0.69580830986168607</v>
      </c>
      <c r="Q70" s="26">
        <f t="shared" si="30"/>
        <v>0.69580830986168596</v>
      </c>
      <c r="R70" s="26">
        <f t="shared" si="30"/>
        <v>0.67826923336291922</v>
      </c>
      <c r="S70" s="9">
        <f t="shared" si="19"/>
        <v>0.18928978752151246</v>
      </c>
      <c r="T70" s="9">
        <f>K70/((COUNT($K$48:K70))*24*$Q$1)</f>
        <v>0.18928978752151246</v>
      </c>
      <c r="U70" s="28">
        <f>L70/((COUNT($L$18:L70))*24*$Q$1)</f>
        <v>0.18602693071354809</v>
      </c>
      <c r="V70" s="134">
        <v>11.5031</v>
      </c>
      <c r="Y70" s="27">
        <f t="shared" si="26"/>
        <v>45069</v>
      </c>
      <c r="Z70" s="5">
        <f>MONTH(Modelling_new[[#This Row],[Date]])</f>
        <v>5</v>
      </c>
      <c r="AA70" s="25">
        <f>YEAR(Y70)+IF(MONTH(Modelling_new[[#This Row],[Date]])&gt;=4,1,0)</f>
        <v>2024</v>
      </c>
      <c r="AB70" s="3">
        <f t="shared" si="20"/>
        <v>2023</v>
      </c>
      <c r="AC70" s="3" t="s">
        <v>626</v>
      </c>
      <c r="AD70" s="5" t="s">
        <v>626</v>
      </c>
      <c r="AE70" s="102">
        <v>45047</v>
      </c>
      <c r="AF70" s="5">
        <f t="shared" si="21"/>
        <v>31</v>
      </c>
      <c r="AG70" s="5">
        <f t="shared" si="22"/>
        <v>5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BD70" s="27">
        <f t="shared" si="27"/>
        <v>45069</v>
      </c>
      <c r="BE70" s="5">
        <f>MONTH(Modelling[[#This Row],[Date]])</f>
        <v>5</v>
      </c>
      <c r="BF70" s="25">
        <f>YEAR(BD70)+IF(MONTH(Modelling[[#This Row],[Date]])&gt;=4,1,0)</f>
        <v>2024</v>
      </c>
      <c r="BG70" s="3">
        <f t="shared" si="23"/>
        <v>2023</v>
      </c>
      <c r="BH70" s="3" t="s">
        <v>626</v>
      </c>
      <c r="BI70" s="5" t="s">
        <v>626</v>
      </c>
      <c r="BJ70" s="102">
        <v>45047</v>
      </c>
      <c r="BK70" s="5">
        <f t="shared" si="24"/>
        <v>31</v>
      </c>
      <c r="BL70" s="5">
        <f t="shared" si="25"/>
        <v>5</v>
      </c>
      <c r="BM70" s="4">
        <f>Modelling_old[[#This Row],[Target E_Grid daily
MWh]]+Modelling_new[[#This Row],[Target E_Grid daily
MWh]]</f>
        <v>52.258064516129032</v>
      </c>
      <c r="BN70" s="4">
        <f>Modelling_old[[#This Row],[Target E_Grid MTD
MWh]]+Modelling_new[[#This Row],[Target E_Grid MTD
MWh]]</f>
        <v>1201.9354838709678</v>
      </c>
      <c r="BO70" s="4">
        <f>Modelling_old[[#This Row],[Target E_Grid YTD
MWh]]+Modelling_new[[#This Row],[Target E_Grid YTD
MWh]]</f>
        <v>2721.935483870971</v>
      </c>
      <c r="BP7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70" s="4">
        <f>SUMIFS(Modelling[Target POA Daily (KWh/m2)],Modelling[Date],"&lt;="&amp;Modelling[[#This Row],[Date]],Modelling[Month Year],Modelling[[#This Row],[Month Year]])</f>
        <v>150.16774193548389</v>
      </c>
      <c r="BR70" s="4">
        <f>SUMIFS(Modelling[Target POA Daily (KWh/m2)],Modelling[Date],"&lt;="&amp;Modelling[[#This Row],[Date]],Modelling[Finacial Year],Modelling[[#This Row],[Finacial Year]])</f>
        <v>348.86774193548354</v>
      </c>
      <c r="BS70" s="9">
        <f>BM70/Modelling[[#This Row],[Comisined DC ]]/BP70</f>
        <v>0.69580830986168607</v>
      </c>
      <c r="BT70" s="9">
        <f>BN70/BQ70/Modelling[[#This Row],[Comisined DC ]]</f>
        <v>0.69580830986168596</v>
      </c>
      <c r="BU70" s="9">
        <f>BO70/BR70/Modelling[[#This Row],[Comisined DC ]]</f>
        <v>0.67826923336291922</v>
      </c>
      <c r="BV70" s="9">
        <f>BM70/(24*Modelling[[#This Row],[Comisined DC ]])</f>
        <v>0.18928978752151246</v>
      </c>
      <c r="BW70" s="9">
        <f>BN70/((COUNTIFS(Modelling[Date],"&lt;="&amp;Modelling[[#This Row],[Date]],Modelling[Month Year],Modelling[[#This Row],[Month Year]])*24*Modelling[[#This Row],[MTD DC Capcity]]))</f>
        <v>0.18928978752151254</v>
      </c>
      <c r="BX70" s="28">
        <f>BO70/((COUNTIFS(Modelling[Date],"&lt;="&amp;Modelling[[#This Row],[Date]],Modelling[Finacial Year],Modelling[[#This Row],[Finacial Year]])*24*Modelling[[#This Row],[MTD DC Capcity]]))</f>
        <v>0.18602693071354817</v>
      </c>
      <c r="BY70" s="4">
        <f>Modelling_old[[#This Row],[DC Capcity]]+Modelling_new[[#This Row],[Comisined DC ]]</f>
        <v>11.5031</v>
      </c>
      <c r="BZ70" s="4">
        <v>0</v>
      </c>
      <c r="CA70" s="4">
        <f>AVERAGEIFS(Modelling[[Comisined DC ]],Modelling[Date],"&lt;="&amp;Modelling[[#This Row],[Date]],Modelling[Month Year],Modelling[[#This Row],[Month Year]])</f>
        <v>11.503099999999995</v>
      </c>
      <c r="CB70" s="4">
        <f>AVERAGEIFS(Modelling[[Comisined DC ]],Modelling[Date],"&lt;="&amp;Modelling[[#This Row],[Date]],Modelling[Finacial Year],Modelling[[#This Row],[Finacial Year]])</f>
        <v>11.503100000000007</v>
      </c>
      <c r="CG70">
        <f t="shared" si="28"/>
        <v>23</v>
      </c>
      <c r="CH70">
        <f t="shared" si="29"/>
        <v>53</v>
      </c>
    </row>
    <row r="71" spans="1:86" x14ac:dyDescent="0.35">
      <c r="A71" s="27">
        <v>45070</v>
      </c>
      <c r="B71" s="5">
        <f>MONTH(Modelling_old[[#This Row],[Date]])</f>
        <v>5</v>
      </c>
      <c r="C71" s="25">
        <f t="shared" si="11"/>
        <v>2024</v>
      </c>
      <c r="D71" s="3">
        <f t="shared" si="12"/>
        <v>2023</v>
      </c>
      <c r="E71" s="3" t="s">
        <v>626</v>
      </c>
      <c r="F71" s="5" t="s">
        <v>626</v>
      </c>
      <c r="G71" s="102">
        <v>45047</v>
      </c>
      <c r="H71" s="5">
        <f t="shared" si="13"/>
        <v>31</v>
      </c>
      <c r="I71" s="5">
        <f t="shared" si="14"/>
        <v>5</v>
      </c>
      <c r="J71" s="4">
        <f t="shared" si="15"/>
        <v>52.258064516129032</v>
      </c>
      <c r="K71" s="4">
        <f>SUM($J$48:J71)</f>
        <v>1254.1935483870968</v>
      </c>
      <c r="L71" s="4">
        <f>SUM($J$18:J71)</f>
        <v>2774.1935483871002</v>
      </c>
      <c r="M71" s="4">
        <f t="shared" si="16"/>
        <v>6.5290322580645164</v>
      </c>
      <c r="N71" s="4">
        <f>SUM($M$48:M71)</f>
        <v>156.69677419354841</v>
      </c>
      <c r="O71" s="4">
        <f>SUM($M$18:M71)</f>
        <v>355.39677419354803</v>
      </c>
      <c r="P71" s="9">
        <f t="shared" si="17"/>
        <v>0.69580830986168607</v>
      </c>
      <c r="Q71" s="26">
        <f t="shared" si="30"/>
        <v>0.69580830986168596</v>
      </c>
      <c r="R71" s="26">
        <f t="shared" si="30"/>
        <v>0.67859144561849472</v>
      </c>
      <c r="S71" s="9">
        <f t="shared" si="19"/>
        <v>0.18928978752151246</v>
      </c>
      <c r="T71" s="9">
        <f>K71/((COUNT($K$48:K71))*24*$Q$1)</f>
        <v>0.18928978752151243</v>
      </c>
      <c r="U71" s="28">
        <f>L71/((COUNT($L$18:L71))*24*$Q$1)</f>
        <v>0.18608735398776965</v>
      </c>
      <c r="V71" s="134">
        <v>11.5031</v>
      </c>
      <c r="Y71" s="27">
        <f t="shared" si="26"/>
        <v>45070</v>
      </c>
      <c r="Z71" s="5">
        <f>MONTH(Modelling_new[[#This Row],[Date]])</f>
        <v>5</v>
      </c>
      <c r="AA71" s="25">
        <f>YEAR(Y71)+IF(MONTH(Modelling_new[[#This Row],[Date]])&gt;=4,1,0)</f>
        <v>2024</v>
      </c>
      <c r="AB71" s="3">
        <f t="shared" si="20"/>
        <v>2023</v>
      </c>
      <c r="AC71" s="3" t="s">
        <v>626</v>
      </c>
      <c r="AD71" s="5" t="s">
        <v>626</v>
      </c>
      <c r="AE71" s="102">
        <v>45047</v>
      </c>
      <c r="AF71" s="5">
        <f t="shared" si="21"/>
        <v>31</v>
      </c>
      <c r="AG71" s="5">
        <f t="shared" si="22"/>
        <v>5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BD71" s="27">
        <f t="shared" si="27"/>
        <v>45070</v>
      </c>
      <c r="BE71" s="5">
        <f>MONTH(Modelling[[#This Row],[Date]])</f>
        <v>5</v>
      </c>
      <c r="BF71" s="25">
        <f>YEAR(BD71)+IF(MONTH(Modelling[[#This Row],[Date]])&gt;=4,1,0)</f>
        <v>2024</v>
      </c>
      <c r="BG71" s="3">
        <f t="shared" si="23"/>
        <v>2023</v>
      </c>
      <c r="BH71" s="3" t="s">
        <v>626</v>
      </c>
      <c r="BI71" s="5" t="s">
        <v>626</v>
      </c>
      <c r="BJ71" s="102">
        <v>45047</v>
      </c>
      <c r="BK71" s="5">
        <f t="shared" si="24"/>
        <v>31</v>
      </c>
      <c r="BL71" s="5">
        <f t="shared" si="25"/>
        <v>5</v>
      </c>
      <c r="BM71" s="4">
        <f>Modelling_old[[#This Row],[Target E_Grid daily
MWh]]+Modelling_new[[#This Row],[Target E_Grid daily
MWh]]</f>
        <v>52.258064516129032</v>
      </c>
      <c r="BN71" s="4">
        <f>Modelling_old[[#This Row],[Target E_Grid MTD
MWh]]+Modelling_new[[#This Row],[Target E_Grid MTD
MWh]]</f>
        <v>1254.1935483870968</v>
      </c>
      <c r="BO71" s="4">
        <f>Modelling_old[[#This Row],[Target E_Grid YTD
MWh]]+Modelling_new[[#This Row],[Target E_Grid YTD
MWh]]</f>
        <v>2774.1935483871002</v>
      </c>
      <c r="BP7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71" s="4">
        <f>SUMIFS(Modelling[Target POA Daily (KWh/m2)],Modelling[Date],"&lt;="&amp;Modelling[[#This Row],[Date]],Modelling[Month Year],Modelling[[#This Row],[Month Year]])</f>
        <v>156.69677419354841</v>
      </c>
      <c r="BR71" s="4">
        <f>SUMIFS(Modelling[Target POA Daily (KWh/m2)],Modelling[Date],"&lt;="&amp;Modelling[[#This Row],[Date]],Modelling[Finacial Year],Modelling[[#This Row],[Finacial Year]])</f>
        <v>355.39677419354803</v>
      </c>
      <c r="BS71" s="9">
        <f>BM71/Modelling[[#This Row],[Comisined DC ]]/BP71</f>
        <v>0.69580830986168607</v>
      </c>
      <c r="BT71" s="9">
        <f>BN71/BQ71/Modelling[[#This Row],[Comisined DC ]]</f>
        <v>0.69580830986168596</v>
      </c>
      <c r="BU71" s="9">
        <f>BO71/BR71/Modelling[[#This Row],[Comisined DC ]]</f>
        <v>0.67859144561849472</v>
      </c>
      <c r="BV71" s="9">
        <f>BM71/(24*Modelling[[#This Row],[Comisined DC ]])</f>
        <v>0.18928978752151246</v>
      </c>
      <c r="BW71" s="9">
        <f>BN71/((COUNTIFS(Modelling[Date],"&lt;="&amp;Modelling[[#This Row],[Date]],Modelling[Month Year],Modelling[[#This Row],[Month Year]])*24*Modelling[[#This Row],[MTD DC Capcity]]))</f>
        <v>0.18928978752151251</v>
      </c>
      <c r="BX71" s="28">
        <f>BO71/((COUNTIFS(Modelling[Date],"&lt;="&amp;Modelling[[#This Row],[Date]],Modelling[Finacial Year],Modelling[[#This Row],[Finacial Year]])*24*Modelling[[#This Row],[MTD DC Capcity]]))</f>
        <v>0.18608735398776971</v>
      </c>
      <c r="BY71" s="4">
        <f>Modelling_old[[#This Row],[DC Capcity]]+Modelling_new[[#This Row],[Comisined DC ]]</f>
        <v>11.5031</v>
      </c>
      <c r="BZ71" s="4">
        <v>0</v>
      </c>
      <c r="CA71" s="4">
        <f>AVERAGEIFS(Modelling[[Comisined DC ]],Modelling[Date],"&lt;="&amp;Modelling[[#This Row],[Date]],Modelling[Month Year],Modelling[[#This Row],[Month Year]])</f>
        <v>11.503099999999996</v>
      </c>
      <c r="CB71" s="4">
        <f>AVERAGEIFS(Modelling[[Comisined DC ]],Modelling[Date],"&lt;="&amp;Modelling[[#This Row],[Date]],Modelling[Finacial Year],Modelling[[#This Row],[Finacial Year]])</f>
        <v>11.503100000000007</v>
      </c>
      <c r="CG71">
        <f t="shared" si="28"/>
        <v>24</v>
      </c>
      <c r="CH71">
        <f t="shared" si="29"/>
        <v>54</v>
      </c>
    </row>
    <row r="72" spans="1:86" x14ac:dyDescent="0.35">
      <c r="A72" s="27">
        <v>45071</v>
      </c>
      <c r="B72" s="5">
        <f>MONTH(Modelling_old[[#This Row],[Date]])</f>
        <v>5</v>
      </c>
      <c r="C72" s="25">
        <f t="shared" si="11"/>
        <v>2024</v>
      </c>
      <c r="D72" s="3">
        <f t="shared" si="12"/>
        <v>2023</v>
      </c>
      <c r="E72" s="3" t="s">
        <v>626</v>
      </c>
      <c r="F72" s="5" t="s">
        <v>626</v>
      </c>
      <c r="G72" s="102">
        <v>45047</v>
      </c>
      <c r="H72" s="5">
        <f t="shared" si="13"/>
        <v>31</v>
      </c>
      <c r="I72" s="5">
        <f t="shared" si="14"/>
        <v>5</v>
      </c>
      <c r="J72" s="4">
        <f t="shared" si="15"/>
        <v>52.258064516129032</v>
      </c>
      <c r="K72" s="4">
        <f>SUM($J$48:J72)</f>
        <v>1306.4516129032259</v>
      </c>
      <c r="L72" s="4">
        <f>SUM($J$18:J72)</f>
        <v>2826.4516129032295</v>
      </c>
      <c r="M72" s="4">
        <f t="shared" si="16"/>
        <v>6.5290322580645164</v>
      </c>
      <c r="N72" s="4">
        <f>SUM($M$48:M72)</f>
        <v>163.22580645161293</v>
      </c>
      <c r="O72" s="4">
        <f>SUM($M$18:M72)</f>
        <v>361.92580645161252</v>
      </c>
      <c r="P72" s="9">
        <f t="shared" si="17"/>
        <v>0.69580830986168607</v>
      </c>
      <c r="Q72" s="26">
        <f t="shared" si="30"/>
        <v>0.69580830986168596</v>
      </c>
      <c r="R72" s="26">
        <f t="shared" si="30"/>
        <v>0.6789020326504851</v>
      </c>
      <c r="S72" s="9">
        <f t="shared" si="19"/>
        <v>0.18928978752151246</v>
      </c>
      <c r="T72" s="9">
        <f>K72/((COUNT($K$48:K72))*24*$Q$1)</f>
        <v>0.18928978752151246</v>
      </c>
      <c r="U72" s="28">
        <f>L72/((COUNT($L$18:L72))*24*$Q$1)</f>
        <v>0.18614558005201953</v>
      </c>
      <c r="V72" s="134">
        <v>11.5031</v>
      </c>
      <c r="Y72" s="27">
        <f t="shared" si="26"/>
        <v>45071</v>
      </c>
      <c r="Z72" s="5">
        <f>MONTH(Modelling_new[[#This Row],[Date]])</f>
        <v>5</v>
      </c>
      <c r="AA72" s="25">
        <f>YEAR(Y72)+IF(MONTH(Modelling_new[[#This Row],[Date]])&gt;=4,1,0)</f>
        <v>2024</v>
      </c>
      <c r="AB72" s="3">
        <f t="shared" si="20"/>
        <v>2023</v>
      </c>
      <c r="AC72" s="3" t="s">
        <v>626</v>
      </c>
      <c r="AD72" s="5" t="s">
        <v>626</v>
      </c>
      <c r="AE72" s="102">
        <v>45047</v>
      </c>
      <c r="AF72" s="5">
        <f t="shared" si="21"/>
        <v>31</v>
      </c>
      <c r="AG72" s="5">
        <f t="shared" si="22"/>
        <v>5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BD72" s="27">
        <f t="shared" si="27"/>
        <v>45071</v>
      </c>
      <c r="BE72" s="5">
        <f>MONTH(Modelling[[#This Row],[Date]])</f>
        <v>5</v>
      </c>
      <c r="BF72" s="25">
        <f>YEAR(BD72)+IF(MONTH(Modelling[[#This Row],[Date]])&gt;=4,1,0)</f>
        <v>2024</v>
      </c>
      <c r="BG72" s="3">
        <f t="shared" si="23"/>
        <v>2023</v>
      </c>
      <c r="BH72" s="3" t="s">
        <v>626</v>
      </c>
      <c r="BI72" s="5" t="s">
        <v>626</v>
      </c>
      <c r="BJ72" s="102">
        <v>45047</v>
      </c>
      <c r="BK72" s="5">
        <f t="shared" si="24"/>
        <v>31</v>
      </c>
      <c r="BL72" s="5">
        <f t="shared" si="25"/>
        <v>5</v>
      </c>
      <c r="BM72" s="4">
        <f>Modelling_old[[#This Row],[Target E_Grid daily
MWh]]+Modelling_new[[#This Row],[Target E_Grid daily
MWh]]</f>
        <v>52.258064516129032</v>
      </c>
      <c r="BN72" s="4">
        <f>Modelling_old[[#This Row],[Target E_Grid MTD
MWh]]+Modelling_new[[#This Row],[Target E_Grid MTD
MWh]]</f>
        <v>1306.4516129032259</v>
      </c>
      <c r="BO72" s="4">
        <f>Modelling_old[[#This Row],[Target E_Grid YTD
MWh]]+Modelling_new[[#This Row],[Target E_Grid YTD
MWh]]</f>
        <v>2826.4516129032295</v>
      </c>
      <c r="BP7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72" s="4">
        <f>SUMIFS(Modelling[Target POA Daily (KWh/m2)],Modelling[Date],"&lt;="&amp;Modelling[[#This Row],[Date]],Modelling[Month Year],Modelling[[#This Row],[Month Year]])</f>
        <v>163.22580645161293</v>
      </c>
      <c r="BR72" s="4">
        <f>SUMIFS(Modelling[Target POA Daily (KWh/m2)],Modelling[Date],"&lt;="&amp;Modelling[[#This Row],[Date]],Modelling[Finacial Year],Modelling[[#This Row],[Finacial Year]])</f>
        <v>361.92580645161252</v>
      </c>
      <c r="BS72" s="9">
        <f>BM72/Modelling[[#This Row],[Comisined DC ]]/BP72</f>
        <v>0.69580830986168607</v>
      </c>
      <c r="BT72" s="9">
        <f>BN72/BQ72/Modelling[[#This Row],[Comisined DC ]]</f>
        <v>0.69580830986168596</v>
      </c>
      <c r="BU72" s="9">
        <f>BO72/BR72/Modelling[[#This Row],[Comisined DC ]]</f>
        <v>0.6789020326504851</v>
      </c>
      <c r="BV72" s="9">
        <f>BM72/(24*Modelling[[#This Row],[Comisined DC ]])</f>
        <v>0.18928978752151246</v>
      </c>
      <c r="BW72" s="9">
        <f>BN72/((COUNTIFS(Modelling[Date],"&lt;="&amp;Modelling[[#This Row],[Date]],Modelling[Month Year],Modelling[[#This Row],[Month Year]])*24*Modelling[[#This Row],[MTD DC Capcity]]))</f>
        <v>0.18928978752151249</v>
      </c>
      <c r="BX72" s="28">
        <f>BO72/((COUNTIFS(Modelling[Date],"&lt;="&amp;Modelling[[#This Row],[Date]],Modelling[Finacial Year],Modelling[[#This Row],[Finacial Year]])*24*Modelling[[#This Row],[MTD DC Capcity]]))</f>
        <v>0.18614558005201959</v>
      </c>
      <c r="BY72" s="4">
        <f>Modelling_old[[#This Row],[DC Capcity]]+Modelling_new[[#This Row],[Comisined DC ]]</f>
        <v>11.5031</v>
      </c>
      <c r="BZ72" s="4">
        <v>0</v>
      </c>
      <c r="CA72" s="4">
        <f>AVERAGEIFS(Modelling[[Comisined DC ]],Modelling[Date],"&lt;="&amp;Modelling[[#This Row],[Date]],Modelling[Month Year],Modelling[[#This Row],[Month Year]])</f>
        <v>11.503099999999996</v>
      </c>
      <c r="CB72" s="4">
        <f>AVERAGEIFS(Modelling[[Comisined DC ]],Modelling[Date],"&lt;="&amp;Modelling[[#This Row],[Date]],Modelling[Finacial Year],Modelling[[#This Row],[Finacial Year]])</f>
        <v>11.503100000000007</v>
      </c>
      <c r="CG72">
        <f t="shared" si="28"/>
        <v>25</v>
      </c>
      <c r="CH72">
        <f t="shared" si="29"/>
        <v>55</v>
      </c>
    </row>
    <row r="73" spans="1:86" x14ac:dyDescent="0.35">
      <c r="A73" s="27">
        <v>45072</v>
      </c>
      <c r="B73" s="5">
        <f>MONTH(Modelling_old[[#This Row],[Date]])</f>
        <v>5</v>
      </c>
      <c r="C73" s="25">
        <f t="shared" si="11"/>
        <v>2024</v>
      </c>
      <c r="D73" s="3">
        <f t="shared" si="12"/>
        <v>2023</v>
      </c>
      <c r="E73" s="3" t="s">
        <v>626</v>
      </c>
      <c r="F73" s="5" t="s">
        <v>626</v>
      </c>
      <c r="G73" s="102">
        <v>45047</v>
      </c>
      <c r="H73" s="5">
        <f t="shared" si="13"/>
        <v>31</v>
      </c>
      <c r="I73" s="5">
        <f t="shared" si="14"/>
        <v>5</v>
      </c>
      <c r="J73" s="4">
        <f t="shared" si="15"/>
        <v>52.258064516129032</v>
      </c>
      <c r="K73" s="4">
        <f>SUM($J$48:J73)</f>
        <v>1358.7096774193549</v>
      </c>
      <c r="L73" s="4">
        <f>SUM($J$18:J73)</f>
        <v>2878.7096774193587</v>
      </c>
      <c r="M73" s="4">
        <f t="shared" si="16"/>
        <v>6.5290322580645164</v>
      </c>
      <c r="N73" s="4">
        <f>SUM($M$48:M73)</f>
        <v>169.75483870967744</v>
      </c>
      <c r="O73" s="4">
        <f>SUM($M$18:M73)</f>
        <v>368.45483870967701</v>
      </c>
      <c r="P73" s="9">
        <f t="shared" si="17"/>
        <v>0.69580830986168607</v>
      </c>
      <c r="Q73" s="26">
        <f t="shared" si="30"/>
        <v>0.69580830986168596</v>
      </c>
      <c r="R73" s="26">
        <f t="shared" si="30"/>
        <v>0.67920161245696098</v>
      </c>
      <c r="S73" s="9">
        <f t="shared" si="19"/>
        <v>0.18928978752151246</v>
      </c>
      <c r="T73" s="9">
        <f>K73/((COUNT($K$48:K73))*24*$Q$1)</f>
        <v>0.18928978752151243</v>
      </c>
      <c r="U73" s="28">
        <f>L73/((COUNT($L$18:L73))*24*$Q$1)</f>
        <v>0.18620172661397477</v>
      </c>
      <c r="V73" s="134">
        <v>11.5031</v>
      </c>
      <c r="Y73" s="27">
        <f t="shared" si="26"/>
        <v>45072</v>
      </c>
      <c r="Z73" s="5">
        <f>MONTH(Modelling_new[[#This Row],[Date]])</f>
        <v>5</v>
      </c>
      <c r="AA73" s="25">
        <f>YEAR(Y73)+IF(MONTH(Modelling_new[[#This Row],[Date]])&gt;=4,1,0)</f>
        <v>2024</v>
      </c>
      <c r="AB73" s="3">
        <f t="shared" si="20"/>
        <v>2023</v>
      </c>
      <c r="AC73" s="3" t="s">
        <v>626</v>
      </c>
      <c r="AD73" s="5" t="s">
        <v>626</v>
      </c>
      <c r="AE73" s="102">
        <v>45047</v>
      </c>
      <c r="AF73" s="5">
        <f t="shared" si="21"/>
        <v>31</v>
      </c>
      <c r="AG73" s="5">
        <f t="shared" si="22"/>
        <v>5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BD73" s="27">
        <f t="shared" si="27"/>
        <v>45072</v>
      </c>
      <c r="BE73" s="5">
        <f>MONTH(Modelling[[#This Row],[Date]])</f>
        <v>5</v>
      </c>
      <c r="BF73" s="25">
        <f>YEAR(BD73)+IF(MONTH(Modelling[[#This Row],[Date]])&gt;=4,1,0)</f>
        <v>2024</v>
      </c>
      <c r="BG73" s="3">
        <f t="shared" si="23"/>
        <v>2023</v>
      </c>
      <c r="BH73" s="3" t="s">
        <v>626</v>
      </c>
      <c r="BI73" s="5" t="s">
        <v>626</v>
      </c>
      <c r="BJ73" s="102">
        <v>45047</v>
      </c>
      <c r="BK73" s="5">
        <f t="shared" si="24"/>
        <v>31</v>
      </c>
      <c r="BL73" s="5">
        <f t="shared" si="25"/>
        <v>5</v>
      </c>
      <c r="BM73" s="4">
        <f>Modelling_old[[#This Row],[Target E_Grid daily
MWh]]+Modelling_new[[#This Row],[Target E_Grid daily
MWh]]</f>
        <v>52.258064516129032</v>
      </c>
      <c r="BN73" s="4">
        <f>Modelling_old[[#This Row],[Target E_Grid MTD
MWh]]+Modelling_new[[#This Row],[Target E_Grid MTD
MWh]]</f>
        <v>1358.7096774193549</v>
      </c>
      <c r="BO73" s="4">
        <f>Modelling_old[[#This Row],[Target E_Grid YTD
MWh]]+Modelling_new[[#This Row],[Target E_Grid YTD
MWh]]</f>
        <v>2878.7096774193587</v>
      </c>
      <c r="BP7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73" s="4">
        <f>SUMIFS(Modelling[Target POA Daily (KWh/m2)],Modelling[Date],"&lt;="&amp;Modelling[[#This Row],[Date]],Modelling[Month Year],Modelling[[#This Row],[Month Year]])</f>
        <v>169.75483870967744</v>
      </c>
      <c r="BR73" s="4">
        <f>SUMIFS(Modelling[Target POA Daily (KWh/m2)],Modelling[Date],"&lt;="&amp;Modelling[[#This Row],[Date]],Modelling[Finacial Year],Modelling[[#This Row],[Finacial Year]])</f>
        <v>368.45483870967701</v>
      </c>
      <c r="BS73" s="9">
        <f>BM73/Modelling[[#This Row],[Comisined DC ]]/BP73</f>
        <v>0.69580830986168607</v>
      </c>
      <c r="BT73" s="9">
        <f>BN73/BQ73/Modelling[[#This Row],[Comisined DC ]]</f>
        <v>0.69580830986168596</v>
      </c>
      <c r="BU73" s="9">
        <f>BO73/BR73/Modelling[[#This Row],[Comisined DC ]]</f>
        <v>0.67920161245696098</v>
      </c>
      <c r="BV73" s="9">
        <f>BM73/(24*Modelling[[#This Row],[Comisined DC ]])</f>
        <v>0.18928978752151246</v>
      </c>
      <c r="BW73" s="9">
        <f>BN73/((COUNTIFS(Modelling[Date],"&lt;="&amp;Modelling[[#This Row],[Date]],Modelling[Month Year],Modelling[[#This Row],[Month Year]])*24*Modelling[[#This Row],[MTD DC Capcity]]))</f>
        <v>0.18928978752151246</v>
      </c>
      <c r="BX73" s="28">
        <f>BO73/((COUNTIFS(Modelling[Date],"&lt;="&amp;Modelling[[#This Row],[Date]],Modelling[Finacial Year],Modelling[[#This Row],[Finacial Year]])*24*Modelling[[#This Row],[MTD DC Capcity]]))</f>
        <v>0.1862017266139748</v>
      </c>
      <c r="BY73" s="4">
        <f>Modelling_old[[#This Row],[DC Capcity]]+Modelling_new[[#This Row],[Comisined DC ]]</f>
        <v>11.5031</v>
      </c>
      <c r="BZ73" s="4">
        <v>0</v>
      </c>
      <c r="CA73" s="4">
        <f>AVERAGEIFS(Modelling[[Comisined DC ]],Modelling[Date],"&lt;="&amp;Modelling[[#This Row],[Date]],Modelling[Month Year],Modelling[[#This Row],[Month Year]])</f>
        <v>11.503099999999998</v>
      </c>
      <c r="CB73" s="4">
        <f>AVERAGEIFS(Modelling[[Comisined DC ]],Modelling[Date],"&lt;="&amp;Modelling[[#This Row],[Date]],Modelling[Finacial Year],Modelling[[#This Row],[Finacial Year]])</f>
        <v>11.503100000000007</v>
      </c>
      <c r="CG73">
        <f t="shared" si="28"/>
        <v>26</v>
      </c>
      <c r="CH73">
        <f t="shared" si="29"/>
        <v>56</v>
      </c>
    </row>
    <row r="74" spans="1:86" x14ac:dyDescent="0.35">
      <c r="A74" s="27">
        <v>45073</v>
      </c>
      <c r="B74" s="5">
        <f>MONTH(Modelling_old[[#This Row],[Date]])</f>
        <v>5</v>
      </c>
      <c r="C74" s="25">
        <f t="shared" si="11"/>
        <v>2024</v>
      </c>
      <c r="D74" s="3">
        <f t="shared" si="12"/>
        <v>2023</v>
      </c>
      <c r="E74" s="3" t="s">
        <v>626</v>
      </c>
      <c r="F74" s="5" t="s">
        <v>626</v>
      </c>
      <c r="G74" s="102">
        <v>45047</v>
      </c>
      <c r="H74" s="5">
        <f t="shared" si="13"/>
        <v>31</v>
      </c>
      <c r="I74" s="5">
        <f t="shared" si="14"/>
        <v>5</v>
      </c>
      <c r="J74" s="4">
        <f t="shared" si="15"/>
        <v>52.258064516129032</v>
      </c>
      <c r="K74" s="4">
        <f>SUM($J$48:J74)</f>
        <v>1410.9677419354839</v>
      </c>
      <c r="L74" s="4">
        <f>SUM($J$18:J74)</f>
        <v>2930.967741935488</v>
      </c>
      <c r="M74" s="4">
        <f t="shared" si="16"/>
        <v>6.5290322580645164</v>
      </c>
      <c r="N74" s="4">
        <f>SUM($M$48:M74)</f>
        <v>176.28387096774196</v>
      </c>
      <c r="O74" s="4">
        <f>SUM($M$18:M74)</f>
        <v>374.9838709677415</v>
      </c>
      <c r="P74" s="9">
        <f t="shared" si="17"/>
        <v>0.69580830986168607</v>
      </c>
      <c r="Q74" s="26">
        <f t="shared" si="30"/>
        <v>0.69580830986168596</v>
      </c>
      <c r="R74" s="26">
        <f t="shared" si="30"/>
        <v>0.67949075999489539</v>
      </c>
      <c r="S74" s="9">
        <f t="shared" si="19"/>
        <v>0.18928978752151246</v>
      </c>
      <c r="T74" s="9">
        <f>K74/((COUNT($K$48:K74))*24*$Q$1)</f>
        <v>0.18928978752151246</v>
      </c>
      <c r="U74" s="28">
        <f>L74/((COUNT($L$18:L74))*24*$Q$1)</f>
        <v>0.18625590312112458</v>
      </c>
      <c r="V74" s="134">
        <v>11.5031</v>
      </c>
      <c r="Y74" s="27">
        <f t="shared" si="26"/>
        <v>45073</v>
      </c>
      <c r="Z74" s="5">
        <f>MONTH(Modelling_new[[#This Row],[Date]])</f>
        <v>5</v>
      </c>
      <c r="AA74" s="25">
        <f>YEAR(Y74)+IF(MONTH(Modelling_new[[#This Row],[Date]])&gt;=4,1,0)</f>
        <v>2024</v>
      </c>
      <c r="AB74" s="3">
        <f t="shared" si="20"/>
        <v>2023</v>
      </c>
      <c r="AC74" s="3" t="s">
        <v>626</v>
      </c>
      <c r="AD74" s="5" t="s">
        <v>626</v>
      </c>
      <c r="AE74" s="102">
        <v>45047</v>
      </c>
      <c r="AF74" s="5">
        <f t="shared" si="21"/>
        <v>31</v>
      </c>
      <c r="AG74" s="5">
        <f t="shared" si="22"/>
        <v>5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BD74" s="27">
        <f t="shared" si="27"/>
        <v>45073</v>
      </c>
      <c r="BE74" s="5">
        <f>MONTH(Modelling[[#This Row],[Date]])</f>
        <v>5</v>
      </c>
      <c r="BF74" s="25">
        <f>YEAR(BD74)+IF(MONTH(Modelling[[#This Row],[Date]])&gt;=4,1,0)</f>
        <v>2024</v>
      </c>
      <c r="BG74" s="3">
        <f t="shared" si="23"/>
        <v>2023</v>
      </c>
      <c r="BH74" s="3" t="s">
        <v>626</v>
      </c>
      <c r="BI74" s="5" t="s">
        <v>626</v>
      </c>
      <c r="BJ74" s="102">
        <v>45047</v>
      </c>
      <c r="BK74" s="5">
        <f t="shared" si="24"/>
        <v>31</v>
      </c>
      <c r="BL74" s="5">
        <f t="shared" si="25"/>
        <v>5</v>
      </c>
      <c r="BM74" s="4">
        <f>Modelling_old[[#This Row],[Target E_Grid daily
MWh]]+Modelling_new[[#This Row],[Target E_Grid daily
MWh]]</f>
        <v>52.258064516129032</v>
      </c>
      <c r="BN74" s="4">
        <f>Modelling_old[[#This Row],[Target E_Grid MTD
MWh]]+Modelling_new[[#This Row],[Target E_Grid MTD
MWh]]</f>
        <v>1410.9677419354839</v>
      </c>
      <c r="BO74" s="4">
        <f>Modelling_old[[#This Row],[Target E_Grid YTD
MWh]]+Modelling_new[[#This Row],[Target E_Grid YTD
MWh]]</f>
        <v>2930.967741935488</v>
      </c>
      <c r="BP7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74" s="4">
        <f>SUMIFS(Modelling[Target POA Daily (KWh/m2)],Modelling[Date],"&lt;="&amp;Modelling[[#This Row],[Date]],Modelling[Month Year],Modelling[[#This Row],[Month Year]])</f>
        <v>176.28387096774196</v>
      </c>
      <c r="BR74" s="4">
        <f>SUMIFS(Modelling[Target POA Daily (KWh/m2)],Modelling[Date],"&lt;="&amp;Modelling[[#This Row],[Date]],Modelling[Finacial Year],Modelling[[#This Row],[Finacial Year]])</f>
        <v>374.9838709677415</v>
      </c>
      <c r="BS74" s="9">
        <f>BM74/Modelling[[#This Row],[Comisined DC ]]/BP74</f>
        <v>0.69580830986168607</v>
      </c>
      <c r="BT74" s="9">
        <f>BN74/BQ74/Modelling[[#This Row],[Comisined DC ]]</f>
        <v>0.69580830986168596</v>
      </c>
      <c r="BU74" s="9">
        <f>BO74/BR74/Modelling[[#This Row],[Comisined DC ]]</f>
        <v>0.67949075999489539</v>
      </c>
      <c r="BV74" s="9">
        <f>BM74/(24*Modelling[[#This Row],[Comisined DC ]])</f>
        <v>0.18928978752151246</v>
      </c>
      <c r="BW74" s="9">
        <f>BN74/((COUNTIFS(Modelling[Date],"&lt;="&amp;Modelling[[#This Row],[Date]],Modelling[Month Year],Modelling[[#This Row],[Month Year]])*24*Modelling[[#This Row],[MTD DC Capcity]]))</f>
        <v>0.18928978752151246</v>
      </c>
      <c r="BX74" s="28">
        <f>BO74/((COUNTIFS(Modelling[Date],"&lt;="&amp;Modelling[[#This Row],[Date]],Modelling[Finacial Year],Modelling[[#This Row],[Finacial Year]])*24*Modelling[[#This Row],[MTD DC Capcity]]))</f>
        <v>0.18625590312112461</v>
      </c>
      <c r="BY74" s="4">
        <f>Modelling_old[[#This Row],[DC Capcity]]+Modelling_new[[#This Row],[Comisined DC ]]</f>
        <v>11.5031</v>
      </c>
      <c r="BZ74" s="4">
        <v>0</v>
      </c>
      <c r="CA74" s="4">
        <f>AVERAGEIFS(Modelling[[Comisined DC ]],Modelling[Date],"&lt;="&amp;Modelling[[#This Row],[Date]],Modelling[Month Year],Modelling[[#This Row],[Month Year]])</f>
        <v>11.503099999999998</v>
      </c>
      <c r="CB74" s="4">
        <f>AVERAGEIFS(Modelling[[Comisined DC ]],Modelling[Date],"&lt;="&amp;Modelling[[#This Row],[Date]],Modelling[Finacial Year],Modelling[[#This Row],[Finacial Year]])</f>
        <v>11.503100000000007</v>
      </c>
      <c r="CG74">
        <f t="shared" si="28"/>
        <v>27</v>
      </c>
      <c r="CH74">
        <f t="shared" si="29"/>
        <v>57</v>
      </c>
    </row>
    <row r="75" spans="1:86" x14ac:dyDescent="0.35">
      <c r="A75" s="27">
        <v>45074</v>
      </c>
      <c r="B75" s="5">
        <f>MONTH(Modelling_old[[#This Row],[Date]])</f>
        <v>5</v>
      </c>
      <c r="C75" s="25">
        <f t="shared" si="11"/>
        <v>2024</v>
      </c>
      <c r="D75" s="3">
        <f t="shared" si="12"/>
        <v>2023</v>
      </c>
      <c r="E75" s="3" t="s">
        <v>626</v>
      </c>
      <c r="F75" s="5" t="s">
        <v>626</v>
      </c>
      <c r="G75" s="102">
        <v>45047</v>
      </c>
      <c r="H75" s="5">
        <f t="shared" si="13"/>
        <v>31</v>
      </c>
      <c r="I75" s="5">
        <f t="shared" si="14"/>
        <v>5</v>
      </c>
      <c r="J75" s="4">
        <f t="shared" si="15"/>
        <v>52.258064516129032</v>
      </c>
      <c r="K75" s="4">
        <f>SUM($J$48:J75)</f>
        <v>1463.2258064516129</v>
      </c>
      <c r="L75" s="4">
        <f>SUM($J$18:J75)</f>
        <v>2983.2258064516172</v>
      </c>
      <c r="M75" s="4">
        <f t="shared" si="16"/>
        <v>6.5290322580645164</v>
      </c>
      <c r="N75" s="4">
        <f>SUM($M$48:M75)</f>
        <v>182.81290322580648</v>
      </c>
      <c r="O75" s="4">
        <f>SUM($M$18:M75)</f>
        <v>381.51290322580599</v>
      </c>
      <c r="P75" s="9">
        <f t="shared" si="17"/>
        <v>0.69580830986168607</v>
      </c>
      <c r="Q75" s="26">
        <f t="shared" si="30"/>
        <v>0.69580830986168596</v>
      </c>
      <c r="R75" s="26">
        <f t="shared" si="30"/>
        <v>0.67977001086308897</v>
      </c>
      <c r="S75" s="9">
        <f t="shared" si="19"/>
        <v>0.18928978752151246</v>
      </c>
      <c r="T75" s="9">
        <f>K75/((COUNT($K$48:K75))*24*$Q$1)</f>
        <v>0.18928978752151243</v>
      </c>
      <c r="U75" s="28">
        <f>L75/((COUNT($L$18:L75))*24*$Q$1)</f>
        <v>0.18630821147285542</v>
      </c>
      <c r="V75" s="134">
        <v>11.5031</v>
      </c>
      <c r="Y75" s="27">
        <f t="shared" si="26"/>
        <v>45074</v>
      </c>
      <c r="Z75" s="5">
        <f>MONTH(Modelling_new[[#This Row],[Date]])</f>
        <v>5</v>
      </c>
      <c r="AA75" s="25">
        <f>YEAR(Y75)+IF(MONTH(Modelling_new[[#This Row],[Date]])&gt;=4,1,0)</f>
        <v>2024</v>
      </c>
      <c r="AB75" s="3">
        <f t="shared" si="20"/>
        <v>2023</v>
      </c>
      <c r="AC75" s="3" t="s">
        <v>626</v>
      </c>
      <c r="AD75" s="5" t="s">
        <v>626</v>
      </c>
      <c r="AE75" s="102">
        <v>45047</v>
      </c>
      <c r="AF75" s="5">
        <f t="shared" si="21"/>
        <v>31</v>
      </c>
      <c r="AG75" s="5">
        <f t="shared" si="22"/>
        <v>5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BD75" s="27">
        <f t="shared" si="27"/>
        <v>45074</v>
      </c>
      <c r="BE75" s="5">
        <f>MONTH(Modelling[[#This Row],[Date]])</f>
        <v>5</v>
      </c>
      <c r="BF75" s="25">
        <f>YEAR(BD75)+IF(MONTH(Modelling[[#This Row],[Date]])&gt;=4,1,0)</f>
        <v>2024</v>
      </c>
      <c r="BG75" s="3">
        <f t="shared" si="23"/>
        <v>2023</v>
      </c>
      <c r="BH75" s="3" t="s">
        <v>626</v>
      </c>
      <c r="BI75" s="5" t="s">
        <v>626</v>
      </c>
      <c r="BJ75" s="102">
        <v>45047</v>
      </c>
      <c r="BK75" s="5">
        <f t="shared" si="24"/>
        <v>31</v>
      </c>
      <c r="BL75" s="5">
        <f t="shared" si="25"/>
        <v>5</v>
      </c>
      <c r="BM75" s="4">
        <f>Modelling_old[[#This Row],[Target E_Grid daily
MWh]]+Modelling_new[[#This Row],[Target E_Grid daily
MWh]]</f>
        <v>52.258064516129032</v>
      </c>
      <c r="BN75" s="4">
        <f>Modelling_old[[#This Row],[Target E_Grid MTD
MWh]]+Modelling_new[[#This Row],[Target E_Grid MTD
MWh]]</f>
        <v>1463.2258064516129</v>
      </c>
      <c r="BO75" s="4">
        <f>Modelling_old[[#This Row],[Target E_Grid YTD
MWh]]+Modelling_new[[#This Row],[Target E_Grid YTD
MWh]]</f>
        <v>2983.2258064516172</v>
      </c>
      <c r="BP7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75" s="4">
        <f>SUMIFS(Modelling[Target POA Daily (KWh/m2)],Modelling[Date],"&lt;="&amp;Modelling[[#This Row],[Date]],Modelling[Month Year],Modelling[[#This Row],[Month Year]])</f>
        <v>182.81290322580648</v>
      </c>
      <c r="BR75" s="4">
        <f>SUMIFS(Modelling[Target POA Daily (KWh/m2)],Modelling[Date],"&lt;="&amp;Modelling[[#This Row],[Date]],Modelling[Finacial Year],Modelling[[#This Row],[Finacial Year]])</f>
        <v>381.51290322580599</v>
      </c>
      <c r="BS75" s="9">
        <f>BM75/Modelling[[#This Row],[Comisined DC ]]/BP75</f>
        <v>0.69580830986168607</v>
      </c>
      <c r="BT75" s="9">
        <f>BN75/BQ75/Modelling[[#This Row],[Comisined DC ]]</f>
        <v>0.69580830986168596</v>
      </c>
      <c r="BU75" s="9">
        <f>BO75/BR75/Modelling[[#This Row],[Comisined DC ]]</f>
        <v>0.67977001086308897</v>
      </c>
      <c r="BV75" s="9">
        <f>BM75/(24*Modelling[[#This Row],[Comisined DC ]])</f>
        <v>0.18928978752151246</v>
      </c>
      <c r="BW75" s="9">
        <f>BN75/((COUNTIFS(Modelling[Date],"&lt;="&amp;Modelling[[#This Row],[Date]],Modelling[Month Year],Modelling[[#This Row],[Month Year]])*24*Modelling[[#This Row],[MTD DC Capcity]]))</f>
        <v>0.18928978752151243</v>
      </c>
      <c r="BX75" s="28">
        <f>BO75/((COUNTIFS(Modelling[Date],"&lt;="&amp;Modelling[[#This Row],[Date]],Modelling[Finacial Year],Modelling[[#This Row],[Finacial Year]])*24*Modelling[[#This Row],[MTD DC Capcity]]))</f>
        <v>0.18630821147285542</v>
      </c>
      <c r="BY75" s="4">
        <f>Modelling_old[[#This Row],[DC Capcity]]+Modelling_new[[#This Row],[Comisined DC ]]</f>
        <v>11.5031</v>
      </c>
      <c r="BZ75" s="4">
        <v>0</v>
      </c>
      <c r="CA75" s="4">
        <f>AVERAGEIFS(Modelling[[Comisined DC ]],Modelling[Date],"&lt;="&amp;Modelling[[#This Row],[Date]],Modelling[Month Year],Modelling[[#This Row],[Month Year]])</f>
        <v>11.5031</v>
      </c>
      <c r="CB75" s="4">
        <f>AVERAGEIFS(Modelling[[Comisined DC ]],Modelling[Date],"&lt;="&amp;Modelling[[#This Row],[Date]],Modelling[Finacial Year],Modelling[[#This Row],[Finacial Year]])</f>
        <v>11.503100000000007</v>
      </c>
      <c r="CG75">
        <f t="shared" si="28"/>
        <v>28</v>
      </c>
      <c r="CH75">
        <f t="shared" si="29"/>
        <v>58</v>
      </c>
    </row>
    <row r="76" spans="1:86" x14ac:dyDescent="0.35">
      <c r="A76" s="27">
        <v>45075</v>
      </c>
      <c r="B76" s="5">
        <f>MONTH(Modelling_old[[#This Row],[Date]])</f>
        <v>5</v>
      </c>
      <c r="C76" s="25">
        <f t="shared" si="11"/>
        <v>2024</v>
      </c>
      <c r="D76" s="3">
        <f t="shared" si="12"/>
        <v>2023</v>
      </c>
      <c r="E76" s="3" t="s">
        <v>626</v>
      </c>
      <c r="F76" s="5" t="s">
        <v>626</v>
      </c>
      <c r="G76" s="102">
        <v>45047</v>
      </c>
      <c r="H76" s="5">
        <f t="shared" si="13"/>
        <v>31</v>
      </c>
      <c r="I76" s="5">
        <f t="shared" si="14"/>
        <v>5</v>
      </c>
      <c r="J76" s="4">
        <f t="shared" si="15"/>
        <v>52.258064516129032</v>
      </c>
      <c r="K76" s="4">
        <f>SUM($J$48:J76)</f>
        <v>1515.483870967742</v>
      </c>
      <c r="L76" s="4">
        <f>SUM($J$18:J76)</f>
        <v>3035.4838709677465</v>
      </c>
      <c r="M76" s="4">
        <f t="shared" si="16"/>
        <v>6.5290322580645164</v>
      </c>
      <c r="N76" s="4">
        <f>SUM($M$48:M76)</f>
        <v>189.341935483871</v>
      </c>
      <c r="O76" s="4">
        <f>SUM($M$18:M76)</f>
        <v>388.04193548387047</v>
      </c>
      <c r="P76" s="9">
        <f t="shared" si="17"/>
        <v>0.69580830986168607</v>
      </c>
      <c r="Q76" s="26">
        <f t="shared" si="30"/>
        <v>0.69580830986168596</v>
      </c>
      <c r="R76" s="26">
        <f t="shared" si="30"/>
        <v>0.68003986461329202</v>
      </c>
      <c r="S76" s="9">
        <f t="shared" si="19"/>
        <v>0.18928978752151246</v>
      </c>
      <c r="T76" s="9">
        <f>K76/((COUNT($K$48:K76))*24*$Q$1)</f>
        <v>0.18928978752151246</v>
      </c>
      <c r="U76" s="28">
        <f>L76/((COUNT($L$18:L76))*24*$Q$1)</f>
        <v>0.18635874666012081</v>
      </c>
      <c r="V76" s="134">
        <v>11.5031</v>
      </c>
      <c r="Y76" s="27">
        <f t="shared" si="26"/>
        <v>45075</v>
      </c>
      <c r="Z76" s="5">
        <f>MONTH(Modelling_new[[#This Row],[Date]])</f>
        <v>5</v>
      </c>
      <c r="AA76" s="25">
        <f>YEAR(Y76)+IF(MONTH(Modelling_new[[#This Row],[Date]])&gt;=4,1,0)</f>
        <v>2024</v>
      </c>
      <c r="AB76" s="3">
        <f t="shared" si="20"/>
        <v>2023</v>
      </c>
      <c r="AC76" s="3" t="s">
        <v>626</v>
      </c>
      <c r="AD76" s="5" t="s">
        <v>626</v>
      </c>
      <c r="AE76" s="102">
        <v>45047</v>
      </c>
      <c r="AF76" s="5">
        <f t="shared" si="21"/>
        <v>31</v>
      </c>
      <c r="AG76" s="5">
        <f t="shared" si="22"/>
        <v>5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BD76" s="27">
        <f t="shared" si="27"/>
        <v>45075</v>
      </c>
      <c r="BE76" s="5">
        <f>MONTH(Modelling[[#This Row],[Date]])</f>
        <v>5</v>
      </c>
      <c r="BF76" s="25">
        <f>YEAR(BD76)+IF(MONTH(Modelling[[#This Row],[Date]])&gt;=4,1,0)</f>
        <v>2024</v>
      </c>
      <c r="BG76" s="3">
        <f t="shared" si="23"/>
        <v>2023</v>
      </c>
      <c r="BH76" s="3" t="s">
        <v>626</v>
      </c>
      <c r="BI76" s="5" t="s">
        <v>626</v>
      </c>
      <c r="BJ76" s="102">
        <v>45047</v>
      </c>
      <c r="BK76" s="5">
        <f t="shared" si="24"/>
        <v>31</v>
      </c>
      <c r="BL76" s="5">
        <f t="shared" si="25"/>
        <v>5</v>
      </c>
      <c r="BM76" s="4">
        <f>Modelling_old[[#This Row],[Target E_Grid daily
MWh]]+Modelling_new[[#This Row],[Target E_Grid daily
MWh]]</f>
        <v>52.258064516129032</v>
      </c>
      <c r="BN76" s="4">
        <f>Modelling_old[[#This Row],[Target E_Grid MTD
MWh]]+Modelling_new[[#This Row],[Target E_Grid MTD
MWh]]</f>
        <v>1515.483870967742</v>
      </c>
      <c r="BO76" s="4">
        <f>Modelling_old[[#This Row],[Target E_Grid YTD
MWh]]+Modelling_new[[#This Row],[Target E_Grid YTD
MWh]]</f>
        <v>3035.4838709677465</v>
      </c>
      <c r="BP7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76" s="4">
        <f>SUMIFS(Modelling[Target POA Daily (KWh/m2)],Modelling[Date],"&lt;="&amp;Modelling[[#This Row],[Date]],Modelling[Month Year],Modelling[[#This Row],[Month Year]])</f>
        <v>189.341935483871</v>
      </c>
      <c r="BR76" s="4">
        <f>SUMIFS(Modelling[Target POA Daily (KWh/m2)],Modelling[Date],"&lt;="&amp;Modelling[[#This Row],[Date]],Modelling[Finacial Year],Modelling[[#This Row],[Finacial Year]])</f>
        <v>388.04193548387047</v>
      </c>
      <c r="BS76" s="9">
        <f>BM76/Modelling[[#This Row],[Comisined DC ]]/BP76</f>
        <v>0.69580830986168607</v>
      </c>
      <c r="BT76" s="9">
        <f>BN76/BQ76/Modelling[[#This Row],[Comisined DC ]]</f>
        <v>0.69580830986168596</v>
      </c>
      <c r="BU76" s="9">
        <f>BO76/BR76/Modelling[[#This Row],[Comisined DC ]]</f>
        <v>0.68003986461329202</v>
      </c>
      <c r="BV76" s="9">
        <f>BM76/(24*Modelling[[#This Row],[Comisined DC ]])</f>
        <v>0.18928978752151246</v>
      </c>
      <c r="BW76" s="9">
        <f>BN76/((COUNTIFS(Modelling[Date],"&lt;="&amp;Modelling[[#This Row],[Date]],Modelling[Month Year],Modelling[[#This Row],[Month Year]])*24*Modelling[[#This Row],[MTD DC Capcity]]))</f>
        <v>0.18928978752151246</v>
      </c>
      <c r="BX76" s="28">
        <f>BO76/((COUNTIFS(Modelling[Date],"&lt;="&amp;Modelling[[#This Row],[Date]],Modelling[Finacial Year],Modelling[[#This Row],[Finacial Year]])*24*Modelling[[#This Row],[MTD DC Capcity]]))</f>
        <v>0.18635874666012081</v>
      </c>
      <c r="BY76" s="4">
        <f>Modelling_old[[#This Row],[DC Capcity]]+Modelling_new[[#This Row],[Comisined DC ]]</f>
        <v>11.5031</v>
      </c>
      <c r="BZ76" s="4">
        <v>0</v>
      </c>
      <c r="CA76" s="4">
        <f>AVERAGEIFS(Modelling[[Comisined DC ]],Modelling[Date],"&lt;="&amp;Modelling[[#This Row],[Date]],Modelling[Month Year],Modelling[[#This Row],[Month Year]])</f>
        <v>11.5031</v>
      </c>
      <c r="CB76" s="4">
        <f>AVERAGEIFS(Modelling[[Comisined DC ]],Modelling[Date],"&lt;="&amp;Modelling[[#This Row],[Date]],Modelling[Finacial Year],Modelling[[#This Row],[Finacial Year]])</f>
        <v>11.503100000000009</v>
      </c>
      <c r="CG76">
        <f t="shared" si="28"/>
        <v>29</v>
      </c>
      <c r="CH76">
        <f t="shared" si="29"/>
        <v>59</v>
      </c>
    </row>
    <row r="77" spans="1:86" x14ac:dyDescent="0.35">
      <c r="A77" s="27">
        <v>45076</v>
      </c>
      <c r="B77" s="5">
        <f>MONTH(Modelling_old[[#This Row],[Date]])</f>
        <v>5</v>
      </c>
      <c r="C77" s="25">
        <f t="shared" si="11"/>
        <v>2024</v>
      </c>
      <c r="D77" s="3">
        <f t="shared" si="12"/>
        <v>2023</v>
      </c>
      <c r="E77" s="3" t="s">
        <v>626</v>
      </c>
      <c r="F77" s="5" t="s">
        <v>626</v>
      </c>
      <c r="G77" s="102">
        <v>45047</v>
      </c>
      <c r="H77" s="5">
        <f t="shared" si="13"/>
        <v>31</v>
      </c>
      <c r="I77" s="5">
        <f t="shared" si="14"/>
        <v>5</v>
      </c>
      <c r="J77" s="4">
        <f t="shared" si="15"/>
        <v>52.258064516129032</v>
      </c>
      <c r="K77" s="4">
        <f>SUM($J$48:J77)</f>
        <v>1567.741935483871</v>
      </c>
      <c r="L77" s="4">
        <f>SUM($J$18:J77)</f>
        <v>3087.7419354838757</v>
      </c>
      <c r="M77" s="4">
        <f t="shared" si="16"/>
        <v>6.5290322580645164</v>
      </c>
      <c r="N77" s="4">
        <f>SUM($M$48:M77)</f>
        <v>195.87096774193552</v>
      </c>
      <c r="O77" s="4">
        <f>SUM($M$18:M77)</f>
        <v>394.57096774193496</v>
      </c>
      <c r="P77" s="9">
        <f t="shared" si="17"/>
        <v>0.69580830986168607</v>
      </c>
      <c r="Q77" s="26">
        <f t="shared" si="30"/>
        <v>0.69580830986168596</v>
      </c>
      <c r="R77" s="26">
        <f t="shared" si="30"/>
        <v>0.68030078773258662</v>
      </c>
      <c r="S77" s="9">
        <f t="shared" si="19"/>
        <v>0.18928978752151246</v>
      </c>
      <c r="T77" s="9">
        <f>K77/((COUNT($K$48:K77))*24*$Q$1)</f>
        <v>0.18928978752151243</v>
      </c>
      <c r="U77" s="28">
        <f>L77/((COUNT($L$18:L77))*24*$Q$1)</f>
        <v>0.18640759734114401</v>
      </c>
      <c r="V77" s="134">
        <v>11.5031</v>
      </c>
      <c r="Y77" s="27">
        <f t="shared" si="26"/>
        <v>45076</v>
      </c>
      <c r="Z77" s="5">
        <f>MONTH(Modelling_new[[#This Row],[Date]])</f>
        <v>5</v>
      </c>
      <c r="AA77" s="25">
        <f>YEAR(Y77)+IF(MONTH(Modelling_new[[#This Row],[Date]])&gt;=4,1,0)</f>
        <v>2024</v>
      </c>
      <c r="AB77" s="3">
        <f t="shared" si="20"/>
        <v>2023</v>
      </c>
      <c r="AC77" s="3" t="s">
        <v>626</v>
      </c>
      <c r="AD77" s="5" t="s">
        <v>626</v>
      </c>
      <c r="AE77" s="102">
        <v>45047</v>
      </c>
      <c r="AF77" s="5">
        <f t="shared" si="21"/>
        <v>31</v>
      </c>
      <c r="AG77" s="5">
        <f t="shared" si="22"/>
        <v>5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BD77" s="27">
        <f t="shared" si="27"/>
        <v>45076</v>
      </c>
      <c r="BE77" s="5">
        <f>MONTH(Modelling[[#This Row],[Date]])</f>
        <v>5</v>
      </c>
      <c r="BF77" s="25">
        <f>YEAR(BD77)+IF(MONTH(Modelling[[#This Row],[Date]])&gt;=4,1,0)</f>
        <v>2024</v>
      </c>
      <c r="BG77" s="3">
        <f t="shared" si="23"/>
        <v>2023</v>
      </c>
      <c r="BH77" s="3" t="s">
        <v>626</v>
      </c>
      <c r="BI77" s="5" t="s">
        <v>626</v>
      </c>
      <c r="BJ77" s="102">
        <v>45047</v>
      </c>
      <c r="BK77" s="5">
        <f t="shared" si="24"/>
        <v>31</v>
      </c>
      <c r="BL77" s="5">
        <f t="shared" si="25"/>
        <v>5</v>
      </c>
      <c r="BM77" s="4">
        <f>Modelling_old[[#This Row],[Target E_Grid daily
MWh]]+Modelling_new[[#This Row],[Target E_Grid daily
MWh]]</f>
        <v>52.258064516129032</v>
      </c>
      <c r="BN77" s="4">
        <f>Modelling_old[[#This Row],[Target E_Grid MTD
MWh]]+Modelling_new[[#This Row],[Target E_Grid MTD
MWh]]</f>
        <v>1567.741935483871</v>
      </c>
      <c r="BO77" s="4">
        <f>Modelling_old[[#This Row],[Target E_Grid YTD
MWh]]+Modelling_new[[#This Row],[Target E_Grid YTD
MWh]]</f>
        <v>3087.7419354838757</v>
      </c>
      <c r="BP7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77" s="4">
        <f>SUMIFS(Modelling[Target POA Daily (KWh/m2)],Modelling[Date],"&lt;="&amp;Modelling[[#This Row],[Date]],Modelling[Month Year],Modelling[[#This Row],[Month Year]])</f>
        <v>195.87096774193552</v>
      </c>
      <c r="BR77" s="4">
        <f>SUMIFS(Modelling[Target POA Daily (KWh/m2)],Modelling[Date],"&lt;="&amp;Modelling[[#This Row],[Date]],Modelling[Finacial Year],Modelling[[#This Row],[Finacial Year]])</f>
        <v>394.57096774193496</v>
      </c>
      <c r="BS77" s="9">
        <f>BM77/Modelling[[#This Row],[Comisined DC ]]/BP77</f>
        <v>0.69580830986168607</v>
      </c>
      <c r="BT77" s="9">
        <f>BN77/BQ77/Modelling[[#This Row],[Comisined DC ]]</f>
        <v>0.69580830986168596</v>
      </c>
      <c r="BU77" s="9">
        <f>BO77/BR77/Modelling[[#This Row],[Comisined DC ]]</f>
        <v>0.68030078773258662</v>
      </c>
      <c r="BV77" s="9">
        <f>BM77/(24*Modelling[[#This Row],[Comisined DC ]])</f>
        <v>0.18928978752151246</v>
      </c>
      <c r="BW77" s="9">
        <f>BN77/((COUNTIFS(Modelling[Date],"&lt;="&amp;Modelling[[#This Row],[Date]],Modelling[Month Year],Modelling[[#This Row],[Month Year]])*24*Modelling[[#This Row],[MTD DC Capcity]]))</f>
        <v>0.18928978752151243</v>
      </c>
      <c r="BX77" s="28">
        <f>BO77/((COUNTIFS(Modelling[Date],"&lt;="&amp;Modelling[[#This Row],[Date]],Modelling[Finacial Year],Modelling[[#This Row],[Finacial Year]])*24*Modelling[[#This Row],[MTD DC Capcity]]))</f>
        <v>0.18640759734114401</v>
      </c>
      <c r="BY77" s="4">
        <f>Modelling_old[[#This Row],[DC Capcity]]+Modelling_new[[#This Row],[Comisined DC ]]</f>
        <v>11.5031</v>
      </c>
      <c r="BZ77" s="4">
        <v>0</v>
      </c>
      <c r="CA77" s="4">
        <f>AVERAGEIFS(Modelling[[Comisined DC ]],Modelling[Date],"&lt;="&amp;Modelling[[#This Row],[Date]],Modelling[Month Year],Modelling[[#This Row],[Month Year]])</f>
        <v>11.5031</v>
      </c>
      <c r="CB77" s="4">
        <f>AVERAGEIFS(Modelling[[Comisined DC ]],Modelling[Date],"&lt;="&amp;Modelling[[#This Row],[Date]],Modelling[Finacial Year],Modelling[[#This Row],[Finacial Year]])</f>
        <v>11.503100000000009</v>
      </c>
      <c r="CG77">
        <f t="shared" si="28"/>
        <v>30</v>
      </c>
      <c r="CH77">
        <f t="shared" si="29"/>
        <v>60</v>
      </c>
    </row>
    <row r="78" spans="1:86" x14ac:dyDescent="0.35">
      <c r="A78" s="27">
        <v>45077</v>
      </c>
      <c r="B78" s="5">
        <f>MONTH(Modelling_old[[#This Row],[Date]])</f>
        <v>5</v>
      </c>
      <c r="C78" s="25">
        <f t="shared" si="11"/>
        <v>2024</v>
      </c>
      <c r="D78" s="3">
        <f t="shared" si="12"/>
        <v>2023</v>
      </c>
      <c r="E78" s="3" t="s">
        <v>626</v>
      </c>
      <c r="F78" s="5" t="s">
        <v>626</v>
      </c>
      <c r="G78" s="102">
        <v>45047</v>
      </c>
      <c r="H78" s="5">
        <f t="shared" si="13"/>
        <v>31</v>
      </c>
      <c r="I78" s="5">
        <f t="shared" si="14"/>
        <v>5</v>
      </c>
      <c r="J78" s="4">
        <f t="shared" si="15"/>
        <v>52.258064516129032</v>
      </c>
      <c r="K78" s="4">
        <f>SUM($J$48:J78)</f>
        <v>1620</v>
      </c>
      <c r="L78" s="4">
        <f>SUM($J$18:J78)</f>
        <v>3140.000000000005</v>
      </c>
      <c r="M78" s="4">
        <f t="shared" si="16"/>
        <v>6.5290322580645164</v>
      </c>
      <c r="N78" s="4">
        <f>SUM($M$48:M78)</f>
        <v>202.40000000000003</v>
      </c>
      <c r="O78" s="4">
        <f>SUM($M$18:M78)</f>
        <v>401.09999999999945</v>
      </c>
      <c r="P78" s="9">
        <f t="shared" si="17"/>
        <v>0.69580830986168607</v>
      </c>
      <c r="Q78" s="26">
        <f t="shared" si="30"/>
        <v>0.69580830986168596</v>
      </c>
      <c r="R78" s="26">
        <f t="shared" si="30"/>
        <v>0.6805532163344904</v>
      </c>
      <c r="S78" s="9">
        <f t="shared" si="19"/>
        <v>0.18928978752151246</v>
      </c>
      <c r="T78" s="9">
        <f>K78/((COUNT($K$48:K78))*24*$Q$1)</f>
        <v>0.18928978752151243</v>
      </c>
      <c r="U78" s="28">
        <f>L78/((COUNT($L$18:L78))*24*$Q$1)</f>
        <v>0.18645484636049431</v>
      </c>
      <c r="V78" s="134">
        <v>11.5031</v>
      </c>
      <c r="Y78" s="27">
        <f t="shared" si="26"/>
        <v>45077</v>
      </c>
      <c r="Z78" s="5">
        <f>MONTH(Modelling_new[[#This Row],[Date]])</f>
        <v>5</v>
      </c>
      <c r="AA78" s="25">
        <f>YEAR(Y78)+IF(MONTH(Modelling_new[[#This Row],[Date]])&gt;=4,1,0)</f>
        <v>2024</v>
      </c>
      <c r="AB78" s="3">
        <f t="shared" si="20"/>
        <v>2023</v>
      </c>
      <c r="AC78" s="3" t="s">
        <v>626</v>
      </c>
      <c r="AD78" s="5" t="s">
        <v>626</v>
      </c>
      <c r="AE78" s="102">
        <v>45047</v>
      </c>
      <c r="AF78" s="5">
        <f t="shared" si="21"/>
        <v>31</v>
      </c>
      <c r="AG78" s="5">
        <f t="shared" si="22"/>
        <v>5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BD78" s="27">
        <f t="shared" si="27"/>
        <v>45077</v>
      </c>
      <c r="BE78" s="5">
        <f>MONTH(Modelling[[#This Row],[Date]])</f>
        <v>5</v>
      </c>
      <c r="BF78" s="25">
        <f>YEAR(BD78)+IF(MONTH(Modelling[[#This Row],[Date]])&gt;=4,1,0)</f>
        <v>2024</v>
      </c>
      <c r="BG78" s="3">
        <f t="shared" si="23"/>
        <v>2023</v>
      </c>
      <c r="BH78" s="3" t="s">
        <v>626</v>
      </c>
      <c r="BI78" s="5" t="s">
        <v>626</v>
      </c>
      <c r="BJ78" s="102">
        <v>45047</v>
      </c>
      <c r="BK78" s="5">
        <f t="shared" si="24"/>
        <v>31</v>
      </c>
      <c r="BL78" s="5">
        <f t="shared" si="25"/>
        <v>5</v>
      </c>
      <c r="BM78" s="4">
        <f>Modelling_old[[#This Row],[Target E_Grid daily
MWh]]+Modelling_new[[#This Row],[Target E_Grid daily
MWh]]</f>
        <v>52.258064516129032</v>
      </c>
      <c r="BN78" s="4">
        <f>Modelling_old[[#This Row],[Target E_Grid MTD
MWh]]+Modelling_new[[#This Row],[Target E_Grid MTD
MWh]]</f>
        <v>1620</v>
      </c>
      <c r="BO78" s="4">
        <f>Modelling_old[[#This Row],[Target E_Grid YTD
MWh]]+Modelling_new[[#This Row],[Target E_Grid YTD
MWh]]</f>
        <v>3140.000000000005</v>
      </c>
      <c r="BP7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6.5290322580645164</v>
      </c>
      <c r="BQ78" s="4">
        <f>SUMIFS(Modelling[Target POA Daily (KWh/m2)],Modelling[Date],"&lt;="&amp;Modelling[[#This Row],[Date]],Modelling[Month Year],Modelling[[#This Row],[Month Year]])</f>
        <v>202.40000000000003</v>
      </c>
      <c r="BR78" s="4">
        <f>SUMIFS(Modelling[Target POA Daily (KWh/m2)],Modelling[Date],"&lt;="&amp;Modelling[[#This Row],[Date]],Modelling[Finacial Year],Modelling[[#This Row],[Finacial Year]])</f>
        <v>401.09999999999945</v>
      </c>
      <c r="BS78" s="9">
        <f>BM78/Modelling[[#This Row],[Comisined DC ]]/BP78</f>
        <v>0.69580830986168607</v>
      </c>
      <c r="BT78" s="9">
        <f>BN78/BQ78/Modelling[[#This Row],[Comisined DC ]]</f>
        <v>0.69580830986168596</v>
      </c>
      <c r="BU78" s="9">
        <f>BO78/BR78/Modelling[[#This Row],[Comisined DC ]]</f>
        <v>0.6805532163344904</v>
      </c>
      <c r="BV78" s="9">
        <f>BM78/(24*Modelling[[#This Row],[Comisined DC ]])</f>
        <v>0.18928978752151246</v>
      </c>
      <c r="BW78" s="9">
        <f>BN78/((COUNTIFS(Modelling[Date],"&lt;="&amp;Modelling[[#This Row],[Date]],Modelling[Month Year],Modelling[[#This Row],[Month Year]])*24*Modelling[[#This Row],[MTD DC Capcity]]))</f>
        <v>0.1892897875215124</v>
      </c>
      <c r="BX78" s="28">
        <f>BO78/((COUNTIFS(Modelling[Date],"&lt;="&amp;Modelling[[#This Row],[Date]],Modelling[Finacial Year],Modelling[[#This Row],[Finacial Year]])*24*Modelling[[#This Row],[MTD DC Capcity]]))</f>
        <v>0.18645484636049431</v>
      </c>
      <c r="BY78" s="4">
        <f>Modelling_old[[#This Row],[DC Capcity]]+Modelling_new[[#This Row],[Comisined DC ]]</f>
        <v>11.5031</v>
      </c>
      <c r="BZ78" s="4">
        <v>0</v>
      </c>
      <c r="CA78" s="4">
        <f>AVERAGEIFS(Modelling[[Comisined DC ]],Modelling[Date],"&lt;="&amp;Modelling[[#This Row],[Date]],Modelling[Month Year],Modelling[[#This Row],[Month Year]])</f>
        <v>11.503100000000002</v>
      </c>
      <c r="CB78" s="4">
        <f>AVERAGEIFS(Modelling[[Comisined DC ]],Modelling[Date],"&lt;="&amp;Modelling[[#This Row],[Date]],Modelling[Finacial Year],Modelling[[#This Row],[Finacial Year]])</f>
        <v>11.503100000000009</v>
      </c>
      <c r="CG78">
        <f t="shared" si="28"/>
        <v>31</v>
      </c>
      <c r="CH78">
        <f t="shared" si="29"/>
        <v>61</v>
      </c>
    </row>
    <row r="79" spans="1:86" x14ac:dyDescent="0.35">
      <c r="A79" s="27">
        <v>45078</v>
      </c>
      <c r="B79" s="5">
        <f>MONTH(Modelling_old[[#This Row],[Date]])</f>
        <v>6</v>
      </c>
      <c r="C79" s="25">
        <f t="shared" si="11"/>
        <v>2024</v>
      </c>
      <c r="D79" s="3">
        <f t="shared" si="12"/>
        <v>2023</v>
      </c>
      <c r="E79" s="3" t="s">
        <v>626</v>
      </c>
      <c r="F79" s="5" t="s">
        <v>626</v>
      </c>
      <c r="G79" s="102">
        <v>45078</v>
      </c>
      <c r="H79" s="5">
        <f t="shared" si="13"/>
        <v>30</v>
      </c>
      <c r="I79" s="5">
        <f t="shared" si="14"/>
        <v>6</v>
      </c>
      <c r="J79" s="4">
        <f t="shared" si="15"/>
        <v>41</v>
      </c>
      <c r="K79" s="4">
        <f>SUM($J$79:J79)</f>
        <v>41</v>
      </c>
      <c r="L79" s="4">
        <f>SUM($J$18:J79)</f>
        <v>3181.000000000005</v>
      </c>
      <c r="M79" s="4">
        <f t="shared" si="16"/>
        <v>5.1233333333333331</v>
      </c>
      <c r="N79" s="4">
        <f>SUM($M$79:M79)</f>
        <v>5.1233333333333331</v>
      </c>
      <c r="O79" s="4">
        <f>SUM($M$18:M79)</f>
        <v>406.22333333333279</v>
      </c>
      <c r="P79" s="9">
        <f t="shared" si="17"/>
        <v>0.6956909417764543</v>
      </c>
      <c r="Q79" s="26">
        <f t="shared" si="30"/>
        <v>0.69569094177645441</v>
      </c>
      <c r="R79" s="26">
        <f t="shared" si="30"/>
        <v>0.68074413499175024</v>
      </c>
      <c r="S79" s="9">
        <f t="shared" si="19"/>
        <v>0.14851069132089031</v>
      </c>
      <c r="T79" s="9">
        <f>K79/((COUNT($K$79:K79))*24*$Q$1)</f>
        <v>0.14851069132089031</v>
      </c>
      <c r="U79" s="28">
        <f>L79/((COUNT($L$18:L79))*24*$Q$1)</f>
        <v>0.18584284385985556</v>
      </c>
      <c r="V79" s="134">
        <v>11.5031</v>
      </c>
      <c r="Y79" s="27">
        <f t="shared" si="26"/>
        <v>45078</v>
      </c>
      <c r="Z79" s="5">
        <f>MONTH(Modelling_new[[#This Row],[Date]])</f>
        <v>6</v>
      </c>
      <c r="AA79" s="25">
        <f>YEAR(Y79)+IF(MONTH(Modelling_new[[#This Row],[Date]])&gt;=4,1,0)</f>
        <v>2024</v>
      </c>
      <c r="AB79" s="3">
        <f t="shared" si="20"/>
        <v>2023</v>
      </c>
      <c r="AC79" s="3" t="s">
        <v>626</v>
      </c>
      <c r="AD79" s="5" t="s">
        <v>626</v>
      </c>
      <c r="AE79" s="102">
        <v>45078</v>
      </c>
      <c r="AF79" s="5">
        <f t="shared" si="21"/>
        <v>30</v>
      </c>
      <c r="AG79" s="5">
        <f t="shared" si="22"/>
        <v>6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BD79" s="27">
        <f t="shared" si="27"/>
        <v>45078</v>
      </c>
      <c r="BE79" s="5">
        <f>MONTH(Modelling[[#This Row],[Date]])</f>
        <v>6</v>
      </c>
      <c r="BF79" s="25">
        <f>YEAR(BD79)+IF(MONTH(Modelling[[#This Row],[Date]])&gt;=4,1,0)</f>
        <v>2024</v>
      </c>
      <c r="BG79" s="3">
        <f t="shared" si="23"/>
        <v>2023</v>
      </c>
      <c r="BH79" s="3" t="s">
        <v>626</v>
      </c>
      <c r="BI79" s="5" t="s">
        <v>626</v>
      </c>
      <c r="BJ79" s="102">
        <v>45078</v>
      </c>
      <c r="BK79" s="5">
        <f t="shared" si="24"/>
        <v>30</v>
      </c>
      <c r="BL79" s="5">
        <f t="shared" si="25"/>
        <v>6</v>
      </c>
      <c r="BM79" s="4">
        <f>Modelling_old[[#This Row],[Target E_Grid daily
MWh]]+Modelling_new[[#This Row],[Target E_Grid daily
MWh]]</f>
        <v>41</v>
      </c>
      <c r="BN79" s="4">
        <f>Modelling_old[[#This Row],[Target E_Grid MTD
MWh]]+Modelling_new[[#This Row],[Target E_Grid MTD
MWh]]</f>
        <v>41</v>
      </c>
      <c r="BO79" s="4">
        <f>Modelling_old[[#This Row],[Target E_Grid YTD
MWh]]+Modelling_new[[#This Row],[Target E_Grid YTD
MWh]]</f>
        <v>3181.000000000005</v>
      </c>
      <c r="BP7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79" s="4">
        <f>SUMIFS(Modelling[Target POA Daily (KWh/m2)],Modelling[Date],"&lt;="&amp;Modelling[[#This Row],[Date]],Modelling[Month Year],Modelling[[#This Row],[Month Year]])</f>
        <v>5.1233333333333331</v>
      </c>
      <c r="BR79" s="4">
        <f>SUMIFS(Modelling[Target POA Daily (KWh/m2)],Modelling[Date],"&lt;="&amp;Modelling[[#This Row],[Date]],Modelling[Finacial Year],Modelling[[#This Row],[Finacial Year]])</f>
        <v>406.22333333333279</v>
      </c>
      <c r="BS79" s="9">
        <f>BM79/Modelling[[#This Row],[Comisined DC ]]/BP79</f>
        <v>0.6956909417764543</v>
      </c>
      <c r="BT79" s="9">
        <f>BN79/BQ79/Modelling[[#This Row],[Comisined DC ]]</f>
        <v>0.69569094177645441</v>
      </c>
      <c r="BU79" s="9">
        <f>BO79/BR79/Modelling[[#This Row],[Comisined DC ]]</f>
        <v>0.68074413499175024</v>
      </c>
      <c r="BV79" s="9">
        <f>BM79/(24*Modelling[[#This Row],[Comisined DC ]])</f>
        <v>0.14851069132089031</v>
      </c>
      <c r="BW79" s="9">
        <f>BN79/((COUNTIFS(Modelling[Date],"&lt;="&amp;Modelling[[#This Row],[Date]],Modelling[Month Year],Modelling[[#This Row],[Month Year]])*24*Modelling[[#This Row],[MTD DC Capcity]]))</f>
        <v>0.14851069132089031</v>
      </c>
      <c r="BX79" s="28">
        <f>BO79/((COUNTIFS(Modelling[Date],"&lt;="&amp;Modelling[[#This Row],[Date]],Modelling[Finacial Year],Modelling[[#This Row],[Finacial Year]])*24*Modelling[[#This Row],[MTD DC Capcity]]))</f>
        <v>0.18584284385985556</v>
      </c>
      <c r="BY79" s="4">
        <f>Modelling_old[[#This Row],[DC Capcity]]+Modelling_new[[#This Row],[Comisined DC ]]</f>
        <v>11.5031</v>
      </c>
      <c r="BZ79" s="4">
        <v>0</v>
      </c>
      <c r="CA79" s="4">
        <f>AVERAGEIFS(Modelling[[Comisined DC ]],Modelling[Date],"&lt;="&amp;Modelling[[#This Row],[Date]],Modelling[Month Year],Modelling[[#This Row],[Month Year]])</f>
        <v>11.5031</v>
      </c>
      <c r="CB79" s="4">
        <f>AVERAGEIFS(Modelling[[Comisined DC ]],Modelling[Date],"&lt;="&amp;Modelling[[#This Row],[Date]],Modelling[Finacial Year],Modelling[[#This Row],[Finacial Year]])</f>
        <v>11.503100000000009</v>
      </c>
      <c r="CG79">
        <v>1</v>
      </c>
      <c r="CH79">
        <f t="shared" si="29"/>
        <v>62</v>
      </c>
    </row>
    <row r="80" spans="1:86" x14ac:dyDescent="0.35">
      <c r="A80" s="27">
        <v>45079</v>
      </c>
      <c r="B80" s="5">
        <f>MONTH(Modelling_old[[#This Row],[Date]])</f>
        <v>6</v>
      </c>
      <c r="C80" s="25">
        <f t="shared" si="11"/>
        <v>2024</v>
      </c>
      <c r="D80" s="3">
        <f t="shared" si="12"/>
        <v>2023</v>
      </c>
      <c r="E80" s="3" t="s">
        <v>626</v>
      </c>
      <c r="F80" s="5" t="s">
        <v>626</v>
      </c>
      <c r="G80" s="102">
        <v>45078</v>
      </c>
      <c r="H80" s="5">
        <f t="shared" si="13"/>
        <v>30</v>
      </c>
      <c r="I80" s="5">
        <f t="shared" si="14"/>
        <v>6</v>
      </c>
      <c r="J80" s="4">
        <f t="shared" si="15"/>
        <v>41</v>
      </c>
      <c r="K80" s="4">
        <f>SUM($J$79:J80)</f>
        <v>82</v>
      </c>
      <c r="L80" s="4">
        <f>SUM($J$18:J80)</f>
        <v>3222.000000000005</v>
      </c>
      <c r="M80" s="4">
        <f t="shared" si="16"/>
        <v>5.1233333333333331</v>
      </c>
      <c r="N80" s="4">
        <f>SUM($M$79:M80)</f>
        <v>10.246666666666666</v>
      </c>
      <c r="O80" s="4">
        <f>SUM($M$18:M80)</f>
        <v>411.34666666666612</v>
      </c>
      <c r="P80" s="9">
        <f t="shared" si="17"/>
        <v>0.6956909417764543</v>
      </c>
      <c r="Q80" s="26">
        <f t="shared" si="30"/>
        <v>0.69569094177645441</v>
      </c>
      <c r="R80" s="26">
        <f t="shared" si="30"/>
        <v>0.68093029785541836</v>
      </c>
      <c r="S80" s="9">
        <f t="shared" si="19"/>
        <v>0.14851069132089031</v>
      </c>
      <c r="T80" s="9">
        <f>K80/((COUNT($K$79:K80))*24*$Q$1)</f>
        <v>0.14851069132089031</v>
      </c>
      <c r="U80" s="28">
        <f>L80/((COUNT($L$18:L80))*24*$Q$1)</f>
        <v>0.18525027001003069</v>
      </c>
      <c r="V80" s="134">
        <v>11.5031</v>
      </c>
      <c r="Y80" s="27">
        <f t="shared" si="26"/>
        <v>45079</v>
      </c>
      <c r="Z80" s="5">
        <f>MONTH(Modelling_new[[#This Row],[Date]])</f>
        <v>6</v>
      </c>
      <c r="AA80" s="25">
        <f>YEAR(Y80)+IF(MONTH(Modelling_new[[#This Row],[Date]])&gt;=4,1,0)</f>
        <v>2024</v>
      </c>
      <c r="AB80" s="3">
        <f t="shared" si="20"/>
        <v>2023</v>
      </c>
      <c r="AC80" s="3" t="s">
        <v>626</v>
      </c>
      <c r="AD80" s="5" t="s">
        <v>626</v>
      </c>
      <c r="AE80" s="102">
        <v>45078</v>
      </c>
      <c r="AF80" s="5">
        <f t="shared" si="21"/>
        <v>30</v>
      </c>
      <c r="AG80" s="5">
        <f t="shared" si="22"/>
        <v>6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BD80" s="27">
        <f t="shared" si="27"/>
        <v>45079</v>
      </c>
      <c r="BE80" s="5">
        <f>MONTH(Modelling[[#This Row],[Date]])</f>
        <v>6</v>
      </c>
      <c r="BF80" s="25">
        <f>YEAR(BD80)+IF(MONTH(Modelling[[#This Row],[Date]])&gt;=4,1,0)</f>
        <v>2024</v>
      </c>
      <c r="BG80" s="3">
        <f t="shared" si="23"/>
        <v>2023</v>
      </c>
      <c r="BH80" s="3" t="s">
        <v>626</v>
      </c>
      <c r="BI80" s="5" t="s">
        <v>626</v>
      </c>
      <c r="BJ80" s="102">
        <v>45078</v>
      </c>
      <c r="BK80" s="5">
        <f t="shared" si="24"/>
        <v>30</v>
      </c>
      <c r="BL80" s="5">
        <f t="shared" si="25"/>
        <v>6</v>
      </c>
      <c r="BM80" s="4">
        <f>Modelling_old[[#This Row],[Target E_Grid daily
MWh]]+Modelling_new[[#This Row],[Target E_Grid daily
MWh]]</f>
        <v>41</v>
      </c>
      <c r="BN80" s="4">
        <f>Modelling_old[[#This Row],[Target E_Grid MTD
MWh]]+Modelling_new[[#This Row],[Target E_Grid MTD
MWh]]</f>
        <v>82</v>
      </c>
      <c r="BO80" s="4">
        <f>Modelling_old[[#This Row],[Target E_Grid YTD
MWh]]+Modelling_new[[#This Row],[Target E_Grid YTD
MWh]]</f>
        <v>3222.000000000005</v>
      </c>
      <c r="BP8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80" s="4">
        <f>SUMIFS(Modelling[Target POA Daily (KWh/m2)],Modelling[Date],"&lt;="&amp;Modelling[[#This Row],[Date]],Modelling[Month Year],Modelling[[#This Row],[Month Year]])</f>
        <v>10.246666666666666</v>
      </c>
      <c r="BR80" s="4">
        <f>SUMIFS(Modelling[Target POA Daily (KWh/m2)],Modelling[Date],"&lt;="&amp;Modelling[[#This Row],[Date]],Modelling[Finacial Year],Modelling[[#This Row],[Finacial Year]])</f>
        <v>411.34666666666612</v>
      </c>
      <c r="BS80" s="9">
        <f>BM80/Modelling[[#This Row],[Comisined DC ]]/BP80</f>
        <v>0.6956909417764543</v>
      </c>
      <c r="BT80" s="9">
        <f>BN80/BQ80/Modelling[[#This Row],[Comisined DC ]]</f>
        <v>0.69569094177645441</v>
      </c>
      <c r="BU80" s="9">
        <f>BO80/BR80/Modelling[[#This Row],[Comisined DC ]]</f>
        <v>0.68093029785541836</v>
      </c>
      <c r="BV80" s="9">
        <f>BM80/(24*Modelling[[#This Row],[Comisined DC ]])</f>
        <v>0.14851069132089031</v>
      </c>
      <c r="BW80" s="9">
        <f>BN80/((COUNTIFS(Modelling[Date],"&lt;="&amp;Modelling[[#This Row],[Date]],Modelling[Month Year],Modelling[[#This Row],[Month Year]])*24*Modelling[[#This Row],[MTD DC Capcity]]))</f>
        <v>0.14851069132089031</v>
      </c>
      <c r="BX80" s="28">
        <f>BO80/((COUNTIFS(Modelling[Date],"&lt;="&amp;Modelling[[#This Row],[Date]],Modelling[Finacial Year],Modelling[[#This Row],[Finacial Year]])*24*Modelling[[#This Row],[MTD DC Capcity]]))</f>
        <v>0.18525027001003069</v>
      </c>
      <c r="BY80" s="4">
        <f>Modelling_old[[#This Row],[DC Capcity]]+Modelling_new[[#This Row],[Comisined DC ]]</f>
        <v>11.5031</v>
      </c>
      <c r="BZ80" s="4">
        <v>0</v>
      </c>
      <c r="CA80" s="4">
        <f>AVERAGEIFS(Modelling[[Comisined DC ]],Modelling[Date],"&lt;="&amp;Modelling[[#This Row],[Date]],Modelling[Month Year],Modelling[[#This Row],[Month Year]])</f>
        <v>11.5031</v>
      </c>
      <c r="CB80" s="4">
        <f>AVERAGEIFS(Modelling[[Comisined DC ]],Modelling[Date],"&lt;="&amp;Modelling[[#This Row],[Date]],Modelling[Finacial Year],Modelling[[#This Row],[Finacial Year]])</f>
        <v>11.503100000000009</v>
      </c>
      <c r="CG80">
        <f t="shared" si="28"/>
        <v>2</v>
      </c>
      <c r="CH80">
        <f t="shared" si="29"/>
        <v>63</v>
      </c>
    </row>
    <row r="81" spans="1:86" x14ac:dyDescent="0.35">
      <c r="A81" s="27">
        <v>45080</v>
      </c>
      <c r="B81" s="5">
        <f>MONTH(Modelling_old[[#This Row],[Date]])</f>
        <v>6</v>
      </c>
      <c r="C81" s="25">
        <f t="shared" si="11"/>
        <v>2024</v>
      </c>
      <c r="D81" s="3">
        <f t="shared" si="12"/>
        <v>2023</v>
      </c>
      <c r="E81" s="3" t="s">
        <v>626</v>
      </c>
      <c r="F81" s="5" t="s">
        <v>626</v>
      </c>
      <c r="G81" s="102">
        <v>45078</v>
      </c>
      <c r="H81" s="5">
        <f t="shared" si="13"/>
        <v>30</v>
      </c>
      <c r="I81" s="5">
        <f t="shared" si="14"/>
        <v>6</v>
      </c>
      <c r="J81" s="4">
        <f t="shared" si="15"/>
        <v>41</v>
      </c>
      <c r="K81" s="4">
        <f>SUM($J$79:J81)</f>
        <v>123</v>
      </c>
      <c r="L81" s="4">
        <f>SUM($J$18:J81)</f>
        <v>3263.000000000005</v>
      </c>
      <c r="M81" s="4">
        <f t="shared" si="16"/>
        <v>5.1233333333333331</v>
      </c>
      <c r="N81" s="4">
        <f>SUM($M$79:M81)</f>
        <v>15.37</v>
      </c>
      <c r="O81" s="4">
        <f>SUM($M$18:M81)</f>
        <v>416.46999999999946</v>
      </c>
      <c r="P81" s="9">
        <f t="shared" si="17"/>
        <v>0.6956909417764543</v>
      </c>
      <c r="Q81" s="26">
        <f t="shared" si="30"/>
        <v>0.69569094177645441</v>
      </c>
      <c r="R81" s="26">
        <f t="shared" si="30"/>
        <v>0.68111188044005133</v>
      </c>
      <c r="S81" s="9">
        <f t="shared" si="19"/>
        <v>0.14851069132089031</v>
      </c>
      <c r="T81" s="9">
        <f>K81/((COUNT($K$79:K81))*24*$Q$1)</f>
        <v>0.14851069132089031</v>
      </c>
      <c r="U81" s="28">
        <f>L81/((COUNT($L$18:L81))*24*$Q$1)</f>
        <v>0.18467621409301291</v>
      </c>
      <c r="V81" s="134">
        <v>11.5031</v>
      </c>
      <c r="Y81" s="27">
        <f t="shared" si="26"/>
        <v>45080</v>
      </c>
      <c r="Z81" s="5">
        <f>MONTH(Modelling_new[[#This Row],[Date]])</f>
        <v>6</v>
      </c>
      <c r="AA81" s="25">
        <f>YEAR(Y81)+IF(MONTH(Modelling_new[[#This Row],[Date]])&gt;=4,1,0)</f>
        <v>2024</v>
      </c>
      <c r="AB81" s="3">
        <f t="shared" si="20"/>
        <v>2023</v>
      </c>
      <c r="AC81" s="3" t="s">
        <v>626</v>
      </c>
      <c r="AD81" s="5" t="s">
        <v>626</v>
      </c>
      <c r="AE81" s="102">
        <v>45078</v>
      </c>
      <c r="AF81" s="5">
        <f t="shared" si="21"/>
        <v>30</v>
      </c>
      <c r="AG81" s="5">
        <f t="shared" si="22"/>
        <v>6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BD81" s="27">
        <f t="shared" si="27"/>
        <v>45080</v>
      </c>
      <c r="BE81" s="5">
        <f>MONTH(Modelling[[#This Row],[Date]])</f>
        <v>6</v>
      </c>
      <c r="BF81" s="25">
        <f>YEAR(BD81)+IF(MONTH(Modelling[[#This Row],[Date]])&gt;=4,1,0)</f>
        <v>2024</v>
      </c>
      <c r="BG81" s="3">
        <f t="shared" si="23"/>
        <v>2023</v>
      </c>
      <c r="BH81" s="3" t="s">
        <v>626</v>
      </c>
      <c r="BI81" s="5" t="s">
        <v>626</v>
      </c>
      <c r="BJ81" s="102">
        <v>45078</v>
      </c>
      <c r="BK81" s="5">
        <f t="shared" si="24"/>
        <v>30</v>
      </c>
      <c r="BL81" s="5">
        <f t="shared" si="25"/>
        <v>6</v>
      </c>
      <c r="BM81" s="4">
        <f>Modelling_old[[#This Row],[Target E_Grid daily
MWh]]+Modelling_new[[#This Row],[Target E_Grid daily
MWh]]</f>
        <v>41</v>
      </c>
      <c r="BN81" s="4">
        <f>Modelling_old[[#This Row],[Target E_Grid MTD
MWh]]+Modelling_new[[#This Row],[Target E_Grid MTD
MWh]]</f>
        <v>123</v>
      </c>
      <c r="BO81" s="4">
        <f>Modelling_old[[#This Row],[Target E_Grid YTD
MWh]]+Modelling_new[[#This Row],[Target E_Grid YTD
MWh]]</f>
        <v>3263.000000000005</v>
      </c>
      <c r="BP8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81" s="4">
        <f>SUMIFS(Modelling[Target POA Daily (KWh/m2)],Modelling[Date],"&lt;="&amp;Modelling[[#This Row],[Date]],Modelling[Month Year],Modelling[[#This Row],[Month Year]])</f>
        <v>15.37</v>
      </c>
      <c r="BR81" s="4">
        <f>SUMIFS(Modelling[Target POA Daily (KWh/m2)],Modelling[Date],"&lt;="&amp;Modelling[[#This Row],[Date]],Modelling[Finacial Year],Modelling[[#This Row],[Finacial Year]])</f>
        <v>416.46999999999946</v>
      </c>
      <c r="BS81" s="9">
        <f>BM81/Modelling[[#This Row],[Comisined DC ]]/BP81</f>
        <v>0.6956909417764543</v>
      </c>
      <c r="BT81" s="9">
        <f>BN81/BQ81/Modelling[[#This Row],[Comisined DC ]]</f>
        <v>0.69569094177645441</v>
      </c>
      <c r="BU81" s="9">
        <f>BO81/BR81/Modelling[[#This Row],[Comisined DC ]]</f>
        <v>0.68111188044005133</v>
      </c>
      <c r="BV81" s="9">
        <f>BM81/(24*Modelling[[#This Row],[Comisined DC ]])</f>
        <v>0.14851069132089031</v>
      </c>
      <c r="BW81" s="9">
        <f>BN81/((COUNTIFS(Modelling[Date],"&lt;="&amp;Modelling[[#This Row],[Date]],Modelling[Month Year],Modelling[[#This Row],[Month Year]])*24*Modelling[[#This Row],[MTD DC Capcity]]))</f>
        <v>0.14851069132089031</v>
      </c>
      <c r="BX81" s="28">
        <f>BO81/((COUNTIFS(Modelling[Date],"&lt;="&amp;Modelling[[#This Row],[Date]],Modelling[Finacial Year],Modelling[[#This Row],[Finacial Year]])*24*Modelling[[#This Row],[MTD DC Capcity]]))</f>
        <v>0.18467621409301291</v>
      </c>
      <c r="BY81" s="4">
        <f>Modelling_old[[#This Row],[DC Capcity]]+Modelling_new[[#This Row],[Comisined DC ]]</f>
        <v>11.5031</v>
      </c>
      <c r="BZ81" s="4">
        <v>0</v>
      </c>
      <c r="CA81" s="4">
        <f>AVERAGEIFS(Modelling[[Comisined DC ]],Modelling[Date],"&lt;="&amp;Modelling[[#This Row],[Date]],Modelling[Month Year],Modelling[[#This Row],[Month Year]])</f>
        <v>11.503099999999998</v>
      </c>
      <c r="CB81" s="4">
        <f>AVERAGEIFS(Modelling[[Comisined DC ]],Modelling[Date],"&lt;="&amp;Modelling[[#This Row],[Date]],Modelling[Finacial Year],Modelling[[#This Row],[Finacial Year]])</f>
        <v>11.503100000000009</v>
      </c>
      <c r="CG81">
        <f t="shared" si="28"/>
        <v>3</v>
      </c>
      <c r="CH81">
        <f t="shared" si="29"/>
        <v>64</v>
      </c>
    </row>
    <row r="82" spans="1:86" x14ac:dyDescent="0.35">
      <c r="A82" s="27">
        <v>45081</v>
      </c>
      <c r="B82" s="5">
        <f>MONTH(Modelling_old[[#This Row],[Date]])</f>
        <v>6</v>
      </c>
      <c r="C82" s="25">
        <f t="shared" ref="C82:C145" si="31">YEAR(A82)+(MONTH(A82)&gt;=B82)</f>
        <v>2024</v>
      </c>
      <c r="D82" s="3">
        <f t="shared" ref="D82:D145" si="32">YEAR(A82)</f>
        <v>2023</v>
      </c>
      <c r="E82" s="3" t="s">
        <v>626</v>
      </c>
      <c r="F82" s="5" t="s">
        <v>626</v>
      </c>
      <c r="G82" s="102">
        <v>45078</v>
      </c>
      <c r="H82" s="5">
        <f t="shared" ref="H82:H145" si="33">DAY(EOMONTH(G82,0))</f>
        <v>30</v>
      </c>
      <c r="I82" s="5">
        <f t="shared" ref="I82:I145" si="34">MONTH(A82)</f>
        <v>6</v>
      </c>
      <c r="J82" s="4">
        <f t="shared" ref="J82:J145" si="35">VLOOKUP(I82,$C$2:$L$13,10,0)/H82</f>
        <v>41</v>
      </c>
      <c r="K82" s="4">
        <f>SUM($J$79:J82)</f>
        <v>164</v>
      </c>
      <c r="L82" s="4">
        <f>SUM($J$18:J82)</f>
        <v>3304.000000000005</v>
      </c>
      <c r="M82" s="4">
        <f t="shared" ref="M82:M145" si="36">VLOOKUP(I82,$C$2:$M$13,11,0)</f>
        <v>5.1233333333333331</v>
      </c>
      <c r="N82" s="4">
        <f>SUM($M$79:M82)</f>
        <v>20.493333333333332</v>
      </c>
      <c r="O82" s="4">
        <f>SUM($M$18:M82)</f>
        <v>421.59333333333279</v>
      </c>
      <c r="P82" s="9">
        <f t="shared" ref="P82:P145" si="37">J82/$Q$1/M82</f>
        <v>0.6956909417764543</v>
      </c>
      <c r="Q82" s="26">
        <f t="shared" si="30"/>
        <v>0.69569094177645441</v>
      </c>
      <c r="R82" s="26">
        <f t="shared" si="30"/>
        <v>0.68128904972857629</v>
      </c>
      <c r="S82" s="9">
        <f t="shared" ref="S82:S145" si="38">J82/(24*$Q$1)</f>
        <v>0.14851069132089031</v>
      </c>
      <c r="T82" s="9">
        <f>K82/((COUNT($K$79:K82))*24*$Q$1)</f>
        <v>0.14851069132089031</v>
      </c>
      <c r="U82" s="28">
        <f>L82/((COUNT($L$18:L82))*24*$Q$1)</f>
        <v>0.18411982143498024</v>
      </c>
      <c r="V82" s="134">
        <v>11.5031</v>
      </c>
      <c r="Y82" s="27">
        <f t="shared" si="26"/>
        <v>45081</v>
      </c>
      <c r="Z82" s="5">
        <f>MONTH(Modelling_new[[#This Row],[Date]])</f>
        <v>6</v>
      </c>
      <c r="AA82" s="25">
        <f>YEAR(Y82)+IF(MONTH(Modelling_new[[#This Row],[Date]])&gt;=4,1,0)</f>
        <v>2024</v>
      </c>
      <c r="AB82" s="3">
        <f t="shared" ref="AB82:AB145" si="39">YEAR(Y82)</f>
        <v>2023</v>
      </c>
      <c r="AC82" s="3" t="s">
        <v>626</v>
      </c>
      <c r="AD82" s="5" t="s">
        <v>626</v>
      </c>
      <c r="AE82" s="102">
        <v>45078</v>
      </c>
      <c r="AF82" s="5">
        <f t="shared" ref="AF82:AF145" si="40">DAY(EOMONTH(AE82,0))</f>
        <v>30</v>
      </c>
      <c r="AG82" s="5">
        <f t="shared" ref="AG82:AG145" si="41">MONTH(Y82)</f>
        <v>6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BD82" s="27">
        <f t="shared" si="27"/>
        <v>45081</v>
      </c>
      <c r="BE82" s="5">
        <f>MONTH(Modelling[[#This Row],[Date]])</f>
        <v>6</v>
      </c>
      <c r="BF82" s="25">
        <f>YEAR(BD82)+IF(MONTH(Modelling[[#This Row],[Date]])&gt;=4,1,0)</f>
        <v>2024</v>
      </c>
      <c r="BG82" s="3">
        <f t="shared" ref="BG82:BG145" si="42">YEAR(BD82)</f>
        <v>2023</v>
      </c>
      <c r="BH82" s="3" t="s">
        <v>626</v>
      </c>
      <c r="BI82" s="5" t="s">
        <v>626</v>
      </c>
      <c r="BJ82" s="102">
        <v>45078</v>
      </c>
      <c r="BK82" s="5">
        <f t="shared" ref="BK82:BK145" si="43">DAY(EOMONTH(BJ82,0))</f>
        <v>30</v>
      </c>
      <c r="BL82" s="5">
        <f t="shared" ref="BL82:BL145" si="44">MONTH(BD82)</f>
        <v>6</v>
      </c>
      <c r="BM82" s="4">
        <f>Modelling_old[[#This Row],[Target E_Grid daily
MWh]]+Modelling_new[[#This Row],[Target E_Grid daily
MWh]]</f>
        <v>41</v>
      </c>
      <c r="BN82" s="4">
        <f>Modelling_old[[#This Row],[Target E_Grid MTD
MWh]]+Modelling_new[[#This Row],[Target E_Grid MTD
MWh]]</f>
        <v>164</v>
      </c>
      <c r="BO82" s="4">
        <f>Modelling_old[[#This Row],[Target E_Grid YTD
MWh]]+Modelling_new[[#This Row],[Target E_Grid YTD
MWh]]</f>
        <v>3304.000000000005</v>
      </c>
      <c r="BP8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82" s="4">
        <f>SUMIFS(Modelling[Target POA Daily (KWh/m2)],Modelling[Date],"&lt;="&amp;Modelling[[#This Row],[Date]],Modelling[Month Year],Modelling[[#This Row],[Month Year]])</f>
        <v>20.493333333333332</v>
      </c>
      <c r="BR82" s="4">
        <f>SUMIFS(Modelling[Target POA Daily (KWh/m2)],Modelling[Date],"&lt;="&amp;Modelling[[#This Row],[Date]],Modelling[Finacial Year],Modelling[[#This Row],[Finacial Year]])</f>
        <v>421.59333333333279</v>
      </c>
      <c r="BS82" s="9">
        <f>BM82/Modelling[[#This Row],[Comisined DC ]]/BP82</f>
        <v>0.6956909417764543</v>
      </c>
      <c r="BT82" s="9">
        <f>BN82/BQ82/Modelling[[#This Row],[Comisined DC ]]</f>
        <v>0.69569094177645441</v>
      </c>
      <c r="BU82" s="9">
        <f>BO82/BR82/Modelling[[#This Row],[Comisined DC ]]</f>
        <v>0.68128904972857629</v>
      </c>
      <c r="BV82" s="9">
        <f>BM82/(24*Modelling[[#This Row],[Comisined DC ]])</f>
        <v>0.14851069132089031</v>
      </c>
      <c r="BW82" s="9">
        <f>BN82/((COUNTIFS(Modelling[Date],"&lt;="&amp;Modelling[[#This Row],[Date]],Modelling[Month Year],Modelling[[#This Row],[Month Year]])*24*Modelling[[#This Row],[MTD DC Capcity]]))</f>
        <v>0.14851069132089031</v>
      </c>
      <c r="BX82" s="28">
        <f>BO82/((COUNTIFS(Modelling[Date],"&lt;="&amp;Modelling[[#This Row],[Date]],Modelling[Finacial Year],Modelling[[#This Row],[Finacial Year]])*24*Modelling[[#This Row],[MTD DC Capcity]]))</f>
        <v>0.18411982143498024</v>
      </c>
      <c r="BY82" s="4">
        <f>Modelling_old[[#This Row],[DC Capcity]]+Modelling_new[[#This Row],[Comisined DC ]]</f>
        <v>11.5031</v>
      </c>
      <c r="BZ82" s="4">
        <v>0</v>
      </c>
      <c r="CA82" s="4">
        <f>AVERAGEIFS(Modelling[[Comisined DC ]],Modelling[Date],"&lt;="&amp;Modelling[[#This Row],[Date]],Modelling[Month Year],Modelling[[#This Row],[Month Year]])</f>
        <v>11.5031</v>
      </c>
      <c r="CB82" s="4">
        <f>AVERAGEIFS(Modelling[[Comisined DC ]],Modelling[Date],"&lt;="&amp;Modelling[[#This Row],[Date]],Modelling[Finacial Year],Modelling[[#This Row],[Finacial Year]])</f>
        <v>11.503100000000009</v>
      </c>
      <c r="CG82">
        <f t="shared" si="28"/>
        <v>4</v>
      </c>
      <c r="CH82">
        <f t="shared" si="29"/>
        <v>65</v>
      </c>
    </row>
    <row r="83" spans="1:86" x14ac:dyDescent="0.35">
      <c r="A83" s="27">
        <v>45082</v>
      </c>
      <c r="B83" s="5">
        <f>MONTH(Modelling_old[[#This Row],[Date]])</f>
        <v>6</v>
      </c>
      <c r="C83" s="25">
        <f t="shared" si="31"/>
        <v>2024</v>
      </c>
      <c r="D83" s="3">
        <f t="shared" si="32"/>
        <v>2023</v>
      </c>
      <c r="E83" s="3" t="s">
        <v>626</v>
      </c>
      <c r="F83" s="5" t="s">
        <v>626</v>
      </c>
      <c r="G83" s="102">
        <v>45078</v>
      </c>
      <c r="H83" s="5">
        <f t="shared" si="33"/>
        <v>30</v>
      </c>
      <c r="I83" s="5">
        <f t="shared" si="34"/>
        <v>6</v>
      </c>
      <c r="J83" s="4">
        <f t="shared" si="35"/>
        <v>41</v>
      </c>
      <c r="K83" s="4">
        <f>SUM($J$79:J83)</f>
        <v>205</v>
      </c>
      <c r="L83" s="4">
        <f>SUM($J$18:J83)</f>
        <v>3345.000000000005</v>
      </c>
      <c r="M83" s="4">
        <f t="shared" si="36"/>
        <v>5.1233333333333331</v>
      </c>
      <c r="N83" s="4">
        <f>SUM($M$79:M83)</f>
        <v>25.616666666666667</v>
      </c>
      <c r="O83" s="4">
        <f>SUM($M$18:M83)</f>
        <v>426.71666666666613</v>
      </c>
      <c r="P83" s="9">
        <f t="shared" si="37"/>
        <v>0.6956909417764543</v>
      </c>
      <c r="Q83" s="26">
        <f t="shared" si="30"/>
        <v>0.69569094177645419</v>
      </c>
      <c r="R83" s="26">
        <f t="shared" si="30"/>
        <v>0.68146196468446096</v>
      </c>
      <c r="S83" s="9">
        <f t="shared" si="38"/>
        <v>0.14851069132089031</v>
      </c>
      <c r="T83" s="9">
        <f>K83/((COUNT($K$79:K83))*24*$Q$1)</f>
        <v>0.14851069132089031</v>
      </c>
      <c r="U83" s="28">
        <f>L83/((COUNT($L$18:L83))*24*$Q$1)</f>
        <v>0.18358028916052432</v>
      </c>
      <c r="V83" s="134">
        <v>11.5031</v>
      </c>
      <c r="Y83" s="27">
        <f t="shared" si="26"/>
        <v>45082</v>
      </c>
      <c r="Z83" s="5">
        <f>MONTH(Modelling_new[[#This Row],[Date]])</f>
        <v>6</v>
      </c>
      <c r="AA83" s="25">
        <f>YEAR(Y83)+IF(MONTH(Modelling_new[[#This Row],[Date]])&gt;=4,1,0)</f>
        <v>2024</v>
      </c>
      <c r="AB83" s="3">
        <f t="shared" si="39"/>
        <v>2023</v>
      </c>
      <c r="AC83" s="3" t="s">
        <v>626</v>
      </c>
      <c r="AD83" s="5" t="s">
        <v>626</v>
      </c>
      <c r="AE83" s="102">
        <v>45078</v>
      </c>
      <c r="AF83" s="5">
        <f t="shared" si="40"/>
        <v>30</v>
      </c>
      <c r="AG83" s="5">
        <f t="shared" si="41"/>
        <v>6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BD83" s="27">
        <f t="shared" si="27"/>
        <v>45082</v>
      </c>
      <c r="BE83" s="5">
        <f>MONTH(Modelling[[#This Row],[Date]])</f>
        <v>6</v>
      </c>
      <c r="BF83" s="25">
        <f>YEAR(BD83)+IF(MONTH(Modelling[[#This Row],[Date]])&gt;=4,1,0)</f>
        <v>2024</v>
      </c>
      <c r="BG83" s="3">
        <f t="shared" si="42"/>
        <v>2023</v>
      </c>
      <c r="BH83" s="3" t="s">
        <v>626</v>
      </c>
      <c r="BI83" s="5" t="s">
        <v>626</v>
      </c>
      <c r="BJ83" s="102">
        <v>45078</v>
      </c>
      <c r="BK83" s="5">
        <f t="shared" si="43"/>
        <v>30</v>
      </c>
      <c r="BL83" s="5">
        <f t="shared" si="44"/>
        <v>6</v>
      </c>
      <c r="BM83" s="4">
        <f>Modelling_old[[#This Row],[Target E_Grid daily
MWh]]+Modelling_new[[#This Row],[Target E_Grid daily
MWh]]</f>
        <v>41</v>
      </c>
      <c r="BN83" s="4">
        <f>Modelling_old[[#This Row],[Target E_Grid MTD
MWh]]+Modelling_new[[#This Row],[Target E_Grid MTD
MWh]]</f>
        <v>205</v>
      </c>
      <c r="BO83" s="4">
        <f>Modelling_old[[#This Row],[Target E_Grid YTD
MWh]]+Modelling_new[[#This Row],[Target E_Grid YTD
MWh]]</f>
        <v>3345.000000000005</v>
      </c>
      <c r="BP8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83" s="4">
        <f>SUMIFS(Modelling[Target POA Daily (KWh/m2)],Modelling[Date],"&lt;="&amp;Modelling[[#This Row],[Date]],Modelling[Month Year],Modelling[[#This Row],[Month Year]])</f>
        <v>25.616666666666667</v>
      </c>
      <c r="BR83" s="4">
        <f>SUMIFS(Modelling[Target POA Daily (KWh/m2)],Modelling[Date],"&lt;="&amp;Modelling[[#This Row],[Date]],Modelling[Finacial Year],Modelling[[#This Row],[Finacial Year]])</f>
        <v>426.71666666666613</v>
      </c>
      <c r="BS83" s="9">
        <f>BM83/Modelling[[#This Row],[Comisined DC ]]/BP83</f>
        <v>0.6956909417764543</v>
      </c>
      <c r="BT83" s="9">
        <f>BN83/BQ83/Modelling[[#This Row],[Comisined DC ]]</f>
        <v>0.69569094177645419</v>
      </c>
      <c r="BU83" s="9">
        <f>BO83/BR83/Modelling[[#This Row],[Comisined DC ]]</f>
        <v>0.68146196468446096</v>
      </c>
      <c r="BV83" s="9">
        <f>BM83/(24*Modelling[[#This Row],[Comisined DC ]])</f>
        <v>0.14851069132089031</v>
      </c>
      <c r="BW83" s="9">
        <f>BN83/((COUNTIFS(Modelling[Date],"&lt;="&amp;Modelling[[#This Row],[Date]],Modelling[Month Year],Modelling[[#This Row],[Month Year]])*24*Modelling[[#This Row],[MTD DC Capcity]]))</f>
        <v>0.14851069132089031</v>
      </c>
      <c r="BX83" s="28">
        <f>BO83/((COUNTIFS(Modelling[Date],"&lt;="&amp;Modelling[[#This Row],[Date]],Modelling[Finacial Year],Modelling[[#This Row],[Finacial Year]])*24*Modelling[[#This Row],[MTD DC Capcity]]))</f>
        <v>0.18358028916052432</v>
      </c>
      <c r="BY83" s="4">
        <f>Modelling_old[[#This Row],[DC Capcity]]+Modelling_new[[#This Row],[Comisined DC ]]</f>
        <v>11.5031</v>
      </c>
      <c r="BZ83" s="4">
        <v>0</v>
      </c>
      <c r="CA83" s="4">
        <f>AVERAGEIFS(Modelling[[Comisined DC ]],Modelling[Date],"&lt;="&amp;Modelling[[#This Row],[Date]],Modelling[Month Year],Modelling[[#This Row],[Month Year]])</f>
        <v>11.5031</v>
      </c>
      <c r="CB83" s="4">
        <f>AVERAGEIFS(Modelling[[Comisined DC ]],Modelling[Date],"&lt;="&amp;Modelling[[#This Row],[Date]],Modelling[Finacial Year],Modelling[[#This Row],[Finacial Year]])</f>
        <v>11.503100000000009</v>
      </c>
      <c r="CG83">
        <f t="shared" si="28"/>
        <v>5</v>
      </c>
      <c r="CH83">
        <f t="shared" si="29"/>
        <v>66</v>
      </c>
    </row>
    <row r="84" spans="1:86" x14ac:dyDescent="0.35">
      <c r="A84" s="27">
        <v>45083</v>
      </c>
      <c r="B84" s="5">
        <f>MONTH(Modelling_old[[#This Row],[Date]])</f>
        <v>6</v>
      </c>
      <c r="C84" s="25">
        <f t="shared" si="31"/>
        <v>2024</v>
      </c>
      <c r="D84" s="3">
        <f t="shared" si="32"/>
        <v>2023</v>
      </c>
      <c r="E84" s="3" t="s">
        <v>626</v>
      </c>
      <c r="F84" s="5" t="s">
        <v>626</v>
      </c>
      <c r="G84" s="102">
        <v>45078</v>
      </c>
      <c r="H84" s="5">
        <f t="shared" si="33"/>
        <v>30</v>
      </c>
      <c r="I84" s="5">
        <f t="shared" si="34"/>
        <v>6</v>
      </c>
      <c r="J84" s="4">
        <f t="shared" si="35"/>
        <v>41</v>
      </c>
      <c r="K84" s="4">
        <f>SUM($J$79:J84)</f>
        <v>246</v>
      </c>
      <c r="L84" s="4">
        <f>SUM($J$18:J84)</f>
        <v>3386.000000000005</v>
      </c>
      <c r="M84" s="4">
        <f t="shared" si="36"/>
        <v>5.1233333333333331</v>
      </c>
      <c r="N84" s="4">
        <f>SUM($M$79:M84)</f>
        <v>30.740000000000002</v>
      </c>
      <c r="O84" s="4">
        <f>SUM($M$18:M84)</f>
        <v>431.83999999999946</v>
      </c>
      <c r="P84" s="9">
        <f t="shared" si="37"/>
        <v>0.6956909417764543</v>
      </c>
      <c r="Q84" s="26">
        <f t="shared" si="30"/>
        <v>0.69569094177645419</v>
      </c>
      <c r="R84" s="26">
        <f t="shared" si="30"/>
        <v>0.68163077672742745</v>
      </c>
      <c r="S84" s="9">
        <f t="shared" si="38"/>
        <v>0.14851069132089031</v>
      </c>
      <c r="T84" s="9">
        <f>K84/((COUNT($K$79:K84))*24*$Q$1)</f>
        <v>0.14851069132089031</v>
      </c>
      <c r="U84" s="28">
        <f>L84/((COUNT($L$18:L84))*24*$Q$1)</f>
        <v>0.18305686232709698</v>
      </c>
      <c r="V84" s="134">
        <v>11.5031</v>
      </c>
      <c r="Y84" s="27">
        <f t="shared" ref="Y84:Y147" si="45">Y83+1</f>
        <v>45083</v>
      </c>
      <c r="Z84" s="5">
        <f>MONTH(Modelling_new[[#This Row],[Date]])</f>
        <v>6</v>
      </c>
      <c r="AA84" s="25">
        <f>YEAR(Y84)+IF(MONTH(Modelling_new[[#This Row],[Date]])&gt;=4,1,0)</f>
        <v>2024</v>
      </c>
      <c r="AB84" s="3">
        <f t="shared" si="39"/>
        <v>2023</v>
      </c>
      <c r="AC84" s="3" t="s">
        <v>626</v>
      </c>
      <c r="AD84" s="5" t="s">
        <v>626</v>
      </c>
      <c r="AE84" s="102">
        <v>45078</v>
      </c>
      <c r="AF84" s="5">
        <f t="shared" si="40"/>
        <v>30</v>
      </c>
      <c r="AG84" s="5">
        <f t="shared" si="41"/>
        <v>6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BD84" s="27">
        <f t="shared" ref="BD84:BD147" si="46">BD83+1</f>
        <v>45083</v>
      </c>
      <c r="BE84" s="5">
        <f>MONTH(Modelling[[#This Row],[Date]])</f>
        <v>6</v>
      </c>
      <c r="BF84" s="25">
        <f>YEAR(BD84)+IF(MONTH(Modelling[[#This Row],[Date]])&gt;=4,1,0)</f>
        <v>2024</v>
      </c>
      <c r="BG84" s="3">
        <f t="shared" si="42"/>
        <v>2023</v>
      </c>
      <c r="BH84" s="3" t="s">
        <v>626</v>
      </c>
      <c r="BI84" s="5" t="s">
        <v>626</v>
      </c>
      <c r="BJ84" s="102">
        <v>45078</v>
      </c>
      <c r="BK84" s="5">
        <f t="shared" si="43"/>
        <v>30</v>
      </c>
      <c r="BL84" s="5">
        <f t="shared" si="44"/>
        <v>6</v>
      </c>
      <c r="BM84" s="4">
        <f>Modelling_old[[#This Row],[Target E_Grid daily
MWh]]+Modelling_new[[#This Row],[Target E_Grid daily
MWh]]</f>
        <v>41</v>
      </c>
      <c r="BN84" s="4">
        <f>Modelling_old[[#This Row],[Target E_Grid MTD
MWh]]+Modelling_new[[#This Row],[Target E_Grid MTD
MWh]]</f>
        <v>246</v>
      </c>
      <c r="BO84" s="4">
        <f>Modelling_old[[#This Row],[Target E_Grid YTD
MWh]]+Modelling_new[[#This Row],[Target E_Grid YTD
MWh]]</f>
        <v>3386.000000000005</v>
      </c>
      <c r="BP8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84" s="4">
        <f>SUMIFS(Modelling[Target POA Daily (KWh/m2)],Modelling[Date],"&lt;="&amp;Modelling[[#This Row],[Date]],Modelling[Month Year],Modelling[[#This Row],[Month Year]])</f>
        <v>30.740000000000002</v>
      </c>
      <c r="BR84" s="4">
        <f>SUMIFS(Modelling[Target POA Daily (KWh/m2)],Modelling[Date],"&lt;="&amp;Modelling[[#This Row],[Date]],Modelling[Finacial Year],Modelling[[#This Row],[Finacial Year]])</f>
        <v>431.83999999999946</v>
      </c>
      <c r="BS84" s="9">
        <f>BM84/Modelling[[#This Row],[Comisined DC ]]/BP84</f>
        <v>0.6956909417764543</v>
      </c>
      <c r="BT84" s="9">
        <f>BN84/BQ84/Modelling[[#This Row],[Comisined DC ]]</f>
        <v>0.69569094177645419</v>
      </c>
      <c r="BU84" s="9">
        <f>BO84/BR84/Modelling[[#This Row],[Comisined DC ]]</f>
        <v>0.68163077672742745</v>
      </c>
      <c r="BV84" s="9">
        <f>BM84/(24*Modelling[[#This Row],[Comisined DC ]])</f>
        <v>0.14851069132089031</v>
      </c>
      <c r="BW84" s="9">
        <f>BN84/((COUNTIFS(Modelling[Date],"&lt;="&amp;Modelling[[#This Row],[Date]],Modelling[Month Year],Modelling[[#This Row],[Month Year]])*24*Modelling[[#This Row],[MTD DC Capcity]]))</f>
        <v>0.14851069132089029</v>
      </c>
      <c r="BX84" s="28">
        <f>BO84/((COUNTIFS(Modelling[Date],"&lt;="&amp;Modelling[[#This Row],[Date]],Modelling[Finacial Year],Modelling[[#This Row],[Finacial Year]])*24*Modelling[[#This Row],[MTD DC Capcity]]))</f>
        <v>0.18305686232709695</v>
      </c>
      <c r="BY84" s="4">
        <f>Modelling_old[[#This Row],[DC Capcity]]+Modelling_new[[#This Row],[Comisined DC ]]</f>
        <v>11.5031</v>
      </c>
      <c r="BZ84" s="4">
        <v>0</v>
      </c>
      <c r="CA84" s="4">
        <f>AVERAGEIFS(Modelling[[Comisined DC ]],Modelling[Date],"&lt;="&amp;Modelling[[#This Row],[Date]],Modelling[Month Year],Modelling[[#This Row],[Month Year]])</f>
        <v>11.503100000000002</v>
      </c>
      <c r="CB84" s="4">
        <f>AVERAGEIFS(Modelling[[Comisined DC ]],Modelling[Date],"&lt;="&amp;Modelling[[#This Row],[Date]],Modelling[Finacial Year],Modelling[[#This Row],[Finacial Year]])</f>
        <v>11.503100000000009</v>
      </c>
      <c r="CG84">
        <f t="shared" ref="CG84:CG147" si="47">CG83+1</f>
        <v>6</v>
      </c>
      <c r="CH84">
        <f t="shared" ref="CH84:CH147" si="48">CH83+1</f>
        <v>67</v>
      </c>
    </row>
    <row r="85" spans="1:86" x14ac:dyDescent="0.35">
      <c r="A85" s="27">
        <v>45084</v>
      </c>
      <c r="B85" s="5">
        <f>MONTH(Modelling_old[[#This Row],[Date]])</f>
        <v>6</v>
      </c>
      <c r="C85" s="25">
        <f t="shared" si="31"/>
        <v>2024</v>
      </c>
      <c r="D85" s="3">
        <f t="shared" si="32"/>
        <v>2023</v>
      </c>
      <c r="E85" s="3" t="s">
        <v>626</v>
      </c>
      <c r="F85" s="5" t="s">
        <v>626</v>
      </c>
      <c r="G85" s="102">
        <v>45078</v>
      </c>
      <c r="H85" s="5">
        <f t="shared" si="33"/>
        <v>30</v>
      </c>
      <c r="I85" s="5">
        <f t="shared" si="34"/>
        <v>6</v>
      </c>
      <c r="J85" s="4">
        <f t="shared" si="35"/>
        <v>41</v>
      </c>
      <c r="K85" s="4">
        <f>SUM($J$79:J85)</f>
        <v>287</v>
      </c>
      <c r="L85" s="4">
        <f>SUM($J$18:J85)</f>
        <v>3427.000000000005</v>
      </c>
      <c r="M85" s="4">
        <f t="shared" si="36"/>
        <v>5.1233333333333331</v>
      </c>
      <c r="N85" s="4">
        <f>SUM($M$79:M85)</f>
        <v>35.863333333333337</v>
      </c>
      <c r="O85" s="4">
        <f>SUM($M$18:M85)</f>
        <v>436.9633333333328</v>
      </c>
      <c r="P85" s="9">
        <f t="shared" si="37"/>
        <v>0.6956909417764543</v>
      </c>
      <c r="Q85" s="26">
        <f t="shared" si="30"/>
        <v>0.69569094177645419</v>
      </c>
      <c r="R85" s="26">
        <f t="shared" si="30"/>
        <v>0.68179563017569811</v>
      </c>
      <c r="S85" s="9">
        <f t="shared" si="38"/>
        <v>0.14851069132089031</v>
      </c>
      <c r="T85" s="9">
        <f>K85/((COUNT($K$79:K85))*24*$Q$1)</f>
        <v>0.14851069132089031</v>
      </c>
      <c r="U85" s="28">
        <f>L85/((COUNT($L$18:L85))*24*$Q$1)</f>
        <v>0.1825488304005351</v>
      </c>
      <c r="V85" s="134">
        <v>11.5031</v>
      </c>
      <c r="Y85" s="27">
        <f t="shared" si="45"/>
        <v>45084</v>
      </c>
      <c r="Z85" s="5">
        <f>MONTH(Modelling_new[[#This Row],[Date]])</f>
        <v>6</v>
      </c>
      <c r="AA85" s="25">
        <f>YEAR(Y85)+IF(MONTH(Modelling_new[[#This Row],[Date]])&gt;=4,1,0)</f>
        <v>2024</v>
      </c>
      <c r="AB85" s="3">
        <f t="shared" si="39"/>
        <v>2023</v>
      </c>
      <c r="AC85" s="3" t="s">
        <v>626</v>
      </c>
      <c r="AD85" s="5" t="s">
        <v>626</v>
      </c>
      <c r="AE85" s="102">
        <v>45078</v>
      </c>
      <c r="AF85" s="5">
        <f t="shared" si="40"/>
        <v>30</v>
      </c>
      <c r="AG85" s="5">
        <f t="shared" si="41"/>
        <v>6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BD85" s="27">
        <f t="shared" si="46"/>
        <v>45084</v>
      </c>
      <c r="BE85" s="5">
        <f>MONTH(Modelling[[#This Row],[Date]])</f>
        <v>6</v>
      </c>
      <c r="BF85" s="25">
        <f>YEAR(BD85)+IF(MONTH(Modelling[[#This Row],[Date]])&gt;=4,1,0)</f>
        <v>2024</v>
      </c>
      <c r="BG85" s="3">
        <f t="shared" si="42"/>
        <v>2023</v>
      </c>
      <c r="BH85" s="3" t="s">
        <v>626</v>
      </c>
      <c r="BI85" s="5" t="s">
        <v>626</v>
      </c>
      <c r="BJ85" s="102">
        <v>45078</v>
      </c>
      <c r="BK85" s="5">
        <f t="shared" si="43"/>
        <v>30</v>
      </c>
      <c r="BL85" s="5">
        <f t="shared" si="44"/>
        <v>6</v>
      </c>
      <c r="BM85" s="4">
        <f>Modelling_old[[#This Row],[Target E_Grid daily
MWh]]+Modelling_new[[#This Row],[Target E_Grid daily
MWh]]</f>
        <v>41</v>
      </c>
      <c r="BN85" s="4">
        <f>Modelling_old[[#This Row],[Target E_Grid MTD
MWh]]+Modelling_new[[#This Row],[Target E_Grid MTD
MWh]]</f>
        <v>287</v>
      </c>
      <c r="BO85" s="4">
        <f>Modelling_old[[#This Row],[Target E_Grid YTD
MWh]]+Modelling_new[[#This Row],[Target E_Grid YTD
MWh]]</f>
        <v>3427.000000000005</v>
      </c>
      <c r="BP8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85" s="4">
        <f>SUMIFS(Modelling[Target POA Daily (KWh/m2)],Modelling[Date],"&lt;="&amp;Modelling[[#This Row],[Date]],Modelling[Month Year],Modelling[[#This Row],[Month Year]])</f>
        <v>35.863333333333337</v>
      </c>
      <c r="BR85" s="4">
        <f>SUMIFS(Modelling[Target POA Daily (KWh/m2)],Modelling[Date],"&lt;="&amp;Modelling[[#This Row],[Date]],Modelling[Finacial Year],Modelling[[#This Row],[Finacial Year]])</f>
        <v>436.9633333333328</v>
      </c>
      <c r="BS85" s="9">
        <f>BM85/Modelling[[#This Row],[Comisined DC ]]/BP85</f>
        <v>0.6956909417764543</v>
      </c>
      <c r="BT85" s="9">
        <f>BN85/BQ85/Modelling[[#This Row],[Comisined DC ]]</f>
        <v>0.69569094177645419</v>
      </c>
      <c r="BU85" s="9">
        <f>BO85/BR85/Modelling[[#This Row],[Comisined DC ]]</f>
        <v>0.68179563017569811</v>
      </c>
      <c r="BV85" s="9">
        <f>BM85/(24*Modelling[[#This Row],[Comisined DC ]])</f>
        <v>0.14851069132089031</v>
      </c>
      <c r="BW85" s="9">
        <f>BN85/((COUNTIFS(Modelling[Date],"&lt;="&amp;Modelling[[#This Row],[Date]],Modelling[Month Year],Modelling[[#This Row],[Month Year]])*24*Modelling[[#This Row],[MTD DC Capcity]]))</f>
        <v>0.14851069132089029</v>
      </c>
      <c r="BX85" s="28">
        <f>BO85/((COUNTIFS(Modelling[Date],"&lt;="&amp;Modelling[[#This Row],[Date]],Modelling[Finacial Year],Modelling[[#This Row],[Finacial Year]])*24*Modelling[[#This Row],[MTD DC Capcity]]))</f>
        <v>0.18254883040053507</v>
      </c>
      <c r="BY85" s="4">
        <f>Modelling_old[[#This Row],[DC Capcity]]+Modelling_new[[#This Row],[Comisined DC ]]</f>
        <v>11.5031</v>
      </c>
      <c r="BZ85" s="4">
        <v>0</v>
      </c>
      <c r="CA85" s="4">
        <f>AVERAGEIFS(Modelling[[Comisined DC ]],Modelling[Date],"&lt;="&amp;Modelling[[#This Row],[Date]],Modelling[Month Year],Modelling[[#This Row],[Month Year]])</f>
        <v>11.503100000000002</v>
      </c>
      <c r="CB85" s="4">
        <f>AVERAGEIFS(Modelling[[Comisined DC ]],Modelling[Date],"&lt;="&amp;Modelling[[#This Row],[Date]],Modelling[Finacial Year],Modelling[[#This Row],[Finacial Year]])</f>
        <v>11.503100000000009</v>
      </c>
      <c r="CG85">
        <f t="shared" si="47"/>
        <v>7</v>
      </c>
      <c r="CH85">
        <f t="shared" si="48"/>
        <v>68</v>
      </c>
    </row>
    <row r="86" spans="1:86" x14ac:dyDescent="0.35">
      <c r="A86" s="27">
        <v>45085</v>
      </c>
      <c r="B86" s="5">
        <f>MONTH(Modelling_old[[#This Row],[Date]])</f>
        <v>6</v>
      </c>
      <c r="C86" s="25">
        <f t="shared" si="31"/>
        <v>2024</v>
      </c>
      <c r="D86" s="3">
        <f t="shared" si="32"/>
        <v>2023</v>
      </c>
      <c r="E86" s="3" t="s">
        <v>626</v>
      </c>
      <c r="F86" s="5" t="s">
        <v>626</v>
      </c>
      <c r="G86" s="102">
        <v>45078</v>
      </c>
      <c r="H86" s="5">
        <f t="shared" si="33"/>
        <v>30</v>
      </c>
      <c r="I86" s="5">
        <f t="shared" si="34"/>
        <v>6</v>
      </c>
      <c r="J86" s="4">
        <f t="shared" si="35"/>
        <v>41</v>
      </c>
      <c r="K86" s="4">
        <f>SUM($J$79:J86)</f>
        <v>328</v>
      </c>
      <c r="L86" s="4">
        <f>SUM($J$18:J86)</f>
        <v>3468.000000000005</v>
      </c>
      <c r="M86" s="4">
        <f t="shared" si="36"/>
        <v>5.1233333333333331</v>
      </c>
      <c r="N86" s="4">
        <f>SUM($M$79:M86)</f>
        <v>40.986666666666672</v>
      </c>
      <c r="O86" s="4">
        <f>SUM($M$18:M86)</f>
        <v>442.08666666666613</v>
      </c>
      <c r="P86" s="9">
        <f t="shared" si="37"/>
        <v>0.6956909417764543</v>
      </c>
      <c r="Q86" s="26">
        <f t="shared" si="30"/>
        <v>0.69569094177645419</v>
      </c>
      <c r="R86" s="26">
        <f t="shared" si="30"/>
        <v>0.68195666265749177</v>
      </c>
      <c r="S86" s="9">
        <f t="shared" si="38"/>
        <v>0.14851069132089031</v>
      </c>
      <c r="T86" s="9">
        <f>K86/((COUNT($K$79:K86))*24*$Q$1)</f>
        <v>0.14851069132089031</v>
      </c>
      <c r="U86" s="28">
        <f>L86/((COUNT($L$18:L86))*24*$Q$1)</f>
        <v>0.18205552403706196</v>
      </c>
      <c r="V86" s="134">
        <v>11.5031</v>
      </c>
      <c r="Y86" s="27">
        <f t="shared" si="45"/>
        <v>45085</v>
      </c>
      <c r="Z86" s="5">
        <f>MONTH(Modelling_new[[#This Row],[Date]])</f>
        <v>6</v>
      </c>
      <c r="AA86" s="25">
        <f>YEAR(Y86)+IF(MONTH(Modelling_new[[#This Row],[Date]])&gt;=4,1,0)</f>
        <v>2024</v>
      </c>
      <c r="AB86" s="3">
        <f t="shared" si="39"/>
        <v>2023</v>
      </c>
      <c r="AC86" s="3" t="s">
        <v>626</v>
      </c>
      <c r="AD86" s="5" t="s">
        <v>626</v>
      </c>
      <c r="AE86" s="102">
        <v>45078</v>
      </c>
      <c r="AF86" s="5">
        <f t="shared" si="40"/>
        <v>30</v>
      </c>
      <c r="AG86" s="5">
        <f t="shared" si="41"/>
        <v>6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BD86" s="27">
        <f t="shared" si="46"/>
        <v>45085</v>
      </c>
      <c r="BE86" s="5">
        <f>MONTH(Modelling[[#This Row],[Date]])</f>
        <v>6</v>
      </c>
      <c r="BF86" s="25">
        <f>YEAR(BD86)+IF(MONTH(Modelling[[#This Row],[Date]])&gt;=4,1,0)</f>
        <v>2024</v>
      </c>
      <c r="BG86" s="3">
        <f t="shared" si="42"/>
        <v>2023</v>
      </c>
      <c r="BH86" s="3" t="s">
        <v>626</v>
      </c>
      <c r="BI86" s="5" t="s">
        <v>626</v>
      </c>
      <c r="BJ86" s="102">
        <v>45078</v>
      </c>
      <c r="BK86" s="5">
        <f t="shared" si="43"/>
        <v>30</v>
      </c>
      <c r="BL86" s="5">
        <f t="shared" si="44"/>
        <v>6</v>
      </c>
      <c r="BM86" s="4">
        <f>Modelling_old[[#This Row],[Target E_Grid daily
MWh]]+Modelling_new[[#This Row],[Target E_Grid daily
MWh]]</f>
        <v>41</v>
      </c>
      <c r="BN86" s="4">
        <f>Modelling_old[[#This Row],[Target E_Grid MTD
MWh]]+Modelling_new[[#This Row],[Target E_Grid MTD
MWh]]</f>
        <v>328</v>
      </c>
      <c r="BO86" s="4">
        <f>Modelling_old[[#This Row],[Target E_Grid YTD
MWh]]+Modelling_new[[#This Row],[Target E_Grid YTD
MWh]]</f>
        <v>3468.000000000005</v>
      </c>
      <c r="BP8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86" s="4">
        <f>SUMIFS(Modelling[Target POA Daily (KWh/m2)],Modelling[Date],"&lt;="&amp;Modelling[[#This Row],[Date]],Modelling[Month Year],Modelling[[#This Row],[Month Year]])</f>
        <v>40.986666666666672</v>
      </c>
      <c r="BR86" s="4">
        <f>SUMIFS(Modelling[Target POA Daily (KWh/m2)],Modelling[Date],"&lt;="&amp;Modelling[[#This Row],[Date]],Modelling[Finacial Year],Modelling[[#This Row],[Finacial Year]])</f>
        <v>442.08666666666613</v>
      </c>
      <c r="BS86" s="9">
        <f>BM86/Modelling[[#This Row],[Comisined DC ]]/BP86</f>
        <v>0.6956909417764543</v>
      </c>
      <c r="BT86" s="9">
        <f>BN86/BQ86/Modelling[[#This Row],[Comisined DC ]]</f>
        <v>0.69569094177645419</v>
      </c>
      <c r="BU86" s="9">
        <f>BO86/BR86/Modelling[[#This Row],[Comisined DC ]]</f>
        <v>0.68195666265749177</v>
      </c>
      <c r="BV86" s="9">
        <f>BM86/(24*Modelling[[#This Row],[Comisined DC ]])</f>
        <v>0.14851069132089031</v>
      </c>
      <c r="BW86" s="9">
        <f>BN86/((COUNTIFS(Modelling[Date],"&lt;="&amp;Modelling[[#This Row],[Date]],Modelling[Month Year],Modelling[[#This Row],[Month Year]])*24*Modelling[[#This Row],[MTD DC Capcity]]))</f>
        <v>0.14851069132089029</v>
      </c>
      <c r="BX86" s="28">
        <f>BO86/((COUNTIFS(Modelling[Date],"&lt;="&amp;Modelling[[#This Row],[Date]],Modelling[Finacial Year],Modelling[[#This Row],[Finacial Year]])*24*Modelling[[#This Row],[MTD DC Capcity]]))</f>
        <v>0.18205552403706196</v>
      </c>
      <c r="BY86" s="4">
        <f>Modelling_old[[#This Row],[DC Capcity]]+Modelling_new[[#This Row],[Comisined DC ]]</f>
        <v>11.5031</v>
      </c>
      <c r="BZ86" s="4">
        <v>0</v>
      </c>
      <c r="CA86" s="4">
        <f>AVERAGEIFS(Modelling[[Comisined DC ]],Modelling[Date],"&lt;="&amp;Modelling[[#This Row],[Date]],Modelling[Month Year],Modelling[[#This Row],[Month Year]])</f>
        <v>11.503100000000002</v>
      </c>
      <c r="CB86" s="4">
        <f>AVERAGEIFS(Modelling[[Comisined DC ]],Modelling[Date],"&lt;="&amp;Modelling[[#This Row],[Date]],Modelling[Finacial Year],Modelling[[#This Row],[Finacial Year]])</f>
        <v>11.503100000000009</v>
      </c>
      <c r="CG86">
        <f t="shared" si="47"/>
        <v>8</v>
      </c>
      <c r="CH86">
        <f t="shared" si="48"/>
        <v>69</v>
      </c>
    </row>
    <row r="87" spans="1:86" x14ac:dyDescent="0.35">
      <c r="A87" s="27">
        <v>45086</v>
      </c>
      <c r="B87" s="5">
        <f>MONTH(Modelling_old[[#This Row],[Date]])</f>
        <v>6</v>
      </c>
      <c r="C87" s="25">
        <f t="shared" si="31"/>
        <v>2024</v>
      </c>
      <c r="D87" s="3">
        <f t="shared" si="32"/>
        <v>2023</v>
      </c>
      <c r="E87" s="3" t="s">
        <v>626</v>
      </c>
      <c r="F87" s="5" t="s">
        <v>626</v>
      </c>
      <c r="G87" s="102">
        <v>45078</v>
      </c>
      <c r="H87" s="5">
        <f t="shared" si="33"/>
        <v>30</v>
      </c>
      <c r="I87" s="5">
        <f t="shared" si="34"/>
        <v>6</v>
      </c>
      <c r="J87" s="4">
        <f t="shared" si="35"/>
        <v>41</v>
      </c>
      <c r="K87" s="4">
        <f>SUM($J$79:J87)</f>
        <v>369</v>
      </c>
      <c r="L87" s="4">
        <f>SUM($J$18:J87)</f>
        <v>3509.000000000005</v>
      </c>
      <c r="M87" s="4">
        <f t="shared" si="36"/>
        <v>5.1233333333333331</v>
      </c>
      <c r="N87" s="4">
        <f>SUM($M$79:M87)</f>
        <v>46.110000000000007</v>
      </c>
      <c r="O87" s="4">
        <f>SUM($M$18:M87)</f>
        <v>447.20999999999947</v>
      </c>
      <c r="P87" s="9">
        <f t="shared" si="37"/>
        <v>0.6956909417764543</v>
      </c>
      <c r="Q87" s="26">
        <f t="shared" si="30"/>
        <v>0.69569094177645419</v>
      </c>
      <c r="R87" s="26">
        <f t="shared" si="30"/>
        <v>0.68211400549423395</v>
      </c>
      <c r="S87" s="9">
        <f t="shared" si="38"/>
        <v>0.14851069132089031</v>
      </c>
      <c r="T87" s="9">
        <f>K87/((COUNT($K$79:K87))*24*$Q$1)</f>
        <v>0.14851069132089029</v>
      </c>
      <c r="U87" s="28">
        <f>L87/((COUNT($L$18:L87))*24*$Q$1)</f>
        <v>0.18157631214111669</v>
      </c>
      <c r="V87" s="134">
        <v>11.5031</v>
      </c>
      <c r="Y87" s="27">
        <f t="shared" si="45"/>
        <v>45086</v>
      </c>
      <c r="Z87" s="5">
        <f>MONTH(Modelling_new[[#This Row],[Date]])</f>
        <v>6</v>
      </c>
      <c r="AA87" s="25">
        <f>YEAR(Y87)+IF(MONTH(Modelling_new[[#This Row],[Date]])&gt;=4,1,0)</f>
        <v>2024</v>
      </c>
      <c r="AB87" s="3">
        <f t="shared" si="39"/>
        <v>2023</v>
      </c>
      <c r="AC87" s="3" t="s">
        <v>626</v>
      </c>
      <c r="AD87" s="5" t="s">
        <v>626</v>
      </c>
      <c r="AE87" s="102">
        <v>45078</v>
      </c>
      <c r="AF87" s="5">
        <f t="shared" si="40"/>
        <v>30</v>
      </c>
      <c r="AG87" s="5">
        <f t="shared" si="41"/>
        <v>6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BD87" s="27">
        <f t="shared" si="46"/>
        <v>45086</v>
      </c>
      <c r="BE87" s="5">
        <f>MONTH(Modelling[[#This Row],[Date]])</f>
        <v>6</v>
      </c>
      <c r="BF87" s="25">
        <f>YEAR(BD87)+IF(MONTH(Modelling[[#This Row],[Date]])&gt;=4,1,0)</f>
        <v>2024</v>
      </c>
      <c r="BG87" s="3">
        <f t="shared" si="42"/>
        <v>2023</v>
      </c>
      <c r="BH87" s="3" t="s">
        <v>626</v>
      </c>
      <c r="BI87" s="5" t="s">
        <v>626</v>
      </c>
      <c r="BJ87" s="102">
        <v>45078</v>
      </c>
      <c r="BK87" s="5">
        <f t="shared" si="43"/>
        <v>30</v>
      </c>
      <c r="BL87" s="5">
        <f t="shared" si="44"/>
        <v>6</v>
      </c>
      <c r="BM87" s="4">
        <f>Modelling_old[[#This Row],[Target E_Grid daily
MWh]]+Modelling_new[[#This Row],[Target E_Grid daily
MWh]]</f>
        <v>41</v>
      </c>
      <c r="BN87" s="4">
        <f>Modelling_old[[#This Row],[Target E_Grid MTD
MWh]]+Modelling_new[[#This Row],[Target E_Grid MTD
MWh]]</f>
        <v>369</v>
      </c>
      <c r="BO87" s="4">
        <f>Modelling_old[[#This Row],[Target E_Grid YTD
MWh]]+Modelling_new[[#This Row],[Target E_Grid YTD
MWh]]</f>
        <v>3509.000000000005</v>
      </c>
      <c r="BP8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87" s="4">
        <f>SUMIFS(Modelling[Target POA Daily (KWh/m2)],Modelling[Date],"&lt;="&amp;Modelling[[#This Row],[Date]],Modelling[Month Year],Modelling[[#This Row],[Month Year]])</f>
        <v>46.110000000000007</v>
      </c>
      <c r="BR87" s="4">
        <f>SUMIFS(Modelling[Target POA Daily (KWh/m2)],Modelling[Date],"&lt;="&amp;Modelling[[#This Row],[Date]],Modelling[Finacial Year],Modelling[[#This Row],[Finacial Year]])</f>
        <v>447.20999999999947</v>
      </c>
      <c r="BS87" s="9">
        <f>BM87/Modelling[[#This Row],[Comisined DC ]]/BP87</f>
        <v>0.6956909417764543</v>
      </c>
      <c r="BT87" s="9">
        <f>BN87/BQ87/Modelling[[#This Row],[Comisined DC ]]</f>
        <v>0.69569094177645419</v>
      </c>
      <c r="BU87" s="9">
        <f>BO87/BR87/Modelling[[#This Row],[Comisined DC ]]</f>
        <v>0.68211400549423395</v>
      </c>
      <c r="BV87" s="9">
        <f>BM87/(24*Modelling[[#This Row],[Comisined DC ]])</f>
        <v>0.14851069132089031</v>
      </c>
      <c r="BW87" s="9">
        <f>BN87/((COUNTIFS(Modelling[Date],"&lt;="&amp;Modelling[[#This Row],[Date]],Modelling[Month Year],Modelling[[#This Row],[Month Year]])*24*Modelling[[#This Row],[MTD DC Capcity]]))</f>
        <v>0.14851069132089029</v>
      </c>
      <c r="BX87" s="28">
        <f>BO87/((COUNTIFS(Modelling[Date],"&lt;="&amp;Modelling[[#This Row],[Date]],Modelling[Finacial Year],Modelling[[#This Row],[Finacial Year]])*24*Modelling[[#This Row],[MTD DC Capcity]]))</f>
        <v>0.18157631214111664</v>
      </c>
      <c r="BY87" s="4">
        <f>Modelling_old[[#This Row],[DC Capcity]]+Modelling_new[[#This Row],[Comisined DC ]]</f>
        <v>11.5031</v>
      </c>
      <c r="BZ87" s="4">
        <v>0</v>
      </c>
      <c r="CA87" s="4">
        <f>AVERAGEIFS(Modelling[[Comisined DC ]],Modelling[Date],"&lt;="&amp;Modelling[[#This Row],[Date]],Modelling[Month Year],Modelling[[#This Row],[Month Year]])</f>
        <v>11.503100000000002</v>
      </c>
      <c r="CB87" s="4">
        <f>AVERAGEIFS(Modelling[[Comisined DC ]],Modelling[Date],"&lt;="&amp;Modelling[[#This Row],[Date]],Modelling[Finacial Year],Modelling[[#This Row],[Finacial Year]])</f>
        <v>11.503100000000009</v>
      </c>
      <c r="CG87">
        <f t="shared" si="47"/>
        <v>9</v>
      </c>
      <c r="CH87">
        <f t="shared" si="48"/>
        <v>70</v>
      </c>
    </row>
    <row r="88" spans="1:86" x14ac:dyDescent="0.35">
      <c r="A88" s="27">
        <v>45087</v>
      </c>
      <c r="B88" s="5">
        <f>MONTH(Modelling_old[[#This Row],[Date]])</f>
        <v>6</v>
      </c>
      <c r="C88" s="25">
        <f t="shared" si="31"/>
        <v>2024</v>
      </c>
      <c r="D88" s="3">
        <f t="shared" si="32"/>
        <v>2023</v>
      </c>
      <c r="E88" s="3" t="s">
        <v>626</v>
      </c>
      <c r="F88" s="5" t="s">
        <v>626</v>
      </c>
      <c r="G88" s="102">
        <v>45078</v>
      </c>
      <c r="H88" s="5">
        <f t="shared" si="33"/>
        <v>30</v>
      </c>
      <c r="I88" s="5">
        <f t="shared" si="34"/>
        <v>6</v>
      </c>
      <c r="J88" s="4">
        <f t="shared" si="35"/>
        <v>41</v>
      </c>
      <c r="K88" s="4">
        <f>SUM($J$79:J88)</f>
        <v>410</v>
      </c>
      <c r="L88" s="4">
        <f>SUM($J$18:J88)</f>
        <v>3550.000000000005</v>
      </c>
      <c r="M88" s="4">
        <f t="shared" si="36"/>
        <v>5.1233333333333331</v>
      </c>
      <c r="N88" s="4">
        <f>SUM($M$79:M88)</f>
        <v>51.233333333333341</v>
      </c>
      <c r="O88" s="4">
        <f>SUM($M$18:M88)</f>
        <v>452.3333333333328</v>
      </c>
      <c r="P88" s="9">
        <f t="shared" si="37"/>
        <v>0.6956909417764543</v>
      </c>
      <c r="Q88" s="26">
        <f t="shared" si="30"/>
        <v>0.69569094177645419</v>
      </c>
      <c r="R88" s="26">
        <f t="shared" si="30"/>
        <v>0.68226778405772526</v>
      </c>
      <c r="S88" s="9">
        <f t="shared" si="38"/>
        <v>0.14851069132089031</v>
      </c>
      <c r="T88" s="9">
        <f>K88/((COUNT($K$79:K88))*24*$Q$1)</f>
        <v>0.14851069132089031</v>
      </c>
      <c r="U88" s="28">
        <f>L88/((COUNT($L$18:L88))*24*$Q$1)</f>
        <v>0.18111059917181771</v>
      </c>
      <c r="V88" s="134">
        <v>11.5031</v>
      </c>
      <c r="Y88" s="27">
        <f t="shared" si="45"/>
        <v>45087</v>
      </c>
      <c r="Z88" s="5">
        <f>MONTH(Modelling_new[[#This Row],[Date]])</f>
        <v>6</v>
      </c>
      <c r="AA88" s="25">
        <f>YEAR(Y88)+IF(MONTH(Modelling_new[[#This Row],[Date]])&gt;=4,1,0)</f>
        <v>2024</v>
      </c>
      <c r="AB88" s="3">
        <f t="shared" si="39"/>
        <v>2023</v>
      </c>
      <c r="AC88" s="3" t="s">
        <v>626</v>
      </c>
      <c r="AD88" s="5" t="s">
        <v>626</v>
      </c>
      <c r="AE88" s="102">
        <v>45078</v>
      </c>
      <c r="AF88" s="5">
        <f t="shared" si="40"/>
        <v>30</v>
      </c>
      <c r="AG88" s="5">
        <f t="shared" si="41"/>
        <v>6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BD88" s="27">
        <f t="shared" si="46"/>
        <v>45087</v>
      </c>
      <c r="BE88" s="5">
        <f>MONTH(Modelling[[#This Row],[Date]])</f>
        <v>6</v>
      </c>
      <c r="BF88" s="25">
        <f>YEAR(BD88)+IF(MONTH(Modelling[[#This Row],[Date]])&gt;=4,1,0)</f>
        <v>2024</v>
      </c>
      <c r="BG88" s="3">
        <f t="shared" si="42"/>
        <v>2023</v>
      </c>
      <c r="BH88" s="3" t="s">
        <v>626</v>
      </c>
      <c r="BI88" s="5" t="s">
        <v>626</v>
      </c>
      <c r="BJ88" s="102">
        <v>45078</v>
      </c>
      <c r="BK88" s="5">
        <f t="shared" si="43"/>
        <v>30</v>
      </c>
      <c r="BL88" s="5">
        <f t="shared" si="44"/>
        <v>6</v>
      </c>
      <c r="BM88" s="4">
        <f>Modelling_old[[#This Row],[Target E_Grid daily
MWh]]+Modelling_new[[#This Row],[Target E_Grid daily
MWh]]</f>
        <v>41</v>
      </c>
      <c r="BN88" s="4">
        <f>Modelling_old[[#This Row],[Target E_Grid MTD
MWh]]+Modelling_new[[#This Row],[Target E_Grid MTD
MWh]]</f>
        <v>410</v>
      </c>
      <c r="BO88" s="4">
        <f>Modelling_old[[#This Row],[Target E_Grid YTD
MWh]]+Modelling_new[[#This Row],[Target E_Grid YTD
MWh]]</f>
        <v>3550.000000000005</v>
      </c>
      <c r="BP8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88" s="4">
        <f>SUMIFS(Modelling[Target POA Daily (KWh/m2)],Modelling[Date],"&lt;="&amp;Modelling[[#This Row],[Date]],Modelling[Month Year],Modelling[[#This Row],[Month Year]])</f>
        <v>51.233333333333341</v>
      </c>
      <c r="BR88" s="4">
        <f>SUMIFS(Modelling[Target POA Daily (KWh/m2)],Modelling[Date],"&lt;="&amp;Modelling[[#This Row],[Date]],Modelling[Finacial Year],Modelling[[#This Row],[Finacial Year]])</f>
        <v>452.3333333333328</v>
      </c>
      <c r="BS88" s="9">
        <f>BM88/Modelling[[#This Row],[Comisined DC ]]/BP88</f>
        <v>0.6956909417764543</v>
      </c>
      <c r="BT88" s="9">
        <f>BN88/BQ88/Modelling[[#This Row],[Comisined DC ]]</f>
        <v>0.69569094177645419</v>
      </c>
      <c r="BU88" s="9">
        <f>BO88/BR88/Modelling[[#This Row],[Comisined DC ]]</f>
        <v>0.68226778405772526</v>
      </c>
      <c r="BV88" s="9">
        <f>BM88/(24*Modelling[[#This Row],[Comisined DC ]])</f>
        <v>0.14851069132089031</v>
      </c>
      <c r="BW88" s="9">
        <f>BN88/((COUNTIFS(Modelling[Date],"&lt;="&amp;Modelling[[#This Row],[Date]],Modelling[Month Year],Modelling[[#This Row],[Month Year]])*24*Modelling[[#This Row],[MTD DC Capcity]]))</f>
        <v>0.14851069132089029</v>
      </c>
      <c r="BX88" s="28">
        <f>BO88/((COUNTIFS(Modelling[Date],"&lt;="&amp;Modelling[[#This Row],[Date]],Modelling[Finacial Year],Modelling[[#This Row],[Finacial Year]])*24*Modelling[[#This Row],[MTD DC Capcity]]))</f>
        <v>0.18111059917181768</v>
      </c>
      <c r="BY88" s="4">
        <f>Modelling_old[[#This Row],[DC Capcity]]+Modelling_new[[#This Row],[Comisined DC ]]</f>
        <v>11.5031</v>
      </c>
      <c r="BZ88" s="4">
        <v>0</v>
      </c>
      <c r="CA88" s="4">
        <f>AVERAGEIFS(Modelling[[Comisined DC ]],Modelling[Date],"&lt;="&amp;Modelling[[#This Row],[Date]],Modelling[Month Year],Modelling[[#This Row],[Month Year]])</f>
        <v>11.503100000000002</v>
      </c>
      <c r="CB88" s="4">
        <f>AVERAGEIFS(Modelling[[Comisined DC ]],Modelling[Date],"&lt;="&amp;Modelling[[#This Row],[Date]],Modelling[Finacial Year],Modelling[[#This Row],[Finacial Year]])</f>
        <v>11.503100000000009</v>
      </c>
      <c r="CG88">
        <f t="shared" si="47"/>
        <v>10</v>
      </c>
      <c r="CH88">
        <f t="shared" si="48"/>
        <v>71</v>
      </c>
    </row>
    <row r="89" spans="1:86" x14ac:dyDescent="0.35">
      <c r="A89" s="27">
        <v>45088</v>
      </c>
      <c r="B89" s="5">
        <f>MONTH(Modelling_old[[#This Row],[Date]])</f>
        <v>6</v>
      </c>
      <c r="C89" s="25">
        <f t="shared" si="31"/>
        <v>2024</v>
      </c>
      <c r="D89" s="3">
        <f t="shared" si="32"/>
        <v>2023</v>
      </c>
      <c r="E89" s="3" t="s">
        <v>626</v>
      </c>
      <c r="F89" s="5" t="s">
        <v>626</v>
      </c>
      <c r="G89" s="102">
        <v>45078</v>
      </c>
      <c r="H89" s="5">
        <f t="shared" si="33"/>
        <v>30</v>
      </c>
      <c r="I89" s="5">
        <f t="shared" si="34"/>
        <v>6</v>
      </c>
      <c r="J89" s="4">
        <f t="shared" si="35"/>
        <v>41</v>
      </c>
      <c r="K89" s="4">
        <f>SUM($J$79:J89)</f>
        <v>451</v>
      </c>
      <c r="L89" s="4">
        <f>SUM($J$18:J89)</f>
        <v>3591.000000000005</v>
      </c>
      <c r="M89" s="4">
        <f t="shared" si="36"/>
        <v>5.1233333333333331</v>
      </c>
      <c r="N89" s="4">
        <f>SUM($M$79:M89)</f>
        <v>56.356666666666676</v>
      </c>
      <c r="O89" s="4">
        <f>SUM($M$18:M89)</f>
        <v>457.45666666666614</v>
      </c>
      <c r="P89" s="9">
        <f t="shared" si="37"/>
        <v>0.6956909417764543</v>
      </c>
      <c r="Q89" s="26">
        <f t="shared" si="30"/>
        <v>0.69569094177645419</v>
      </c>
      <c r="R89" s="26">
        <f t="shared" si="30"/>
        <v>0.68241811810330832</v>
      </c>
      <c r="S89" s="9">
        <f t="shared" si="38"/>
        <v>0.14851069132089031</v>
      </c>
      <c r="T89" s="9">
        <f>K89/((COUNT($K$79:K89))*24*$Q$1)</f>
        <v>0.14851069132089031</v>
      </c>
      <c r="U89" s="28">
        <f>L89/((COUNT($L$18:L89))*24*$Q$1)</f>
        <v>0.18065782267388814</v>
      </c>
      <c r="V89" s="134">
        <v>11.5031</v>
      </c>
      <c r="Y89" s="27">
        <f t="shared" si="45"/>
        <v>45088</v>
      </c>
      <c r="Z89" s="5">
        <f>MONTH(Modelling_new[[#This Row],[Date]])</f>
        <v>6</v>
      </c>
      <c r="AA89" s="25">
        <f>YEAR(Y89)+IF(MONTH(Modelling_new[[#This Row],[Date]])&gt;=4,1,0)</f>
        <v>2024</v>
      </c>
      <c r="AB89" s="3">
        <f t="shared" si="39"/>
        <v>2023</v>
      </c>
      <c r="AC89" s="3" t="s">
        <v>626</v>
      </c>
      <c r="AD89" s="5" t="s">
        <v>626</v>
      </c>
      <c r="AE89" s="102">
        <v>45078</v>
      </c>
      <c r="AF89" s="5">
        <f t="shared" si="40"/>
        <v>30</v>
      </c>
      <c r="AG89" s="5">
        <f t="shared" si="41"/>
        <v>6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BD89" s="27">
        <f t="shared" si="46"/>
        <v>45088</v>
      </c>
      <c r="BE89" s="5">
        <f>MONTH(Modelling[[#This Row],[Date]])</f>
        <v>6</v>
      </c>
      <c r="BF89" s="25">
        <f>YEAR(BD89)+IF(MONTH(Modelling[[#This Row],[Date]])&gt;=4,1,0)</f>
        <v>2024</v>
      </c>
      <c r="BG89" s="3">
        <f t="shared" si="42"/>
        <v>2023</v>
      </c>
      <c r="BH89" s="3" t="s">
        <v>626</v>
      </c>
      <c r="BI89" s="5" t="s">
        <v>626</v>
      </c>
      <c r="BJ89" s="102">
        <v>45078</v>
      </c>
      <c r="BK89" s="5">
        <f t="shared" si="43"/>
        <v>30</v>
      </c>
      <c r="BL89" s="5">
        <f t="shared" si="44"/>
        <v>6</v>
      </c>
      <c r="BM89" s="4">
        <f>Modelling_old[[#This Row],[Target E_Grid daily
MWh]]+Modelling_new[[#This Row],[Target E_Grid daily
MWh]]</f>
        <v>41</v>
      </c>
      <c r="BN89" s="4">
        <f>Modelling_old[[#This Row],[Target E_Grid MTD
MWh]]+Modelling_new[[#This Row],[Target E_Grid MTD
MWh]]</f>
        <v>451</v>
      </c>
      <c r="BO89" s="4">
        <f>Modelling_old[[#This Row],[Target E_Grid YTD
MWh]]+Modelling_new[[#This Row],[Target E_Grid YTD
MWh]]</f>
        <v>3591.000000000005</v>
      </c>
      <c r="BP8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89" s="4">
        <f>SUMIFS(Modelling[Target POA Daily (KWh/m2)],Modelling[Date],"&lt;="&amp;Modelling[[#This Row],[Date]],Modelling[Month Year],Modelling[[#This Row],[Month Year]])</f>
        <v>56.356666666666676</v>
      </c>
      <c r="BR89" s="4">
        <f>SUMIFS(Modelling[Target POA Daily (KWh/m2)],Modelling[Date],"&lt;="&amp;Modelling[[#This Row],[Date]],Modelling[Finacial Year],Modelling[[#This Row],[Finacial Year]])</f>
        <v>457.45666666666614</v>
      </c>
      <c r="BS89" s="9">
        <f>BM89/Modelling[[#This Row],[Comisined DC ]]/BP89</f>
        <v>0.6956909417764543</v>
      </c>
      <c r="BT89" s="9">
        <f>BN89/BQ89/Modelling[[#This Row],[Comisined DC ]]</f>
        <v>0.69569094177645419</v>
      </c>
      <c r="BU89" s="9">
        <f>BO89/BR89/Modelling[[#This Row],[Comisined DC ]]</f>
        <v>0.68241811810330832</v>
      </c>
      <c r="BV89" s="9">
        <f>BM89/(24*Modelling[[#This Row],[Comisined DC ]])</f>
        <v>0.14851069132089031</v>
      </c>
      <c r="BW89" s="9">
        <f>BN89/((COUNTIFS(Modelling[Date],"&lt;="&amp;Modelling[[#This Row],[Date]],Modelling[Month Year],Modelling[[#This Row],[Month Year]])*24*Modelling[[#This Row],[MTD DC Capcity]]))</f>
        <v>0.14851069132089029</v>
      </c>
      <c r="BX89" s="28">
        <f>BO89/((COUNTIFS(Modelling[Date],"&lt;="&amp;Modelling[[#This Row],[Date]],Modelling[Finacial Year],Modelling[[#This Row],[Finacial Year]])*24*Modelling[[#This Row],[MTD DC Capcity]]))</f>
        <v>0.18065782267388814</v>
      </c>
      <c r="BY89" s="4">
        <f>Modelling_old[[#This Row],[DC Capcity]]+Modelling_new[[#This Row],[Comisined DC ]]</f>
        <v>11.5031</v>
      </c>
      <c r="BZ89" s="4">
        <v>0</v>
      </c>
      <c r="CA89" s="4">
        <f>AVERAGEIFS(Modelling[[Comisined DC ]],Modelling[Date],"&lt;="&amp;Modelling[[#This Row],[Date]],Modelling[Month Year],Modelling[[#This Row],[Month Year]])</f>
        <v>11.503100000000002</v>
      </c>
      <c r="CB89" s="4">
        <f>AVERAGEIFS(Modelling[[Comisined DC ]],Modelling[Date],"&lt;="&amp;Modelling[[#This Row],[Date]],Modelling[Finacial Year],Modelling[[#This Row],[Finacial Year]])</f>
        <v>11.503100000000011</v>
      </c>
      <c r="CG89">
        <f t="shared" si="47"/>
        <v>11</v>
      </c>
      <c r="CH89">
        <f t="shared" si="48"/>
        <v>72</v>
      </c>
    </row>
    <row r="90" spans="1:86" x14ac:dyDescent="0.35">
      <c r="A90" s="27">
        <v>45089</v>
      </c>
      <c r="B90" s="5">
        <f>MONTH(Modelling_old[[#This Row],[Date]])</f>
        <v>6</v>
      </c>
      <c r="C90" s="25">
        <f t="shared" si="31"/>
        <v>2024</v>
      </c>
      <c r="D90" s="3">
        <f t="shared" si="32"/>
        <v>2023</v>
      </c>
      <c r="E90" s="3" t="s">
        <v>626</v>
      </c>
      <c r="F90" s="5" t="s">
        <v>626</v>
      </c>
      <c r="G90" s="102">
        <v>45078</v>
      </c>
      <c r="H90" s="5">
        <f t="shared" si="33"/>
        <v>30</v>
      </c>
      <c r="I90" s="5">
        <f t="shared" si="34"/>
        <v>6</v>
      </c>
      <c r="J90" s="4">
        <f t="shared" si="35"/>
        <v>41</v>
      </c>
      <c r="K90" s="4">
        <f>SUM($J$79:J90)</f>
        <v>492</v>
      </c>
      <c r="L90" s="4">
        <f>SUM($J$18:J90)</f>
        <v>3632.000000000005</v>
      </c>
      <c r="M90" s="4">
        <f t="shared" si="36"/>
        <v>5.1233333333333331</v>
      </c>
      <c r="N90" s="4">
        <f>SUM($M$79:M90)</f>
        <v>61.480000000000011</v>
      </c>
      <c r="O90" s="4">
        <f>SUM($M$18:M90)</f>
        <v>462.57999999999947</v>
      </c>
      <c r="P90" s="9">
        <f t="shared" si="37"/>
        <v>0.6956909417764543</v>
      </c>
      <c r="Q90" s="26">
        <f t="shared" si="30"/>
        <v>0.69569094177645419</v>
      </c>
      <c r="R90" s="26">
        <f t="shared" si="30"/>
        <v>0.68256512208089515</v>
      </c>
      <c r="S90" s="9">
        <f t="shared" si="38"/>
        <v>0.14851069132089031</v>
      </c>
      <c r="T90" s="9">
        <f>K90/((COUNT($K$79:K90))*24*$Q$1)</f>
        <v>0.14851069132089031</v>
      </c>
      <c r="U90" s="28">
        <f>L90/((COUNT($L$18:L90))*24*$Q$1)</f>
        <v>0.18021745101151834</v>
      </c>
      <c r="V90" s="134">
        <v>11.5031</v>
      </c>
      <c r="Y90" s="27">
        <f t="shared" si="45"/>
        <v>45089</v>
      </c>
      <c r="Z90" s="5">
        <f>MONTH(Modelling_new[[#This Row],[Date]])</f>
        <v>6</v>
      </c>
      <c r="AA90" s="25">
        <f>YEAR(Y90)+IF(MONTH(Modelling_new[[#This Row],[Date]])&gt;=4,1,0)</f>
        <v>2024</v>
      </c>
      <c r="AB90" s="3">
        <f t="shared" si="39"/>
        <v>2023</v>
      </c>
      <c r="AC90" s="3" t="s">
        <v>626</v>
      </c>
      <c r="AD90" s="5" t="s">
        <v>626</v>
      </c>
      <c r="AE90" s="102">
        <v>45078</v>
      </c>
      <c r="AF90" s="5">
        <f t="shared" si="40"/>
        <v>30</v>
      </c>
      <c r="AG90" s="5">
        <f t="shared" si="41"/>
        <v>6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BD90" s="27">
        <f t="shared" si="46"/>
        <v>45089</v>
      </c>
      <c r="BE90" s="5">
        <f>MONTH(Modelling[[#This Row],[Date]])</f>
        <v>6</v>
      </c>
      <c r="BF90" s="25">
        <f>YEAR(BD90)+IF(MONTH(Modelling[[#This Row],[Date]])&gt;=4,1,0)</f>
        <v>2024</v>
      </c>
      <c r="BG90" s="3">
        <f t="shared" si="42"/>
        <v>2023</v>
      </c>
      <c r="BH90" s="3" t="s">
        <v>626</v>
      </c>
      <c r="BI90" s="5" t="s">
        <v>626</v>
      </c>
      <c r="BJ90" s="102">
        <v>45078</v>
      </c>
      <c r="BK90" s="5">
        <f t="shared" si="43"/>
        <v>30</v>
      </c>
      <c r="BL90" s="5">
        <f t="shared" si="44"/>
        <v>6</v>
      </c>
      <c r="BM90" s="4">
        <f>Modelling_old[[#This Row],[Target E_Grid daily
MWh]]+Modelling_new[[#This Row],[Target E_Grid daily
MWh]]</f>
        <v>41</v>
      </c>
      <c r="BN90" s="4">
        <f>Modelling_old[[#This Row],[Target E_Grid MTD
MWh]]+Modelling_new[[#This Row],[Target E_Grid MTD
MWh]]</f>
        <v>492</v>
      </c>
      <c r="BO90" s="4">
        <f>Modelling_old[[#This Row],[Target E_Grid YTD
MWh]]+Modelling_new[[#This Row],[Target E_Grid YTD
MWh]]</f>
        <v>3632.000000000005</v>
      </c>
      <c r="BP9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90" s="4">
        <f>SUMIFS(Modelling[Target POA Daily (KWh/m2)],Modelling[Date],"&lt;="&amp;Modelling[[#This Row],[Date]],Modelling[Month Year],Modelling[[#This Row],[Month Year]])</f>
        <v>61.480000000000011</v>
      </c>
      <c r="BR90" s="4">
        <f>SUMIFS(Modelling[Target POA Daily (KWh/m2)],Modelling[Date],"&lt;="&amp;Modelling[[#This Row],[Date]],Modelling[Finacial Year],Modelling[[#This Row],[Finacial Year]])</f>
        <v>462.57999999999947</v>
      </c>
      <c r="BS90" s="9">
        <f>BM90/Modelling[[#This Row],[Comisined DC ]]/BP90</f>
        <v>0.6956909417764543</v>
      </c>
      <c r="BT90" s="9">
        <f>BN90/BQ90/Modelling[[#This Row],[Comisined DC ]]</f>
        <v>0.69569094177645419</v>
      </c>
      <c r="BU90" s="9">
        <f>BO90/BR90/Modelling[[#This Row],[Comisined DC ]]</f>
        <v>0.68256512208089515</v>
      </c>
      <c r="BV90" s="9">
        <f>BM90/(24*Modelling[[#This Row],[Comisined DC ]])</f>
        <v>0.14851069132089031</v>
      </c>
      <c r="BW90" s="9">
        <f>BN90/((COUNTIFS(Modelling[Date],"&lt;="&amp;Modelling[[#This Row],[Date]],Modelling[Month Year],Modelling[[#This Row],[Month Year]])*24*Modelling[[#This Row],[MTD DC Capcity]]))</f>
        <v>0.14851069132089029</v>
      </c>
      <c r="BX90" s="28">
        <f>BO90/((COUNTIFS(Modelling[Date],"&lt;="&amp;Modelling[[#This Row],[Date]],Modelling[Finacial Year],Modelling[[#This Row],[Finacial Year]])*24*Modelling[[#This Row],[MTD DC Capcity]]))</f>
        <v>0.18021745101151831</v>
      </c>
      <c r="BY90" s="4">
        <f>Modelling_old[[#This Row],[DC Capcity]]+Modelling_new[[#This Row],[Comisined DC ]]</f>
        <v>11.5031</v>
      </c>
      <c r="BZ90" s="4">
        <v>0</v>
      </c>
      <c r="CA90" s="4">
        <f>AVERAGEIFS(Modelling[[Comisined DC ]],Modelling[Date],"&lt;="&amp;Modelling[[#This Row],[Date]],Modelling[Month Year],Modelling[[#This Row],[Month Year]])</f>
        <v>11.503100000000002</v>
      </c>
      <c r="CB90" s="4">
        <f>AVERAGEIFS(Modelling[[Comisined DC ]],Modelling[Date],"&lt;="&amp;Modelling[[#This Row],[Date]],Modelling[Finacial Year],Modelling[[#This Row],[Finacial Year]])</f>
        <v>11.503100000000011</v>
      </c>
      <c r="CG90">
        <f t="shared" si="47"/>
        <v>12</v>
      </c>
      <c r="CH90">
        <f t="shared" si="48"/>
        <v>73</v>
      </c>
    </row>
    <row r="91" spans="1:86" x14ac:dyDescent="0.35">
      <c r="A91" s="27">
        <v>45090</v>
      </c>
      <c r="B91" s="5">
        <f>MONTH(Modelling_old[[#This Row],[Date]])</f>
        <v>6</v>
      </c>
      <c r="C91" s="25">
        <f t="shared" si="31"/>
        <v>2024</v>
      </c>
      <c r="D91" s="3">
        <f t="shared" si="32"/>
        <v>2023</v>
      </c>
      <c r="E91" s="3" t="s">
        <v>626</v>
      </c>
      <c r="F91" s="5" t="s">
        <v>626</v>
      </c>
      <c r="G91" s="102">
        <v>45078</v>
      </c>
      <c r="H91" s="5">
        <f t="shared" si="33"/>
        <v>30</v>
      </c>
      <c r="I91" s="5">
        <f t="shared" si="34"/>
        <v>6</v>
      </c>
      <c r="J91" s="4">
        <f t="shared" si="35"/>
        <v>41</v>
      </c>
      <c r="K91" s="4">
        <f>SUM($J$79:J91)</f>
        <v>533</v>
      </c>
      <c r="L91" s="4">
        <f>SUM($J$18:J91)</f>
        <v>3673.000000000005</v>
      </c>
      <c r="M91" s="4">
        <f t="shared" si="36"/>
        <v>5.1233333333333331</v>
      </c>
      <c r="N91" s="4">
        <f>SUM($M$79:M91)</f>
        <v>66.603333333333339</v>
      </c>
      <c r="O91" s="4">
        <f>SUM($M$18:M91)</f>
        <v>467.70333333333281</v>
      </c>
      <c r="P91" s="9">
        <f t="shared" si="37"/>
        <v>0.6956909417764543</v>
      </c>
      <c r="Q91" s="26">
        <f t="shared" si="30"/>
        <v>0.69569094177645419</v>
      </c>
      <c r="R91" s="26">
        <f t="shared" si="30"/>
        <v>0.68270890542555152</v>
      </c>
      <c r="S91" s="9">
        <f t="shared" si="38"/>
        <v>0.14851069132089031</v>
      </c>
      <c r="T91" s="9">
        <f>K91/((COUNT($K$79:K91))*24*$Q$1)</f>
        <v>0.14851069132089031</v>
      </c>
      <c r="U91" s="28">
        <f>L91/((COUNT($L$18:L91))*24*$Q$1)</f>
        <v>0.17978898128596929</v>
      </c>
      <c r="V91" s="134">
        <v>11.5031</v>
      </c>
      <c r="Y91" s="27">
        <f t="shared" si="45"/>
        <v>45090</v>
      </c>
      <c r="Z91" s="5">
        <f>MONTH(Modelling_new[[#This Row],[Date]])</f>
        <v>6</v>
      </c>
      <c r="AA91" s="25">
        <f>YEAR(Y91)+IF(MONTH(Modelling_new[[#This Row],[Date]])&gt;=4,1,0)</f>
        <v>2024</v>
      </c>
      <c r="AB91" s="3">
        <f t="shared" si="39"/>
        <v>2023</v>
      </c>
      <c r="AC91" s="3" t="s">
        <v>626</v>
      </c>
      <c r="AD91" s="5" t="s">
        <v>626</v>
      </c>
      <c r="AE91" s="102">
        <v>45078</v>
      </c>
      <c r="AF91" s="5">
        <f t="shared" si="40"/>
        <v>30</v>
      </c>
      <c r="AG91" s="5">
        <f t="shared" si="41"/>
        <v>6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BD91" s="27">
        <f t="shared" si="46"/>
        <v>45090</v>
      </c>
      <c r="BE91" s="5">
        <f>MONTH(Modelling[[#This Row],[Date]])</f>
        <v>6</v>
      </c>
      <c r="BF91" s="25">
        <f>YEAR(BD91)+IF(MONTH(Modelling[[#This Row],[Date]])&gt;=4,1,0)</f>
        <v>2024</v>
      </c>
      <c r="BG91" s="3">
        <f t="shared" si="42"/>
        <v>2023</v>
      </c>
      <c r="BH91" s="3" t="s">
        <v>626</v>
      </c>
      <c r="BI91" s="5" t="s">
        <v>626</v>
      </c>
      <c r="BJ91" s="102">
        <v>45078</v>
      </c>
      <c r="BK91" s="5">
        <f t="shared" si="43"/>
        <v>30</v>
      </c>
      <c r="BL91" s="5">
        <f t="shared" si="44"/>
        <v>6</v>
      </c>
      <c r="BM91" s="4">
        <f>Modelling_old[[#This Row],[Target E_Grid daily
MWh]]+Modelling_new[[#This Row],[Target E_Grid daily
MWh]]</f>
        <v>41</v>
      </c>
      <c r="BN91" s="4">
        <f>Modelling_old[[#This Row],[Target E_Grid MTD
MWh]]+Modelling_new[[#This Row],[Target E_Grid MTD
MWh]]</f>
        <v>533</v>
      </c>
      <c r="BO91" s="4">
        <f>Modelling_old[[#This Row],[Target E_Grid YTD
MWh]]+Modelling_new[[#This Row],[Target E_Grid YTD
MWh]]</f>
        <v>3673.000000000005</v>
      </c>
      <c r="BP9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91" s="4">
        <f>SUMIFS(Modelling[Target POA Daily (KWh/m2)],Modelling[Date],"&lt;="&amp;Modelling[[#This Row],[Date]],Modelling[Month Year],Modelling[[#This Row],[Month Year]])</f>
        <v>66.603333333333339</v>
      </c>
      <c r="BR91" s="4">
        <f>SUMIFS(Modelling[Target POA Daily (KWh/m2)],Modelling[Date],"&lt;="&amp;Modelling[[#This Row],[Date]],Modelling[Finacial Year],Modelling[[#This Row],[Finacial Year]])</f>
        <v>467.70333333333281</v>
      </c>
      <c r="BS91" s="9">
        <f>BM91/Modelling[[#This Row],[Comisined DC ]]/BP91</f>
        <v>0.6956909417764543</v>
      </c>
      <c r="BT91" s="9">
        <f>BN91/BQ91/Modelling[[#This Row],[Comisined DC ]]</f>
        <v>0.69569094177645419</v>
      </c>
      <c r="BU91" s="9">
        <f>BO91/BR91/Modelling[[#This Row],[Comisined DC ]]</f>
        <v>0.68270890542555152</v>
      </c>
      <c r="BV91" s="9">
        <f>BM91/(24*Modelling[[#This Row],[Comisined DC ]])</f>
        <v>0.14851069132089031</v>
      </c>
      <c r="BW91" s="9">
        <f>BN91/((COUNTIFS(Modelling[Date],"&lt;="&amp;Modelling[[#This Row],[Date]],Modelling[Month Year],Modelling[[#This Row],[Month Year]])*24*Modelling[[#This Row],[MTD DC Capcity]]))</f>
        <v>0.14851069132089031</v>
      </c>
      <c r="BX91" s="28">
        <f>BO91/((COUNTIFS(Modelling[Date],"&lt;="&amp;Modelling[[#This Row],[Date]],Modelling[Finacial Year],Modelling[[#This Row],[Finacial Year]])*24*Modelling[[#This Row],[MTD DC Capcity]]))</f>
        <v>0.17978898128596929</v>
      </c>
      <c r="BY91" s="4">
        <f>Modelling_old[[#This Row],[DC Capcity]]+Modelling_new[[#This Row],[Comisined DC ]]</f>
        <v>11.5031</v>
      </c>
      <c r="BZ91" s="4">
        <v>0</v>
      </c>
      <c r="CA91" s="4">
        <f>AVERAGEIFS(Modelling[[Comisined DC ]],Modelling[Date],"&lt;="&amp;Modelling[[#This Row],[Date]],Modelling[Month Year],Modelling[[#This Row],[Month Year]])</f>
        <v>11.5031</v>
      </c>
      <c r="CB91" s="4">
        <f>AVERAGEIFS(Modelling[[Comisined DC ]],Modelling[Date],"&lt;="&amp;Modelling[[#This Row],[Date]],Modelling[Finacial Year],Modelling[[#This Row],[Finacial Year]])</f>
        <v>11.503100000000011</v>
      </c>
      <c r="CG91">
        <f t="shared" si="47"/>
        <v>13</v>
      </c>
      <c r="CH91">
        <f t="shared" si="48"/>
        <v>74</v>
      </c>
    </row>
    <row r="92" spans="1:86" x14ac:dyDescent="0.35">
      <c r="A92" s="27">
        <v>45091</v>
      </c>
      <c r="B92" s="5">
        <f>MONTH(Modelling_old[[#This Row],[Date]])</f>
        <v>6</v>
      </c>
      <c r="C92" s="25">
        <f t="shared" si="31"/>
        <v>2024</v>
      </c>
      <c r="D92" s="3">
        <f t="shared" si="32"/>
        <v>2023</v>
      </c>
      <c r="E92" s="3" t="s">
        <v>626</v>
      </c>
      <c r="F92" s="5" t="s">
        <v>626</v>
      </c>
      <c r="G92" s="102">
        <v>45078</v>
      </c>
      <c r="H92" s="5">
        <f t="shared" si="33"/>
        <v>30</v>
      </c>
      <c r="I92" s="5">
        <f t="shared" si="34"/>
        <v>6</v>
      </c>
      <c r="J92" s="4">
        <f t="shared" si="35"/>
        <v>41</v>
      </c>
      <c r="K92" s="4">
        <f>SUM($J$79:J92)</f>
        <v>574</v>
      </c>
      <c r="L92" s="4">
        <f>SUM($J$18:J92)</f>
        <v>3714.000000000005</v>
      </c>
      <c r="M92" s="4">
        <f t="shared" si="36"/>
        <v>5.1233333333333331</v>
      </c>
      <c r="N92" s="4">
        <f>SUM($M$79:M92)</f>
        <v>71.726666666666674</v>
      </c>
      <c r="O92" s="4">
        <f>SUM($M$18:M92)</f>
        <v>472.82666666666614</v>
      </c>
      <c r="P92" s="9">
        <f t="shared" si="37"/>
        <v>0.6956909417764543</v>
      </c>
      <c r="Q92" s="26">
        <f t="shared" si="30"/>
        <v>0.69569094177645419</v>
      </c>
      <c r="R92" s="26">
        <f t="shared" si="30"/>
        <v>0.68284957282919012</v>
      </c>
      <c r="S92" s="9">
        <f t="shared" si="38"/>
        <v>0.14851069132089031</v>
      </c>
      <c r="T92" s="9">
        <f>K92/((COUNT($K$79:K92))*24*$Q$1)</f>
        <v>0.14851069132089031</v>
      </c>
      <c r="U92" s="28">
        <f>L92/((COUNT($L$18:L92))*24*$Q$1)</f>
        <v>0.17937193741976826</v>
      </c>
      <c r="V92" s="134">
        <v>11.5031</v>
      </c>
      <c r="Y92" s="27">
        <f t="shared" si="45"/>
        <v>45091</v>
      </c>
      <c r="Z92" s="5">
        <f>MONTH(Modelling_new[[#This Row],[Date]])</f>
        <v>6</v>
      </c>
      <c r="AA92" s="25">
        <f>YEAR(Y92)+IF(MONTH(Modelling_new[[#This Row],[Date]])&gt;=4,1,0)</f>
        <v>2024</v>
      </c>
      <c r="AB92" s="3">
        <f t="shared" si="39"/>
        <v>2023</v>
      </c>
      <c r="AC92" s="3" t="s">
        <v>626</v>
      </c>
      <c r="AD92" s="5" t="s">
        <v>626</v>
      </c>
      <c r="AE92" s="102">
        <v>45078</v>
      </c>
      <c r="AF92" s="5">
        <f t="shared" si="40"/>
        <v>30</v>
      </c>
      <c r="AG92" s="5">
        <f t="shared" si="41"/>
        <v>6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BD92" s="27">
        <f t="shared" si="46"/>
        <v>45091</v>
      </c>
      <c r="BE92" s="5">
        <f>MONTH(Modelling[[#This Row],[Date]])</f>
        <v>6</v>
      </c>
      <c r="BF92" s="25">
        <f>YEAR(BD92)+IF(MONTH(Modelling[[#This Row],[Date]])&gt;=4,1,0)</f>
        <v>2024</v>
      </c>
      <c r="BG92" s="3">
        <f t="shared" si="42"/>
        <v>2023</v>
      </c>
      <c r="BH92" s="3" t="s">
        <v>626</v>
      </c>
      <c r="BI92" s="5" t="s">
        <v>626</v>
      </c>
      <c r="BJ92" s="102">
        <v>45078</v>
      </c>
      <c r="BK92" s="5">
        <f t="shared" si="43"/>
        <v>30</v>
      </c>
      <c r="BL92" s="5">
        <f t="shared" si="44"/>
        <v>6</v>
      </c>
      <c r="BM92" s="4">
        <f>Modelling_old[[#This Row],[Target E_Grid daily
MWh]]+Modelling_new[[#This Row],[Target E_Grid daily
MWh]]</f>
        <v>41</v>
      </c>
      <c r="BN92" s="4">
        <f>Modelling_old[[#This Row],[Target E_Grid MTD
MWh]]+Modelling_new[[#This Row],[Target E_Grid MTD
MWh]]</f>
        <v>574</v>
      </c>
      <c r="BO92" s="4">
        <f>Modelling_old[[#This Row],[Target E_Grid YTD
MWh]]+Modelling_new[[#This Row],[Target E_Grid YTD
MWh]]</f>
        <v>3714.000000000005</v>
      </c>
      <c r="BP9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92" s="4">
        <f>SUMIFS(Modelling[Target POA Daily (KWh/m2)],Modelling[Date],"&lt;="&amp;Modelling[[#This Row],[Date]],Modelling[Month Year],Modelling[[#This Row],[Month Year]])</f>
        <v>71.726666666666674</v>
      </c>
      <c r="BR92" s="4">
        <f>SUMIFS(Modelling[Target POA Daily (KWh/m2)],Modelling[Date],"&lt;="&amp;Modelling[[#This Row],[Date]],Modelling[Finacial Year],Modelling[[#This Row],[Finacial Year]])</f>
        <v>472.82666666666614</v>
      </c>
      <c r="BS92" s="9">
        <f>BM92/Modelling[[#This Row],[Comisined DC ]]/BP92</f>
        <v>0.6956909417764543</v>
      </c>
      <c r="BT92" s="9">
        <f>BN92/BQ92/Modelling[[#This Row],[Comisined DC ]]</f>
        <v>0.69569094177645419</v>
      </c>
      <c r="BU92" s="9">
        <f>BO92/BR92/Modelling[[#This Row],[Comisined DC ]]</f>
        <v>0.68284957282919012</v>
      </c>
      <c r="BV92" s="9">
        <f>BM92/(24*Modelling[[#This Row],[Comisined DC ]])</f>
        <v>0.14851069132089031</v>
      </c>
      <c r="BW92" s="9">
        <f>BN92/((COUNTIFS(Modelling[Date],"&lt;="&amp;Modelling[[#This Row],[Date]],Modelling[Month Year],Modelling[[#This Row],[Month Year]])*24*Modelling[[#This Row],[MTD DC Capcity]]))</f>
        <v>0.14851069132089031</v>
      </c>
      <c r="BX92" s="28">
        <f>BO92/((COUNTIFS(Modelling[Date],"&lt;="&amp;Modelling[[#This Row],[Date]],Modelling[Finacial Year],Modelling[[#This Row],[Finacial Year]])*24*Modelling[[#This Row],[MTD DC Capcity]]))</f>
        <v>0.17937193741976826</v>
      </c>
      <c r="BY92" s="4">
        <f>Modelling_old[[#This Row],[DC Capcity]]+Modelling_new[[#This Row],[Comisined DC ]]</f>
        <v>11.5031</v>
      </c>
      <c r="BZ92" s="4">
        <v>0</v>
      </c>
      <c r="CA92" s="4">
        <f>AVERAGEIFS(Modelling[[Comisined DC ]],Modelling[Date],"&lt;="&amp;Modelling[[#This Row],[Date]],Modelling[Month Year],Modelling[[#This Row],[Month Year]])</f>
        <v>11.5031</v>
      </c>
      <c r="CB92" s="4">
        <f>AVERAGEIFS(Modelling[[Comisined DC ]],Modelling[Date],"&lt;="&amp;Modelling[[#This Row],[Date]],Modelling[Finacial Year],Modelling[[#This Row],[Finacial Year]])</f>
        <v>11.503100000000011</v>
      </c>
      <c r="CG92">
        <f t="shared" si="47"/>
        <v>14</v>
      </c>
      <c r="CH92">
        <f t="shared" si="48"/>
        <v>75</v>
      </c>
    </row>
    <row r="93" spans="1:86" x14ac:dyDescent="0.35">
      <c r="A93" s="27">
        <v>45092</v>
      </c>
      <c r="B93" s="5">
        <f>MONTH(Modelling_old[[#This Row],[Date]])</f>
        <v>6</v>
      </c>
      <c r="C93" s="25">
        <f t="shared" si="31"/>
        <v>2024</v>
      </c>
      <c r="D93" s="3">
        <f t="shared" si="32"/>
        <v>2023</v>
      </c>
      <c r="E93" s="3" t="s">
        <v>626</v>
      </c>
      <c r="F93" s="5" t="s">
        <v>626</v>
      </c>
      <c r="G93" s="102">
        <v>45078</v>
      </c>
      <c r="H93" s="5">
        <f t="shared" si="33"/>
        <v>30</v>
      </c>
      <c r="I93" s="5">
        <f t="shared" si="34"/>
        <v>6</v>
      </c>
      <c r="J93" s="4">
        <f t="shared" si="35"/>
        <v>41</v>
      </c>
      <c r="K93" s="4">
        <f>SUM($J$79:J93)</f>
        <v>615</v>
      </c>
      <c r="L93" s="4">
        <f>SUM($J$18:J93)</f>
        <v>3755.000000000005</v>
      </c>
      <c r="M93" s="4">
        <f t="shared" si="36"/>
        <v>5.1233333333333331</v>
      </c>
      <c r="N93" s="4">
        <f>SUM($M$79:M93)</f>
        <v>76.850000000000009</v>
      </c>
      <c r="O93" s="4">
        <f>SUM($M$18:M93)</f>
        <v>477.94999999999948</v>
      </c>
      <c r="P93" s="9">
        <f t="shared" si="37"/>
        <v>0.6956909417764543</v>
      </c>
      <c r="Q93" s="26">
        <f t="shared" si="30"/>
        <v>0.69569094177645419</v>
      </c>
      <c r="R93" s="26">
        <f t="shared" si="30"/>
        <v>0.68298722449478932</v>
      </c>
      <c r="S93" s="9">
        <f t="shared" si="38"/>
        <v>0.14851069132089031</v>
      </c>
      <c r="T93" s="9">
        <f>K93/((COUNT($K$79:K93))*24*$Q$1)</f>
        <v>0.14851069132089031</v>
      </c>
      <c r="U93" s="28">
        <f>L93/((COUNT($L$18:L93))*24*$Q$1)</f>
        <v>0.17896586839215142</v>
      </c>
      <c r="V93" s="134">
        <v>11.5031</v>
      </c>
      <c r="Y93" s="27">
        <f t="shared" si="45"/>
        <v>45092</v>
      </c>
      <c r="Z93" s="5">
        <f>MONTH(Modelling_new[[#This Row],[Date]])</f>
        <v>6</v>
      </c>
      <c r="AA93" s="25">
        <f>YEAR(Y93)+IF(MONTH(Modelling_new[[#This Row],[Date]])&gt;=4,1,0)</f>
        <v>2024</v>
      </c>
      <c r="AB93" s="3">
        <f t="shared" si="39"/>
        <v>2023</v>
      </c>
      <c r="AC93" s="3" t="s">
        <v>626</v>
      </c>
      <c r="AD93" s="5" t="s">
        <v>626</v>
      </c>
      <c r="AE93" s="102">
        <v>45078</v>
      </c>
      <c r="AF93" s="5">
        <f t="shared" si="40"/>
        <v>30</v>
      </c>
      <c r="AG93" s="5">
        <f t="shared" si="41"/>
        <v>6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BD93" s="27">
        <f t="shared" si="46"/>
        <v>45092</v>
      </c>
      <c r="BE93" s="5">
        <f>MONTH(Modelling[[#This Row],[Date]])</f>
        <v>6</v>
      </c>
      <c r="BF93" s="25">
        <f>YEAR(BD93)+IF(MONTH(Modelling[[#This Row],[Date]])&gt;=4,1,0)</f>
        <v>2024</v>
      </c>
      <c r="BG93" s="3">
        <f t="shared" si="42"/>
        <v>2023</v>
      </c>
      <c r="BH93" s="3" t="s">
        <v>626</v>
      </c>
      <c r="BI93" s="5" t="s">
        <v>626</v>
      </c>
      <c r="BJ93" s="102">
        <v>45078</v>
      </c>
      <c r="BK93" s="5">
        <f t="shared" si="43"/>
        <v>30</v>
      </c>
      <c r="BL93" s="5">
        <f t="shared" si="44"/>
        <v>6</v>
      </c>
      <c r="BM93" s="4">
        <f>Modelling_old[[#This Row],[Target E_Grid daily
MWh]]+Modelling_new[[#This Row],[Target E_Grid daily
MWh]]</f>
        <v>41</v>
      </c>
      <c r="BN93" s="4">
        <f>Modelling_old[[#This Row],[Target E_Grid MTD
MWh]]+Modelling_new[[#This Row],[Target E_Grid MTD
MWh]]</f>
        <v>615</v>
      </c>
      <c r="BO93" s="4">
        <f>Modelling_old[[#This Row],[Target E_Grid YTD
MWh]]+Modelling_new[[#This Row],[Target E_Grid YTD
MWh]]</f>
        <v>3755.000000000005</v>
      </c>
      <c r="BP9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93" s="4">
        <f>SUMIFS(Modelling[Target POA Daily (KWh/m2)],Modelling[Date],"&lt;="&amp;Modelling[[#This Row],[Date]],Modelling[Month Year],Modelling[[#This Row],[Month Year]])</f>
        <v>76.850000000000009</v>
      </c>
      <c r="BR93" s="4">
        <f>SUMIFS(Modelling[Target POA Daily (KWh/m2)],Modelling[Date],"&lt;="&amp;Modelling[[#This Row],[Date]],Modelling[Finacial Year],Modelling[[#This Row],[Finacial Year]])</f>
        <v>477.94999999999948</v>
      </c>
      <c r="BS93" s="9">
        <f>BM93/Modelling[[#This Row],[Comisined DC ]]/BP93</f>
        <v>0.6956909417764543</v>
      </c>
      <c r="BT93" s="9">
        <f>BN93/BQ93/Modelling[[#This Row],[Comisined DC ]]</f>
        <v>0.69569094177645419</v>
      </c>
      <c r="BU93" s="9">
        <f>BO93/BR93/Modelling[[#This Row],[Comisined DC ]]</f>
        <v>0.68298722449478932</v>
      </c>
      <c r="BV93" s="9">
        <f>BM93/(24*Modelling[[#This Row],[Comisined DC ]])</f>
        <v>0.14851069132089031</v>
      </c>
      <c r="BW93" s="9">
        <f>BN93/((COUNTIFS(Modelling[Date],"&lt;="&amp;Modelling[[#This Row],[Date]],Modelling[Month Year],Modelling[[#This Row],[Month Year]])*24*Modelling[[#This Row],[MTD DC Capcity]]))</f>
        <v>0.14851069132089034</v>
      </c>
      <c r="BX93" s="28">
        <f>BO93/((COUNTIFS(Modelling[Date],"&lt;="&amp;Modelling[[#This Row],[Date]],Modelling[Finacial Year],Modelling[[#This Row],[Finacial Year]])*24*Modelling[[#This Row],[MTD DC Capcity]]))</f>
        <v>0.17896586839215148</v>
      </c>
      <c r="BY93" s="4">
        <f>Modelling_old[[#This Row],[DC Capcity]]+Modelling_new[[#This Row],[Comisined DC ]]</f>
        <v>11.5031</v>
      </c>
      <c r="BZ93" s="4">
        <v>0</v>
      </c>
      <c r="CA93" s="4">
        <f>AVERAGEIFS(Modelling[[Comisined DC ]],Modelling[Date],"&lt;="&amp;Modelling[[#This Row],[Date]],Modelling[Month Year],Modelling[[#This Row],[Month Year]])</f>
        <v>11.503099999999998</v>
      </c>
      <c r="CB93" s="4">
        <f>AVERAGEIFS(Modelling[[Comisined DC ]],Modelling[Date],"&lt;="&amp;Modelling[[#This Row],[Date]],Modelling[Finacial Year],Modelling[[#This Row],[Finacial Year]])</f>
        <v>11.503100000000011</v>
      </c>
      <c r="CG93">
        <f t="shared" si="47"/>
        <v>15</v>
      </c>
      <c r="CH93">
        <f t="shared" si="48"/>
        <v>76</v>
      </c>
    </row>
    <row r="94" spans="1:86" x14ac:dyDescent="0.35">
      <c r="A94" s="27">
        <v>45093</v>
      </c>
      <c r="B94" s="5">
        <f>MONTH(Modelling_old[[#This Row],[Date]])</f>
        <v>6</v>
      </c>
      <c r="C94" s="25">
        <f t="shared" si="31"/>
        <v>2024</v>
      </c>
      <c r="D94" s="3">
        <f t="shared" si="32"/>
        <v>2023</v>
      </c>
      <c r="E94" s="3" t="s">
        <v>626</v>
      </c>
      <c r="F94" s="5" t="s">
        <v>626</v>
      </c>
      <c r="G94" s="102">
        <v>45078</v>
      </c>
      <c r="H94" s="5">
        <f t="shared" si="33"/>
        <v>30</v>
      </c>
      <c r="I94" s="5">
        <f t="shared" si="34"/>
        <v>6</v>
      </c>
      <c r="J94" s="4">
        <f t="shared" si="35"/>
        <v>41</v>
      </c>
      <c r="K94" s="4">
        <f>SUM($J$79:J94)</f>
        <v>656</v>
      </c>
      <c r="L94" s="4">
        <f>SUM($J$18:J94)</f>
        <v>3796.000000000005</v>
      </c>
      <c r="M94" s="4">
        <f t="shared" si="36"/>
        <v>5.1233333333333331</v>
      </c>
      <c r="N94" s="4">
        <f>SUM($M$79:M94)</f>
        <v>81.973333333333343</v>
      </c>
      <c r="O94" s="4">
        <f>SUM($M$18:M94)</f>
        <v>483.07333333333281</v>
      </c>
      <c r="P94" s="9">
        <f t="shared" si="37"/>
        <v>0.6956909417764543</v>
      </c>
      <c r="Q94" s="26">
        <f t="shared" si="30"/>
        <v>0.69569094177645419</v>
      </c>
      <c r="R94" s="26">
        <f t="shared" si="30"/>
        <v>0.6831219563744344</v>
      </c>
      <c r="S94" s="9">
        <f t="shared" si="38"/>
        <v>0.14851069132089031</v>
      </c>
      <c r="T94" s="9">
        <f>K94/((COUNT($K$79:K94))*24*$Q$1)</f>
        <v>0.14851069132089031</v>
      </c>
      <c r="U94" s="28">
        <f>L94/((COUNT($L$18:L94))*24*$Q$1)</f>
        <v>0.17857034661200519</v>
      </c>
      <c r="V94" s="134">
        <v>11.5031</v>
      </c>
      <c r="Y94" s="27">
        <f t="shared" si="45"/>
        <v>45093</v>
      </c>
      <c r="Z94" s="5">
        <f>MONTH(Modelling_new[[#This Row],[Date]])</f>
        <v>6</v>
      </c>
      <c r="AA94" s="25">
        <f>YEAR(Y94)+IF(MONTH(Modelling_new[[#This Row],[Date]])&gt;=4,1,0)</f>
        <v>2024</v>
      </c>
      <c r="AB94" s="3">
        <f t="shared" si="39"/>
        <v>2023</v>
      </c>
      <c r="AC94" s="3" t="s">
        <v>626</v>
      </c>
      <c r="AD94" s="5" t="s">
        <v>626</v>
      </c>
      <c r="AE94" s="102">
        <v>45078</v>
      </c>
      <c r="AF94" s="5">
        <f t="shared" si="40"/>
        <v>30</v>
      </c>
      <c r="AG94" s="5">
        <f t="shared" si="41"/>
        <v>6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BD94" s="27">
        <f t="shared" si="46"/>
        <v>45093</v>
      </c>
      <c r="BE94" s="5">
        <f>MONTH(Modelling[[#This Row],[Date]])</f>
        <v>6</v>
      </c>
      <c r="BF94" s="25">
        <f>YEAR(BD94)+IF(MONTH(Modelling[[#This Row],[Date]])&gt;=4,1,0)</f>
        <v>2024</v>
      </c>
      <c r="BG94" s="3">
        <f t="shared" si="42"/>
        <v>2023</v>
      </c>
      <c r="BH94" s="3" t="s">
        <v>626</v>
      </c>
      <c r="BI94" s="5" t="s">
        <v>626</v>
      </c>
      <c r="BJ94" s="102">
        <v>45078</v>
      </c>
      <c r="BK94" s="5">
        <f t="shared" si="43"/>
        <v>30</v>
      </c>
      <c r="BL94" s="5">
        <f t="shared" si="44"/>
        <v>6</v>
      </c>
      <c r="BM94" s="4">
        <f>Modelling_old[[#This Row],[Target E_Grid daily
MWh]]+Modelling_new[[#This Row],[Target E_Grid daily
MWh]]</f>
        <v>41</v>
      </c>
      <c r="BN94" s="4">
        <f>Modelling_old[[#This Row],[Target E_Grid MTD
MWh]]+Modelling_new[[#This Row],[Target E_Grid MTD
MWh]]</f>
        <v>656</v>
      </c>
      <c r="BO94" s="4">
        <f>Modelling_old[[#This Row],[Target E_Grid YTD
MWh]]+Modelling_new[[#This Row],[Target E_Grid YTD
MWh]]</f>
        <v>3796.000000000005</v>
      </c>
      <c r="BP9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94" s="4">
        <f>SUMIFS(Modelling[Target POA Daily (KWh/m2)],Modelling[Date],"&lt;="&amp;Modelling[[#This Row],[Date]],Modelling[Month Year],Modelling[[#This Row],[Month Year]])</f>
        <v>81.973333333333343</v>
      </c>
      <c r="BR94" s="4">
        <f>SUMIFS(Modelling[Target POA Daily (KWh/m2)],Modelling[Date],"&lt;="&amp;Modelling[[#This Row],[Date]],Modelling[Finacial Year],Modelling[[#This Row],[Finacial Year]])</f>
        <v>483.07333333333281</v>
      </c>
      <c r="BS94" s="9">
        <f>BM94/Modelling[[#This Row],[Comisined DC ]]/BP94</f>
        <v>0.6956909417764543</v>
      </c>
      <c r="BT94" s="9">
        <f>BN94/BQ94/Modelling[[#This Row],[Comisined DC ]]</f>
        <v>0.69569094177645419</v>
      </c>
      <c r="BU94" s="9">
        <f>BO94/BR94/Modelling[[#This Row],[Comisined DC ]]</f>
        <v>0.6831219563744344</v>
      </c>
      <c r="BV94" s="9">
        <f>BM94/(24*Modelling[[#This Row],[Comisined DC ]])</f>
        <v>0.14851069132089031</v>
      </c>
      <c r="BW94" s="9">
        <f>BN94/((COUNTIFS(Modelling[Date],"&lt;="&amp;Modelling[[#This Row],[Date]],Modelling[Month Year],Modelling[[#This Row],[Month Year]])*24*Modelling[[#This Row],[MTD DC Capcity]]))</f>
        <v>0.14851069132089031</v>
      </c>
      <c r="BX94" s="28">
        <f>BO94/((COUNTIFS(Modelling[Date],"&lt;="&amp;Modelling[[#This Row],[Date]],Modelling[Finacial Year],Modelling[[#This Row],[Finacial Year]])*24*Modelling[[#This Row],[MTD DC Capcity]]))</f>
        <v>0.17857034661200522</v>
      </c>
      <c r="BY94" s="4">
        <f>Modelling_old[[#This Row],[DC Capcity]]+Modelling_new[[#This Row],[Comisined DC ]]</f>
        <v>11.5031</v>
      </c>
      <c r="BZ94" s="4">
        <v>0</v>
      </c>
      <c r="CA94" s="4">
        <f>AVERAGEIFS(Modelling[[Comisined DC ]],Modelling[Date],"&lt;="&amp;Modelling[[#This Row],[Date]],Modelling[Month Year],Modelling[[#This Row],[Month Year]])</f>
        <v>11.503099999999998</v>
      </c>
      <c r="CB94" s="4">
        <f>AVERAGEIFS(Modelling[[Comisined DC ]],Modelling[Date],"&lt;="&amp;Modelling[[#This Row],[Date]],Modelling[Finacial Year],Modelling[[#This Row],[Finacial Year]])</f>
        <v>11.503100000000011</v>
      </c>
      <c r="CG94">
        <f t="shared" si="47"/>
        <v>16</v>
      </c>
      <c r="CH94">
        <f t="shared" si="48"/>
        <v>77</v>
      </c>
    </row>
    <row r="95" spans="1:86" x14ac:dyDescent="0.35">
      <c r="A95" s="27">
        <v>45094</v>
      </c>
      <c r="B95" s="5">
        <f>MONTH(Modelling_old[[#This Row],[Date]])</f>
        <v>6</v>
      </c>
      <c r="C95" s="25">
        <f t="shared" si="31"/>
        <v>2024</v>
      </c>
      <c r="D95" s="3">
        <f t="shared" si="32"/>
        <v>2023</v>
      </c>
      <c r="E95" s="3" t="s">
        <v>626</v>
      </c>
      <c r="F95" s="5" t="s">
        <v>626</v>
      </c>
      <c r="G95" s="102">
        <v>45078</v>
      </c>
      <c r="H95" s="5">
        <f t="shared" si="33"/>
        <v>30</v>
      </c>
      <c r="I95" s="5">
        <f t="shared" si="34"/>
        <v>6</v>
      </c>
      <c r="J95" s="4">
        <f t="shared" si="35"/>
        <v>41</v>
      </c>
      <c r="K95" s="4">
        <f>SUM($J$79:J95)</f>
        <v>697</v>
      </c>
      <c r="L95" s="4">
        <f>SUM($J$18:J95)</f>
        <v>3837.000000000005</v>
      </c>
      <c r="M95" s="4">
        <f t="shared" si="36"/>
        <v>5.1233333333333331</v>
      </c>
      <c r="N95" s="4">
        <f>SUM($M$79:M95)</f>
        <v>87.096666666666678</v>
      </c>
      <c r="O95" s="4">
        <f>SUM($M$18:M95)</f>
        <v>488.19666666666615</v>
      </c>
      <c r="P95" s="9">
        <f t="shared" si="37"/>
        <v>0.6956909417764543</v>
      </c>
      <c r="Q95" s="26">
        <f t="shared" si="30"/>
        <v>0.69569094177645419</v>
      </c>
      <c r="R95" s="26">
        <f t="shared" si="30"/>
        <v>0.68325386039237046</v>
      </c>
      <c r="S95" s="9">
        <f t="shared" si="38"/>
        <v>0.14851069132089031</v>
      </c>
      <c r="T95" s="9">
        <f>K95/((COUNT($K$79:K95))*24*$Q$1)</f>
        <v>0.14851069132089031</v>
      </c>
      <c r="U95" s="28">
        <f>L95/((COUNT($L$18:L95))*24*$Q$1)</f>
        <v>0.17818496641596526</v>
      </c>
      <c r="V95" s="134">
        <v>11.5031</v>
      </c>
      <c r="Y95" s="27">
        <f t="shared" si="45"/>
        <v>45094</v>
      </c>
      <c r="Z95" s="5">
        <f>MONTH(Modelling_new[[#This Row],[Date]])</f>
        <v>6</v>
      </c>
      <c r="AA95" s="25">
        <f>YEAR(Y95)+IF(MONTH(Modelling_new[[#This Row],[Date]])&gt;=4,1,0)</f>
        <v>2024</v>
      </c>
      <c r="AB95" s="3">
        <f t="shared" si="39"/>
        <v>2023</v>
      </c>
      <c r="AC95" s="3" t="s">
        <v>626</v>
      </c>
      <c r="AD95" s="5" t="s">
        <v>626</v>
      </c>
      <c r="AE95" s="102">
        <v>45078</v>
      </c>
      <c r="AF95" s="5">
        <f t="shared" si="40"/>
        <v>30</v>
      </c>
      <c r="AG95" s="5">
        <f t="shared" si="41"/>
        <v>6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BD95" s="27">
        <f t="shared" si="46"/>
        <v>45094</v>
      </c>
      <c r="BE95" s="5">
        <f>MONTH(Modelling[[#This Row],[Date]])</f>
        <v>6</v>
      </c>
      <c r="BF95" s="25">
        <f>YEAR(BD95)+IF(MONTH(Modelling[[#This Row],[Date]])&gt;=4,1,0)</f>
        <v>2024</v>
      </c>
      <c r="BG95" s="3">
        <f t="shared" si="42"/>
        <v>2023</v>
      </c>
      <c r="BH95" s="3" t="s">
        <v>626</v>
      </c>
      <c r="BI95" s="5" t="s">
        <v>626</v>
      </c>
      <c r="BJ95" s="102">
        <v>45078</v>
      </c>
      <c r="BK95" s="5">
        <f t="shared" si="43"/>
        <v>30</v>
      </c>
      <c r="BL95" s="5">
        <f t="shared" si="44"/>
        <v>6</v>
      </c>
      <c r="BM95" s="4">
        <f>Modelling_old[[#This Row],[Target E_Grid daily
MWh]]+Modelling_new[[#This Row],[Target E_Grid daily
MWh]]</f>
        <v>41</v>
      </c>
      <c r="BN95" s="4">
        <f>Modelling_old[[#This Row],[Target E_Grid MTD
MWh]]+Modelling_new[[#This Row],[Target E_Grid MTD
MWh]]</f>
        <v>697</v>
      </c>
      <c r="BO95" s="4">
        <f>Modelling_old[[#This Row],[Target E_Grid YTD
MWh]]+Modelling_new[[#This Row],[Target E_Grid YTD
MWh]]</f>
        <v>3837.000000000005</v>
      </c>
      <c r="BP9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95" s="4">
        <f>SUMIFS(Modelling[Target POA Daily (KWh/m2)],Modelling[Date],"&lt;="&amp;Modelling[[#This Row],[Date]],Modelling[Month Year],Modelling[[#This Row],[Month Year]])</f>
        <v>87.096666666666678</v>
      </c>
      <c r="BR95" s="4">
        <f>SUMIFS(Modelling[Target POA Daily (KWh/m2)],Modelling[Date],"&lt;="&amp;Modelling[[#This Row],[Date]],Modelling[Finacial Year],Modelling[[#This Row],[Finacial Year]])</f>
        <v>488.19666666666615</v>
      </c>
      <c r="BS95" s="9">
        <f>BM95/Modelling[[#This Row],[Comisined DC ]]/BP95</f>
        <v>0.6956909417764543</v>
      </c>
      <c r="BT95" s="9">
        <f>BN95/BQ95/Modelling[[#This Row],[Comisined DC ]]</f>
        <v>0.69569094177645419</v>
      </c>
      <c r="BU95" s="9">
        <f>BO95/BR95/Modelling[[#This Row],[Comisined DC ]]</f>
        <v>0.68325386039237046</v>
      </c>
      <c r="BV95" s="9">
        <f>BM95/(24*Modelling[[#This Row],[Comisined DC ]])</f>
        <v>0.14851069132089031</v>
      </c>
      <c r="BW95" s="9">
        <f>BN95/((COUNTIFS(Modelling[Date],"&lt;="&amp;Modelling[[#This Row],[Date]],Modelling[Month Year],Modelling[[#This Row],[Month Year]])*24*Modelling[[#This Row],[MTD DC Capcity]]))</f>
        <v>0.14851069132089034</v>
      </c>
      <c r="BX95" s="28">
        <f>BO95/((COUNTIFS(Modelling[Date],"&lt;="&amp;Modelling[[#This Row],[Date]],Modelling[Finacial Year],Modelling[[#This Row],[Finacial Year]])*24*Modelling[[#This Row],[MTD DC Capcity]]))</f>
        <v>0.17818496641596529</v>
      </c>
      <c r="BY95" s="4">
        <f>Modelling_old[[#This Row],[DC Capcity]]+Modelling_new[[#This Row],[Comisined DC ]]</f>
        <v>11.5031</v>
      </c>
      <c r="BZ95" s="4">
        <v>0</v>
      </c>
      <c r="CA95" s="4">
        <f>AVERAGEIFS(Modelling[[Comisined DC ]],Modelling[Date],"&lt;="&amp;Modelling[[#This Row],[Date]],Modelling[Month Year],Modelling[[#This Row],[Month Year]])</f>
        <v>11.503099999999998</v>
      </c>
      <c r="CB95" s="4">
        <f>AVERAGEIFS(Modelling[[Comisined DC ]],Modelling[Date],"&lt;="&amp;Modelling[[#This Row],[Date]],Modelling[Finacial Year],Modelling[[#This Row],[Finacial Year]])</f>
        <v>11.503100000000011</v>
      </c>
      <c r="CG95">
        <f t="shared" si="47"/>
        <v>17</v>
      </c>
      <c r="CH95">
        <f t="shared" si="48"/>
        <v>78</v>
      </c>
    </row>
    <row r="96" spans="1:86" x14ac:dyDescent="0.35">
      <c r="A96" s="27">
        <v>45095</v>
      </c>
      <c r="B96" s="5">
        <f>MONTH(Modelling_old[[#This Row],[Date]])</f>
        <v>6</v>
      </c>
      <c r="C96" s="25">
        <f t="shared" si="31"/>
        <v>2024</v>
      </c>
      <c r="D96" s="3">
        <f t="shared" si="32"/>
        <v>2023</v>
      </c>
      <c r="E96" s="3" t="s">
        <v>626</v>
      </c>
      <c r="F96" s="5" t="s">
        <v>626</v>
      </c>
      <c r="G96" s="102">
        <v>45078</v>
      </c>
      <c r="H96" s="5">
        <f t="shared" si="33"/>
        <v>30</v>
      </c>
      <c r="I96" s="5">
        <f t="shared" si="34"/>
        <v>6</v>
      </c>
      <c r="J96" s="4">
        <f t="shared" si="35"/>
        <v>41</v>
      </c>
      <c r="K96" s="4">
        <f>SUM($J$79:J96)</f>
        <v>738</v>
      </c>
      <c r="L96" s="4">
        <f>SUM($J$18:J96)</f>
        <v>3878.000000000005</v>
      </c>
      <c r="M96" s="4">
        <f t="shared" si="36"/>
        <v>5.1233333333333331</v>
      </c>
      <c r="N96" s="4">
        <f>SUM($M$79:M96)</f>
        <v>92.220000000000013</v>
      </c>
      <c r="O96" s="4">
        <f>SUM($M$18:M96)</f>
        <v>493.31999999999948</v>
      </c>
      <c r="P96" s="9">
        <f t="shared" si="37"/>
        <v>0.6956909417764543</v>
      </c>
      <c r="Q96" s="26">
        <f t="shared" si="30"/>
        <v>0.69569094177645419</v>
      </c>
      <c r="R96" s="26">
        <f t="shared" si="30"/>
        <v>0.6833830246541569</v>
      </c>
      <c r="S96" s="9">
        <f t="shared" si="38"/>
        <v>0.14851069132089031</v>
      </c>
      <c r="T96" s="9">
        <f>K96/((COUNT($K$79:K96))*24*$Q$1)</f>
        <v>0.14851069132089029</v>
      </c>
      <c r="U96" s="28">
        <f>L96/((COUNT($L$18:L96))*24*$Q$1)</f>
        <v>0.17780934268058454</v>
      </c>
      <c r="V96" s="134">
        <v>11.5031</v>
      </c>
      <c r="Y96" s="27">
        <f t="shared" si="45"/>
        <v>45095</v>
      </c>
      <c r="Z96" s="5">
        <f>MONTH(Modelling_new[[#This Row],[Date]])</f>
        <v>6</v>
      </c>
      <c r="AA96" s="25">
        <f>YEAR(Y96)+IF(MONTH(Modelling_new[[#This Row],[Date]])&gt;=4,1,0)</f>
        <v>2024</v>
      </c>
      <c r="AB96" s="3">
        <f t="shared" si="39"/>
        <v>2023</v>
      </c>
      <c r="AC96" s="3" t="s">
        <v>626</v>
      </c>
      <c r="AD96" s="5" t="s">
        <v>626</v>
      </c>
      <c r="AE96" s="102">
        <v>45078</v>
      </c>
      <c r="AF96" s="5">
        <f t="shared" si="40"/>
        <v>30</v>
      </c>
      <c r="AG96" s="5">
        <f t="shared" si="41"/>
        <v>6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BD96" s="27">
        <f t="shared" si="46"/>
        <v>45095</v>
      </c>
      <c r="BE96" s="5">
        <f>MONTH(Modelling[[#This Row],[Date]])</f>
        <v>6</v>
      </c>
      <c r="BF96" s="25">
        <f>YEAR(BD96)+IF(MONTH(Modelling[[#This Row],[Date]])&gt;=4,1,0)</f>
        <v>2024</v>
      </c>
      <c r="BG96" s="3">
        <f t="shared" si="42"/>
        <v>2023</v>
      </c>
      <c r="BH96" s="3" t="s">
        <v>626</v>
      </c>
      <c r="BI96" s="5" t="s">
        <v>626</v>
      </c>
      <c r="BJ96" s="102">
        <v>45078</v>
      </c>
      <c r="BK96" s="5">
        <f t="shared" si="43"/>
        <v>30</v>
      </c>
      <c r="BL96" s="5">
        <f t="shared" si="44"/>
        <v>6</v>
      </c>
      <c r="BM96" s="4">
        <f>Modelling_old[[#This Row],[Target E_Grid daily
MWh]]+Modelling_new[[#This Row],[Target E_Grid daily
MWh]]</f>
        <v>41</v>
      </c>
      <c r="BN96" s="4">
        <f>Modelling_old[[#This Row],[Target E_Grid MTD
MWh]]+Modelling_new[[#This Row],[Target E_Grid MTD
MWh]]</f>
        <v>738</v>
      </c>
      <c r="BO96" s="4">
        <f>Modelling_old[[#This Row],[Target E_Grid YTD
MWh]]+Modelling_new[[#This Row],[Target E_Grid YTD
MWh]]</f>
        <v>3878.000000000005</v>
      </c>
      <c r="BP9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96" s="4">
        <f>SUMIFS(Modelling[Target POA Daily (KWh/m2)],Modelling[Date],"&lt;="&amp;Modelling[[#This Row],[Date]],Modelling[Month Year],Modelling[[#This Row],[Month Year]])</f>
        <v>92.220000000000013</v>
      </c>
      <c r="BR96" s="4">
        <f>SUMIFS(Modelling[Target POA Daily (KWh/m2)],Modelling[Date],"&lt;="&amp;Modelling[[#This Row],[Date]],Modelling[Finacial Year],Modelling[[#This Row],[Finacial Year]])</f>
        <v>493.31999999999948</v>
      </c>
      <c r="BS96" s="9">
        <f>BM96/Modelling[[#This Row],[Comisined DC ]]/BP96</f>
        <v>0.6956909417764543</v>
      </c>
      <c r="BT96" s="9">
        <f>BN96/BQ96/Modelling[[#This Row],[Comisined DC ]]</f>
        <v>0.69569094177645419</v>
      </c>
      <c r="BU96" s="9">
        <f>BO96/BR96/Modelling[[#This Row],[Comisined DC ]]</f>
        <v>0.6833830246541569</v>
      </c>
      <c r="BV96" s="9">
        <f>BM96/(24*Modelling[[#This Row],[Comisined DC ]])</f>
        <v>0.14851069132089031</v>
      </c>
      <c r="BW96" s="9">
        <f>BN96/((COUNTIFS(Modelling[Date],"&lt;="&amp;Modelling[[#This Row],[Date]],Modelling[Month Year],Modelling[[#This Row],[Month Year]])*24*Modelling[[#This Row],[MTD DC Capcity]]))</f>
        <v>0.14851069132089034</v>
      </c>
      <c r="BX96" s="28">
        <f>BO96/((COUNTIFS(Modelling[Date],"&lt;="&amp;Modelling[[#This Row],[Date]],Modelling[Finacial Year],Modelling[[#This Row],[Finacial Year]])*24*Modelling[[#This Row],[MTD DC Capcity]]))</f>
        <v>0.17780934268058463</v>
      </c>
      <c r="BY96" s="4">
        <f>Modelling_old[[#This Row],[DC Capcity]]+Modelling_new[[#This Row],[Comisined DC ]]</f>
        <v>11.5031</v>
      </c>
      <c r="BZ96" s="4">
        <v>0</v>
      </c>
      <c r="CA96" s="4">
        <f>AVERAGEIFS(Modelling[[Comisined DC ]],Modelling[Date],"&lt;="&amp;Modelling[[#This Row],[Date]],Modelling[Month Year],Modelling[[#This Row],[Month Year]])</f>
        <v>11.503099999999996</v>
      </c>
      <c r="CB96" s="4">
        <f>AVERAGEIFS(Modelling[[Comisined DC ]],Modelling[Date],"&lt;="&amp;Modelling[[#This Row],[Date]],Modelling[Finacial Year],Modelling[[#This Row],[Finacial Year]])</f>
        <v>11.503100000000011</v>
      </c>
      <c r="CG96">
        <f t="shared" si="47"/>
        <v>18</v>
      </c>
      <c r="CH96">
        <f t="shared" si="48"/>
        <v>79</v>
      </c>
    </row>
    <row r="97" spans="1:86" x14ac:dyDescent="0.35">
      <c r="A97" s="27">
        <v>45096</v>
      </c>
      <c r="B97" s="5">
        <f>MONTH(Modelling_old[[#This Row],[Date]])</f>
        <v>6</v>
      </c>
      <c r="C97" s="25">
        <f t="shared" si="31"/>
        <v>2024</v>
      </c>
      <c r="D97" s="3">
        <f t="shared" si="32"/>
        <v>2023</v>
      </c>
      <c r="E97" s="3" t="s">
        <v>626</v>
      </c>
      <c r="F97" s="5" t="s">
        <v>626</v>
      </c>
      <c r="G97" s="102">
        <v>45078</v>
      </c>
      <c r="H97" s="5">
        <f t="shared" si="33"/>
        <v>30</v>
      </c>
      <c r="I97" s="5">
        <f t="shared" si="34"/>
        <v>6</v>
      </c>
      <c r="J97" s="4">
        <f t="shared" si="35"/>
        <v>41</v>
      </c>
      <c r="K97" s="4">
        <f>SUM($J$79:J97)</f>
        <v>779</v>
      </c>
      <c r="L97" s="4">
        <f>SUM($J$18:J97)</f>
        <v>3919.000000000005</v>
      </c>
      <c r="M97" s="4">
        <f t="shared" si="36"/>
        <v>5.1233333333333331</v>
      </c>
      <c r="N97" s="4">
        <f>SUM($M$79:M97)</f>
        <v>97.343333333333348</v>
      </c>
      <c r="O97" s="4">
        <f>SUM($M$18:M97)</f>
        <v>498.44333333333282</v>
      </c>
      <c r="P97" s="9">
        <f t="shared" si="37"/>
        <v>0.6956909417764543</v>
      </c>
      <c r="Q97" s="26">
        <f t="shared" si="30"/>
        <v>0.69569094177645419</v>
      </c>
      <c r="R97" s="26">
        <f t="shared" si="30"/>
        <v>0.68350953364292177</v>
      </c>
      <c r="S97" s="9">
        <f t="shared" si="38"/>
        <v>0.14851069132089031</v>
      </c>
      <c r="T97" s="9">
        <f>K97/((COUNT($K$79:K97))*24*$Q$1)</f>
        <v>0.14851069132089031</v>
      </c>
      <c r="U97" s="28">
        <f>L97/((COUNT($L$18:L97))*24*$Q$1)</f>
        <v>0.17744310953858836</v>
      </c>
      <c r="V97" s="134">
        <v>11.5031</v>
      </c>
      <c r="Y97" s="27">
        <f t="shared" si="45"/>
        <v>45096</v>
      </c>
      <c r="Z97" s="5">
        <f>MONTH(Modelling_new[[#This Row],[Date]])</f>
        <v>6</v>
      </c>
      <c r="AA97" s="25">
        <f>YEAR(Y97)+IF(MONTH(Modelling_new[[#This Row],[Date]])&gt;=4,1,0)</f>
        <v>2024</v>
      </c>
      <c r="AB97" s="3">
        <f t="shared" si="39"/>
        <v>2023</v>
      </c>
      <c r="AC97" s="3" t="s">
        <v>626</v>
      </c>
      <c r="AD97" s="5" t="s">
        <v>626</v>
      </c>
      <c r="AE97" s="102">
        <v>45078</v>
      </c>
      <c r="AF97" s="5">
        <f t="shared" si="40"/>
        <v>30</v>
      </c>
      <c r="AG97" s="5">
        <f t="shared" si="41"/>
        <v>6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BD97" s="27">
        <f t="shared" si="46"/>
        <v>45096</v>
      </c>
      <c r="BE97" s="5">
        <f>MONTH(Modelling[[#This Row],[Date]])</f>
        <v>6</v>
      </c>
      <c r="BF97" s="25">
        <f>YEAR(BD97)+IF(MONTH(Modelling[[#This Row],[Date]])&gt;=4,1,0)</f>
        <v>2024</v>
      </c>
      <c r="BG97" s="3">
        <f t="shared" si="42"/>
        <v>2023</v>
      </c>
      <c r="BH97" s="3" t="s">
        <v>626</v>
      </c>
      <c r="BI97" s="5" t="s">
        <v>626</v>
      </c>
      <c r="BJ97" s="102">
        <v>45078</v>
      </c>
      <c r="BK97" s="5">
        <f t="shared" si="43"/>
        <v>30</v>
      </c>
      <c r="BL97" s="5">
        <f t="shared" si="44"/>
        <v>6</v>
      </c>
      <c r="BM97" s="4">
        <f>Modelling_old[[#This Row],[Target E_Grid daily
MWh]]+Modelling_new[[#This Row],[Target E_Grid daily
MWh]]</f>
        <v>41</v>
      </c>
      <c r="BN97" s="4">
        <f>Modelling_old[[#This Row],[Target E_Grid MTD
MWh]]+Modelling_new[[#This Row],[Target E_Grid MTD
MWh]]</f>
        <v>779</v>
      </c>
      <c r="BO97" s="4">
        <f>Modelling_old[[#This Row],[Target E_Grid YTD
MWh]]+Modelling_new[[#This Row],[Target E_Grid YTD
MWh]]</f>
        <v>3919.000000000005</v>
      </c>
      <c r="BP9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97" s="4">
        <f>SUMIFS(Modelling[Target POA Daily (KWh/m2)],Modelling[Date],"&lt;="&amp;Modelling[[#This Row],[Date]],Modelling[Month Year],Modelling[[#This Row],[Month Year]])</f>
        <v>97.343333333333348</v>
      </c>
      <c r="BR97" s="4">
        <f>SUMIFS(Modelling[Target POA Daily (KWh/m2)],Modelling[Date],"&lt;="&amp;Modelling[[#This Row],[Date]],Modelling[Finacial Year],Modelling[[#This Row],[Finacial Year]])</f>
        <v>498.44333333333282</v>
      </c>
      <c r="BS97" s="9">
        <f>BM97/Modelling[[#This Row],[Comisined DC ]]/BP97</f>
        <v>0.6956909417764543</v>
      </c>
      <c r="BT97" s="9">
        <f>BN97/BQ97/Modelling[[#This Row],[Comisined DC ]]</f>
        <v>0.69569094177645419</v>
      </c>
      <c r="BU97" s="9">
        <f>BO97/BR97/Modelling[[#This Row],[Comisined DC ]]</f>
        <v>0.68350953364292177</v>
      </c>
      <c r="BV97" s="9">
        <f>BM97/(24*Modelling[[#This Row],[Comisined DC ]])</f>
        <v>0.14851069132089031</v>
      </c>
      <c r="BW97" s="9">
        <f>BN97/((COUNTIFS(Modelling[Date],"&lt;="&amp;Modelling[[#This Row],[Date]],Modelling[Month Year],Modelling[[#This Row],[Month Year]])*24*Modelling[[#This Row],[MTD DC Capcity]]))</f>
        <v>0.14851069132089037</v>
      </c>
      <c r="BX97" s="28">
        <f>BO97/((COUNTIFS(Modelling[Date],"&lt;="&amp;Modelling[[#This Row],[Date]],Modelling[Finacial Year],Modelling[[#This Row],[Finacial Year]])*24*Modelling[[#This Row],[MTD DC Capcity]]))</f>
        <v>0.17744310953858841</v>
      </c>
      <c r="BY97" s="4">
        <f>Modelling_old[[#This Row],[DC Capcity]]+Modelling_new[[#This Row],[Comisined DC ]]</f>
        <v>11.5031</v>
      </c>
      <c r="BZ97" s="4">
        <v>0</v>
      </c>
      <c r="CA97" s="4">
        <f>AVERAGEIFS(Modelling[[Comisined DC ]],Modelling[Date],"&lt;="&amp;Modelling[[#This Row],[Date]],Modelling[Month Year],Modelling[[#This Row],[Month Year]])</f>
        <v>11.503099999999996</v>
      </c>
      <c r="CB97" s="4">
        <f>AVERAGEIFS(Modelling[[Comisined DC ]],Modelling[Date],"&lt;="&amp;Modelling[[#This Row],[Date]],Modelling[Finacial Year],Modelling[[#This Row],[Finacial Year]])</f>
        <v>11.503100000000011</v>
      </c>
      <c r="CG97">
        <f t="shared" si="47"/>
        <v>19</v>
      </c>
      <c r="CH97">
        <f t="shared" si="48"/>
        <v>80</v>
      </c>
    </row>
    <row r="98" spans="1:86" x14ac:dyDescent="0.35">
      <c r="A98" s="27">
        <v>45097</v>
      </c>
      <c r="B98" s="5">
        <f>MONTH(Modelling_old[[#This Row],[Date]])</f>
        <v>6</v>
      </c>
      <c r="C98" s="25">
        <f t="shared" si="31"/>
        <v>2024</v>
      </c>
      <c r="D98" s="3">
        <f t="shared" si="32"/>
        <v>2023</v>
      </c>
      <c r="E98" s="3" t="s">
        <v>626</v>
      </c>
      <c r="F98" s="5" t="s">
        <v>626</v>
      </c>
      <c r="G98" s="102">
        <v>45078</v>
      </c>
      <c r="H98" s="5">
        <f t="shared" si="33"/>
        <v>30</v>
      </c>
      <c r="I98" s="5">
        <f t="shared" si="34"/>
        <v>6</v>
      </c>
      <c r="J98" s="4">
        <f t="shared" si="35"/>
        <v>41</v>
      </c>
      <c r="K98" s="4">
        <f>SUM($J$79:J98)</f>
        <v>820</v>
      </c>
      <c r="L98" s="4">
        <f>SUM($J$18:J98)</f>
        <v>3960.000000000005</v>
      </c>
      <c r="M98" s="4">
        <f t="shared" si="36"/>
        <v>5.1233333333333331</v>
      </c>
      <c r="N98" s="4">
        <f>SUM($M$79:M98)</f>
        <v>102.46666666666668</v>
      </c>
      <c r="O98" s="4">
        <f>SUM($M$18:M98)</f>
        <v>503.56666666666615</v>
      </c>
      <c r="P98" s="9">
        <f t="shared" si="37"/>
        <v>0.6956909417764543</v>
      </c>
      <c r="Q98" s="26">
        <f t="shared" ref="Q98:R161" si="49">K98/N98/$Q$1</f>
        <v>0.69569094177645419</v>
      </c>
      <c r="R98" s="26">
        <f t="shared" si="49"/>
        <v>0.68363346840363681</v>
      </c>
      <c r="S98" s="9">
        <f t="shared" si="38"/>
        <v>0.14851069132089031</v>
      </c>
      <c r="T98" s="9">
        <f>K98/((COUNT($K$79:K98))*24*$Q$1)</f>
        <v>0.14851069132089031</v>
      </c>
      <c r="U98" s="28">
        <f>L98/((COUNT($L$18:L98))*24*$Q$1)</f>
        <v>0.17708591919022174</v>
      </c>
      <c r="V98" s="134">
        <v>11.5031</v>
      </c>
      <c r="Y98" s="27">
        <f t="shared" si="45"/>
        <v>45097</v>
      </c>
      <c r="Z98" s="5">
        <f>MONTH(Modelling_new[[#This Row],[Date]])</f>
        <v>6</v>
      </c>
      <c r="AA98" s="25">
        <f>YEAR(Y98)+IF(MONTH(Modelling_new[[#This Row],[Date]])&gt;=4,1,0)</f>
        <v>2024</v>
      </c>
      <c r="AB98" s="3">
        <f t="shared" si="39"/>
        <v>2023</v>
      </c>
      <c r="AC98" s="3" t="s">
        <v>626</v>
      </c>
      <c r="AD98" s="5" t="s">
        <v>626</v>
      </c>
      <c r="AE98" s="102">
        <v>45078</v>
      </c>
      <c r="AF98" s="5">
        <f t="shared" si="40"/>
        <v>30</v>
      </c>
      <c r="AG98" s="5">
        <f t="shared" si="41"/>
        <v>6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BD98" s="27">
        <f t="shared" si="46"/>
        <v>45097</v>
      </c>
      <c r="BE98" s="5">
        <f>MONTH(Modelling[[#This Row],[Date]])</f>
        <v>6</v>
      </c>
      <c r="BF98" s="25">
        <f>YEAR(BD98)+IF(MONTH(Modelling[[#This Row],[Date]])&gt;=4,1,0)</f>
        <v>2024</v>
      </c>
      <c r="BG98" s="3">
        <f t="shared" si="42"/>
        <v>2023</v>
      </c>
      <c r="BH98" s="3" t="s">
        <v>626</v>
      </c>
      <c r="BI98" s="5" t="s">
        <v>626</v>
      </c>
      <c r="BJ98" s="102">
        <v>45078</v>
      </c>
      <c r="BK98" s="5">
        <f t="shared" si="43"/>
        <v>30</v>
      </c>
      <c r="BL98" s="5">
        <f t="shared" si="44"/>
        <v>6</v>
      </c>
      <c r="BM98" s="4">
        <f>Modelling_old[[#This Row],[Target E_Grid daily
MWh]]+Modelling_new[[#This Row],[Target E_Grid daily
MWh]]</f>
        <v>41</v>
      </c>
      <c r="BN98" s="4">
        <f>Modelling_old[[#This Row],[Target E_Grid MTD
MWh]]+Modelling_new[[#This Row],[Target E_Grid MTD
MWh]]</f>
        <v>820</v>
      </c>
      <c r="BO98" s="4">
        <f>Modelling_old[[#This Row],[Target E_Grid YTD
MWh]]+Modelling_new[[#This Row],[Target E_Grid YTD
MWh]]</f>
        <v>3960.000000000005</v>
      </c>
      <c r="BP9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98" s="4">
        <f>SUMIFS(Modelling[Target POA Daily (KWh/m2)],Modelling[Date],"&lt;="&amp;Modelling[[#This Row],[Date]],Modelling[Month Year],Modelling[[#This Row],[Month Year]])</f>
        <v>102.46666666666668</v>
      </c>
      <c r="BR98" s="4">
        <f>SUMIFS(Modelling[Target POA Daily (KWh/m2)],Modelling[Date],"&lt;="&amp;Modelling[[#This Row],[Date]],Modelling[Finacial Year],Modelling[[#This Row],[Finacial Year]])</f>
        <v>503.56666666666615</v>
      </c>
      <c r="BS98" s="9">
        <f>BM98/Modelling[[#This Row],[Comisined DC ]]/BP98</f>
        <v>0.6956909417764543</v>
      </c>
      <c r="BT98" s="9">
        <f>BN98/BQ98/Modelling[[#This Row],[Comisined DC ]]</f>
        <v>0.69569094177645419</v>
      </c>
      <c r="BU98" s="9">
        <f>BO98/BR98/Modelling[[#This Row],[Comisined DC ]]</f>
        <v>0.68363346840363681</v>
      </c>
      <c r="BV98" s="9">
        <f>BM98/(24*Modelling[[#This Row],[Comisined DC ]])</f>
        <v>0.14851069132089031</v>
      </c>
      <c r="BW98" s="9">
        <f>BN98/((COUNTIFS(Modelling[Date],"&lt;="&amp;Modelling[[#This Row],[Date]],Modelling[Month Year],Modelling[[#This Row],[Month Year]])*24*Modelling[[#This Row],[MTD DC Capcity]]))</f>
        <v>0.14851069132089034</v>
      </c>
      <c r="BX98" s="28">
        <f>BO98/((COUNTIFS(Modelling[Date],"&lt;="&amp;Modelling[[#This Row],[Date]],Modelling[Finacial Year],Modelling[[#This Row],[Finacial Year]])*24*Modelling[[#This Row],[MTD DC Capcity]]))</f>
        <v>0.17708591919022179</v>
      </c>
      <c r="BY98" s="4">
        <f>Modelling_old[[#This Row],[DC Capcity]]+Modelling_new[[#This Row],[Comisined DC ]]</f>
        <v>11.5031</v>
      </c>
      <c r="BZ98" s="4">
        <v>0</v>
      </c>
      <c r="CA98" s="4">
        <f>AVERAGEIFS(Modelling[[Comisined DC ]],Modelling[Date],"&lt;="&amp;Modelling[[#This Row],[Date]],Modelling[Month Year],Modelling[[#This Row],[Month Year]])</f>
        <v>11.503099999999996</v>
      </c>
      <c r="CB98" s="4">
        <f>AVERAGEIFS(Modelling[[Comisined DC ]],Modelling[Date],"&lt;="&amp;Modelling[[#This Row],[Date]],Modelling[Finacial Year],Modelling[[#This Row],[Finacial Year]])</f>
        <v>11.503100000000011</v>
      </c>
      <c r="CG98">
        <f t="shared" si="47"/>
        <v>20</v>
      </c>
      <c r="CH98">
        <f t="shared" si="48"/>
        <v>81</v>
      </c>
    </row>
    <row r="99" spans="1:86" x14ac:dyDescent="0.35">
      <c r="A99" s="27">
        <v>45098</v>
      </c>
      <c r="B99" s="5">
        <f>MONTH(Modelling_old[[#This Row],[Date]])</f>
        <v>6</v>
      </c>
      <c r="C99" s="25">
        <f t="shared" si="31"/>
        <v>2024</v>
      </c>
      <c r="D99" s="3">
        <f t="shared" si="32"/>
        <v>2023</v>
      </c>
      <c r="E99" s="3" t="s">
        <v>626</v>
      </c>
      <c r="F99" s="5" t="s">
        <v>626</v>
      </c>
      <c r="G99" s="102">
        <v>45078</v>
      </c>
      <c r="H99" s="5">
        <f t="shared" si="33"/>
        <v>30</v>
      </c>
      <c r="I99" s="5">
        <f t="shared" si="34"/>
        <v>6</v>
      </c>
      <c r="J99" s="4">
        <f t="shared" si="35"/>
        <v>41</v>
      </c>
      <c r="K99" s="4">
        <f>SUM($J$79:J99)</f>
        <v>861</v>
      </c>
      <c r="L99" s="4">
        <f>SUM($J$18:J99)</f>
        <v>4001.000000000005</v>
      </c>
      <c r="M99" s="4">
        <f t="shared" si="36"/>
        <v>5.1233333333333331</v>
      </c>
      <c r="N99" s="4">
        <f>SUM($M$79:M99)</f>
        <v>107.59000000000002</v>
      </c>
      <c r="O99" s="4">
        <f>SUM($M$18:M99)</f>
        <v>508.68999999999949</v>
      </c>
      <c r="P99" s="9">
        <f t="shared" si="37"/>
        <v>0.6956909417764543</v>
      </c>
      <c r="Q99" s="26">
        <f t="shared" si="49"/>
        <v>0.69569094177645419</v>
      </c>
      <c r="R99" s="26">
        <f t="shared" si="49"/>
        <v>0.68375490671625705</v>
      </c>
      <c r="S99" s="9">
        <f t="shared" si="38"/>
        <v>0.14851069132089031</v>
      </c>
      <c r="T99" s="9">
        <f>K99/((COUNT($K$79:K99))*24*$Q$1)</f>
        <v>0.14851069132089031</v>
      </c>
      <c r="U99" s="28">
        <f>L99/((COUNT($L$18:L99))*24*$Q$1)</f>
        <v>0.17673744080157136</v>
      </c>
      <c r="V99" s="134">
        <v>11.5031</v>
      </c>
      <c r="Y99" s="27">
        <f t="shared" si="45"/>
        <v>45098</v>
      </c>
      <c r="Z99" s="5">
        <f>MONTH(Modelling_new[[#This Row],[Date]])</f>
        <v>6</v>
      </c>
      <c r="AA99" s="25">
        <f>YEAR(Y99)+IF(MONTH(Modelling_new[[#This Row],[Date]])&gt;=4,1,0)</f>
        <v>2024</v>
      </c>
      <c r="AB99" s="3">
        <f t="shared" si="39"/>
        <v>2023</v>
      </c>
      <c r="AC99" s="3" t="s">
        <v>626</v>
      </c>
      <c r="AD99" s="5" t="s">
        <v>626</v>
      </c>
      <c r="AE99" s="102">
        <v>45078</v>
      </c>
      <c r="AF99" s="5">
        <f t="shared" si="40"/>
        <v>30</v>
      </c>
      <c r="AG99" s="5">
        <f t="shared" si="41"/>
        <v>6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BD99" s="27">
        <f t="shared" si="46"/>
        <v>45098</v>
      </c>
      <c r="BE99" s="5">
        <f>MONTH(Modelling[[#This Row],[Date]])</f>
        <v>6</v>
      </c>
      <c r="BF99" s="25">
        <f>YEAR(BD99)+IF(MONTH(Modelling[[#This Row],[Date]])&gt;=4,1,0)</f>
        <v>2024</v>
      </c>
      <c r="BG99" s="3">
        <f t="shared" si="42"/>
        <v>2023</v>
      </c>
      <c r="BH99" s="3" t="s">
        <v>626</v>
      </c>
      <c r="BI99" s="5" t="s">
        <v>626</v>
      </c>
      <c r="BJ99" s="102">
        <v>45078</v>
      </c>
      <c r="BK99" s="5">
        <f t="shared" si="43"/>
        <v>30</v>
      </c>
      <c r="BL99" s="5">
        <f t="shared" si="44"/>
        <v>6</v>
      </c>
      <c r="BM99" s="4">
        <f>Modelling_old[[#This Row],[Target E_Grid daily
MWh]]+Modelling_new[[#This Row],[Target E_Grid daily
MWh]]</f>
        <v>41</v>
      </c>
      <c r="BN99" s="4">
        <f>Modelling_old[[#This Row],[Target E_Grid MTD
MWh]]+Modelling_new[[#This Row],[Target E_Grid MTD
MWh]]</f>
        <v>861</v>
      </c>
      <c r="BO99" s="4">
        <f>Modelling_old[[#This Row],[Target E_Grid YTD
MWh]]+Modelling_new[[#This Row],[Target E_Grid YTD
MWh]]</f>
        <v>4001.000000000005</v>
      </c>
      <c r="BP9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99" s="4">
        <f>SUMIFS(Modelling[Target POA Daily (KWh/m2)],Modelling[Date],"&lt;="&amp;Modelling[[#This Row],[Date]],Modelling[Month Year],Modelling[[#This Row],[Month Year]])</f>
        <v>107.59000000000002</v>
      </c>
      <c r="BR99" s="4">
        <f>SUMIFS(Modelling[Target POA Daily (KWh/m2)],Modelling[Date],"&lt;="&amp;Modelling[[#This Row],[Date]],Modelling[Finacial Year],Modelling[[#This Row],[Finacial Year]])</f>
        <v>508.68999999999949</v>
      </c>
      <c r="BS99" s="9">
        <f>BM99/Modelling[[#This Row],[Comisined DC ]]/BP99</f>
        <v>0.6956909417764543</v>
      </c>
      <c r="BT99" s="9">
        <f>BN99/BQ99/Modelling[[#This Row],[Comisined DC ]]</f>
        <v>0.69569094177645419</v>
      </c>
      <c r="BU99" s="9">
        <f>BO99/BR99/Modelling[[#This Row],[Comisined DC ]]</f>
        <v>0.68375490671625705</v>
      </c>
      <c r="BV99" s="9">
        <f>BM99/(24*Modelling[[#This Row],[Comisined DC ]])</f>
        <v>0.14851069132089031</v>
      </c>
      <c r="BW99" s="9">
        <f>BN99/((COUNTIFS(Modelling[Date],"&lt;="&amp;Modelling[[#This Row],[Date]],Modelling[Month Year],Modelling[[#This Row],[Month Year]])*24*Modelling[[#This Row],[MTD DC Capcity]]))</f>
        <v>0.14851069132089037</v>
      </c>
      <c r="BX99" s="28">
        <f>BO99/((COUNTIFS(Modelling[Date],"&lt;="&amp;Modelling[[#This Row],[Date]],Modelling[Finacial Year],Modelling[[#This Row],[Finacial Year]])*24*Modelling[[#This Row],[MTD DC Capcity]]))</f>
        <v>0.17673744080157142</v>
      </c>
      <c r="BY99" s="4">
        <f>Modelling_old[[#This Row],[DC Capcity]]+Modelling_new[[#This Row],[Comisined DC ]]</f>
        <v>11.5031</v>
      </c>
      <c r="BZ99" s="4">
        <v>0</v>
      </c>
      <c r="CA99" s="4">
        <f>AVERAGEIFS(Modelling[[Comisined DC ]],Modelling[Date],"&lt;="&amp;Modelling[[#This Row],[Date]],Modelling[Month Year],Modelling[[#This Row],[Month Year]])</f>
        <v>11.503099999999996</v>
      </c>
      <c r="CB99" s="4">
        <f>AVERAGEIFS(Modelling[[Comisined DC ]],Modelling[Date],"&lt;="&amp;Modelling[[#This Row],[Date]],Modelling[Finacial Year],Modelling[[#This Row],[Finacial Year]])</f>
        <v>11.503100000000011</v>
      </c>
      <c r="CG99">
        <f t="shared" si="47"/>
        <v>21</v>
      </c>
      <c r="CH99">
        <f t="shared" si="48"/>
        <v>82</v>
      </c>
    </row>
    <row r="100" spans="1:86" x14ac:dyDescent="0.35">
      <c r="A100" s="27">
        <v>45099</v>
      </c>
      <c r="B100" s="5">
        <f>MONTH(Modelling_old[[#This Row],[Date]])</f>
        <v>6</v>
      </c>
      <c r="C100" s="25">
        <f t="shared" si="31"/>
        <v>2024</v>
      </c>
      <c r="D100" s="3">
        <f t="shared" si="32"/>
        <v>2023</v>
      </c>
      <c r="E100" s="3" t="s">
        <v>626</v>
      </c>
      <c r="F100" s="5" t="s">
        <v>626</v>
      </c>
      <c r="G100" s="102">
        <v>45078</v>
      </c>
      <c r="H100" s="5">
        <f t="shared" si="33"/>
        <v>30</v>
      </c>
      <c r="I100" s="5">
        <f t="shared" si="34"/>
        <v>6</v>
      </c>
      <c r="J100" s="4">
        <f t="shared" si="35"/>
        <v>41</v>
      </c>
      <c r="K100" s="4">
        <f>SUM($J$79:J100)</f>
        <v>902</v>
      </c>
      <c r="L100" s="4">
        <f>SUM($J$18:J100)</f>
        <v>4042.000000000005</v>
      </c>
      <c r="M100" s="4">
        <f t="shared" si="36"/>
        <v>5.1233333333333331</v>
      </c>
      <c r="N100" s="4">
        <f>SUM($M$79:M100)</f>
        <v>112.71333333333335</v>
      </c>
      <c r="O100" s="4">
        <f>SUM($M$18:M100)</f>
        <v>513.81333333333282</v>
      </c>
      <c r="P100" s="9">
        <f t="shared" si="37"/>
        <v>0.6956909417764543</v>
      </c>
      <c r="Q100" s="26">
        <f t="shared" si="49"/>
        <v>0.69569094177645419</v>
      </c>
      <c r="R100" s="26">
        <f t="shared" si="49"/>
        <v>0.68387392325850016</v>
      </c>
      <c r="S100" s="9">
        <f t="shared" si="38"/>
        <v>0.14851069132089031</v>
      </c>
      <c r="T100" s="9">
        <f>K100/((COUNT($K$79:K100))*24*$Q$1)</f>
        <v>0.14851069132089031</v>
      </c>
      <c r="U100" s="28">
        <f>L100/((COUNT($L$18:L100))*24*$Q$1)</f>
        <v>0.17639735948252699</v>
      </c>
      <c r="V100" s="134">
        <v>11.5031</v>
      </c>
      <c r="Y100" s="27">
        <f t="shared" si="45"/>
        <v>45099</v>
      </c>
      <c r="Z100" s="5">
        <f>MONTH(Modelling_new[[#This Row],[Date]])</f>
        <v>6</v>
      </c>
      <c r="AA100" s="25">
        <f>YEAR(Y100)+IF(MONTH(Modelling_new[[#This Row],[Date]])&gt;=4,1,0)</f>
        <v>2024</v>
      </c>
      <c r="AB100" s="3">
        <f t="shared" si="39"/>
        <v>2023</v>
      </c>
      <c r="AC100" s="3" t="s">
        <v>626</v>
      </c>
      <c r="AD100" s="5" t="s">
        <v>626</v>
      </c>
      <c r="AE100" s="102">
        <v>45078</v>
      </c>
      <c r="AF100" s="5">
        <f t="shared" si="40"/>
        <v>30</v>
      </c>
      <c r="AG100" s="5">
        <f t="shared" si="41"/>
        <v>6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BD100" s="27">
        <f t="shared" si="46"/>
        <v>45099</v>
      </c>
      <c r="BE100" s="5">
        <f>MONTH(Modelling[[#This Row],[Date]])</f>
        <v>6</v>
      </c>
      <c r="BF100" s="25">
        <f>YEAR(BD100)+IF(MONTH(Modelling[[#This Row],[Date]])&gt;=4,1,0)</f>
        <v>2024</v>
      </c>
      <c r="BG100" s="3">
        <f t="shared" si="42"/>
        <v>2023</v>
      </c>
      <c r="BH100" s="3" t="s">
        <v>626</v>
      </c>
      <c r="BI100" s="5" t="s">
        <v>626</v>
      </c>
      <c r="BJ100" s="102">
        <v>45078</v>
      </c>
      <c r="BK100" s="5">
        <f t="shared" si="43"/>
        <v>30</v>
      </c>
      <c r="BL100" s="5">
        <f t="shared" si="44"/>
        <v>6</v>
      </c>
      <c r="BM100" s="4">
        <f>Modelling_old[[#This Row],[Target E_Grid daily
MWh]]+Modelling_new[[#This Row],[Target E_Grid daily
MWh]]</f>
        <v>41</v>
      </c>
      <c r="BN100" s="4">
        <f>Modelling_old[[#This Row],[Target E_Grid MTD
MWh]]+Modelling_new[[#This Row],[Target E_Grid MTD
MWh]]</f>
        <v>902</v>
      </c>
      <c r="BO100" s="4">
        <f>Modelling_old[[#This Row],[Target E_Grid YTD
MWh]]+Modelling_new[[#This Row],[Target E_Grid YTD
MWh]]</f>
        <v>4042.000000000005</v>
      </c>
      <c r="BP10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100" s="4">
        <f>SUMIFS(Modelling[Target POA Daily (KWh/m2)],Modelling[Date],"&lt;="&amp;Modelling[[#This Row],[Date]],Modelling[Month Year],Modelling[[#This Row],[Month Year]])</f>
        <v>112.71333333333335</v>
      </c>
      <c r="BR100" s="4">
        <f>SUMIFS(Modelling[Target POA Daily (KWh/m2)],Modelling[Date],"&lt;="&amp;Modelling[[#This Row],[Date]],Modelling[Finacial Year],Modelling[[#This Row],[Finacial Year]])</f>
        <v>513.81333333333282</v>
      </c>
      <c r="BS100" s="9">
        <f>BM100/Modelling[[#This Row],[Comisined DC ]]/BP100</f>
        <v>0.6956909417764543</v>
      </c>
      <c r="BT100" s="9">
        <f>BN100/BQ100/Modelling[[#This Row],[Comisined DC ]]</f>
        <v>0.69569094177645419</v>
      </c>
      <c r="BU100" s="9">
        <f>BO100/BR100/Modelling[[#This Row],[Comisined DC ]]</f>
        <v>0.68387392325850016</v>
      </c>
      <c r="BV100" s="9">
        <f>BM100/(24*Modelling[[#This Row],[Comisined DC ]])</f>
        <v>0.14851069132089031</v>
      </c>
      <c r="BW100" s="9">
        <f>BN100/((COUNTIFS(Modelling[Date],"&lt;="&amp;Modelling[[#This Row],[Date]],Modelling[Month Year],Modelling[[#This Row],[Month Year]])*24*Modelling[[#This Row],[MTD DC Capcity]]))</f>
        <v>0.14851069132089034</v>
      </c>
      <c r="BX100" s="28">
        <f>BO100/((COUNTIFS(Modelling[Date],"&lt;="&amp;Modelling[[#This Row],[Date]],Modelling[Finacial Year],Modelling[[#This Row],[Finacial Year]])*24*Modelling[[#This Row],[MTD DC Capcity]]))</f>
        <v>0.17639735948252705</v>
      </c>
      <c r="BY100" s="4">
        <f>Modelling_old[[#This Row],[DC Capcity]]+Modelling_new[[#This Row],[Comisined DC ]]</f>
        <v>11.5031</v>
      </c>
      <c r="BZ100" s="4">
        <v>0</v>
      </c>
      <c r="CA100" s="4">
        <f>AVERAGEIFS(Modelling[[Comisined DC ]],Modelling[Date],"&lt;="&amp;Modelling[[#This Row],[Date]],Modelling[Month Year],Modelling[[#This Row],[Month Year]])</f>
        <v>11.503099999999996</v>
      </c>
      <c r="CB100" s="4">
        <f>AVERAGEIFS(Modelling[[Comisined DC ]],Modelling[Date],"&lt;="&amp;Modelling[[#This Row],[Date]],Modelling[Finacial Year],Modelling[[#This Row],[Finacial Year]])</f>
        <v>11.503100000000011</v>
      </c>
      <c r="CG100">
        <f t="shared" si="47"/>
        <v>22</v>
      </c>
      <c r="CH100">
        <f t="shared" si="48"/>
        <v>83</v>
      </c>
    </row>
    <row r="101" spans="1:86" x14ac:dyDescent="0.35">
      <c r="A101" s="27">
        <v>45100</v>
      </c>
      <c r="B101" s="5">
        <f>MONTH(Modelling_old[[#This Row],[Date]])</f>
        <v>6</v>
      </c>
      <c r="C101" s="25">
        <f t="shared" si="31"/>
        <v>2024</v>
      </c>
      <c r="D101" s="3">
        <f t="shared" si="32"/>
        <v>2023</v>
      </c>
      <c r="E101" s="3" t="s">
        <v>626</v>
      </c>
      <c r="F101" s="5" t="s">
        <v>626</v>
      </c>
      <c r="G101" s="102">
        <v>45078</v>
      </c>
      <c r="H101" s="5">
        <f t="shared" si="33"/>
        <v>30</v>
      </c>
      <c r="I101" s="5">
        <f t="shared" si="34"/>
        <v>6</v>
      </c>
      <c r="J101" s="4">
        <f t="shared" si="35"/>
        <v>41</v>
      </c>
      <c r="K101" s="4">
        <f>SUM($J$79:J101)</f>
        <v>943</v>
      </c>
      <c r="L101" s="4">
        <f>SUM($J$18:J101)</f>
        <v>4083.000000000005</v>
      </c>
      <c r="M101" s="4">
        <f t="shared" si="36"/>
        <v>5.1233333333333331</v>
      </c>
      <c r="N101" s="4">
        <f>SUM($M$79:M101)</f>
        <v>117.83666666666669</v>
      </c>
      <c r="O101" s="4">
        <f>SUM($M$18:M101)</f>
        <v>518.93666666666616</v>
      </c>
      <c r="P101" s="9">
        <f t="shared" si="37"/>
        <v>0.6956909417764543</v>
      </c>
      <c r="Q101" s="26">
        <f t="shared" si="49"/>
        <v>0.69569094177645419</v>
      </c>
      <c r="R101" s="26">
        <f t="shared" si="49"/>
        <v>0.68399058975898563</v>
      </c>
      <c r="S101" s="9">
        <f t="shared" si="38"/>
        <v>0.14851069132089031</v>
      </c>
      <c r="T101" s="9">
        <f>K101/((COUNT($K$79:K101))*24*$Q$1)</f>
        <v>0.14851069132089031</v>
      </c>
      <c r="U101" s="28">
        <f>L101/((COUNT($L$18:L101))*24*$Q$1)</f>
        <v>0.17606537533774561</v>
      </c>
      <c r="V101" s="134">
        <v>11.5031</v>
      </c>
      <c r="Y101" s="27">
        <f t="shared" si="45"/>
        <v>45100</v>
      </c>
      <c r="Z101" s="5">
        <f>MONTH(Modelling_new[[#This Row],[Date]])</f>
        <v>6</v>
      </c>
      <c r="AA101" s="25">
        <f>YEAR(Y101)+IF(MONTH(Modelling_new[[#This Row],[Date]])&gt;=4,1,0)</f>
        <v>2024</v>
      </c>
      <c r="AB101" s="3">
        <f t="shared" si="39"/>
        <v>2023</v>
      </c>
      <c r="AC101" s="3" t="s">
        <v>626</v>
      </c>
      <c r="AD101" s="5" t="s">
        <v>626</v>
      </c>
      <c r="AE101" s="102">
        <v>45078</v>
      </c>
      <c r="AF101" s="5">
        <f t="shared" si="40"/>
        <v>30</v>
      </c>
      <c r="AG101" s="5">
        <f t="shared" si="41"/>
        <v>6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BD101" s="27">
        <f t="shared" si="46"/>
        <v>45100</v>
      </c>
      <c r="BE101" s="5">
        <f>MONTH(Modelling[[#This Row],[Date]])</f>
        <v>6</v>
      </c>
      <c r="BF101" s="25">
        <f>YEAR(BD101)+IF(MONTH(Modelling[[#This Row],[Date]])&gt;=4,1,0)</f>
        <v>2024</v>
      </c>
      <c r="BG101" s="3">
        <f t="shared" si="42"/>
        <v>2023</v>
      </c>
      <c r="BH101" s="3" t="s">
        <v>626</v>
      </c>
      <c r="BI101" s="5" t="s">
        <v>626</v>
      </c>
      <c r="BJ101" s="102">
        <v>45078</v>
      </c>
      <c r="BK101" s="5">
        <f t="shared" si="43"/>
        <v>30</v>
      </c>
      <c r="BL101" s="5">
        <f t="shared" si="44"/>
        <v>6</v>
      </c>
      <c r="BM101" s="4">
        <f>Modelling_old[[#This Row],[Target E_Grid daily
MWh]]+Modelling_new[[#This Row],[Target E_Grid daily
MWh]]</f>
        <v>41</v>
      </c>
      <c r="BN101" s="4">
        <f>Modelling_old[[#This Row],[Target E_Grid MTD
MWh]]+Modelling_new[[#This Row],[Target E_Grid MTD
MWh]]</f>
        <v>943</v>
      </c>
      <c r="BO101" s="4">
        <f>Modelling_old[[#This Row],[Target E_Grid YTD
MWh]]+Modelling_new[[#This Row],[Target E_Grid YTD
MWh]]</f>
        <v>4083.000000000005</v>
      </c>
      <c r="BP10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101" s="4">
        <f>SUMIFS(Modelling[Target POA Daily (KWh/m2)],Modelling[Date],"&lt;="&amp;Modelling[[#This Row],[Date]],Modelling[Month Year],Modelling[[#This Row],[Month Year]])</f>
        <v>117.83666666666669</v>
      </c>
      <c r="BR101" s="4">
        <f>SUMIFS(Modelling[Target POA Daily (KWh/m2)],Modelling[Date],"&lt;="&amp;Modelling[[#This Row],[Date]],Modelling[Finacial Year],Modelling[[#This Row],[Finacial Year]])</f>
        <v>518.93666666666616</v>
      </c>
      <c r="BS101" s="9">
        <f>BM101/Modelling[[#This Row],[Comisined DC ]]/BP101</f>
        <v>0.6956909417764543</v>
      </c>
      <c r="BT101" s="9">
        <f>BN101/BQ101/Modelling[[#This Row],[Comisined DC ]]</f>
        <v>0.69569094177645419</v>
      </c>
      <c r="BU101" s="9">
        <f>BO101/BR101/Modelling[[#This Row],[Comisined DC ]]</f>
        <v>0.68399058975898563</v>
      </c>
      <c r="BV101" s="9">
        <f>BM101/(24*Modelling[[#This Row],[Comisined DC ]])</f>
        <v>0.14851069132089031</v>
      </c>
      <c r="BW101" s="9">
        <f>BN101/((COUNTIFS(Modelling[Date],"&lt;="&amp;Modelling[[#This Row],[Date]],Modelling[Month Year],Modelling[[#This Row],[Month Year]])*24*Modelling[[#This Row],[MTD DC Capcity]]))</f>
        <v>0.14851069132089037</v>
      </c>
      <c r="BX101" s="28">
        <f>BO101/((COUNTIFS(Modelling[Date],"&lt;="&amp;Modelling[[#This Row],[Date]],Modelling[Finacial Year],Modelling[[#This Row],[Finacial Year]])*24*Modelling[[#This Row],[MTD DC Capcity]]))</f>
        <v>0.17606537533774569</v>
      </c>
      <c r="BY101" s="4">
        <f>Modelling_old[[#This Row],[DC Capcity]]+Modelling_new[[#This Row],[Comisined DC ]]</f>
        <v>11.5031</v>
      </c>
      <c r="BZ101" s="4">
        <v>0</v>
      </c>
      <c r="CA101" s="4">
        <f>AVERAGEIFS(Modelling[[Comisined DC ]],Modelling[Date],"&lt;="&amp;Modelling[[#This Row],[Date]],Modelling[Month Year],Modelling[[#This Row],[Month Year]])</f>
        <v>11.503099999999995</v>
      </c>
      <c r="CB101" s="4">
        <f>AVERAGEIFS(Modelling[[Comisined DC ]],Modelling[Date],"&lt;="&amp;Modelling[[#This Row],[Date]],Modelling[Finacial Year],Modelling[[#This Row],[Finacial Year]])</f>
        <v>11.503100000000011</v>
      </c>
      <c r="CG101">
        <f t="shared" si="47"/>
        <v>23</v>
      </c>
      <c r="CH101">
        <f t="shared" si="48"/>
        <v>84</v>
      </c>
    </row>
    <row r="102" spans="1:86" x14ac:dyDescent="0.35">
      <c r="A102" s="27">
        <v>45101</v>
      </c>
      <c r="B102" s="5">
        <f>MONTH(Modelling_old[[#This Row],[Date]])</f>
        <v>6</v>
      </c>
      <c r="C102" s="25">
        <f t="shared" si="31"/>
        <v>2024</v>
      </c>
      <c r="D102" s="3">
        <f t="shared" si="32"/>
        <v>2023</v>
      </c>
      <c r="E102" s="3" t="s">
        <v>626</v>
      </c>
      <c r="F102" s="5" t="s">
        <v>626</v>
      </c>
      <c r="G102" s="102">
        <v>45078</v>
      </c>
      <c r="H102" s="5">
        <f t="shared" si="33"/>
        <v>30</v>
      </c>
      <c r="I102" s="5">
        <f t="shared" si="34"/>
        <v>6</v>
      </c>
      <c r="J102" s="4">
        <f t="shared" si="35"/>
        <v>41</v>
      </c>
      <c r="K102" s="4">
        <f>SUM($J$79:J102)</f>
        <v>984</v>
      </c>
      <c r="L102" s="4">
        <f>SUM($J$18:J102)</f>
        <v>4124.0000000000055</v>
      </c>
      <c r="M102" s="4">
        <f t="shared" si="36"/>
        <v>5.1233333333333331</v>
      </c>
      <c r="N102" s="4">
        <f>SUM($M$79:M102)</f>
        <v>122.96000000000002</v>
      </c>
      <c r="O102" s="4">
        <f>SUM($M$18:M102)</f>
        <v>524.05999999999949</v>
      </c>
      <c r="P102" s="9">
        <f t="shared" si="37"/>
        <v>0.6956909417764543</v>
      </c>
      <c r="Q102" s="26">
        <f t="shared" si="49"/>
        <v>0.69569094177645419</v>
      </c>
      <c r="R102" s="26">
        <f t="shared" si="49"/>
        <v>0.68410497514139013</v>
      </c>
      <c r="S102" s="9">
        <f t="shared" si="38"/>
        <v>0.14851069132089031</v>
      </c>
      <c r="T102" s="9">
        <f>K102/((COUNT($K$79:K102))*24*$Q$1)</f>
        <v>0.14851069132089031</v>
      </c>
      <c r="U102" s="28">
        <f>L102/((COUNT($L$18:L102))*24*$Q$1)</f>
        <v>0.17574120258460615</v>
      </c>
      <c r="V102" s="134">
        <v>11.5031</v>
      </c>
      <c r="Y102" s="27">
        <f t="shared" si="45"/>
        <v>45101</v>
      </c>
      <c r="Z102" s="5">
        <f>MONTH(Modelling_new[[#This Row],[Date]])</f>
        <v>6</v>
      </c>
      <c r="AA102" s="25">
        <f>YEAR(Y102)+IF(MONTH(Modelling_new[[#This Row],[Date]])&gt;=4,1,0)</f>
        <v>2024</v>
      </c>
      <c r="AB102" s="3">
        <f t="shared" si="39"/>
        <v>2023</v>
      </c>
      <c r="AC102" s="3" t="s">
        <v>626</v>
      </c>
      <c r="AD102" s="5" t="s">
        <v>626</v>
      </c>
      <c r="AE102" s="102">
        <v>45078</v>
      </c>
      <c r="AF102" s="5">
        <f t="shared" si="40"/>
        <v>30</v>
      </c>
      <c r="AG102" s="5">
        <f t="shared" si="41"/>
        <v>6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BD102" s="27">
        <f t="shared" si="46"/>
        <v>45101</v>
      </c>
      <c r="BE102" s="5">
        <f>MONTH(Modelling[[#This Row],[Date]])</f>
        <v>6</v>
      </c>
      <c r="BF102" s="25">
        <f>YEAR(BD102)+IF(MONTH(Modelling[[#This Row],[Date]])&gt;=4,1,0)</f>
        <v>2024</v>
      </c>
      <c r="BG102" s="3">
        <f t="shared" si="42"/>
        <v>2023</v>
      </c>
      <c r="BH102" s="3" t="s">
        <v>626</v>
      </c>
      <c r="BI102" s="5" t="s">
        <v>626</v>
      </c>
      <c r="BJ102" s="102">
        <v>45078</v>
      </c>
      <c r="BK102" s="5">
        <f t="shared" si="43"/>
        <v>30</v>
      </c>
      <c r="BL102" s="5">
        <f t="shared" si="44"/>
        <v>6</v>
      </c>
      <c r="BM102" s="4">
        <f>Modelling_old[[#This Row],[Target E_Grid daily
MWh]]+Modelling_new[[#This Row],[Target E_Grid daily
MWh]]</f>
        <v>41</v>
      </c>
      <c r="BN102" s="4">
        <f>Modelling_old[[#This Row],[Target E_Grid MTD
MWh]]+Modelling_new[[#This Row],[Target E_Grid MTD
MWh]]</f>
        <v>984</v>
      </c>
      <c r="BO102" s="4">
        <f>Modelling_old[[#This Row],[Target E_Grid YTD
MWh]]+Modelling_new[[#This Row],[Target E_Grid YTD
MWh]]</f>
        <v>4124.0000000000055</v>
      </c>
      <c r="BP10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102" s="4">
        <f>SUMIFS(Modelling[Target POA Daily (KWh/m2)],Modelling[Date],"&lt;="&amp;Modelling[[#This Row],[Date]],Modelling[Month Year],Modelling[[#This Row],[Month Year]])</f>
        <v>122.96000000000002</v>
      </c>
      <c r="BR102" s="4">
        <f>SUMIFS(Modelling[Target POA Daily (KWh/m2)],Modelling[Date],"&lt;="&amp;Modelling[[#This Row],[Date]],Modelling[Finacial Year],Modelling[[#This Row],[Finacial Year]])</f>
        <v>524.05999999999949</v>
      </c>
      <c r="BS102" s="9">
        <f>BM102/Modelling[[#This Row],[Comisined DC ]]/BP102</f>
        <v>0.6956909417764543</v>
      </c>
      <c r="BT102" s="9">
        <f>BN102/BQ102/Modelling[[#This Row],[Comisined DC ]]</f>
        <v>0.69569094177645419</v>
      </c>
      <c r="BU102" s="9">
        <f>BO102/BR102/Modelling[[#This Row],[Comisined DC ]]</f>
        <v>0.68410497514139013</v>
      </c>
      <c r="BV102" s="9">
        <f>BM102/(24*Modelling[[#This Row],[Comisined DC ]])</f>
        <v>0.14851069132089031</v>
      </c>
      <c r="BW102" s="9">
        <f>BN102/((COUNTIFS(Modelling[Date],"&lt;="&amp;Modelling[[#This Row],[Date]],Modelling[Month Year],Modelling[[#This Row],[Month Year]])*24*Modelling[[#This Row],[MTD DC Capcity]]))</f>
        <v>0.14851069132089037</v>
      </c>
      <c r="BX102" s="28">
        <f>BO102/((COUNTIFS(Modelling[Date],"&lt;="&amp;Modelling[[#This Row],[Date]],Modelling[Finacial Year],Modelling[[#This Row],[Finacial Year]])*24*Modelling[[#This Row],[MTD DC Capcity]]))</f>
        <v>0.17574120258460621</v>
      </c>
      <c r="BY102" s="4">
        <f>Modelling_old[[#This Row],[DC Capcity]]+Modelling_new[[#This Row],[Comisined DC ]]</f>
        <v>11.5031</v>
      </c>
      <c r="BZ102" s="4">
        <v>0</v>
      </c>
      <c r="CA102" s="4">
        <f>AVERAGEIFS(Modelling[[Comisined DC ]],Modelling[Date],"&lt;="&amp;Modelling[[#This Row],[Date]],Modelling[Month Year],Modelling[[#This Row],[Month Year]])</f>
        <v>11.503099999999996</v>
      </c>
      <c r="CB102" s="4">
        <f>AVERAGEIFS(Modelling[[Comisined DC ]],Modelling[Date],"&lt;="&amp;Modelling[[#This Row],[Date]],Modelling[Finacial Year],Modelling[[#This Row],[Finacial Year]])</f>
        <v>11.503100000000011</v>
      </c>
      <c r="CG102">
        <f t="shared" si="47"/>
        <v>24</v>
      </c>
      <c r="CH102">
        <f t="shared" si="48"/>
        <v>85</v>
      </c>
    </row>
    <row r="103" spans="1:86" x14ac:dyDescent="0.35">
      <c r="A103" s="27">
        <v>45102</v>
      </c>
      <c r="B103" s="5">
        <f>MONTH(Modelling_old[[#This Row],[Date]])</f>
        <v>6</v>
      </c>
      <c r="C103" s="25">
        <f t="shared" si="31"/>
        <v>2024</v>
      </c>
      <c r="D103" s="3">
        <f t="shared" si="32"/>
        <v>2023</v>
      </c>
      <c r="E103" s="3" t="s">
        <v>626</v>
      </c>
      <c r="F103" s="5" t="s">
        <v>626</v>
      </c>
      <c r="G103" s="102">
        <v>45078</v>
      </c>
      <c r="H103" s="5">
        <f t="shared" si="33"/>
        <v>30</v>
      </c>
      <c r="I103" s="5">
        <f t="shared" si="34"/>
        <v>6</v>
      </c>
      <c r="J103" s="4">
        <f t="shared" si="35"/>
        <v>41</v>
      </c>
      <c r="K103" s="4">
        <f>SUM($J$79:J103)</f>
        <v>1025</v>
      </c>
      <c r="L103" s="4">
        <f>SUM($J$18:J103)</f>
        <v>4165.0000000000055</v>
      </c>
      <c r="M103" s="4">
        <f t="shared" si="36"/>
        <v>5.1233333333333331</v>
      </c>
      <c r="N103" s="4">
        <f>SUM($M$79:M103)</f>
        <v>128.08333333333334</v>
      </c>
      <c r="O103" s="4">
        <f>SUM($M$18:M103)</f>
        <v>529.18333333333283</v>
      </c>
      <c r="P103" s="9">
        <f t="shared" si="37"/>
        <v>0.6956909417764543</v>
      </c>
      <c r="Q103" s="26">
        <f t="shared" si="49"/>
        <v>0.69569094177645419</v>
      </c>
      <c r="R103" s="26">
        <f t="shared" si="49"/>
        <v>0.68421714566022795</v>
      </c>
      <c r="S103" s="9">
        <f t="shared" si="38"/>
        <v>0.14851069132089031</v>
      </c>
      <c r="T103" s="9">
        <f>K103/((COUNT($K$79:K103))*24*$Q$1)</f>
        <v>0.14851069132089031</v>
      </c>
      <c r="U103" s="28">
        <f>L103/((COUNT($L$18:L103))*24*$Q$1)</f>
        <v>0.17542456873270248</v>
      </c>
      <c r="V103" s="134">
        <v>11.5031</v>
      </c>
      <c r="Y103" s="27">
        <f t="shared" si="45"/>
        <v>45102</v>
      </c>
      <c r="Z103" s="5">
        <f>MONTH(Modelling_new[[#This Row],[Date]])</f>
        <v>6</v>
      </c>
      <c r="AA103" s="25">
        <f>YEAR(Y103)+IF(MONTH(Modelling_new[[#This Row],[Date]])&gt;=4,1,0)</f>
        <v>2024</v>
      </c>
      <c r="AB103" s="3">
        <f t="shared" si="39"/>
        <v>2023</v>
      </c>
      <c r="AC103" s="3" t="s">
        <v>626</v>
      </c>
      <c r="AD103" s="5" t="s">
        <v>626</v>
      </c>
      <c r="AE103" s="102">
        <v>45078</v>
      </c>
      <c r="AF103" s="5">
        <f t="shared" si="40"/>
        <v>30</v>
      </c>
      <c r="AG103" s="5">
        <f t="shared" si="41"/>
        <v>6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BD103" s="27">
        <f t="shared" si="46"/>
        <v>45102</v>
      </c>
      <c r="BE103" s="5">
        <f>MONTH(Modelling[[#This Row],[Date]])</f>
        <v>6</v>
      </c>
      <c r="BF103" s="25">
        <f>YEAR(BD103)+IF(MONTH(Modelling[[#This Row],[Date]])&gt;=4,1,0)</f>
        <v>2024</v>
      </c>
      <c r="BG103" s="3">
        <f t="shared" si="42"/>
        <v>2023</v>
      </c>
      <c r="BH103" s="3" t="s">
        <v>626</v>
      </c>
      <c r="BI103" s="5" t="s">
        <v>626</v>
      </c>
      <c r="BJ103" s="102">
        <v>45078</v>
      </c>
      <c r="BK103" s="5">
        <f t="shared" si="43"/>
        <v>30</v>
      </c>
      <c r="BL103" s="5">
        <f t="shared" si="44"/>
        <v>6</v>
      </c>
      <c r="BM103" s="4">
        <f>Modelling_old[[#This Row],[Target E_Grid daily
MWh]]+Modelling_new[[#This Row],[Target E_Grid daily
MWh]]</f>
        <v>41</v>
      </c>
      <c r="BN103" s="4">
        <f>Modelling_old[[#This Row],[Target E_Grid MTD
MWh]]+Modelling_new[[#This Row],[Target E_Grid MTD
MWh]]</f>
        <v>1025</v>
      </c>
      <c r="BO103" s="4">
        <f>Modelling_old[[#This Row],[Target E_Grid YTD
MWh]]+Modelling_new[[#This Row],[Target E_Grid YTD
MWh]]</f>
        <v>4165.0000000000055</v>
      </c>
      <c r="BP10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103" s="4">
        <f>SUMIFS(Modelling[Target POA Daily (KWh/m2)],Modelling[Date],"&lt;="&amp;Modelling[[#This Row],[Date]],Modelling[Month Year],Modelling[[#This Row],[Month Year]])</f>
        <v>128.08333333333334</v>
      </c>
      <c r="BR103" s="4">
        <f>SUMIFS(Modelling[Target POA Daily (KWh/m2)],Modelling[Date],"&lt;="&amp;Modelling[[#This Row],[Date]],Modelling[Finacial Year],Modelling[[#This Row],[Finacial Year]])</f>
        <v>529.18333333333283</v>
      </c>
      <c r="BS103" s="9">
        <f>BM103/Modelling[[#This Row],[Comisined DC ]]/BP103</f>
        <v>0.6956909417764543</v>
      </c>
      <c r="BT103" s="9">
        <f>BN103/BQ103/Modelling[[#This Row],[Comisined DC ]]</f>
        <v>0.69569094177645419</v>
      </c>
      <c r="BU103" s="9">
        <f>BO103/BR103/Modelling[[#This Row],[Comisined DC ]]</f>
        <v>0.68421714566022795</v>
      </c>
      <c r="BV103" s="9">
        <f>BM103/(24*Modelling[[#This Row],[Comisined DC ]])</f>
        <v>0.14851069132089031</v>
      </c>
      <c r="BW103" s="9">
        <f>BN103/((COUNTIFS(Modelling[Date],"&lt;="&amp;Modelling[[#This Row],[Date]],Modelling[Month Year],Modelling[[#This Row],[Month Year]])*24*Modelling[[#This Row],[MTD DC Capcity]]))</f>
        <v>0.14851069132089037</v>
      </c>
      <c r="BX103" s="28">
        <f>BO103/((COUNTIFS(Modelling[Date],"&lt;="&amp;Modelling[[#This Row],[Date]],Modelling[Finacial Year],Modelling[[#This Row],[Finacial Year]])*24*Modelling[[#This Row],[MTD DC Capcity]]))</f>
        <v>0.17542456873270254</v>
      </c>
      <c r="BY103" s="4">
        <f>Modelling_old[[#This Row],[DC Capcity]]+Modelling_new[[#This Row],[Comisined DC ]]</f>
        <v>11.5031</v>
      </c>
      <c r="BZ103" s="4">
        <v>0</v>
      </c>
      <c r="CA103" s="4">
        <f>AVERAGEIFS(Modelling[[Comisined DC ]],Modelling[Date],"&lt;="&amp;Modelling[[#This Row],[Date]],Modelling[Month Year],Modelling[[#This Row],[Month Year]])</f>
        <v>11.503099999999996</v>
      </c>
      <c r="CB103" s="4">
        <f>AVERAGEIFS(Modelling[[Comisined DC ]],Modelling[Date],"&lt;="&amp;Modelling[[#This Row],[Date]],Modelling[Finacial Year],Modelling[[#This Row],[Finacial Year]])</f>
        <v>11.503100000000011</v>
      </c>
      <c r="CG103">
        <f t="shared" si="47"/>
        <v>25</v>
      </c>
      <c r="CH103">
        <f t="shared" si="48"/>
        <v>86</v>
      </c>
    </row>
    <row r="104" spans="1:86" x14ac:dyDescent="0.35">
      <c r="A104" s="27">
        <v>45103</v>
      </c>
      <c r="B104" s="5">
        <f>MONTH(Modelling_old[[#This Row],[Date]])</f>
        <v>6</v>
      </c>
      <c r="C104" s="25">
        <f t="shared" si="31"/>
        <v>2024</v>
      </c>
      <c r="D104" s="3">
        <f t="shared" si="32"/>
        <v>2023</v>
      </c>
      <c r="E104" s="3" t="s">
        <v>626</v>
      </c>
      <c r="F104" s="5" t="s">
        <v>626</v>
      </c>
      <c r="G104" s="102">
        <v>45078</v>
      </c>
      <c r="H104" s="5">
        <f t="shared" si="33"/>
        <v>30</v>
      </c>
      <c r="I104" s="5">
        <f t="shared" si="34"/>
        <v>6</v>
      </c>
      <c r="J104" s="4">
        <f t="shared" si="35"/>
        <v>41</v>
      </c>
      <c r="K104" s="4">
        <f>SUM($J$79:J104)</f>
        <v>1066</v>
      </c>
      <c r="L104" s="4">
        <f>SUM($J$18:J104)</f>
        <v>4206.0000000000055</v>
      </c>
      <c r="M104" s="4">
        <f t="shared" si="36"/>
        <v>5.1233333333333331</v>
      </c>
      <c r="N104" s="4">
        <f>SUM($M$79:M104)</f>
        <v>133.20666666666668</v>
      </c>
      <c r="O104" s="4">
        <f>SUM($M$18:M104)</f>
        <v>534.30666666666616</v>
      </c>
      <c r="P104" s="9">
        <f t="shared" si="37"/>
        <v>0.6956909417764543</v>
      </c>
      <c r="Q104" s="26">
        <f t="shared" si="49"/>
        <v>0.69569094177645419</v>
      </c>
      <c r="R104" s="26">
        <f t="shared" si="49"/>
        <v>0.68432716502882174</v>
      </c>
      <c r="S104" s="9">
        <f t="shared" si="38"/>
        <v>0.14851069132089031</v>
      </c>
      <c r="T104" s="9">
        <f>K104/((COUNT($K$79:K104))*24*$Q$1)</f>
        <v>0.14851069132089031</v>
      </c>
      <c r="U104" s="28">
        <f>L104/((COUNT($L$18:L104))*24*$Q$1)</f>
        <v>0.17511521381992304</v>
      </c>
      <c r="V104" s="134">
        <v>11.5031</v>
      </c>
      <c r="Y104" s="27">
        <f t="shared" si="45"/>
        <v>45103</v>
      </c>
      <c r="Z104" s="5">
        <f>MONTH(Modelling_new[[#This Row],[Date]])</f>
        <v>6</v>
      </c>
      <c r="AA104" s="25">
        <f>YEAR(Y104)+IF(MONTH(Modelling_new[[#This Row],[Date]])&gt;=4,1,0)</f>
        <v>2024</v>
      </c>
      <c r="AB104" s="3">
        <f t="shared" si="39"/>
        <v>2023</v>
      </c>
      <c r="AC104" s="3" t="s">
        <v>626</v>
      </c>
      <c r="AD104" s="5" t="s">
        <v>626</v>
      </c>
      <c r="AE104" s="102">
        <v>45078</v>
      </c>
      <c r="AF104" s="5">
        <f t="shared" si="40"/>
        <v>30</v>
      </c>
      <c r="AG104" s="5">
        <f t="shared" si="41"/>
        <v>6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BD104" s="27">
        <f t="shared" si="46"/>
        <v>45103</v>
      </c>
      <c r="BE104" s="5">
        <f>MONTH(Modelling[[#This Row],[Date]])</f>
        <v>6</v>
      </c>
      <c r="BF104" s="25">
        <f>YEAR(BD104)+IF(MONTH(Modelling[[#This Row],[Date]])&gt;=4,1,0)</f>
        <v>2024</v>
      </c>
      <c r="BG104" s="3">
        <f t="shared" si="42"/>
        <v>2023</v>
      </c>
      <c r="BH104" s="3" t="s">
        <v>626</v>
      </c>
      <c r="BI104" s="5" t="s">
        <v>626</v>
      </c>
      <c r="BJ104" s="102">
        <v>45078</v>
      </c>
      <c r="BK104" s="5">
        <f t="shared" si="43"/>
        <v>30</v>
      </c>
      <c r="BL104" s="5">
        <f t="shared" si="44"/>
        <v>6</v>
      </c>
      <c r="BM104" s="4">
        <f>Modelling_old[[#This Row],[Target E_Grid daily
MWh]]+Modelling_new[[#This Row],[Target E_Grid daily
MWh]]</f>
        <v>41</v>
      </c>
      <c r="BN104" s="4">
        <f>Modelling_old[[#This Row],[Target E_Grid MTD
MWh]]+Modelling_new[[#This Row],[Target E_Grid MTD
MWh]]</f>
        <v>1066</v>
      </c>
      <c r="BO104" s="4">
        <f>Modelling_old[[#This Row],[Target E_Grid YTD
MWh]]+Modelling_new[[#This Row],[Target E_Grid YTD
MWh]]</f>
        <v>4206.0000000000055</v>
      </c>
      <c r="BP10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104" s="4">
        <f>SUMIFS(Modelling[Target POA Daily (KWh/m2)],Modelling[Date],"&lt;="&amp;Modelling[[#This Row],[Date]],Modelling[Month Year],Modelling[[#This Row],[Month Year]])</f>
        <v>133.20666666666668</v>
      </c>
      <c r="BR104" s="4">
        <f>SUMIFS(Modelling[Target POA Daily (KWh/m2)],Modelling[Date],"&lt;="&amp;Modelling[[#This Row],[Date]],Modelling[Finacial Year],Modelling[[#This Row],[Finacial Year]])</f>
        <v>534.30666666666616</v>
      </c>
      <c r="BS104" s="9">
        <f>BM104/Modelling[[#This Row],[Comisined DC ]]/BP104</f>
        <v>0.6956909417764543</v>
      </c>
      <c r="BT104" s="9">
        <f>BN104/BQ104/Modelling[[#This Row],[Comisined DC ]]</f>
        <v>0.69569094177645419</v>
      </c>
      <c r="BU104" s="9">
        <f>BO104/BR104/Modelling[[#This Row],[Comisined DC ]]</f>
        <v>0.68432716502882174</v>
      </c>
      <c r="BV104" s="9">
        <f>BM104/(24*Modelling[[#This Row],[Comisined DC ]])</f>
        <v>0.14851069132089031</v>
      </c>
      <c r="BW104" s="9">
        <f>BN104/((COUNTIFS(Modelling[Date],"&lt;="&amp;Modelling[[#This Row],[Date]],Modelling[Month Year],Modelling[[#This Row],[Month Year]])*24*Modelling[[#This Row],[MTD DC Capcity]]))</f>
        <v>0.14851069132089031</v>
      </c>
      <c r="BX104" s="28">
        <f>BO104/((COUNTIFS(Modelling[Date],"&lt;="&amp;Modelling[[#This Row],[Date]],Modelling[Finacial Year],Modelling[[#This Row],[Finacial Year]])*24*Modelling[[#This Row],[MTD DC Capcity]]))</f>
        <v>0.17511521381992307</v>
      </c>
      <c r="BY104" s="4">
        <f>Modelling_old[[#This Row],[DC Capcity]]+Modelling_new[[#This Row],[Comisined DC ]]</f>
        <v>11.5031</v>
      </c>
      <c r="BZ104" s="4">
        <v>0</v>
      </c>
      <c r="CA104" s="4">
        <f>AVERAGEIFS(Modelling[[Comisined DC ]],Modelling[Date],"&lt;="&amp;Modelling[[#This Row],[Date]],Modelling[Month Year],Modelling[[#This Row],[Month Year]])</f>
        <v>11.503099999999998</v>
      </c>
      <c r="CB104" s="4">
        <f>AVERAGEIFS(Modelling[[Comisined DC ]],Modelling[Date],"&lt;="&amp;Modelling[[#This Row],[Date]],Modelling[Finacial Year],Modelling[[#This Row],[Finacial Year]])</f>
        <v>11.503100000000011</v>
      </c>
      <c r="CG104">
        <f t="shared" si="47"/>
        <v>26</v>
      </c>
      <c r="CH104">
        <f t="shared" si="48"/>
        <v>87</v>
      </c>
    </row>
    <row r="105" spans="1:86" x14ac:dyDescent="0.35">
      <c r="A105" s="27">
        <v>45104</v>
      </c>
      <c r="B105" s="5">
        <f>MONTH(Modelling_old[[#This Row],[Date]])</f>
        <v>6</v>
      </c>
      <c r="C105" s="25">
        <f t="shared" si="31"/>
        <v>2024</v>
      </c>
      <c r="D105" s="3">
        <f t="shared" si="32"/>
        <v>2023</v>
      </c>
      <c r="E105" s="3" t="s">
        <v>626</v>
      </c>
      <c r="F105" s="5" t="s">
        <v>626</v>
      </c>
      <c r="G105" s="102">
        <v>45078</v>
      </c>
      <c r="H105" s="5">
        <f t="shared" si="33"/>
        <v>30</v>
      </c>
      <c r="I105" s="5">
        <f t="shared" si="34"/>
        <v>6</v>
      </c>
      <c r="J105" s="4">
        <f t="shared" si="35"/>
        <v>41</v>
      </c>
      <c r="K105" s="4">
        <f>SUM($J$79:J105)</f>
        <v>1107</v>
      </c>
      <c r="L105" s="4">
        <f>SUM($J$18:J105)</f>
        <v>4247.0000000000055</v>
      </c>
      <c r="M105" s="4">
        <f t="shared" si="36"/>
        <v>5.1233333333333331</v>
      </c>
      <c r="N105" s="4">
        <f>SUM($M$79:M105)</f>
        <v>138.33000000000001</v>
      </c>
      <c r="O105" s="4">
        <f>SUM($M$18:M105)</f>
        <v>539.4299999999995</v>
      </c>
      <c r="P105" s="9">
        <f t="shared" si="37"/>
        <v>0.6956909417764543</v>
      </c>
      <c r="Q105" s="26">
        <f t="shared" si="49"/>
        <v>0.69569094177645419</v>
      </c>
      <c r="R105" s="26">
        <f t="shared" si="49"/>
        <v>0.68443509453997931</v>
      </c>
      <c r="S105" s="9">
        <f t="shared" si="38"/>
        <v>0.14851069132089031</v>
      </c>
      <c r="T105" s="9">
        <f>K105/((COUNT($K$79:K105))*24*$Q$1)</f>
        <v>0.14851069132089031</v>
      </c>
      <c r="U105" s="28">
        <f>L105/((COUNT($L$18:L105))*24*$Q$1)</f>
        <v>0.17481288970061584</v>
      </c>
      <c r="V105" s="134">
        <v>11.5031</v>
      </c>
      <c r="Y105" s="27">
        <f t="shared" si="45"/>
        <v>45104</v>
      </c>
      <c r="Z105" s="5">
        <f>MONTH(Modelling_new[[#This Row],[Date]])</f>
        <v>6</v>
      </c>
      <c r="AA105" s="25">
        <f>YEAR(Y105)+IF(MONTH(Modelling_new[[#This Row],[Date]])&gt;=4,1,0)</f>
        <v>2024</v>
      </c>
      <c r="AB105" s="3">
        <f t="shared" si="39"/>
        <v>2023</v>
      </c>
      <c r="AC105" s="3" t="s">
        <v>626</v>
      </c>
      <c r="AD105" s="5" t="s">
        <v>626</v>
      </c>
      <c r="AE105" s="102">
        <v>45078</v>
      </c>
      <c r="AF105" s="5">
        <f t="shared" si="40"/>
        <v>30</v>
      </c>
      <c r="AG105" s="5">
        <f t="shared" si="41"/>
        <v>6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BD105" s="27">
        <f t="shared" si="46"/>
        <v>45104</v>
      </c>
      <c r="BE105" s="5">
        <f>MONTH(Modelling[[#This Row],[Date]])</f>
        <v>6</v>
      </c>
      <c r="BF105" s="25">
        <f>YEAR(BD105)+IF(MONTH(Modelling[[#This Row],[Date]])&gt;=4,1,0)</f>
        <v>2024</v>
      </c>
      <c r="BG105" s="3">
        <f t="shared" si="42"/>
        <v>2023</v>
      </c>
      <c r="BH105" s="3" t="s">
        <v>626</v>
      </c>
      <c r="BI105" s="5" t="s">
        <v>626</v>
      </c>
      <c r="BJ105" s="102">
        <v>45078</v>
      </c>
      <c r="BK105" s="5">
        <f t="shared" si="43"/>
        <v>30</v>
      </c>
      <c r="BL105" s="5">
        <f t="shared" si="44"/>
        <v>6</v>
      </c>
      <c r="BM105" s="4">
        <f>Modelling_old[[#This Row],[Target E_Grid daily
MWh]]+Modelling_new[[#This Row],[Target E_Grid daily
MWh]]</f>
        <v>41</v>
      </c>
      <c r="BN105" s="4">
        <f>Modelling_old[[#This Row],[Target E_Grid MTD
MWh]]+Modelling_new[[#This Row],[Target E_Grid MTD
MWh]]</f>
        <v>1107</v>
      </c>
      <c r="BO105" s="4">
        <f>Modelling_old[[#This Row],[Target E_Grid YTD
MWh]]+Modelling_new[[#This Row],[Target E_Grid YTD
MWh]]</f>
        <v>4247.0000000000055</v>
      </c>
      <c r="BP10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105" s="4">
        <f>SUMIFS(Modelling[Target POA Daily (KWh/m2)],Modelling[Date],"&lt;="&amp;Modelling[[#This Row],[Date]],Modelling[Month Year],Modelling[[#This Row],[Month Year]])</f>
        <v>138.33000000000001</v>
      </c>
      <c r="BR105" s="4">
        <f>SUMIFS(Modelling[Target POA Daily (KWh/m2)],Modelling[Date],"&lt;="&amp;Modelling[[#This Row],[Date]],Modelling[Finacial Year],Modelling[[#This Row],[Finacial Year]])</f>
        <v>539.4299999999995</v>
      </c>
      <c r="BS105" s="9">
        <f>BM105/Modelling[[#This Row],[Comisined DC ]]/BP105</f>
        <v>0.6956909417764543</v>
      </c>
      <c r="BT105" s="9">
        <f>BN105/BQ105/Modelling[[#This Row],[Comisined DC ]]</f>
        <v>0.69569094177645419</v>
      </c>
      <c r="BU105" s="9">
        <f>BO105/BR105/Modelling[[#This Row],[Comisined DC ]]</f>
        <v>0.68443509453997931</v>
      </c>
      <c r="BV105" s="9">
        <f>BM105/(24*Modelling[[#This Row],[Comisined DC ]])</f>
        <v>0.14851069132089031</v>
      </c>
      <c r="BW105" s="9">
        <f>BN105/((COUNTIFS(Modelling[Date],"&lt;="&amp;Modelling[[#This Row],[Date]],Modelling[Month Year],Modelling[[#This Row],[Month Year]])*24*Modelling[[#This Row],[MTD DC Capcity]]))</f>
        <v>0.14851069132089034</v>
      </c>
      <c r="BX105" s="28">
        <f>BO105/((COUNTIFS(Modelling[Date],"&lt;="&amp;Modelling[[#This Row],[Date]],Modelling[Finacial Year],Modelling[[#This Row],[Finacial Year]])*24*Modelling[[#This Row],[MTD DC Capcity]]))</f>
        <v>0.17481288970061587</v>
      </c>
      <c r="BY105" s="4">
        <f>Modelling_old[[#This Row],[DC Capcity]]+Modelling_new[[#This Row],[Comisined DC ]]</f>
        <v>11.5031</v>
      </c>
      <c r="BZ105" s="4">
        <v>0</v>
      </c>
      <c r="CA105" s="4">
        <f>AVERAGEIFS(Modelling[[Comisined DC ]],Modelling[Date],"&lt;="&amp;Modelling[[#This Row],[Date]],Modelling[Month Year],Modelling[[#This Row],[Month Year]])</f>
        <v>11.503099999999998</v>
      </c>
      <c r="CB105" s="4">
        <f>AVERAGEIFS(Modelling[[Comisined DC ]],Modelling[Date],"&lt;="&amp;Modelling[[#This Row],[Date]],Modelling[Finacial Year],Modelling[[#This Row],[Finacial Year]])</f>
        <v>11.503100000000011</v>
      </c>
      <c r="CG105">
        <f t="shared" si="47"/>
        <v>27</v>
      </c>
      <c r="CH105">
        <f t="shared" si="48"/>
        <v>88</v>
      </c>
    </row>
    <row r="106" spans="1:86" x14ac:dyDescent="0.35">
      <c r="A106" s="27">
        <v>45105</v>
      </c>
      <c r="B106" s="5">
        <f>MONTH(Modelling_old[[#This Row],[Date]])</f>
        <v>6</v>
      </c>
      <c r="C106" s="25">
        <f t="shared" si="31"/>
        <v>2024</v>
      </c>
      <c r="D106" s="3">
        <f t="shared" si="32"/>
        <v>2023</v>
      </c>
      <c r="E106" s="3" t="s">
        <v>626</v>
      </c>
      <c r="F106" s="5" t="s">
        <v>626</v>
      </c>
      <c r="G106" s="102">
        <v>45078</v>
      </c>
      <c r="H106" s="5">
        <f t="shared" si="33"/>
        <v>30</v>
      </c>
      <c r="I106" s="5">
        <f t="shared" si="34"/>
        <v>6</v>
      </c>
      <c r="J106" s="4">
        <f t="shared" si="35"/>
        <v>41</v>
      </c>
      <c r="K106" s="4">
        <f>SUM($J$79:J106)</f>
        <v>1148</v>
      </c>
      <c r="L106" s="4">
        <f>SUM($J$18:J106)</f>
        <v>4288.0000000000055</v>
      </c>
      <c r="M106" s="4">
        <f t="shared" si="36"/>
        <v>5.1233333333333331</v>
      </c>
      <c r="N106" s="4">
        <f>SUM($M$79:M106)</f>
        <v>143.45333333333335</v>
      </c>
      <c r="O106" s="4">
        <f>SUM($M$18:M106)</f>
        <v>544.55333333333283</v>
      </c>
      <c r="P106" s="9">
        <f t="shared" si="37"/>
        <v>0.6956909417764543</v>
      </c>
      <c r="Q106" s="26">
        <f t="shared" si="49"/>
        <v>0.69569094177645419</v>
      </c>
      <c r="R106" s="26">
        <f t="shared" si="49"/>
        <v>0.68454099317985817</v>
      </c>
      <c r="S106" s="9">
        <f t="shared" si="38"/>
        <v>0.14851069132089031</v>
      </c>
      <c r="T106" s="9">
        <f>K106/((COUNT($K$79:K106))*24*$Q$1)</f>
        <v>0.14851069132089031</v>
      </c>
      <c r="U106" s="28">
        <f>L106/((COUNT($L$18:L106))*24*$Q$1)</f>
        <v>0.17451735938174254</v>
      </c>
      <c r="V106" s="134">
        <v>11.5031</v>
      </c>
      <c r="Y106" s="27">
        <f t="shared" si="45"/>
        <v>45105</v>
      </c>
      <c r="Z106" s="5">
        <f>MONTH(Modelling_new[[#This Row],[Date]])</f>
        <v>6</v>
      </c>
      <c r="AA106" s="25">
        <f>YEAR(Y106)+IF(MONTH(Modelling_new[[#This Row],[Date]])&gt;=4,1,0)</f>
        <v>2024</v>
      </c>
      <c r="AB106" s="3">
        <f t="shared" si="39"/>
        <v>2023</v>
      </c>
      <c r="AC106" s="3" t="s">
        <v>626</v>
      </c>
      <c r="AD106" s="5" t="s">
        <v>626</v>
      </c>
      <c r="AE106" s="102">
        <v>45078</v>
      </c>
      <c r="AF106" s="5">
        <f t="shared" si="40"/>
        <v>30</v>
      </c>
      <c r="AG106" s="5">
        <f t="shared" si="41"/>
        <v>6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BD106" s="27">
        <f t="shared" si="46"/>
        <v>45105</v>
      </c>
      <c r="BE106" s="5">
        <f>MONTH(Modelling[[#This Row],[Date]])</f>
        <v>6</v>
      </c>
      <c r="BF106" s="25">
        <f>YEAR(BD106)+IF(MONTH(Modelling[[#This Row],[Date]])&gt;=4,1,0)</f>
        <v>2024</v>
      </c>
      <c r="BG106" s="3">
        <f t="shared" si="42"/>
        <v>2023</v>
      </c>
      <c r="BH106" s="3" t="s">
        <v>626</v>
      </c>
      <c r="BI106" s="5" t="s">
        <v>626</v>
      </c>
      <c r="BJ106" s="102">
        <v>45078</v>
      </c>
      <c r="BK106" s="5">
        <f t="shared" si="43"/>
        <v>30</v>
      </c>
      <c r="BL106" s="5">
        <f t="shared" si="44"/>
        <v>6</v>
      </c>
      <c r="BM106" s="4">
        <f>Modelling_old[[#This Row],[Target E_Grid daily
MWh]]+Modelling_new[[#This Row],[Target E_Grid daily
MWh]]</f>
        <v>41</v>
      </c>
      <c r="BN106" s="4">
        <f>Modelling_old[[#This Row],[Target E_Grid MTD
MWh]]+Modelling_new[[#This Row],[Target E_Grid MTD
MWh]]</f>
        <v>1148</v>
      </c>
      <c r="BO106" s="4">
        <f>Modelling_old[[#This Row],[Target E_Grid YTD
MWh]]+Modelling_new[[#This Row],[Target E_Grid YTD
MWh]]</f>
        <v>4288.0000000000055</v>
      </c>
      <c r="BP10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106" s="4">
        <f>SUMIFS(Modelling[Target POA Daily (KWh/m2)],Modelling[Date],"&lt;="&amp;Modelling[[#This Row],[Date]],Modelling[Month Year],Modelling[[#This Row],[Month Year]])</f>
        <v>143.45333333333335</v>
      </c>
      <c r="BR106" s="4">
        <f>SUMIFS(Modelling[Target POA Daily (KWh/m2)],Modelling[Date],"&lt;="&amp;Modelling[[#This Row],[Date]],Modelling[Finacial Year],Modelling[[#This Row],[Finacial Year]])</f>
        <v>544.55333333333283</v>
      </c>
      <c r="BS106" s="9">
        <f>BM106/Modelling[[#This Row],[Comisined DC ]]/BP106</f>
        <v>0.6956909417764543</v>
      </c>
      <c r="BT106" s="9">
        <f>BN106/BQ106/Modelling[[#This Row],[Comisined DC ]]</f>
        <v>0.69569094177645419</v>
      </c>
      <c r="BU106" s="9">
        <f>BO106/BR106/Modelling[[#This Row],[Comisined DC ]]</f>
        <v>0.68454099317985817</v>
      </c>
      <c r="BV106" s="9">
        <f>BM106/(24*Modelling[[#This Row],[Comisined DC ]])</f>
        <v>0.14851069132089031</v>
      </c>
      <c r="BW106" s="9">
        <f>BN106/((COUNTIFS(Modelling[Date],"&lt;="&amp;Modelling[[#This Row],[Date]],Modelling[Month Year],Modelling[[#This Row],[Month Year]])*24*Modelling[[#This Row],[MTD DC Capcity]]))</f>
        <v>0.14851069132089031</v>
      </c>
      <c r="BX106" s="28">
        <f>BO106/((COUNTIFS(Modelling[Date],"&lt;="&amp;Modelling[[#This Row],[Date]],Modelling[Finacial Year],Modelling[[#This Row],[Finacial Year]])*24*Modelling[[#This Row],[MTD DC Capcity]]))</f>
        <v>0.17451735938174254</v>
      </c>
      <c r="BY106" s="4">
        <f>Modelling_old[[#This Row],[DC Capcity]]+Modelling_new[[#This Row],[Comisined DC ]]</f>
        <v>11.5031</v>
      </c>
      <c r="BZ106" s="4">
        <v>0</v>
      </c>
      <c r="CA106" s="4">
        <f>AVERAGEIFS(Modelling[[Comisined DC ]],Modelling[Date],"&lt;="&amp;Modelling[[#This Row],[Date]],Modelling[Month Year],Modelling[[#This Row],[Month Year]])</f>
        <v>11.5031</v>
      </c>
      <c r="CB106" s="4">
        <f>AVERAGEIFS(Modelling[[Comisined DC ]],Modelling[Date],"&lt;="&amp;Modelling[[#This Row],[Date]],Modelling[Finacial Year],Modelling[[#This Row],[Finacial Year]])</f>
        <v>11.503100000000011</v>
      </c>
      <c r="CG106">
        <f t="shared" si="47"/>
        <v>28</v>
      </c>
      <c r="CH106">
        <f t="shared" si="48"/>
        <v>89</v>
      </c>
    </row>
    <row r="107" spans="1:86" x14ac:dyDescent="0.35">
      <c r="A107" s="27">
        <v>45106</v>
      </c>
      <c r="B107" s="5">
        <f>MONTH(Modelling_old[[#This Row],[Date]])</f>
        <v>6</v>
      </c>
      <c r="C107" s="25">
        <f t="shared" si="31"/>
        <v>2024</v>
      </c>
      <c r="D107" s="3">
        <f t="shared" si="32"/>
        <v>2023</v>
      </c>
      <c r="E107" s="3" t="s">
        <v>626</v>
      </c>
      <c r="F107" s="5" t="s">
        <v>626</v>
      </c>
      <c r="G107" s="102">
        <v>45078</v>
      </c>
      <c r="H107" s="5">
        <f t="shared" si="33"/>
        <v>30</v>
      </c>
      <c r="I107" s="5">
        <f t="shared" si="34"/>
        <v>6</v>
      </c>
      <c r="J107" s="4">
        <f t="shared" si="35"/>
        <v>41</v>
      </c>
      <c r="K107" s="4">
        <f>SUM($J$79:J107)</f>
        <v>1189</v>
      </c>
      <c r="L107" s="4">
        <f>SUM($J$18:J107)</f>
        <v>4329.0000000000055</v>
      </c>
      <c r="M107" s="4">
        <f t="shared" si="36"/>
        <v>5.1233333333333331</v>
      </c>
      <c r="N107" s="4">
        <f>SUM($M$79:M107)</f>
        <v>148.57666666666668</v>
      </c>
      <c r="O107" s="4">
        <f>SUM($M$18:M107)</f>
        <v>549.67666666666616</v>
      </c>
      <c r="P107" s="9">
        <f t="shared" si="37"/>
        <v>0.6956909417764543</v>
      </c>
      <c r="Q107" s="26">
        <f t="shared" si="49"/>
        <v>0.69569094177645419</v>
      </c>
      <c r="R107" s="26">
        <f t="shared" si="49"/>
        <v>0.68464491773546343</v>
      </c>
      <c r="S107" s="9">
        <f t="shared" si="38"/>
        <v>0.14851069132089031</v>
      </c>
      <c r="T107" s="9">
        <f>K107/((COUNT($K$79:K107))*24*$Q$1)</f>
        <v>0.14851069132089031</v>
      </c>
      <c r="U107" s="28">
        <f>L107/((COUNT($L$18:L107))*24*$Q$1)</f>
        <v>0.1742283964032886</v>
      </c>
      <c r="V107" s="134">
        <v>11.5031</v>
      </c>
      <c r="Y107" s="27">
        <f t="shared" si="45"/>
        <v>45106</v>
      </c>
      <c r="Z107" s="5">
        <f>MONTH(Modelling_new[[#This Row],[Date]])</f>
        <v>6</v>
      </c>
      <c r="AA107" s="25">
        <f>YEAR(Y107)+IF(MONTH(Modelling_new[[#This Row],[Date]])&gt;=4,1,0)</f>
        <v>2024</v>
      </c>
      <c r="AB107" s="3">
        <f t="shared" si="39"/>
        <v>2023</v>
      </c>
      <c r="AC107" s="3" t="s">
        <v>626</v>
      </c>
      <c r="AD107" s="5" t="s">
        <v>626</v>
      </c>
      <c r="AE107" s="102">
        <v>45078</v>
      </c>
      <c r="AF107" s="5">
        <f t="shared" si="40"/>
        <v>30</v>
      </c>
      <c r="AG107" s="5">
        <f t="shared" si="41"/>
        <v>6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BD107" s="27">
        <f t="shared" si="46"/>
        <v>45106</v>
      </c>
      <c r="BE107" s="5">
        <f>MONTH(Modelling[[#This Row],[Date]])</f>
        <v>6</v>
      </c>
      <c r="BF107" s="25">
        <f>YEAR(BD107)+IF(MONTH(Modelling[[#This Row],[Date]])&gt;=4,1,0)</f>
        <v>2024</v>
      </c>
      <c r="BG107" s="3">
        <f t="shared" si="42"/>
        <v>2023</v>
      </c>
      <c r="BH107" s="3" t="s">
        <v>626</v>
      </c>
      <c r="BI107" s="5" t="s">
        <v>626</v>
      </c>
      <c r="BJ107" s="102">
        <v>45078</v>
      </c>
      <c r="BK107" s="5">
        <f t="shared" si="43"/>
        <v>30</v>
      </c>
      <c r="BL107" s="5">
        <f t="shared" si="44"/>
        <v>6</v>
      </c>
      <c r="BM107" s="4">
        <f>Modelling_old[[#This Row],[Target E_Grid daily
MWh]]+Modelling_new[[#This Row],[Target E_Grid daily
MWh]]</f>
        <v>41</v>
      </c>
      <c r="BN107" s="4">
        <f>Modelling_old[[#This Row],[Target E_Grid MTD
MWh]]+Modelling_new[[#This Row],[Target E_Grid MTD
MWh]]</f>
        <v>1189</v>
      </c>
      <c r="BO107" s="4">
        <f>Modelling_old[[#This Row],[Target E_Grid YTD
MWh]]+Modelling_new[[#This Row],[Target E_Grid YTD
MWh]]</f>
        <v>4329.0000000000055</v>
      </c>
      <c r="BP10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107" s="4">
        <f>SUMIFS(Modelling[Target POA Daily (KWh/m2)],Modelling[Date],"&lt;="&amp;Modelling[[#This Row],[Date]],Modelling[Month Year],Modelling[[#This Row],[Month Year]])</f>
        <v>148.57666666666668</v>
      </c>
      <c r="BR107" s="4">
        <f>SUMIFS(Modelling[Target POA Daily (KWh/m2)],Modelling[Date],"&lt;="&amp;Modelling[[#This Row],[Date]],Modelling[Finacial Year],Modelling[[#This Row],[Finacial Year]])</f>
        <v>549.67666666666616</v>
      </c>
      <c r="BS107" s="9">
        <f>BM107/Modelling[[#This Row],[Comisined DC ]]/BP107</f>
        <v>0.6956909417764543</v>
      </c>
      <c r="BT107" s="9">
        <f>BN107/BQ107/Modelling[[#This Row],[Comisined DC ]]</f>
        <v>0.69569094177645419</v>
      </c>
      <c r="BU107" s="9">
        <f>BO107/BR107/Modelling[[#This Row],[Comisined DC ]]</f>
        <v>0.68464491773546343</v>
      </c>
      <c r="BV107" s="9">
        <f>BM107/(24*Modelling[[#This Row],[Comisined DC ]])</f>
        <v>0.14851069132089031</v>
      </c>
      <c r="BW107" s="9">
        <f>BN107/((COUNTIFS(Modelling[Date],"&lt;="&amp;Modelling[[#This Row],[Date]],Modelling[Month Year],Modelling[[#This Row],[Month Year]])*24*Modelling[[#This Row],[MTD DC Capcity]]))</f>
        <v>0.14851069132089031</v>
      </c>
      <c r="BX107" s="28">
        <f>BO107/((COUNTIFS(Modelling[Date],"&lt;="&amp;Modelling[[#This Row],[Date]],Modelling[Finacial Year],Modelling[[#This Row],[Finacial Year]])*24*Modelling[[#This Row],[MTD DC Capcity]]))</f>
        <v>0.1742283964032886</v>
      </c>
      <c r="BY107" s="4">
        <f>Modelling_old[[#This Row],[DC Capcity]]+Modelling_new[[#This Row],[Comisined DC ]]</f>
        <v>11.5031</v>
      </c>
      <c r="BZ107" s="4">
        <v>0</v>
      </c>
      <c r="CA107" s="4">
        <f>AVERAGEIFS(Modelling[[Comisined DC ]],Modelling[Date],"&lt;="&amp;Modelling[[#This Row],[Date]],Modelling[Month Year],Modelling[[#This Row],[Month Year]])</f>
        <v>11.5031</v>
      </c>
      <c r="CB107" s="4">
        <f>AVERAGEIFS(Modelling[[Comisined DC ]],Modelling[Date],"&lt;="&amp;Modelling[[#This Row],[Date]],Modelling[Finacial Year],Modelling[[#This Row],[Finacial Year]])</f>
        <v>11.503100000000011</v>
      </c>
      <c r="CG107">
        <f t="shared" si="47"/>
        <v>29</v>
      </c>
      <c r="CH107">
        <f t="shared" si="48"/>
        <v>90</v>
      </c>
    </row>
    <row r="108" spans="1:86" x14ac:dyDescent="0.35">
      <c r="A108" s="27">
        <v>45107</v>
      </c>
      <c r="B108" s="5">
        <f>MONTH(Modelling_old[[#This Row],[Date]])</f>
        <v>6</v>
      </c>
      <c r="C108" s="25">
        <f t="shared" si="31"/>
        <v>2024</v>
      </c>
      <c r="D108" s="3">
        <f t="shared" si="32"/>
        <v>2023</v>
      </c>
      <c r="E108" s="3" t="s">
        <v>626</v>
      </c>
      <c r="F108" s="5" t="s">
        <v>626</v>
      </c>
      <c r="G108" s="102">
        <v>45078</v>
      </c>
      <c r="H108" s="5">
        <f t="shared" si="33"/>
        <v>30</v>
      </c>
      <c r="I108" s="5">
        <f t="shared" si="34"/>
        <v>6</v>
      </c>
      <c r="J108" s="4">
        <f t="shared" si="35"/>
        <v>41</v>
      </c>
      <c r="K108" s="4">
        <f>SUM($J$79:J108)</f>
        <v>1230</v>
      </c>
      <c r="L108" s="4">
        <f>SUM($J$18:J108)</f>
        <v>4370.0000000000055</v>
      </c>
      <c r="M108" s="4">
        <f t="shared" si="36"/>
        <v>5.1233333333333331</v>
      </c>
      <c r="N108" s="4">
        <f>SUM($M$79:M108)</f>
        <v>153.70000000000002</v>
      </c>
      <c r="O108" s="4">
        <f>SUM($M$18:M108)</f>
        <v>554.7999999999995</v>
      </c>
      <c r="P108" s="9">
        <f t="shared" si="37"/>
        <v>0.6956909417764543</v>
      </c>
      <c r="Q108" s="26">
        <f t="shared" si="49"/>
        <v>0.69569094177645419</v>
      </c>
      <c r="R108" s="26">
        <f t="shared" si="49"/>
        <v>0.68474692289618799</v>
      </c>
      <c r="S108" s="9">
        <f t="shared" si="38"/>
        <v>0.14851069132089031</v>
      </c>
      <c r="T108" s="9">
        <f>K108/((COUNT($K$79:K108))*24*$Q$1)</f>
        <v>0.14851069132089031</v>
      </c>
      <c r="U108" s="28">
        <f>L108/((COUNT($L$18:L108))*24*$Q$1)</f>
        <v>0.17394578425952598</v>
      </c>
      <c r="V108" s="134">
        <v>11.5031</v>
      </c>
      <c r="Y108" s="27">
        <f t="shared" si="45"/>
        <v>45107</v>
      </c>
      <c r="Z108" s="5">
        <f>MONTH(Modelling_new[[#This Row],[Date]])</f>
        <v>6</v>
      </c>
      <c r="AA108" s="25">
        <f>YEAR(Y108)+IF(MONTH(Modelling_new[[#This Row],[Date]])&gt;=4,1,0)</f>
        <v>2024</v>
      </c>
      <c r="AB108" s="3">
        <f t="shared" si="39"/>
        <v>2023</v>
      </c>
      <c r="AC108" s="3" t="s">
        <v>626</v>
      </c>
      <c r="AD108" s="5" t="s">
        <v>626</v>
      </c>
      <c r="AE108" s="102">
        <v>45078</v>
      </c>
      <c r="AF108" s="5">
        <f t="shared" si="40"/>
        <v>30</v>
      </c>
      <c r="AG108" s="5">
        <f t="shared" si="41"/>
        <v>6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BD108" s="27">
        <f t="shared" si="46"/>
        <v>45107</v>
      </c>
      <c r="BE108" s="5">
        <f>MONTH(Modelling[[#This Row],[Date]])</f>
        <v>6</v>
      </c>
      <c r="BF108" s="25">
        <f>YEAR(BD108)+IF(MONTH(Modelling[[#This Row],[Date]])&gt;=4,1,0)</f>
        <v>2024</v>
      </c>
      <c r="BG108" s="3">
        <f t="shared" si="42"/>
        <v>2023</v>
      </c>
      <c r="BH108" s="3" t="s">
        <v>626</v>
      </c>
      <c r="BI108" s="5" t="s">
        <v>626</v>
      </c>
      <c r="BJ108" s="102">
        <v>45078</v>
      </c>
      <c r="BK108" s="5">
        <f t="shared" si="43"/>
        <v>30</v>
      </c>
      <c r="BL108" s="5">
        <f t="shared" si="44"/>
        <v>6</v>
      </c>
      <c r="BM108" s="4">
        <f>Modelling_old[[#This Row],[Target E_Grid daily
MWh]]+Modelling_new[[#This Row],[Target E_Grid daily
MWh]]</f>
        <v>41</v>
      </c>
      <c r="BN108" s="4">
        <f>Modelling_old[[#This Row],[Target E_Grid MTD
MWh]]+Modelling_new[[#This Row],[Target E_Grid MTD
MWh]]</f>
        <v>1230</v>
      </c>
      <c r="BO108" s="4">
        <f>Modelling_old[[#This Row],[Target E_Grid YTD
MWh]]+Modelling_new[[#This Row],[Target E_Grid YTD
MWh]]</f>
        <v>4370.0000000000055</v>
      </c>
      <c r="BP10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5.1233333333333331</v>
      </c>
      <c r="BQ108" s="4">
        <f>SUMIFS(Modelling[Target POA Daily (KWh/m2)],Modelling[Date],"&lt;="&amp;Modelling[[#This Row],[Date]],Modelling[Month Year],Modelling[[#This Row],[Month Year]])</f>
        <v>153.70000000000002</v>
      </c>
      <c r="BR108" s="4">
        <f>SUMIFS(Modelling[Target POA Daily (KWh/m2)],Modelling[Date],"&lt;="&amp;Modelling[[#This Row],[Date]],Modelling[Finacial Year],Modelling[[#This Row],[Finacial Year]])</f>
        <v>554.7999999999995</v>
      </c>
      <c r="BS108" s="9">
        <f>BM108/Modelling[[#This Row],[Comisined DC ]]/BP108</f>
        <v>0.6956909417764543</v>
      </c>
      <c r="BT108" s="9">
        <f>BN108/BQ108/Modelling[[#This Row],[Comisined DC ]]</f>
        <v>0.69569094177645419</v>
      </c>
      <c r="BU108" s="9">
        <f>BO108/BR108/Modelling[[#This Row],[Comisined DC ]]</f>
        <v>0.68474692289618799</v>
      </c>
      <c r="BV108" s="9">
        <f>BM108/(24*Modelling[[#This Row],[Comisined DC ]])</f>
        <v>0.14851069132089031</v>
      </c>
      <c r="BW108" s="9">
        <f>BN108/((COUNTIFS(Modelling[Date],"&lt;="&amp;Modelling[[#This Row],[Date]],Modelling[Month Year],Modelling[[#This Row],[Month Year]])*24*Modelling[[#This Row],[MTD DC Capcity]]))</f>
        <v>0.14851069132089031</v>
      </c>
      <c r="BX108" s="28">
        <f>BO108/((COUNTIFS(Modelling[Date],"&lt;="&amp;Modelling[[#This Row],[Date]],Modelling[Finacial Year],Modelling[[#This Row],[Finacial Year]])*24*Modelling[[#This Row],[MTD DC Capcity]]))</f>
        <v>0.17394578425952598</v>
      </c>
      <c r="BY108" s="4">
        <f>Modelling_old[[#This Row],[DC Capcity]]+Modelling_new[[#This Row],[Comisined DC ]]</f>
        <v>11.5031</v>
      </c>
      <c r="BZ108" s="4">
        <v>0</v>
      </c>
      <c r="CA108" s="4">
        <f>AVERAGEIFS(Modelling[[Comisined DC ]],Modelling[Date],"&lt;="&amp;Modelling[[#This Row],[Date]],Modelling[Month Year],Modelling[[#This Row],[Month Year]])</f>
        <v>11.5031</v>
      </c>
      <c r="CB108" s="4">
        <f>AVERAGEIFS(Modelling[[Comisined DC ]],Modelling[Date],"&lt;="&amp;Modelling[[#This Row],[Date]],Modelling[Finacial Year],Modelling[[#This Row],[Finacial Year]])</f>
        <v>11.503100000000009</v>
      </c>
      <c r="CG108">
        <f t="shared" si="47"/>
        <v>30</v>
      </c>
      <c r="CH108">
        <f t="shared" si="48"/>
        <v>91</v>
      </c>
    </row>
    <row r="109" spans="1:86" x14ac:dyDescent="0.35">
      <c r="A109" s="27">
        <v>45108</v>
      </c>
      <c r="B109" s="5">
        <f>MONTH(Modelling_old[[#This Row],[Date]])</f>
        <v>7</v>
      </c>
      <c r="C109" s="25">
        <f t="shared" si="31"/>
        <v>2024</v>
      </c>
      <c r="D109" s="3">
        <f t="shared" si="32"/>
        <v>2023</v>
      </c>
      <c r="E109" s="3" t="s">
        <v>626</v>
      </c>
      <c r="F109" s="5" t="s">
        <v>626</v>
      </c>
      <c r="G109" s="102">
        <v>45108</v>
      </c>
      <c r="H109" s="5">
        <f t="shared" si="33"/>
        <v>31</v>
      </c>
      <c r="I109" s="5">
        <f t="shared" si="34"/>
        <v>7</v>
      </c>
      <c r="J109" s="4">
        <f t="shared" si="35"/>
        <v>37.096774193548384</v>
      </c>
      <c r="K109" s="4">
        <f>SUM($J$109:J109)</f>
        <v>37.096774193548384</v>
      </c>
      <c r="L109" s="4">
        <f>SUM($J$18:J109)</f>
        <v>4407.0967741935538</v>
      </c>
      <c r="M109" s="4">
        <f t="shared" si="36"/>
        <v>4.4064516129032256</v>
      </c>
      <c r="N109" s="4">
        <f>SUM($M$109:M109)</f>
        <v>4.4064516129032256</v>
      </c>
      <c r="O109" s="4">
        <f>SUM($M$18:M109)</f>
        <v>559.2064516129027</v>
      </c>
      <c r="P109" s="9">
        <f t="shared" si="37"/>
        <v>0.73186713574555806</v>
      </c>
      <c r="Q109" s="26">
        <f t="shared" si="49"/>
        <v>0.73186713574555806</v>
      </c>
      <c r="R109" s="26">
        <f t="shared" si="49"/>
        <v>0.68511822214946305</v>
      </c>
      <c r="S109" s="9">
        <f t="shared" si="38"/>
        <v>0.13437238003070329</v>
      </c>
      <c r="T109" s="9">
        <f>K109/((COUNT($K$109:K109))*24*$Q$1)</f>
        <v>0.13437238003070329</v>
      </c>
      <c r="U109" s="28">
        <f>L109/((COUNT($L$18:L109))*24*$Q$1)</f>
        <v>0.1735156385613866</v>
      </c>
      <c r="V109" s="134">
        <v>11.5031</v>
      </c>
      <c r="Y109" s="27">
        <f t="shared" si="45"/>
        <v>45108</v>
      </c>
      <c r="Z109" s="5">
        <f>MONTH(Modelling_new[[#This Row],[Date]])</f>
        <v>7</v>
      </c>
      <c r="AA109" s="25">
        <f>YEAR(Y109)+IF(MONTH(Modelling_new[[#This Row],[Date]])&gt;=4,1,0)</f>
        <v>2024</v>
      </c>
      <c r="AB109" s="3">
        <f t="shared" si="39"/>
        <v>2023</v>
      </c>
      <c r="AC109" s="3" t="s">
        <v>626</v>
      </c>
      <c r="AD109" s="5" t="s">
        <v>626</v>
      </c>
      <c r="AE109" s="102">
        <v>45108</v>
      </c>
      <c r="AF109" s="5">
        <f t="shared" si="40"/>
        <v>31</v>
      </c>
      <c r="AG109" s="5">
        <f t="shared" si="41"/>
        <v>7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BD109" s="27">
        <f t="shared" si="46"/>
        <v>45108</v>
      </c>
      <c r="BE109" s="5">
        <f>MONTH(Modelling[[#This Row],[Date]])</f>
        <v>7</v>
      </c>
      <c r="BF109" s="25">
        <f>YEAR(BD109)+IF(MONTH(Modelling[[#This Row],[Date]])&gt;=4,1,0)</f>
        <v>2024</v>
      </c>
      <c r="BG109" s="3">
        <f t="shared" si="42"/>
        <v>2023</v>
      </c>
      <c r="BH109" s="3" t="s">
        <v>626</v>
      </c>
      <c r="BI109" s="5" t="s">
        <v>626</v>
      </c>
      <c r="BJ109" s="102">
        <v>45108</v>
      </c>
      <c r="BK109" s="5">
        <f t="shared" si="43"/>
        <v>31</v>
      </c>
      <c r="BL109" s="5">
        <f t="shared" si="44"/>
        <v>7</v>
      </c>
      <c r="BM109" s="4">
        <f>Modelling_old[[#This Row],[Target E_Grid daily
MWh]]+Modelling_new[[#This Row],[Target E_Grid daily
MWh]]</f>
        <v>37.096774193548384</v>
      </c>
      <c r="BN109" s="4">
        <f>Modelling_old[[#This Row],[Target E_Grid MTD
MWh]]+Modelling_new[[#This Row],[Target E_Grid MTD
MWh]]</f>
        <v>37.096774193548384</v>
      </c>
      <c r="BO109" s="4">
        <f>Modelling_old[[#This Row],[Target E_Grid YTD
MWh]]+Modelling_new[[#This Row],[Target E_Grid YTD
MWh]]</f>
        <v>4407.0967741935538</v>
      </c>
      <c r="BP10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09" s="4">
        <f>SUMIFS(Modelling[Target POA Daily (KWh/m2)],Modelling[Date],"&lt;="&amp;Modelling[[#This Row],[Date]],Modelling[Month Year],Modelling[[#This Row],[Month Year]])</f>
        <v>4.4064516129032256</v>
      </c>
      <c r="BR109" s="4">
        <f>SUMIFS(Modelling[Target POA Daily (KWh/m2)],Modelling[Date],"&lt;="&amp;Modelling[[#This Row],[Date]],Modelling[Finacial Year],Modelling[[#This Row],[Finacial Year]])</f>
        <v>559.2064516129027</v>
      </c>
      <c r="BS109" s="9">
        <f>BM109/Modelling[[#This Row],[Comisined DC ]]/BP109</f>
        <v>0.73186713574555806</v>
      </c>
      <c r="BT109" s="9">
        <f>BN109/BQ109/Modelling[[#This Row],[Comisined DC ]]</f>
        <v>0.73186713574555806</v>
      </c>
      <c r="BU109" s="9">
        <f>BO109/BR109/Modelling[[#This Row],[Comisined DC ]]</f>
        <v>0.68511822214946305</v>
      </c>
      <c r="BV109" s="9">
        <f>BM109/(24*Modelling[[#This Row],[Comisined DC ]])</f>
        <v>0.13437238003070329</v>
      </c>
      <c r="BW109" s="9">
        <f>BN109/((COUNTIFS(Modelling[Date],"&lt;="&amp;Modelling[[#This Row],[Date]],Modelling[Month Year],Modelling[[#This Row],[Month Year]])*24*Modelling[[#This Row],[MTD DC Capcity]]))</f>
        <v>0.13437238003070329</v>
      </c>
      <c r="BX109" s="28">
        <f>BO109/((COUNTIFS(Modelling[Date],"&lt;="&amp;Modelling[[#This Row],[Date]],Modelling[Finacial Year],Modelling[[#This Row],[Finacial Year]])*24*Modelling[[#This Row],[MTD DC Capcity]]))</f>
        <v>0.1735156385613866</v>
      </c>
      <c r="BY109" s="4">
        <f>Modelling_old[[#This Row],[DC Capcity]]+Modelling_new[[#This Row],[Comisined DC ]]</f>
        <v>11.5031</v>
      </c>
      <c r="BZ109" s="4">
        <v>0</v>
      </c>
      <c r="CA109" s="4">
        <f>AVERAGEIFS(Modelling[[Comisined DC ]],Modelling[Date],"&lt;="&amp;Modelling[[#This Row],[Date]],Modelling[Month Year],Modelling[[#This Row],[Month Year]])</f>
        <v>11.5031</v>
      </c>
      <c r="CB109" s="4">
        <f>AVERAGEIFS(Modelling[[Comisined DC ]],Modelling[Date],"&lt;="&amp;Modelling[[#This Row],[Date]],Modelling[Finacial Year],Modelling[[#This Row],[Finacial Year]])</f>
        <v>11.503100000000007</v>
      </c>
      <c r="CG109">
        <v>1</v>
      </c>
      <c r="CH109">
        <f t="shared" si="48"/>
        <v>92</v>
      </c>
    </row>
    <row r="110" spans="1:86" x14ac:dyDescent="0.35">
      <c r="A110" s="27">
        <v>45109</v>
      </c>
      <c r="B110" s="5">
        <f>MONTH(Modelling_old[[#This Row],[Date]])</f>
        <v>7</v>
      </c>
      <c r="C110" s="25">
        <f t="shared" si="31"/>
        <v>2024</v>
      </c>
      <c r="D110" s="3">
        <f t="shared" si="32"/>
        <v>2023</v>
      </c>
      <c r="E110" s="3" t="s">
        <v>626</v>
      </c>
      <c r="F110" s="5" t="s">
        <v>626</v>
      </c>
      <c r="G110" s="102">
        <v>45108</v>
      </c>
      <c r="H110" s="5">
        <f t="shared" si="33"/>
        <v>31</v>
      </c>
      <c r="I110" s="5">
        <f t="shared" si="34"/>
        <v>7</v>
      </c>
      <c r="J110" s="4">
        <f t="shared" si="35"/>
        <v>37.096774193548384</v>
      </c>
      <c r="K110" s="4">
        <f>SUM($J$109:J110)</f>
        <v>74.193548387096769</v>
      </c>
      <c r="L110" s="4">
        <f>SUM($J$18:J110)</f>
        <v>4444.1935483871021</v>
      </c>
      <c r="M110" s="4">
        <f t="shared" si="36"/>
        <v>4.4064516129032256</v>
      </c>
      <c r="N110" s="4">
        <f>SUM($M$109:M110)</f>
        <v>8.8129032258064512</v>
      </c>
      <c r="O110" s="4">
        <f>SUM($M$18:M110)</f>
        <v>563.61290322580589</v>
      </c>
      <c r="P110" s="9">
        <f t="shared" si="37"/>
        <v>0.73186713574555806</v>
      </c>
      <c r="Q110" s="26">
        <f t="shared" si="49"/>
        <v>0.73186713574555806</v>
      </c>
      <c r="R110" s="26">
        <f t="shared" si="49"/>
        <v>0.68548371560168531</v>
      </c>
      <c r="S110" s="9">
        <f t="shared" si="38"/>
        <v>0.13437238003070329</v>
      </c>
      <c r="T110" s="9">
        <f>K110/((COUNT($K$109:K110))*24*$Q$1)</f>
        <v>0.13437238003070329</v>
      </c>
      <c r="U110" s="28">
        <f>L110/((COUNT($L$18:L110))*24*$Q$1)</f>
        <v>0.17309474330836849</v>
      </c>
      <c r="V110" s="134">
        <v>11.5031</v>
      </c>
      <c r="Y110" s="27">
        <f t="shared" si="45"/>
        <v>45109</v>
      </c>
      <c r="Z110" s="5">
        <f>MONTH(Modelling_new[[#This Row],[Date]])</f>
        <v>7</v>
      </c>
      <c r="AA110" s="25">
        <f>YEAR(Y110)+IF(MONTH(Modelling_new[[#This Row],[Date]])&gt;=4,1,0)</f>
        <v>2024</v>
      </c>
      <c r="AB110" s="3">
        <f t="shared" si="39"/>
        <v>2023</v>
      </c>
      <c r="AC110" s="3" t="s">
        <v>626</v>
      </c>
      <c r="AD110" s="5" t="s">
        <v>626</v>
      </c>
      <c r="AE110" s="102">
        <v>45108</v>
      </c>
      <c r="AF110" s="5">
        <f t="shared" si="40"/>
        <v>31</v>
      </c>
      <c r="AG110" s="5">
        <f t="shared" si="41"/>
        <v>7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BD110" s="27">
        <f t="shared" si="46"/>
        <v>45109</v>
      </c>
      <c r="BE110" s="5">
        <f>MONTH(Modelling[[#This Row],[Date]])</f>
        <v>7</v>
      </c>
      <c r="BF110" s="25">
        <f>YEAR(BD110)+IF(MONTH(Modelling[[#This Row],[Date]])&gt;=4,1,0)</f>
        <v>2024</v>
      </c>
      <c r="BG110" s="3">
        <f t="shared" si="42"/>
        <v>2023</v>
      </c>
      <c r="BH110" s="3" t="s">
        <v>626</v>
      </c>
      <c r="BI110" s="5" t="s">
        <v>626</v>
      </c>
      <c r="BJ110" s="102">
        <v>45108</v>
      </c>
      <c r="BK110" s="5">
        <f t="shared" si="43"/>
        <v>31</v>
      </c>
      <c r="BL110" s="5">
        <f t="shared" si="44"/>
        <v>7</v>
      </c>
      <c r="BM110" s="4">
        <f>Modelling_old[[#This Row],[Target E_Grid daily
MWh]]+Modelling_new[[#This Row],[Target E_Grid daily
MWh]]</f>
        <v>37.096774193548384</v>
      </c>
      <c r="BN110" s="4">
        <f>Modelling_old[[#This Row],[Target E_Grid MTD
MWh]]+Modelling_new[[#This Row],[Target E_Grid MTD
MWh]]</f>
        <v>74.193548387096769</v>
      </c>
      <c r="BO110" s="4">
        <f>Modelling_old[[#This Row],[Target E_Grid YTD
MWh]]+Modelling_new[[#This Row],[Target E_Grid YTD
MWh]]</f>
        <v>4444.1935483871021</v>
      </c>
      <c r="BP11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10" s="4">
        <f>SUMIFS(Modelling[Target POA Daily (KWh/m2)],Modelling[Date],"&lt;="&amp;Modelling[[#This Row],[Date]],Modelling[Month Year],Modelling[[#This Row],[Month Year]])</f>
        <v>8.8129032258064512</v>
      </c>
      <c r="BR110" s="4">
        <f>SUMIFS(Modelling[Target POA Daily (KWh/m2)],Modelling[Date],"&lt;="&amp;Modelling[[#This Row],[Date]],Modelling[Finacial Year],Modelling[[#This Row],[Finacial Year]])</f>
        <v>563.61290322580589</v>
      </c>
      <c r="BS110" s="9">
        <f>BM110/Modelling[[#This Row],[Comisined DC ]]/BP110</f>
        <v>0.73186713574555806</v>
      </c>
      <c r="BT110" s="9">
        <f>BN110/BQ110/Modelling[[#This Row],[Comisined DC ]]</f>
        <v>0.73186713574555806</v>
      </c>
      <c r="BU110" s="9">
        <f>BO110/BR110/Modelling[[#This Row],[Comisined DC ]]</f>
        <v>0.68548371560168531</v>
      </c>
      <c r="BV110" s="9">
        <f>BM110/(24*Modelling[[#This Row],[Comisined DC ]])</f>
        <v>0.13437238003070329</v>
      </c>
      <c r="BW110" s="9">
        <f>BN110/((COUNTIFS(Modelling[Date],"&lt;="&amp;Modelling[[#This Row],[Date]],Modelling[Month Year],Modelling[[#This Row],[Month Year]])*24*Modelling[[#This Row],[MTD DC Capcity]]))</f>
        <v>0.13437238003070329</v>
      </c>
      <c r="BX110" s="28">
        <f>BO110/((COUNTIFS(Modelling[Date],"&lt;="&amp;Modelling[[#This Row],[Date]],Modelling[Finacial Year],Modelling[[#This Row],[Finacial Year]])*24*Modelling[[#This Row],[MTD DC Capcity]]))</f>
        <v>0.17309474330836849</v>
      </c>
      <c r="BY110" s="4">
        <f>Modelling_old[[#This Row],[DC Capcity]]+Modelling_new[[#This Row],[Comisined DC ]]</f>
        <v>11.5031</v>
      </c>
      <c r="BZ110" s="4">
        <v>0</v>
      </c>
      <c r="CA110" s="4">
        <f>AVERAGEIFS(Modelling[[Comisined DC ]],Modelling[Date],"&lt;="&amp;Modelling[[#This Row],[Date]],Modelling[Month Year],Modelling[[#This Row],[Month Year]])</f>
        <v>11.5031</v>
      </c>
      <c r="CB110" s="4">
        <f>AVERAGEIFS(Modelling[[Comisined DC ]],Modelling[Date],"&lt;="&amp;Modelling[[#This Row],[Date]],Modelling[Finacial Year],Modelling[[#This Row],[Finacial Year]])</f>
        <v>11.503100000000007</v>
      </c>
      <c r="CG110">
        <f t="shared" si="47"/>
        <v>2</v>
      </c>
      <c r="CH110">
        <f t="shared" si="48"/>
        <v>93</v>
      </c>
    </row>
    <row r="111" spans="1:86" x14ac:dyDescent="0.35">
      <c r="A111" s="27">
        <v>45110</v>
      </c>
      <c r="B111" s="5">
        <f>MONTH(Modelling_old[[#This Row],[Date]])</f>
        <v>7</v>
      </c>
      <c r="C111" s="25">
        <f t="shared" si="31"/>
        <v>2024</v>
      </c>
      <c r="D111" s="3">
        <f t="shared" si="32"/>
        <v>2023</v>
      </c>
      <c r="E111" s="3" t="s">
        <v>626</v>
      </c>
      <c r="F111" s="5" t="s">
        <v>626</v>
      </c>
      <c r="G111" s="102">
        <v>45108</v>
      </c>
      <c r="H111" s="5">
        <f t="shared" si="33"/>
        <v>31</v>
      </c>
      <c r="I111" s="5">
        <f t="shared" si="34"/>
        <v>7</v>
      </c>
      <c r="J111" s="4">
        <f t="shared" si="35"/>
        <v>37.096774193548384</v>
      </c>
      <c r="K111" s="4">
        <f>SUM($J$109:J111)</f>
        <v>111.29032258064515</v>
      </c>
      <c r="L111" s="4">
        <f>SUM($J$18:J111)</f>
        <v>4481.2903225806504</v>
      </c>
      <c r="M111" s="4">
        <f t="shared" si="36"/>
        <v>4.4064516129032256</v>
      </c>
      <c r="N111" s="4">
        <f>SUM($M$109:M111)</f>
        <v>13.219354838709677</v>
      </c>
      <c r="O111" s="4">
        <f>SUM($M$18:M111)</f>
        <v>568.01935483870909</v>
      </c>
      <c r="P111" s="9">
        <f t="shared" si="37"/>
        <v>0.73186713574555806</v>
      </c>
      <c r="Q111" s="26">
        <f t="shared" si="49"/>
        <v>0.73186713574555806</v>
      </c>
      <c r="R111" s="26">
        <f t="shared" si="49"/>
        <v>0.6858435383696313</v>
      </c>
      <c r="S111" s="9">
        <f t="shared" si="38"/>
        <v>0.13437238003070329</v>
      </c>
      <c r="T111" s="9">
        <f>K111/((COUNT($K$109:K111))*24*$Q$1)</f>
        <v>0.13437238003070326</v>
      </c>
      <c r="U111" s="28">
        <f>L111/((COUNT($L$18:L111))*24*$Q$1)</f>
        <v>0.17268280327349975</v>
      </c>
      <c r="V111" s="134">
        <v>11.5031</v>
      </c>
      <c r="Y111" s="27">
        <f t="shared" si="45"/>
        <v>45110</v>
      </c>
      <c r="Z111" s="5">
        <f>MONTH(Modelling_new[[#This Row],[Date]])</f>
        <v>7</v>
      </c>
      <c r="AA111" s="25">
        <f>YEAR(Y111)+IF(MONTH(Modelling_new[[#This Row],[Date]])&gt;=4,1,0)</f>
        <v>2024</v>
      </c>
      <c r="AB111" s="3">
        <f t="shared" si="39"/>
        <v>2023</v>
      </c>
      <c r="AC111" s="3" t="s">
        <v>626</v>
      </c>
      <c r="AD111" s="5" t="s">
        <v>626</v>
      </c>
      <c r="AE111" s="102">
        <v>45108</v>
      </c>
      <c r="AF111" s="5">
        <f t="shared" si="40"/>
        <v>31</v>
      </c>
      <c r="AG111" s="5">
        <f t="shared" si="41"/>
        <v>7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BD111" s="27">
        <f t="shared" si="46"/>
        <v>45110</v>
      </c>
      <c r="BE111" s="5">
        <f>MONTH(Modelling[[#This Row],[Date]])</f>
        <v>7</v>
      </c>
      <c r="BF111" s="25">
        <f>YEAR(BD111)+IF(MONTH(Modelling[[#This Row],[Date]])&gt;=4,1,0)</f>
        <v>2024</v>
      </c>
      <c r="BG111" s="3">
        <f t="shared" si="42"/>
        <v>2023</v>
      </c>
      <c r="BH111" s="3" t="s">
        <v>626</v>
      </c>
      <c r="BI111" s="5" t="s">
        <v>626</v>
      </c>
      <c r="BJ111" s="102">
        <v>45108</v>
      </c>
      <c r="BK111" s="5">
        <f t="shared" si="43"/>
        <v>31</v>
      </c>
      <c r="BL111" s="5">
        <f t="shared" si="44"/>
        <v>7</v>
      </c>
      <c r="BM111" s="4">
        <f>Modelling_old[[#This Row],[Target E_Grid daily
MWh]]+Modelling_new[[#This Row],[Target E_Grid daily
MWh]]</f>
        <v>37.096774193548384</v>
      </c>
      <c r="BN111" s="4">
        <f>Modelling_old[[#This Row],[Target E_Grid MTD
MWh]]+Modelling_new[[#This Row],[Target E_Grid MTD
MWh]]</f>
        <v>111.29032258064515</v>
      </c>
      <c r="BO111" s="4">
        <f>Modelling_old[[#This Row],[Target E_Grid YTD
MWh]]+Modelling_new[[#This Row],[Target E_Grid YTD
MWh]]</f>
        <v>4481.2903225806504</v>
      </c>
      <c r="BP11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11" s="4">
        <f>SUMIFS(Modelling[Target POA Daily (KWh/m2)],Modelling[Date],"&lt;="&amp;Modelling[[#This Row],[Date]],Modelling[Month Year],Modelling[[#This Row],[Month Year]])</f>
        <v>13.219354838709677</v>
      </c>
      <c r="BR111" s="4">
        <f>SUMIFS(Modelling[Target POA Daily (KWh/m2)],Modelling[Date],"&lt;="&amp;Modelling[[#This Row],[Date]],Modelling[Finacial Year],Modelling[[#This Row],[Finacial Year]])</f>
        <v>568.01935483870909</v>
      </c>
      <c r="BS111" s="9">
        <f>BM111/Modelling[[#This Row],[Comisined DC ]]/BP111</f>
        <v>0.73186713574555806</v>
      </c>
      <c r="BT111" s="9">
        <f>BN111/BQ111/Modelling[[#This Row],[Comisined DC ]]</f>
        <v>0.73186713574555806</v>
      </c>
      <c r="BU111" s="9">
        <f>BO111/BR111/Modelling[[#This Row],[Comisined DC ]]</f>
        <v>0.6858435383696313</v>
      </c>
      <c r="BV111" s="9">
        <f>BM111/(24*Modelling[[#This Row],[Comisined DC ]])</f>
        <v>0.13437238003070329</v>
      </c>
      <c r="BW111" s="9">
        <f>BN111/((COUNTIFS(Modelling[Date],"&lt;="&amp;Modelling[[#This Row],[Date]],Modelling[Month Year],Modelling[[#This Row],[Month Year]])*24*Modelling[[#This Row],[MTD DC Capcity]]))</f>
        <v>0.13437238003070329</v>
      </c>
      <c r="BX111" s="28">
        <f>BO111/((COUNTIFS(Modelling[Date],"&lt;="&amp;Modelling[[#This Row],[Date]],Modelling[Finacial Year],Modelling[[#This Row],[Finacial Year]])*24*Modelling[[#This Row],[MTD DC Capcity]]))</f>
        <v>0.17268280327349977</v>
      </c>
      <c r="BY111" s="4">
        <f>Modelling_old[[#This Row],[DC Capcity]]+Modelling_new[[#This Row],[Comisined DC ]]</f>
        <v>11.5031</v>
      </c>
      <c r="BZ111" s="4">
        <v>0</v>
      </c>
      <c r="CA111" s="4">
        <f>AVERAGEIFS(Modelling[[Comisined DC ]],Modelling[Date],"&lt;="&amp;Modelling[[#This Row],[Date]],Modelling[Month Year],Modelling[[#This Row],[Month Year]])</f>
        <v>11.503099999999998</v>
      </c>
      <c r="CB111" s="4">
        <f>AVERAGEIFS(Modelling[[Comisined DC ]],Modelling[Date],"&lt;="&amp;Modelling[[#This Row],[Date]],Modelling[Finacial Year],Modelling[[#This Row],[Finacial Year]])</f>
        <v>11.503100000000005</v>
      </c>
      <c r="CG111">
        <f t="shared" si="47"/>
        <v>3</v>
      </c>
      <c r="CH111">
        <f t="shared" si="48"/>
        <v>94</v>
      </c>
    </row>
    <row r="112" spans="1:86" x14ac:dyDescent="0.35">
      <c r="A112" s="27">
        <v>45111</v>
      </c>
      <c r="B112" s="5">
        <f>MONTH(Modelling_old[[#This Row],[Date]])</f>
        <v>7</v>
      </c>
      <c r="C112" s="25">
        <f t="shared" si="31"/>
        <v>2024</v>
      </c>
      <c r="D112" s="3">
        <f t="shared" si="32"/>
        <v>2023</v>
      </c>
      <c r="E112" s="3" t="s">
        <v>626</v>
      </c>
      <c r="F112" s="5" t="s">
        <v>626</v>
      </c>
      <c r="G112" s="102">
        <v>45108</v>
      </c>
      <c r="H112" s="5">
        <f t="shared" si="33"/>
        <v>31</v>
      </c>
      <c r="I112" s="5">
        <f t="shared" si="34"/>
        <v>7</v>
      </c>
      <c r="J112" s="4">
        <f t="shared" si="35"/>
        <v>37.096774193548384</v>
      </c>
      <c r="K112" s="4">
        <f>SUM($J$109:J112)</f>
        <v>148.38709677419354</v>
      </c>
      <c r="L112" s="4">
        <f>SUM($J$18:J112)</f>
        <v>4518.3870967741987</v>
      </c>
      <c r="M112" s="4">
        <f t="shared" si="36"/>
        <v>4.4064516129032256</v>
      </c>
      <c r="N112" s="4">
        <f>SUM($M$109:M112)</f>
        <v>17.625806451612902</v>
      </c>
      <c r="O112" s="4">
        <f>SUM($M$18:M112)</f>
        <v>572.42580645161229</v>
      </c>
      <c r="P112" s="9">
        <f t="shared" si="37"/>
        <v>0.73186713574555806</v>
      </c>
      <c r="Q112" s="26">
        <f t="shared" si="49"/>
        <v>0.73186713574555806</v>
      </c>
      <c r="R112" s="26">
        <f t="shared" si="49"/>
        <v>0.68619782140963936</v>
      </c>
      <c r="S112" s="9">
        <f t="shared" si="38"/>
        <v>0.13437238003070329</v>
      </c>
      <c r="T112" s="9">
        <f>K112/((COUNT($K$109:K112))*24*$Q$1)</f>
        <v>0.13437238003070329</v>
      </c>
      <c r="U112" s="28">
        <f>L112/((COUNT($L$18:L112))*24*$Q$1)</f>
        <v>0.17227953566041765</v>
      </c>
      <c r="V112" s="134">
        <v>11.5031</v>
      </c>
      <c r="Y112" s="27">
        <f t="shared" si="45"/>
        <v>45111</v>
      </c>
      <c r="Z112" s="5">
        <f>MONTH(Modelling_new[[#This Row],[Date]])</f>
        <v>7</v>
      </c>
      <c r="AA112" s="25">
        <f>YEAR(Y112)+IF(MONTH(Modelling_new[[#This Row],[Date]])&gt;=4,1,0)</f>
        <v>2024</v>
      </c>
      <c r="AB112" s="3">
        <f t="shared" si="39"/>
        <v>2023</v>
      </c>
      <c r="AC112" s="3" t="s">
        <v>626</v>
      </c>
      <c r="AD112" s="5" t="s">
        <v>626</v>
      </c>
      <c r="AE112" s="102">
        <v>45108</v>
      </c>
      <c r="AF112" s="5">
        <f t="shared" si="40"/>
        <v>31</v>
      </c>
      <c r="AG112" s="5">
        <f t="shared" si="41"/>
        <v>7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BD112" s="27">
        <f t="shared" si="46"/>
        <v>45111</v>
      </c>
      <c r="BE112" s="5">
        <f>MONTH(Modelling[[#This Row],[Date]])</f>
        <v>7</v>
      </c>
      <c r="BF112" s="25">
        <f>YEAR(BD112)+IF(MONTH(Modelling[[#This Row],[Date]])&gt;=4,1,0)</f>
        <v>2024</v>
      </c>
      <c r="BG112" s="3">
        <f t="shared" si="42"/>
        <v>2023</v>
      </c>
      <c r="BH112" s="3" t="s">
        <v>626</v>
      </c>
      <c r="BI112" s="5" t="s">
        <v>626</v>
      </c>
      <c r="BJ112" s="102">
        <v>45108</v>
      </c>
      <c r="BK112" s="5">
        <f t="shared" si="43"/>
        <v>31</v>
      </c>
      <c r="BL112" s="5">
        <f t="shared" si="44"/>
        <v>7</v>
      </c>
      <c r="BM112" s="4">
        <f>Modelling_old[[#This Row],[Target E_Grid daily
MWh]]+Modelling_new[[#This Row],[Target E_Grid daily
MWh]]</f>
        <v>37.096774193548384</v>
      </c>
      <c r="BN112" s="4">
        <f>Modelling_old[[#This Row],[Target E_Grid MTD
MWh]]+Modelling_new[[#This Row],[Target E_Grid MTD
MWh]]</f>
        <v>148.38709677419354</v>
      </c>
      <c r="BO112" s="4">
        <f>Modelling_old[[#This Row],[Target E_Grid YTD
MWh]]+Modelling_new[[#This Row],[Target E_Grid YTD
MWh]]</f>
        <v>4518.3870967741987</v>
      </c>
      <c r="BP11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12" s="4">
        <f>SUMIFS(Modelling[Target POA Daily (KWh/m2)],Modelling[Date],"&lt;="&amp;Modelling[[#This Row],[Date]],Modelling[Month Year],Modelling[[#This Row],[Month Year]])</f>
        <v>17.625806451612902</v>
      </c>
      <c r="BR112" s="4">
        <f>SUMIFS(Modelling[Target POA Daily (KWh/m2)],Modelling[Date],"&lt;="&amp;Modelling[[#This Row],[Date]],Modelling[Finacial Year],Modelling[[#This Row],[Finacial Year]])</f>
        <v>572.42580645161229</v>
      </c>
      <c r="BS112" s="9">
        <f>BM112/Modelling[[#This Row],[Comisined DC ]]/BP112</f>
        <v>0.73186713574555806</v>
      </c>
      <c r="BT112" s="9">
        <f>BN112/BQ112/Modelling[[#This Row],[Comisined DC ]]</f>
        <v>0.73186713574555806</v>
      </c>
      <c r="BU112" s="9">
        <f>BO112/BR112/Modelling[[#This Row],[Comisined DC ]]</f>
        <v>0.68619782140963936</v>
      </c>
      <c r="BV112" s="9">
        <f>BM112/(24*Modelling[[#This Row],[Comisined DC ]])</f>
        <v>0.13437238003070329</v>
      </c>
      <c r="BW112" s="9">
        <f>BN112/((COUNTIFS(Modelling[Date],"&lt;="&amp;Modelling[[#This Row],[Date]],Modelling[Month Year],Modelling[[#This Row],[Month Year]])*24*Modelling[[#This Row],[MTD DC Capcity]]))</f>
        <v>0.13437238003070329</v>
      </c>
      <c r="BX112" s="28">
        <f>BO112/((COUNTIFS(Modelling[Date],"&lt;="&amp;Modelling[[#This Row],[Date]],Modelling[Finacial Year],Modelling[[#This Row],[Finacial Year]])*24*Modelling[[#This Row],[MTD DC Capcity]]))</f>
        <v>0.17227953566041765</v>
      </c>
      <c r="BY112" s="4">
        <f>Modelling_old[[#This Row],[DC Capcity]]+Modelling_new[[#This Row],[Comisined DC ]]</f>
        <v>11.5031</v>
      </c>
      <c r="BZ112" s="4">
        <v>0</v>
      </c>
      <c r="CA112" s="4">
        <f>AVERAGEIFS(Modelling[[Comisined DC ]],Modelling[Date],"&lt;="&amp;Modelling[[#This Row],[Date]],Modelling[Month Year],Modelling[[#This Row],[Month Year]])</f>
        <v>11.5031</v>
      </c>
      <c r="CB112" s="4">
        <f>AVERAGEIFS(Modelling[[Comisined DC ]],Modelling[Date],"&lt;="&amp;Modelling[[#This Row],[Date]],Modelling[Finacial Year],Modelling[[#This Row],[Finacial Year]])</f>
        <v>11.503100000000005</v>
      </c>
      <c r="CG112">
        <f t="shared" si="47"/>
        <v>4</v>
      </c>
      <c r="CH112">
        <f t="shared" si="48"/>
        <v>95</v>
      </c>
    </row>
    <row r="113" spans="1:86" x14ac:dyDescent="0.35">
      <c r="A113" s="27">
        <v>45112</v>
      </c>
      <c r="B113" s="5">
        <f>MONTH(Modelling_old[[#This Row],[Date]])</f>
        <v>7</v>
      </c>
      <c r="C113" s="25">
        <f t="shared" si="31"/>
        <v>2024</v>
      </c>
      <c r="D113" s="3">
        <f t="shared" si="32"/>
        <v>2023</v>
      </c>
      <c r="E113" s="3" t="s">
        <v>626</v>
      </c>
      <c r="F113" s="5" t="s">
        <v>626</v>
      </c>
      <c r="G113" s="102">
        <v>45108</v>
      </c>
      <c r="H113" s="5">
        <f t="shared" si="33"/>
        <v>31</v>
      </c>
      <c r="I113" s="5">
        <f t="shared" si="34"/>
        <v>7</v>
      </c>
      <c r="J113" s="4">
        <f t="shared" si="35"/>
        <v>37.096774193548384</v>
      </c>
      <c r="K113" s="4">
        <f>SUM($J$109:J113)</f>
        <v>185.48387096774192</v>
      </c>
      <c r="L113" s="4">
        <f>SUM($J$18:J113)</f>
        <v>4555.483870967747</v>
      </c>
      <c r="M113" s="4">
        <f t="shared" si="36"/>
        <v>4.4064516129032256</v>
      </c>
      <c r="N113" s="4">
        <f>SUM($M$109:M113)</f>
        <v>22.032258064516128</v>
      </c>
      <c r="O113" s="4">
        <f>SUM($M$18:M113)</f>
        <v>576.83225806451549</v>
      </c>
      <c r="P113" s="9">
        <f t="shared" si="37"/>
        <v>0.73186713574555806</v>
      </c>
      <c r="Q113" s="26">
        <f t="shared" si="49"/>
        <v>0.73186713574555806</v>
      </c>
      <c r="R113" s="26">
        <f t="shared" si="49"/>
        <v>0.68654669167651894</v>
      </c>
      <c r="S113" s="9">
        <f t="shared" si="38"/>
        <v>0.13437238003070329</v>
      </c>
      <c r="T113" s="9">
        <f>K113/((COUNT($K$109:K113))*24*$Q$1)</f>
        <v>0.13437238003070326</v>
      </c>
      <c r="U113" s="28">
        <f>L113/((COUNT($L$18:L113))*24*$Q$1)</f>
        <v>0.17188466945594144</v>
      </c>
      <c r="V113" s="134">
        <v>11.5031</v>
      </c>
      <c r="Y113" s="27">
        <f t="shared" si="45"/>
        <v>45112</v>
      </c>
      <c r="Z113" s="5">
        <f>MONTH(Modelling_new[[#This Row],[Date]])</f>
        <v>7</v>
      </c>
      <c r="AA113" s="25">
        <f>YEAR(Y113)+IF(MONTH(Modelling_new[[#This Row],[Date]])&gt;=4,1,0)</f>
        <v>2024</v>
      </c>
      <c r="AB113" s="3">
        <f t="shared" si="39"/>
        <v>2023</v>
      </c>
      <c r="AC113" s="3" t="s">
        <v>626</v>
      </c>
      <c r="AD113" s="5" t="s">
        <v>626</v>
      </c>
      <c r="AE113" s="102">
        <v>45108</v>
      </c>
      <c r="AF113" s="5">
        <f t="shared" si="40"/>
        <v>31</v>
      </c>
      <c r="AG113" s="5">
        <f t="shared" si="41"/>
        <v>7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BD113" s="27">
        <f t="shared" si="46"/>
        <v>45112</v>
      </c>
      <c r="BE113" s="5">
        <f>MONTH(Modelling[[#This Row],[Date]])</f>
        <v>7</v>
      </c>
      <c r="BF113" s="25">
        <f>YEAR(BD113)+IF(MONTH(Modelling[[#This Row],[Date]])&gt;=4,1,0)</f>
        <v>2024</v>
      </c>
      <c r="BG113" s="3">
        <f t="shared" si="42"/>
        <v>2023</v>
      </c>
      <c r="BH113" s="3" t="s">
        <v>626</v>
      </c>
      <c r="BI113" s="5" t="s">
        <v>626</v>
      </c>
      <c r="BJ113" s="102">
        <v>45108</v>
      </c>
      <c r="BK113" s="5">
        <f t="shared" si="43"/>
        <v>31</v>
      </c>
      <c r="BL113" s="5">
        <f t="shared" si="44"/>
        <v>7</v>
      </c>
      <c r="BM113" s="4">
        <f>Modelling_old[[#This Row],[Target E_Grid daily
MWh]]+Modelling_new[[#This Row],[Target E_Grid daily
MWh]]</f>
        <v>37.096774193548384</v>
      </c>
      <c r="BN113" s="4">
        <f>Modelling_old[[#This Row],[Target E_Grid MTD
MWh]]+Modelling_new[[#This Row],[Target E_Grid MTD
MWh]]</f>
        <v>185.48387096774192</v>
      </c>
      <c r="BO113" s="4">
        <f>Modelling_old[[#This Row],[Target E_Grid YTD
MWh]]+Modelling_new[[#This Row],[Target E_Grid YTD
MWh]]</f>
        <v>4555.483870967747</v>
      </c>
      <c r="BP11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13" s="4">
        <f>SUMIFS(Modelling[Target POA Daily (KWh/m2)],Modelling[Date],"&lt;="&amp;Modelling[[#This Row],[Date]],Modelling[Month Year],Modelling[[#This Row],[Month Year]])</f>
        <v>22.032258064516128</v>
      </c>
      <c r="BR113" s="4">
        <f>SUMIFS(Modelling[Target POA Daily (KWh/m2)],Modelling[Date],"&lt;="&amp;Modelling[[#This Row],[Date]],Modelling[Finacial Year],Modelling[[#This Row],[Finacial Year]])</f>
        <v>576.83225806451549</v>
      </c>
      <c r="BS113" s="9">
        <f>BM113/Modelling[[#This Row],[Comisined DC ]]/BP113</f>
        <v>0.73186713574555806</v>
      </c>
      <c r="BT113" s="9">
        <f>BN113/BQ113/Modelling[[#This Row],[Comisined DC ]]</f>
        <v>0.73186713574555806</v>
      </c>
      <c r="BU113" s="9">
        <f>BO113/BR113/Modelling[[#This Row],[Comisined DC ]]</f>
        <v>0.68654669167651894</v>
      </c>
      <c r="BV113" s="9">
        <f>BM113/(24*Modelling[[#This Row],[Comisined DC ]])</f>
        <v>0.13437238003070329</v>
      </c>
      <c r="BW113" s="9">
        <f>BN113/((COUNTIFS(Modelling[Date],"&lt;="&amp;Modelling[[#This Row],[Date]],Modelling[Month Year],Modelling[[#This Row],[Month Year]])*24*Modelling[[#This Row],[MTD DC Capcity]]))</f>
        <v>0.13437238003070326</v>
      </c>
      <c r="BX113" s="28">
        <f>BO113/((COUNTIFS(Modelling[Date],"&lt;="&amp;Modelling[[#This Row],[Date]],Modelling[Finacial Year],Modelling[[#This Row],[Finacial Year]])*24*Modelling[[#This Row],[MTD DC Capcity]]))</f>
        <v>0.17188466945594144</v>
      </c>
      <c r="BY113" s="4">
        <f>Modelling_old[[#This Row],[DC Capcity]]+Modelling_new[[#This Row],[Comisined DC ]]</f>
        <v>11.5031</v>
      </c>
      <c r="BZ113" s="4">
        <v>0</v>
      </c>
      <c r="CA113" s="4">
        <f>AVERAGEIFS(Modelling[[Comisined DC ]],Modelling[Date],"&lt;="&amp;Modelling[[#This Row],[Date]],Modelling[Month Year],Modelling[[#This Row],[Month Year]])</f>
        <v>11.5031</v>
      </c>
      <c r="CB113" s="4">
        <f>AVERAGEIFS(Modelling[[Comisined DC ]],Modelling[Date],"&lt;="&amp;Modelling[[#This Row],[Date]],Modelling[Finacial Year],Modelling[[#This Row],[Finacial Year]])</f>
        <v>11.503100000000003</v>
      </c>
      <c r="CG113">
        <f t="shared" si="47"/>
        <v>5</v>
      </c>
      <c r="CH113">
        <f t="shared" si="48"/>
        <v>96</v>
      </c>
    </row>
    <row r="114" spans="1:86" x14ac:dyDescent="0.35">
      <c r="A114" s="27">
        <v>45113</v>
      </c>
      <c r="B114" s="5">
        <f>MONTH(Modelling_old[[#This Row],[Date]])</f>
        <v>7</v>
      </c>
      <c r="C114" s="25">
        <f t="shared" si="31"/>
        <v>2024</v>
      </c>
      <c r="D114" s="3">
        <f t="shared" si="32"/>
        <v>2023</v>
      </c>
      <c r="E114" s="3" t="s">
        <v>626</v>
      </c>
      <c r="F114" s="5" t="s">
        <v>626</v>
      </c>
      <c r="G114" s="102">
        <v>45108</v>
      </c>
      <c r="H114" s="5">
        <f t="shared" si="33"/>
        <v>31</v>
      </c>
      <c r="I114" s="5">
        <f t="shared" si="34"/>
        <v>7</v>
      </c>
      <c r="J114" s="4">
        <f t="shared" si="35"/>
        <v>37.096774193548384</v>
      </c>
      <c r="K114" s="4">
        <f>SUM($J$109:J114)</f>
        <v>222.58064516129031</v>
      </c>
      <c r="L114" s="4">
        <f>SUM($J$18:J114)</f>
        <v>4592.5806451612953</v>
      </c>
      <c r="M114" s="4">
        <f t="shared" si="36"/>
        <v>4.4064516129032256</v>
      </c>
      <c r="N114" s="4">
        <f>SUM($M$109:M114)</f>
        <v>26.438709677419354</v>
      </c>
      <c r="O114" s="4">
        <f>SUM($M$18:M114)</f>
        <v>581.23870967741868</v>
      </c>
      <c r="P114" s="9">
        <f t="shared" si="37"/>
        <v>0.73186713574555806</v>
      </c>
      <c r="Q114" s="26">
        <f t="shared" si="49"/>
        <v>0.73186713574555806</v>
      </c>
      <c r="R114" s="26">
        <f t="shared" si="49"/>
        <v>0.68689027227523081</v>
      </c>
      <c r="S114" s="9">
        <f t="shared" si="38"/>
        <v>0.13437238003070329</v>
      </c>
      <c r="T114" s="9">
        <f>K114/((COUNT($K$109:K114))*24*$Q$1)</f>
        <v>0.13437238003070326</v>
      </c>
      <c r="U114" s="28">
        <f>L114/((COUNT($L$18:L114))*24*$Q$1)</f>
        <v>0.17149794482269159</v>
      </c>
      <c r="V114" s="134">
        <v>11.5031</v>
      </c>
      <c r="Y114" s="27">
        <f t="shared" si="45"/>
        <v>45113</v>
      </c>
      <c r="Z114" s="5">
        <f>MONTH(Modelling_new[[#This Row],[Date]])</f>
        <v>7</v>
      </c>
      <c r="AA114" s="25">
        <f>YEAR(Y114)+IF(MONTH(Modelling_new[[#This Row],[Date]])&gt;=4,1,0)</f>
        <v>2024</v>
      </c>
      <c r="AB114" s="3">
        <f t="shared" si="39"/>
        <v>2023</v>
      </c>
      <c r="AC114" s="3" t="s">
        <v>626</v>
      </c>
      <c r="AD114" s="5" t="s">
        <v>626</v>
      </c>
      <c r="AE114" s="102">
        <v>45108</v>
      </c>
      <c r="AF114" s="5">
        <f t="shared" si="40"/>
        <v>31</v>
      </c>
      <c r="AG114" s="5">
        <f t="shared" si="41"/>
        <v>7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BD114" s="27">
        <f t="shared" si="46"/>
        <v>45113</v>
      </c>
      <c r="BE114" s="5">
        <f>MONTH(Modelling[[#This Row],[Date]])</f>
        <v>7</v>
      </c>
      <c r="BF114" s="25">
        <f>YEAR(BD114)+IF(MONTH(Modelling[[#This Row],[Date]])&gt;=4,1,0)</f>
        <v>2024</v>
      </c>
      <c r="BG114" s="3">
        <f t="shared" si="42"/>
        <v>2023</v>
      </c>
      <c r="BH114" s="3" t="s">
        <v>626</v>
      </c>
      <c r="BI114" s="5" t="s">
        <v>626</v>
      </c>
      <c r="BJ114" s="102">
        <v>45108</v>
      </c>
      <c r="BK114" s="5">
        <f t="shared" si="43"/>
        <v>31</v>
      </c>
      <c r="BL114" s="5">
        <f t="shared" si="44"/>
        <v>7</v>
      </c>
      <c r="BM114" s="4">
        <f>Modelling_old[[#This Row],[Target E_Grid daily
MWh]]+Modelling_new[[#This Row],[Target E_Grid daily
MWh]]</f>
        <v>37.096774193548384</v>
      </c>
      <c r="BN114" s="4">
        <f>Modelling_old[[#This Row],[Target E_Grid MTD
MWh]]+Modelling_new[[#This Row],[Target E_Grid MTD
MWh]]</f>
        <v>222.58064516129031</v>
      </c>
      <c r="BO114" s="4">
        <f>Modelling_old[[#This Row],[Target E_Grid YTD
MWh]]+Modelling_new[[#This Row],[Target E_Grid YTD
MWh]]</f>
        <v>4592.5806451612953</v>
      </c>
      <c r="BP11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14" s="4">
        <f>SUMIFS(Modelling[Target POA Daily (KWh/m2)],Modelling[Date],"&lt;="&amp;Modelling[[#This Row],[Date]],Modelling[Month Year],Modelling[[#This Row],[Month Year]])</f>
        <v>26.438709677419354</v>
      </c>
      <c r="BR114" s="4">
        <f>SUMIFS(Modelling[Target POA Daily (KWh/m2)],Modelling[Date],"&lt;="&amp;Modelling[[#This Row],[Date]],Modelling[Finacial Year],Modelling[[#This Row],[Finacial Year]])</f>
        <v>581.23870967741868</v>
      </c>
      <c r="BS114" s="9">
        <f>BM114/Modelling[[#This Row],[Comisined DC ]]/BP114</f>
        <v>0.73186713574555806</v>
      </c>
      <c r="BT114" s="9">
        <f>BN114/BQ114/Modelling[[#This Row],[Comisined DC ]]</f>
        <v>0.73186713574555806</v>
      </c>
      <c r="BU114" s="9">
        <f>BO114/BR114/Modelling[[#This Row],[Comisined DC ]]</f>
        <v>0.68689027227523081</v>
      </c>
      <c r="BV114" s="9">
        <f>BM114/(24*Modelling[[#This Row],[Comisined DC ]])</f>
        <v>0.13437238003070329</v>
      </c>
      <c r="BW114" s="9">
        <f>BN114/((COUNTIFS(Modelling[Date],"&lt;="&amp;Modelling[[#This Row],[Date]],Modelling[Month Year],Modelling[[#This Row],[Month Year]])*24*Modelling[[#This Row],[MTD DC Capcity]]))</f>
        <v>0.13437238003070323</v>
      </c>
      <c r="BX114" s="28">
        <f>BO114/((COUNTIFS(Modelling[Date],"&lt;="&amp;Modelling[[#This Row],[Date]],Modelling[Finacial Year],Modelling[[#This Row],[Finacial Year]])*24*Modelling[[#This Row],[MTD DC Capcity]]))</f>
        <v>0.17149794482269154</v>
      </c>
      <c r="BY114" s="4">
        <f>Modelling_old[[#This Row],[DC Capcity]]+Modelling_new[[#This Row],[Comisined DC ]]</f>
        <v>11.5031</v>
      </c>
      <c r="BZ114" s="4">
        <v>0</v>
      </c>
      <c r="CA114" s="4">
        <f>AVERAGEIFS(Modelling[[Comisined DC ]],Modelling[Date],"&lt;="&amp;Modelling[[#This Row],[Date]],Modelling[Month Year],Modelling[[#This Row],[Month Year]])</f>
        <v>11.503100000000002</v>
      </c>
      <c r="CB114" s="4">
        <f>AVERAGEIFS(Modelling[[Comisined DC ]],Modelling[Date],"&lt;="&amp;Modelling[[#This Row],[Date]],Modelling[Finacial Year],Modelling[[#This Row],[Finacial Year]])</f>
        <v>11.503100000000002</v>
      </c>
      <c r="CG114">
        <f t="shared" si="47"/>
        <v>6</v>
      </c>
      <c r="CH114">
        <f t="shared" si="48"/>
        <v>97</v>
      </c>
    </row>
    <row r="115" spans="1:86" x14ac:dyDescent="0.35">
      <c r="A115" s="27">
        <v>45114</v>
      </c>
      <c r="B115" s="5">
        <f>MONTH(Modelling_old[[#This Row],[Date]])</f>
        <v>7</v>
      </c>
      <c r="C115" s="25">
        <f t="shared" si="31"/>
        <v>2024</v>
      </c>
      <c r="D115" s="3">
        <f t="shared" si="32"/>
        <v>2023</v>
      </c>
      <c r="E115" s="3" t="s">
        <v>626</v>
      </c>
      <c r="F115" s="5" t="s">
        <v>626</v>
      </c>
      <c r="G115" s="102">
        <v>45108</v>
      </c>
      <c r="H115" s="5">
        <f t="shared" si="33"/>
        <v>31</v>
      </c>
      <c r="I115" s="5">
        <f t="shared" si="34"/>
        <v>7</v>
      </c>
      <c r="J115" s="4">
        <f t="shared" si="35"/>
        <v>37.096774193548384</v>
      </c>
      <c r="K115" s="4">
        <f>SUM($J$109:J115)</f>
        <v>259.67741935483866</v>
      </c>
      <c r="L115" s="4">
        <f>SUM($J$18:J115)</f>
        <v>4629.6774193548436</v>
      </c>
      <c r="M115" s="4">
        <f t="shared" si="36"/>
        <v>4.4064516129032256</v>
      </c>
      <c r="N115" s="4">
        <f>SUM($M$109:M115)</f>
        <v>30.845161290322579</v>
      </c>
      <c r="O115" s="4">
        <f>SUM($M$18:M115)</f>
        <v>585.64516129032188</v>
      </c>
      <c r="P115" s="9">
        <f t="shared" si="37"/>
        <v>0.73186713574555806</v>
      </c>
      <c r="Q115" s="26">
        <f t="shared" si="49"/>
        <v>0.73186713574555806</v>
      </c>
      <c r="R115" s="26">
        <f t="shared" si="49"/>
        <v>0.6872286826057209</v>
      </c>
      <c r="S115" s="9">
        <f t="shared" si="38"/>
        <v>0.13437238003070329</v>
      </c>
      <c r="T115" s="9">
        <f>K115/((COUNT($K$109:K115))*24*$Q$1)</f>
        <v>0.13437238003070326</v>
      </c>
      <c r="U115" s="28">
        <f>L115/((COUNT($L$18:L115))*24*$Q$1)</f>
        <v>0.17111911252889578</v>
      </c>
      <c r="V115" s="134">
        <v>11.5031</v>
      </c>
      <c r="Y115" s="27">
        <f t="shared" si="45"/>
        <v>45114</v>
      </c>
      <c r="Z115" s="5">
        <f>MONTH(Modelling_new[[#This Row],[Date]])</f>
        <v>7</v>
      </c>
      <c r="AA115" s="25">
        <f>YEAR(Y115)+IF(MONTH(Modelling_new[[#This Row],[Date]])&gt;=4,1,0)</f>
        <v>2024</v>
      </c>
      <c r="AB115" s="3">
        <f t="shared" si="39"/>
        <v>2023</v>
      </c>
      <c r="AC115" s="3" t="s">
        <v>626</v>
      </c>
      <c r="AD115" s="5" t="s">
        <v>626</v>
      </c>
      <c r="AE115" s="102">
        <v>45108</v>
      </c>
      <c r="AF115" s="5">
        <f t="shared" si="40"/>
        <v>31</v>
      </c>
      <c r="AG115" s="5">
        <f t="shared" si="41"/>
        <v>7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BD115" s="27">
        <f t="shared" si="46"/>
        <v>45114</v>
      </c>
      <c r="BE115" s="5">
        <f>MONTH(Modelling[[#This Row],[Date]])</f>
        <v>7</v>
      </c>
      <c r="BF115" s="25">
        <f>YEAR(BD115)+IF(MONTH(Modelling[[#This Row],[Date]])&gt;=4,1,0)</f>
        <v>2024</v>
      </c>
      <c r="BG115" s="3">
        <f t="shared" si="42"/>
        <v>2023</v>
      </c>
      <c r="BH115" s="3" t="s">
        <v>626</v>
      </c>
      <c r="BI115" s="5" t="s">
        <v>626</v>
      </c>
      <c r="BJ115" s="102">
        <v>45108</v>
      </c>
      <c r="BK115" s="5">
        <f t="shared" si="43"/>
        <v>31</v>
      </c>
      <c r="BL115" s="5">
        <f t="shared" si="44"/>
        <v>7</v>
      </c>
      <c r="BM115" s="4">
        <f>Modelling_old[[#This Row],[Target E_Grid daily
MWh]]+Modelling_new[[#This Row],[Target E_Grid daily
MWh]]</f>
        <v>37.096774193548384</v>
      </c>
      <c r="BN115" s="4">
        <f>Modelling_old[[#This Row],[Target E_Grid MTD
MWh]]+Modelling_new[[#This Row],[Target E_Grid MTD
MWh]]</f>
        <v>259.67741935483866</v>
      </c>
      <c r="BO115" s="4">
        <f>Modelling_old[[#This Row],[Target E_Grid YTD
MWh]]+Modelling_new[[#This Row],[Target E_Grid YTD
MWh]]</f>
        <v>4629.6774193548436</v>
      </c>
      <c r="BP11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15" s="4">
        <f>SUMIFS(Modelling[Target POA Daily (KWh/m2)],Modelling[Date],"&lt;="&amp;Modelling[[#This Row],[Date]],Modelling[Month Year],Modelling[[#This Row],[Month Year]])</f>
        <v>30.845161290322579</v>
      </c>
      <c r="BR115" s="4">
        <f>SUMIFS(Modelling[Target POA Daily (KWh/m2)],Modelling[Date],"&lt;="&amp;Modelling[[#This Row],[Date]],Modelling[Finacial Year],Modelling[[#This Row],[Finacial Year]])</f>
        <v>585.64516129032188</v>
      </c>
      <c r="BS115" s="9">
        <f>BM115/Modelling[[#This Row],[Comisined DC ]]/BP115</f>
        <v>0.73186713574555806</v>
      </c>
      <c r="BT115" s="9">
        <f>BN115/BQ115/Modelling[[#This Row],[Comisined DC ]]</f>
        <v>0.73186713574555806</v>
      </c>
      <c r="BU115" s="9">
        <f>BO115/BR115/Modelling[[#This Row],[Comisined DC ]]</f>
        <v>0.6872286826057209</v>
      </c>
      <c r="BV115" s="9">
        <f>BM115/(24*Modelling[[#This Row],[Comisined DC ]])</f>
        <v>0.13437238003070329</v>
      </c>
      <c r="BW115" s="9">
        <f>BN115/((COUNTIFS(Modelling[Date],"&lt;="&amp;Modelling[[#This Row],[Date]],Modelling[Month Year],Modelling[[#This Row],[Month Year]])*24*Modelling[[#This Row],[MTD DC Capcity]]))</f>
        <v>0.13437238003070323</v>
      </c>
      <c r="BX115" s="28">
        <f>BO115/((COUNTIFS(Modelling[Date],"&lt;="&amp;Modelling[[#This Row],[Date]],Modelling[Finacial Year],Modelling[[#This Row],[Finacial Year]])*24*Modelling[[#This Row],[MTD DC Capcity]]))</f>
        <v>0.17111911252889575</v>
      </c>
      <c r="BY115" s="4">
        <f>Modelling_old[[#This Row],[DC Capcity]]+Modelling_new[[#This Row],[Comisined DC ]]</f>
        <v>11.5031</v>
      </c>
      <c r="BZ115" s="4">
        <v>0</v>
      </c>
      <c r="CA115" s="4">
        <f>AVERAGEIFS(Modelling[[Comisined DC ]],Modelling[Date],"&lt;="&amp;Modelling[[#This Row],[Date]],Modelling[Month Year],Modelling[[#This Row],[Month Year]])</f>
        <v>11.503100000000002</v>
      </c>
      <c r="CB115" s="4">
        <f>AVERAGEIFS(Modelling[[Comisined DC ]],Modelling[Date],"&lt;="&amp;Modelling[[#This Row],[Date]],Modelling[Finacial Year],Modelling[[#This Row],[Finacial Year]])</f>
        <v>11.503100000000002</v>
      </c>
      <c r="CG115">
        <f t="shared" si="47"/>
        <v>7</v>
      </c>
      <c r="CH115">
        <f t="shared" si="48"/>
        <v>98</v>
      </c>
    </row>
    <row r="116" spans="1:86" x14ac:dyDescent="0.35">
      <c r="A116" s="27">
        <v>45115</v>
      </c>
      <c r="B116" s="5">
        <f>MONTH(Modelling_old[[#This Row],[Date]])</f>
        <v>7</v>
      </c>
      <c r="C116" s="25">
        <f t="shared" si="31"/>
        <v>2024</v>
      </c>
      <c r="D116" s="3">
        <f t="shared" si="32"/>
        <v>2023</v>
      </c>
      <c r="E116" s="3" t="s">
        <v>626</v>
      </c>
      <c r="F116" s="5" t="s">
        <v>626</v>
      </c>
      <c r="G116" s="102">
        <v>45108</v>
      </c>
      <c r="H116" s="5">
        <f t="shared" si="33"/>
        <v>31</v>
      </c>
      <c r="I116" s="5">
        <f t="shared" si="34"/>
        <v>7</v>
      </c>
      <c r="J116" s="4">
        <f t="shared" si="35"/>
        <v>37.096774193548384</v>
      </c>
      <c r="K116" s="4">
        <f>SUM($J$109:J116)</f>
        <v>296.77419354838707</v>
      </c>
      <c r="L116" s="4">
        <f>SUM($J$18:J116)</f>
        <v>4666.7741935483918</v>
      </c>
      <c r="M116" s="4">
        <f t="shared" si="36"/>
        <v>4.4064516129032256</v>
      </c>
      <c r="N116" s="4">
        <f>SUM($M$109:M116)</f>
        <v>35.251612903225805</v>
      </c>
      <c r="O116" s="4">
        <f>SUM($M$18:M116)</f>
        <v>590.05161290322508</v>
      </c>
      <c r="P116" s="9">
        <f t="shared" si="37"/>
        <v>0.73186713574555806</v>
      </c>
      <c r="Q116" s="26">
        <f t="shared" si="49"/>
        <v>0.73186713574555806</v>
      </c>
      <c r="R116" s="26">
        <f t="shared" si="49"/>
        <v>0.6875620385012633</v>
      </c>
      <c r="S116" s="9">
        <f t="shared" si="38"/>
        <v>0.13437238003070329</v>
      </c>
      <c r="T116" s="9">
        <f>K116/((COUNT($K$109:K116))*24*$Q$1)</f>
        <v>0.13437238003070329</v>
      </c>
      <c r="U116" s="28">
        <f>L116/((COUNT($L$18:L116))*24*$Q$1)</f>
        <v>0.17074793341275241</v>
      </c>
      <c r="V116" s="134">
        <v>11.5031</v>
      </c>
      <c r="Y116" s="27">
        <f t="shared" si="45"/>
        <v>45115</v>
      </c>
      <c r="Z116" s="5">
        <f>MONTH(Modelling_new[[#This Row],[Date]])</f>
        <v>7</v>
      </c>
      <c r="AA116" s="25">
        <f>YEAR(Y116)+IF(MONTH(Modelling_new[[#This Row],[Date]])&gt;=4,1,0)</f>
        <v>2024</v>
      </c>
      <c r="AB116" s="3">
        <f t="shared" si="39"/>
        <v>2023</v>
      </c>
      <c r="AC116" s="3" t="s">
        <v>626</v>
      </c>
      <c r="AD116" s="5" t="s">
        <v>626</v>
      </c>
      <c r="AE116" s="102">
        <v>45108</v>
      </c>
      <c r="AF116" s="5">
        <f t="shared" si="40"/>
        <v>31</v>
      </c>
      <c r="AG116" s="5">
        <f t="shared" si="41"/>
        <v>7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BD116" s="27">
        <f t="shared" si="46"/>
        <v>45115</v>
      </c>
      <c r="BE116" s="5">
        <f>MONTH(Modelling[[#This Row],[Date]])</f>
        <v>7</v>
      </c>
      <c r="BF116" s="25">
        <f>YEAR(BD116)+IF(MONTH(Modelling[[#This Row],[Date]])&gt;=4,1,0)</f>
        <v>2024</v>
      </c>
      <c r="BG116" s="3">
        <f t="shared" si="42"/>
        <v>2023</v>
      </c>
      <c r="BH116" s="3" t="s">
        <v>626</v>
      </c>
      <c r="BI116" s="5" t="s">
        <v>626</v>
      </c>
      <c r="BJ116" s="102">
        <v>45108</v>
      </c>
      <c r="BK116" s="5">
        <f t="shared" si="43"/>
        <v>31</v>
      </c>
      <c r="BL116" s="5">
        <f t="shared" si="44"/>
        <v>7</v>
      </c>
      <c r="BM116" s="4">
        <f>Modelling_old[[#This Row],[Target E_Grid daily
MWh]]+Modelling_new[[#This Row],[Target E_Grid daily
MWh]]</f>
        <v>37.096774193548384</v>
      </c>
      <c r="BN116" s="4">
        <f>Modelling_old[[#This Row],[Target E_Grid MTD
MWh]]+Modelling_new[[#This Row],[Target E_Grid MTD
MWh]]</f>
        <v>296.77419354838707</v>
      </c>
      <c r="BO116" s="4">
        <f>Modelling_old[[#This Row],[Target E_Grid YTD
MWh]]+Modelling_new[[#This Row],[Target E_Grid YTD
MWh]]</f>
        <v>4666.7741935483918</v>
      </c>
      <c r="BP11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16" s="4">
        <f>SUMIFS(Modelling[Target POA Daily (KWh/m2)],Modelling[Date],"&lt;="&amp;Modelling[[#This Row],[Date]],Modelling[Month Year],Modelling[[#This Row],[Month Year]])</f>
        <v>35.251612903225805</v>
      </c>
      <c r="BR116" s="4">
        <f>SUMIFS(Modelling[Target POA Daily (KWh/m2)],Modelling[Date],"&lt;="&amp;Modelling[[#This Row],[Date]],Modelling[Finacial Year],Modelling[[#This Row],[Finacial Year]])</f>
        <v>590.05161290322508</v>
      </c>
      <c r="BS116" s="9">
        <f>BM116/Modelling[[#This Row],[Comisined DC ]]/BP116</f>
        <v>0.73186713574555806</v>
      </c>
      <c r="BT116" s="9">
        <f>BN116/BQ116/Modelling[[#This Row],[Comisined DC ]]</f>
        <v>0.73186713574555806</v>
      </c>
      <c r="BU116" s="9">
        <f>BO116/BR116/Modelling[[#This Row],[Comisined DC ]]</f>
        <v>0.6875620385012633</v>
      </c>
      <c r="BV116" s="9">
        <f>BM116/(24*Modelling[[#This Row],[Comisined DC ]])</f>
        <v>0.13437238003070329</v>
      </c>
      <c r="BW116" s="9">
        <f>BN116/((COUNTIFS(Modelling[Date],"&lt;="&amp;Modelling[[#This Row],[Date]],Modelling[Month Year],Modelling[[#This Row],[Month Year]])*24*Modelling[[#This Row],[MTD DC Capcity]]))</f>
        <v>0.13437238003070326</v>
      </c>
      <c r="BX116" s="28">
        <f>BO116/((COUNTIFS(Modelling[Date],"&lt;="&amp;Modelling[[#This Row],[Date]],Modelling[Finacial Year],Modelling[[#This Row],[Finacial Year]])*24*Modelling[[#This Row],[MTD DC Capcity]]))</f>
        <v>0.17074793341275238</v>
      </c>
      <c r="BY116" s="4">
        <f>Modelling_old[[#This Row],[DC Capcity]]+Modelling_new[[#This Row],[Comisined DC ]]</f>
        <v>11.5031</v>
      </c>
      <c r="BZ116" s="4">
        <v>0</v>
      </c>
      <c r="CA116" s="4">
        <f>AVERAGEIFS(Modelling[[Comisined DC ]],Modelling[Date],"&lt;="&amp;Modelling[[#This Row],[Date]],Modelling[Month Year],Modelling[[#This Row],[Month Year]])</f>
        <v>11.503100000000002</v>
      </c>
      <c r="CB116" s="4">
        <f>AVERAGEIFS(Modelling[[Comisined DC ]],Modelling[Date],"&lt;="&amp;Modelling[[#This Row],[Date]],Modelling[Finacial Year],Modelling[[#This Row],[Finacial Year]])</f>
        <v>11.5031</v>
      </c>
      <c r="CG116">
        <f t="shared" si="47"/>
        <v>8</v>
      </c>
      <c r="CH116">
        <f t="shared" si="48"/>
        <v>99</v>
      </c>
    </row>
    <row r="117" spans="1:86" x14ac:dyDescent="0.35">
      <c r="A117" s="27">
        <v>45116</v>
      </c>
      <c r="B117" s="5">
        <f>MONTH(Modelling_old[[#This Row],[Date]])</f>
        <v>7</v>
      </c>
      <c r="C117" s="25">
        <f t="shared" si="31"/>
        <v>2024</v>
      </c>
      <c r="D117" s="3">
        <f t="shared" si="32"/>
        <v>2023</v>
      </c>
      <c r="E117" s="3" t="s">
        <v>626</v>
      </c>
      <c r="F117" s="5" t="s">
        <v>626</v>
      </c>
      <c r="G117" s="102">
        <v>45108</v>
      </c>
      <c r="H117" s="5">
        <f t="shared" si="33"/>
        <v>31</v>
      </c>
      <c r="I117" s="5">
        <f t="shared" si="34"/>
        <v>7</v>
      </c>
      <c r="J117" s="4">
        <f t="shared" si="35"/>
        <v>37.096774193548384</v>
      </c>
      <c r="K117" s="4">
        <f>SUM($J$109:J117)</f>
        <v>333.87096774193549</v>
      </c>
      <c r="L117" s="4">
        <f>SUM($J$18:J117)</f>
        <v>4703.8709677419401</v>
      </c>
      <c r="M117" s="4">
        <f t="shared" si="36"/>
        <v>4.4064516129032256</v>
      </c>
      <c r="N117" s="4">
        <f>SUM($M$109:M117)</f>
        <v>39.658064516129031</v>
      </c>
      <c r="O117" s="4">
        <f>SUM($M$18:M117)</f>
        <v>594.45806451612827</v>
      </c>
      <c r="P117" s="9">
        <f t="shared" si="37"/>
        <v>0.73186713574555806</v>
      </c>
      <c r="Q117" s="26">
        <f t="shared" si="49"/>
        <v>0.73186713574555817</v>
      </c>
      <c r="R117" s="26">
        <f t="shared" si="49"/>
        <v>0.68789045236065105</v>
      </c>
      <c r="S117" s="9">
        <f t="shared" si="38"/>
        <v>0.13437238003070329</v>
      </c>
      <c r="T117" s="9">
        <f>K117/((COUNT($K$109:K117))*24*$Q$1)</f>
        <v>0.13437238003070326</v>
      </c>
      <c r="U117" s="28">
        <f>L117/((COUNT($L$18:L117))*24*$Q$1)</f>
        <v>0.17038417787893193</v>
      </c>
      <c r="V117" s="134">
        <v>11.5031</v>
      </c>
      <c r="Y117" s="27">
        <f t="shared" si="45"/>
        <v>45116</v>
      </c>
      <c r="Z117" s="5">
        <f>MONTH(Modelling_new[[#This Row],[Date]])</f>
        <v>7</v>
      </c>
      <c r="AA117" s="25">
        <f>YEAR(Y117)+IF(MONTH(Modelling_new[[#This Row],[Date]])&gt;=4,1,0)</f>
        <v>2024</v>
      </c>
      <c r="AB117" s="3">
        <f t="shared" si="39"/>
        <v>2023</v>
      </c>
      <c r="AC117" s="3" t="s">
        <v>626</v>
      </c>
      <c r="AD117" s="5" t="s">
        <v>626</v>
      </c>
      <c r="AE117" s="102">
        <v>45108</v>
      </c>
      <c r="AF117" s="5">
        <f t="shared" si="40"/>
        <v>31</v>
      </c>
      <c r="AG117" s="5">
        <f t="shared" si="41"/>
        <v>7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BD117" s="27">
        <f t="shared" si="46"/>
        <v>45116</v>
      </c>
      <c r="BE117" s="5">
        <f>MONTH(Modelling[[#This Row],[Date]])</f>
        <v>7</v>
      </c>
      <c r="BF117" s="25">
        <f>YEAR(BD117)+IF(MONTH(Modelling[[#This Row],[Date]])&gt;=4,1,0)</f>
        <v>2024</v>
      </c>
      <c r="BG117" s="3">
        <f t="shared" si="42"/>
        <v>2023</v>
      </c>
      <c r="BH117" s="3" t="s">
        <v>626</v>
      </c>
      <c r="BI117" s="5" t="s">
        <v>626</v>
      </c>
      <c r="BJ117" s="102">
        <v>45108</v>
      </c>
      <c r="BK117" s="5">
        <f t="shared" si="43"/>
        <v>31</v>
      </c>
      <c r="BL117" s="5">
        <f t="shared" si="44"/>
        <v>7</v>
      </c>
      <c r="BM117" s="4">
        <f>Modelling_old[[#This Row],[Target E_Grid daily
MWh]]+Modelling_new[[#This Row],[Target E_Grid daily
MWh]]</f>
        <v>37.096774193548384</v>
      </c>
      <c r="BN117" s="4">
        <f>Modelling_old[[#This Row],[Target E_Grid MTD
MWh]]+Modelling_new[[#This Row],[Target E_Grid MTD
MWh]]</f>
        <v>333.87096774193549</v>
      </c>
      <c r="BO117" s="4">
        <f>Modelling_old[[#This Row],[Target E_Grid YTD
MWh]]+Modelling_new[[#This Row],[Target E_Grid YTD
MWh]]</f>
        <v>4703.8709677419401</v>
      </c>
      <c r="BP11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17" s="4">
        <f>SUMIFS(Modelling[Target POA Daily (KWh/m2)],Modelling[Date],"&lt;="&amp;Modelling[[#This Row],[Date]],Modelling[Month Year],Modelling[[#This Row],[Month Year]])</f>
        <v>39.658064516129031</v>
      </c>
      <c r="BR117" s="4">
        <f>SUMIFS(Modelling[Target POA Daily (KWh/m2)],Modelling[Date],"&lt;="&amp;Modelling[[#This Row],[Date]],Modelling[Finacial Year],Modelling[[#This Row],[Finacial Year]])</f>
        <v>594.45806451612827</v>
      </c>
      <c r="BS117" s="9">
        <f>BM117/Modelling[[#This Row],[Comisined DC ]]/BP117</f>
        <v>0.73186713574555806</v>
      </c>
      <c r="BT117" s="9">
        <f>BN117/BQ117/Modelling[[#This Row],[Comisined DC ]]</f>
        <v>0.73186713574555817</v>
      </c>
      <c r="BU117" s="9">
        <f>BO117/BR117/Modelling[[#This Row],[Comisined DC ]]</f>
        <v>0.68789045236065105</v>
      </c>
      <c r="BV117" s="9">
        <f>BM117/(24*Modelling[[#This Row],[Comisined DC ]])</f>
        <v>0.13437238003070329</v>
      </c>
      <c r="BW117" s="9">
        <f>BN117/((COUNTIFS(Modelling[Date],"&lt;="&amp;Modelling[[#This Row],[Date]],Modelling[Month Year],Modelling[[#This Row],[Month Year]])*24*Modelling[[#This Row],[MTD DC Capcity]]))</f>
        <v>0.13437238003070326</v>
      </c>
      <c r="BX117" s="28">
        <f>BO117/((COUNTIFS(Modelling[Date],"&lt;="&amp;Modelling[[#This Row],[Date]],Modelling[Finacial Year],Modelling[[#This Row],[Finacial Year]])*24*Modelling[[#This Row],[MTD DC Capcity]]))</f>
        <v>0.1703841778789319</v>
      </c>
      <c r="BY117" s="4">
        <f>Modelling_old[[#This Row],[DC Capcity]]+Modelling_new[[#This Row],[Comisined DC ]]</f>
        <v>11.5031</v>
      </c>
      <c r="BZ117" s="4">
        <v>0</v>
      </c>
      <c r="CA117" s="4">
        <f>AVERAGEIFS(Modelling[[Comisined DC ]],Modelling[Date],"&lt;="&amp;Modelling[[#This Row],[Date]],Modelling[Month Year],Modelling[[#This Row],[Month Year]])</f>
        <v>11.503100000000002</v>
      </c>
      <c r="CB117" s="4">
        <f>AVERAGEIFS(Modelling[[Comisined DC ]],Modelling[Date],"&lt;="&amp;Modelling[[#This Row],[Date]],Modelling[Finacial Year],Modelling[[#This Row],[Finacial Year]])</f>
        <v>11.5031</v>
      </c>
      <c r="CG117">
        <f t="shared" si="47"/>
        <v>9</v>
      </c>
      <c r="CH117">
        <f t="shared" si="48"/>
        <v>100</v>
      </c>
    </row>
    <row r="118" spans="1:86" x14ac:dyDescent="0.35">
      <c r="A118" s="27">
        <v>45117</v>
      </c>
      <c r="B118" s="5">
        <f>MONTH(Modelling_old[[#This Row],[Date]])</f>
        <v>7</v>
      </c>
      <c r="C118" s="25">
        <f t="shared" si="31"/>
        <v>2024</v>
      </c>
      <c r="D118" s="3">
        <f t="shared" si="32"/>
        <v>2023</v>
      </c>
      <c r="E118" s="3" t="s">
        <v>626</v>
      </c>
      <c r="F118" s="5" t="s">
        <v>626</v>
      </c>
      <c r="G118" s="102">
        <v>45108</v>
      </c>
      <c r="H118" s="5">
        <f t="shared" si="33"/>
        <v>31</v>
      </c>
      <c r="I118" s="5">
        <f t="shared" si="34"/>
        <v>7</v>
      </c>
      <c r="J118" s="4">
        <f t="shared" si="35"/>
        <v>37.096774193548384</v>
      </c>
      <c r="K118" s="4">
        <f>SUM($J$109:J118)</f>
        <v>370.9677419354839</v>
      </c>
      <c r="L118" s="4">
        <f>SUM($J$18:J118)</f>
        <v>4740.9677419354884</v>
      </c>
      <c r="M118" s="4">
        <f t="shared" si="36"/>
        <v>4.4064516129032256</v>
      </c>
      <c r="N118" s="4">
        <f>SUM($M$109:M118)</f>
        <v>44.064516129032256</v>
      </c>
      <c r="O118" s="4">
        <f>SUM($M$18:M118)</f>
        <v>598.86451612903147</v>
      </c>
      <c r="P118" s="9">
        <f t="shared" si="37"/>
        <v>0.73186713574555806</v>
      </c>
      <c r="Q118" s="26">
        <f t="shared" si="49"/>
        <v>0.73186713574555817</v>
      </c>
      <c r="R118" s="26">
        <f t="shared" si="49"/>
        <v>0.68821403327455155</v>
      </c>
      <c r="S118" s="9">
        <f t="shared" si="38"/>
        <v>0.13437238003070329</v>
      </c>
      <c r="T118" s="9">
        <f>K118/((COUNT($K$109:K118))*24*$Q$1)</f>
        <v>0.13437238003070329</v>
      </c>
      <c r="U118" s="28">
        <f>L118/((COUNT($L$18:L118))*24*$Q$1)</f>
        <v>0.17002762542498906</v>
      </c>
      <c r="V118" s="134">
        <v>11.5031</v>
      </c>
      <c r="Y118" s="27">
        <f t="shared" si="45"/>
        <v>45117</v>
      </c>
      <c r="Z118" s="5">
        <f>MONTH(Modelling_new[[#This Row],[Date]])</f>
        <v>7</v>
      </c>
      <c r="AA118" s="25">
        <f>YEAR(Y118)+IF(MONTH(Modelling_new[[#This Row],[Date]])&gt;=4,1,0)</f>
        <v>2024</v>
      </c>
      <c r="AB118" s="3">
        <f t="shared" si="39"/>
        <v>2023</v>
      </c>
      <c r="AC118" s="3" t="s">
        <v>626</v>
      </c>
      <c r="AD118" s="5" t="s">
        <v>626</v>
      </c>
      <c r="AE118" s="102">
        <v>45108</v>
      </c>
      <c r="AF118" s="5">
        <f t="shared" si="40"/>
        <v>31</v>
      </c>
      <c r="AG118" s="5">
        <f t="shared" si="41"/>
        <v>7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BD118" s="27">
        <f t="shared" si="46"/>
        <v>45117</v>
      </c>
      <c r="BE118" s="5">
        <f>MONTH(Modelling[[#This Row],[Date]])</f>
        <v>7</v>
      </c>
      <c r="BF118" s="25">
        <f>YEAR(BD118)+IF(MONTH(Modelling[[#This Row],[Date]])&gt;=4,1,0)</f>
        <v>2024</v>
      </c>
      <c r="BG118" s="3">
        <f t="shared" si="42"/>
        <v>2023</v>
      </c>
      <c r="BH118" s="3" t="s">
        <v>626</v>
      </c>
      <c r="BI118" s="5" t="s">
        <v>626</v>
      </c>
      <c r="BJ118" s="102">
        <v>45108</v>
      </c>
      <c r="BK118" s="5">
        <f t="shared" si="43"/>
        <v>31</v>
      </c>
      <c r="BL118" s="5">
        <f t="shared" si="44"/>
        <v>7</v>
      </c>
      <c r="BM118" s="4">
        <f>Modelling_old[[#This Row],[Target E_Grid daily
MWh]]+Modelling_new[[#This Row],[Target E_Grid daily
MWh]]</f>
        <v>37.096774193548384</v>
      </c>
      <c r="BN118" s="4">
        <f>Modelling_old[[#This Row],[Target E_Grid MTD
MWh]]+Modelling_new[[#This Row],[Target E_Grid MTD
MWh]]</f>
        <v>370.9677419354839</v>
      </c>
      <c r="BO118" s="4">
        <f>Modelling_old[[#This Row],[Target E_Grid YTD
MWh]]+Modelling_new[[#This Row],[Target E_Grid YTD
MWh]]</f>
        <v>4740.9677419354884</v>
      </c>
      <c r="BP11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18" s="4">
        <f>SUMIFS(Modelling[Target POA Daily (KWh/m2)],Modelling[Date],"&lt;="&amp;Modelling[[#This Row],[Date]],Modelling[Month Year],Modelling[[#This Row],[Month Year]])</f>
        <v>44.064516129032256</v>
      </c>
      <c r="BR118" s="4">
        <f>SUMIFS(Modelling[Target POA Daily (KWh/m2)],Modelling[Date],"&lt;="&amp;Modelling[[#This Row],[Date]],Modelling[Finacial Year],Modelling[[#This Row],[Finacial Year]])</f>
        <v>598.86451612903147</v>
      </c>
      <c r="BS118" s="9">
        <f>BM118/Modelling[[#This Row],[Comisined DC ]]/BP118</f>
        <v>0.73186713574555806</v>
      </c>
      <c r="BT118" s="9">
        <f>BN118/BQ118/Modelling[[#This Row],[Comisined DC ]]</f>
        <v>0.73186713574555817</v>
      </c>
      <c r="BU118" s="9">
        <f>BO118/BR118/Modelling[[#This Row],[Comisined DC ]]</f>
        <v>0.68821403327455155</v>
      </c>
      <c r="BV118" s="9">
        <f>BM118/(24*Modelling[[#This Row],[Comisined DC ]])</f>
        <v>0.13437238003070329</v>
      </c>
      <c r="BW118" s="9">
        <f>BN118/((COUNTIFS(Modelling[Date],"&lt;="&amp;Modelling[[#This Row],[Date]],Modelling[Month Year],Modelling[[#This Row],[Month Year]])*24*Modelling[[#This Row],[MTD DC Capcity]]))</f>
        <v>0.13437238003070326</v>
      </c>
      <c r="BX118" s="28">
        <f>BO118/((COUNTIFS(Modelling[Date],"&lt;="&amp;Modelling[[#This Row],[Date]],Modelling[Finacial Year],Modelling[[#This Row],[Finacial Year]])*24*Modelling[[#This Row],[MTD DC Capcity]]))</f>
        <v>0.17002762542498903</v>
      </c>
      <c r="BY118" s="4">
        <f>Modelling_old[[#This Row],[DC Capcity]]+Modelling_new[[#This Row],[Comisined DC ]]</f>
        <v>11.5031</v>
      </c>
      <c r="BZ118" s="4">
        <v>0</v>
      </c>
      <c r="CA118" s="4">
        <f>AVERAGEIFS(Modelling[[Comisined DC ]],Modelling[Date],"&lt;="&amp;Modelling[[#This Row],[Date]],Modelling[Month Year],Modelling[[#This Row],[Month Year]])</f>
        <v>11.503100000000002</v>
      </c>
      <c r="CB118" s="4">
        <f>AVERAGEIFS(Modelling[[Comisined DC ]],Modelling[Date],"&lt;="&amp;Modelling[[#This Row],[Date]],Modelling[Finacial Year],Modelling[[#This Row],[Finacial Year]])</f>
        <v>11.503099999999998</v>
      </c>
      <c r="CG118">
        <f t="shared" si="47"/>
        <v>10</v>
      </c>
      <c r="CH118">
        <f t="shared" si="48"/>
        <v>101</v>
      </c>
    </row>
    <row r="119" spans="1:86" x14ac:dyDescent="0.35">
      <c r="A119" s="27">
        <v>45118</v>
      </c>
      <c r="B119" s="5">
        <f>MONTH(Modelling_old[[#This Row],[Date]])</f>
        <v>7</v>
      </c>
      <c r="C119" s="25">
        <f t="shared" si="31"/>
        <v>2024</v>
      </c>
      <c r="D119" s="3">
        <f t="shared" si="32"/>
        <v>2023</v>
      </c>
      <c r="E119" s="3" t="s">
        <v>626</v>
      </c>
      <c r="F119" s="5" t="s">
        <v>626</v>
      </c>
      <c r="G119" s="102">
        <v>45108</v>
      </c>
      <c r="H119" s="5">
        <f t="shared" si="33"/>
        <v>31</v>
      </c>
      <c r="I119" s="5">
        <f t="shared" si="34"/>
        <v>7</v>
      </c>
      <c r="J119" s="4">
        <f t="shared" si="35"/>
        <v>37.096774193548384</v>
      </c>
      <c r="K119" s="4">
        <f>SUM($J$109:J119)</f>
        <v>408.06451612903231</v>
      </c>
      <c r="L119" s="4">
        <f>SUM($J$18:J119)</f>
        <v>4778.0645161290367</v>
      </c>
      <c r="M119" s="4">
        <f t="shared" si="36"/>
        <v>4.4064516129032256</v>
      </c>
      <c r="N119" s="4">
        <f>SUM($M$109:M119)</f>
        <v>48.470967741935482</v>
      </c>
      <c r="O119" s="4">
        <f>SUM($M$18:M119)</f>
        <v>603.27096774193467</v>
      </c>
      <c r="P119" s="9">
        <f t="shared" si="37"/>
        <v>0.73186713574555806</v>
      </c>
      <c r="Q119" s="26">
        <f t="shared" si="49"/>
        <v>0.73186713574555817</v>
      </c>
      <c r="R119" s="26">
        <f t="shared" si="49"/>
        <v>0.68853288714632266</v>
      </c>
      <c r="S119" s="9">
        <f t="shared" si="38"/>
        <v>0.13437238003070329</v>
      </c>
      <c r="T119" s="9">
        <f>K119/((COUNT($K$109:K119))*24*$Q$1)</f>
        <v>0.13437238003070329</v>
      </c>
      <c r="U119" s="28">
        <f>L119/((COUNT($L$18:L119))*24*$Q$1)</f>
        <v>0.1696780641956333</v>
      </c>
      <c r="V119" s="134">
        <v>11.5031</v>
      </c>
      <c r="Y119" s="27">
        <f t="shared" si="45"/>
        <v>45118</v>
      </c>
      <c r="Z119" s="5">
        <f>MONTH(Modelling_new[[#This Row],[Date]])</f>
        <v>7</v>
      </c>
      <c r="AA119" s="25">
        <f>YEAR(Y119)+IF(MONTH(Modelling_new[[#This Row],[Date]])&gt;=4,1,0)</f>
        <v>2024</v>
      </c>
      <c r="AB119" s="3">
        <f t="shared" si="39"/>
        <v>2023</v>
      </c>
      <c r="AC119" s="3" t="s">
        <v>626</v>
      </c>
      <c r="AD119" s="5" t="s">
        <v>626</v>
      </c>
      <c r="AE119" s="102">
        <v>45108</v>
      </c>
      <c r="AF119" s="5">
        <f t="shared" si="40"/>
        <v>31</v>
      </c>
      <c r="AG119" s="5">
        <f t="shared" si="41"/>
        <v>7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BD119" s="27">
        <f t="shared" si="46"/>
        <v>45118</v>
      </c>
      <c r="BE119" s="5">
        <f>MONTH(Modelling[[#This Row],[Date]])</f>
        <v>7</v>
      </c>
      <c r="BF119" s="25">
        <f>YEAR(BD119)+IF(MONTH(Modelling[[#This Row],[Date]])&gt;=4,1,0)</f>
        <v>2024</v>
      </c>
      <c r="BG119" s="3">
        <f t="shared" si="42"/>
        <v>2023</v>
      </c>
      <c r="BH119" s="3" t="s">
        <v>626</v>
      </c>
      <c r="BI119" s="5" t="s">
        <v>626</v>
      </c>
      <c r="BJ119" s="102">
        <v>45108</v>
      </c>
      <c r="BK119" s="5">
        <f t="shared" si="43"/>
        <v>31</v>
      </c>
      <c r="BL119" s="5">
        <f t="shared" si="44"/>
        <v>7</v>
      </c>
      <c r="BM119" s="4">
        <f>Modelling_old[[#This Row],[Target E_Grid daily
MWh]]+Modelling_new[[#This Row],[Target E_Grid daily
MWh]]</f>
        <v>37.096774193548384</v>
      </c>
      <c r="BN119" s="4">
        <f>Modelling_old[[#This Row],[Target E_Grid MTD
MWh]]+Modelling_new[[#This Row],[Target E_Grid MTD
MWh]]</f>
        <v>408.06451612903231</v>
      </c>
      <c r="BO119" s="4">
        <f>Modelling_old[[#This Row],[Target E_Grid YTD
MWh]]+Modelling_new[[#This Row],[Target E_Grid YTD
MWh]]</f>
        <v>4778.0645161290367</v>
      </c>
      <c r="BP11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19" s="4">
        <f>SUMIFS(Modelling[Target POA Daily (KWh/m2)],Modelling[Date],"&lt;="&amp;Modelling[[#This Row],[Date]],Modelling[Month Year],Modelling[[#This Row],[Month Year]])</f>
        <v>48.470967741935482</v>
      </c>
      <c r="BR119" s="4">
        <f>SUMIFS(Modelling[Target POA Daily (KWh/m2)],Modelling[Date],"&lt;="&amp;Modelling[[#This Row],[Date]],Modelling[Finacial Year],Modelling[[#This Row],[Finacial Year]])</f>
        <v>603.27096774193467</v>
      </c>
      <c r="BS119" s="9">
        <f>BM119/Modelling[[#This Row],[Comisined DC ]]/BP119</f>
        <v>0.73186713574555806</v>
      </c>
      <c r="BT119" s="9">
        <f>BN119/BQ119/Modelling[[#This Row],[Comisined DC ]]</f>
        <v>0.73186713574555817</v>
      </c>
      <c r="BU119" s="9">
        <f>BO119/BR119/Modelling[[#This Row],[Comisined DC ]]</f>
        <v>0.68853288714632266</v>
      </c>
      <c r="BV119" s="9">
        <f>BM119/(24*Modelling[[#This Row],[Comisined DC ]])</f>
        <v>0.13437238003070329</v>
      </c>
      <c r="BW119" s="9">
        <f>BN119/((COUNTIFS(Modelling[Date],"&lt;="&amp;Modelling[[#This Row],[Date]],Modelling[Month Year],Modelling[[#This Row],[Month Year]])*24*Modelling[[#This Row],[MTD DC Capcity]]))</f>
        <v>0.13437238003070326</v>
      </c>
      <c r="BX119" s="28">
        <f>BO119/((COUNTIFS(Modelling[Date],"&lt;="&amp;Modelling[[#This Row],[Date]],Modelling[Finacial Year],Modelling[[#This Row],[Finacial Year]])*24*Modelling[[#This Row],[MTD DC Capcity]]))</f>
        <v>0.16967806419563328</v>
      </c>
      <c r="BY119" s="4">
        <f>Modelling_old[[#This Row],[DC Capcity]]+Modelling_new[[#This Row],[Comisined DC ]]</f>
        <v>11.5031</v>
      </c>
      <c r="BZ119" s="4">
        <v>0</v>
      </c>
      <c r="CA119" s="4">
        <f>AVERAGEIFS(Modelling[[Comisined DC ]],Modelling[Date],"&lt;="&amp;Modelling[[#This Row],[Date]],Modelling[Month Year],Modelling[[#This Row],[Month Year]])</f>
        <v>11.503100000000002</v>
      </c>
      <c r="CB119" s="4">
        <f>AVERAGEIFS(Modelling[[Comisined DC ]],Modelling[Date],"&lt;="&amp;Modelling[[#This Row],[Date]],Modelling[Finacial Year],Modelling[[#This Row],[Finacial Year]])</f>
        <v>11.503099999999998</v>
      </c>
      <c r="CG119">
        <f t="shared" si="47"/>
        <v>11</v>
      </c>
      <c r="CH119">
        <f t="shared" si="48"/>
        <v>102</v>
      </c>
    </row>
    <row r="120" spans="1:86" x14ac:dyDescent="0.35">
      <c r="A120" s="27">
        <v>45119</v>
      </c>
      <c r="B120" s="5">
        <f>MONTH(Modelling_old[[#This Row],[Date]])</f>
        <v>7</v>
      </c>
      <c r="C120" s="25">
        <f t="shared" si="31"/>
        <v>2024</v>
      </c>
      <c r="D120" s="3">
        <f t="shared" si="32"/>
        <v>2023</v>
      </c>
      <c r="E120" s="3" t="s">
        <v>626</v>
      </c>
      <c r="F120" s="5" t="s">
        <v>626</v>
      </c>
      <c r="G120" s="102">
        <v>45108</v>
      </c>
      <c r="H120" s="5">
        <f t="shared" si="33"/>
        <v>31</v>
      </c>
      <c r="I120" s="5">
        <f t="shared" si="34"/>
        <v>7</v>
      </c>
      <c r="J120" s="4">
        <f t="shared" si="35"/>
        <v>37.096774193548384</v>
      </c>
      <c r="K120" s="4">
        <f>SUM($J$109:J120)</f>
        <v>445.16129032258073</v>
      </c>
      <c r="L120" s="4">
        <f>SUM($J$18:J120)</f>
        <v>4815.161290322585</v>
      </c>
      <c r="M120" s="4">
        <f t="shared" si="36"/>
        <v>4.4064516129032256</v>
      </c>
      <c r="N120" s="4">
        <f>SUM($M$109:M120)</f>
        <v>52.877419354838707</v>
      </c>
      <c r="O120" s="4">
        <f>SUM($M$18:M120)</f>
        <v>607.67741935483787</v>
      </c>
      <c r="P120" s="9">
        <f t="shared" si="37"/>
        <v>0.73186713574555806</v>
      </c>
      <c r="Q120" s="26">
        <f t="shared" si="49"/>
        <v>0.73186713574555817</v>
      </c>
      <c r="R120" s="26">
        <f t="shared" si="49"/>
        <v>0.68884711680757416</v>
      </c>
      <c r="S120" s="9">
        <f t="shared" si="38"/>
        <v>0.13437238003070329</v>
      </c>
      <c r="T120" s="9">
        <f>K120/((COUNT($K$109:K120))*24*$Q$1)</f>
        <v>0.13437238003070329</v>
      </c>
      <c r="U120" s="28">
        <f>L120/((COUNT($L$18:L120))*24*$Q$1)</f>
        <v>0.16933529056296409</v>
      </c>
      <c r="V120" s="134">
        <v>11.5031</v>
      </c>
      <c r="Y120" s="27">
        <f t="shared" si="45"/>
        <v>45119</v>
      </c>
      <c r="Z120" s="5">
        <f>MONTH(Modelling_new[[#This Row],[Date]])</f>
        <v>7</v>
      </c>
      <c r="AA120" s="25">
        <f>YEAR(Y120)+IF(MONTH(Modelling_new[[#This Row],[Date]])&gt;=4,1,0)</f>
        <v>2024</v>
      </c>
      <c r="AB120" s="3">
        <f t="shared" si="39"/>
        <v>2023</v>
      </c>
      <c r="AC120" s="3" t="s">
        <v>626</v>
      </c>
      <c r="AD120" s="5" t="s">
        <v>626</v>
      </c>
      <c r="AE120" s="102">
        <v>45108</v>
      </c>
      <c r="AF120" s="5">
        <f t="shared" si="40"/>
        <v>31</v>
      </c>
      <c r="AG120" s="5">
        <f t="shared" si="41"/>
        <v>7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BD120" s="27">
        <f t="shared" si="46"/>
        <v>45119</v>
      </c>
      <c r="BE120" s="5">
        <f>MONTH(Modelling[[#This Row],[Date]])</f>
        <v>7</v>
      </c>
      <c r="BF120" s="25">
        <f>YEAR(BD120)+IF(MONTH(Modelling[[#This Row],[Date]])&gt;=4,1,0)</f>
        <v>2024</v>
      </c>
      <c r="BG120" s="3">
        <f t="shared" si="42"/>
        <v>2023</v>
      </c>
      <c r="BH120" s="3" t="s">
        <v>626</v>
      </c>
      <c r="BI120" s="5" t="s">
        <v>626</v>
      </c>
      <c r="BJ120" s="102">
        <v>45108</v>
      </c>
      <c r="BK120" s="5">
        <f t="shared" si="43"/>
        <v>31</v>
      </c>
      <c r="BL120" s="5">
        <f t="shared" si="44"/>
        <v>7</v>
      </c>
      <c r="BM120" s="4">
        <f>Modelling_old[[#This Row],[Target E_Grid daily
MWh]]+Modelling_new[[#This Row],[Target E_Grid daily
MWh]]</f>
        <v>37.096774193548384</v>
      </c>
      <c r="BN120" s="4">
        <f>Modelling_old[[#This Row],[Target E_Grid MTD
MWh]]+Modelling_new[[#This Row],[Target E_Grid MTD
MWh]]</f>
        <v>445.16129032258073</v>
      </c>
      <c r="BO120" s="4">
        <f>Modelling_old[[#This Row],[Target E_Grid YTD
MWh]]+Modelling_new[[#This Row],[Target E_Grid YTD
MWh]]</f>
        <v>4815.161290322585</v>
      </c>
      <c r="BP12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20" s="4">
        <f>SUMIFS(Modelling[Target POA Daily (KWh/m2)],Modelling[Date],"&lt;="&amp;Modelling[[#This Row],[Date]],Modelling[Month Year],Modelling[[#This Row],[Month Year]])</f>
        <v>52.877419354838707</v>
      </c>
      <c r="BR120" s="4">
        <f>SUMIFS(Modelling[Target POA Daily (KWh/m2)],Modelling[Date],"&lt;="&amp;Modelling[[#This Row],[Date]],Modelling[Finacial Year],Modelling[[#This Row],[Finacial Year]])</f>
        <v>607.67741935483787</v>
      </c>
      <c r="BS120" s="9">
        <f>BM120/Modelling[[#This Row],[Comisined DC ]]/BP120</f>
        <v>0.73186713574555806</v>
      </c>
      <c r="BT120" s="9">
        <f>BN120/BQ120/Modelling[[#This Row],[Comisined DC ]]</f>
        <v>0.73186713574555817</v>
      </c>
      <c r="BU120" s="9">
        <f>BO120/BR120/Modelling[[#This Row],[Comisined DC ]]</f>
        <v>0.68884711680757416</v>
      </c>
      <c r="BV120" s="9">
        <f>BM120/(24*Modelling[[#This Row],[Comisined DC ]])</f>
        <v>0.13437238003070329</v>
      </c>
      <c r="BW120" s="9">
        <f>BN120/((COUNTIFS(Modelling[Date],"&lt;="&amp;Modelling[[#This Row],[Date]],Modelling[Month Year],Modelling[[#This Row],[Month Year]])*24*Modelling[[#This Row],[MTD DC Capcity]]))</f>
        <v>0.13437238003070329</v>
      </c>
      <c r="BX120" s="28">
        <f>BO120/((COUNTIFS(Modelling[Date],"&lt;="&amp;Modelling[[#This Row],[Date]],Modelling[Finacial Year],Modelling[[#This Row],[Finacial Year]])*24*Modelling[[#This Row],[MTD DC Capcity]]))</f>
        <v>0.16933529056296406</v>
      </c>
      <c r="BY120" s="4">
        <f>Modelling_old[[#This Row],[DC Capcity]]+Modelling_new[[#This Row],[Comisined DC ]]</f>
        <v>11.5031</v>
      </c>
      <c r="BZ120" s="4">
        <v>0</v>
      </c>
      <c r="CA120" s="4">
        <f>AVERAGEIFS(Modelling[[Comisined DC ]],Modelling[Date],"&lt;="&amp;Modelling[[#This Row],[Date]],Modelling[Month Year],Modelling[[#This Row],[Month Year]])</f>
        <v>11.503100000000002</v>
      </c>
      <c r="CB120" s="4">
        <f>AVERAGEIFS(Modelling[[Comisined DC ]],Modelling[Date],"&lt;="&amp;Modelling[[#This Row],[Date]],Modelling[Finacial Year],Modelling[[#This Row],[Finacial Year]])</f>
        <v>11.503099999999996</v>
      </c>
      <c r="CG120">
        <f t="shared" si="47"/>
        <v>12</v>
      </c>
      <c r="CH120">
        <f t="shared" si="48"/>
        <v>103</v>
      </c>
    </row>
    <row r="121" spans="1:86" x14ac:dyDescent="0.35">
      <c r="A121" s="27">
        <v>45120</v>
      </c>
      <c r="B121" s="5">
        <f>MONTH(Modelling_old[[#This Row],[Date]])</f>
        <v>7</v>
      </c>
      <c r="C121" s="25">
        <f t="shared" si="31"/>
        <v>2024</v>
      </c>
      <c r="D121" s="3">
        <f t="shared" si="32"/>
        <v>2023</v>
      </c>
      <c r="E121" s="3" t="s">
        <v>626</v>
      </c>
      <c r="F121" s="5" t="s">
        <v>626</v>
      </c>
      <c r="G121" s="102">
        <v>45108</v>
      </c>
      <c r="H121" s="5">
        <f t="shared" si="33"/>
        <v>31</v>
      </c>
      <c r="I121" s="5">
        <f t="shared" si="34"/>
        <v>7</v>
      </c>
      <c r="J121" s="4">
        <f t="shared" si="35"/>
        <v>37.096774193548384</v>
      </c>
      <c r="K121" s="4">
        <f>SUM($J$109:J121)</f>
        <v>482.25806451612914</v>
      </c>
      <c r="L121" s="4">
        <f>SUM($J$18:J121)</f>
        <v>4852.2580645161333</v>
      </c>
      <c r="M121" s="4">
        <f t="shared" si="36"/>
        <v>4.4064516129032256</v>
      </c>
      <c r="N121" s="4">
        <f>SUM($M$109:M121)</f>
        <v>57.283870967741933</v>
      </c>
      <c r="O121" s="4">
        <f>SUM($M$18:M121)</f>
        <v>612.08387096774106</v>
      </c>
      <c r="P121" s="9">
        <f t="shared" si="37"/>
        <v>0.73186713574555806</v>
      </c>
      <c r="Q121" s="26">
        <f t="shared" si="49"/>
        <v>0.73186713574555828</v>
      </c>
      <c r="R121" s="26">
        <f t="shared" si="49"/>
        <v>0.68915682212873663</v>
      </c>
      <c r="S121" s="9">
        <f t="shared" si="38"/>
        <v>0.13437238003070329</v>
      </c>
      <c r="T121" s="9">
        <f>K121/((COUNT($K$109:K121))*24*$Q$1)</f>
        <v>0.13437238003070329</v>
      </c>
      <c r="U121" s="28">
        <f>L121/((COUNT($L$18:L121))*24*$Q$1)</f>
        <v>0.16899910873092311</v>
      </c>
      <c r="V121" s="134">
        <v>11.5031</v>
      </c>
      <c r="Y121" s="27">
        <f t="shared" si="45"/>
        <v>45120</v>
      </c>
      <c r="Z121" s="5">
        <f>MONTH(Modelling_new[[#This Row],[Date]])</f>
        <v>7</v>
      </c>
      <c r="AA121" s="25">
        <f>YEAR(Y121)+IF(MONTH(Modelling_new[[#This Row],[Date]])&gt;=4,1,0)</f>
        <v>2024</v>
      </c>
      <c r="AB121" s="3">
        <f t="shared" si="39"/>
        <v>2023</v>
      </c>
      <c r="AC121" s="3" t="s">
        <v>626</v>
      </c>
      <c r="AD121" s="5" t="s">
        <v>626</v>
      </c>
      <c r="AE121" s="102">
        <v>45108</v>
      </c>
      <c r="AF121" s="5">
        <f t="shared" si="40"/>
        <v>31</v>
      </c>
      <c r="AG121" s="5">
        <f t="shared" si="41"/>
        <v>7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BD121" s="27">
        <f t="shared" si="46"/>
        <v>45120</v>
      </c>
      <c r="BE121" s="5">
        <f>MONTH(Modelling[[#This Row],[Date]])</f>
        <v>7</v>
      </c>
      <c r="BF121" s="25">
        <f>YEAR(BD121)+IF(MONTH(Modelling[[#This Row],[Date]])&gt;=4,1,0)</f>
        <v>2024</v>
      </c>
      <c r="BG121" s="3">
        <f t="shared" si="42"/>
        <v>2023</v>
      </c>
      <c r="BH121" s="3" t="s">
        <v>626</v>
      </c>
      <c r="BI121" s="5" t="s">
        <v>626</v>
      </c>
      <c r="BJ121" s="102">
        <v>45108</v>
      </c>
      <c r="BK121" s="5">
        <f t="shared" si="43"/>
        <v>31</v>
      </c>
      <c r="BL121" s="5">
        <f t="shared" si="44"/>
        <v>7</v>
      </c>
      <c r="BM121" s="4">
        <f>Modelling_old[[#This Row],[Target E_Grid daily
MWh]]+Modelling_new[[#This Row],[Target E_Grid daily
MWh]]</f>
        <v>37.096774193548384</v>
      </c>
      <c r="BN121" s="4">
        <f>Modelling_old[[#This Row],[Target E_Grid MTD
MWh]]+Modelling_new[[#This Row],[Target E_Grid MTD
MWh]]</f>
        <v>482.25806451612914</v>
      </c>
      <c r="BO121" s="4">
        <f>Modelling_old[[#This Row],[Target E_Grid YTD
MWh]]+Modelling_new[[#This Row],[Target E_Grid YTD
MWh]]</f>
        <v>4852.2580645161333</v>
      </c>
      <c r="BP12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21" s="4">
        <f>SUMIFS(Modelling[Target POA Daily (KWh/m2)],Modelling[Date],"&lt;="&amp;Modelling[[#This Row],[Date]],Modelling[Month Year],Modelling[[#This Row],[Month Year]])</f>
        <v>57.283870967741933</v>
      </c>
      <c r="BR121" s="4">
        <f>SUMIFS(Modelling[Target POA Daily (KWh/m2)],Modelling[Date],"&lt;="&amp;Modelling[[#This Row],[Date]],Modelling[Finacial Year],Modelling[[#This Row],[Finacial Year]])</f>
        <v>612.08387096774106</v>
      </c>
      <c r="BS121" s="9">
        <f>BM121/Modelling[[#This Row],[Comisined DC ]]/BP121</f>
        <v>0.73186713574555806</v>
      </c>
      <c r="BT121" s="9">
        <f>BN121/BQ121/Modelling[[#This Row],[Comisined DC ]]</f>
        <v>0.73186713574555828</v>
      </c>
      <c r="BU121" s="9">
        <f>BO121/BR121/Modelling[[#This Row],[Comisined DC ]]</f>
        <v>0.68915682212873663</v>
      </c>
      <c r="BV121" s="9">
        <f>BM121/(24*Modelling[[#This Row],[Comisined DC ]])</f>
        <v>0.13437238003070329</v>
      </c>
      <c r="BW121" s="9">
        <f>BN121/((COUNTIFS(Modelling[Date],"&lt;="&amp;Modelling[[#This Row],[Date]],Modelling[Month Year],Modelling[[#This Row],[Month Year]])*24*Modelling[[#This Row],[MTD DC Capcity]]))</f>
        <v>0.13437238003070329</v>
      </c>
      <c r="BX121" s="28">
        <f>BO121/((COUNTIFS(Modelling[Date],"&lt;="&amp;Modelling[[#This Row],[Date]],Modelling[Finacial Year],Modelling[[#This Row],[Finacial Year]])*24*Modelling[[#This Row],[MTD DC Capcity]]))</f>
        <v>0.16899910873092311</v>
      </c>
      <c r="BY121" s="4">
        <f>Modelling_old[[#This Row],[DC Capcity]]+Modelling_new[[#This Row],[Comisined DC ]]</f>
        <v>11.5031</v>
      </c>
      <c r="BZ121" s="4">
        <v>0</v>
      </c>
      <c r="CA121" s="4">
        <f>AVERAGEIFS(Modelling[[Comisined DC ]],Modelling[Date],"&lt;="&amp;Modelling[[#This Row],[Date]],Modelling[Month Year],Modelling[[#This Row],[Month Year]])</f>
        <v>11.5031</v>
      </c>
      <c r="CB121" s="4">
        <f>AVERAGEIFS(Modelling[[Comisined DC ]],Modelling[Date],"&lt;="&amp;Modelling[[#This Row],[Date]],Modelling[Finacial Year],Modelling[[#This Row],[Finacial Year]])</f>
        <v>11.503099999999996</v>
      </c>
      <c r="CG121">
        <f t="shared" si="47"/>
        <v>13</v>
      </c>
      <c r="CH121">
        <f t="shared" si="48"/>
        <v>104</v>
      </c>
    </row>
    <row r="122" spans="1:86" x14ac:dyDescent="0.35">
      <c r="A122" s="27">
        <v>45121</v>
      </c>
      <c r="B122" s="5">
        <f>MONTH(Modelling_old[[#This Row],[Date]])</f>
        <v>7</v>
      </c>
      <c r="C122" s="25">
        <f t="shared" si="31"/>
        <v>2024</v>
      </c>
      <c r="D122" s="3">
        <f t="shared" si="32"/>
        <v>2023</v>
      </c>
      <c r="E122" s="3" t="s">
        <v>626</v>
      </c>
      <c r="F122" s="5" t="s">
        <v>626</v>
      </c>
      <c r="G122" s="102">
        <v>45108</v>
      </c>
      <c r="H122" s="5">
        <f t="shared" si="33"/>
        <v>31</v>
      </c>
      <c r="I122" s="5">
        <f t="shared" si="34"/>
        <v>7</v>
      </c>
      <c r="J122" s="4">
        <f t="shared" si="35"/>
        <v>37.096774193548384</v>
      </c>
      <c r="K122" s="4">
        <f>SUM($J$109:J122)</f>
        <v>519.35483870967755</v>
      </c>
      <c r="L122" s="4">
        <f>SUM($J$18:J122)</f>
        <v>4889.3548387096816</v>
      </c>
      <c r="M122" s="4">
        <f t="shared" si="36"/>
        <v>4.4064516129032256</v>
      </c>
      <c r="N122" s="4">
        <f>SUM($M$109:M122)</f>
        <v>61.690322580645159</v>
      </c>
      <c r="O122" s="4">
        <f>SUM($M$18:M122)</f>
        <v>616.49032258064426</v>
      </c>
      <c r="P122" s="9">
        <f t="shared" si="37"/>
        <v>0.73186713574555806</v>
      </c>
      <c r="Q122" s="26">
        <f t="shared" si="49"/>
        <v>0.73186713574555828</v>
      </c>
      <c r="R122" s="26">
        <f t="shared" si="49"/>
        <v>0.68946210012488851</v>
      </c>
      <c r="S122" s="9">
        <f t="shared" si="38"/>
        <v>0.13437238003070329</v>
      </c>
      <c r="T122" s="9">
        <f>K122/((COUNT($K$109:K122))*24*$Q$1)</f>
        <v>0.13437238003070331</v>
      </c>
      <c r="U122" s="28">
        <f>L122/((COUNT($L$18:L122))*24*$Q$1)</f>
        <v>0.1686693303623496</v>
      </c>
      <c r="V122" s="134">
        <v>11.5031</v>
      </c>
      <c r="Y122" s="27">
        <f t="shared" si="45"/>
        <v>45121</v>
      </c>
      <c r="Z122" s="5">
        <f>MONTH(Modelling_new[[#This Row],[Date]])</f>
        <v>7</v>
      </c>
      <c r="AA122" s="25">
        <f>YEAR(Y122)+IF(MONTH(Modelling_new[[#This Row],[Date]])&gt;=4,1,0)</f>
        <v>2024</v>
      </c>
      <c r="AB122" s="3">
        <f t="shared" si="39"/>
        <v>2023</v>
      </c>
      <c r="AC122" s="3" t="s">
        <v>626</v>
      </c>
      <c r="AD122" s="5" t="s">
        <v>626</v>
      </c>
      <c r="AE122" s="102">
        <v>45108</v>
      </c>
      <c r="AF122" s="5">
        <f t="shared" si="40"/>
        <v>31</v>
      </c>
      <c r="AG122" s="5">
        <f t="shared" si="41"/>
        <v>7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BD122" s="27">
        <f t="shared" si="46"/>
        <v>45121</v>
      </c>
      <c r="BE122" s="5">
        <f>MONTH(Modelling[[#This Row],[Date]])</f>
        <v>7</v>
      </c>
      <c r="BF122" s="25">
        <f>YEAR(BD122)+IF(MONTH(Modelling[[#This Row],[Date]])&gt;=4,1,0)</f>
        <v>2024</v>
      </c>
      <c r="BG122" s="3">
        <f t="shared" si="42"/>
        <v>2023</v>
      </c>
      <c r="BH122" s="3" t="s">
        <v>626</v>
      </c>
      <c r="BI122" s="5" t="s">
        <v>626</v>
      </c>
      <c r="BJ122" s="102">
        <v>45108</v>
      </c>
      <c r="BK122" s="5">
        <f t="shared" si="43"/>
        <v>31</v>
      </c>
      <c r="BL122" s="5">
        <f t="shared" si="44"/>
        <v>7</v>
      </c>
      <c r="BM122" s="4">
        <f>Modelling_old[[#This Row],[Target E_Grid daily
MWh]]+Modelling_new[[#This Row],[Target E_Grid daily
MWh]]</f>
        <v>37.096774193548384</v>
      </c>
      <c r="BN122" s="4">
        <f>Modelling_old[[#This Row],[Target E_Grid MTD
MWh]]+Modelling_new[[#This Row],[Target E_Grid MTD
MWh]]</f>
        <v>519.35483870967755</v>
      </c>
      <c r="BO122" s="4">
        <f>Modelling_old[[#This Row],[Target E_Grid YTD
MWh]]+Modelling_new[[#This Row],[Target E_Grid YTD
MWh]]</f>
        <v>4889.3548387096816</v>
      </c>
      <c r="BP12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22" s="4">
        <f>SUMIFS(Modelling[Target POA Daily (KWh/m2)],Modelling[Date],"&lt;="&amp;Modelling[[#This Row],[Date]],Modelling[Month Year],Modelling[[#This Row],[Month Year]])</f>
        <v>61.690322580645159</v>
      </c>
      <c r="BR122" s="4">
        <f>SUMIFS(Modelling[Target POA Daily (KWh/m2)],Modelling[Date],"&lt;="&amp;Modelling[[#This Row],[Date]],Modelling[Finacial Year],Modelling[[#This Row],[Finacial Year]])</f>
        <v>616.49032258064426</v>
      </c>
      <c r="BS122" s="9">
        <f>BM122/Modelling[[#This Row],[Comisined DC ]]/BP122</f>
        <v>0.73186713574555806</v>
      </c>
      <c r="BT122" s="9">
        <f>BN122/BQ122/Modelling[[#This Row],[Comisined DC ]]</f>
        <v>0.73186713574555828</v>
      </c>
      <c r="BU122" s="9">
        <f>BO122/BR122/Modelling[[#This Row],[Comisined DC ]]</f>
        <v>0.68946210012488851</v>
      </c>
      <c r="BV122" s="9">
        <f>BM122/(24*Modelling[[#This Row],[Comisined DC ]])</f>
        <v>0.13437238003070329</v>
      </c>
      <c r="BW122" s="9">
        <f>BN122/((COUNTIFS(Modelling[Date],"&lt;="&amp;Modelling[[#This Row],[Date]],Modelling[Month Year],Modelling[[#This Row],[Month Year]])*24*Modelling[[#This Row],[MTD DC Capcity]]))</f>
        <v>0.13437238003070331</v>
      </c>
      <c r="BX122" s="28">
        <f>BO122/((COUNTIFS(Modelling[Date],"&lt;="&amp;Modelling[[#This Row],[Date]],Modelling[Finacial Year],Modelling[[#This Row],[Finacial Year]])*24*Modelling[[#This Row],[MTD DC Capcity]]))</f>
        <v>0.1686693303623496</v>
      </c>
      <c r="BY122" s="4">
        <f>Modelling_old[[#This Row],[DC Capcity]]+Modelling_new[[#This Row],[Comisined DC ]]</f>
        <v>11.5031</v>
      </c>
      <c r="BZ122" s="4">
        <v>0</v>
      </c>
      <c r="CA122" s="4">
        <f>AVERAGEIFS(Modelling[[Comisined DC ]],Modelling[Date],"&lt;="&amp;Modelling[[#This Row],[Date]],Modelling[Month Year],Modelling[[#This Row],[Month Year]])</f>
        <v>11.5031</v>
      </c>
      <c r="CB122" s="4">
        <f>AVERAGEIFS(Modelling[[Comisined DC ]],Modelling[Date],"&lt;="&amp;Modelling[[#This Row],[Date]],Modelling[Finacial Year],Modelling[[#This Row],[Finacial Year]])</f>
        <v>11.503099999999995</v>
      </c>
      <c r="CG122">
        <f t="shared" si="47"/>
        <v>14</v>
      </c>
      <c r="CH122">
        <f t="shared" si="48"/>
        <v>105</v>
      </c>
    </row>
    <row r="123" spans="1:86" x14ac:dyDescent="0.35">
      <c r="A123" s="27">
        <v>45122</v>
      </c>
      <c r="B123" s="5">
        <f>MONTH(Modelling_old[[#This Row],[Date]])</f>
        <v>7</v>
      </c>
      <c r="C123" s="25">
        <f t="shared" si="31"/>
        <v>2024</v>
      </c>
      <c r="D123" s="3">
        <f t="shared" si="32"/>
        <v>2023</v>
      </c>
      <c r="E123" s="3" t="s">
        <v>626</v>
      </c>
      <c r="F123" s="5" t="s">
        <v>626</v>
      </c>
      <c r="G123" s="102">
        <v>45108</v>
      </c>
      <c r="H123" s="5">
        <f t="shared" si="33"/>
        <v>31</v>
      </c>
      <c r="I123" s="5">
        <f t="shared" si="34"/>
        <v>7</v>
      </c>
      <c r="J123" s="4">
        <f t="shared" si="35"/>
        <v>37.096774193548384</v>
      </c>
      <c r="K123" s="4">
        <f>SUM($J$109:J123)</f>
        <v>556.45161290322596</v>
      </c>
      <c r="L123" s="4">
        <f>SUM($J$18:J123)</f>
        <v>4926.4516129032299</v>
      </c>
      <c r="M123" s="4">
        <f t="shared" si="36"/>
        <v>4.4064516129032256</v>
      </c>
      <c r="N123" s="4">
        <f>SUM($M$109:M123)</f>
        <v>66.096774193548384</v>
      </c>
      <c r="O123" s="4">
        <f>SUM($M$18:M123)</f>
        <v>620.89677419354746</v>
      </c>
      <c r="P123" s="9">
        <f t="shared" si="37"/>
        <v>0.73186713574555806</v>
      </c>
      <c r="Q123" s="26">
        <f t="shared" si="49"/>
        <v>0.73186713574555828</v>
      </c>
      <c r="R123" s="26">
        <f t="shared" si="49"/>
        <v>0.68976304505707731</v>
      </c>
      <c r="S123" s="9">
        <f t="shared" si="38"/>
        <v>0.13437238003070329</v>
      </c>
      <c r="T123" s="9">
        <f>K123/((COUNT($K$109:K123))*24*$Q$1)</f>
        <v>0.13437238003070331</v>
      </c>
      <c r="U123" s="28">
        <f>L123/((COUNT($L$18:L123))*24*$Q$1)</f>
        <v>0.16834577422714536</v>
      </c>
      <c r="V123" s="134">
        <v>11.5031</v>
      </c>
      <c r="Y123" s="27">
        <f t="shared" si="45"/>
        <v>45122</v>
      </c>
      <c r="Z123" s="5">
        <f>MONTH(Modelling_new[[#This Row],[Date]])</f>
        <v>7</v>
      </c>
      <c r="AA123" s="25">
        <f>YEAR(Y123)+IF(MONTH(Modelling_new[[#This Row],[Date]])&gt;=4,1,0)</f>
        <v>2024</v>
      </c>
      <c r="AB123" s="3">
        <f t="shared" si="39"/>
        <v>2023</v>
      </c>
      <c r="AC123" s="3" t="s">
        <v>626</v>
      </c>
      <c r="AD123" s="5" t="s">
        <v>626</v>
      </c>
      <c r="AE123" s="102">
        <v>45108</v>
      </c>
      <c r="AF123" s="5">
        <f t="shared" si="40"/>
        <v>31</v>
      </c>
      <c r="AG123" s="5">
        <f t="shared" si="41"/>
        <v>7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BD123" s="27">
        <f t="shared" si="46"/>
        <v>45122</v>
      </c>
      <c r="BE123" s="5">
        <f>MONTH(Modelling[[#This Row],[Date]])</f>
        <v>7</v>
      </c>
      <c r="BF123" s="25">
        <f>YEAR(BD123)+IF(MONTH(Modelling[[#This Row],[Date]])&gt;=4,1,0)</f>
        <v>2024</v>
      </c>
      <c r="BG123" s="3">
        <f t="shared" si="42"/>
        <v>2023</v>
      </c>
      <c r="BH123" s="3" t="s">
        <v>626</v>
      </c>
      <c r="BI123" s="5" t="s">
        <v>626</v>
      </c>
      <c r="BJ123" s="102">
        <v>45108</v>
      </c>
      <c r="BK123" s="5">
        <f t="shared" si="43"/>
        <v>31</v>
      </c>
      <c r="BL123" s="5">
        <f t="shared" si="44"/>
        <v>7</v>
      </c>
      <c r="BM123" s="4">
        <f>Modelling_old[[#This Row],[Target E_Grid daily
MWh]]+Modelling_new[[#This Row],[Target E_Grid daily
MWh]]</f>
        <v>37.096774193548384</v>
      </c>
      <c r="BN123" s="4">
        <f>Modelling_old[[#This Row],[Target E_Grid MTD
MWh]]+Modelling_new[[#This Row],[Target E_Grid MTD
MWh]]</f>
        <v>556.45161290322596</v>
      </c>
      <c r="BO123" s="4">
        <f>Modelling_old[[#This Row],[Target E_Grid YTD
MWh]]+Modelling_new[[#This Row],[Target E_Grid YTD
MWh]]</f>
        <v>4926.4516129032299</v>
      </c>
      <c r="BP12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23" s="4">
        <f>SUMIFS(Modelling[Target POA Daily (KWh/m2)],Modelling[Date],"&lt;="&amp;Modelling[[#This Row],[Date]],Modelling[Month Year],Modelling[[#This Row],[Month Year]])</f>
        <v>66.096774193548384</v>
      </c>
      <c r="BR123" s="4">
        <f>SUMIFS(Modelling[Target POA Daily (KWh/m2)],Modelling[Date],"&lt;="&amp;Modelling[[#This Row],[Date]],Modelling[Finacial Year],Modelling[[#This Row],[Finacial Year]])</f>
        <v>620.89677419354746</v>
      </c>
      <c r="BS123" s="9">
        <f>BM123/Modelling[[#This Row],[Comisined DC ]]/BP123</f>
        <v>0.73186713574555806</v>
      </c>
      <c r="BT123" s="9">
        <f>BN123/BQ123/Modelling[[#This Row],[Comisined DC ]]</f>
        <v>0.73186713574555828</v>
      </c>
      <c r="BU123" s="9">
        <f>BO123/BR123/Modelling[[#This Row],[Comisined DC ]]</f>
        <v>0.68976304505707731</v>
      </c>
      <c r="BV123" s="9">
        <f>BM123/(24*Modelling[[#This Row],[Comisined DC ]])</f>
        <v>0.13437238003070329</v>
      </c>
      <c r="BW123" s="9">
        <f>BN123/((COUNTIFS(Modelling[Date],"&lt;="&amp;Modelling[[#This Row],[Date]],Modelling[Month Year],Modelling[[#This Row],[Month Year]])*24*Modelling[[#This Row],[MTD DC Capcity]]))</f>
        <v>0.13437238003070334</v>
      </c>
      <c r="BX123" s="28">
        <f>BO123/((COUNTIFS(Modelling[Date],"&lt;="&amp;Modelling[[#This Row],[Date]],Modelling[Finacial Year],Modelling[[#This Row],[Finacial Year]])*24*Modelling[[#This Row],[MTD DC Capcity]]))</f>
        <v>0.16834577422714539</v>
      </c>
      <c r="BY123" s="4">
        <f>Modelling_old[[#This Row],[DC Capcity]]+Modelling_new[[#This Row],[Comisined DC ]]</f>
        <v>11.5031</v>
      </c>
      <c r="BZ123" s="4">
        <v>0</v>
      </c>
      <c r="CA123" s="4">
        <f>AVERAGEIFS(Modelling[[Comisined DC ]],Modelling[Date],"&lt;="&amp;Modelling[[#This Row],[Date]],Modelling[Month Year],Modelling[[#This Row],[Month Year]])</f>
        <v>11.503099999999998</v>
      </c>
      <c r="CB123" s="4">
        <f>AVERAGEIFS(Modelling[[Comisined DC ]],Modelling[Date],"&lt;="&amp;Modelling[[#This Row],[Date]],Modelling[Finacial Year],Modelling[[#This Row],[Finacial Year]])</f>
        <v>11.503099999999995</v>
      </c>
      <c r="CG123">
        <f t="shared" si="47"/>
        <v>15</v>
      </c>
      <c r="CH123">
        <f t="shared" si="48"/>
        <v>106</v>
      </c>
    </row>
    <row r="124" spans="1:86" x14ac:dyDescent="0.35">
      <c r="A124" s="27">
        <v>45123</v>
      </c>
      <c r="B124" s="5">
        <f>MONTH(Modelling_old[[#This Row],[Date]])</f>
        <v>7</v>
      </c>
      <c r="C124" s="25">
        <f t="shared" si="31"/>
        <v>2024</v>
      </c>
      <c r="D124" s="3">
        <f t="shared" si="32"/>
        <v>2023</v>
      </c>
      <c r="E124" s="3" t="s">
        <v>626</v>
      </c>
      <c r="F124" s="5" t="s">
        <v>626</v>
      </c>
      <c r="G124" s="102">
        <v>45108</v>
      </c>
      <c r="H124" s="5">
        <f t="shared" si="33"/>
        <v>31</v>
      </c>
      <c r="I124" s="5">
        <f t="shared" si="34"/>
        <v>7</v>
      </c>
      <c r="J124" s="4">
        <f t="shared" si="35"/>
        <v>37.096774193548384</v>
      </c>
      <c r="K124" s="4">
        <f>SUM($J$109:J124)</f>
        <v>593.54838709677438</v>
      </c>
      <c r="L124" s="4">
        <f>SUM($J$18:J124)</f>
        <v>4963.5483870967782</v>
      </c>
      <c r="M124" s="4">
        <f t="shared" si="36"/>
        <v>4.4064516129032256</v>
      </c>
      <c r="N124" s="4">
        <f>SUM($M$109:M124)</f>
        <v>70.50322580645161</v>
      </c>
      <c r="O124" s="4">
        <f>SUM($M$18:M124)</f>
        <v>625.30322580645065</v>
      </c>
      <c r="P124" s="9">
        <f t="shared" si="37"/>
        <v>0.73186713574555806</v>
      </c>
      <c r="Q124" s="26">
        <f t="shared" si="49"/>
        <v>0.73186713574555828</v>
      </c>
      <c r="R124" s="26">
        <f t="shared" si="49"/>
        <v>0.69005974852935636</v>
      </c>
      <c r="S124" s="9">
        <f t="shared" si="38"/>
        <v>0.13437238003070329</v>
      </c>
      <c r="T124" s="9">
        <f>K124/((COUNT($K$109:K124))*24*$Q$1)</f>
        <v>0.13437238003070331</v>
      </c>
      <c r="U124" s="28">
        <f>L124/((COUNT($L$18:L124))*24*$Q$1)</f>
        <v>0.16802826587016928</v>
      </c>
      <c r="V124" s="134">
        <v>11.5031</v>
      </c>
      <c r="Y124" s="27">
        <f t="shared" si="45"/>
        <v>45123</v>
      </c>
      <c r="Z124" s="5">
        <f>MONTH(Modelling_new[[#This Row],[Date]])</f>
        <v>7</v>
      </c>
      <c r="AA124" s="25">
        <f>YEAR(Y124)+IF(MONTH(Modelling_new[[#This Row],[Date]])&gt;=4,1,0)</f>
        <v>2024</v>
      </c>
      <c r="AB124" s="3">
        <f t="shared" si="39"/>
        <v>2023</v>
      </c>
      <c r="AC124" s="3" t="s">
        <v>626</v>
      </c>
      <c r="AD124" s="5" t="s">
        <v>626</v>
      </c>
      <c r="AE124" s="102">
        <v>45108</v>
      </c>
      <c r="AF124" s="5">
        <f t="shared" si="40"/>
        <v>31</v>
      </c>
      <c r="AG124" s="5">
        <f t="shared" si="41"/>
        <v>7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BD124" s="27">
        <f t="shared" si="46"/>
        <v>45123</v>
      </c>
      <c r="BE124" s="5">
        <f>MONTH(Modelling[[#This Row],[Date]])</f>
        <v>7</v>
      </c>
      <c r="BF124" s="25">
        <f>YEAR(BD124)+IF(MONTH(Modelling[[#This Row],[Date]])&gt;=4,1,0)</f>
        <v>2024</v>
      </c>
      <c r="BG124" s="3">
        <f t="shared" si="42"/>
        <v>2023</v>
      </c>
      <c r="BH124" s="3" t="s">
        <v>626</v>
      </c>
      <c r="BI124" s="5" t="s">
        <v>626</v>
      </c>
      <c r="BJ124" s="102">
        <v>45108</v>
      </c>
      <c r="BK124" s="5">
        <f t="shared" si="43"/>
        <v>31</v>
      </c>
      <c r="BL124" s="5">
        <f t="shared" si="44"/>
        <v>7</v>
      </c>
      <c r="BM124" s="4">
        <f>Modelling_old[[#This Row],[Target E_Grid daily
MWh]]+Modelling_new[[#This Row],[Target E_Grid daily
MWh]]</f>
        <v>37.096774193548384</v>
      </c>
      <c r="BN124" s="4">
        <f>Modelling_old[[#This Row],[Target E_Grid MTD
MWh]]+Modelling_new[[#This Row],[Target E_Grid MTD
MWh]]</f>
        <v>593.54838709677438</v>
      </c>
      <c r="BO124" s="4">
        <f>Modelling_old[[#This Row],[Target E_Grid YTD
MWh]]+Modelling_new[[#This Row],[Target E_Grid YTD
MWh]]</f>
        <v>4963.5483870967782</v>
      </c>
      <c r="BP12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24" s="4">
        <f>SUMIFS(Modelling[Target POA Daily (KWh/m2)],Modelling[Date],"&lt;="&amp;Modelling[[#This Row],[Date]],Modelling[Month Year],Modelling[[#This Row],[Month Year]])</f>
        <v>70.50322580645161</v>
      </c>
      <c r="BR124" s="4">
        <f>SUMIFS(Modelling[Target POA Daily (KWh/m2)],Modelling[Date],"&lt;="&amp;Modelling[[#This Row],[Date]],Modelling[Finacial Year],Modelling[[#This Row],[Finacial Year]])</f>
        <v>625.30322580645065</v>
      </c>
      <c r="BS124" s="9">
        <f>BM124/Modelling[[#This Row],[Comisined DC ]]/BP124</f>
        <v>0.73186713574555806</v>
      </c>
      <c r="BT124" s="9">
        <f>BN124/BQ124/Modelling[[#This Row],[Comisined DC ]]</f>
        <v>0.73186713574555828</v>
      </c>
      <c r="BU124" s="9">
        <f>BO124/BR124/Modelling[[#This Row],[Comisined DC ]]</f>
        <v>0.69005974852935636</v>
      </c>
      <c r="BV124" s="9">
        <f>BM124/(24*Modelling[[#This Row],[Comisined DC ]])</f>
        <v>0.13437238003070329</v>
      </c>
      <c r="BW124" s="9">
        <f>BN124/((COUNTIFS(Modelling[Date],"&lt;="&amp;Modelling[[#This Row],[Date]],Modelling[Month Year],Modelling[[#This Row],[Month Year]])*24*Modelling[[#This Row],[MTD DC Capcity]]))</f>
        <v>0.13437238003070331</v>
      </c>
      <c r="BX124" s="28">
        <f>BO124/((COUNTIFS(Modelling[Date],"&lt;="&amp;Modelling[[#This Row],[Date]],Modelling[Finacial Year],Modelling[[#This Row],[Finacial Year]])*24*Modelling[[#This Row],[MTD DC Capcity]]))</f>
        <v>0.16802826587016931</v>
      </c>
      <c r="BY124" s="4">
        <f>Modelling_old[[#This Row],[DC Capcity]]+Modelling_new[[#This Row],[Comisined DC ]]</f>
        <v>11.5031</v>
      </c>
      <c r="BZ124" s="4">
        <v>0</v>
      </c>
      <c r="CA124" s="4">
        <f>AVERAGEIFS(Modelling[[Comisined DC ]],Modelling[Date],"&lt;="&amp;Modelling[[#This Row],[Date]],Modelling[Month Year],Modelling[[#This Row],[Month Year]])</f>
        <v>11.503099999999998</v>
      </c>
      <c r="CB124" s="4">
        <f>AVERAGEIFS(Modelling[[Comisined DC ]],Modelling[Date],"&lt;="&amp;Modelling[[#This Row],[Date]],Modelling[Finacial Year],Modelling[[#This Row],[Finacial Year]])</f>
        <v>11.503099999999993</v>
      </c>
      <c r="CG124">
        <f t="shared" si="47"/>
        <v>16</v>
      </c>
      <c r="CH124">
        <f t="shared" si="48"/>
        <v>107</v>
      </c>
    </row>
    <row r="125" spans="1:86" x14ac:dyDescent="0.35">
      <c r="A125" s="27">
        <v>45124</v>
      </c>
      <c r="B125" s="5">
        <f>MONTH(Modelling_old[[#This Row],[Date]])</f>
        <v>7</v>
      </c>
      <c r="C125" s="25">
        <f t="shared" si="31"/>
        <v>2024</v>
      </c>
      <c r="D125" s="3">
        <f t="shared" si="32"/>
        <v>2023</v>
      </c>
      <c r="E125" s="3" t="s">
        <v>626</v>
      </c>
      <c r="F125" s="5" t="s">
        <v>626</v>
      </c>
      <c r="G125" s="102">
        <v>45108</v>
      </c>
      <c r="H125" s="5">
        <f t="shared" si="33"/>
        <v>31</v>
      </c>
      <c r="I125" s="5">
        <f t="shared" si="34"/>
        <v>7</v>
      </c>
      <c r="J125" s="4">
        <f t="shared" si="35"/>
        <v>37.096774193548384</v>
      </c>
      <c r="K125" s="4">
        <f>SUM($J$109:J125)</f>
        <v>630.64516129032279</v>
      </c>
      <c r="L125" s="4">
        <f>SUM($J$18:J125)</f>
        <v>5000.6451612903265</v>
      </c>
      <c r="M125" s="4">
        <f t="shared" si="36"/>
        <v>4.4064516129032256</v>
      </c>
      <c r="N125" s="4">
        <f>SUM($M$109:M125)</f>
        <v>74.909677419354836</v>
      </c>
      <c r="O125" s="4">
        <f>SUM($M$18:M125)</f>
        <v>629.70967741935385</v>
      </c>
      <c r="P125" s="9">
        <f t="shared" si="37"/>
        <v>0.73186713574555806</v>
      </c>
      <c r="Q125" s="26">
        <f t="shared" si="49"/>
        <v>0.73186713574555828</v>
      </c>
      <c r="R125" s="26">
        <f t="shared" si="49"/>
        <v>0.69035229958174782</v>
      </c>
      <c r="S125" s="9">
        <f t="shared" si="38"/>
        <v>0.13437238003070329</v>
      </c>
      <c r="T125" s="9">
        <f>K125/((COUNT($K$109:K125))*24*$Q$1)</f>
        <v>0.13437238003070331</v>
      </c>
      <c r="U125" s="28">
        <f>L125/((COUNT($L$18:L125))*24*$Q$1)</f>
        <v>0.16771663729758163</v>
      </c>
      <c r="V125" s="134">
        <v>11.5031</v>
      </c>
      <c r="Y125" s="27">
        <f t="shared" si="45"/>
        <v>45124</v>
      </c>
      <c r="Z125" s="5">
        <f>MONTH(Modelling_new[[#This Row],[Date]])</f>
        <v>7</v>
      </c>
      <c r="AA125" s="25">
        <f>YEAR(Y125)+IF(MONTH(Modelling_new[[#This Row],[Date]])&gt;=4,1,0)</f>
        <v>2024</v>
      </c>
      <c r="AB125" s="3">
        <f t="shared" si="39"/>
        <v>2023</v>
      </c>
      <c r="AC125" s="3" t="s">
        <v>626</v>
      </c>
      <c r="AD125" s="5" t="s">
        <v>626</v>
      </c>
      <c r="AE125" s="102">
        <v>45108</v>
      </c>
      <c r="AF125" s="5">
        <f t="shared" si="40"/>
        <v>31</v>
      </c>
      <c r="AG125" s="5">
        <f t="shared" si="41"/>
        <v>7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BD125" s="27">
        <f t="shared" si="46"/>
        <v>45124</v>
      </c>
      <c r="BE125" s="5">
        <f>MONTH(Modelling[[#This Row],[Date]])</f>
        <v>7</v>
      </c>
      <c r="BF125" s="25">
        <f>YEAR(BD125)+IF(MONTH(Modelling[[#This Row],[Date]])&gt;=4,1,0)</f>
        <v>2024</v>
      </c>
      <c r="BG125" s="3">
        <f t="shared" si="42"/>
        <v>2023</v>
      </c>
      <c r="BH125" s="3" t="s">
        <v>626</v>
      </c>
      <c r="BI125" s="5" t="s">
        <v>626</v>
      </c>
      <c r="BJ125" s="102">
        <v>45108</v>
      </c>
      <c r="BK125" s="5">
        <f t="shared" si="43"/>
        <v>31</v>
      </c>
      <c r="BL125" s="5">
        <f t="shared" si="44"/>
        <v>7</v>
      </c>
      <c r="BM125" s="4">
        <f>Modelling_old[[#This Row],[Target E_Grid daily
MWh]]+Modelling_new[[#This Row],[Target E_Grid daily
MWh]]</f>
        <v>37.096774193548384</v>
      </c>
      <c r="BN125" s="4">
        <f>Modelling_old[[#This Row],[Target E_Grid MTD
MWh]]+Modelling_new[[#This Row],[Target E_Grid MTD
MWh]]</f>
        <v>630.64516129032279</v>
      </c>
      <c r="BO125" s="4">
        <f>Modelling_old[[#This Row],[Target E_Grid YTD
MWh]]+Modelling_new[[#This Row],[Target E_Grid YTD
MWh]]</f>
        <v>5000.6451612903265</v>
      </c>
      <c r="BP12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25" s="4">
        <f>SUMIFS(Modelling[Target POA Daily (KWh/m2)],Modelling[Date],"&lt;="&amp;Modelling[[#This Row],[Date]],Modelling[Month Year],Modelling[[#This Row],[Month Year]])</f>
        <v>74.909677419354836</v>
      </c>
      <c r="BR125" s="4">
        <f>SUMIFS(Modelling[Target POA Daily (KWh/m2)],Modelling[Date],"&lt;="&amp;Modelling[[#This Row],[Date]],Modelling[Finacial Year],Modelling[[#This Row],[Finacial Year]])</f>
        <v>629.70967741935385</v>
      </c>
      <c r="BS125" s="9">
        <f>BM125/Modelling[[#This Row],[Comisined DC ]]/BP125</f>
        <v>0.73186713574555806</v>
      </c>
      <c r="BT125" s="9">
        <f>BN125/BQ125/Modelling[[#This Row],[Comisined DC ]]</f>
        <v>0.73186713574555828</v>
      </c>
      <c r="BU125" s="9">
        <f>BO125/BR125/Modelling[[#This Row],[Comisined DC ]]</f>
        <v>0.69035229958174782</v>
      </c>
      <c r="BV125" s="9">
        <f>BM125/(24*Modelling[[#This Row],[Comisined DC ]])</f>
        <v>0.13437238003070329</v>
      </c>
      <c r="BW125" s="9">
        <f>BN125/((COUNTIFS(Modelling[Date],"&lt;="&amp;Modelling[[#This Row],[Date]],Modelling[Month Year],Modelling[[#This Row],[Month Year]])*24*Modelling[[#This Row],[MTD DC Capcity]]))</f>
        <v>0.13437238003070334</v>
      </c>
      <c r="BX125" s="28">
        <f>BO125/((COUNTIFS(Modelling[Date],"&lt;="&amp;Modelling[[#This Row],[Date]],Modelling[Finacial Year],Modelling[[#This Row],[Finacial Year]])*24*Modelling[[#This Row],[MTD DC Capcity]]))</f>
        <v>0.16771663729758166</v>
      </c>
      <c r="BY125" s="4">
        <f>Modelling_old[[#This Row],[DC Capcity]]+Modelling_new[[#This Row],[Comisined DC ]]</f>
        <v>11.5031</v>
      </c>
      <c r="BZ125" s="4">
        <v>0</v>
      </c>
      <c r="CA125" s="4">
        <f>AVERAGEIFS(Modelling[[Comisined DC ]],Modelling[Date],"&lt;="&amp;Modelling[[#This Row],[Date]],Modelling[Month Year],Modelling[[#This Row],[Month Year]])</f>
        <v>11.503099999999998</v>
      </c>
      <c r="CB125" s="4">
        <f>AVERAGEIFS(Modelling[[Comisined DC ]],Modelling[Date],"&lt;="&amp;Modelling[[#This Row],[Date]],Modelling[Finacial Year],Modelling[[#This Row],[Finacial Year]])</f>
        <v>11.503099999999993</v>
      </c>
      <c r="CG125">
        <f t="shared" si="47"/>
        <v>17</v>
      </c>
      <c r="CH125">
        <f t="shared" si="48"/>
        <v>108</v>
      </c>
    </row>
    <row r="126" spans="1:86" x14ac:dyDescent="0.35">
      <c r="A126" s="27">
        <v>45125</v>
      </c>
      <c r="B126" s="5">
        <f>MONTH(Modelling_old[[#This Row],[Date]])</f>
        <v>7</v>
      </c>
      <c r="C126" s="25">
        <f t="shared" si="31"/>
        <v>2024</v>
      </c>
      <c r="D126" s="3">
        <f t="shared" si="32"/>
        <v>2023</v>
      </c>
      <c r="E126" s="3" t="s">
        <v>626</v>
      </c>
      <c r="F126" s="5" t="s">
        <v>626</v>
      </c>
      <c r="G126" s="102">
        <v>45108</v>
      </c>
      <c r="H126" s="5">
        <f t="shared" si="33"/>
        <v>31</v>
      </c>
      <c r="I126" s="5">
        <f t="shared" si="34"/>
        <v>7</v>
      </c>
      <c r="J126" s="4">
        <f t="shared" si="35"/>
        <v>37.096774193548384</v>
      </c>
      <c r="K126" s="4">
        <f>SUM($J$109:J126)</f>
        <v>667.7419354838712</v>
      </c>
      <c r="L126" s="4">
        <f>SUM($J$18:J126)</f>
        <v>5037.7419354838748</v>
      </c>
      <c r="M126" s="4">
        <f t="shared" si="36"/>
        <v>4.4064516129032256</v>
      </c>
      <c r="N126" s="4">
        <f>SUM($M$109:M126)</f>
        <v>79.316129032258061</v>
      </c>
      <c r="O126" s="4">
        <f>SUM($M$18:M126)</f>
        <v>634.11612903225705</v>
      </c>
      <c r="P126" s="9">
        <f t="shared" si="37"/>
        <v>0.73186713574555806</v>
      </c>
      <c r="Q126" s="26">
        <f t="shared" si="49"/>
        <v>0.73186713574555828</v>
      </c>
      <c r="R126" s="26">
        <f t="shared" si="49"/>
        <v>0.69064078477932933</v>
      </c>
      <c r="S126" s="9">
        <f t="shared" si="38"/>
        <v>0.13437238003070329</v>
      </c>
      <c r="T126" s="9">
        <f>K126/((COUNT($K$109:K126))*24*$Q$1)</f>
        <v>0.13437238003070331</v>
      </c>
      <c r="U126" s="28">
        <f>L126/((COUNT($L$18:L126))*24*$Q$1)</f>
        <v>0.16741072668045429</v>
      </c>
      <c r="V126" s="134">
        <v>11.5031</v>
      </c>
      <c r="Y126" s="27">
        <f t="shared" si="45"/>
        <v>45125</v>
      </c>
      <c r="Z126" s="5">
        <f>MONTH(Modelling_new[[#This Row],[Date]])</f>
        <v>7</v>
      </c>
      <c r="AA126" s="25">
        <f>YEAR(Y126)+IF(MONTH(Modelling_new[[#This Row],[Date]])&gt;=4,1,0)</f>
        <v>2024</v>
      </c>
      <c r="AB126" s="3">
        <f t="shared" si="39"/>
        <v>2023</v>
      </c>
      <c r="AC126" s="3" t="s">
        <v>626</v>
      </c>
      <c r="AD126" s="5" t="s">
        <v>626</v>
      </c>
      <c r="AE126" s="102">
        <v>45108</v>
      </c>
      <c r="AF126" s="5">
        <f t="shared" si="40"/>
        <v>31</v>
      </c>
      <c r="AG126" s="5">
        <f t="shared" si="41"/>
        <v>7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BD126" s="27">
        <f t="shared" si="46"/>
        <v>45125</v>
      </c>
      <c r="BE126" s="5">
        <f>MONTH(Modelling[[#This Row],[Date]])</f>
        <v>7</v>
      </c>
      <c r="BF126" s="25">
        <f>YEAR(BD126)+IF(MONTH(Modelling[[#This Row],[Date]])&gt;=4,1,0)</f>
        <v>2024</v>
      </c>
      <c r="BG126" s="3">
        <f t="shared" si="42"/>
        <v>2023</v>
      </c>
      <c r="BH126" s="3" t="s">
        <v>626</v>
      </c>
      <c r="BI126" s="5" t="s">
        <v>626</v>
      </c>
      <c r="BJ126" s="102">
        <v>45108</v>
      </c>
      <c r="BK126" s="5">
        <f t="shared" si="43"/>
        <v>31</v>
      </c>
      <c r="BL126" s="5">
        <f t="shared" si="44"/>
        <v>7</v>
      </c>
      <c r="BM126" s="4">
        <f>Modelling_old[[#This Row],[Target E_Grid daily
MWh]]+Modelling_new[[#This Row],[Target E_Grid daily
MWh]]</f>
        <v>37.096774193548384</v>
      </c>
      <c r="BN126" s="4">
        <f>Modelling_old[[#This Row],[Target E_Grid MTD
MWh]]+Modelling_new[[#This Row],[Target E_Grid MTD
MWh]]</f>
        <v>667.7419354838712</v>
      </c>
      <c r="BO126" s="4">
        <f>Modelling_old[[#This Row],[Target E_Grid YTD
MWh]]+Modelling_new[[#This Row],[Target E_Grid YTD
MWh]]</f>
        <v>5037.7419354838748</v>
      </c>
      <c r="BP12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26" s="4">
        <f>SUMIFS(Modelling[Target POA Daily (KWh/m2)],Modelling[Date],"&lt;="&amp;Modelling[[#This Row],[Date]],Modelling[Month Year],Modelling[[#This Row],[Month Year]])</f>
        <v>79.316129032258061</v>
      </c>
      <c r="BR126" s="4">
        <f>SUMIFS(Modelling[Target POA Daily (KWh/m2)],Modelling[Date],"&lt;="&amp;Modelling[[#This Row],[Date]],Modelling[Finacial Year],Modelling[[#This Row],[Finacial Year]])</f>
        <v>634.11612903225705</v>
      </c>
      <c r="BS126" s="9">
        <f>BM126/Modelling[[#This Row],[Comisined DC ]]/BP126</f>
        <v>0.73186713574555806</v>
      </c>
      <c r="BT126" s="9">
        <f>BN126/BQ126/Modelling[[#This Row],[Comisined DC ]]</f>
        <v>0.73186713574555828</v>
      </c>
      <c r="BU126" s="9">
        <f>BO126/BR126/Modelling[[#This Row],[Comisined DC ]]</f>
        <v>0.69064078477932933</v>
      </c>
      <c r="BV126" s="9">
        <f>BM126/(24*Modelling[[#This Row],[Comisined DC ]])</f>
        <v>0.13437238003070329</v>
      </c>
      <c r="BW126" s="9">
        <f>BN126/((COUNTIFS(Modelling[Date],"&lt;="&amp;Modelling[[#This Row],[Date]],Modelling[Month Year],Modelling[[#This Row],[Month Year]])*24*Modelling[[#This Row],[MTD DC Capcity]]))</f>
        <v>0.13437238003070337</v>
      </c>
      <c r="BX126" s="28">
        <f>BO126/((COUNTIFS(Modelling[Date],"&lt;="&amp;Modelling[[#This Row],[Date]],Modelling[Finacial Year],Modelling[[#This Row],[Finacial Year]])*24*Modelling[[#This Row],[MTD DC Capcity]]))</f>
        <v>0.16741072668045437</v>
      </c>
      <c r="BY126" s="4">
        <f>Modelling_old[[#This Row],[DC Capcity]]+Modelling_new[[#This Row],[Comisined DC ]]</f>
        <v>11.5031</v>
      </c>
      <c r="BZ126" s="4">
        <v>0</v>
      </c>
      <c r="CA126" s="4">
        <f>AVERAGEIFS(Modelling[[Comisined DC ]],Modelling[Date],"&lt;="&amp;Modelling[[#This Row],[Date]],Modelling[Month Year],Modelling[[#This Row],[Month Year]])</f>
        <v>11.503099999999996</v>
      </c>
      <c r="CB126" s="4">
        <f>AVERAGEIFS(Modelling[[Comisined DC ]],Modelling[Date],"&lt;="&amp;Modelling[[#This Row],[Date]],Modelling[Finacial Year],Modelling[[#This Row],[Finacial Year]])</f>
        <v>11.503099999999991</v>
      </c>
      <c r="CG126">
        <f t="shared" si="47"/>
        <v>18</v>
      </c>
      <c r="CH126">
        <f t="shared" si="48"/>
        <v>109</v>
      </c>
    </row>
    <row r="127" spans="1:86" x14ac:dyDescent="0.35">
      <c r="A127" s="27">
        <v>45126</v>
      </c>
      <c r="B127" s="5">
        <f>MONTH(Modelling_old[[#This Row],[Date]])</f>
        <v>7</v>
      </c>
      <c r="C127" s="25">
        <f t="shared" si="31"/>
        <v>2024</v>
      </c>
      <c r="D127" s="3">
        <f t="shared" si="32"/>
        <v>2023</v>
      </c>
      <c r="E127" s="3" t="s">
        <v>626</v>
      </c>
      <c r="F127" s="5" t="s">
        <v>626</v>
      </c>
      <c r="G127" s="102">
        <v>45108</v>
      </c>
      <c r="H127" s="5">
        <f t="shared" si="33"/>
        <v>31</v>
      </c>
      <c r="I127" s="5">
        <f t="shared" si="34"/>
        <v>7</v>
      </c>
      <c r="J127" s="4">
        <f t="shared" si="35"/>
        <v>37.096774193548384</v>
      </c>
      <c r="K127" s="4">
        <f>SUM($J$109:J127)</f>
        <v>704.83870967741962</v>
      </c>
      <c r="L127" s="4">
        <f>SUM($J$18:J127)</f>
        <v>5074.8387096774231</v>
      </c>
      <c r="M127" s="4">
        <f t="shared" si="36"/>
        <v>4.4064516129032256</v>
      </c>
      <c r="N127" s="4">
        <f>SUM($M$109:M127)</f>
        <v>83.722580645161287</v>
      </c>
      <c r="O127" s="4">
        <f>SUM($M$18:M127)</f>
        <v>638.52258064516025</v>
      </c>
      <c r="P127" s="9">
        <f t="shared" si="37"/>
        <v>0.73186713574555806</v>
      </c>
      <c r="Q127" s="26">
        <f t="shared" si="49"/>
        <v>0.73186713574555828</v>
      </c>
      <c r="R127" s="26">
        <f t="shared" si="49"/>
        <v>0.690925288297632</v>
      </c>
      <c r="S127" s="9">
        <f t="shared" si="38"/>
        <v>0.13437238003070329</v>
      </c>
      <c r="T127" s="9">
        <f>K127/((COUNT($K$109:K127))*24*$Q$1)</f>
        <v>0.13437238003070331</v>
      </c>
      <c r="U127" s="28">
        <f>L127/((COUNT($L$18:L127))*24*$Q$1)</f>
        <v>0.16711037807454746</v>
      </c>
      <c r="V127" s="134">
        <v>11.5031</v>
      </c>
      <c r="Y127" s="27">
        <f t="shared" si="45"/>
        <v>45126</v>
      </c>
      <c r="Z127" s="5">
        <f>MONTH(Modelling_new[[#This Row],[Date]])</f>
        <v>7</v>
      </c>
      <c r="AA127" s="25">
        <f>YEAR(Y127)+IF(MONTH(Modelling_new[[#This Row],[Date]])&gt;=4,1,0)</f>
        <v>2024</v>
      </c>
      <c r="AB127" s="3">
        <f t="shared" si="39"/>
        <v>2023</v>
      </c>
      <c r="AC127" s="3" t="s">
        <v>626</v>
      </c>
      <c r="AD127" s="5" t="s">
        <v>626</v>
      </c>
      <c r="AE127" s="102">
        <v>45108</v>
      </c>
      <c r="AF127" s="5">
        <f t="shared" si="40"/>
        <v>31</v>
      </c>
      <c r="AG127" s="5">
        <f t="shared" si="41"/>
        <v>7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BD127" s="27">
        <f t="shared" si="46"/>
        <v>45126</v>
      </c>
      <c r="BE127" s="5">
        <f>MONTH(Modelling[[#This Row],[Date]])</f>
        <v>7</v>
      </c>
      <c r="BF127" s="25">
        <f>YEAR(BD127)+IF(MONTH(Modelling[[#This Row],[Date]])&gt;=4,1,0)</f>
        <v>2024</v>
      </c>
      <c r="BG127" s="3">
        <f t="shared" si="42"/>
        <v>2023</v>
      </c>
      <c r="BH127" s="3" t="s">
        <v>626</v>
      </c>
      <c r="BI127" s="5" t="s">
        <v>626</v>
      </c>
      <c r="BJ127" s="102">
        <v>45108</v>
      </c>
      <c r="BK127" s="5">
        <f t="shared" si="43"/>
        <v>31</v>
      </c>
      <c r="BL127" s="5">
        <f t="shared" si="44"/>
        <v>7</v>
      </c>
      <c r="BM127" s="4">
        <f>Modelling_old[[#This Row],[Target E_Grid daily
MWh]]+Modelling_new[[#This Row],[Target E_Grid daily
MWh]]</f>
        <v>37.096774193548384</v>
      </c>
      <c r="BN127" s="4">
        <f>Modelling_old[[#This Row],[Target E_Grid MTD
MWh]]+Modelling_new[[#This Row],[Target E_Grid MTD
MWh]]</f>
        <v>704.83870967741962</v>
      </c>
      <c r="BO127" s="4">
        <f>Modelling_old[[#This Row],[Target E_Grid YTD
MWh]]+Modelling_new[[#This Row],[Target E_Grid YTD
MWh]]</f>
        <v>5074.8387096774231</v>
      </c>
      <c r="BP12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27" s="4">
        <f>SUMIFS(Modelling[Target POA Daily (KWh/m2)],Modelling[Date],"&lt;="&amp;Modelling[[#This Row],[Date]],Modelling[Month Year],Modelling[[#This Row],[Month Year]])</f>
        <v>83.722580645161287</v>
      </c>
      <c r="BR127" s="4">
        <f>SUMIFS(Modelling[Target POA Daily (KWh/m2)],Modelling[Date],"&lt;="&amp;Modelling[[#This Row],[Date]],Modelling[Finacial Year],Modelling[[#This Row],[Finacial Year]])</f>
        <v>638.52258064516025</v>
      </c>
      <c r="BS127" s="9">
        <f>BM127/Modelling[[#This Row],[Comisined DC ]]/BP127</f>
        <v>0.73186713574555806</v>
      </c>
      <c r="BT127" s="9">
        <f>BN127/BQ127/Modelling[[#This Row],[Comisined DC ]]</f>
        <v>0.73186713574555828</v>
      </c>
      <c r="BU127" s="9">
        <f>BO127/BR127/Modelling[[#This Row],[Comisined DC ]]</f>
        <v>0.690925288297632</v>
      </c>
      <c r="BV127" s="9">
        <f>BM127/(24*Modelling[[#This Row],[Comisined DC ]])</f>
        <v>0.13437238003070329</v>
      </c>
      <c r="BW127" s="9">
        <f>BN127/((COUNTIFS(Modelling[Date],"&lt;="&amp;Modelling[[#This Row],[Date]],Modelling[Month Year],Modelling[[#This Row],[Month Year]])*24*Modelling[[#This Row],[MTD DC Capcity]]))</f>
        <v>0.13437238003070337</v>
      </c>
      <c r="BX127" s="28">
        <f>BO127/((COUNTIFS(Modelling[Date],"&lt;="&amp;Modelling[[#This Row],[Date]],Modelling[Finacial Year],Modelling[[#This Row],[Finacial Year]])*24*Modelling[[#This Row],[MTD DC Capcity]]))</f>
        <v>0.16711037807454751</v>
      </c>
      <c r="BY127" s="4">
        <f>Modelling_old[[#This Row],[DC Capcity]]+Modelling_new[[#This Row],[Comisined DC ]]</f>
        <v>11.5031</v>
      </c>
      <c r="BZ127" s="4">
        <v>0</v>
      </c>
      <c r="CA127" s="4">
        <f>AVERAGEIFS(Modelling[[Comisined DC ]],Modelling[Date],"&lt;="&amp;Modelling[[#This Row],[Date]],Modelling[Month Year],Modelling[[#This Row],[Month Year]])</f>
        <v>11.503099999999996</v>
      </c>
      <c r="CB127" s="4">
        <f>AVERAGEIFS(Modelling[[Comisined DC ]],Modelling[Date],"&lt;="&amp;Modelling[[#This Row],[Date]],Modelling[Finacial Year],Modelling[[#This Row],[Finacial Year]])</f>
        <v>11.503099999999991</v>
      </c>
      <c r="CG127">
        <f t="shared" si="47"/>
        <v>19</v>
      </c>
      <c r="CH127">
        <f t="shared" si="48"/>
        <v>110</v>
      </c>
    </row>
    <row r="128" spans="1:86" x14ac:dyDescent="0.35">
      <c r="A128" s="27">
        <v>45127</v>
      </c>
      <c r="B128" s="5">
        <f>MONTH(Modelling_old[[#This Row],[Date]])</f>
        <v>7</v>
      </c>
      <c r="C128" s="25">
        <f t="shared" si="31"/>
        <v>2024</v>
      </c>
      <c r="D128" s="3">
        <f t="shared" si="32"/>
        <v>2023</v>
      </c>
      <c r="E128" s="3" t="s">
        <v>626</v>
      </c>
      <c r="F128" s="5" t="s">
        <v>626</v>
      </c>
      <c r="G128" s="102">
        <v>45108</v>
      </c>
      <c r="H128" s="5">
        <f t="shared" si="33"/>
        <v>31</v>
      </c>
      <c r="I128" s="5">
        <f t="shared" si="34"/>
        <v>7</v>
      </c>
      <c r="J128" s="4">
        <f t="shared" si="35"/>
        <v>37.096774193548384</v>
      </c>
      <c r="K128" s="4">
        <f>SUM($J$109:J128)</f>
        <v>741.93548387096803</v>
      </c>
      <c r="L128" s="4">
        <f>SUM($J$18:J128)</f>
        <v>5111.9354838709714</v>
      </c>
      <c r="M128" s="4">
        <f t="shared" si="36"/>
        <v>4.4064516129032256</v>
      </c>
      <c r="N128" s="4">
        <f>SUM($M$109:M128)</f>
        <v>88.129032258064512</v>
      </c>
      <c r="O128" s="4">
        <f>SUM($M$18:M128)</f>
        <v>642.92903225806344</v>
      </c>
      <c r="P128" s="9">
        <f t="shared" si="37"/>
        <v>0.73186713574555806</v>
      </c>
      <c r="Q128" s="26">
        <f t="shared" si="49"/>
        <v>0.73186713574555828</v>
      </c>
      <c r="R128" s="26">
        <f t="shared" si="49"/>
        <v>0.6912058920045272</v>
      </c>
      <c r="S128" s="9">
        <f t="shared" si="38"/>
        <v>0.13437238003070329</v>
      </c>
      <c r="T128" s="9">
        <f>K128/((COUNT($K$109:K128))*24*$Q$1)</f>
        <v>0.13437238003070331</v>
      </c>
      <c r="U128" s="28">
        <f>L128/((COUNT($L$18:L128))*24*$Q$1)</f>
        <v>0.16681544115523356</v>
      </c>
      <c r="V128" s="134">
        <v>11.5031</v>
      </c>
      <c r="Y128" s="27">
        <f t="shared" si="45"/>
        <v>45127</v>
      </c>
      <c r="Z128" s="5">
        <f>MONTH(Modelling_new[[#This Row],[Date]])</f>
        <v>7</v>
      </c>
      <c r="AA128" s="25">
        <f>YEAR(Y128)+IF(MONTH(Modelling_new[[#This Row],[Date]])&gt;=4,1,0)</f>
        <v>2024</v>
      </c>
      <c r="AB128" s="3">
        <f t="shared" si="39"/>
        <v>2023</v>
      </c>
      <c r="AC128" s="3" t="s">
        <v>626</v>
      </c>
      <c r="AD128" s="5" t="s">
        <v>626</v>
      </c>
      <c r="AE128" s="102">
        <v>45108</v>
      </c>
      <c r="AF128" s="5">
        <f t="shared" si="40"/>
        <v>31</v>
      </c>
      <c r="AG128" s="5">
        <f t="shared" si="41"/>
        <v>7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BD128" s="27">
        <f t="shared" si="46"/>
        <v>45127</v>
      </c>
      <c r="BE128" s="5">
        <f>MONTH(Modelling[[#This Row],[Date]])</f>
        <v>7</v>
      </c>
      <c r="BF128" s="25">
        <f>YEAR(BD128)+IF(MONTH(Modelling[[#This Row],[Date]])&gt;=4,1,0)</f>
        <v>2024</v>
      </c>
      <c r="BG128" s="3">
        <f t="shared" si="42"/>
        <v>2023</v>
      </c>
      <c r="BH128" s="3" t="s">
        <v>626</v>
      </c>
      <c r="BI128" s="5" t="s">
        <v>626</v>
      </c>
      <c r="BJ128" s="102">
        <v>45108</v>
      </c>
      <c r="BK128" s="5">
        <f t="shared" si="43"/>
        <v>31</v>
      </c>
      <c r="BL128" s="5">
        <f t="shared" si="44"/>
        <v>7</v>
      </c>
      <c r="BM128" s="4">
        <f>Modelling_old[[#This Row],[Target E_Grid daily
MWh]]+Modelling_new[[#This Row],[Target E_Grid daily
MWh]]</f>
        <v>37.096774193548384</v>
      </c>
      <c r="BN128" s="4">
        <f>Modelling_old[[#This Row],[Target E_Grid MTD
MWh]]+Modelling_new[[#This Row],[Target E_Grid MTD
MWh]]</f>
        <v>741.93548387096803</v>
      </c>
      <c r="BO128" s="4">
        <f>Modelling_old[[#This Row],[Target E_Grid YTD
MWh]]+Modelling_new[[#This Row],[Target E_Grid YTD
MWh]]</f>
        <v>5111.9354838709714</v>
      </c>
      <c r="BP12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28" s="4">
        <f>SUMIFS(Modelling[Target POA Daily (KWh/m2)],Modelling[Date],"&lt;="&amp;Modelling[[#This Row],[Date]],Modelling[Month Year],Modelling[[#This Row],[Month Year]])</f>
        <v>88.129032258064512</v>
      </c>
      <c r="BR128" s="4">
        <f>SUMIFS(Modelling[Target POA Daily (KWh/m2)],Modelling[Date],"&lt;="&amp;Modelling[[#This Row],[Date]],Modelling[Finacial Year],Modelling[[#This Row],[Finacial Year]])</f>
        <v>642.92903225806344</v>
      </c>
      <c r="BS128" s="9">
        <f>BM128/Modelling[[#This Row],[Comisined DC ]]/BP128</f>
        <v>0.73186713574555806</v>
      </c>
      <c r="BT128" s="9">
        <f>BN128/BQ128/Modelling[[#This Row],[Comisined DC ]]</f>
        <v>0.73186713574555828</v>
      </c>
      <c r="BU128" s="9">
        <f>BO128/BR128/Modelling[[#This Row],[Comisined DC ]]</f>
        <v>0.6912058920045272</v>
      </c>
      <c r="BV128" s="9">
        <f>BM128/(24*Modelling[[#This Row],[Comisined DC ]])</f>
        <v>0.13437238003070329</v>
      </c>
      <c r="BW128" s="9">
        <f>BN128/((COUNTIFS(Modelling[Date],"&lt;="&amp;Modelling[[#This Row],[Date]],Modelling[Month Year],Modelling[[#This Row],[Month Year]])*24*Modelling[[#This Row],[MTD DC Capcity]]))</f>
        <v>0.13437238003070337</v>
      </c>
      <c r="BX128" s="28">
        <f>BO128/((COUNTIFS(Modelling[Date],"&lt;="&amp;Modelling[[#This Row],[Date]],Modelling[Finacial Year],Modelling[[#This Row],[Finacial Year]])*24*Modelling[[#This Row],[MTD DC Capcity]]))</f>
        <v>0.16681544115523358</v>
      </c>
      <c r="BY128" s="4">
        <f>Modelling_old[[#This Row],[DC Capcity]]+Modelling_new[[#This Row],[Comisined DC ]]</f>
        <v>11.5031</v>
      </c>
      <c r="BZ128" s="4">
        <v>0</v>
      </c>
      <c r="CA128" s="4">
        <f>AVERAGEIFS(Modelling[[Comisined DC ]],Modelling[Date],"&lt;="&amp;Modelling[[#This Row],[Date]],Modelling[Month Year],Modelling[[#This Row],[Month Year]])</f>
        <v>11.503099999999996</v>
      </c>
      <c r="CB128" s="4">
        <f>AVERAGEIFS(Modelling[[Comisined DC ]],Modelling[Date],"&lt;="&amp;Modelling[[#This Row],[Date]],Modelling[Finacial Year],Modelling[[#This Row],[Finacial Year]])</f>
        <v>11.503099999999989</v>
      </c>
      <c r="CG128">
        <f t="shared" si="47"/>
        <v>20</v>
      </c>
      <c r="CH128">
        <f t="shared" si="48"/>
        <v>111</v>
      </c>
    </row>
    <row r="129" spans="1:86" x14ac:dyDescent="0.35">
      <c r="A129" s="27">
        <v>45128</v>
      </c>
      <c r="B129" s="5">
        <f>MONTH(Modelling_old[[#This Row],[Date]])</f>
        <v>7</v>
      </c>
      <c r="C129" s="25">
        <f t="shared" si="31"/>
        <v>2024</v>
      </c>
      <c r="D129" s="3">
        <f t="shared" si="32"/>
        <v>2023</v>
      </c>
      <c r="E129" s="3" t="s">
        <v>626</v>
      </c>
      <c r="F129" s="5" t="s">
        <v>626</v>
      </c>
      <c r="G129" s="102">
        <v>45108</v>
      </c>
      <c r="H129" s="5">
        <f t="shared" si="33"/>
        <v>31</v>
      </c>
      <c r="I129" s="5">
        <f t="shared" si="34"/>
        <v>7</v>
      </c>
      <c r="J129" s="4">
        <f t="shared" si="35"/>
        <v>37.096774193548384</v>
      </c>
      <c r="K129" s="4">
        <f>SUM($J$109:J129)</f>
        <v>779.03225806451644</v>
      </c>
      <c r="L129" s="4">
        <f>SUM($J$18:J129)</f>
        <v>5149.0322580645197</v>
      </c>
      <c r="M129" s="4">
        <f t="shared" si="36"/>
        <v>4.4064516129032256</v>
      </c>
      <c r="N129" s="4">
        <f>SUM($M$109:M129)</f>
        <v>92.535483870967738</v>
      </c>
      <c r="O129" s="4">
        <f>SUM($M$18:M129)</f>
        <v>647.33548387096664</v>
      </c>
      <c r="P129" s="9">
        <f t="shared" si="37"/>
        <v>0.73186713574555806</v>
      </c>
      <c r="Q129" s="26">
        <f t="shared" si="49"/>
        <v>0.73186713574555828</v>
      </c>
      <c r="R129" s="26">
        <f t="shared" si="49"/>
        <v>0.69148267553876808</v>
      </c>
      <c r="S129" s="9">
        <f t="shared" si="38"/>
        <v>0.13437238003070329</v>
      </c>
      <c r="T129" s="9">
        <f>K129/((COUNT($K$109:K129))*24*$Q$1)</f>
        <v>0.13437238003070334</v>
      </c>
      <c r="U129" s="28">
        <f>L129/((COUNT($L$18:L129))*24*$Q$1)</f>
        <v>0.16652577096662166</v>
      </c>
      <c r="V129" s="134">
        <v>11.5031</v>
      </c>
      <c r="Y129" s="27">
        <f t="shared" si="45"/>
        <v>45128</v>
      </c>
      <c r="Z129" s="5">
        <f>MONTH(Modelling_new[[#This Row],[Date]])</f>
        <v>7</v>
      </c>
      <c r="AA129" s="25">
        <f>YEAR(Y129)+IF(MONTH(Modelling_new[[#This Row],[Date]])&gt;=4,1,0)</f>
        <v>2024</v>
      </c>
      <c r="AB129" s="3">
        <f t="shared" si="39"/>
        <v>2023</v>
      </c>
      <c r="AC129" s="3" t="s">
        <v>626</v>
      </c>
      <c r="AD129" s="5" t="s">
        <v>626</v>
      </c>
      <c r="AE129" s="102">
        <v>45108</v>
      </c>
      <c r="AF129" s="5">
        <f t="shared" si="40"/>
        <v>31</v>
      </c>
      <c r="AG129" s="5">
        <f t="shared" si="41"/>
        <v>7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BD129" s="27">
        <f t="shared" si="46"/>
        <v>45128</v>
      </c>
      <c r="BE129" s="5">
        <f>MONTH(Modelling[[#This Row],[Date]])</f>
        <v>7</v>
      </c>
      <c r="BF129" s="25">
        <f>YEAR(BD129)+IF(MONTH(Modelling[[#This Row],[Date]])&gt;=4,1,0)</f>
        <v>2024</v>
      </c>
      <c r="BG129" s="3">
        <f t="shared" si="42"/>
        <v>2023</v>
      </c>
      <c r="BH129" s="3" t="s">
        <v>626</v>
      </c>
      <c r="BI129" s="5" t="s">
        <v>626</v>
      </c>
      <c r="BJ129" s="102">
        <v>45108</v>
      </c>
      <c r="BK129" s="5">
        <f t="shared" si="43"/>
        <v>31</v>
      </c>
      <c r="BL129" s="5">
        <f t="shared" si="44"/>
        <v>7</v>
      </c>
      <c r="BM129" s="4">
        <f>Modelling_old[[#This Row],[Target E_Grid daily
MWh]]+Modelling_new[[#This Row],[Target E_Grid daily
MWh]]</f>
        <v>37.096774193548384</v>
      </c>
      <c r="BN129" s="4">
        <f>Modelling_old[[#This Row],[Target E_Grid MTD
MWh]]+Modelling_new[[#This Row],[Target E_Grid MTD
MWh]]</f>
        <v>779.03225806451644</v>
      </c>
      <c r="BO129" s="4">
        <f>Modelling_old[[#This Row],[Target E_Grid YTD
MWh]]+Modelling_new[[#This Row],[Target E_Grid YTD
MWh]]</f>
        <v>5149.0322580645197</v>
      </c>
      <c r="BP12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29" s="4">
        <f>SUMIFS(Modelling[Target POA Daily (KWh/m2)],Modelling[Date],"&lt;="&amp;Modelling[[#This Row],[Date]],Modelling[Month Year],Modelling[[#This Row],[Month Year]])</f>
        <v>92.535483870967738</v>
      </c>
      <c r="BR129" s="4">
        <f>SUMIFS(Modelling[Target POA Daily (KWh/m2)],Modelling[Date],"&lt;="&amp;Modelling[[#This Row],[Date]],Modelling[Finacial Year],Modelling[[#This Row],[Finacial Year]])</f>
        <v>647.33548387096664</v>
      </c>
      <c r="BS129" s="9">
        <f>BM129/Modelling[[#This Row],[Comisined DC ]]/BP129</f>
        <v>0.73186713574555806</v>
      </c>
      <c r="BT129" s="9">
        <f>BN129/BQ129/Modelling[[#This Row],[Comisined DC ]]</f>
        <v>0.73186713574555828</v>
      </c>
      <c r="BU129" s="9">
        <f>BO129/BR129/Modelling[[#This Row],[Comisined DC ]]</f>
        <v>0.69148267553876808</v>
      </c>
      <c r="BV129" s="9">
        <f>BM129/(24*Modelling[[#This Row],[Comisined DC ]])</f>
        <v>0.13437238003070329</v>
      </c>
      <c r="BW129" s="9">
        <f>BN129/((COUNTIFS(Modelling[Date],"&lt;="&amp;Modelling[[#This Row],[Date]],Modelling[Month Year],Modelling[[#This Row],[Month Year]])*24*Modelling[[#This Row],[MTD DC Capcity]]))</f>
        <v>0.13437238003070337</v>
      </c>
      <c r="BX129" s="28">
        <f>BO129/((COUNTIFS(Modelling[Date],"&lt;="&amp;Modelling[[#This Row],[Date]],Modelling[Finacial Year],Modelling[[#This Row],[Finacial Year]])*24*Modelling[[#This Row],[MTD DC Capcity]]))</f>
        <v>0.16652577096662172</v>
      </c>
      <c r="BY129" s="4">
        <f>Modelling_old[[#This Row],[DC Capcity]]+Modelling_new[[#This Row],[Comisined DC ]]</f>
        <v>11.5031</v>
      </c>
      <c r="BZ129" s="4">
        <v>0</v>
      </c>
      <c r="CA129" s="4">
        <f>AVERAGEIFS(Modelling[[Comisined DC ]],Modelling[Date],"&lt;="&amp;Modelling[[#This Row],[Date]],Modelling[Month Year],Modelling[[#This Row],[Month Year]])</f>
        <v>11.503099999999996</v>
      </c>
      <c r="CB129" s="4">
        <f>AVERAGEIFS(Modelling[[Comisined DC ]],Modelling[Date],"&lt;="&amp;Modelling[[#This Row],[Date]],Modelling[Finacial Year],Modelling[[#This Row],[Finacial Year]])</f>
        <v>11.503099999999989</v>
      </c>
      <c r="CG129">
        <f t="shared" si="47"/>
        <v>21</v>
      </c>
      <c r="CH129">
        <f t="shared" si="48"/>
        <v>112</v>
      </c>
    </row>
    <row r="130" spans="1:86" x14ac:dyDescent="0.35">
      <c r="A130" s="27">
        <v>45129</v>
      </c>
      <c r="B130" s="5">
        <f>MONTH(Modelling_old[[#This Row],[Date]])</f>
        <v>7</v>
      </c>
      <c r="C130" s="25">
        <f t="shared" si="31"/>
        <v>2024</v>
      </c>
      <c r="D130" s="3">
        <f t="shared" si="32"/>
        <v>2023</v>
      </c>
      <c r="E130" s="3" t="s">
        <v>626</v>
      </c>
      <c r="F130" s="5" t="s">
        <v>626</v>
      </c>
      <c r="G130" s="102">
        <v>45108</v>
      </c>
      <c r="H130" s="5">
        <f t="shared" si="33"/>
        <v>31</v>
      </c>
      <c r="I130" s="5">
        <f t="shared" si="34"/>
        <v>7</v>
      </c>
      <c r="J130" s="4">
        <f t="shared" si="35"/>
        <v>37.096774193548384</v>
      </c>
      <c r="K130" s="4">
        <f>SUM($J$109:J130)</f>
        <v>816.12903225806485</v>
      </c>
      <c r="L130" s="4">
        <f>SUM($J$18:J130)</f>
        <v>5186.129032258068</v>
      </c>
      <c r="M130" s="4">
        <f t="shared" si="36"/>
        <v>4.4064516129032256</v>
      </c>
      <c r="N130" s="4">
        <f>SUM($M$109:M130)</f>
        <v>96.941935483870964</v>
      </c>
      <c r="O130" s="4">
        <f>SUM($M$18:M130)</f>
        <v>651.74193548386984</v>
      </c>
      <c r="P130" s="9">
        <f t="shared" si="37"/>
        <v>0.73186713574555806</v>
      </c>
      <c r="Q130" s="26">
        <f t="shared" si="49"/>
        <v>0.73186713574555851</v>
      </c>
      <c r="R130" s="26">
        <f t="shared" si="49"/>
        <v>0.69175571638534539</v>
      </c>
      <c r="S130" s="9">
        <f t="shared" si="38"/>
        <v>0.13437238003070329</v>
      </c>
      <c r="T130" s="9">
        <f>K130/((COUNT($K$109:K130))*24*$Q$1)</f>
        <v>0.13437238003070331</v>
      </c>
      <c r="U130" s="28">
        <f>L130/((COUNT($L$18:L130))*24*$Q$1)</f>
        <v>0.1662412276840029</v>
      </c>
      <c r="V130" s="134">
        <v>11.5031</v>
      </c>
      <c r="Y130" s="27">
        <f t="shared" si="45"/>
        <v>45129</v>
      </c>
      <c r="Z130" s="5">
        <f>MONTH(Modelling_new[[#This Row],[Date]])</f>
        <v>7</v>
      </c>
      <c r="AA130" s="25">
        <f>YEAR(Y130)+IF(MONTH(Modelling_new[[#This Row],[Date]])&gt;=4,1,0)</f>
        <v>2024</v>
      </c>
      <c r="AB130" s="3">
        <f t="shared" si="39"/>
        <v>2023</v>
      </c>
      <c r="AC130" s="3" t="s">
        <v>626</v>
      </c>
      <c r="AD130" s="5" t="s">
        <v>626</v>
      </c>
      <c r="AE130" s="102">
        <v>45108</v>
      </c>
      <c r="AF130" s="5">
        <f t="shared" si="40"/>
        <v>31</v>
      </c>
      <c r="AG130" s="5">
        <f t="shared" si="41"/>
        <v>7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BD130" s="27">
        <f t="shared" si="46"/>
        <v>45129</v>
      </c>
      <c r="BE130" s="5">
        <f>MONTH(Modelling[[#This Row],[Date]])</f>
        <v>7</v>
      </c>
      <c r="BF130" s="25">
        <f>YEAR(BD130)+IF(MONTH(Modelling[[#This Row],[Date]])&gt;=4,1,0)</f>
        <v>2024</v>
      </c>
      <c r="BG130" s="3">
        <f t="shared" si="42"/>
        <v>2023</v>
      </c>
      <c r="BH130" s="3" t="s">
        <v>626</v>
      </c>
      <c r="BI130" s="5" t="s">
        <v>626</v>
      </c>
      <c r="BJ130" s="102">
        <v>45108</v>
      </c>
      <c r="BK130" s="5">
        <f t="shared" si="43"/>
        <v>31</v>
      </c>
      <c r="BL130" s="5">
        <f t="shared" si="44"/>
        <v>7</v>
      </c>
      <c r="BM130" s="4">
        <f>Modelling_old[[#This Row],[Target E_Grid daily
MWh]]+Modelling_new[[#This Row],[Target E_Grid daily
MWh]]</f>
        <v>37.096774193548384</v>
      </c>
      <c r="BN130" s="4">
        <f>Modelling_old[[#This Row],[Target E_Grid MTD
MWh]]+Modelling_new[[#This Row],[Target E_Grid MTD
MWh]]</f>
        <v>816.12903225806485</v>
      </c>
      <c r="BO130" s="4">
        <f>Modelling_old[[#This Row],[Target E_Grid YTD
MWh]]+Modelling_new[[#This Row],[Target E_Grid YTD
MWh]]</f>
        <v>5186.129032258068</v>
      </c>
      <c r="BP13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30" s="4">
        <f>SUMIFS(Modelling[Target POA Daily (KWh/m2)],Modelling[Date],"&lt;="&amp;Modelling[[#This Row],[Date]],Modelling[Month Year],Modelling[[#This Row],[Month Year]])</f>
        <v>96.941935483870964</v>
      </c>
      <c r="BR130" s="4">
        <f>SUMIFS(Modelling[Target POA Daily (KWh/m2)],Modelling[Date],"&lt;="&amp;Modelling[[#This Row],[Date]],Modelling[Finacial Year],Modelling[[#This Row],[Finacial Year]])</f>
        <v>651.74193548386984</v>
      </c>
      <c r="BS130" s="9">
        <f>BM130/Modelling[[#This Row],[Comisined DC ]]/BP130</f>
        <v>0.73186713574555806</v>
      </c>
      <c r="BT130" s="9">
        <f>BN130/BQ130/Modelling[[#This Row],[Comisined DC ]]</f>
        <v>0.73186713574555851</v>
      </c>
      <c r="BU130" s="9">
        <f>BO130/BR130/Modelling[[#This Row],[Comisined DC ]]</f>
        <v>0.69175571638534539</v>
      </c>
      <c r="BV130" s="9">
        <f>BM130/(24*Modelling[[#This Row],[Comisined DC ]])</f>
        <v>0.13437238003070329</v>
      </c>
      <c r="BW130" s="9">
        <f>BN130/((COUNTIFS(Modelling[Date],"&lt;="&amp;Modelling[[#This Row],[Date]],Modelling[Month Year],Modelling[[#This Row],[Month Year]])*24*Modelling[[#This Row],[MTD DC Capcity]]))</f>
        <v>0.13437238003070337</v>
      </c>
      <c r="BX130" s="28">
        <f>BO130/((COUNTIFS(Modelling[Date],"&lt;="&amp;Modelling[[#This Row],[Date]],Modelling[Finacial Year],Modelling[[#This Row],[Finacial Year]])*24*Modelling[[#This Row],[MTD DC Capcity]]))</f>
        <v>0.16624122768400298</v>
      </c>
      <c r="BY130" s="4">
        <f>Modelling_old[[#This Row],[DC Capcity]]+Modelling_new[[#This Row],[Comisined DC ]]</f>
        <v>11.5031</v>
      </c>
      <c r="BZ130" s="4">
        <v>0</v>
      </c>
      <c r="CA130" s="4">
        <f>AVERAGEIFS(Modelling[[Comisined DC ]],Modelling[Date],"&lt;="&amp;Modelling[[#This Row],[Date]],Modelling[Month Year],Modelling[[#This Row],[Month Year]])</f>
        <v>11.503099999999996</v>
      </c>
      <c r="CB130" s="4">
        <f>AVERAGEIFS(Modelling[[Comisined DC ]],Modelling[Date],"&lt;="&amp;Modelling[[#This Row],[Date]],Modelling[Finacial Year],Modelling[[#This Row],[Finacial Year]])</f>
        <v>11.503099999999989</v>
      </c>
      <c r="CG130">
        <f t="shared" si="47"/>
        <v>22</v>
      </c>
      <c r="CH130">
        <f t="shared" si="48"/>
        <v>113</v>
      </c>
    </row>
    <row r="131" spans="1:86" x14ac:dyDescent="0.35">
      <c r="A131" s="27">
        <v>45130</v>
      </c>
      <c r="B131" s="5">
        <f>MONTH(Modelling_old[[#This Row],[Date]])</f>
        <v>7</v>
      </c>
      <c r="C131" s="25">
        <f t="shared" si="31"/>
        <v>2024</v>
      </c>
      <c r="D131" s="3">
        <f t="shared" si="32"/>
        <v>2023</v>
      </c>
      <c r="E131" s="3" t="s">
        <v>626</v>
      </c>
      <c r="F131" s="5" t="s">
        <v>626</v>
      </c>
      <c r="G131" s="102">
        <v>45108</v>
      </c>
      <c r="H131" s="5">
        <f t="shared" si="33"/>
        <v>31</v>
      </c>
      <c r="I131" s="5">
        <f t="shared" si="34"/>
        <v>7</v>
      </c>
      <c r="J131" s="4">
        <f t="shared" si="35"/>
        <v>37.096774193548384</v>
      </c>
      <c r="K131" s="4">
        <f>SUM($J$109:J131)</f>
        <v>853.22580645161327</v>
      </c>
      <c r="L131" s="4">
        <f>SUM($J$18:J131)</f>
        <v>5223.2258064516163</v>
      </c>
      <c r="M131" s="4">
        <f t="shared" si="36"/>
        <v>4.4064516129032256</v>
      </c>
      <c r="N131" s="4">
        <f>SUM($M$109:M131)</f>
        <v>101.34838709677419</v>
      </c>
      <c r="O131" s="4">
        <f>SUM($M$18:M131)</f>
        <v>656.14838709677304</v>
      </c>
      <c r="P131" s="9">
        <f t="shared" si="37"/>
        <v>0.73186713574555806</v>
      </c>
      <c r="Q131" s="26">
        <f t="shared" si="49"/>
        <v>0.73186713574555851</v>
      </c>
      <c r="R131" s="26">
        <f t="shared" si="49"/>
        <v>0.69202508994780698</v>
      </c>
      <c r="S131" s="9">
        <f t="shared" si="38"/>
        <v>0.13437238003070329</v>
      </c>
      <c r="T131" s="9">
        <f>K131/((COUNT($K$109:K131))*24*$Q$1)</f>
        <v>0.13437238003070334</v>
      </c>
      <c r="U131" s="28">
        <f>L131/((COUNT($L$18:L131))*24*$Q$1)</f>
        <v>0.16596167638879855</v>
      </c>
      <c r="V131" s="134">
        <v>11.5031</v>
      </c>
      <c r="Y131" s="27">
        <f t="shared" si="45"/>
        <v>45130</v>
      </c>
      <c r="Z131" s="5">
        <f>MONTH(Modelling_new[[#This Row],[Date]])</f>
        <v>7</v>
      </c>
      <c r="AA131" s="25">
        <f>YEAR(Y131)+IF(MONTH(Modelling_new[[#This Row],[Date]])&gt;=4,1,0)</f>
        <v>2024</v>
      </c>
      <c r="AB131" s="3">
        <f t="shared" si="39"/>
        <v>2023</v>
      </c>
      <c r="AC131" s="3" t="s">
        <v>626</v>
      </c>
      <c r="AD131" s="5" t="s">
        <v>626</v>
      </c>
      <c r="AE131" s="102">
        <v>45108</v>
      </c>
      <c r="AF131" s="5">
        <f t="shared" si="40"/>
        <v>31</v>
      </c>
      <c r="AG131" s="5">
        <f t="shared" si="41"/>
        <v>7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BD131" s="27">
        <f t="shared" si="46"/>
        <v>45130</v>
      </c>
      <c r="BE131" s="5">
        <f>MONTH(Modelling[[#This Row],[Date]])</f>
        <v>7</v>
      </c>
      <c r="BF131" s="25">
        <f>YEAR(BD131)+IF(MONTH(Modelling[[#This Row],[Date]])&gt;=4,1,0)</f>
        <v>2024</v>
      </c>
      <c r="BG131" s="3">
        <f t="shared" si="42"/>
        <v>2023</v>
      </c>
      <c r="BH131" s="3" t="s">
        <v>626</v>
      </c>
      <c r="BI131" s="5" t="s">
        <v>626</v>
      </c>
      <c r="BJ131" s="102">
        <v>45108</v>
      </c>
      <c r="BK131" s="5">
        <f t="shared" si="43"/>
        <v>31</v>
      </c>
      <c r="BL131" s="5">
        <f t="shared" si="44"/>
        <v>7</v>
      </c>
      <c r="BM131" s="4">
        <f>Modelling_old[[#This Row],[Target E_Grid daily
MWh]]+Modelling_new[[#This Row],[Target E_Grid daily
MWh]]</f>
        <v>37.096774193548384</v>
      </c>
      <c r="BN131" s="4">
        <f>Modelling_old[[#This Row],[Target E_Grid MTD
MWh]]+Modelling_new[[#This Row],[Target E_Grid MTD
MWh]]</f>
        <v>853.22580645161327</v>
      </c>
      <c r="BO131" s="4">
        <f>Modelling_old[[#This Row],[Target E_Grid YTD
MWh]]+Modelling_new[[#This Row],[Target E_Grid YTD
MWh]]</f>
        <v>5223.2258064516163</v>
      </c>
      <c r="BP13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31" s="4">
        <f>SUMIFS(Modelling[Target POA Daily (KWh/m2)],Modelling[Date],"&lt;="&amp;Modelling[[#This Row],[Date]],Modelling[Month Year],Modelling[[#This Row],[Month Year]])</f>
        <v>101.34838709677419</v>
      </c>
      <c r="BR131" s="4">
        <f>SUMIFS(Modelling[Target POA Daily (KWh/m2)],Modelling[Date],"&lt;="&amp;Modelling[[#This Row],[Date]],Modelling[Finacial Year],Modelling[[#This Row],[Finacial Year]])</f>
        <v>656.14838709677304</v>
      </c>
      <c r="BS131" s="9">
        <f>BM131/Modelling[[#This Row],[Comisined DC ]]/BP131</f>
        <v>0.73186713574555806</v>
      </c>
      <c r="BT131" s="9">
        <f>BN131/BQ131/Modelling[[#This Row],[Comisined DC ]]</f>
        <v>0.73186713574555851</v>
      </c>
      <c r="BU131" s="9">
        <f>BO131/BR131/Modelling[[#This Row],[Comisined DC ]]</f>
        <v>0.69202508994780698</v>
      </c>
      <c r="BV131" s="9">
        <f>BM131/(24*Modelling[[#This Row],[Comisined DC ]])</f>
        <v>0.13437238003070329</v>
      </c>
      <c r="BW131" s="9">
        <f>BN131/((COUNTIFS(Modelling[Date],"&lt;="&amp;Modelling[[#This Row],[Date]],Modelling[Month Year],Modelling[[#This Row],[Month Year]])*24*Modelling[[#This Row],[MTD DC Capcity]]))</f>
        <v>0.1343723800307034</v>
      </c>
      <c r="BX131" s="28">
        <f>BO131/((COUNTIFS(Modelling[Date],"&lt;="&amp;Modelling[[#This Row],[Date]],Modelling[Finacial Year],Modelling[[#This Row],[Finacial Year]])*24*Modelling[[#This Row],[MTD DC Capcity]]))</f>
        <v>0.16596167638879861</v>
      </c>
      <c r="BY131" s="4">
        <f>Modelling_old[[#This Row],[DC Capcity]]+Modelling_new[[#This Row],[Comisined DC ]]</f>
        <v>11.5031</v>
      </c>
      <c r="BZ131" s="4">
        <v>0</v>
      </c>
      <c r="CA131" s="4">
        <f>AVERAGEIFS(Modelling[[Comisined DC ]],Modelling[Date],"&lt;="&amp;Modelling[[#This Row],[Date]],Modelling[Month Year],Modelling[[#This Row],[Month Year]])</f>
        <v>11.503099999999995</v>
      </c>
      <c r="CB131" s="4">
        <f>AVERAGEIFS(Modelling[[Comisined DC ]],Modelling[Date],"&lt;="&amp;Modelling[[#This Row],[Date]],Modelling[Finacial Year],Modelling[[#This Row],[Finacial Year]])</f>
        <v>11.503099999999987</v>
      </c>
      <c r="CG131">
        <f t="shared" si="47"/>
        <v>23</v>
      </c>
      <c r="CH131">
        <f t="shared" si="48"/>
        <v>114</v>
      </c>
    </row>
    <row r="132" spans="1:86" x14ac:dyDescent="0.35">
      <c r="A132" s="27">
        <v>45131</v>
      </c>
      <c r="B132" s="5">
        <f>MONTH(Modelling_old[[#This Row],[Date]])</f>
        <v>7</v>
      </c>
      <c r="C132" s="25">
        <f t="shared" si="31"/>
        <v>2024</v>
      </c>
      <c r="D132" s="3">
        <f t="shared" si="32"/>
        <v>2023</v>
      </c>
      <c r="E132" s="3" t="s">
        <v>626</v>
      </c>
      <c r="F132" s="5" t="s">
        <v>626</v>
      </c>
      <c r="G132" s="102">
        <v>45108</v>
      </c>
      <c r="H132" s="5">
        <f t="shared" si="33"/>
        <v>31</v>
      </c>
      <c r="I132" s="5">
        <f t="shared" si="34"/>
        <v>7</v>
      </c>
      <c r="J132" s="4">
        <f t="shared" si="35"/>
        <v>37.096774193548384</v>
      </c>
      <c r="K132" s="4">
        <f>SUM($J$109:J132)</f>
        <v>890.32258064516168</v>
      </c>
      <c r="L132" s="4">
        <f>SUM($J$18:J132)</f>
        <v>5260.3225806451646</v>
      </c>
      <c r="M132" s="4">
        <f t="shared" si="36"/>
        <v>4.4064516129032256</v>
      </c>
      <c r="N132" s="4">
        <f>SUM($M$109:M132)</f>
        <v>105.75483870967741</v>
      </c>
      <c r="O132" s="4">
        <f>SUM($M$18:M132)</f>
        <v>660.55483870967623</v>
      </c>
      <c r="P132" s="9">
        <f t="shared" si="37"/>
        <v>0.73186713574555806</v>
      </c>
      <c r="Q132" s="26">
        <f t="shared" si="49"/>
        <v>0.73186713574555851</v>
      </c>
      <c r="R132" s="26">
        <f t="shared" si="49"/>
        <v>0.69229086961768227</v>
      </c>
      <c r="S132" s="9">
        <f t="shared" si="38"/>
        <v>0.13437238003070329</v>
      </c>
      <c r="T132" s="9">
        <f>K132/((COUNT($K$109:K132))*24*$Q$1)</f>
        <v>0.13437238003070331</v>
      </c>
      <c r="U132" s="28">
        <f>L132/((COUNT($L$18:L132))*24*$Q$1)</f>
        <v>0.16568698685524988</v>
      </c>
      <c r="V132" s="134">
        <v>11.5031</v>
      </c>
      <c r="Y132" s="27">
        <f t="shared" si="45"/>
        <v>45131</v>
      </c>
      <c r="Z132" s="5">
        <f>MONTH(Modelling_new[[#This Row],[Date]])</f>
        <v>7</v>
      </c>
      <c r="AA132" s="25">
        <f>YEAR(Y132)+IF(MONTH(Modelling_new[[#This Row],[Date]])&gt;=4,1,0)</f>
        <v>2024</v>
      </c>
      <c r="AB132" s="3">
        <f t="shared" si="39"/>
        <v>2023</v>
      </c>
      <c r="AC132" s="3" t="s">
        <v>626</v>
      </c>
      <c r="AD132" s="5" t="s">
        <v>626</v>
      </c>
      <c r="AE132" s="102">
        <v>45108</v>
      </c>
      <c r="AF132" s="5">
        <f t="shared" si="40"/>
        <v>31</v>
      </c>
      <c r="AG132" s="5">
        <f t="shared" si="41"/>
        <v>7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BD132" s="27">
        <f t="shared" si="46"/>
        <v>45131</v>
      </c>
      <c r="BE132" s="5">
        <f>MONTH(Modelling[[#This Row],[Date]])</f>
        <v>7</v>
      </c>
      <c r="BF132" s="25">
        <f>YEAR(BD132)+IF(MONTH(Modelling[[#This Row],[Date]])&gt;=4,1,0)</f>
        <v>2024</v>
      </c>
      <c r="BG132" s="3">
        <f t="shared" si="42"/>
        <v>2023</v>
      </c>
      <c r="BH132" s="3" t="s">
        <v>626</v>
      </c>
      <c r="BI132" s="5" t="s">
        <v>626</v>
      </c>
      <c r="BJ132" s="102">
        <v>45108</v>
      </c>
      <c r="BK132" s="5">
        <f t="shared" si="43"/>
        <v>31</v>
      </c>
      <c r="BL132" s="5">
        <f t="shared" si="44"/>
        <v>7</v>
      </c>
      <c r="BM132" s="4">
        <f>Modelling_old[[#This Row],[Target E_Grid daily
MWh]]+Modelling_new[[#This Row],[Target E_Grid daily
MWh]]</f>
        <v>37.096774193548384</v>
      </c>
      <c r="BN132" s="4">
        <f>Modelling_old[[#This Row],[Target E_Grid MTD
MWh]]+Modelling_new[[#This Row],[Target E_Grid MTD
MWh]]</f>
        <v>890.32258064516168</v>
      </c>
      <c r="BO132" s="4">
        <f>Modelling_old[[#This Row],[Target E_Grid YTD
MWh]]+Modelling_new[[#This Row],[Target E_Grid YTD
MWh]]</f>
        <v>5260.3225806451646</v>
      </c>
      <c r="BP13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32" s="4">
        <f>SUMIFS(Modelling[Target POA Daily (KWh/m2)],Modelling[Date],"&lt;="&amp;Modelling[[#This Row],[Date]],Modelling[Month Year],Modelling[[#This Row],[Month Year]])</f>
        <v>105.75483870967741</v>
      </c>
      <c r="BR132" s="4">
        <f>SUMIFS(Modelling[Target POA Daily (KWh/m2)],Modelling[Date],"&lt;="&amp;Modelling[[#This Row],[Date]],Modelling[Finacial Year],Modelling[[#This Row],[Finacial Year]])</f>
        <v>660.55483870967623</v>
      </c>
      <c r="BS132" s="9">
        <f>BM132/Modelling[[#This Row],[Comisined DC ]]/BP132</f>
        <v>0.73186713574555806</v>
      </c>
      <c r="BT132" s="9">
        <f>BN132/BQ132/Modelling[[#This Row],[Comisined DC ]]</f>
        <v>0.73186713574555851</v>
      </c>
      <c r="BU132" s="9">
        <f>BO132/BR132/Modelling[[#This Row],[Comisined DC ]]</f>
        <v>0.69229086961768227</v>
      </c>
      <c r="BV132" s="9">
        <f>BM132/(24*Modelling[[#This Row],[Comisined DC ]])</f>
        <v>0.13437238003070329</v>
      </c>
      <c r="BW132" s="9">
        <f>BN132/((COUNTIFS(Modelling[Date],"&lt;="&amp;Modelling[[#This Row],[Date]],Modelling[Month Year],Modelling[[#This Row],[Month Year]])*24*Modelling[[#This Row],[MTD DC Capcity]]))</f>
        <v>0.13437238003070337</v>
      </c>
      <c r="BX132" s="28">
        <f>BO132/((COUNTIFS(Modelling[Date],"&lt;="&amp;Modelling[[#This Row],[Date]],Modelling[Finacial Year],Modelling[[#This Row],[Finacial Year]])*24*Modelling[[#This Row],[MTD DC Capcity]]))</f>
        <v>0.16568698685524993</v>
      </c>
      <c r="BY132" s="4">
        <f>Modelling_old[[#This Row],[DC Capcity]]+Modelling_new[[#This Row],[Comisined DC ]]</f>
        <v>11.5031</v>
      </c>
      <c r="BZ132" s="4">
        <v>0</v>
      </c>
      <c r="CA132" s="4">
        <f>AVERAGEIFS(Modelling[[Comisined DC ]],Modelling[Date],"&lt;="&amp;Modelling[[#This Row],[Date]],Modelling[Month Year],Modelling[[#This Row],[Month Year]])</f>
        <v>11.503099999999996</v>
      </c>
      <c r="CB132" s="4">
        <f>AVERAGEIFS(Modelling[[Comisined DC ]],Modelling[Date],"&lt;="&amp;Modelling[[#This Row],[Date]],Modelling[Finacial Year],Modelling[[#This Row],[Finacial Year]])</f>
        <v>11.503099999999987</v>
      </c>
      <c r="CG132">
        <f t="shared" si="47"/>
        <v>24</v>
      </c>
      <c r="CH132">
        <f t="shared" si="48"/>
        <v>115</v>
      </c>
    </row>
    <row r="133" spans="1:86" x14ac:dyDescent="0.35">
      <c r="A133" s="27">
        <v>45132</v>
      </c>
      <c r="B133" s="5">
        <f>MONTH(Modelling_old[[#This Row],[Date]])</f>
        <v>7</v>
      </c>
      <c r="C133" s="25">
        <f t="shared" si="31"/>
        <v>2024</v>
      </c>
      <c r="D133" s="3">
        <f t="shared" si="32"/>
        <v>2023</v>
      </c>
      <c r="E133" s="3" t="s">
        <v>626</v>
      </c>
      <c r="F133" s="5" t="s">
        <v>626</v>
      </c>
      <c r="G133" s="102">
        <v>45108</v>
      </c>
      <c r="H133" s="5">
        <f t="shared" si="33"/>
        <v>31</v>
      </c>
      <c r="I133" s="5">
        <f t="shared" si="34"/>
        <v>7</v>
      </c>
      <c r="J133" s="4">
        <f t="shared" si="35"/>
        <v>37.096774193548384</v>
      </c>
      <c r="K133" s="4">
        <f>SUM($J$109:J133)</f>
        <v>927.41935483871009</v>
      </c>
      <c r="L133" s="4">
        <f>SUM($J$18:J133)</f>
        <v>5297.4193548387129</v>
      </c>
      <c r="M133" s="4">
        <f t="shared" si="36"/>
        <v>4.4064516129032256</v>
      </c>
      <c r="N133" s="4">
        <f>SUM($M$109:M133)</f>
        <v>110.16129032258064</v>
      </c>
      <c r="O133" s="4">
        <f>SUM($M$18:M133)</f>
        <v>664.96129032257943</v>
      </c>
      <c r="P133" s="9">
        <f t="shared" si="37"/>
        <v>0.73186713574555806</v>
      </c>
      <c r="Q133" s="26">
        <f t="shared" si="49"/>
        <v>0.73186713574555851</v>
      </c>
      <c r="R133" s="26">
        <f t="shared" si="49"/>
        <v>0.69255312684114756</v>
      </c>
      <c r="S133" s="9">
        <f t="shared" si="38"/>
        <v>0.13437238003070329</v>
      </c>
      <c r="T133" s="9">
        <f>K133/((COUNT($K$109:K133))*24*$Q$1)</f>
        <v>0.13437238003070334</v>
      </c>
      <c r="U133" s="28">
        <f>L133/((COUNT($L$18:L133))*24*$Q$1)</f>
        <v>0.16541703334814173</v>
      </c>
      <c r="V133" s="134">
        <v>11.5031</v>
      </c>
      <c r="Y133" s="27">
        <f t="shared" si="45"/>
        <v>45132</v>
      </c>
      <c r="Z133" s="5">
        <f>MONTH(Modelling_new[[#This Row],[Date]])</f>
        <v>7</v>
      </c>
      <c r="AA133" s="25">
        <f>YEAR(Y133)+IF(MONTH(Modelling_new[[#This Row],[Date]])&gt;=4,1,0)</f>
        <v>2024</v>
      </c>
      <c r="AB133" s="3">
        <f t="shared" si="39"/>
        <v>2023</v>
      </c>
      <c r="AC133" s="3" t="s">
        <v>626</v>
      </c>
      <c r="AD133" s="5" t="s">
        <v>626</v>
      </c>
      <c r="AE133" s="102">
        <v>45108</v>
      </c>
      <c r="AF133" s="5">
        <f t="shared" si="40"/>
        <v>31</v>
      </c>
      <c r="AG133" s="5">
        <f t="shared" si="41"/>
        <v>7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BD133" s="27">
        <f t="shared" si="46"/>
        <v>45132</v>
      </c>
      <c r="BE133" s="5">
        <f>MONTH(Modelling[[#This Row],[Date]])</f>
        <v>7</v>
      </c>
      <c r="BF133" s="25">
        <f>YEAR(BD133)+IF(MONTH(Modelling[[#This Row],[Date]])&gt;=4,1,0)</f>
        <v>2024</v>
      </c>
      <c r="BG133" s="3">
        <f t="shared" si="42"/>
        <v>2023</v>
      </c>
      <c r="BH133" s="3" t="s">
        <v>626</v>
      </c>
      <c r="BI133" s="5" t="s">
        <v>626</v>
      </c>
      <c r="BJ133" s="102">
        <v>45108</v>
      </c>
      <c r="BK133" s="5">
        <f t="shared" si="43"/>
        <v>31</v>
      </c>
      <c r="BL133" s="5">
        <f t="shared" si="44"/>
        <v>7</v>
      </c>
      <c r="BM133" s="4">
        <f>Modelling_old[[#This Row],[Target E_Grid daily
MWh]]+Modelling_new[[#This Row],[Target E_Grid daily
MWh]]</f>
        <v>37.096774193548384</v>
      </c>
      <c r="BN133" s="4">
        <f>Modelling_old[[#This Row],[Target E_Grid MTD
MWh]]+Modelling_new[[#This Row],[Target E_Grid MTD
MWh]]</f>
        <v>927.41935483871009</v>
      </c>
      <c r="BO133" s="4">
        <f>Modelling_old[[#This Row],[Target E_Grid YTD
MWh]]+Modelling_new[[#This Row],[Target E_Grid YTD
MWh]]</f>
        <v>5297.4193548387129</v>
      </c>
      <c r="BP13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33" s="4">
        <f>SUMIFS(Modelling[Target POA Daily (KWh/m2)],Modelling[Date],"&lt;="&amp;Modelling[[#This Row],[Date]],Modelling[Month Year],Modelling[[#This Row],[Month Year]])</f>
        <v>110.16129032258064</v>
      </c>
      <c r="BR133" s="4">
        <f>SUMIFS(Modelling[Target POA Daily (KWh/m2)],Modelling[Date],"&lt;="&amp;Modelling[[#This Row],[Date]],Modelling[Finacial Year],Modelling[[#This Row],[Finacial Year]])</f>
        <v>664.96129032257943</v>
      </c>
      <c r="BS133" s="9">
        <f>BM133/Modelling[[#This Row],[Comisined DC ]]/BP133</f>
        <v>0.73186713574555806</v>
      </c>
      <c r="BT133" s="9">
        <f>BN133/BQ133/Modelling[[#This Row],[Comisined DC ]]</f>
        <v>0.73186713574555851</v>
      </c>
      <c r="BU133" s="9">
        <f>BO133/BR133/Modelling[[#This Row],[Comisined DC ]]</f>
        <v>0.69255312684114756</v>
      </c>
      <c r="BV133" s="9">
        <f>BM133/(24*Modelling[[#This Row],[Comisined DC ]])</f>
        <v>0.13437238003070329</v>
      </c>
      <c r="BW133" s="9">
        <f>BN133/((COUNTIFS(Modelling[Date],"&lt;="&amp;Modelling[[#This Row],[Date]],Modelling[Month Year],Modelling[[#This Row],[Month Year]])*24*Modelling[[#This Row],[MTD DC Capcity]]))</f>
        <v>0.13437238003070337</v>
      </c>
      <c r="BX133" s="28">
        <f>BO133/((COUNTIFS(Modelling[Date],"&lt;="&amp;Modelling[[#This Row],[Date]],Modelling[Finacial Year],Modelling[[#This Row],[Finacial Year]])*24*Modelling[[#This Row],[MTD DC Capcity]]))</f>
        <v>0.16541703334814176</v>
      </c>
      <c r="BY133" s="4">
        <f>Modelling_old[[#This Row],[DC Capcity]]+Modelling_new[[#This Row],[Comisined DC ]]</f>
        <v>11.5031</v>
      </c>
      <c r="BZ133" s="4">
        <v>0</v>
      </c>
      <c r="CA133" s="4">
        <f>AVERAGEIFS(Modelling[[Comisined DC ]],Modelling[Date],"&lt;="&amp;Modelling[[#This Row],[Date]],Modelling[Month Year],Modelling[[#This Row],[Month Year]])</f>
        <v>11.503099999999996</v>
      </c>
      <c r="CB133" s="4">
        <f>AVERAGEIFS(Modelling[[Comisined DC ]],Modelling[Date],"&lt;="&amp;Modelling[[#This Row],[Date]],Modelling[Finacial Year],Modelling[[#This Row],[Finacial Year]])</f>
        <v>11.503099999999986</v>
      </c>
      <c r="CG133">
        <f t="shared" si="47"/>
        <v>25</v>
      </c>
      <c r="CH133">
        <f t="shared" si="48"/>
        <v>116</v>
      </c>
    </row>
    <row r="134" spans="1:86" x14ac:dyDescent="0.35">
      <c r="A134" s="27">
        <v>45133</v>
      </c>
      <c r="B134" s="5">
        <f>MONTH(Modelling_old[[#This Row],[Date]])</f>
        <v>7</v>
      </c>
      <c r="C134" s="25">
        <f t="shared" si="31"/>
        <v>2024</v>
      </c>
      <c r="D134" s="3">
        <f t="shared" si="32"/>
        <v>2023</v>
      </c>
      <c r="E134" s="3" t="s">
        <v>626</v>
      </c>
      <c r="F134" s="5" t="s">
        <v>626</v>
      </c>
      <c r="G134" s="102">
        <v>45108</v>
      </c>
      <c r="H134" s="5">
        <f t="shared" si="33"/>
        <v>31</v>
      </c>
      <c r="I134" s="5">
        <f t="shared" si="34"/>
        <v>7</v>
      </c>
      <c r="J134" s="4">
        <f t="shared" si="35"/>
        <v>37.096774193548384</v>
      </c>
      <c r="K134" s="4">
        <f>SUM($J$109:J134)</f>
        <v>964.5161290322585</v>
      </c>
      <c r="L134" s="4">
        <f>SUM($J$18:J134)</f>
        <v>5334.5161290322612</v>
      </c>
      <c r="M134" s="4">
        <f t="shared" si="36"/>
        <v>4.4064516129032256</v>
      </c>
      <c r="N134" s="4">
        <f>SUM($M$109:M134)</f>
        <v>114.56774193548387</v>
      </c>
      <c r="O134" s="4">
        <f>SUM($M$18:M134)</f>
        <v>669.36774193548263</v>
      </c>
      <c r="P134" s="9">
        <f t="shared" si="37"/>
        <v>0.73186713574555806</v>
      </c>
      <c r="Q134" s="26">
        <f t="shared" si="49"/>
        <v>0.73186713574555851</v>
      </c>
      <c r="R134" s="26">
        <f t="shared" si="49"/>
        <v>0.69281193118305628</v>
      </c>
      <c r="S134" s="9">
        <f t="shared" si="38"/>
        <v>0.13437238003070329</v>
      </c>
      <c r="T134" s="9">
        <f>K134/((COUNT($K$109:K134))*24*$Q$1)</f>
        <v>0.13437238003070334</v>
      </c>
      <c r="U134" s="28">
        <f>L134/((COUNT($L$18:L134))*24*$Q$1)</f>
        <v>0.16515169443089864</v>
      </c>
      <c r="V134" s="134">
        <v>11.5031</v>
      </c>
      <c r="Y134" s="27">
        <f t="shared" si="45"/>
        <v>45133</v>
      </c>
      <c r="Z134" s="5">
        <f>MONTH(Modelling_new[[#This Row],[Date]])</f>
        <v>7</v>
      </c>
      <c r="AA134" s="25">
        <f>YEAR(Y134)+IF(MONTH(Modelling_new[[#This Row],[Date]])&gt;=4,1,0)</f>
        <v>2024</v>
      </c>
      <c r="AB134" s="3">
        <f t="shared" si="39"/>
        <v>2023</v>
      </c>
      <c r="AC134" s="3" t="s">
        <v>626</v>
      </c>
      <c r="AD134" s="5" t="s">
        <v>626</v>
      </c>
      <c r="AE134" s="102">
        <v>45108</v>
      </c>
      <c r="AF134" s="5">
        <f t="shared" si="40"/>
        <v>31</v>
      </c>
      <c r="AG134" s="5">
        <f t="shared" si="41"/>
        <v>7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BD134" s="27">
        <f t="shared" si="46"/>
        <v>45133</v>
      </c>
      <c r="BE134" s="5">
        <f>MONTH(Modelling[[#This Row],[Date]])</f>
        <v>7</v>
      </c>
      <c r="BF134" s="25">
        <f>YEAR(BD134)+IF(MONTH(Modelling[[#This Row],[Date]])&gt;=4,1,0)</f>
        <v>2024</v>
      </c>
      <c r="BG134" s="3">
        <f t="shared" si="42"/>
        <v>2023</v>
      </c>
      <c r="BH134" s="3" t="s">
        <v>626</v>
      </c>
      <c r="BI134" s="5" t="s">
        <v>626</v>
      </c>
      <c r="BJ134" s="102">
        <v>45108</v>
      </c>
      <c r="BK134" s="5">
        <f t="shared" si="43"/>
        <v>31</v>
      </c>
      <c r="BL134" s="5">
        <f t="shared" si="44"/>
        <v>7</v>
      </c>
      <c r="BM134" s="4">
        <f>Modelling_old[[#This Row],[Target E_Grid daily
MWh]]+Modelling_new[[#This Row],[Target E_Grid daily
MWh]]</f>
        <v>37.096774193548384</v>
      </c>
      <c r="BN134" s="4">
        <f>Modelling_old[[#This Row],[Target E_Grid MTD
MWh]]+Modelling_new[[#This Row],[Target E_Grid MTD
MWh]]</f>
        <v>964.5161290322585</v>
      </c>
      <c r="BO134" s="4">
        <f>Modelling_old[[#This Row],[Target E_Grid YTD
MWh]]+Modelling_new[[#This Row],[Target E_Grid YTD
MWh]]</f>
        <v>5334.5161290322612</v>
      </c>
      <c r="BP13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34" s="4">
        <f>SUMIFS(Modelling[Target POA Daily (KWh/m2)],Modelling[Date],"&lt;="&amp;Modelling[[#This Row],[Date]],Modelling[Month Year],Modelling[[#This Row],[Month Year]])</f>
        <v>114.56774193548387</v>
      </c>
      <c r="BR134" s="4">
        <f>SUMIFS(Modelling[Target POA Daily (KWh/m2)],Modelling[Date],"&lt;="&amp;Modelling[[#This Row],[Date]],Modelling[Finacial Year],Modelling[[#This Row],[Finacial Year]])</f>
        <v>669.36774193548263</v>
      </c>
      <c r="BS134" s="9">
        <f>BM134/Modelling[[#This Row],[Comisined DC ]]/BP134</f>
        <v>0.73186713574555806</v>
      </c>
      <c r="BT134" s="9">
        <f>BN134/BQ134/Modelling[[#This Row],[Comisined DC ]]</f>
        <v>0.73186713574555851</v>
      </c>
      <c r="BU134" s="9">
        <f>BO134/BR134/Modelling[[#This Row],[Comisined DC ]]</f>
        <v>0.69281193118305628</v>
      </c>
      <c r="BV134" s="9">
        <f>BM134/(24*Modelling[[#This Row],[Comisined DC ]])</f>
        <v>0.13437238003070329</v>
      </c>
      <c r="BW134" s="9">
        <f>BN134/((COUNTIFS(Modelling[Date],"&lt;="&amp;Modelling[[#This Row],[Date]],Modelling[Month Year],Modelling[[#This Row],[Month Year]])*24*Modelling[[#This Row],[MTD DC Capcity]]))</f>
        <v>0.13437238003070334</v>
      </c>
      <c r="BX134" s="28">
        <f>BO134/((COUNTIFS(Modelling[Date],"&lt;="&amp;Modelling[[#This Row],[Date]],Modelling[Finacial Year],Modelling[[#This Row],[Finacial Year]])*24*Modelling[[#This Row],[MTD DC Capcity]]))</f>
        <v>0.16515169443089867</v>
      </c>
      <c r="BY134" s="4">
        <f>Modelling_old[[#This Row],[DC Capcity]]+Modelling_new[[#This Row],[Comisined DC ]]</f>
        <v>11.5031</v>
      </c>
      <c r="BZ134" s="4">
        <v>0</v>
      </c>
      <c r="CA134" s="4">
        <f>AVERAGEIFS(Modelling[[Comisined DC ]],Modelling[Date],"&lt;="&amp;Modelling[[#This Row],[Date]],Modelling[Month Year],Modelling[[#This Row],[Month Year]])</f>
        <v>11.503099999999998</v>
      </c>
      <c r="CB134" s="4">
        <f>AVERAGEIFS(Modelling[[Comisined DC ]],Modelling[Date],"&lt;="&amp;Modelling[[#This Row],[Date]],Modelling[Finacial Year],Modelling[[#This Row],[Finacial Year]])</f>
        <v>11.503099999999986</v>
      </c>
      <c r="CG134">
        <f t="shared" si="47"/>
        <v>26</v>
      </c>
      <c r="CH134">
        <f t="shared" si="48"/>
        <v>117</v>
      </c>
    </row>
    <row r="135" spans="1:86" x14ac:dyDescent="0.35">
      <c r="A135" s="27">
        <v>45134</v>
      </c>
      <c r="B135" s="5">
        <f>MONTH(Modelling_old[[#This Row],[Date]])</f>
        <v>7</v>
      </c>
      <c r="C135" s="25">
        <f t="shared" si="31"/>
        <v>2024</v>
      </c>
      <c r="D135" s="3">
        <f t="shared" si="32"/>
        <v>2023</v>
      </c>
      <c r="E135" s="3" t="s">
        <v>626</v>
      </c>
      <c r="F135" s="5" t="s">
        <v>626</v>
      </c>
      <c r="G135" s="102">
        <v>45108</v>
      </c>
      <c r="H135" s="5">
        <f t="shared" si="33"/>
        <v>31</v>
      </c>
      <c r="I135" s="5">
        <f t="shared" si="34"/>
        <v>7</v>
      </c>
      <c r="J135" s="4">
        <f t="shared" si="35"/>
        <v>37.096774193548384</v>
      </c>
      <c r="K135" s="4">
        <f>SUM($J$109:J135)</f>
        <v>1001.6129032258069</v>
      </c>
      <c r="L135" s="4">
        <f>SUM($J$18:J135)</f>
        <v>5371.6129032258095</v>
      </c>
      <c r="M135" s="4">
        <f t="shared" si="36"/>
        <v>4.4064516129032256</v>
      </c>
      <c r="N135" s="4">
        <f>SUM($M$109:M135)</f>
        <v>118.97419354838709</v>
      </c>
      <c r="O135" s="4">
        <f>SUM($M$18:M135)</f>
        <v>673.77419354838582</v>
      </c>
      <c r="P135" s="9">
        <f t="shared" si="37"/>
        <v>0.73186713574555806</v>
      </c>
      <c r="Q135" s="26">
        <f t="shared" si="49"/>
        <v>0.73186713574555851</v>
      </c>
      <c r="R135" s="26">
        <f t="shared" si="49"/>
        <v>0.69306735038845868</v>
      </c>
      <c r="S135" s="9">
        <f t="shared" si="38"/>
        <v>0.13437238003070329</v>
      </c>
      <c r="T135" s="9">
        <f>K135/((COUNT($K$109:K135))*24*$Q$1)</f>
        <v>0.13437238003070334</v>
      </c>
      <c r="U135" s="28">
        <f>L135/((COUNT($L$18:L135))*24*$Q$1)</f>
        <v>0.16489085278343935</v>
      </c>
      <c r="V135" s="134">
        <v>11.5031</v>
      </c>
      <c r="Y135" s="27">
        <f t="shared" si="45"/>
        <v>45134</v>
      </c>
      <c r="Z135" s="5">
        <f>MONTH(Modelling_new[[#This Row],[Date]])</f>
        <v>7</v>
      </c>
      <c r="AA135" s="25">
        <f>YEAR(Y135)+IF(MONTH(Modelling_new[[#This Row],[Date]])&gt;=4,1,0)</f>
        <v>2024</v>
      </c>
      <c r="AB135" s="3">
        <f t="shared" si="39"/>
        <v>2023</v>
      </c>
      <c r="AC135" s="3" t="s">
        <v>626</v>
      </c>
      <c r="AD135" s="5" t="s">
        <v>626</v>
      </c>
      <c r="AE135" s="102">
        <v>45108</v>
      </c>
      <c r="AF135" s="5">
        <f t="shared" si="40"/>
        <v>31</v>
      </c>
      <c r="AG135" s="5">
        <f t="shared" si="41"/>
        <v>7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BD135" s="27">
        <f t="shared" si="46"/>
        <v>45134</v>
      </c>
      <c r="BE135" s="5">
        <f>MONTH(Modelling[[#This Row],[Date]])</f>
        <v>7</v>
      </c>
      <c r="BF135" s="25">
        <f>YEAR(BD135)+IF(MONTH(Modelling[[#This Row],[Date]])&gt;=4,1,0)</f>
        <v>2024</v>
      </c>
      <c r="BG135" s="3">
        <f t="shared" si="42"/>
        <v>2023</v>
      </c>
      <c r="BH135" s="3" t="s">
        <v>626</v>
      </c>
      <c r="BI135" s="5" t="s">
        <v>626</v>
      </c>
      <c r="BJ135" s="102">
        <v>45108</v>
      </c>
      <c r="BK135" s="5">
        <f t="shared" si="43"/>
        <v>31</v>
      </c>
      <c r="BL135" s="5">
        <f t="shared" si="44"/>
        <v>7</v>
      </c>
      <c r="BM135" s="4">
        <f>Modelling_old[[#This Row],[Target E_Grid daily
MWh]]+Modelling_new[[#This Row],[Target E_Grid daily
MWh]]</f>
        <v>37.096774193548384</v>
      </c>
      <c r="BN135" s="4">
        <f>Modelling_old[[#This Row],[Target E_Grid MTD
MWh]]+Modelling_new[[#This Row],[Target E_Grid MTD
MWh]]</f>
        <v>1001.6129032258069</v>
      </c>
      <c r="BO135" s="4">
        <f>Modelling_old[[#This Row],[Target E_Grid YTD
MWh]]+Modelling_new[[#This Row],[Target E_Grid YTD
MWh]]</f>
        <v>5371.6129032258095</v>
      </c>
      <c r="BP13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35" s="4">
        <f>SUMIFS(Modelling[Target POA Daily (KWh/m2)],Modelling[Date],"&lt;="&amp;Modelling[[#This Row],[Date]],Modelling[Month Year],Modelling[[#This Row],[Month Year]])</f>
        <v>118.97419354838709</v>
      </c>
      <c r="BR135" s="4">
        <f>SUMIFS(Modelling[Target POA Daily (KWh/m2)],Modelling[Date],"&lt;="&amp;Modelling[[#This Row],[Date]],Modelling[Finacial Year],Modelling[[#This Row],[Finacial Year]])</f>
        <v>673.77419354838582</v>
      </c>
      <c r="BS135" s="9">
        <f>BM135/Modelling[[#This Row],[Comisined DC ]]/BP135</f>
        <v>0.73186713574555806</v>
      </c>
      <c r="BT135" s="9">
        <f>BN135/BQ135/Modelling[[#This Row],[Comisined DC ]]</f>
        <v>0.73186713574555851</v>
      </c>
      <c r="BU135" s="9">
        <f>BO135/BR135/Modelling[[#This Row],[Comisined DC ]]</f>
        <v>0.69306735038845868</v>
      </c>
      <c r="BV135" s="9">
        <f>BM135/(24*Modelling[[#This Row],[Comisined DC ]])</f>
        <v>0.13437238003070329</v>
      </c>
      <c r="BW135" s="9">
        <f>BN135/((COUNTIFS(Modelling[Date],"&lt;="&amp;Modelling[[#This Row],[Date]],Modelling[Month Year],Modelling[[#This Row],[Month Year]])*24*Modelling[[#This Row],[MTD DC Capcity]]))</f>
        <v>0.13437238003070337</v>
      </c>
      <c r="BX135" s="28">
        <f>BO135/((COUNTIFS(Modelling[Date],"&lt;="&amp;Modelling[[#This Row],[Date]],Modelling[Finacial Year],Modelling[[#This Row],[Finacial Year]])*24*Modelling[[#This Row],[MTD DC Capcity]]))</f>
        <v>0.1648908527834394</v>
      </c>
      <c r="BY135" s="4">
        <f>Modelling_old[[#This Row],[DC Capcity]]+Modelling_new[[#This Row],[Comisined DC ]]</f>
        <v>11.5031</v>
      </c>
      <c r="BZ135" s="4">
        <v>0</v>
      </c>
      <c r="CA135" s="4">
        <f>AVERAGEIFS(Modelling[[Comisined DC ]],Modelling[Date],"&lt;="&amp;Modelling[[#This Row],[Date]],Modelling[Month Year],Modelling[[#This Row],[Month Year]])</f>
        <v>11.503099999999998</v>
      </c>
      <c r="CB135" s="4">
        <f>AVERAGEIFS(Modelling[[Comisined DC ]],Modelling[Date],"&lt;="&amp;Modelling[[#This Row],[Date]],Modelling[Finacial Year],Modelling[[#This Row],[Finacial Year]])</f>
        <v>11.503099999999986</v>
      </c>
      <c r="CG135">
        <f t="shared" si="47"/>
        <v>27</v>
      </c>
      <c r="CH135">
        <f t="shared" si="48"/>
        <v>118</v>
      </c>
    </row>
    <row r="136" spans="1:86" x14ac:dyDescent="0.35">
      <c r="A136" s="27">
        <v>45135</v>
      </c>
      <c r="B136" s="5">
        <f>MONTH(Modelling_old[[#This Row],[Date]])</f>
        <v>7</v>
      </c>
      <c r="C136" s="25">
        <f t="shared" si="31"/>
        <v>2024</v>
      </c>
      <c r="D136" s="3">
        <f t="shared" si="32"/>
        <v>2023</v>
      </c>
      <c r="E136" s="3" t="s">
        <v>626</v>
      </c>
      <c r="F136" s="5" t="s">
        <v>626</v>
      </c>
      <c r="G136" s="102">
        <v>45108</v>
      </c>
      <c r="H136" s="5">
        <f t="shared" si="33"/>
        <v>31</v>
      </c>
      <c r="I136" s="5">
        <f t="shared" si="34"/>
        <v>7</v>
      </c>
      <c r="J136" s="4">
        <f t="shared" si="35"/>
        <v>37.096774193548384</v>
      </c>
      <c r="K136" s="4">
        <f>SUM($J$109:J136)</f>
        <v>1038.7096774193553</v>
      </c>
      <c r="L136" s="4">
        <f>SUM($J$18:J136)</f>
        <v>5408.7096774193578</v>
      </c>
      <c r="M136" s="4">
        <f t="shared" si="36"/>
        <v>4.4064516129032256</v>
      </c>
      <c r="N136" s="4">
        <f>SUM($M$109:M136)</f>
        <v>123.38064516129032</v>
      </c>
      <c r="O136" s="4">
        <f>SUM($M$18:M136)</f>
        <v>678.18064516128902</v>
      </c>
      <c r="P136" s="9">
        <f t="shared" si="37"/>
        <v>0.73186713574555806</v>
      </c>
      <c r="Q136" s="26">
        <f t="shared" si="49"/>
        <v>0.73186713574555851</v>
      </c>
      <c r="R136" s="26">
        <f t="shared" si="49"/>
        <v>0.69331945044172161</v>
      </c>
      <c r="S136" s="9">
        <f t="shared" si="38"/>
        <v>0.13437238003070329</v>
      </c>
      <c r="T136" s="9">
        <f>K136/((COUNT($K$109:K136))*24*$Q$1)</f>
        <v>0.13437238003070334</v>
      </c>
      <c r="U136" s="28">
        <f>L136/((COUNT($L$18:L136))*24*$Q$1)</f>
        <v>0.16463439502921468</v>
      </c>
      <c r="V136" s="134">
        <v>11.5031</v>
      </c>
      <c r="Y136" s="27">
        <f t="shared" si="45"/>
        <v>45135</v>
      </c>
      <c r="Z136" s="5">
        <f>MONTH(Modelling_new[[#This Row],[Date]])</f>
        <v>7</v>
      </c>
      <c r="AA136" s="25">
        <f>YEAR(Y136)+IF(MONTH(Modelling_new[[#This Row],[Date]])&gt;=4,1,0)</f>
        <v>2024</v>
      </c>
      <c r="AB136" s="3">
        <f t="shared" si="39"/>
        <v>2023</v>
      </c>
      <c r="AC136" s="3" t="s">
        <v>626</v>
      </c>
      <c r="AD136" s="5" t="s">
        <v>626</v>
      </c>
      <c r="AE136" s="102">
        <v>45108</v>
      </c>
      <c r="AF136" s="5">
        <f t="shared" si="40"/>
        <v>31</v>
      </c>
      <c r="AG136" s="5">
        <f t="shared" si="41"/>
        <v>7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BD136" s="27">
        <f t="shared" si="46"/>
        <v>45135</v>
      </c>
      <c r="BE136" s="5">
        <f>MONTH(Modelling[[#This Row],[Date]])</f>
        <v>7</v>
      </c>
      <c r="BF136" s="25">
        <f>YEAR(BD136)+IF(MONTH(Modelling[[#This Row],[Date]])&gt;=4,1,0)</f>
        <v>2024</v>
      </c>
      <c r="BG136" s="3">
        <f t="shared" si="42"/>
        <v>2023</v>
      </c>
      <c r="BH136" s="3" t="s">
        <v>626</v>
      </c>
      <c r="BI136" s="5" t="s">
        <v>626</v>
      </c>
      <c r="BJ136" s="102">
        <v>45108</v>
      </c>
      <c r="BK136" s="5">
        <f t="shared" si="43"/>
        <v>31</v>
      </c>
      <c r="BL136" s="5">
        <f t="shared" si="44"/>
        <v>7</v>
      </c>
      <c r="BM136" s="4">
        <f>Modelling_old[[#This Row],[Target E_Grid daily
MWh]]+Modelling_new[[#This Row],[Target E_Grid daily
MWh]]</f>
        <v>37.096774193548384</v>
      </c>
      <c r="BN136" s="4">
        <f>Modelling_old[[#This Row],[Target E_Grid MTD
MWh]]+Modelling_new[[#This Row],[Target E_Grid MTD
MWh]]</f>
        <v>1038.7096774193553</v>
      </c>
      <c r="BO136" s="4">
        <f>Modelling_old[[#This Row],[Target E_Grid YTD
MWh]]+Modelling_new[[#This Row],[Target E_Grid YTD
MWh]]</f>
        <v>5408.7096774193578</v>
      </c>
      <c r="BP13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36" s="4">
        <f>SUMIFS(Modelling[Target POA Daily (KWh/m2)],Modelling[Date],"&lt;="&amp;Modelling[[#This Row],[Date]],Modelling[Month Year],Modelling[[#This Row],[Month Year]])</f>
        <v>123.38064516129032</v>
      </c>
      <c r="BR136" s="4">
        <f>SUMIFS(Modelling[Target POA Daily (KWh/m2)],Modelling[Date],"&lt;="&amp;Modelling[[#This Row],[Date]],Modelling[Finacial Year],Modelling[[#This Row],[Finacial Year]])</f>
        <v>678.18064516128902</v>
      </c>
      <c r="BS136" s="9">
        <f>BM136/Modelling[[#This Row],[Comisined DC ]]/BP136</f>
        <v>0.73186713574555806</v>
      </c>
      <c r="BT136" s="9">
        <f>BN136/BQ136/Modelling[[#This Row],[Comisined DC ]]</f>
        <v>0.73186713574555851</v>
      </c>
      <c r="BU136" s="9">
        <f>BO136/BR136/Modelling[[#This Row],[Comisined DC ]]</f>
        <v>0.69331945044172161</v>
      </c>
      <c r="BV136" s="9">
        <f>BM136/(24*Modelling[[#This Row],[Comisined DC ]])</f>
        <v>0.13437238003070329</v>
      </c>
      <c r="BW136" s="9">
        <f>BN136/((COUNTIFS(Modelling[Date],"&lt;="&amp;Modelling[[#This Row],[Date]],Modelling[Month Year],Modelling[[#This Row],[Month Year]])*24*Modelling[[#This Row],[MTD DC Capcity]]))</f>
        <v>0.13437238003070334</v>
      </c>
      <c r="BX136" s="28">
        <f>BO136/((COUNTIFS(Modelling[Date],"&lt;="&amp;Modelling[[#This Row],[Date]],Modelling[Finacial Year],Modelling[[#This Row],[Finacial Year]])*24*Modelling[[#This Row],[MTD DC Capcity]]))</f>
        <v>0.16463439502921468</v>
      </c>
      <c r="BY136" s="4">
        <f>Modelling_old[[#This Row],[DC Capcity]]+Modelling_new[[#This Row],[Comisined DC ]]</f>
        <v>11.5031</v>
      </c>
      <c r="BZ136" s="4">
        <v>0</v>
      </c>
      <c r="CA136" s="4">
        <f>AVERAGEIFS(Modelling[[Comisined DC ]],Modelling[Date],"&lt;="&amp;Modelling[[#This Row],[Date]],Modelling[Month Year],Modelling[[#This Row],[Month Year]])</f>
        <v>11.5031</v>
      </c>
      <c r="CB136" s="4">
        <f>AVERAGEIFS(Modelling[[Comisined DC ]],Modelling[Date],"&lt;="&amp;Modelling[[#This Row],[Date]],Modelling[Finacial Year],Modelling[[#This Row],[Finacial Year]])</f>
        <v>11.503099999999984</v>
      </c>
      <c r="CG136">
        <f t="shared" si="47"/>
        <v>28</v>
      </c>
      <c r="CH136">
        <f t="shared" si="48"/>
        <v>119</v>
      </c>
    </row>
    <row r="137" spans="1:86" x14ac:dyDescent="0.35">
      <c r="A137" s="27">
        <v>45136</v>
      </c>
      <c r="B137" s="5">
        <f>MONTH(Modelling_old[[#This Row],[Date]])</f>
        <v>7</v>
      </c>
      <c r="C137" s="25">
        <f t="shared" si="31"/>
        <v>2024</v>
      </c>
      <c r="D137" s="3">
        <f t="shared" si="32"/>
        <v>2023</v>
      </c>
      <c r="E137" s="3" t="s">
        <v>626</v>
      </c>
      <c r="F137" s="5" t="s">
        <v>626</v>
      </c>
      <c r="G137" s="102">
        <v>45108</v>
      </c>
      <c r="H137" s="5">
        <f t="shared" si="33"/>
        <v>31</v>
      </c>
      <c r="I137" s="5">
        <f t="shared" si="34"/>
        <v>7</v>
      </c>
      <c r="J137" s="4">
        <f t="shared" si="35"/>
        <v>37.096774193548384</v>
      </c>
      <c r="K137" s="4">
        <f>SUM($J$109:J137)</f>
        <v>1075.8064516129036</v>
      </c>
      <c r="L137" s="4">
        <f>SUM($J$18:J137)</f>
        <v>5445.8064516129061</v>
      </c>
      <c r="M137" s="4">
        <f t="shared" si="36"/>
        <v>4.4064516129032256</v>
      </c>
      <c r="N137" s="4">
        <f>SUM($M$109:M137)</f>
        <v>127.78709677419354</v>
      </c>
      <c r="O137" s="4">
        <f>SUM($M$18:M137)</f>
        <v>682.58709677419222</v>
      </c>
      <c r="P137" s="9">
        <f t="shared" si="37"/>
        <v>0.73186713574555806</v>
      </c>
      <c r="Q137" s="26">
        <f t="shared" si="49"/>
        <v>0.73186713574555828</v>
      </c>
      <c r="R137" s="26">
        <f t="shared" si="49"/>
        <v>0.69356829562336009</v>
      </c>
      <c r="S137" s="9">
        <f t="shared" si="38"/>
        <v>0.13437238003070329</v>
      </c>
      <c r="T137" s="9">
        <f>K137/((COUNT($K$109:K137))*24*$Q$1)</f>
        <v>0.13437238003070334</v>
      </c>
      <c r="U137" s="28">
        <f>L137/((COUNT($L$18:L137))*24*$Q$1)</f>
        <v>0.16438221157089375</v>
      </c>
      <c r="V137" s="134">
        <v>11.5031</v>
      </c>
      <c r="Y137" s="27">
        <f t="shared" si="45"/>
        <v>45136</v>
      </c>
      <c r="Z137" s="5">
        <f>MONTH(Modelling_new[[#This Row],[Date]])</f>
        <v>7</v>
      </c>
      <c r="AA137" s="25">
        <f>YEAR(Y137)+IF(MONTH(Modelling_new[[#This Row],[Date]])&gt;=4,1,0)</f>
        <v>2024</v>
      </c>
      <c r="AB137" s="3">
        <f t="shared" si="39"/>
        <v>2023</v>
      </c>
      <c r="AC137" s="3" t="s">
        <v>626</v>
      </c>
      <c r="AD137" s="5" t="s">
        <v>626</v>
      </c>
      <c r="AE137" s="102">
        <v>45108</v>
      </c>
      <c r="AF137" s="5">
        <f t="shared" si="40"/>
        <v>31</v>
      </c>
      <c r="AG137" s="5">
        <f t="shared" si="41"/>
        <v>7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BD137" s="27">
        <f t="shared" si="46"/>
        <v>45136</v>
      </c>
      <c r="BE137" s="5">
        <f>MONTH(Modelling[[#This Row],[Date]])</f>
        <v>7</v>
      </c>
      <c r="BF137" s="25">
        <f>YEAR(BD137)+IF(MONTH(Modelling[[#This Row],[Date]])&gt;=4,1,0)</f>
        <v>2024</v>
      </c>
      <c r="BG137" s="3">
        <f t="shared" si="42"/>
        <v>2023</v>
      </c>
      <c r="BH137" s="3" t="s">
        <v>626</v>
      </c>
      <c r="BI137" s="5" t="s">
        <v>626</v>
      </c>
      <c r="BJ137" s="102">
        <v>45108</v>
      </c>
      <c r="BK137" s="5">
        <f t="shared" si="43"/>
        <v>31</v>
      </c>
      <c r="BL137" s="5">
        <f t="shared" si="44"/>
        <v>7</v>
      </c>
      <c r="BM137" s="4">
        <f>Modelling_old[[#This Row],[Target E_Grid daily
MWh]]+Modelling_new[[#This Row],[Target E_Grid daily
MWh]]</f>
        <v>37.096774193548384</v>
      </c>
      <c r="BN137" s="4">
        <f>Modelling_old[[#This Row],[Target E_Grid MTD
MWh]]+Modelling_new[[#This Row],[Target E_Grid MTD
MWh]]</f>
        <v>1075.8064516129036</v>
      </c>
      <c r="BO137" s="4">
        <f>Modelling_old[[#This Row],[Target E_Grid YTD
MWh]]+Modelling_new[[#This Row],[Target E_Grid YTD
MWh]]</f>
        <v>5445.8064516129061</v>
      </c>
      <c r="BP13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37" s="4">
        <f>SUMIFS(Modelling[Target POA Daily (KWh/m2)],Modelling[Date],"&lt;="&amp;Modelling[[#This Row],[Date]],Modelling[Month Year],Modelling[[#This Row],[Month Year]])</f>
        <v>127.78709677419354</v>
      </c>
      <c r="BR137" s="4">
        <f>SUMIFS(Modelling[Target POA Daily (KWh/m2)],Modelling[Date],"&lt;="&amp;Modelling[[#This Row],[Date]],Modelling[Finacial Year],Modelling[[#This Row],[Finacial Year]])</f>
        <v>682.58709677419222</v>
      </c>
      <c r="BS137" s="9">
        <f>BM137/Modelling[[#This Row],[Comisined DC ]]/BP137</f>
        <v>0.73186713574555806</v>
      </c>
      <c r="BT137" s="9">
        <f>BN137/BQ137/Modelling[[#This Row],[Comisined DC ]]</f>
        <v>0.73186713574555828</v>
      </c>
      <c r="BU137" s="9">
        <f>BO137/BR137/Modelling[[#This Row],[Comisined DC ]]</f>
        <v>0.69356829562336009</v>
      </c>
      <c r="BV137" s="9">
        <f>BM137/(24*Modelling[[#This Row],[Comisined DC ]])</f>
        <v>0.13437238003070329</v>
      </c>
      <c r="BW137" s="9">
        <f>BN137/((COUNTIFS(Modelling[Date],"&lt;="&amp;Modelling[[#This Row],[Date]],Modelling[Month Year],Modelling[[#This Row],[Month Year]])*24*Modelling[[#This Row],[MTD DC Capcity]]))</f>
        <v>0.13437238003070334</v>
      </c>
      <c r="BX137" s="28">
        <f>BO137/((COUNTIFS(Modelling[Date],"&lt;="&amp;Modelling[[#This Row],[Date]],Modelling[Finacial Year],Modelling[[#This Row],[Finacial Year]])*24*Modelling[[#This Row],[MTD DC Capcity]]))</f>
        <v>0.16438221157089375</v>
      </c>
      <c r="BY137" s="4">
        <f>Modelling_old[[#This Row],[DC Capcity]]+Modelling_new[[#This Row],[Comisined DC ]]</f>
        <v>11.5031</v>
      </c>
      <c r="BZ137" s="4">
        <v>0</v>
      </c>
      <c r="CA137" s="4">
        <f>AVERAGEIFS(Modelling[[Comisined DC ]],Modelling[Date],"&lt;="&amp;Modelling[[#This Row],[Date]],Modelling[Month Year],Modelling[[#This Row],[Month Year]])</f>
        <v>11.5031</v>
      </c>
      <c r="CB137" s="4">
        <f>AVERAGEIFS(Modelling[[Comisined DC ]],Modelling[Date],"&lt;="&amp;Modelling[[#This Row],[Date]],Modelling[Finacial Year],Modelling[[#This Row],[Finacial Year]])</f>
        <v>11.503099999999984</v>
      </c>
      <c r="CG137">
        <f t="shared" si="47"/>
        <v>29</v>
      </c>
      <c r="CH137">
        <f t="shared" si="48"/>
        <v>120</v>
      </c>
    </row>
    <row r="138" spans="1:86" x14ac:dyDescent="0.35">
      <c r="A138" s="27">
        <v>45137</v>
      </c>
      <c r="B138" s="5">
        <f>MONTH(Modelling_old[[#This Row],[Date]])</f>
        <v>7</v>
      </c>
      <c r="C138" s="25">
        <f t="shared" si="31"/>
        <v>2024</v>
      </c>
      <c r="D138" s="3">
        <f t="shared" si="32"/>
        <v>2023</v>
      </c>
      <c r="E138" s="3" t="s">
        <v>626</v>
      </c>
      <c r="F138" s="5" t="s">
        <v>626</v>
      </c>
      <c r="G138" s="102">
        <v>45108</v>
      </c>
      <c r="H138" s="5">
        <f t="shared" si="33"/>
        <v>31</v>
      </c>
      <c r="I138" s="5">
        <f t="shared" si="34"/>
        <v>7</v>
      </c>
      <c r="J138" s="4">
        <f t="shared" si="35"/>
        <v>37.096774193548384</v>
      </c>
      <c r="K138" s="4">
        <f>SUM($J$109:J138)</f>
        <v>1112.9032258064519</v>
      </c>
      <c r="L138" s="4">
        <f>SUM($J$18:J138)</f>
        <v>5482.9032258064544</v>
      </c>
      <c r="M138" s="4">
        <f t="shared" si="36"/>
        <v>4.4064516129032256</v>
      </c>
      <c r="N138" s="4">
        <f>SUM($M$109:M138)</f>
        <v>132.19354838709677</v>
      </c>
      <c r="O138" s="4">
        <f>SUM($M$18:M138)</f>
        <v>686.99354838709542</v>
      </c>
      <c r="P138" s="9">
        <f t="shared" si="37"/>
        <v>0.73186713574555806</v>
      </c>
      <c r="Q138" s="26">
        <f t="shared" si="49"/>
        <v>0.73186713574555828</v>
      </c>
      <c r="R138" s="26">
        <f t="shared" si="49"/>
        <v>0.69381394856467948</v>
      </c>
      <c r="S138" s="9">
        <f t="shared" si="38"/>
        <v>0.13437238003070329</v>
      </c>
      <c r="T138" s="9">
        <f>K138/((COUNT($K$109:K138))*24*$Q$1)</f>
        <v>0.13437238003070331</v>
      </c>
      <c r="U138" s="28">
        <f>L138/((COUNT($L$18:L138))*24*$Q$1)</f>
        <v>0.16413419643419797</v>
      </c>
      <c r="V138" s="134">
        <v>11.5031</v>
      </c>
      <c r="Y138" s="27">
        <f t="shared" si="45"/>
        <v>45137</v>
      </c>
      <c r="Z138" s="5">
        <f>MONTH(Modelling_new[[#This Row],[Date]])</f>
        <v>7</v>
      </c>
      <c r="AA138" s="25">
        <f>YEAR(Y138)+IF(MONTH(Modelling_new[[#This Row],[Date]])&gt;=4,1,0)</f>
        <v>2024</v>
      </c>
      <c r="AB138" s="3">
        <f t="shared" si="39"/>
        <v>2023</v>
      </c>
      <c r="AC138" s="3" t="s">
        <v>626</v>
      </c>
      <c r="AD138" s="5" t="s">
        <v>626</v>
      </c>
      <c r="AE138" s="102">
        <v>45108</v>
      </c>
      <c r="AF138" s="5">
        <f t="shared" si="40"/>
        <v>31</v>
      </c>
      <c r="AG138" s="5">
        <f t="shared" si="41"/>
        <v>7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BD138" s="27">
        <f t="shared" si="46"/>
        <v>45137</v>
      </c>
      <c r="BE138" s="5">
        <f>MONTH(Modelling[[#This Row],[Date]])</f>
        <v>7</v>
      </c>
      <c r="BF138" s="25">
        <f>YEAR(BD138)+IF(MONTH(Modelling[[#This Row],[Date]])&gt;=4,1,0)</f>
        <v>2024</v>
      </c>
      <c r="BG138" s="3">
        <f t="shared" si="42"/>
        <v>2023</v>
      </c>
      <c r="BH138" s="3" t="s">
        <v>626</v>
      </c>
      <c r="BI138" s="5" t="s">
        <v>626</v>
      </c>
      <c r="BJ138" s="102">
        <v>45108</v>
      </c>
      <c r="BK138" s="5">
        <f t="shared" si="43"/>
        <v>31</v>
      </c>
      <c r="BL138" s="5">
        <f t="shared" si="44"/>
        <v>7</v>
      </c>
      <c r="BM138" s="4">
        <f>Modelling_old[[#This Row],[Target E_Grid daily
MWh]]+Modelling_new[[#This Row],[Target E_Grid daily
MWh]]</f>
        <v>37.096774193548384</v>
      </c>
      <c r="BN138" s="4">
        <f>Modelling_old[[#This Row],[Target E_Grid MTD
MWh]]+Modelling_new[[#This Row],[Target E_Grid MTD
MWh]]</f>
        <v>1112.9032258064519</v>
      </c>
      <c r="BO138" s="4">
        <f>Modelling_old[[#This Row],[Target E_Grid YTD
MWh]]+Modelling_new[[#This Row],[Target E_Grid YTD
MWh]]</f>
        <v>5482.9032258064544</v>
      </c>
      <c r="BP13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38" s="4">
        <f>SUMIFS(Modelling[Target POA Daily (KWh/m2)],Modelling[Date],"&lt;="&amp;Modelling[[#This Row],[Date]],Modelling[Month Year],Modelling[[#This Row],[Month Year]])</f>
        <v>132.19354838709677</v>
      </c>
      <c r="BR138" s="4">
        <f>SUMIFS(Modelling[Target POA Daily (KWh/m2)],Modelling[Date],"&lt;="&amp;Modelling[[#This Row],[Date]],Modelling[Finacial Year],Modelling[[#This Row],[Finacial Year]])</f>
        <v>686.99354838709542</v>
      </c>
      <c r="BS138" s="9">
        <f>BM138/Modelling[[#This Row],[Comisined DC ]]/BP138</f>
        <v>0.73186713574555806</v>
      </c>
      <c r="BT138" s="9">
        <f>BN138/BQ138/Modelling[[#This Row],[Comisined DC ]]</f>
        <v>0.73186713574555828</v>
      </c>
      <c r="BU138" s="9">
        <f>BO138/BR138/Modelling[[#This Row],[Comisined DC ]]</f>
        <v>0.69381394856467948</v>
      </c>
      <c r="BV138" s="9">
        <f>BM138/(24*Modelling[[#This Row],[Comisined DC ]])</f>
        <v>0.13437238003070329</v>
      </c>
      <c r="BW138" s="9">
        <f>BN138/((COUNTIFS(Modelling[Date],"&lt;="&amp;Modelling[[#This Row],[Date]],Modelling[Month Year],Modelling[[#This Row],[Month Year]])*24*Modelling[[#This Row],[MTD DC Capcity]]))</f>
        <v>0.13437238003070331</v>
      </c>
      <c r="BX138" s="28">
        <f>BO138/((COUNTIFS(Modelling[Date],"&lt;="&amp;Modelling[[#This Row],[Date]],Modelling[Finacial Year],Modelling[[#This Row],[Finacial Year]])*24*Modelling[[#This Row],[MTD DC Capcity]]))</f>
        <v>0.16413419643419797</v>
      </c>
      <c r="BY138" s="4">
        <f>Modelling_old[[#This Row],[DC Capcity]]+Modelling_new[[#This Row],[Comisined DC ]]</f>
        <v>11.5031</v>
      </c>
      <c r="BZ138" s="4">
        <v>0</v>
      </c>
      <c r="CA138" s="4">
        <f>AVERAGEIFS(Modelling[[Comisined DC ]],Modelling[Date],"&lt;="&amp;Modelling[[#This Row],[Date]],Modelling[Month Year],Modelling[[#This Row],[Month Year]])</f>
        <v>11.5031</v>
      </c>
      <c r="CB138" s="4">
        <f>AVERAGEIFS(Modelling[[Comisined DC ]],Modelling[Date],"&lt;="&amp;Modelling[[#This Row],[Date]],Modelling[Finacial Year],Modelling[[#This Row],[Finacial Year]])</f>
        <v>11.503099999999982</v>
      </c>
      <c r="CG138">
        <f t="shared" si="47"/>
        <v>30</v>
      </c>
      <c r="CH138">
        <f t="shared" si="48"/>
        <v>121</v>
      </c>
    </row>
    <row r="139" spans="1:86" x14ac:dyDescent="0.35">
      <c r="A139" s="27">
        <v>45138</v>
      </c>
      <c r="B139" s="5">
        <f>MONTH(Modelling_old[[#This Row],[Date]])</f>
        <v>7</v>
      </c>
      <c r="C139" s="25">
        <f t="shared" si="31"/>
        <v>2024</v>
      </c>
      <c r="D139" s="3">
        <f t="shared" si="32"/>
        <v>2023</v>
      </c>
      <c r="E139" s="3" t="s">
        <v>626</v>
      </c>
      <c r="F139" s="5" t="s">
        <v>626</v>
      </c>
      <c r="G139" s="102">
        <v>45108</v>
      </c>
      <c r="H139" s="5">
        <f t="shared" si="33"/>
        <v>31</v>
      </c>
      <c r="I139" s="5">
        <f t="shared" si="34"/>
        <v>7</v>
      </c>
      <c r="J139" s="4">
        <f t="shared" si="35"/>
        <v>37.096774193548384</v>
      </c>
      <c r="K139" s="4">
        <f>SUM($J$109:J139)</f>
        <v>1150.0000000000002</v>
      </c>
      <c r="L139" s="4">
        <f>SUM($J$18:J139)</f>
        <v>5520.0000000000027</v>
      </c>
      <c r="M139" s="4">
        <f t="shared" si="36"/>
        <v>4.4064516129032256</v>
      </c>
      <c r="N139" s="4">
        <f>SUM($M$109:M139)</f>
        <v>136.6</v>
      </c>
      <c r="O139" s="4">
        <f>SUM($M$18:M139)</f>
        <v>691.39999999999861</v>
      </c>
      <c r="P139" s="9">
        <f t="shared" si="37"/>
        <v>0.73186713574555806</v>
      </c>
      <c r="Q139" s="26">
        <f t="shared" si="49"/>
        <v>0.73186713574555828</v>
      </c>
      <c r="R139" s="26">
        <f t="shared" si="49"/>
        <v>0.6940564703003308</v>
      </c>
      <c r="S139" s="9">
        <f t="shared" si="38"/>
        <v>0.13437238003070329</v>
      </c>
      <c r="T139" s="9">
        <f>K139/((COUNT($K$109:K139))*24*$Q$1)</f>
        <v>0.13437238003070331</v>
      </c>
      <c r="U139" s="28">
        <f>L139/((COUNT($L$18:L139))*24*$Q$1)</f>
        <v>0.16389024711941522</v>
      </c>
      <c r="V139" s="134">
        <v>11.5031</v>
      </c>
      <c r="Y139" s="27">
        <f t="shared" si="45"/>
        <v>45138</v>
      </c>
      <c r="Z139" s="5">
        <f>MONTH(Modelling_new[[#This Row],[Date]])</f>
        <v>7</v>
      </c>
      <c r="AA139" s="25">
        <f>YEAR(Y139)+IF(MONTH(Modelling_new[[#This Row],[Date]])&gt;=4,1,0)</f>
        <v>2024</v>
      </c>
      <c r="AB139" s="3">
        <f t="shared" si="39"/>
        <v>2023</v>
      </c>
      <c r="AC139" s="3" t="s">
        <v>626</v>
      </c>
      <c r="AD139" s="5" t="s">
        <v>626</v>
      </c>
      <c r="AE139" s="102">
        <v>45108</v>
      </c>
      <c r="AF139" s="5">
        <f t="shared" si="40"/>
        <v>31</v>
      </c>
      <c r="AG139" s="5">
        <f t="shared" si="41"/>
        <v>7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BD139" s="27">
        <f t="shared" si="46"/>
        <v>45138</v>
      </c>
      <c r="BE139" s="5">
        <f>MONTH(Modelling[[#This Row],[Date]])</f>
        <v>7</v>
      </c>
      <c r="BF139" s="25">
        <f>YEAR(BD139)+IF(MONTH(Modelling[[#This Row],[Date]])&gt;=4,1,0)</f>
        <v>2024</v>
      </c>
      <c r="BG139" s="3">
        <f t="shared" si="42"/>
        <v>2023</v>
      </c>
      <c r="BH139" s="3" t="s">
        <v>626</v>
      </c>
      <c r="BI139" s="5" t="s">
        <v>626</v>
      </c>
      <c r="BJ139" s="102">
        <v>45108</v>
      </c>
      <c r="BK139" s="5">
        <f t="shared" si="43"/>
        <v>31</v>
      </c>
      <c r="BL139" s="5">
        <f t="shared" si="44"/>
        <v>7</v>
      </c>
      <c r="BM139" s="4">
        <f>Modelling_old[[#This Row],[Target E_Grid daily
MWh]]+Modelling_new[[#This Row],[Target E_Grid daily
MWh]]</f>
        <v>37.096774193548384</v>
      </c>
      <c r="BN139" s="4">
        <f>Modelling_old[[#This Row],[Target E_Grid MTD
MWh]]+Modelling_new[[#This Row],[Target E_Grid MTD
MWh]]</f>
        <v>1150.0000000000002</v>
      </c>
      <c r="BO139" s="4">
        <f>Modelling_old[[#This Row],[Target E_Grid YTD
MWh]]+Modelling_new[[#This Row],[Target E_Grid YTD
MWh]]</f>
        <v>5520.0000000000027</v>
      </c>
      <c r="BP13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4.4064516129032256</v>
      </c>
      <c r="BQ139" s="4">
        <f>SUMIFS(Modelling[Target POA Daily (KWh/m2)],Modelling[Date],"&lt;="&amp;Modelling[[#This Row],[Date]],Modelling[Month Year],Modelling[[#This Row],[Month Year]])</f>
        <v>136.6</v>
      </c>
      <c r="BR139" s="4">
        <f>SUMIFS(Modelling[Target POA Daily (KWh/m2)],Modelling[Date],"&lt;="&amp;Modelling[[#This Row],[Date]],Modelling[Finacial Year],Modelling[[#This Row],[Finacial Year]])</f>
        <v>691.39999999999861</v>
      </c>
      <c r="BS139" s="9">
        <f>BM139/Modelling[[#This Row],[Comisined DC ]]/BP139</f>
        <v>0.73186713574555806</v>
      </c>
      <c r="BT139" s="9">
        <f>BN139/BQ139/Modelling[[#This Row],[Comisined DC ]]</f>
        <v>0.73186713574555828</v>
      </c>
      <c r="BU139" s="9">
        <f>BO139/BR139/Modelling[[#This Row],[Comisined DC ]]</f>
        <v>0.6940564703003308</v>
      </c>
      <c r="BV139" s="9">
        <f>BM139/(24*Modelling[[#This Row],[Comisined DC ]])</f>
        <v>0.13437238003070329</v>
      </c>
      <c r="BW139" s="9">
        <f>BN139/((COUNTIFS(Modelling[Date],"&lt;="&amp;Modelling[[#This Row],[Date]],Modelling[Month Year],Modelling[[#This Row],[Month Year]])*24*Modelling[[#This Row],[MTD DC Capcity]]))</f>
        <v>0.13437238003070329</v>
      </c>
      <c r="BX139" s="28">
        <f>BO139/((COUNTIFS(Modelling[Date],"&lt;="&amp;Modelling[[#This Row],[Date]],Modelling[Finacial Year],Modelling[[#This Row],[Finacial Year]])*24*Modelling[[#This Row],[MTD DC Capcity]]))</f>
        <v>0.16389024711941522</v>
      </c>
      <c r="BY139" s="4">
        <f>Modelling_old[[#This Row],[DC Capcity]]+Modelling_new[[#This Row],[Comisined DC ]]</f>
        <v>11.5031</v>
      </c>
      <c r="BZ139" s="4">
        <v>0</v>
      </c>
      <c r="CA139" s="4">
        <f>AVERAGEIFS(Modelling[[Comisined DC ]],Modelling[Date],"&lt;="&amp;Modelling[[#This Row],[Date]],Modelling[Month Year],Modelling[[#This Row],[Month Year]])</f>
        <v>11.503100000000002</v>
      </c>
      <c r="CB139" s="4">
        <f>AVERAGEIFS(Modelling[[Comisined DC ]],Modelling[Date],"&lt;="&amp;Modelling[[#This Row],[Date]],Modelling[Finacial Year],Modelling[[#This Row],[Finacial Year]])</f>
        <v>11.503099999999982</v>
      </c>
      <c r="CG139">
        <f t="shared" si="47"/>
        <v>31</v>
      </c>
      <c r="CH139">
        <f t="shared" si="48"/>
        <v>122</v>
      </c>
    </row>
    <row r="140" spans="1:86" x14ac:dyDescent="0.35">
      <c r="A140" s="27">
        <v>45139</v>
      </c>
      <c r="B140" s="5">
        <f>MONTH(Modelling_old[[#This Row],[Date]])</f>
        <v>8</v>
      </c>
      <c r="C140" s="25">
        <f t="shared" si="31"/>
        <v>2024</v>
      </c>
      <c r="D140" s="3">
        <f t="shared" si="32"/>
        <v>2023</v>
      </c>
      <c r="E140" s="3" t="s">
        <v>626</v>
      </c>
      <c r="F140" s="5" t="s">
        <v>626</v>
      </c>
      <c r="G140" s="102">
        <v>45139</v>
      </c>
      <c r="H140" s="5">
        <f t="shared" si="33"/>
        <v>31</v>
      </c>
      <c r="I140" s="5">
        <f t="shared" si="34"/>
        <v>8</v>
      </c>
      <c r="J140" s="4">
        <f t="shared" si="35"/>
        <v>35.161290322580648</v>
      </c>
      <c r="K140" s="4">
        <f>SUM($J$140:J140)</f>
        <v>35.161290322580648</v>
      </c>
      <c r="L140" s="4">
        <f>SUM($J$18:J140)</f>
        <v>5555.1612903225832</v>
      </c>
      <c r="M140" s="4">
        <f t="shared" si="36"/>
        <v>4.1741935483870973</v>
      </c>
      <c r="N140" s="4">
        <f>SUM($M$140:M140)</f>
        <v>4.1741935483870973</v>
      </c>
      <c r="O140" s="4">
        <f>SUM($M$18:M140)</f>
        <v>695.57419354838567</v>
      </c>
      <c r="P140" s="9">
        <f t="shared" si="37"/>
        <v>0.73228025878434988</v>
      </c>
      <c r="Q140" s="26">
        <f t="shared" si="49"/>
        <v>0.73228025878434999</v>
      </c>
      <c r="R140" s="26">
        <f t="shared" si="49"/>
        <v>0.69428585415724331</v>
      </c>
      <c r="S140" s="9">
        <f t="shared" si="38"/>
        <v>0.12736164715953616</v>
      </c>
      <c r="T140" s="9">
        <f>K140/((COUNT($K$140:K140))*24*$Q$1)</f>
        <v>0.12736164715953616</v>
      </c>
      <c r="U140" s="28">
        <f>L140/((COUNT($L$18:L140))*24*$Q$1)</f>
        <v>0.16359326663193652</v>
      </c>
      <c r="V140" s="134">
        <v>11.5031</v>
      </c>
      <c r="Y140" s="27">
        <f t="shared" si="45"/>
        <v>45139</v>
      </c>
      <c r="Z140" s="5">
        <f>MONTH(Modelling_new[[#This Row],[Date]])</f>
        <v>8</v>
      </c>
      <c r="AA140" s="25">
        <f>YEAR(Y140)+IF(MONTH(Modelling_new[[#This Row],[Date]])&gt;=4,1,0)</f>
        <v>2024</v>
      </c>
      <c r="AB140" s="3">
        <f t="shared" si="39"/>
        <v>2023</v>
      </c>
      <c r="AC140" s="3" t="s">
        <v>626</v>
      </c>
      <c r="AD140" s="5" t="s">
        <v>626</v>
      </c>
      <c r="AE140" s="102">
        <v>45139</v>
      </c>
      <c r="AF140" s="5">
        <f t="shared" si="40"/>
        <v>31</v>
      </c>
      <c r="AG140" s="5">
        <f t="shared" si="41"/>
        <v>8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BD140" s="27">
        <f t="shared" si="46"/>
        <v>45139</v>
      </c>
      <c r="BE140" s="5">
        <f>MONTH(Modelling[[#This Row],[Date]])</f>
        <v>8</v>
      </c>
      <c r="BF140" s="25">
        <f>YEAR(BD140)+IF(MONTH(Modelling[[#This Row],[Date]])&gt;=4,1,0)</f>
        <v>2024</v>
      </c>
      <c r="BG140" s="3">
        <f t="shared" si="42"/>
        <v>2023</v>
      </c>
      <c r="BH140" s="3" t="s">
        <v>626</v>
      </c>
      <c r="BI140" s="5" t="s">
        <v>626</v>
      </c>
      <c r="BJ140" s="102">
        <v>45139</v>
      </c>
      <c r="BK140" s="5">
        <f t="shared" si="43"/>
        <v>31</v>
      </c>
      <c r="BL140" s="5">
        <f t="shared" si="44"/>
        <v>8</v>
      </c>
      <c r="BM140" s="4">
        <f>Modelling_old[[#This Row],[Target E_Grid daily
MWh]]+Modelling_new[[#This Row],[Target E_Grid daily
MWh]]</f>
        <v>35.161290322580648</v>
      </c>
      <c r="BN140" s="4">
        <f>Modelling_old[[#This Row],[Target E_Grid MTD
MWh]]+Modelling_new[[#This Row],[Target E_Grid MTD
MWh]]</f>
        <v>35.161290322580648</v>
      </c>
      <c r="BO140" s="4">
        <f>Modelling_old[[#This Row],[Target E_Grid YTD
MWh]]+Modelling_new[[#This Row],[Target E_Grid YTD
MWh]]</f>
        <v>5555.1612903225832</v>
      </c>
      <c r="BP14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40" s="4">
        <f>SUMIFS(Modelling[Target POA Daily (KWh/m2)],Modelling[Date],"&lt;="&amp;Modelling[[#This Row],[Date]],Modelling[Month Year],Modelling[[#This Row],[Month Year]])</f>
        <v>4.1741935483870973</v>
      </c>
      <c r="BR140" s="4">
        <f>SUMIFS(Modelling[Target POA Daily (KWh/m2)],Modelling[Date],"&lt;="&amp;Modelling[[#This Row],[Date]],Modelling[Finacial Year],Modelling[[#This Row],[Finacial Year]])</f>
        <v>695.57419354838567</v>
      </c>
      <c r="BS140" s="9">
        <f>BM140/Modelling[[#This Row],[Comisined DC ]]/BP140</f>
        <v>0.73228025878434988</v>
      </c>
      <c r="BT140" s="9">
        <f>BN140/BQ140/Modelling[[#This Row],[Comisined DC ]]</f>
        <v>0.73228025878434999</v>
      </c>
      <c r="BU140" s="9">
        <f>BO140/BR140/Modelling[[#This Row],[Comisined DC ]]</f>
        <v>0.69428585415724331</v>
      </c>
      <c r="BV140" s="9">
        <f>BM140/(24*Modelling[[#This Row],[Comisined DC ]])</f>
        <v>0.12736164715953616</v>
      </c>
      <c r="BW140" s="9">
        <f>BN140/((COUNTIFS(Modelling[Date],"&lt;="&amp;Modelling[[#This Row],[Date]],Modelling[Month Year],Modelling[[#This Row],[Month Year]])*24*Modelling[[#This Row],[MTD DC Capcity]]))</f>
        <v>0.12736164715953616</v>
      </c>
      <c r="BX140" s="28">
        <f>BO140/((COUNTIFS(Modelling[Date],"&lt;="&amp;Modelling[[#This Row],[Date]],Modelling[Finacial Year],Modelling[[#This Row],[Finacial Year]])*24*Modelling[[#This Row],[MTD DC Capcity]]))</f>
        <v>0.16359326663193652</v>
      </c>
      <c r="BY140" s="4">
        <f>Modelling_old[[#This Row],[DC Capcity]]+Modelling_new[[#This Row],[Comisined DC ]]</f>
        <v>11.5031</v>
      </c>
      <c r="BZ140" s="4">
        <v>0</v>
      </c>
      <c r="CA140" s="4">
        <f>AVERAGEIFS(Modelling[[Comisined DC ]],Modelling[Date],"&lt;="&amp;Modelling[[#This Row],[Date]],Modelling[Month Year],Modelling[[#This Row],[Month Year]])</f>
        <v>11.5031</v>
      </c>
      <c r="CB140" s="4">
        <f>AVERAGEIFS(Modelling[[Comisined DC ]],Modelling[Date],"&lt;="&amp;Modelling[[#This Row],[Date]],Modelling[Finacial Year],Modelling[[#This Row],[Finacial Year]])</f>
        <v>11.503099999999982</v>
      </c>
      <c r="CG140">
        <v>1</v>
      </c>
      <c r="CH140">
        <f t="shared" si="48"/>
        <v>123</v>
      </c>
    </row>
    <row r="141" spans="1:86" x14ac:dyDescent="0.35">
      <c r="A141" s="27">
        <v>45140</v>
      </c>
      <c r="B141" s="5">
        <f>MONTH(Modelling_old[[#This Row],[Date]])</f>
        <v>8</v>
      </c>
      <c r="C141" s="25">
        <f t="shared" si="31"/>
        <v>2024</v>
      </c>
      <c r="D141" s="3">
        <f t="shared" si="32"/>
        <v>2023</v>
      </c>
      <c r="E141" s="3" t="s">
        <v>626</v>
      </c>
      <c r="F141" s="5" t="s">
        <v>626</v>
      </c>
      <c r="G141" s="102">
        <v>45139</v>
      </c>
      <c r="H141" s="5">
        <f t="shared" si="33"/>
        <v>31</v>
      </c>
      <c r="I141" s="5">
        <f t="shared" si="34"/>
        <v>8</v>
      </c>
      <c r="J141" s="4">
        <f t="shared" si="35"/>
        <v>35.161290322580648</v>
      </c>
      <c r="K141" s="4">
        <f>SUM($J$140:J141)</f>
        <v>70.322580645161295</v>
      </c>
      <c r="L141" s="4">
        <f>SUM($J$18:J141)</f>
        <v>5590.3225806451637</v>
      </c>
      <c r="M141" s="4">
        <f t="shared" si="36"/>
        <v>4.1741935483870973</v>
      </c>
      <c r="N141" s="4">
        <f>SUM($M$140:M141)</f>
        <v>8.3483870967741947</v>
      </c>
      <c r="O141" s="4">
        <f>SUM($M$18:M141)</f>
        <v>699.74838709677272</v>
      </c>
      <c r="P141" s="9">
        <f t="shared" si="37"/>
        <v>0.73228025878434988</v>
      </c>
      <c r="Q141" s="26">
        <f t="shared" si="49"/>
        <v>0.73228025878434999</v>
      </c>
      <c r="R141" s="26">
        <f t="shared" si="49"/>
        <v>0.69451250133727804</v>
      </c>
      <c r="S141" s="9">
        <f t="shared" si="38"/>
        <v>0.12736164715953616</v>
      </c>
      <c r="T141" s="9">
        <f>K141/((COUNT($K$140:K141))*24*$Q$1)</f>
        <v>0.12736164715953616</v>
      </c>
      <c r="U141" s="28">
        <f>L141/((COUNT($L$18:L141))*24*$Q$1)</f>
        <v>0.1633010761523204</v>
      </c>
      <c r="V141" s="134">
        <v>11.5031</v>
      </c>
      <c r="Y141" s="27">
        <f t="shared" si="45"/>
        <v>45140</v>
      </c>
      <c r="Z141" s="5">
        <f>MONTH(Modelling_new[[#This Row],[Date]])</f>
        <v>8</v>
      </c>
      <c r="AA141" s="25">
        <f>YEAR(Y141)+IF(MONTH(Modelling_new[[#This Row],[Date]])&gt;=4,1,0)</f>
        <v>2024</v>
      </c>
      <c r="AB141" s="3">
        <f t="shared" si="39"/>
        <v>2023</v>
      </c>
      <c r="AC141" s="3" t="s">
        <v>626</v>
      </c>
      <c r="AD141" s="5" t="s">
        <v>626</v>
      </c>
      <c r="AE141" s="102">
        <v>45139</v>
      </c>
      <c r="AF141" s="5">
        <f t="shared" si="40"/>
        <v>31</v>
      </c>
      <c r="AG141" s="5">
        <f t="shared" si="41"/>
        <v>8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BD141" s="27">
        <f t="shared" si="46"/>
        <v>45140</v>
      </c>
      <c r="BE141" s="5">
        <f>MONTH(Modelling[[#This Row],[Date]])</f>
        <v>8</v>
      </c>
      <c r="BF141" s="25">
        <f>YEAR(BD141)+IF(MONTH(Modelling[[#This Row],[Date]])&gt;=4,1,0)</f>
        <v>2024</v>
      </c>
      <c r="BG141" s="3">
        <f t="shared" si="42"/>
        <v>2023</v>
      </c>
      <c r="BH141" s="3" t="s">
        <v>626</v>
      </c>
      <c r="BI141" s="5" t="s">
        <v>626</v>
      </c>
      <c r="BJ141" s="102">
        <v>45139</v>
      </c>
      <c r="BK141" s="5">
        <f t="shared" si="43"/>
        <v>31</v>
      </c>
      <c r="BL141" s="5">
        <f t="shared" si="44"/>
        <v>8</v>
      </c>
      <c r="BM141" s="4">
        <f>Modelling_old[[#This Row],[Target E_Grid daily
MWh]]+Modelling_new[[#This Row],[Target E_Grid daily
MWh]]</f>
        <v>35.161290322580648</v>
      </c>
      <c r="BN141" s="4">
        <f>Modelling_old[[#This Row],[Target E_Grid MTD
MWh]]+Modelling_new[[#This Row],[Target E_Grid MTD
MWh]]</f>
        <v>70.322580645161295</v>
      </c>
      <c r="BO141" s="4">
        <f>Modelling_old[[#This Row],[Target E_Grid YTD
MWh]]+Modelling_new[[#This Row],[Target E_Grid YTD
MWh]]</f>
        <v>5590.3225806451637</v>
      </c>
      <c r="BP14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41" s="4">
        <f>SUMIFS(Modelling[Target POA Daily (KWh/m2)],Modelling[Date],"&lt;="&amp;Modelling[[#This Row],[Date]],Modelling[Month Year],Modelling[[#This Row],[Month Year]])</f>
        <v>8.3483870967741947</v>
      </c>
      <c r="BR141" s="4">
        <f>SUMIFS(Modelling[Target POA Daily (KWh/m2)],Modelling[Date],"&lt;="&amp;Modelling[[#This Row],[Date]],Modelling[Finacial Year],Modelling[[#This Row],[Finacial Year]])</f>
        <v>699.74838709677272</v>
      </c>
      <c r="BS141" s="9">
        <f>BM141/Modelling[[#This Row],[Comisined DC ]]/BP141</f>
        <v>0.73228025878434988</v>
      </c>
      <c r="BT141" s="9">
        <f>BN141/BQ141/Modelling[[#This Row],[Comisined DC ]]</f>
        <v>0.73228025878434999</v>
      </c>
      <c r="BU141" s="9">
        <f>BO141/BR141/Modelling[[#This Row],[Comisined DC ]]</f>
        <v>0.69451250133727804</v>
      </c>
      <c r="BV141" s="9">
        <f>BM141/(24*Modelling[[#This Row],[Comisined DC ]])</f>
        <v>0.12736164715953616</v>
      </c>
      <c r="BW141" s="9">
        <f>BN141/((COUNTIFS(Modelling[Date],"&lt;="&amp;Modelling[[#This Row],[Date]],Modelling[Month Year],Modelling[[#This Row],[Month Year]])*24*Modelling[[#This Row],[MTD DC Capcity]]))</f>
        <v>0.12736164715953616</v>
      </c>
      <c r="BX141" s="28">
        <f>BO141/((COUNTIFS(Modelling[Date],"&lt;="&amp;Modelling[[#This Row],[Date]],Modelling[Finacial Year],Modelling[[#This Row],[Finacial Year]])*24*Modelling[[#This Row],[MTD DC Capcity]]))</f>
        <v>0.1633010761523204</v>
      </c>
      <c r="BY141" s="4">
        <f>Modelling_old[[#This Row],[DC Capcity]]+Modelling_new[[#This Row],[Comisined DC ]]</f>
        <v>11.5031</v>
      </c>
      <c r="BZ141" s="4">
        <v>0</v>
      </c>
      <c r="CA141" s="4">
        <f>AVERAGEIFS(Modelling[[Comisined DC ]],Modelling[Date],"&lt;="&amp;Modelling[[#This Row],[Date]],Modelling[Month Year],Modelling[[#This Row],[Month Year]])</f>
        <v>11.5031</v>
      </c>
      <c r="CB141" s="4">
        <f>AVERAGEIFS(Modelling[[Comisined DC ]],Modelling[Date],"&lt;="&amp;Modelling[[#This Row],[Date]],Modelling[Finacial Year],Modelling[[#This Row],[Finacial Year]])</f>
        <v>11.50309999999998</v>
      </c>
      <c r="CG141">
        <f t="shared" si="47"/>
        <v>2</v>
      </c>
      <c r="CH141">
        <f t="shared" si="48"/>
        <v>124</v>
      </c>
    </row>
    <row r="142" spans="1:86" x14ac:dyDescent="0.35">
      <c r="A142" s="27">
        <v>45141</v>
      </c>
      <c r="B142" s="5">
        <f>MONTH(Modelling_old[[#This Row],[Date]])</f>
        <v>8</v>
      </c>
      <c r="C142" s="25">
        <f t="shared" si="31"/>
        <v>2024</v>
      </c>
      <c r="D142" s="3">
        <f t="shared" si="32"/>
        <v>2023</v>
      </c>
      <c r="E142" s="3" t="s">
        <v>626</v>
      </c>
      <c r="F142" s="5" t="s">
        <v>626</v>
      </c>
      <c r="G142" s="102">
        <v>45139</v>
      </c>
      <c r="H142" s="5">
        <f t="shared" si="33"/>
        <v>31</v>
      </c>
      <c r="I142" s="5">
        <f t="shared" si="34"/>
        <v>8</v>
      </c>
      <c r="J142" s="4">
        <f t="shared" si="35"/>
        <v>35.161290322580648</v>
      </c>
      <c r="K142" s="4">
        <f>SUM($J$140:J142)</f>
        <v>105.48387096774195</v>
      </c>
      <c r="L142" s="4">
        <f>SUM($J$18:J142)</f>
        <v>5625.4838709677442</v>
      </c>
      <c r="M142" s="4">
        <f t="shared" si="36"/>
        <v>4.1741935483870973</v>
      </c>
      <c r="N142" s="4">
        <f>SUM($M$140:M142)</f>
        <v>12.522580645161291</v>
      </c>
      <c r="O142" s="4">
        <f>SUM($M$18:M142)</f>
        <v>703.92258064515977</v>
      </c>
      <c r="P142" s="9">
        <f t="shared" si="37"/>
        <v>0.73228025878434988</v>
      </c>
      <c r="Q142" s="26">
        <f t="shared" si="49"/>
        <v>0.73228025878434999</v>
      </c>
      <c r="R142" s="26">
        <f t="shared" si="49"/>
        <v>0.69473646052513094</v>
      </c>
      <c r="S142" s="9">
        <f t="shared" si="38"/>
        <v>0.12736164715953616</v>
      </c>
      <c r="T142" s="9">
        <f>K142/((COUNT($K$140:K142))*24*$Q$1)</f>
        <v>0.12736164715953616</v>
      </c>
      <c r="U142" s="28">
        <f>L142/((COUNT($L$18:L142))*24*$Q$1)</f>
        <v>0.16301356072037809</v>
      </c>
      <c r="V142" s="134">
        <v>11.5031</v>
      </c>
      <c r="Y142" s="27">
        <f t="shared" si="45"/>
        <v>45141</v>
      </c>
      <c r="Z142" s="5">
        <f>MONTH(Modelling_new[[#This Row],[Date]])</f>
        <v>8</v>
      </c>
      <c r="AA142" s="25">
        <f>YEAR(Y142)+IF(MONTH(Modelling_new[[#This Row],[Date]])&gt;=4,1,0)</f>
        <v>2024</v>
      </c>
      <c r="AB142" s="3">
        <f t="shared" si="39"/>
        <v>2023</v>
      </c>
      <c r="AC142" s="3" t="s">
        <v>626</v>
      </c>
      <c r="AD142" s="5" t="s">
        <v>626</v>
      </c>
      <c r="AE142" s="102">
        <v>45139</v>
      </c>
      <c r="AF142" s="5">
        <f t="shared" si="40"/>
        <v>31</v>
      </c>
      <c r="AG142" s="5">
        <f t="shared" si="41"/>
        <v>8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BD142" s="27">
        <f t="shared" si="46"/>
        <v>45141</v>
      </c>
      <c r="BE142" s="5">
        <f>MONTH(Modelling[[#This Row],[Date]])</f>
        <v>8</v>
      </c>
      <c r="BF142" s="25">
        <f>YEAR(BD142)+IF(MONTH(Modelling[[#This Row],[Date]])&gt;=4,1,0)</f>
        <v>2024</v>
      </c>
      <c r="BG142" s="3">
        <f t="shared" si="42"/>
        <v>2023</v>
      </c>
      <c r="BH142" s="3" t="s">
        <v>626</v>
      </c>
      <c r="BI142" s="5" t="s">
        <v>626</v>
      </c>
      <c r="BJ142" s="102">
        <v>45139</v>
      </c>
      <c r="BK142" s="5">
        <f t="shared" si="43"/>
        <v>31</v>
      </c>
      <c r="BL142" s="5">
        <f t="shared" si="44"/>
        <v>8</v>
      </c>
      <c r="BM142" s="4">
        <f>Modelling_old[[#This Row],[Target E_Grid daily
MWh]]+Modelling_new[[#This Row],[Target E_Grid daily
MWh]]</f>
        <v>35.161290322580648</v>
      </c>
      <c r="BN142" s="4">
        <f>Modelling_old[[#This Row],[Target E_Grid MTD
MWh]]+Modelling_new[[#This Row],[Target E_Grid MTD
MWh]]</f>
        <v>105.48387096774195</v>
      </c>
      <c r="BO142" s="4">
        <f>Modelling_old[[#This Row],[Target E_Grid YTD
MWh]]+Modelling_new[[#This Row],[Target E_Grid YTD
MWh]]</f>
        <v>5625.4838709677442</v>
      </c>
      <c r="BP14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42" s="4">
        <f>SUMIFS(Modelling[Target POA Daily (KWh/m2)],Modelling[Date],"&lt;="&amp;Modelling[[#This Row],[Date]],Modelling[Month Year],Modelling[[#This Row],[Month Year]])</f>
        <v>12.522580645161291</v>
      </c>
      <c r="BR142" s="4">
        <f>SUMIFS(Modelling[Target POA Daily (KWh/m2)],Modelling[Date],"&lt;="&amp;Modelling[[#This Row],[Date]],Modelling[Finacial Year],Modelling[[#This Row],[Finacial Year]])</f>
        <v>703.92258064515977</v>
      </c>
      <c r="BS142" s="9">
        <f>BM142/Modelling[[#This Row],[Comisined DC ]]/BP142</f>
        <v>0.73228025878434988</v>
      </c>
      <c r="BT142" s="9">
        <f>BN142/BQ142/Modelling[[#This Row],[Comisined DC ]]</f>
        <v>0.73228025878434999</v>
      </c>
      <c r="BU142" s="9">
        <f>BO142/BR142/Modelling[[#This Row],[Comisined DC ]]</f>
        <v>0.69473646052513094</v>
      </c>
      <c r="BV142" s="9">
        <f>BM142/(24*Modelling[[#This Row],[Comisined DC ]])</f>
        <v>0.12736164715953616</v>
      </c>
      <c r="BW142" s="9">
        <f>BN142/((COUNTIFS(Modelling[Date],"&lt;="&amp;Modelling[[#This Row],[Date]],Modelling[Month Year],Modelling[[#This Row],[Month Year]])*24*Modelling[[#This Row],[MTD DC Capcity]]))</f>
        <v>0.12736164715953618</v>
      </c>
      <c r="BX142" s="28">
        <f>BO142/((COUNTIFS(Modelling[Date],"&lt;="&amp;Modelling[[#This Row],[Date]],Modelling[Finacial Year],Modelling[[#This Row],[Finacial Year]])*24*Modelling[[#This Row],[MTD DC Capcity]]))</f>
        <v>0.16301356072037812</v>
      </c>
      <c r="BY142" s="4">
        <f>Modelling_old[[#This Row],[DC Capcity]]+Modelling_new[[#This Row],[Comisined DC ]]</f>
        <v>11.5031</v>
      </c>
      <c r="BZ142" s="4">
        <v>0</v>
      </c>
      <c r="CA142" s="4">
        <f>AVERAGEIFS(Modelling[[Comisined DC ]],Modelling[Date],"&lt;="&amp;Modelling[[#This Row],[Date]],Modelling[Month Year],Modelling[[#This Row],[Month Year]])</f>
        <v>11.503099999999998</v>
      </c>
      <c r="CB142" s="4">
        <f>AVERAGEIFS(Modelling[[Comisined DC ]],Modelling[Date],"&lt;="&amp;Modelling[[#This Row],[Date]],Modelling[Finacial Year],Modelling[[#This Row],[Finacial Year]])</f>
        <v>11.50309999999998</v>
      </c>
      <c r="CG142">
        <f t="shared" si="47"/>
        <v>3</v>
      </c>
      <c r="CH142">
        <f t="shared" si="48"/>
        <v>125</v>
      </c>
    </row>
    <row r="143" spans="1:86" x14ac:dyDescent="0.35">
      <c r="A143" s="27">
        <v>45142</v>
      </c>
      <c r="B143" s="5">
        <f>MONTH(Modelling_old[[#This Row],[Date]])</f>
        <v>8</v>
      </c>
      <c r="C143" s="25">
        <f t="shared" si="31"/>
        <v>2024</v>
      </c>
      <c r="D143" s="3">
        <f t="shared" si="32"/>
        <v>2023</v>
      </c>
      <c r="E143" s="3" t="s">
        <v>626</v>
      </c>
      <c r="F143" s="5" t="s">
        <v>626</v>
      </c>
      <c r="G143" s="102">
        <v>45139</v>
      </c>
      <c r="H143" s="5">
        <f t="shared" si="33"/>
        <v>31</v>
      </c>
      <c r="I143" s="5">
        <f t="shared" si="34"/>
        <v>8</v>
      </c>
      <c r="J143" s="4">
        <f t="shared" si="35"/>
        <v>35.161290322580648</v>
      </c>
      <c r="K143" s="4">
        <f>SUM($J$140:J143)</f>
        <v>140.64516129032259</v>
      </c>
      <c r="L143" s="4">
        <f>SUM($J$18:J143)</f>
        <v>5660.6451612903247</v>
      </c>
      <c r="M143" s="4">
        <f t="shared" si="36"/>
        <v>4.1741935483870973</v>
      </c>
      <c r="N143" s="4">
        <f>SUM($M$140:M143)</f>
        <v>16.696774193548389</v>
      </c>
      <c r="O143" s="4">
        <f>SUM($M$18:M143)</f>
        <v>708.09677419354682</v>
      </c>
      <c r="P143" s="9">
        <f t="shared" si="37"/>
        <v>0.73228025878434988</v>
      </c>
      <c r="Q143" s="26">
        <f t="shared" si="49"/>
        <v>0.73228025878434999</v>
      </c>
      <c r="R143" s="26">
        <f t="shared" si="49"/>
        <v>0.69495777925752322</v>
      </c>
      <c r="S143" s="9">
        <f t="shared" si="38"/>
        <v>0.12736164715953616</v>
      </c>
      <c r="T143" s="9">
        <f>K143/((COUNT($K$140:K143))*24*$Q$1)</f>
        <v>0.12736164715953616</v>
      </c>
      <c r="U143" s="28">
        <f>L143/((COUNT($L$18:L143))*24*$Q$1)</f>
        <v>0.16273060902545078</v>
      </c>
      <c r="V143" s="134">
        <v>11.5031</v>
      </c>
      <c r="Y143" s="27">
        <f t="shared" si="45"/>
        <v>45142</v>
      </c>
      <c r="Z143" s="5">
        <f>MONTH(Modelling_new[[#This Row],[Date]])</f>
        <v>8</v>
      </c>
      <c r="AA143" s="25">
        <f>YEAR(Y143)+IF(MONTH(Modelling_new[[#This Row],[Date]])&gt;=4,1,0)</f>
        <v>2024</v>
      </c>
      <c r="AB143" s="3">
        <f t="shared" si="39"/>
        <v>2023</v>
      </c>
      <c r="AC143" s="3" t="s">
        <v>626</v>
      </c>
      <c r="AD143" s="5" t="s">
        <v>626</v>
      </c>
      <c r="AE143" s="102">
        <v>45139</v>
      </c>
      <c r="AF143" s="5">
        <f t="shared" si="40"/>
        <v>31</v>
      </c>
      <c r="AG143" s="5">
        <f t="shared" si="41"/>
        <v>8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BD143" s="27">
        <f t="shared" si="46"/>
        <v>45142</v>
      </c>
      <c r="BE143" s="5">
        <f>MONTH(Modelling[[#This Row],[Date]])</f>
        <v>8</v>
      </c>
      <c r="BF143" s="25">
        <f>YEAR(BD143)+IF(MONTH(Modelling[[#This Row],[Date]])&gt;=4,1,0)</f>
        <v>2024</v>
      </c>
      <c r="BG143" s="3">
        <f t="shared" si="42"/>
        <v>2023</v>
      </c>
      <c r="BH143" s="3" t="s">
        <v>626</v>
      </c>
      <c r="BI143" s="5" t="s">
        <v>626</v>
      </c>
      <c r="BJ143" s="102">
        <v>45139</v>
      </c>
      <c r="BK143" s="5">
        <f t="shared" si="43"/>
        <v>31</v>
      </c>
      <c r="BL143" s="5">
        <f t="shared" si="44"/>
        <v>8</v>
      </c>
      <c r="BM143" s="4">
        <f>Modelling_old[[#This Row],[Target E_Grid daily
MWh]]+Modelling_new[[#This Row],[Target E_Grid daily
MWh]]</f>
        <v>35.161290322580648</v>
      </c>
      <c r="BN143" s="4">
        <f>Modelling_old[[#This Row],[Target E_Grid MTD
MWh]]+Modelling_new[[#This Row],[Target E_Grid MTD
MWh]]</f>
        <v>140.64516129032259</v>
      </c>
      <c r="BO143" s="4">
        <f>Modelling_old[[#This Row],[Target E_Grid YTD
MWh]]+Modelling_new[[#This Row],[Target E_Grid YTD
MWh]]</f>
        <v>5660.6451612903247</v>
      </c>
      <c r="BP14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43" s="4">
        <f>SUMIFS(Modelling[Target POA Daily (KWh/m2)],Modelling[Date],"&lt;="&amp;Modelling[[#This Row],[Date]],Modelling[Month Year],Modelling[[#This Row],[Month Year]])</f>
        <v>16.696774193548389</v>
      </c>
      <c r="BR143" s="4">
        <f>SUMIFS(Modelling[Target POA Daily (KWh/m2)],Modelling[Date],"&lt;="&amp;Modelling[[#This Row],[Date]],Modelling[Finacial Year],Modelling[[#This Row],[Finacial Year]])</f>
        <v>708.09677419354682</v>
      </c>
      <c r="BS143" s="9">
        <f>BM143/Modelling[[#This Row],[Comisined DC ]]/BP143</f>
        <v>0.73228025878434988</v>
      </c>
      <c r="BT143" s="9">
        <f>BN143/BQ143/Modelling[[#This Row],[Comisined DC ]]</f>
        <v>0.73228025878434999</v>
      </c>
      <c r="BU143" s="9">
        <f>BO143/BR143/Modelling[[#This Row],[Comisined DC ]]</f>
        <v>0.69495777925752322</v>
      </c>
      <c r="BV143" s="9">
        <f>BM143/(24*Modelling[[#This Row],[Comisined DC ]])</f>
        <v>0.12736164715953616</v>
      </c>
      <c r="BW143" s="9">
        <f>BN143/((COUNTIFS(Modelling[Date],"&lt;="&amp;Modelling[[#This Row],[Date]],Modelling[Month Year],Modelling[[#This Row],[Month Year]])*24*Modelling[[#This Row],[MTD DC Capcity]]))</f>
        <v>0.12736164715953616</v>
      </c>
      <c r="BX143" s="28">
        <f>BO143/((COUNTIFS(Modelling[Date],"&lt;="&amp;Modelling[[#This Row],[Date]],Modelling[Finacial Year],Modelling[[#This Row],[Finacial Year]])*24*Modelling[[#This Row],[MTD DC Capcity]]))</f>
        <v>0.16273060902545078</v>
      </c>
      <c r="BY143" s="4">
        <f>Modelling_old[[#This Row],[DC Capcity]]+Modelling_new[[#This Row],[Comisined DC ]]</f>
        <v>11.5031</v>
      </c>
      <c r="BZ143" s="4">
        <v>0</v>
      </c>
      <c r="CA143" s="4">
        <f>AVERAGEIFS(Modelling[[Comisined DC ]],Modelling[Date],"&lt;="&amp;Modelling[[#This Row],[Date]],Modelling[Month Year],Modelling[[#This Row],[Month Year]])</f>
        <v>11.5031</v>
      </c>
      <c r="CB143" s="4">
        <f>AVERAGEIFS(Modelling[[Comisined DC ]],Modelling[Date],"&lt;="&amp;Modelling[[#This Row],[Date]],Modelling[Finacial Year],Modelling[[#This Row],[Finacial Year]])</f>
        <v>11.50309999999998</v>
      </c>
      <c r="CG143">
        <f t="shared" si="47"/>
        <v>4</v>
      </c>
      <c r="CH143">
        <f t="shared" si="48"/>
        <v>126</v>
      </c>
    </row>
    <row r="144" spans="1:86" x14ac:dyDescent="0.35">
      <c r="A144" s="27">
        <v>45143</v>
      </c>
      <c r="B144" s="5">
        <f>MONTH(Modelling_old[[#This Row],[Date]])</f>
        <v>8</v>
      </c>
      <c r="C144" s="25">
        <f t="shared" si="31"/>
        <v>2024</v>
      </c>
      <c r="D144" s="3">
        <f t="shared" si="32"/>
        <v>2023</v>
      </c>
      <c r="E144" s="3" t="s">
        <v>626</v>
      </c>
      <c r="F144" s="5" t="s">
        <v>626</v>
      </c>
      <c r="G144" s="102">
        <v>45139</v>
      </c>
      <c r="H144" s="5">
        <f t="shared" si="33"/>
        <v>31</v>
      </c>
      <c r="I144" s="5">
        <f t="shared" si="34"/>
        <v>8</v>
      </c>
      <c r="J144" s="4">
        <f t="shared" si="35"/>
        <v>35.161290322580648</v>
      </c>
      <c r="K144" s="4">
        <f>SUM($J$140:J144)</f>
        <v>175.80645161290323</v>
      </c>
      <c r="L144" s="4">
        <f>SUM($J$18:J144)</f>
        <v>5695.8064516129052</v>
      </c>
      <c r="M144" s="4">
        <f t="shared" si="36"/>
        <v>4.1741935483870973</v>
      </c>
      <c r="N144" s="4">
        <f>SUM($M$140:M144)</f>
        <v>20.870967741935488</v>
      </c>
      <c r="O144" s="4">
        <f>SUM($M$18:M144)</f>
        <v>712.27096774193387</v>
      </c>
      <c r="P144" s="9">
        <f t="shared" si="37"/>
        <v>0.73228025878434988</v>
      </c>
      <c r="Q144" s="26">
        <f t="shared" si="49"/>
        <v>0.73228025878434988</v>
      </c>
      <c r="R144" s="26">
        <f t="shared" si="49"/>
        <v>0.69517650395683905</v>
      </c>
      <c r="S144" s="9">
        <f t="shared" si="38"/>
        <v>0.12736164715953616</v>
      </c>
      <c r="T144" s="9">
        <f>K144/((COUNT($K$140:K144))*24*$Q$1)</f>
        <v>0.12736164715953613</v>
      </c>
      <c r="U144" s="28">
        <f>L144/((COUNT($L$18:L144))*24*$Q$1)</f>
        <v>0.16245211326272704</v>
      </c>
      <c r="V144" s="134">
        <v>11.5031</v>
      </c>
      <c r="Y144" s="27">
        <f t="shared" si="45"/>
        <v>45143</v>
      </c>
      <c r="Z144" s="5">
        <f>MONTH(Modelling_new[[#This Row],[Date]])</f>
        <v>8</v>
      </c>
      <c r="AA144" s="25">
        <f>YEAR(Y144)+IF(MONTH(Modelling_new[[#This Row],[Date]])&gt;=4,1,0)</f>
        <v>2024</v>
      </c>
      <c r="AB144" s="3">
        <f t="shared" si="39"/>
        <v>2023</v>
      </c>
      <c r="AC144" s="3" t="s">
        <v>626</v>
      </c>
      <c r="AD144" s="5" t="s">
        <v>626</v>
      </c>
      <c r="AE144" s="102">
        <v>45139</v>
      </c>
      <c r="AF144" s="5">
        <f t="shared" si="40"/>
        <v>31</v>
      </c>
      <c r="AG144" s="5">
        <f t="shared" si="41"/>
        <v>8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BD144" s="27">
        <f t="shared" si="46"/>
        <v>45143</v>
      </c>
      <c r="BE144" s="5">
        <f>MONTH(Modelling[[#This Row],[Date]])</f>
        <v>8</v>
      </c>
      <c r="BF144" s="25">
        <f>YEAR(BD144)+IF(MONTH(Modelling[[#This Row],[Date]])&gt;=4,1,0)</f>
        <v>2024</v>
      </c>
      <c r="BG144" s="3">
        <f t="shared" si="42"/>
        <v>2023</v>
      </c>
      <c r="BH144" s="3" t="s">
        <v>626</v>
      </c>
      <c r="BI144" s="5" t="s">
        <v>626</v>
      </c>
      <c r="BJ144" s="102">
        <v>45139</v>
      </c>
      <c r="BK144" s="5">
        <f t="shared" si="43"/>
        <v>31</v>
      </c>
      <c r="BL144" s="5">
        <f t="shared" si="44"/>
        <v>8</v>
      </c>
      <c r="BM144" s="4">
        <f>Modelling_old[[#This Row],[Target E_Grid daily
MWh]]+Modelling_new[[#This Row],[Target E_Grid daily
MWh]]</f>
        <v>35.161290322580648</v>
      </c>
      <c r="BN144" s="4">
        <f>Modelling_old[[#This Row],[Target E_Grid MTD
MWh]]+Modelling_new[[#This Row],[Target E_Grid MTD
MWh]]</f>
        <v>175.80645161290323</v>
      </c>
      <c r="BO144" s="4">
        <f>Modelling_old[[#This Row],[Target E_Grid YTD
MWh]]+Modelling_new[[#This Row],[Target E_Grid YTD
MWh]]</f>
        <v>5695.8064516129052</v>
      </c>
      <c r="BP14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44" s="4">
        <f>SUMIFS(Modelling[Target POA Daily (KWh/m2)],Modelling[Date],"&lt;="&amp;Modelling[[#This Row],[Date]],Modelling[Month Year],Modelling[[#This Row],[Month Year]])</f>
        <v>20.870967741935488</v>
      </c>
      <c r="BR144" s="4">
        <f>SUMIFS(Modelling[Target POA Daily (KWh/m2)],Modelling[Date],"&lt;="&amp;Modelling[[#This Row],[Date]],Modelling[Finacial Year],Modelling[[#This Row],[Finacial Year]])</f>
        <v>712.27096774193387</v>
      </c>
      <c r="BS144" s="9">
        <f>BM144/Modelling[[#This Row],[Comisined DC ]]/BP144</f>
        <v>0.73228025878434988</v>
      </c>
      <c r="BT144" s="9">
        <f>BN144/BQ144/Modelling[[#This Row],[Comisined DC ]]</f>
        <v>0.73228025878434988</v>
      </c>
      <c r="BU144" s="9">
        <f>BO144/BR144/Modelling[[#This Row],[Comisined DC ]]</f>
        <v>0.69517650395683905</v>
      </c>
      <c r="BV144" s="9">
        <f>BM144/(24*Modelling[[#This Row],[Comisined DC ]])</f>
        <v>0.12736164715953616</v>
      </c>
      <c r="BW144" s="9">
        <f>BN144/((COUNTIFS(Modelling[Date],"&lt;="&amp;Modelling[[#This Row],[Date]],Modelling[Month Year],Modelling[[#This Row],[Month Year]])*24*Modelling[[#This Row],[MTD DC Capcity]]))</f>
        <v>0.12736164715953613</v>
      </c>
      <c r="BX144" s="28">
        <f>BO144/((COUNTIFS(Modelling[Date],"&lt;="&amp;Modelling[[#This Row],[Date]],Modelling[Finacial Year],Modelling[[#This Row],[Finacial Year]])*24*Modelling[[#This Row],[MTD DC Capcity]]))</f>
        <v>0.16245211326272704</v>
      </c>
      <c r="BY144" s="4">
        <f>Modelling_old[[#This Row],[DC Capcity]]+Modelling_new[[#This Row],[Comisined DC ]]</f>
        <v>11.5031</v>
      </c>
      <c r="BZ144" s="4">
        <v>0</v>
      </c>
      <c r="CA144" s="4">
        <f>AVERAGEIFS(Modelling[[Comisined DC ]],Modelling[Date],"&lt;="&amp;Modelling[[#This Row],[Date]],Modelling[Month Year],Modelling[[#This Row],[Month Year]])</f>
        <v>11.5031</v>
      </c>
      <c r="CB144" s="4">
        <f>AVERAGEIFS(Modelling[[Comisined DC ]],Modelling[Date],"&lt;="&amp;Modelling[[#This Row],[Date]],Modelling[Finacial Year],Modelling[[#This Row],[Finacial Year]])</f>
        <v>11.503099999999979</v>
      </c>
      <c r="CG144">
        <f t="shared" si="47"/>
        <v>5</v>
      </c>
      <c r="CH144">
        <f t="shared" si="48"/>
        <v>127</v>
      </c>
    </row>
    <row r="145" spans="1:86" x14ac:dyDescent="0.35">
      <c r="A145" s="27">
        <v>45144</v>
      </c>
      <c r="B145" s="5">
        <f>MONTH(Modelling_old[[#This Row],[Date]])</f>
        <v>8</v>
      </c>
      <c r="C145" s="25">
        <f t="shared" si="31"/>
        <v>2024</v>
      </c>
      <c r="D145" s="3">
        <f t="shared" si="32"/>
        <v>2023</v>
      </c>
      <c r="E145" s="3" t="s">
        <v>626</v>
      </c>
      <c r="F145" s="5" t="s">
        <v>626</v>
      </c>
      <c r="G145" s="102">
        <v>45139</v>
      </c>
      <c r="H145" s="5">
        <f t="shared" si="33"/>
        <v>31</v>
      </c>
      <c r="I145" s="5">
        <f t="shared" si="34"/>
        <v>8</v>
      </c>
      <c r="J145" s="4">
        <f t="shared" si="35"/>
        <v>35.161290322580648</v>
      </c>
      <c r="K145" s="4">
        <f>SUM($J$140:J145)</f>
        <v>210.96774193548387</v>
      </c>
      <c r="L145" s="4">
        <f>SUM($J$18:J145)</f>
        <v>5730.9677419354857</v>
      </c>
      <c r="M145" s="4">
        <f t="shared" si="36"/>
        <v>4.1741935483870973</v>
      </c>
      <c r="N145" s="4">
        <f>SUM($M$140:M145)</f>
        <v>25.045161290322586</v>
      </c>
      <c r="O145" s="4">
        <f>SUM($M$18:M145)</f>
        <v>716.44516129032093</v>
      </c>
      <c r="P145" s="9">
        <f t="shared" si="37"/>
        <v>0.73228025878434988</v>
      </c>
      <c r="Q145" s="26">
        <f t="shared" si="49"/>
        <v>0.73228025878434988</v>
      </c>
      <c r="R145" s="26">
        <f t="shared" si="49"/>
        <v>0.69539267996358745</v>
      </c>
      <c r="S145" s="9">
        <f t="shared" si="38"/>
        <v>0.12736164715953616</v>
      </c>
      <c r="T145" s="9">
        <f>K145/((COUNT($K$140:K145))*24*$Q$1)</f>
        <v>0.12736164715953613</v>
      </c>
      <c r="U145" s="28">
        <f>L145/((COUNT($L$18:L145))*24*$Q$1)</f>
        <v>0.16217796899629588</v>
      </c>
      <c r="V145" s="134">
        <v>11.5031</v>
      </c>
      <c r="Y145" s="27">
        <f t="shared" si="45"/>
        <v>45144</v>
      </c>
      <c r="Z145" s="5">
        <f>MONTH(Modelling_new[[#This Row],[Date]])</f>
        <v>8</v>
      </c>
      <c r="AA145" s="25">
        <f>YEAR(Y145)+IF(MONTH(Modelling_new[[#This Row],[Date]])&gt;=4,1,0)</f>
        <v>2024</v>
      </c>
      <c r="AB145" s="3">
        <f t="shared" si="39"/>
        <v>2023</v>
      </c>
      <c r="AC145" s="3" t="s">
        <v>626</v>
      </c>
      <c r="AD145" s="5" t="s">
        <v>626</v>
      </c>
      <c r="AE145" s="102">
        <v>45139</v>
      </c>
      <c r="AF145" s="5">
        <f t="shared" si="40"/>
        <v>31</v>
      </c>
      <c r="AG145" s="5">
        <f t="shared" si="41"/>
        <v>8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BD145" s="27">
        <f t="shared" si="46"/>
        <v>45144</v>
      </c>
      <c r="BE145" s="5">
        <f>MONTH(Modelling[[#This Row],[Date]])</f>
        <v>8</v>
      </c>
      <c r="BF145" s="25">
        <f>YEAR(BD145)+IF(MONTH(Modelling[[#This Row],[Date]])&gt;=4,1,0)</f>
        <v>2024</v>
      </c>
      <c r="BG145" s="3">
        <f t="shared" si="42"/>
        <v>2023</v>
      </c>
      <c r="BH145" s="3" t="s">
        <v>626</v>
      </c>
      <c r="BI145" s="5" t="s">
        <v>626</v>
      </c>
      <c r="BJ145" s="102">
        <v>45139</v>
      </c>
      <c r="BK145" s="5">
        <f t="shared" si="43"/>
        <v>31</v>
      </c>
      <c r="BL145" s="5">
        <f t="shared" si="44"/>
        <v>8</v>
      </c>
      <c r="BM145" s="4">
        <f>Modelling_old[[#This Row],[Target E_Grid daily
MWh]]+Modelling_new[[#This Row],[Target E_Grid daily
MWh]]</f>
        <v>35.161290322580648</v>
      </c>
      <c r="BN145" s="4">
        <f>Modelling_old[[#This Row],[Target E_Grid MTD
MWh]]+Modelling_new[[#This Row],[Target E_Grid MTD
MWh]]</f>
        <v>210.96774193548387</v>
      </c>
      <c r="BO145" s="4">
        <f>Modelling_old[[#This Row],[Target E_Grid YTD
MWh]]+Modelling_new[[#This Row],[Target E_Grid YTD
MWh]]</f>
        <v>5730.9677419354857</v>
      </c>
      <c r="BP14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45" s="4">
        <f>SUMIFS(Modelling[Target POA Daily (KWh/m2)],Modelling[Date],"&lt;="&amp;Modelling[[#This Row],[Date]],Modelling[Month Year],Modelling[[#This Row],[Month Year]])</f>
        <v>25.045161290322586</v>
      </c>
      <c r="BR145" s="4">
        <f>SUMIFS(Modelling[Target POA Daily (KWh/m2)],Modelling[Date],"&lt;="&amp;Modelling[[#This Row],[Date]],Modelling[Finacial Year],Modelling[[#This Row],[Finacial Year]])</f>
        <v>716.44516129032093</v>
      </c>
      <c r="BS145" s="9">
        <f>BM145/Modelling[[#This Row],[Comisined DC ]]/BP145</f>
        <v>0.73228025878434988</v>
      </c>
      <c r="BT145" s="9">
        <f>BN145/BQ145/Modelling[[#This Row],[Comisined DC ]]</f>
        <v>0.73228025878434988</v>
      </c>
      <c r="BU145" s="9">
        <f>BO145/BR145/Modelling[[#This Row],[Comisined DC ]]</f>
        <v>0.69539267996358745</v>
      </c>
      <c r="BV145" s="9">
        <f>BM145/(24*Modelling[[#This Row],[Comisined DC ]])</f>
        <v>0.12736164715953616</v>
      </c>
      <c r="BW145" s="9">
        <f>BN145/((COUNTIFS(Modelling[Date],"&lt;="&amp;Modelling[[#This Row],[Date]],Modelling[Month Year],Modelling[[#This Row],[Month Year]])*24*Modelling[[#This Row],[MTD DC Capcity]]))</f>
        <v>0.12736164715953613</v>
      </c>
      <c r="BX145" s="28">
        <f>BO145/((COUNTIFS(Modelling[Date],"&lt;="&amp;Modelling[[#This Row],[Date]],Modelling[Finacial Year],Modelling[[#This Row],[Finacial Year]])*24*Modelling[[#This Row],[MTD DC Capcity]]))</f>
        <v>0.16217796899629586</v>
      </c>
      <c r="BY145" s="4">
        <f>Modelling_old[[#This Row],[DC Capcity]]+Modelling_new[[#This Row],[Comisined DC ]]</f>
        <v>11.5031</v>
      </c>
      <c r="BZ145" s="4">
        <v>0</v>
      </c>
      <c r="CA145" s="4">
        <f>AVERAGEIFS(Modelling[[Comisined DC ]],Modelling[Date],"&lt;="&amp;Modelling[[#This Row],[Date]],Modelling[Month Year],Modelling[[#This Row],[Month Year]])</f>
        <v>11.503100000000002</v>
      </c>
      <c r="CB145" s="4">
        <f>AVERAGEIFS(Modelling[[Comisined DC ]],Modelling[Date],"&lt;="&amp;Modelling[[#This Row],[Date]],Modelling[Finacial Year],Modelling[[#This Row],[Finacial Year]])</f>
        <v>11.503099999999979</v>
      </c>
      <c r="CG145">
        <f t="shared" si="47"/>
        <v>6</v>
      </c>
      <c r="CH145">
        <f t="shared" si="48"/>
        <v>128</v>
      </c>
    </row>
    <row r="146" spans="1:86" x14ac:dyDescent="0.35">
      <c r="A146" s="27">
        <v>45145</v>
      </c>
      <c r="B146" s="5">
        <f>MONTH(Modelling_old[[#This Row],[Date]])</f>
        <v>8</v>
      </c>
      <c r="C146" s="25">
        <f t="shared" ref="C146:C209" si="50">YEAR(A146)+(MONTH(A146)&gt;=B146)</f>
        <v>2024</v>
      </c>
      <c r="D146" s="3">
        <f t="shared" ref="D146:D209" si="51">YEAR(A146)</f>
        <v>2023</v>
      </c>
      <c r="E146" s="3" t="s">
        <v>626</v>
      </c>
      <c r="F146" s="5" t="s">
        <v>626</v>
      </c>
      <c r="G146" s="102">
        <v>45139</v>
      </c>
      <c r="H146" s="5">
        <f t="shared" ref="H146:H209" si="52">DAY(EOMONTH(G146,0))</f>
        <v>31</v>
      </c>
      <c r="I146" s="5">
        <f t="shared" ref="I146:I209" si="53">MONTH(A146)</f>
        <v>8</v>
      </c>
      <c r="J146" s="4">
        <f t="shared" ref="J146:J209" si="54">VLOOKUP(I146,$C$2:$L$13,10,0)/H146</f>
        <v>35.161290322580648</v>
      </c>
      <c r="K146" s="4">
        <f>SUM($J$140:J146)</f>
        <v>246.12903225806451</v>
      </c>
      <c r="L146" s="4">
        <f>SUM($J$18:J146)</f>
        <v>5766.1290322580662</v>
      </c>
      <c r="M146" s="4">
        <f t="shared" ref="M146:M209" si="55">VLOOKUP(I146,$C$2:$M$13,11,0)</f>
        <v>4.1741935483870973</v>
      </c>
      <c r="N146" s="4">
        <f>SUM($M$140:M146)</f>
        <v>29.219354838709684</v>
      </c>
      <c r="O146" s="4">
        <f>SUM($M$18:M146)</f>
        <v>720.61935483870798</v>
      </c>
      <c r="P146" s="9">
        <f t="shared" ref="P146:P209" si="56">J146/$Q$1/M146</f>
        <v>0.73228025878434988</v>
      </c>
      <c r="Q146" s="26">
        <f t="shared" si="49"/>
        <v>0.73228025878434988</v>
      </c>
      <c r="R146" s="26">
        <f t="shared" si="49"/>
        <v>0.69560635156773654</v>
      </c>
      <c r="S146" s="9">
        <f t="shared" ref="S146:S209" si="57">J146/(24*$Q$1)</f>
        <v>0.12736164715953616</v>
      </c>
      <c r="T146" s="9">
        <f>K146/((COUNT($K$140:K146))*24*$Q$1)</f>
        <v>0.12736164715953613</v>
      </c>
      <c r="U146" s="28">
        <f>L146/((COUNT($L$18:L146))*24*$Q$1)</f>
        <v>0.16190807502856902</v>
      </c>
      <c r="V146" s="134">
        <v>11.5031</v>
      </c>
      <c r="Y146" s="27">
        <f t="shared" si="45"/>
        <v>45145</v>
      </c>
      <c r="Z146" s="5">
        <f>MONTH(Modelling_new[[#This Row],[Date]])</f>
        <v>8</v>
      </c>
      <c r="AA146" s="25">
        <f>YEAR(Y146)+IF(MONTH(Modelling_new[[#This Row],[Date]])&gt;=4,1,0)</f>
        <v>2024</v>
      </c>
      <c r="AB146" s="3">
        <f t="shared" ref="AB146:AB209" si="58">YEAR(Y146)</f>
        <v>2023</v>
      </c>
      <c r="AC146" s="3" t="s">
        <v>626</v>
      </c>
      <c r="AD146" s="5" t="s">
        <v>626</v>
      </c>
      <c r="AE146" s="102">
        <v>45139</v>
      </c>
      <c r="AF146" s="5">
        <f t="shared" ref="AF146:AF209" si="59">DAY(EOMONTH(AE146,0))</f>
        <v>31</v>
      </c>
      <c r="AG146" s="5">
        <f t="shared" ref="AG146:AG209" si="60">MONTH(Y146)</f>
        <v>8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BD146" s="27">
        <f t="shared" si="46"/>
        <v>45145</v>
      </c>
      <c r="BE146" s="5">
        <f>MONTH(Modelling[[#This Row],[Date]])</f>
        <v>8</v>
      </c>
      <c r="BF146" s="25">
        <f>YEAR(BD146)+IF(MONTH(Modelling[[#This Row],[Date]])&gt;=4,1,0)</f>
        <v>2024</v>
      </c>
      <c r="BG146" s="3">
        <f t="shared" ref="BG146:BG209" si="61">YEAR(BD146)</f>
        <v>2023</v>
      </c>
      <c r="BH146" s="3" t="s">
        <v>626</v>
      </c>
      <c r="BI146" s="5" t="s">
        <v>626</v>
      </c>
      <c r="BJ146" s="102">
        <v>45139</v>
      </c>
      <c r="BK146" s="5">
        <f t="shared" ref="BK146:BK209" si="62">DAY(EOMONTH(BJ146,0))</f>
        <v>31</v>
      </c>
      <c r="BL146" s="5">
        <f t="shared" ref="BL146:BL209" si="63">MONTH(BD146)</f>
        <v>8</v>
      </c>
      <c r="BM146" s="4">
        <f>Modelling_old[[#This Row],[Target E_Grid daily
MWh]]+Modelling_new[[#This Row],[Target E_Grid daily
MWh]]</f>
        <v>35.161290322580648</v>
      </c>
      <c r="BN146" s="4">
        <f>Modelling_old[[#This Row],[Target E_Grid MTD
MWh]]+Modelling_new[[#This Row],[Target E_Grid MTD
MWh]]</f>
        <v>246.12903225806451</v>
      </c>
      <c r="BO146" s="4">
        <f>Modelling_old[[#This Row],[Target E_Grid YTD
MWh]]+Modelling_new[[#This Row],[Target E_Grid YTD
MWh]]</f>
        <v>5766.1290322580662</v>
      </c>
      <c r="BP14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46" s="4">
        <f>SUMIFS(Modelling[Target POA Daily (KWh/m2)],Modelling[Date],"&lt;="&amp;Modelling[[#This Row],[Date]],Modelling[Month Year],Modelling[[#This Row],[Month Year]])</f>
        <v>29.219354838709684</v>
      </c>
      <c r="BR146" s="4">
        <f>SUMIFS(Modelling[Target POA Daily (KWh/m2)],Modelling[Date],"&lt;="&amp;Modelling[[#This Row],[Date]],Modelling[Finacial Year],Modelling[[#This Row],[Finacial Year]])</f>
        <v>720.61935483870798</v>
      </c>
      <c r="BS146" s="9">
        <f>BM146/Modelling[[#This Row],[Comisined DC ]]/BP146</f>
        <v>0.73228025878434988</v>
      </c>
      <c r="BT146" s="9">
        <f>BN146/BQ146/Modelling[[#This Row],[Comisined DC ]]</f>
        <v>0.73228025878434988</v>
      </c>
      <c r="BU146" s="9">
        <f>BO146/BR146/Modelling[[#This Row],[Comisined DC ]]</f>
        <v>0.69560635156773654</v>
      </c>
      <c r="BV146" s="9">
        <f>BM146/(24*Modelling[[#This Row],[Comisined DC ]])</f>
        <v>0.12736164715953616</v>
      </c>
      <c r="BW146" s="9">
        <f>BN146/((COUNTIFS(Modelling[Date],"&lt;="&amp;Modelling[[#This Row],[Date]],Modelling[Month Year],Modelling[[#This Row],[Month Year]])*24*Modelling[[#This Row],[MTD DC Capcity]]))</f>
        <v>0.12736164715953613</v>
      </c>
      <c r="BX146" s="28">
        <f>BO146/((COUNTIFS(Modelling[Date],"&lt;="&amp;Modelling[[#This Row],[Date]],Modelling[Finacial Year],Modelling[[#This Row],[Finacial Year]])*24*Modelling[[#This Row],[MTD DC Capcity]]))</f>
        <v>0.16190807502856899</v>
      </c>
      <c r="BY146" s="4">
        <f>Modelling_old[[#This Row],[DC Capcity]]+Modelling_new[[#This Row],[Comisined DC ]]</f>
        <v>11.5031</v>
      </c>
      <c r="BZ146" s="4">
        <v>0</v>
      </c>
      <c r="CA146" s="4">
        <f>AVERAGEIFS(Modelling[[Comisined DC ]],Modelling[Date],"&lt;="&amp;Modelling[[#This Row],[Date]],Modelling[Month Year],Modelling[[#This Row],[Month Year]])</f>
        <v>11.503100000000002</v>
      </c>
      <c r="CB146" s="4">
        <f>AVERAGEIFS(Modelling[[Comisined DC ]],Modelling[Date],"&lt;="&amp;Modelling[[#This Row],[Date]],Modelling[Finacial Year],Modelling[[#This Row],[Finacial Year]])</f>
        <v>11.503099999999979</v>
      </c>
      <c r="CG146">
        <f t="shared" si="47"/>
        <v>7</v>
      </c>
      <c r="CH146">
        <f t="shared" si="48"/>
        <v>129</v>
      </c>
    </row>
    <row r="147" spans="1:86" x14ac:dyDescent="0.35">
      <c r="A147" s="27">
        <v>45146</v>
      </c>
      <c r="B147" s="5">
        <f>MONTH(Modelling_old[[#This Row],[Date]])</f>
        <v>8</v>
      </c>
      <c r="C147" s="25">
        <f t="shared" si="50"/>
        <v>2024</v>
      </c>
      <c r="D147" s="3">
        <f t="shared" si="51"/>
        <v>2023</v>
      </c>
      <c r="E147" s="3" t="s">
        <v>626</v>
      </c>
      <c r="F147" s="5" t="s">
        <v>626</v>
      </c>
      <c r="G147" s="102">
        <v>45139</v>
      </c>
      <c r="H147" s="5">
        <f t="shared" si="52"/>
        <v>31</v>
      </c>
      <c r="I147" s="5">
        <f t="shared" si="53"/>
        <v>8</v>
      </c>
      <c r="J147" s="4">
        <f t="shared" si="54"/>
        <v>35.161290322580648</v>
      </c>
      <c r="K147" s="4">
        <f>SUM($J$140:J147)</f>
        <v>281.29032258064518</v>
      </c>
      <c r="L147" s="4">
        <f>SUM($J$18:J147)</f>
        <v>5801.2903225806467</v>
      </c>
      <c r="M147" s="4">
        <f t="shared" si="55"/>
        <v>4.1741935483870973</v>
      </c>
      <c r="N147" s="4">
        <f>SUM($M$140:M147)</f>
        <v>33.393548387096779</v>
      </c>
      <c r="O147" s="4">
        <f>SUM($M$18:M147)</f>
        <v>724.79354838709503</v>
      </c>
      <c r="P147" s="9">
        <f t="shared" si="56"/>
        <v>0.73228025878434988</v>
      </c>
      <c r="Q147" s="26">
        <f t="shared" si="49"/>
        <v>0.73228025878434999</v>
      </c>
      <c r="R147" s="26">
        <f t="shared" si="49"/>
        <v>0.69581756203896439</v>
      </c>
      <c r="S147" s="9">
        <f t="shared" si="57"/>
        <v>0.12736164715953616</v>
      </c>
      <c r="T147" s="9">
        <f>K147/((COUNT($K$140:K147))*24*$Q$1)</f>
        <v>0.12736164715953616</v>
      </c>
      <c r="U147" s="28">
        <f>L147/((COUNT($L$18:L147))*24*$Q$1)</f>
        <v>0.16164233327573033</v>
      </c>
      <c r="V147" s="134">
        <v>11.5031</v>
      </c>
      <c r="Y147" s="27">
        <f t="shared" si="45"/>
        <v>45146</v>
      </c>
      <c r="Z147" s="5">
        <f>MONTH(Modelling_new[[#This Row],[Date]])</f>
        <v>8</v>
      </c>
      <c r="AA147" s="25">
        <f>YEAR(Y147)+IF(MONTH(Modelling_new[[#This Row],[Date]])&gt;=4,1,0)</f>
        <v>2024</v>
      </c>
      <c r="AB147" s="3">
        <f t="shared" si="58"/>
        <v>2023</v>
      </c>
      <c r="AC147" s="3" t="s">
        <v>626</v>
      </c>
      <c r="AD147" s="5" t="s">
        <v>626</v>
      </c>
      <c r="AE147" s="102">
        <v>45139</v>
      </c>
      <c r="AF147" s="5">
        <f t="shared" si="59"/>
        <v>31</v>
      </c>
      <c r="AG147" s="5">
        <f t="shared" si="60"/>
        <v>8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BD147" s="27">
        <f t="shared" si="46"/>
        <v>45146</v>
      </c>
      <c r="BE147" s="5">
        <f>MONTH(Modelling[[#This Row],[Date]])</f>
        <v>8</v>
      </c>
      <c r="BF147" s="25">
        <f>YEAR(BD147)+IF(MONTH(Modelling[[#This Row],[Date]])&gt;=4,1,0)</f>
        <v>2024</v>
      </c>
      <c r="BG147" s="3">
        <f t="shared" si="61"/>
        <v>2023</v>
      </c>
      <c r="BH147" s="3" t="s">
        <v>626</v>
      </c>
      <c r="BI147" s="5" t="s">
        <v>626</v>
      </c>
      <c r="BJ147" s="102">
        <v>45139</v>
      </c>
      <c r="BK147" s="5">
        <f t="shared" si="62"/>
        <v>31</v>
      </c>
      <c r="BL147" s="5">
        <f t="shared" si="63"/>
        <v>8</v>
      </c>
      <c r="BM147" s="4">
        <f>Modelling_old[[#This Row],[Target E_Grid daily
MWh]]+Modelling_new[[#This Row],[Target E_Grid daily
MWh]]</f>
        <v>35.161290322580648</v>
      </c>
      <c r="BN147" s="4">
        <f>Modelling_old[[#This Row],[Target E_Grid MTD
MWh]]+Modelling_new[[#This Row],[Target E_Grid MTD
MWh]]</f>
        <v>281.29032258064518</v>
      </c>
      <c r="BO147" s="4">
        <f>Modelling_old[[#This Row],[Target E_Grid YTD
MWh]]+Modelling_new[[#This Row],[Target E_Grid YTD
MWh]]</f>
        <v>5801.2903225806467</v>
      </c>
      <c r="BP14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47" s="4">
        <f>SUMIFS(Modelling[Target POA Daily (KWh/m2)],Modelling[Date],"&lt;="&amp;Modelling[[#This Row],[Date]],Modelling[Month Year],Modelling[[#This Row],[Month Year]])</f>
        <v>33.393548387096779</v>
      </c>
      <c r="BR147" s="4">
        <f>SUMIFS(Modelling[Target POA Daily (KWh/m2)],Modelling[Date],"&lt;="&amp;Modelling[[#This Row],[Date]],Modelling[Finacial Year],Modelling[[#This Row],[Finacial Year]])</f>
        <v>724.79354838709503</v>
      </c>
      <c r="BS147" s="9">
        <f>BM147/Modelling[[#This Row],[Comisined DC ]]/BP147</f>
        <v>0.73228025878434988</v>
      </c>
      <c r="BT147" s="9">
        <f>BN147/BQ147/Modelling[[#This Row],[Comisined DC ]]</f>
        <v>0.73228025878434999</v>
      </c>
      <c r="BU147" s="9">
        <f>BO147/BR147/Modelling[[#This Row],[Comisined DC ]]</f>
        <v>0.69581756203896439</v>
      </c>
      <c r="BV147" s="9">
        <f>BM147/(24*Modelling[[#This Row],[Comisined DC ]])</f>
        <v>0.12736164715953616</v>
      </c>
      <c r="BW147" s="9">
        <f>BN147/((COUNTIFS(Modelling[Date],"&lt;="&amp;Modelling[[#This Row],[Date]],Modelling[Month Year],Modelling[[#This Row],[Month Year]])*24*Modelling[[#This Row],[MTD DC Capcity]]))</f>
        <v>0.12736164715953613</v>
      </c>
      <c r="BX147" s="28">
        <f>BO147/((COUNTIFS(Modelling[Date],"&lt;="&amp;Modelling[[#This Row],[Date]],Modelling[Finacial Year],Modelling[[#This Row],[Finacial Year]])*24*Modelling[[#This Row],[MTD DC Capcity]]))</f>
        <v>0.1616423332757303</v>
      </c>
      <c r="BY147" s="4">
        <f>Modelling_old[[#This Row],[DC Capcity]]+Modelling_new[[#This Row],[Comisined DC ]]</f>
        <v>11.5031</v>
      </c>
      <c r="BZ147" s="4">
        <v>0</v>
      </c>
      <c r="CA147" s="4">
        <f>AVERAGEIFS(Modelling[[Comisined DC ]],Modelling[Date],"&lt;="&amp;Modelling[[#This Row],[Date]],Modelling[Month Year],Modelling[[#This Row],[Month Year]])</f>
        <v>11.503100000000002</v>
      </c>
      <c r="CB147" s="4">
        <f>AVERAGEIFS(Modelling[[Comisined DC ]],Modelling[Date],"&lt;="&amp;Modelling[[#This Row],[Date]],Modelling[Finacial Year],Modelling[[#This Row],[Finacial Year]])</f>
        <v>11.503099999999977</v>
      </c>
      <c r="CG147">
        <f t="shared" si="47"/>
        <v>8</v>
      </c>
      <c r="CH147">
        <f t="shared" si="48"/>
        <v>130</v>
      </c>
    </row>
    <row r="148" spans="1:86" x14ac:dyDescent="0.35">
      <c r="A148" s="27">
        <v>45147</v>
      </c>
      <c r="B148" s="5">
        <f>MONTH(Modelling_old[[#This Row],[Date]])</f>
        <v>8</v>
      </c>
      <c r="C148" s="25">
        <f t="shared" si="50"/>
        <v>2024</v>
      </c>
      <c r="D148" s="3">
        <f t="shared" si="51"/>
        <v>2023</v>
      </c>
      <c r="E148" s="3" t="s">
        <v>626</v>
      </c>
      <c r="F148" s="5" t="s">
        <v>626</v>
      </c>
      <c r="G148" s="102">
        <v>45139</v>
      </c>
      <c r="H148" s="5">
        <f t="shared" si="52"/>
        <v>31</v>
      </c>
      <c r="I148" s="5">
        <f t="shared" si="53"/>
        <v>8</v>
      </c>
      <c r="J148" s="4">
        <f t="shared" si="54"/>
        <v>35.161290322580648</v>
      </c>
      <c r="K148" s="4">
        <f>SUM($J$140:J148)</f>
        <v>316.45161290322585</v>
      </c>
      <c r="L148" s="4">
        <f>SUM($J$18:J148)</f>
        <v>5836.4516129032272</v>
      </c>
      <c r="M148" s="4">
        <f t="shared" si="55"/>
        <v>4.1741935483870973</v>
      </c>
      <c r="N148" s="4">
        <f>SUM($M$140:M148)</f>
        <v>37.567741935483873</v>
      </c>
      <c r="O148" s="4">
        <f>SUM($M$18:M148)</f>
        <v>728.96774193548208</v>
      </c>
      <c r="P148" s="9">
        <f t="shared" si="56"/>
        <v>0.73228025878434988</v>
      </c>
      <c r="Q148" s="26">
        <f t="shared" si="49"/>
        <v>0.73228025878434999</v>
      </c>
      <c r="R148" s="26">
        <f t="shared" si="49"/>
        <v>0.69602635365587084</v>
      </c>
      <c r="S148" s="9">
        <f t="shared" si="57"/>
        <v>0.12736164715953616</v>
      </c>
      <c r="T148" s="9">
        <f>K148/((COUNT($K$140:K148))*24*$Q$1)</f>
        <v>0.12736164715953616</v>
      </c>
      <c r="U148" s="28">
        <f>L148/((COUNT($L$18:L148))*24*$Q$1)</f>
        <v>0.16138064864888915</v>
      </c>
      <c r="V148" s="134">
        <v>11.5031</v>
      </c>
      <c r="Y148" s="27">
        <f t="shared" ref="Y148:Y211" si="64">Y147+1</f>
        <v>45147</v>
      </c>
      <c r="Z148" s="5">
        <f>MONTH(Modelling_new[[#This Row],[Date]])</f>
        <v>8</v>
      </c>
      <c r="AA148" s="25">
        <f>YEAR(Y148)+IF(MONTH(Modelling_new[[#This Row],[Date]])&gt;=4,1,0)</f>
        <v>2024</v>
      </c>
      <c r="AB148" s="3">
        <f t="shared" si="58"/>
        <v>2023</v>
      </c>
      <c r="AC148" s="3" t="s">
        <v>626</v>
      </c>
      <c r="AD148" s="5" t="s">
        <v>626</v>
      </c>
      <c r="AE148" s="102">
        <v>45139</v>
      </c>
      <c r="AF148" s="5">
        <f t="shared" si="59"/>
        <v>31</v>
      </c>
      <c r="AG148" s="5">
        <f t="shared" si="60"/>
        <v>8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BD148" s="27">
        <f t="shared" ref="BD148:BD211" si="65">BD147+1</f>
        <v>45147</v>
      </c>
      <c r="BE148" s="5">
        <f>MONTH(Modelling[[#This Row],[Date]])</f>
        <v>8</v>
      </c>
      <c r="BF148" s="25">
        <f>YEAR(BD148)+IF(MONTH(Modelling[[#This Row],[Date]])&gt;=4,1,0)</f>
        <v>2024</v>
      </c>
      <c r="BG148" s="3">
        <f t="shared" si="61"/>
        <v>2023</v>
      </c>
      <c r="BH148" s="3" t="s">
        <v>626</v>
      </c>
      <c r="BI148" s="5" t="s">
        <v>626</v>
      </c>
      <c r="BJ148" s="102">
        <v>45139</v>
      </c>
      <c r="BK148" s="5">
        <f t="shared" si="62"/>
        <v>31</v>
      </c>
      <c r="BL148" s="5">
        <f t="shared" si="63"/>
        <v>8</v>
      </c>
      <c r="BM148" s="4">
        <f>Modelling_old[[#This Row],[Target E_Grid daily
MWh]]+Modelling_new[[#This Row],[Target E_Grid daily
MWh]]</f>
        <v>35.161290322580648</v>
      </c>
      <c r="BN148" s="4">
        <f>Modelling_old[[#This Row],[Target E_Grid MTD
MWh]]+Modelling_new[[#This Row],[Target E_Grid MTD
MWh]]</f>
        <v>316.45161290322585</v>
      </c>
      <c r="BO148" s="4">
        <f>Modelling_old[[#This Row],[Target E_Grid YTD
MWh]]+Modelling_new[[#This Row],[Target E_Grid YTD
MWh]]</f>
        <v>5836.4516129032272</v>
      </c>
      <c r="BP14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48" s="4">
        <f>SUMIFS(Modelling[Target POA Daily (KWh/m2)],Modelling[Date],"&lt;="&amp;Modelling[[#This Row],[Date]],Modelling[Month Year],Modelling[[#This Row],[Month Year]])</f>
        <v>37.567741935483873</v>
      </c>
      <c r="BR148" s="4">
        <f>SUMIFS(Modelling[Target POA Daily (KWh/m2)],Modelling[Date],"&lt;="&amp;Modelling[[#This Row],[Date]],Modelling[Finacial Year],Modelling[[#This Row],[Finacial Year]])</f>
        <v>728.96774193548208</v>
      </c>
      <c r="BS148" s="9">
        <f>BM148/Modelling[[#This Row],[Comisined DC ]]/BP148</f>
        <v>0.73228025878434988</v>
      </c>
      <c r="BT148" s="9">
        <f>BN148/BQ148/Modelling[[#This Row],[Comisined DC ]]</f>
        <v>0.73228025878434999</v>
      </c>
      <c r="BU148" s="9">
        <f>BO148/BR148/Modelling[[#This Row],[Comisined DC ]]</f>
        <v>0.69602635365587084</v>
      </c>
      <c r="BV148" s="9">
        <f>BM148/(24*Modelling[[#This Row],[Comisined DC ]])</f>
        <v>0.12736164715953616</v>
      </c>
      <c r="BW148" s="9">
        <f>BN148/((COUNTIFS(Modelling[Date],"&lt;="&amp;Modelling[[#This Row],[Date]],Modelling[Month Year],Modelling[[#This Row],[Month Year]])*24*Modelling[[#This Row],[MTD DC Capcity]]))</f>
        <v>0.12736164715953616</v>
      </c>
      <c r="BX148" s="28">
        <f>BO148/((COUNTIFS(Modelling[Date],"&lt;="&amp;Modelling[[#This Row],[Date]],Modelling[Finacial Year],Modelling[[#This Row],[Finacial Year]])*24*Modelling[[#This Row],[MTD DC Capcity]]))</f>
        <v>0.16138064864888912</v>
      </c>
      <c r="BY148" s="4">
        <f>Modelling_old[[#This Row],[DC Capcity]]+Modelling_new[[#This Row],[Comisined DC ]]</f>
        <v>11.5031</v>
      </c>
      <c r="BZ148" s="4">
        <v>0</v>
      </c>
      <c r="CA148" s="4">
        <f>AVERAGEIFS(Modelling[[Comisined DC ]],Modelling[Date],"&lt;="&amp;Modelling[[#This Row],[Date]],Modelling[Month Year],Modelling[[#This Row],[Month Year]])</f>
        <v>11.503100000000002</v>
      </c>
      <c r="CB148" s="4">
        <f>AVERAGEIFS(Modelling[[Comisined DC ]],Modelling[Date],"&lt;="&amp;Modelling[[#This Row],[Date]],Modelling[Finacial Year],Modelling[[#This Row],[Finacial Year]])</f>
        <v>11.503099999999977</v>
      </c>
      <c r="CG148">
        <f t="shared" ref="CG148:CG170" si="66">CG147+1</f>
        <v>9</v>
      </c>
      <c r="CH148">
        <f t="shared" ref="CH148:CH211" si="67">CH147+1</f>
        <v>131</v>
      </c>
    </row>
    <row r="149" spans="1:86" x14ac:dyDescent="0.35">
      <c r="A149" s="27">
        <v>45148</v>
      </c>
      <c r="B149" s="5">
        <f>MONTH(Modelling_old[[#This Row],[Date]])</f>
        <v>8</v>
      </c>
      <c r="C149" s="25">
        <f t="shared" si="50"/>
        <v>2024</v>
      </c>
      <c r="D149" s="3">
        <f t="shared" si="51"/>
        <v>2023</v>
      </c>
      <c r="E149" s="3" t="s">
        <v>626</v>
      </c>
      <c r="F149" s="5" t="s">
        <v>626</v>
      </c>
      <c r="G149" s="102">
        <v>45139</v>
      </c>
      <c r="H149" s="5">
        <f t="shared" si="52"/>
        <v>31</v>
      </c>
      <c r="I149" s="5">
        <f t="shared" si="53"/>
        <v>8</v>
      </c>
      <c r="J149" s="4">
        <f t="shared" si="54"/>
        <v>35.161290322580648</v>
      </c>
      <c r="K149" s="4">
        <f>SUM($J$140:J149)</f>
        <v>351.61290322580652</v>
      </c>
      <c r="L149" s="4">
        <f>SUM($J$18:J149)</f>
        <v>5871.6129032258077</v>
      </c>
      <c r="M149" s="4">
        <f t="shared" si="55"/>
        <v>4.1741935483870973</v>
      </c>
      <c r="N149" s="4">
        <f>SUM($M$140:M149)</f>
        <v>41.741935483870968</v>
      </c>
      <c r="O149" s="4">
        <f>SUM($M$18:M149)</f>
        <v>733.14193548386913</v>
      </c>
      <c r="P149" s="9">
        <f t="shared" si="56"/>
        <v>0.73228025878434988</v>
      </c>
      <c r="Q149" s="26">
        <f t="shared" si="49"/>
        <v>0.73228025878435021</v>
      </c>
      <c r="R149" s="26">
        <f t="shared" si="49"/>
        <v>0.69623276773419163</v>
      </c>
      <c r="S149" s="9">
        <f t="shared" si="57"/>
        <v>0.12736164715953616</v>
      </c>
      <c r="T149" s="9">
        <f>K149/((COUNT($K$140:K149))*24*$Q$1)</f>
        <v>0.12736164715953616</v>
      </c>
      <c r="U149" s="28">
        <f>L149/((COUNT($L$18:L149))*24*$Q$1)</f>
        <v>0.16112292894063646</v>
      </c>
      <c r="V149" s="134">
        <v>11.5031</v>
      </c>
      <c r="Y149" s="27">
        <f t="shared" si="64"/>
        <v>45148</v>
      </c>
      <c r="Z149" s="5">
        <f>MONTH(Modelling_new[[#This Row],[Date]])</f>
        <v>8</v>
      </c>
      <c r="AA149" s="25">
        <f>YEAR(Y149)+IF(MONTH(Modelling_new[[#This Row],[Date]])&gt;=4,1,0)</f>
        <v>2024</v>
      </c>
      <c r="AB149" s="3">
        <f t="shared" si="58"/>
        <v>2023</v>
      </c>
      <c r="AC149" s="3" t="s">
        <v>626</v>
      </c>
      <c r="AD149" s="5" t="s">
        <v>626</v>
      </c>
      <c r="AE149" s="102">
        <v>45139</v>
      </c>
      <c r="AF149" s="5">
        <f t="shared" si="59"/>
        <v>31</v>
      </c>
      <c r="AG149" s="5">
        <f t="shared" si="60"/>
        <v>8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BD149" s="27">
        <f t="shared" si="65"/>
        <v>45148</v>
      </c>
      <c r="BE149" s="5">
        <f>MONTH(Modelling[[#This Row],[Date]])</f>
        <v>8</v>
      </c>
      <c r="BF149" s="25">
        <f>YEAR(BD149)+IF(MONTH(Modelling[[#This Row],[Date]])&gt;=4,1,0)</f>
        <v>2024</v>
      </c>
      <c r="BG149" s="3">
        <f t="shared" si="61"/>
        <v>2023</v>
      </c>
      <c r="BH149" s="3" t="s">
        <v>626</v>
      </c>
      <c r="BI149" s="5" t="s">
        <v>626</v>
      </c>
      <c r="BJ149" s="102">
        <v>45139</v>
      </c>
      <c r="BK149" s="5">
        <f t="shared" si="62"/>
        <v>31</v>
      </c>
      <c r="BL149" s="5">
        <f t="shared" si="63"/>
        <v>8</v>
      </c>
      <c r="BM149" s="4">
        <f>Modelling_old[[#This Row],[Target E_Grid daily
MWh]]+Modelling_new[[#This Row],[Target E_Grid daily
MWh]]</f>
        <v>35.161290322580648</v>
      </c>
      <c r="BN149" s="4">
        <f>Modelling_old[[#This Row],[Target E_Grid MTD
MWh]]+Modelling_new[[#This Row],[Target E_Grid MTD
MWh]]</f>
        <v>351.61290322580652</v>
      </c>
      <c r="BO149" s="4">
        <f>Modelling_old[[#This Row],[Target E_Grid YTD
MWh]]+Modelling_new[[#This Row],[Target E_Grid YTD
MWh]]</f>
        <v>5871.6129032258077</v>
      </c>
      <c r="BP14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49" s="4">
        <f>SUMIFS(Modelling[Target POA Daily (KWh/m2)],Modelling[Date],"&lt;="&amp;Modelling[[#This Row],[Date]],Modelling[Month Year],Modelling[[#This Row],[Month Year]])</f>
        <v>41.741935483870968</v>
      </c>
      <c r="BR149" s="4">
        <f>SUMIFS(Modelling[Target POA Daily (KWh/m2)],Modelling[Date],"&lt;="&amp;Modelling[[#This Row],[Date]],Modelling[Finacial Year],Modelling[[#This Row],[Finacial Year]])</f>
        <v>733.14193548386913</v>
      </c>
      <c r="BS149" s="9">
        <f>BM149/Modelling[[#This Row],[Comisined DC ]]/BP149</f>
        <v>0.73228025878434988</v>
      </c>
      <c r="BT149" s="9">
        <f>BN149/BQ149/Modelling[[#This Row],[Comisined DC ]]</f>
        <v>0.73228025878435021</v>
      </c>
      <c r="BU149" s="9">
        <f>BO149/BR149/Modelling[[#This Row],[Comisined DC ]]</f>
        <v>0.69623276773419163</v>
      </c>
      <c r="BV149" s="9">
        <f>BM149/(24*Modelling[[#This Row],[Comisined DC ]])</f>
        <v>0.12736164715953616</v>
      </c>
      <c r="BW149" s="9">
        <f>BN149/((COUNTIFS(Modelling[Date],"&lt;="&amp;Modelling[[#This Row],[Date]],Modelling[Month Year],Modelling[[#This Row],[Month Year]])*24*Modelling[[#This Row],[MTD DC Capcity]]))</f>
        <v>0.12736164715953613</v>
      </c>
      <c r="BX149" s="28">
        <f>BO149/((COUNTIFS(Modelling[Date],"&lt;="&amp;Modelling[[#This Row],[Date]],Modelling[Finacial Year],Modelling[[#This Row],[Finacial Year]])*24*Modelling[[#This Row],[MTD DC Capcity]]))</f>
        <v>0.16112292894063643</v>
      </c>
      <c r="BY149" s="4">
        <f>Modelling_old[[#This Row],[DC Capcity]]+Modelling_new[[#This Row],[Comisined DC ]]</f>
        <v>11.5031</v>
      </c>
      <c r="BZ149" s="4">
        <v>0</v>
      </c>
      <c r="CA149" s="4">
        <f>AVERAGEIFS(Modelling[[Comisined DC ]],Modelling[Date],"&lt;="&amp;Modelling[[#This Row],[Date]],Modelling[Month Year],Modelling[[#This Row],[Month Year]])</f>
        <v>11.503100000000002</v>
      </c>
      <c r="CB149" s="4">
        <f>AVERAGEIFS(Modelling[[Comisined DC ]],Modelling[Date],"&lt;="&amp;Modelling[[#This Row],[Date]],Modelling[Finacial Year],Modelling[[#This Row],[Finacial Year]])</f>
        <v>11.503099999999977</v>
      </c>
      <c r="CG149">
        <f t="shared" si="66"/>
        <v>10</v>
      </c>
      <c r="CH149">
        <f t="shared" si="67"/>
        <v>132</v>
      </c>
    </row>
    <row r="150" spans="1:86" x14ac:dyDescent="0.35">
      <c r="A150" s="27">
        <v>45149</v>
      </c>
      <c r="B150" s="5">
        <f>MONTH(Modelling_old[[#This Row],[Date]])</f>
        <v>8</v>
      </c>
      <c r="C150" s="25">
        <f t="shared" si="50"/>
        <v>2024</v>
      </c>
      <c r="D150" s="3">
        <f t="shared" si="51"/>
        <v>2023</v>
      </c>
      <c r="E150" s="3" t="s">
        <v>626</v>
      </c>
      <c r="F150" s="5" t="s">
        <v>626</v>
      </c>
      <c r="G150" s="102">
        <v>45139</v>
      </c>
      <c r="H150" s="5">
        <f t="shared" si="52"/>
        <v>31</v>
      </c>
      <c r="I150" s="5">
        <f t="shared" si="53"/>
        <v>8</v>
      </c>
      <c r="J150" s="4">
        <f t="shared" si="54"/>
        <v>35.161290322580648</v>
      </c>
      <c r="K150" s="4">
        <f>SUM($J$140:J150)</f>
        <v>386.77419354838719</v>
      </c>
      <c r="L150" s="4">
        <f>SUM($J$18:J150)</f>
        <v>5906.7741935483882</v>
      </c>
      <c r="M150" s="4">
        <f t="shared" si="55"/>
        <v>4.1741935483870973</v>
      </c>
      <c r="N150" s="4">
        <f>SUM($M$140:M150)</f>
        <v>45.916129032258063</v>
      </c>
      <c r="O150" s="4">
        <f>SUM($M$18:M150)</f>
        <v>737.31612903225619</v>
      </c>
      <c r="P150" s="9">
        <f t="shared" si="56"/>
        <v>0.73228025878434988</v>
      </c>
      <c r="Q150" s="26">
        <f t="shared" si="49"/>
        <v>0.73228025878435021</v>
      </c>
      <c r="R150" s="26">
        <f t="shared" si="49"/>
        <v>0.69643684465405298</v>
      </c>
      <c r="S150" s="9">
        <f t="shared" si="57"/>
        <v>0.12736164715953616</v>
      </c>
      <c r="T150" s="9">
        <f>K150/((COUNT($K$140:K150))*24*$Q$1)</f>
        <v>0.12736164715953616</v>
      </c>
      <c r="U150" s="28">
        <f>L150/((COUNT($L$18:L150))*24*$Q$1)</f>
        <v>0.1608690847167184</v>
      </c>
      <c r="V150" s="134">
        <v>11.5031</v>
      </c>
      <c r="Y150" s="27">
        <f t="shared" si="64"/>
        <v>45149</v>
      </c>
      <c r="Z150" s="5">
        <f>MONTH(Modelling_new[[#This Row],[Date]])</f>
        <v>8</v>
      </c>
      <c r="AA150" s="25">
        <f>YEAR(Y150)+IF(MONTH(Modelling_new[[#This Row],[Date]])&gt;=4,1,0)</f>
        <v>2024</v>
      </c>
      <c r="AB150" s="3">
        <f t="shared" si="58"/>
        <v>2023</v>
      </c>
      <c r="AC150" s="3" t="s">
        <v>626</v>
      </c>
      <c r="AD150" s="5" t="s">
        <v>626</v>
      </c>
      <c r="AE150" s="102">
        <v>45139</v>
      </c>
      <c r="AF150" s="5">
        <f t="shared" si="59"/>
        <v>31</v>
      </c>
      <c r="AG150" s="5">
        <f t="shared" si="60"/>
        <v>8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BD150" s="27">
        <f t="shared" si="65"/>
        <v>45149</v>
      </c>
      <c r="BE150" s="5">
        <f>MONTH(Modelling[[#This Row],[Date]])</f>
        <v>8</v>
      </c>
      <c r="BF150" s="25">
        <f>YEAR(BD150)+IF(MONTH(Modelling[[#This Row],[Date]])&gt;=4,1,0)</f>
        <v>2024</v>
      </c>
      <c r="BG150" s="3">
        <f t="shared" si="61"/>
        <v>2023</v>
      </c>
      <c r="BH150" s="3" t="s">
        <v>626</v>
      </c>
      <c r="BI150" s="5" t="s">
        <v>626</v>
      </c>
      <c r="BJ150" s="102">
        <v>45139</v>
      </c>
      <c r="BK150" s="5">
        <f t="shared" si="62"/>
        <v>31</v>
      </c>
      <c r="BL150" s="5">
        <f t="shared" si="63"/>
        <v>8</v>
      </c>
      <c r="BM150" s="4">
        <f>Modelling_old[[#This Row],[Target E_Grid daily
MWh]]+Modelling_new[[#This Row],[Target E_Grid daily
MWh]]</f>
        <v>35.161290322580648</v>
      </c>
      <c r="BN150" s="4">
        <f>Modelling_old[[#This Row],[Target E_Grid MTD
MWh]]+Modelling_new[[#This Row],[Target E_Grid MTD
MWh]]</f>
        <v>386.77419354838719</v>
      </c>
      <c r="BO150" s="4">
        <f>Modelling_old[[#This Row],[Target E_Grid YTD
MWh]]+Modelling_new[[#This Row],[Target E_Grid YTD
MWh]]</f>
        <v>5906.7741935483882</v>
      </c>
      <c r="BP15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50" s="4">
        <f>SUMIFS(Modelling[Target POA Daily (KWh/m2)],Modelling[Date],"&lt;="&amp;Modelling[[#This Row],[Date]],Modelling[Month Year],Modelling[[#This Row],[Month Year]])</f>
        <v>45.916129032258063</v>
      </c>
      <c r="BR150" s="4">
        <f>SUMIFS(Modelling[Target POA Daily (KWh/m2)],Modelling[Date],"&lt;="&amp;Modelling[[#This Row],[Date]],Modelling[Finacial Year],Modelling[[#This Row],[Finacial Year]])</f>
        <v>737.31612903225619</v>
      </c>
      <c r="BS150" s="9">
        <f>BM150/Modelling[[#This Row],[Comisined DC ]]/BP150</f>
        <v>0.73228025878434988</v>
      </c>
      <c r="BT150" s="9">
        <f>BN150/BQ150/Modelling[[#This Row],[Comisined DC ]]</f>
        <v>0.73228025878435021</v>
      </c>
      <c r="BU150" s="9">
        <f>BO150/BR150/Modelling[[#This Row],[Comisined DC ]]</f>
        <v>0.69643684465405298</v>
      </c>
      <c r="BV150" s="9">
        <f>BM150/(24*Modelling[[#This Row],[Comisined DC ]])</f>
        <v>0.12736164715953616</v>
      </c>
      <c r="BW150" s="9">
        <f>BN150/((COUNTIFS(Modelling[Date],"&lt;="&amp;Modelling[[#This Row],[Date]],Modelling[Month Year],Modelling[[#This Row],[Month Year]])*24*Modelling[[#This Row],[MTD DC Capcity]]))</f>
        <v>0.12736164715953616</v>
      </c>
      <c r="BX150" s="28">
        <f>BO150/((COUNTIFS(Modelling[Date],"&lt;="&amp;Modelling[[#This Row],[Date]],Modelling[Finacial Year],Modelling[[#This Row],[Finacial Year]])*24*Modelling[[#This Row],[MTD DC Capcity]]))</f>
        <v>0.16086908471671837</v>
      </c>
      <c r="BY150" s="4">
        <f>Modelling_old[[#This Row],[DC Capcity]]+Modelling_new[[#This Row],[Comisined DC ]]</f>
        <v>11.5031</v>
      </c>
      <c r="BZ150" s="4">
        <v>0</v>
      </c>
      <c r="CA150" s="4">
        <f>AVERAGEIFS(Modelling[[Comisined DC ]],Modelling[Date],"&lt;="&amp;Modelling[[#This Row],[Date]],Modelling[Month Year],Modelling[[#This Row],[Month Year]])</f>
        <v>11.503100000000002</v>
      </c>
      <c r="CB150" s="4">
        <f>AVERAGEIFS(Modelling[[Comisined DC ]],Modelling[Date],"&lt;="&amp;Modelling[[#This Row],[Date]],Modelling[Finacial Year],Modelling[[#This Row],[Finacial Year]])</f>
        <v>11.503099999999975</v>
      </c>
      <c r="CG150">
        <f t="shared" si="66"/>
        <v>11</v>
      </c>
      <c r="CH150">
        <f t="shared" si="67"/>
        <v>133</v>
      </c>
    </row>
    <row r="151" spans="1:86" x14ac:dyDescent="0.35">
      <c r="A151" s="27">
        <v>45150</v>
      </c>
      <c r="B151" s="5">
        <f>MONTH(Modelling_old[[#This Row],[Date]])</f>
        <v>8</v>
      </c>
      <c r="C151" s="25">
        <f t="shared" si="50"/>
        <v>2024</v>
      </c>
      <c r="D151" s="3">
        <f t="shared" si="51"/>
        <v>2023</v>
      </c>
      <c r="E151" s="3" t="s">
        <v>626</v>
      </c>
      <c r="F151" s="5" t="s">
        <v>626</v>
      </c>
      <c r="G151" s="102">
        <v>45139</v>
      </c>
      <c r="H151" s="5">
        <f t="shared" si="52"/>
        <v>31</v>
      </c>
      <c r="I151" s="5">
        <f t="shared" si="53"/>
        <v>8</v>
      </c>
      <c r="J151" s="4">
        <f t="shared" si="54"/>
        <v>35.161290322580648</v>
      </c>
      <c r="K151" s="4">
        <f>SUM($J$140:J151)</f>
        <v>421.93548387096786</v>
      </c>
      <c r="L151" s="4">
        <f>SUM($J$18:J151)</f>
        <v>5941.9354838709687</v>
      </c>
      <c r="M151" s="4">
        <f t="shared" si="55"/>
        <v>4.1741935483870973</v>
      </c>
      <c r="N151" s="4">
        <f>SUM($M$140:M151)</f>
        <v>50.090322580645157</v>
      </c>
      <c r="O151" s="4">
        <f>SUM($M$18:M151)</f>
        <v>741.49032258064324</v>
      </c>
      <c r="P151" s="9">
        <f t="shared" si="56"/>
        <v>0.73228025878434988</v>
      </c>
      <c r="Q151" s="26">
        <f t="shared" si="49"/>
        <v>0.73228025878435032</v>
      </c>
      <c r="R151" s="26">
        <f t="shared" si="49"/>
        <v>0.69663862388630815</v>
      </c>
      <c r="S151" s="9">
        <f t="shared" si="57"/>
        <v>0.12736164715953616</v>
      </c>
      <c r="T151" s="9">
        <f>K151/((COUNT($K$140:K151))*24*$Q$1)</f>
        <v>0.12736164715953618</v>
      </c>
      <c r="U151" s="28">
        <f>L151/((COUNT($L$18:L151))*24*$Q$1)</f>
        <v>0.16061902921256035</v>
      </c>
      <c r="V151" s="134">
        <v>11.5031</v>
      </c>
      <c r="Y151" s="27">
        <f t="shared" si="64"/>
        <v>45150</v>
      </c>
      <c r="Z151" s="5">
        <f>MONTH(Modelling_new[[#This Row],[Date]])</f>
        <v>8</v>
      </c>
      <c r="AA151" s="25">
        <f>YEAR(Y151)+IF(MONTH(Modelling_new[[#This Row],[Date]])&gt;=4,1,0)</f>
        <v>2024</v>
      </c>
      <c r="AB151" s="3">
        <f t="shared" si="58"/>
        <v>2023</v>
      </c>
      <c r="AC151" s="3" t="s">
        <v>626</v>
      </c>
      <c r="AD151" s="5" t="s">
        <v>626</v>
      </c>
      <c r="AE151" s="102">
        <v>45139</v>
      </c>
      <c r="AF151" s="5">
        <f t="shared" si="59"/>
        <v>31</v>
      </c>
      <c r="AG151" s="5">
        <f t="shared" si="60"/>
        <v>8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BD151" s="27">
        <f t="shared" si="65"/>
        <v>45150</v>
      </c>
      <c r="BE151" s="5">
        <f>MONTH(Modelling[[#This Row],[Date]])</f>
        <v>8</v>
      </c>
      <c r="BF151" s="25">
        <f>YEAR(BD151)+IF(MONTH(Modelling[[#This Row],[Date]])&gt;=4,1,0)</f>
        <v>2024</v>
      </c>
      <c r="BG151" s="3">
        <f t="shared" si="61"/>
        <v>2023</v>
      </c>
      <c r="BH151" s="3" t="s">
        <v>626</v>
      </c>
      <c r="BI151" s="5" t="s">
        <v>626</v>
      </c>
      <c r="BJ151" s="102">
        <v>45139</v>
      </c>
      <c r="BK151" s="5">
        <f t="shared" si="62"/>
        <v>31</v>
      </c>
      <c r="BL151" s="5">
        <f t="shared" si="63"/>
        <v>8</v>
      </c>
      <c r="BM151" s="4">
        <f>Modelling_old[[#This Row],[Target E_Grid daily
MWh]]+Modelling_new[[#This Row],[Target E_Grid daily
MWh]]</f>
        <v>35.161290322580648</v>
      </c>
      <c r="BN151" s="4">
        <f>Modelling_old[[#This Row],[Target E_Grid MTD
MWh]]+Modelling_new[[#This Row],[Target E_Grid MTD
MWh]]</f>
        <v>421.93548387096786</v>
      </c>
      <c r="BO151" s="4">
        <f>Modelling_old[[#This Row],[Target E_Grid YTD
MWh]]+Modelling_new[[#This Row],[Target E_Grid YTD
MWh]]</f>
        <v>5941.9354838709687</v>
      </c>
      <c r="BP15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51" s="4">
        <f>SUMIFS(Modelling[Target POA Daily (KWh/m2)],Modelling[Date],"&lt;="&amp;Modelling[[#This Row],[Date]],Modelling[Month Year],Modelling[[#This Row],[Month Year]])</f>
        <v>50.090322580645157</v>
      </c>
      <c r="BR151" s="4">
        <f>SUMIFS(Modelling[Target POA Daily (KWh/m2)],Modelling[Date],"&lt;="&amp;Modelling[[#This Row],[Date]],Modelling[Finacial Year],Modelling[[#This Row],[Finacial Year]])</f>
        <v>741.49032258064324</v>
      </c>
      <c r="BS151" s="9">
        <f>BM151/Modelling[[#This Row],[Comisined DC ]]/BP151</f>
        <v>0.73228025878434988</v>
      </c>
      <c r="BT151" s="9">
        <f>BN151/BQ151/Modelling[[#This Row],[Comisined DC ]]</f>
        <v>0.73228025878435032</v>
      </c>
      <c r="BU151" s="9">
        <f>BO151/BR151/Modelling[[#This Row],[Comisined DC ]]</f>
        <v>0.69663862388630815</v>
      </c>
      <c r="BV151" s="9">
        <f>BM151/(24*Modelling[[#This Row],[Comisined DC ]])</f>
        <v>0.12736164715953616</v>
      </c>
      <c r="BW151" s="9">
        <f>BN151/((COUNTIFS(Modelling[Date],"&lt;="&amp;Modelling[[#This Row],[Date]],Modelling[Month Year],Modelling[[#This Row],[Month Year]])*24*Modelling[[#This Row],[MTD DC Capcity]]))</f>
        <v>0.12736164715953616</v>
      </c>
      <c r="BX151" s="28">
        <f>BO151/((COUNTIFS(Modelling[Date],"&lt;="&amp;Modelling[[#This Row],[Date]],Modelling[Finacial Year],Modelling[[#This Row],[Finacial Year]])*24*Modelling[[#This Row],[MTD DC Capcity]]))</f>
        <v>0.1606190292125603</v>
      </c>
      <c r="BY151" s="4">
        <f>Modelling_old[[#This Row],[DC Capcity]]+Modelling_new[[#This Row],[Comisined DC ]]</f>
        <v>11.5031</v>
      </c>
      <c r="BZ151" s="4">
        <v>0</v>
      </c>
      <c r="CA151" s="4">
        <f>AVERAGEIFS(Modelling[[Comisined DC ]],Modelling[Date],"&lt;="&amp;Modelling[[#This Row],[Date]],Modelling[Month Year],Modelling[[#This Row],[Month Year]])</f>
        <v>11.503100000000002</v>
      </c>
      <c r="CB151" s="4">
        <f>AVERAGEIFS(Modelling[[Comisined DC ]],Modelling[Date],"&lt;="&amp;Modelling[[#This Row],[Date]],Modelling[Finacial Year],Modelling[[#This Row],[Finacial Year]])</f>
        <v>11.503099999999975</v>
      </c>
      <c r="CG151">
        <f t="shared" si="66"/>
        <v>12</v>
      </c>
      <c r="CH151">
        <f t="shared" si="67"/>
        <v>134</v>
      </c>
    </row>
    <row r="152" spans="1:86" x14ac:dyDescent="0.35">
      <c r="A152" s="27">
        <v>45151</v>
      </c>
      <c r="B152" s="5">
        <f>MONTH(Modelling_old[[#This Row],[Date]])</f>
        <v>8</v>
      </c>
      <c r="C152" s="25">
        <f t="shared" si="50"/>
        <v>2024</v>
      </c>
      <c r="D152" s="3">
        <f t="shared" si="51"/>
        <v>2023</v>
      </c>
      <c r="E152" s="3" t="s">
        <v>626</v>
      </c>
      <c r="F152" s="5" t="s">
        <v>626</v>
      </c>
      <c r="G152" s="102">
        <v>45139</v>
      </c>
      <c r="H152" s="5">
        <f t="shared" si="52"/>
        <v>31</v>
      </c>
      <c r="I152" s="5">
        <f t="shared" si="53"/>
        <v>8</v>
      </c>
      <c r="J152" s="4">
        <f t="shared" si="54"/>
        <v>35.161290322580648</v>
      </c>
      <c r="K152" s="4">
        <f>SUM($J$140:J152)</f>
        <v>457.09677419354853</v>
      </c>
      <c r="L152" s="4">
        <f>SUM($J$18:J152)</f>
        <v>5977.0967741935492</v>
      </c>
      <c r="M152" s="4">
        <f t="shared" si="55"/>
        <v>4.1741935483870973</v>
      </c>
      <c r="N152" s="4">
        <f>SUM($M$140:M152)</f>
        <v>54.264516129032252</v>
      </c>
      <c r="O152" s="4">
        <f>SUM($M$18:M152)</f>
        <v>745.66451612903029</v>
      </c>
      <c r="P152" s="9">
        <f t="shared" si="56"/>
        <v>0.73228025878434988</v>
      </c>
      <c r="Q152" s="26">
        <f t="shared" si="49"/>
        <v>0.73228025878435032</v>
      </c>
      <c r="R152" s="26">
        <f t="shared" si="49"/>
        <v>0.69683814401798583</v>
      </c>
      <c r="S152" s="9">
        <f t="shared" si="57"/>
        <v>0.12736164715953616</v>
      </c>
      <c r="T152" s="9">
        <f>K152/((COUNT($K$140:K152))*24*$Q$1)</f>
        <v>0.12736164715953618</v>
      </c>
      <c r="U152" s="28">
        <f>L152/((COUNT($L$18:L152))*24*$Q$1)</f>
        <v>0.16037267823438978</v>
      </c>
      <c r="V152" s="134">
        <v>11.5031</v>
      </c>
      <c r="Y152" s="27">
        <f t="shared" si="64"/>
        <v>45151</v>
      </c>
      <c r="Z152" s="5">
        <f>MONTH(Modelling_new[[#This Row],[Date]])</f>
        <v>8</v>
      </c>
      <c r="AA152" s="25">
        <f>YEAR(Y152)+IF(MONTH(Modelling_new[[#This Row],[Date]])&gt;=4,1,0)</f>
        <v>2024</v>
      </c>
      <c r="AB152" s="3">
        <f t="shared" si="58"/>
        <v>2023</v>
      </c>
      <c r="AC152" s="3" t="s">
        <v>626</v>
      </c>
      <c r="AD152" s="5" t="s">
        <v>626</v>
      </c>
      <c r="AE152" s="102">
        <v>45139</v>
      </c>
      <c r="AF152" s="5">
        <f t="shared" si="59"/>
        <v>31</v>
      </c>
      <c r="AG152" s="5">
        <f t="shared" si="60"/>
        <v>8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BD152" s="27">
        <f t="shared" si="65"/>
        <v>45151</v>
      </c>
      <c r="BE152" s="5">
        <f>MONTH(Modelling[[#This Row],[Date]])</f>
        <v>8</v>
      </c>
      <c r="BF152" s="25">
        <f>YEAR(BD152)+IF(MONTH(Modelling[[#This Row],[Date]])&gt;=4,1,0)</f>
        <v>2024</v>
      </c>
      <c r="BG152" s="3">
        <f t="shared" si="61"/>
        <v>2023</v>
      </c>
      <c r="BH152" s="3" t="s">
        <v>626</v>
      </c>
      <c r="BI152" s="5" t="s">
        <v>626</v>
      </c>
      <c r="BJ152" s="102">
        <v>45139</v>
      </c>
      <c r="BK152" s="5">
        <f t="shared" si="62"/>
        <v>31</v>
      </c>
      <c r="BL152" s="5">
        <f t="shared" si="63"/>
        <v>8</v>
      </c>
      <c r="BM152" s="4">
        <f>Modelling_old[[#This Row],[Target E_Grid daily
MWh]]+Modelling_new[[#This Row],[Target E_Grid daily
MWh]]</f>
        <v>35.161290322580648</v>
      </c>
      <c r="BN152" s="4">
        <f>Modelling_old[[#This Row],[Target E_Grid MTD
MWh]]+Modelling_new[[#This Row],[Target E_Grid MTD
MWh]]</f>
        <v>457.09677419354853</v>
      </c>
      <c r="BO152" s="4">
        <f>Modelling_old[[#This Row],[Target E_Grid YTD
MWh]]+Modelling_new[[#This Row],[Target E_Grid YTD
MWh]]</f>
        <v>5977.0967741935492</v>
      </c>
      <c r="BP15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52" s="4">
        <f>SUMIFS(Modelling[Target POA Daily (KWh/m2)],Modelling[Date],"&lt;="&amp;Modelling[[#This Row],[Date]],Modelling[Month Year],Modelling[[#This Row],[Month Year]])</f>
        <v>54.264516129032252</v>
      </c>
      <c r="BR152" s="4">
        <f>SUMIFS(Modelling[Target POA Daily (KWh/m2)],Modelling[Date],"&lt;="&amp;Modelling[[#This Row],[Date]],Modelling[Finacial Year],Modelling[[#This Row],[Finacial Year]])</f>
        <v>745.66451612903029</v>
      </c>
      <c r="BS152" s="9">
        <f>BM152/Modelling[[#This Row],[Comisined DC ]]/BP152</f>
        <v>0.73228025878434988</v>
      </c>
      <c r="BT152" s="9">
        <f>BN152/BQ152/Modelling[[#This Row],[Comisined DC ]]</f>
        <v>0.73228025878435032</v>
      </c>
      <c r="BU152" s="9">
        <f>BO152/BR152/Modelling[[#This Row],[Comisined DC ]]</f>
        <v>0.69683814401798583</v>
      </c>
      <c r="BV152" s="9">
        <f>BM152/(24*Modelling[[#This Row],[Comisined DC ]])</f>
        <v>0.12736164715953616</v>
      </c>
      <c r="BW152" s="9">
        <f>BN152/((COUNTIFS(Modelling[Date],"&lt;="&amp;Modelling[[#This Row],[Date]],Modelling[Month Year],Modelling[[#This Row],[Month Year]])*24*Modelling[[#This Row],[MTD DC Capcity]]))</f>
        <v>0.12736164715953618</v>
      </c>
      <c r="BX152" s="28">
        <f>BO152/((COUNTIFS(Modelling[Date],"&lt;="&amp;Modelling[[#This Row],[Date]],Modelling[Finacial Year],Modelling[[#This Row],[Finacial Year]])*24*Modelling[[#This Row],[MTD DC Capcity]]))</f>
        <v>0.16037267823438978</v>
      </c>
      <c r="BY152" s="4">
        <f>Modelling_old[[#This Row],[DC Capcity]]+Modelling_new[[#This Row],[Comisined DC ]]</f>
        <v>11.5031</v>
      </c>
      <c r="BZ152" s="4">
        <v>0</v>
      </c>
      <c r="CA152" s="4">
        <f>AVERAGEIFS(Modelling[[Comisined DC ]],Modelling[Date],"&lt;="&amp;Modelling[[#This Row],[Date]],Modelling[Month Year],Modelling[[#This Row],[Month Year]])</f>
        <v>11.5031</v>
      </c>
      <c r="CB152" s="4">
        <f>AVERAGEIFS(Modelling[[Comisined DC ]],Modelling[Date],"&lt;="&amp;Modelling[[#This Row],[Date]],Modelling[Finacial Year],Modelling[[#This Row],[Finacial Year]])</f>
        <v>11.503099999999975</v>
      </c>
      <c r="CG152">
        <f t="shared" si="66"/>
        <v>13</v>
      </c>
      <c r="CH152">
        <f t="shared" si="67"/>
        <v>135</v>
      </c>
    </row>
    <row r="153" spans="1:86" x14ac:dyDescent="0.35">
      <c r="A153" s="27">
        <v>45152</v>
      </c>
      <c r="B153" s="5">
        <f>MONTH(Modelling_old[[#This Row],[Date]])</f>
        <v>8</v>
      </c>
      <c r="C153" s="25">
        <f t="shared" si="50"/>
        <v>2024</v>
      </c>
      <c r="D153" s="3">
        <f t="shared" si="51"/>
        <v>2023</v>
      </c>
      <c r="E153" s="3" t="s">
        <v>626</v>
      </c>
      <c r="F153" s="5" t="s">
        <v>626</v>
      </c>
      <c r="G153" s="102">
        <v>45139</v>
      </c>
      <c r="H153" s="5">
        <f t="shared" si="52"/>
        <v>31</v>
      </c>
      <c r="I153" s="5">
        <f t="shared" si="53"/>
        <v>8</v>
      </c>
      <c r="J153" s="4">
        <f t="shared" si="54"/>
        <v>35.161290322580648</v>
      </c>
      <c r="K153" s="4">
        <f>SUM($J$140:J153)</f>
        <v>492.2580645161292</v>
      </c>
      <c r="L153" s="4">
        <f>SUM($J$18:J153)</f>
        <v>6012.2580645161297</v>
      </c>
      <c r="M153" s="4">
        <f t="shared" si="55"/>
        <v>4.1741935483870973</v>
      </c>
      <c r="N153" s="4">
        <f>SUM($M$140:M153)</f>
        <v>58.438709677419347</v>
      </c>
      <c r="O153" s="4">
        <f>SUM($M$18:M153)</f>
        <v>749.83870967741734</v>
      </c>
      <c r="P153" s="9">
        <f t="shared" si="56"/>
        <v>0.73228025878434988</v>
      </c>
      <c r="Q153" s="26">
        <f t="shared" si="49"/>
        <v>0.73228025878435032</v>
      </c>
      <c r="R153" s="26">
        <f t="shared" si="49"/>
        <v>0.69703544277689167</v>
      </c>
      <c r="S153" s="9">
        <f t="shared" si="57"/>
        <v>0.12736164715953616</v>
      </c>
      <c r="T153" s="9">
        <f>K153/((COUNT($K$140:K153))*24*$Q$1)</f>
        <v>0.12736164715953618</v>
      </c>
      <c r="U153" s="28">
        <f>L153/((COUNT($L$18:L153))*24*$Q$1)</f>
        <v>0.16012995006472172</v>
      </c>
      <c r="V153" s="134">
        <v>11.5031</v>
      </c>
      <c r="Y153" s="27">
        <f t="shared" si="64"/>
        <v>45152</v>
      </c>
      <c r="Z153" s="5">
        <f>MONTH(Modelling_new[[#This Row],[Date]])</f>
        <v>8</v>
      </c>
      <c r="AA153" s="25">
        <f>YEAR(Y153)+IF(MONTH(Modelling_new[[#This Row],[Date]])&gt;=4,1,0)</f>
        <v>2024</v>
      </c>
      <c r="AB153" s="3">
        <f t="shared" si="58"/>
        <v>2023</v>
      </c>
      <c r="AC153" s="3" t="s">
        <v>626</v>
      </c>
      <c r="AD153" s="5" t="s">
        <v>626</v>
      </c>
      <c r="AE153" s="102">
        <v>45139</v>
      </c>
      <c r="AF153" s="5">
        <f t="shared" si="59"/>
        <v>31</v>
      </c>
      <c r="AG153" s="5">
        <f t="shared" si="60"/>
        <v>8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BD153" s="27">
        <f t="shared" si="65"/>
        <v>45152</v>
      </c>
      <c r="BE153" s="5">
        <f>MONTH(Modelling[[#This Row],[Date]])</f>
        <v>8</v>
      </c>
      <c r="BF153" s="25">
        <f>YEAR(BD153)+IF(MONTH(Modelling[[#This Row],[Date]])&gt;=4,1,0)</f>
        <v>2024</v>
      </c>
      <c r="BG153" s="3">
        <f t="shared" si="61"/>
        <v>2023</v>
      </c>
      <c r="BH153" s="3" t="s">
        <v>626</v>
      </c>
      <c r="BI153" s="5" t="s">
        <v>626</v>
      </c>
      <c r="BJ153" s="102">
        <v>45139</v>
      </c>
      <c r="BK153" s="5">
        <f t="shared" si="62"/>
        <v>31</v>
      </c>
      <c r="BL153" s="5">
        <f t="shared" si="63"/>
        <v>8</v>
      </c>
      <c r="BM153" s="4">
        <f>Modelling_old[[#This Row],[Target E_Grid daily
MWh]]+Modelling_new[[#This Row],[Target E_Grid daily
MWh]]</f>
        <v>35.161290322580648</v>
      </c>
      <c r="BN153" s="4">
        <f>Modelling_old[[#This Row],[Target E_Grid MTD
MWh]]+Modelling_new[[#This Row],[Target E_Grid MTD
MWh]]</f>
        <v>492.2580645161292</v>
      </c>
      <c r="BO153" s="4">
        <f>Modelling_old[[#This Row],[Target E_Grid YTD
MWh]]+Modelling_new[[#This Row],[Target E_Grid YTD
MWh]]</f>
        <v>6012.2580645161297</v>
      </c>
      <c r="BP15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53" s="4">
        <f>SUMIFS(Modelling[Target POA Daily (KWh/m2)],Modelling[Date],"&lt;="&amp;Modelling[[#This Row],[Date]],Modelling[Month Year],Modelling[[#This Row],[Month Year]])</f>
        <v>58.438709677419347</v>
      </c>
      <c r="BR153" s="4">
        <f>SUMIFS(Modelling[Target POA Daily (KWh/m2)],Modelling[Date],"&lt;="&amp;Modelling[[#This Row],[Date]],Modelling[Finacial Year],Modelling[[#This Row],[Finacial Year]])</f>
        <v>749.83870967741734</v>
      </c>
      <c r="BS153" s="9">
        <f>BM153/Modelling[[#This Row],[Comisined DC ]]/BP153</f>
        <v>0.73228025878434988</v>
      </c>
      <c r="BT153" s="9">
        <f>BN153/BQ153/Modelling[[#This Row],[Comisined DC ]]</f>
        <v>0.73228025878435032</v>
      </c>
      <c r="BU153" s="9">
        <f>BO153/BR153/Modelling[[#This Row],[Comisined DC ]]</f>
        <v>0.69703544277689167</v>
      </c>
      <c r="BV153" s="9">
        <f>BM153/(24*Modelling[[#This Row],[Comisined DC ]])</f>
        <v>0.12736164715953616</v>
      </c>
      <c r="BW153" s="9">
        <f>BN153/((COUNTIFS(Modelling[Date],"&lt;="&amp;Modelling[[#This Row],[Date]],Modelling[Month Year],Modelling[[#This Row],[Month Year]])*24*Modelling[[#This Row],[MTD DC Capcity]]))</f>
        <v>0.12736164715953618</v>
      </c>
      <c r="BX153" s="28">
        <f>BO153/((COUNTIFS(Modelling[Date],"&lt;="&amp;Modelling[[#This Row],[Date]],Modelling[Finacial Year],Modelling[[#This Row],[Finacial Year]])*24*Modelling[[#This Row],[MTD DC Capcity]]))</f>
        <v>0.16012995006472172</v>
      </c>
      <c r="BY153" s="4">
        <f>Modelling_old[[#This Row],[DC Capcity]]+Modelling_new[[#This Row],[Comisined DC ]]</f>
        <v>11.5031</v>
      </c>
      <c r="BZ153" s="4">
        <v>0</v>
      </c>
      <c r="CA153" s="4">
        <f>AVERAGEIFS(Modelling[[Comisined DC ]],Modelling[Date],"&lt;="&amp;Modelling[[#This Row],[Date]],Modelling[Month Year],Modelling[[#This Row],[Month Year]])</f>
        <v>11.5031</v>
      </c>
      <c r="CB153" s="4">
        <f>AVERAGEIFS(Modelling[[Comisined DC ]],Modelling[Date],"&lt;="&amp;Modelling[[#This Row],[Date]],Modelling[Finacial Year],Modelling[[#This Row],[Finacial Year]])</f>
        <v>11.503099999999975</v>
      </c>
      <c r="CG153">
        <f t="shared" si="66"/>
        <v>14</v>
      </c>
      <c r="CH153">
        <f t="shared" si="67"/>
        <v>136</v>
      </c>
    </row>
    <row r="154" spans="1:86" x14ac:dyDescent="0.35">
      <c r="A154" s="27">
        <v>45153</v>
      </c>
      <c r="B154" s="5">
        <f>MONTH(Modelling_old[[#This Row],[Date]])</f>
        <v>8</v>
      </c>
      <c r="C154" s="25">
        <f t="shared" si="50"/>
        <v>2024</v>
      </c>
      <c r="D154" s="3">
        <f t="shared" si="51"/>
        <v>2023</v>
      </c>
      <c r="E154" s="3" t="s">
        <v>626</v>
      </c>
      <c r="F154" s="5" t="s">
        <v>626</v>
      </c>
      <c r="G154" s="102">
        <v>45139</v>
      </c>
      <c r="H154" s="5">
        <f t="shared" si="52"/>
        <v>31</v>
      </c>
      <c r="I154" s="5">
        <f t="shared" si="53"/>
        <v>8</v>
      </c>
      <c r="J154" s="4">
        <f t="shared" si="54"/>
        <v>35.161290322580648</v>
      </c>
      <c r="K154" s="4">
        <f>SUM($J$140:J154)</f>
        <v>527.41935483870986</v>
      </c>
      <c r="L154" s="4">
        <f>SUM($J$18:J154)</f>
        <v>6047.4193548387102</v>
      </c>
      <c r="M154" s="4">
        <f t="shared" si="55"/>
        <v>4.1741935483870973</v>
      </c>
      <c r="N154" s="4">
        <f>SUM($M$140:M154)</f>
        <v>62.612903225806441</v>
      </c>
      <c r="O154" s="4">
        <f>SUM($M$18:M154)</f>
        <v>754.01290322580439</v>
      </c>
      <c r="P154" s="9">
        <f t="shared" si="56"/>
        <v>0.73228025878434988</v>
      </c>
      <c r="Q154" s="26">
        <f t="shared" si="49"/>
        <v>0.73228025878435032</v>
      </c>
      <c r="R154" s="26">
        <f t="shared" si="49"/>
        <v>0.6972305570553915</v>
      </c>
      <c r="S154" s="9">
        <f t="shared" si="57"/>
        <v>0.12736164715953616</v>
      </c>
      <c r="T154" s="9">
        <f>K154/((COUNT($K$140:K154))*24*$Q$1)</f>
        <v>0.12736164715953618</v>
      </c>
      <c r="U154" s="28">
        <f>L154/((COUNT($L$18:L154))*24*$Q$1)</f>
        <v>0.15989076537198316</v>
      </c>
      <c r="V154" s="134">
        <v>11.5031</v>
      </c>
      <c r="Y154" s="27">
        <f t="shared" si="64"/>
        <v>45153</v>
      </c>
      <c r="Z154" s="5">
        <f>MONTH(Modelling_new[[#This Row],[Date]])</f>
        <v>8</v>
      </c>
      <c r="AA154" s="25">
        <f>YEAR(Y154)+IF(MONTH(Modelling_new[[#This Row],[Date]])&gt;=4,1,0)</f>
        <v>2024</v>
      </c>
      <c r="AB154" s="3">
        <f t="shared" si="58"/>
        <v>2023</v>
      </c>
      <c r="AC154" s="3" t="s">
        <v>626</v>
      </c>
      <c r="AD154" s="5" t="s">
        <v>626</v>
      </c>
      <c r="AE154" s="102">
        <v>45139</v>
      </c>
      <c r="AF154" s="5">
        <f t="shared" si="59"/>
        <v>31</v>
      </c>
      <c r="AG154" s="5">
        <f t="shared" si="60"/>
        <v>8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BD154" s="27">
        <f t="shared" si="65"/>
        <v>45153</v>
      </c>
      <c r="BE154" s="5">
        <f>MONTH(Modelling[[#This Row],[Date]])</f>
        <v>8</v>
      </c>
      <c r="BF154" s="25">
        <f>YEAR(BD154)+IF(MONTH(Modelling[[#This Row],[Date]])&gt;=4,1,0)</f>
        <v>2024</v>
      </c>
      <c r="BG154" s="3">
        <f t="shared" si="61"/>
        <v>2023</v>
      </c>
      <c r="BH154" s="3" t="s">
        <v>626</v>
      </c>
      <c r="BI154" s="5" t="s">
        <v>626</v>
      </c>
      <c r="BJ154" s="102">
        <v>45139</v>
      </c>
      <c r="BK154" s="5">
        <f t="shared" si="62"/>
        <v>31</v>
      </c>
      <c r="BL154" s="5">
        <f t="shared" si="63"/>
        <v>8</v>
      </c>
      <c r="BM154" s="4">
        <f>Modelling_old[[#This Row],[Target E_Grid daily
MWh]]+Modelling_new[[#This Row],[Target E_Grid daily
MWh]]</f>
        <v>35.161290322580648</v>
      </c>
      <c r="BN154" s="4">
        <f>Modelling_old[[#This Row],[Target E_Grid MTD
MWh]]+Modelling_new[[#This Row],[Target E_Grid MTD
MWh]]</f>
        <v>527.41935483870986</v>
      </c>
      <c r="BO154" s="4">
        <f>Modelling_old[[#This Row],[Target E_Grid YTD
MWh]]+Modelling_new[[#This Row],[Target E_Grid YTD
MWh]]</f>
        <v>6047.4193548387102</v>
      </c>
      <c r="BP15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54" s="4">
        <f>SUMIFS(Modelling[Target POA Daily (KWh/m2)],Modelling[Date],"&lt;="&amp;Modelling[[#This Row],[Date]],Modelling[Month Year],Modelling[[#This Row],[Month Year]])</f>
        <v>62.612903225806441</v>
      </c>
      <c r="BR154" s="4">
        <f>SUMIFS(Modelling[Target POA Daily (KWh/m2)],Modelling[Date],"&lt;="&amp;Modelling[[#This Row],[Date]],Modelling[Finacial Year],Modelling[[#This Row],[Finacial Year]])</f>
        <v>754.01290322580439</v>
      </c>
      <c r="BS154" s="9">
        <f>BM154/Modelling[[#This Row],[Comisined DC ]]/BP154</f>
        <v>0.73228025878434988</v>
      </c>
      <c r="BT154" s="9">
        <f>BN154/BQ154/Modelling[[#This Row],[Comisined DC ]]</f>
        <v>0.73228025878435032</v>
      </c>
      <c r="BU154" s="9">
        <f>BO154/BR154/Modelling[[#This Row],[Comisined DC ]]</f>
        <v>0.6972305570553915</v>
      </c>
      <c r="BV154" s="9">
        <f>BM154/(24*Modelling[[#This Row],[Comisined DC ]])</f>
        <v>0.12736164715953616</v>
      </c>
      <c r="BW154" s="9">
        <f>BN154/((COUNTIFS(Modelling[Date],"&lt;="&amp;Modelling[[#This Row],[Date]],Modelling[Month Year],Modelling[[#This Row],[Month Year]])*24*Modelling[[#This Row],[MTD DC Capcity]]))</f>
        <v>0.12736164715953621</v>
      </c>
      <c r="BX154" s="28">
        <f>BO154/((COUNTIFS(Modelling[Date],"&lt;="&amp;Modelling[[#This Row],[Date]],Modelling[Finacial Year],Modelling[[#This Row],[Finacial Year]])*24*Modelling[[#This Row],[MTD DC Capcity]]))</f>
        <v>0.15989076537198316</v>
      </c>
      <c r="BY154" s="4">
        <f>Modelling_old[[#This Row],[DC Capcity]]+Modelling_new[[#This Row],[Comisined DC ]]</f>
        <v>11.5031</v>
      </c>
      <c r="BZ154" s="4">
        <v>0</v>
      </c>
      <c r="CA154" s="4">
        <f>AVERAGEIFS(Modelling[[Comisined DC ]],Modelling[Date],"&lt;="&amp;Modelling[[#This Row],[Date]],Modelling[Month Year],Modelling[[#This Row],[Month Year]])</f>
        <v>11.503099999999998</v>
      </c>
      <c r="CB154" s="4">
        <f>AVERAGEIFS(Modelling[[Comisined DC ]],Modelling[Date],"&lt;="&amp;Modelling[[#This Row],[Date]],Modelling[Finacial Year],Modelling[[#This Row],[Finacial Year]])</f>
        <v>11.503099999999973</v>
      </c>
      <c r="CG154">
        <f t="shared" si="66"/>
        <v>15</v>
      </c>
      <c r="CH154">
        <f t="shared" si="67"/>
        <v>137</v>
      </c>
    </row>
    <row r="155" spans="1:86" x14ac:dyDescent="0.35">
      <c r="A155" s="27">
        <v>45154</v>
      </c>
      <c r="B155" s="5">
        <f>MONTH(Modelling_old[[#This Row],[Date]])</f>
        <v>8</v>
      </c>
      <c r="C155" s="25">
        <f t="shared" si="50"/>
        <v>2024</v>
      </c>
      <c r="D155" s="3">
        <f t="shared" si="51"/>
        <v>2023</v>
      </c>
      <c r="E155" s="3" t="s">
        <v>626</v>
      </c>
      <c r="F155" s="5" t="s">
        <v>626</v>
      </c>
      <c r="G155" s="102">
        <v>45139</v>
      </c>
      <c r="H155" s="5">
        <f t="shared" si="52"/>
        <v>31</v>
      </c>
      <c r="I155" s="5">
        <f t="shared" si="53"/>
        <v>8</v>
      </c>
      <c r="J155" s="4">
        <f t="shared" si="54"/>
        <v>35.161290322580648</v>
      </c>
      <c r="K155" s="4">
        <f>SUM($J$140:J155)</f>
        <v>562.58064516129048</v>
      </c>
      <c r="L155" s="4">
        <f>SUM($J$18:J155)</f>
        <v>6082.5806451612907</v>
      </c>
      <c r="M155" s="4">
        <f t="shared" si="55"/>
        <v>4.1741935483870973</v>
      </c>
      <c r="N155" s="4">
        <f>SUM($M$140:M155)</f>
        <v>66.787096774193543</v>
      </c>
      <c r="O155" s="4">
        <f>SUM($M$18:M155)</f>
        <v>758.18709677419145</v>
      </c>
      <c r="P155" s="9">
        <f t="shared" si="56"/>
        <v>0.73228025878434988</v>
      </c>
      <c r="Q155" s="26">
        <f t="shared" si="49"/>
        <v>0.73228025878435032</v>
      </c>
      <c r="R155" s="26">
        <f t="shared" si="49"/>
        <v>0.69742352293340804</v>
      </c>
      <c r="S155" s="9">
        <f t="shared" si="57"/>
        <v>0.12736164715953616</v>
      </c>
      <c r="T155" s="9">
        <f>K155/((COUNT($K$140:K155))*24*$Q$1)</f>
        <v>0.12736164715953618</v>
      </c>
      <c r="U155" s="28">
        <f>L155/((COUNT($L$18:L155))*24*$Q$1)</f>
        <v>0.15965504712406686</v>
      </c>
      <c r="V155" s="134">
        <v>11.5031</v>
      </c>
      <c r="Y155" s="27">
        <f t="shared" si="64"/>
        <v>45154</v>
      </c>
      <c r="Z155" s="5">
        <f>MONTH(Modelling_new[[#This Row],[Date]])</f>
        <v>8</v>
      </c>
      <c r="AA155" s="25">
        <f>YEAR(Y155)+IF(MONTH(Modelling_new[[#This Row],[Date]])&gt;=4,1,0)</f>
        <v>2024</v>
      </c>
      <c r="AB155" s="3">
        <f t="shared" si="58"/>
        <v>2023</v>
      </c>
      <c r="AC155" s="3" t="s">
        <v>626</v>
      </c>
      <c r="AD155" s="5" t="s">
        <v>626</v>
      </c>
      <c r="AE155" s="102">
        <v>45139</v>
      </c>
      <c r="AF155" s="5">
        <f t="shared" si="59"/>
        <v>31</v>
      </c>
      <c r="AG155" s="5">
        <f t="shared" si="60"/>
        <v>8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BD155" s="27">
        <f t="shared" si="65"/>
        <v>45154</v>
      </c>
      <c r="BE155" s="5">
        <f>MONTH(Modelling[[#This Row],[Date]])</f>
        <v>8</v>
      </c>
      <c r="BF155" s="25">
        <f>YEAR(BD155)+IF(MONTH(Modelling[[#This Row],[Date]])&gt;=4,1,0)</f>
        <v>2024</v>
      </c>
      <c r="BG155" s="3">
        <f t="shared" si="61"/>
        <v>2023</v>
      </c>
      <c r="BH155" s="3" t="s">
        <v>626</v>
      </c>
      <c r="BI155" s="5" t="s">
        <v>626</v>
      </c>
      <c r="BJ155" s="102">
        <v>45139</v>
      </c>
      <c r="BK155" s="5">
        <f t="shared" si="62"/>
        <v>31</v>
      </c>
      <c r="BL155" s="5">
        <f t="shared" si="63"/>
        <v>8</v>
      </c>
      <c r="BM155" s="4">
        <f>Modelling_old[[#This Row],[Target E_Grid daily
MWh]]+Modelling_new[[#This Row],[Target E_Grid daily
MWh]]</f>
        <v>35.161290322580648</v>
      </c>
      <c r="BN155" s="4">
        <f>Modelling_old[[#This Row],[Target E_Grid MTD
MWh]]+Modelling_new[[#This Row],[Target E_Grid MTD
MWh]]</f>
        <v>562.58064516129048</v>
      </c>
      <c r="BO155" s="4">
        <f>Modelling_old[[#This Row],[Target E_Grid YTD
MWh]]+Modelling_new[[#This Row],[Target E_Grid YTD
MWh]]</f>
        <v>6082.5806451612907</v>
      </c>
      <c r="BP15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55" s="4">
        <f>SUMIFS(Modelling[Target POA Daily (KWh/m2)],Modelling[Date],"&lt;="&amp;Modelling[[#This Row],[Date]],Modelling[Month Year],Modelling[[#This Row],[Month Year]])</f>
        <v>66.787096774193543</v>
      </c>
      <c r="BR155" s="4">
        <f>SUMIFS(Modelling[Target POA Daily (KWh/m2)],Modelling[Date],"&lt;="&amp;Modelling[[#This Row],[Date]],Modelling[Finacial Year],Modelling[[#This Row],[Finacial Year]])</f>
        <v>758.18709677419145</v>
      </c>
      <c r="BS155" s="9">
        <f>BM155/Modelling[[#This Row],[Comisined DC ]]/BP155</f>
        <v>0.73228025878434988</v>
      </c>
      <c r="BT155" s="9">
        <f>BN155/BQ155/Modelling[[#This Row],[Comisined DC ]]</f>
        <v>0.73228025878435032</v>
      </c>
      <c r="BU155" s="9">
        <f>BO155/BR155/Modelling[[#This Row],[Comisined DC ]]</f>
        <v>0.69742352293340804</v>
      </c>
      <c r="BV155" s="9">
        <f>BM155/(24*Modelling[[#This Row],[Comisined DC ]])</f>
        <v>0.12736164715953616</v>
      </c>
      <c r="BW155" s="9">
        <f>BN155/((COUNTIFS(Modelling[Date],"&lt;="&amp;Modelling[[#This Row],[Date]],Modelling[Month Year],Modelling[[#This Row],[Month Year]])*24*Modelling[[#This Row],[MTD DC Capcity]]))</f>
        <v>0.12736164715953618</v>
      </c>
      <c r="BX155" s="28">
        <f>BO155/((COUNTIFS(Modelling[Date],"&lt;="&amp;Modelling[[#This Row],[Date]],Modelling[Finacial Year],Modelling[[#This Row],[Finacial Year]])*24*Modelling[[#This Row],[MTD DC Capcity]]))</f>
        <v>0.15965504712406689</v>
      </c>
      <c r="BY155" s="4">
        <f>Modelling_old[[#This Row],[DC Capcity]]+Modelling_new[[#This Row],[Comisined DC ]]</f>
        <v>11.5031</v>
      </c>
      <c r="BZ155" s="4">
        <v>0</v>
      </c>
      <c r="CA155" s="4">
        <f>AVERAGEIFS(Modelling[[Comisined DC ]],Modelling[Date],"&lt;="&amp;Modelling[[#This Row],[Date]],Modelling[Month Year],Modelling[[#This Row],[Month Year]])</f>
        <v>11.503099999999998</v>
      </c>
      <c r="CB155" s="4">
        <f>AVERAGEIFS(Modelling[[Comisined DC ]],Modelling[Date],"&lt;="&amp;Modelling[[#This Row],[Date]],Modelling[Finacial Year],Modelling[[#This Row],[Finacial Year]])</f>
        <v>11.503099999999973</v>
      </c>
      <c r="CG155">
        <f t="shared" si="66"/>
        <v>16</v>
      </c>
      <c r="CH155">
        <f t="shared" si="67"/>
        <v>138</v>
      </c>
    </row>
    <row r="156" spans="1:86" x14ac:dyDescent="0.35">
      <c r="A156" s="27">
        <v>45155</v>
      </c>
      <c r="B156" s="5">
        <f>MONTH(Modelling_old[[#This Row],[Date]])</f>
        <v>8</v>
      </c>
      <c r="C156" s="25">
        <f t="shared" si="50"/>
        <v>2024</v>
      </c>
      <c r="D156" s="3">
        <f t="shared" si="51"/>
        <v>2023</v>
      </c>
      <c r="E156" s="3" t="s">
        <v>626</v>
      </c>
      <c r="F156" s="5" t="s">
        <v>626</v>
      </c>
      <c r="G156" s="102">
        <v>45139</v>
      </c>
      <c r="H156" s="5">
        <f t="shared" si="52"/>
        <v>31</v>
      </c>
      <c r="I156" s="5">
        <f t="shared" si="53"/>
        <v>8</v>
      </c>
      <c r="J156" s="4">
        <f t="shared" si="54"/>
        <v>35.161290322580648</v>
      </c>
      <c r="K156" s="4">
        <f>SUM($J$140:J156)</f>
        <v>597.74193548387109</v>
      </c>
      <c r="L156" s="4">
        <f>SUM($J$18:J156)</f>
        <v>6117.7419354838712</v>
      </c>
      <c r="M156" s="4">
        <f t="shared" si="55"/>
        <v>4.1741935483870973</v>
      </c>
      <c r="N156" s="4">
        <f>SUM($M$140:M156)</f>
        <v>70.961290322580638</v>
      </c>
      <c r="O156" s="4">
        <f>SUM($M$18:M156)</f>
        <v>762.3612903225785</v>
      </c>
      <c r="P156" s="9">
        <f t="shared" si="56"/>
        <v>0.73228025878434988</v>
      </c>
      <c r="Q156" s="26">
        <f t="shared" si="49"/>
        <v>0.73228025878435021</v>
      </c>
      <c r="R156" s="26">
        <f t="shared" si="49"/>
        <v>0.69761437570066398</v>
      </c>
      <c r="S156" s="9">
        <f t="shared" si="57"/>
        <v>0.12736164715953616</v>
      </c>
      <c r="T156" s="9">
        <f>K156/((COUNT($K$140:K156))*24*$Q$1)</f>
        <v>0.12736164715953618</v>
      </c>
      <c r="U156" s="28">
        <f>L156/((COUNT($L$18:L156))*24*$Q$1)</f>
        <v>0.15942272050561698</v>
      </c>
      <c r="V156" s="134">
        <v>11.5031</v>
      </c>
      <c r="Y156" s="27">
        <f t="shared" si="64"/>
        <v>45155</v>
      </c>
      <c r="Z156" s="5">
        <f>MONTH(Modelling_new[[#This Row],[Date]])</f>
        <v>8</v>
      </c>
      <c r="AA156" s="25">
        <f>YEAR(Y156)+IF(MONTH(Modelling_new[[#This Row],[Date]])&gt;=4,1,0)</f>
        <v>2024</v>
      </c>
      <c r="AB156" s="3">
        <f t="shared" si="58"/>
        <v>2023</v>
      </c>
      <c r="AC156" s="3" t="s">
        <v>626</v>
      </c>
      <c r="AD156" s="5" t="s">
        <v>626</v>
      </c>
      <c r="AE156" s="102">
        <v>45139</v>
      </c>
      <c r="AF156" s="5">
        <f t="shared" si="59"/>
        <v>31</v>
      </c>
      <c r="AG156" s="5">
        <f t="shared" si="60"/>
        <v>8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BD156" s="27">
        <f t="shared" si="65"/>
        <v>45155</v>
      </c>
      <c r="BE156" s="5">
        <f>MONTH(Modelling[[#This Row],[Date]])</f>
        <v>8</v>
      </c>
      <c r="BF156" s="25">
        <f>YEAR(BD156)+IF(MONTH(Modelling[[#This Row],[Date]])&gt;=4,1,0)</f>
        <v>2024</v>
      </c>
      <c r="BG156" s="3">
        <f t="shared" si="61"/>
        <v>2023</v>
      </c>
      <c r="BH156" s="3" t="s">
        <v>626</v>
      </c>
      <c r="BI156" s="5" t="s">
        <v>626</v>
      </c>
      <c r="BJ156" s="102">
        <v>45139</v>
      </c>
      <c r="BK156" s="5">
        <f t="shared" si="62"/>
        <v>31</v>
      </c>
      <c r="BL156" s="5">
        <f t="shared" si="63"/>
        <v>8</v>
      </c>
      <c r="BM156" s="4">
        <f>Modelling_old[[#This Row],[Target E_Grid daily
MWh]]+Modelling_new[[#This Row],[Target E_Grid daily
MWh]]</f>
        <v>35.161290322580648</v>
      </c>
      <c r="BN156" s="4">
        <f>Modelling_old[[#This Row],[Target E_Grid MTD
MWh]]+Modelling_new[[#This Row],[Target E_Grid MTD
MWh]]</f>
        <v>597.74193548387109</v>
      </c>
      <c r="BO156" s="4">
        <f>Modelling_old[[#This Row],[Target E_Grid YTD
MWh]]+Modelling_new[[#This Row],[Target E_Grid YTD
MWh]]</f>
        <v>6117.7419354838712</v>
      </c>
      <c r="BP15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56" s="4">
        <f>SUMIFS(Modelling[Target POA Daily (KWh/m2)],Modelling[Date],"&lt;="&amp;Modelling[[#This Row],[Date]],Modelling[Month Year],Modelling[[#This Row],[Month Year]])</f>
        <v>70.961290322580638</v>
      </c>
      <c r="BR156" s="4">
        <f>SUMIFS(Modelling[Target POA Daily (KWh/m2)],Modelling[Date],"&lt;="&amp;Modelling[[#This Row],[Date]],Modelling[Finacial Year],Modelling[[#This Row],[Finacial Year]])</f>
        <v>762.3612903225785</v>
      </c>
      <c r="BS156" s="9">
        <f>BM156/Modelling[[#This Row],[Comisined DC ]]/BP156</f>
        <v>0.73228025878434988</v>
      </c>
      <c r="BT156" s="9">
        <f>BN156/BQ156/Modelling[[#This Row],[Comisined DC ]]</f>
        <v>0.73228025878435021</v>
      </c>
      <c r="BU156" s="9">
        <f>BO156/BR156/Modelling[[#This Row],[Comisined DC ]]</f>
        <v>0.69761437570066398</v>
      </c>
      <c r="BV156" s="9">
        <f>BM156/(24*Modelling[[#This Row],[Comisined DC ]])</f>
        <v>0.12736164715953616</v>
      </c>
      <c r="BW156" s="9">
        <f>BN156/((COUNTIFS(Modelling[Date],"&lt;="&amp;Modelling[[#This Row],[Date]],Modelling[Month Year],Modelling[[#This Row],[Month Year]])*24*Modelling[[#This Row],[MTD DC Capcity]]))</f>
        <v>0.12736164715953618</v>
      </c>
      <c r="BX156" s="28">
        <f>BO156/((COUNTIFS(Modelling[Date],"&lt;="&amp;Modelling[[#This Row],[Date]],Modelling[Finacial Year],Modelling[[#This Row],[Finacial Year]])*24*Modelling[[#This Row],[MTD DC Capcity]]))</f>
        <v>0.15942272050561701</v>
      </c>
      <c r="BY156" s="4">
        <f>Modelling_old[[#This Row],[DC Capcity]]+Modelling_new[[#This Row],[Comisined DC ]]</f>
        <v>11.5031</v>
      </c>
      <c r="BZ156" s="4">
        <v>0</v>
      </c>
      <c r="CA156" s="4">
        <f>AVERAGEIFS(Modelling[[Comisined DC ]],Modelling[Date],"&lt;="&amp;Modelling[[#This Row],[Date]],Modelling[Month Year],Modelling[[#This Row],[Month Year]])</f>
        <v>11.503099999999998</v>
      </c>
      <c r="CB156" s="4">
        <f>AVERAGEIFS(Modelling[[Comisined DC ]],Modelling[Date],"&lt;="&amp;Modelling[[#This Row],[Date]],Modelling[Finacial Year],Modelling[[#This Row],[Finacial Year]])</f>
        <v>11.503099999999973</v>
      </c>
      <c r="CG156">
        <f t="shared" si="66"/>
        <v>17</v>
      </c>
      <c r="CH156">
        <f t="shared" si="67"/>
        <v>139</v>
      </c>
    </row>
    <row r="157" spans="1:86" x14ac:dyDescent="0.35">
      <c r="A157" s="27">
        <v>45156</v>
      </c>
      <c r="B157" s="5">
        <f>MONTH(Modelling_old[[#This Row],[Date]])</f>
        <v>8</v>
      </c>
      <c r="C157" s="25">
        <f t="shared" si="50"/>
        <v>2024</v>
      </c>
      <c r="D157" s="3">
        <f t="shared" si="51"/>
        <v>2023</v>
      </c>
      <c r="E157" s="3" t="s">
        <v>626</v>
      </c>
      <c r="F157" s="5" t="s">
        <v>626</v>
      </c>
      <c r="G157" s="102">
        <v>45139</v>
      </c>
      <c r="H157" s="5">
        <f t="shared" si="52"/>
        <v>31</v>
      </c>
      <c r="I157" s="5">
        <f t="shared" si="53"/>
        <v>8</v>
      </c>
      <c r="J157" s="4">
        <f t="shared" si="54"/>
        <v>35.161290322580648</v>
      </c>
      <c r="K157" s="4">
        <f>SUM($J$140:J157)</f>
        <v>632.9032258064517</v>
      </c>
      <c r="L157" s="4">
        <f>SUM($J$18:J157)</f>
        <v>6152.9032258064517</v>
      </c>
      <c r="M157" s="4">
        <f t="shared" si="55"/>
        <v>4.1741935483870973</v>
      </c>
      <c r="N157" s="4">
        <f>SUM($M$140:M157)</f>
        <v>75.135483870967732</v>
      </c>
      <c r="O157" s="4">
        <f>SUM($M$18:M157)</f>
        <v>766.53548387096555</v>
      </c>
      <c r="P157" s="9">
        <f t="shared" si="56"/>
        <v>0.73228025878434988</v>
      </c>
      <c r="Q157" s="26">
        <f t="shared" si="49"/>
        <v>0.73228025878435021</v>
      </c>
      <c r="R157" s="26">
        <f t="shared" si="49"/>
        <v>0.69780314987819636</v>
      </c>
      <c r="S157" s="9">
        <f t="shared" si="57"/>
        <v>0.12736164715953616</v>
      </c>
      <c r="T157" s="9">
        <f>K157/((COUNT($K$140:K157))*24*$Q$1)</f>
        <v>0.12736164715953616</v>
      </c>
      <c r="U157" s="28">
        <f>L157/((COUNT($L$18:L157))*24*$Q$1)</f>
        <v>0.15919371283885927</v>
      </c>
      <c r="V157" s="134">
        <v>11.5031</v>
      </c>
      <c r="Y157" s="27">
        <f t="shared" si="64"/>
        <v>45156</v>
      </c>
      <c r="Z157" s="5">
        <f>MONTH(Modelling_new[[#This Row],[Date]])</f>
        <v>8</v>
      </c>
      <c r="AA157" s="25">
        <f>YEAR(Y157)+IF(MONTH(Modelling_new[[#This Row],[Date]])&gt;=4,1,0)</f>
        <v>2024</v>
      </c>
      <c r="AB157" s="3">
        <f t="shared" si="58"/>
        <v>2023</v>
      </c>
      <c r="AC157" s="3" t="s">
        <v>626</v>
      </c>
      <c r="AD157" s="5" t="s">
        <v>626</v>
      </c>
      <c r="AE157" s="102">
        <v>45139</v>
      </c>
      <c r="AF157" s="5">
        <f t="shared" si="59"/>
        <v>31</v>
      </c>
      <c r="AG157" s="5">
        <f t="shared" si="60"/>
        <v>8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BD157" s="27">
        <f t="shared" si="65"/>
        <v>45156</v>
      </c>
      <c r="BE157" s="5">
        <f>MONTH(Modelling[[#This Row],[Date]])</f>
        <v>8</v>
      </c>
      <c r="BF157" s="25">
        <f>YEAR(BD157)+IF(MONTH(Modelling[[#This Row],[Date]])&gt;=4,1,0)</f>
        <v>2024</v>
      </c>
      <c r="BG157" s="3">
        <f t="shared" si="61"/>
        <v>2023</v>
      </c>
      <c r="BH157" s="3" t="s">
        <v>626</v>
      </c>
      <c r="BI157" s="5" t="s">
        <v>626</v>
      </c>
      <c r="BJ157" s="102">
        <v>45139</v>
      </c>
      <c r="BK157" s="5">
        <f t="shared" si="62"/>
        <v>31</v>
      </c>
      <c r="BL157" s="5">
        <f t="shared" si="63"/>
        <v>8</v>
      </c>
      <c r="BM157" s="4">
        <f>Modelling_old[[#This Row],[Target E_Grid daily
MWh]]+Modelling_new[[#This Row],[Target E_Grid daily
MWh]]</f>
        <v>35.161290322580648</v>
      </c>
      <c r="BN157" s="4">
        <f>Modelling_old[[#This Row],[Target E_Grid MTD
MWh]]+Modelling_new[[#This Row],[Target E_Grid MTD
MWh]]</f>
        <v>632.9032258064517</v>
      </c>
      <c r="BO157" s="4">
        <f>Modelling_old[[#This Row],[Target E_Grid YTD
MWh]]+Modelling_new[[#This Row],[Target E_Grid YTD
MWh]]</f>
        <v>6152.9032258064517</v>
      </c>
      <c r="BP15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57" s="4">
        <f>SUMIFS(Modelling[Target POA Daily (KWh/m2)],Modelling[Date],"&lt;="&amp;Modelling[[#This Row],[Date]],Modelling[Month Year],Modelling[[#This Row],[Month Year]])</f>
        <v>75.135483870967732</v>
      </c>
      <c r="BR157" s="4">
        <f>SUMIFS(Modelling[Target POA Daily (KWh/m2)],Modelling[Date],"&lt;="&amp;Modelling[[#This Row],[Date]],Modelling[Finacial Year],Modelling[[#This Row],[Finacial Year]])</f>
        <v>766.53548387096555</v>
      </c>
      <c r="BS157" s="9">
        <f>BM157/Modelling[[#This Row],[Comisined DC ]]/BP157</f>
        <v>0.73228025878434988</v>
      </c>
      <c r="BT157" s="9">
        <f>BN157/BQ157/Modelling[[#This Row],[Comisined DC ]]</f>
        <v>0.73228025878435021</v>
      </c>
      <c r="BU157" s="9">
        <f>BO157/BR157/Modelling[[#This Row],[Comisined DC ]]</f>
        <v>0.69780314987819636</v>
      </c>
      <c r="BV157" s="9">
        <f>BM157/(24*Modelling[[#This Row],[Comisined DC ]])</f>
        <v>0.12736164715953616</v>
      </c>
      <c r="BW157" s="9">
        <f>BN157/((COUNTIFS(Modelling[Date],"&lt;="&amp;Modelling[[#This Row],[Date]],Modelling[Month Year],Modelling[[#This Row],[Month Year]])*24*Modelling[[#This Row],[MTD DC Capcity]]))</f>
        <v>0.12736164715953621</v>
      </c>
      <c r="BX157" s="28">
        <f>BO157/((COUNTIFS(Modelling[Date],"&lt;="&amp;Modelling[[#This Row],[Date]],Modelling[Finacial Year],Modelling[[#This Row],[Finacial Year]])*24*Modelling[[#This Row],[MTD DC Capcity]]))</f>
        <v>0.1591937128388593</v>
      </c>
      <c r="BY157" s="4">
        <f>Modelling_old[[#This Row],[DC Capcity]]+Modelling_new[[#This Row],[Comisined DC ]]</f>
        <v>11.5031</v>
      </c>
      <c r="BZ157" s="4">
        <v>0</v>
      </c>
      <c r="CA157" s="4">
        <f>AVERAGEIFS(Modelling[[Comisined DC ]],Modelling[Date],"&lt;="&amp;Modelling[[#This Row],[Date]],Modelling[Month Year],Modelling[[#This Row],[Month Year]])</f>
        <v>11.503099999999996</v>
      </c>
      <c r="CB157" s="4">
        <f>AVERAGEIFS(Modelling[[Comisined DC ]],Modelling[Date],"&lt;="&amp;Modelling[[#This Row],[Date]],Modelling[Finacial Year],Modelling[[#This Row],[Finacial Year]])</f>
        <v>11.503099999999971</v>
      </c>
      <c r="CG157">
        <f t="shared" si="66"/>
        <v>18</v>
      </c>
      <c r="CH157">
        <f t="shared" si="67"/>
        <v>140</v>
      </c>
    </row>
    <row r="158" spans="1:86" x14ac:dyDescent="0.35">
      <c r="A158" s="27">
        <v>45157</v>
      </c>
      <c r="B158" s="5">
        <f>MONTH(Modelling_old[[#This Row],[Date]])</f>
        <v>8</v>
      </c>
      <c r="C158" s="25">
        <f t="shared" si="50"/>
        <v>2024</v>
      </c>
      <c r="D158" s="3">
        <f t="shared" si="51"/>
        <v>2023</v>
      </c>
      <c r="E158" s="3" t="s">
        <v>626</v>
      </c>
      <c r="F158" s="5" t="s">
        <v>626</v>
      </c>
      <c r="G158" s="102">
        <v>45139</v>
      </c>
      <c r="H158" s="5">
        <f t="shared" si="52"/>
        <v>31</v>
      </c>
      <c r="I158" s="5">
        <f t="shared" si="53"/>
        <v>8</v>
      </c>
      <c r="J158" s="4">
        <f t="shared" si="54"/>
        <v>35.161290322580648</v>
      </c>
      <c r="K158" s="4">
        <f>SUM($J$140:J158)</f>
        <v>668.06451612903231</v>
      </c>
      <c r="L158" s="4">
        <f>SUM($J$18:J158)</f>
        <v>6188.0645161290322</v>
      </c>
      <c r="M158" s="4">
        <f t="shared" si="55"/>
        <v>4.1741935483870973</v>
      </c>
      <c r="N158" s="4">
        <f>SUM($M$140:M158)</f>
        <v>79.309677419354827</v>
      </c>
      <c r="O158" s="4">
        <f>SUM($M$18:M158)</f>
        <v>770.7096774193526</v>
      </c>
      <c r="P158" s="9">
        <f t="shared" si="56"/>
        <v>0.73228025878434988</v>
      </c>
      <c r="Q158" s="26">
        <f t="shared" si="49"/>
        <v>0.73228025878435021</v>
      </c>
      <c r="R158" s="26">
        <f t="shared" si="49"/>
        <v>0.69798987923917311</v>
      </c>
      <c r="S158" s="9">
        <f t="shared" si="57"/>
        <v>0.12736164715953616</v>
      </c>
      <c r="T158" s="9">
        <f>K158/((COUNT($K$140:K158))*24*$Q$1)</f>
        <v>0.12736164715953616</v>
      </c>
      <c r="U158" s="28">
        <f>L158/((COUNT($L$18:L158))*24*$Q$1)</f>
        <v>0.15896795350780021</v>
      </c>
      <c r="V158" s="134">
        <v>11.5031</v>
      </c>
      <c r="Y158" s="27">
        <f t="shared" si="64"/>
        <v>45157</v>
      </c>
      <c r="Z158" s="5">
        <f>MONTH(Modelling_new[[#This Row],[Date]])</f>
        <v>8</v>
      </c>
      <c r="AA158" s="25">
        <f>YEAR(Y158)+IF(MONTH(Modelling_new[[#This Row],[Date]])&gt;=4,1,0)</f>
        <v>2024</v>
      </c>
      <c r="AB158" s="3">
        <f t="shared" si="58"/>
        <v>2023</v>
      </c>
      <c r="AC158" s="3" t="s">
        <v>626</v>
      </c>
      <c r="AD158" s="5" t="s">
        <v>626</v>
      </c>
      <c r="AE158" s="102">
        <v>45139</v>
      </c>
      <c r="AF158" s="5">
        <f t="shared" si="59"/>
        <v>31</v>
      </c>
      <c r="AG158" s="5">
        <f t="shared" si="60"/>
        <v>8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BD158" s="27">
        <f t="shared" si="65"/>
        <v>45157</v>
      </c>
      <c r="BE158" s="5">
        <f>MONTH(Modelling[[#This Row],[Date]])</f>
        <v>8</v>
      </c>
      <c r="BF158" s="25">
        <f>YEAR(BD158)+IF(MONTH(Modelling[[#This Row],[Date]])&gt;=4,1,0)</f>
        <v>2024</v>
      </c>
      <c r="BG158" s="3">
        <f t="shared" si="61"/>
        <v>2023</v>
      </c>
      <c r="BH158" s="3" t="s">
        <v>626</v>
      </c>
      <c r="BI158" s="5" t="s">
        <v>626</v>
      </c>
      <c r="BJ158" s="102">
        <v>45139</v>
      </c>
      <c r="BK158" s="5">
        <f t="shared" si="62"/>
        <v>31</v>
      </c>
      <c r="BL158" s="5">
        <f t="shared" si="63"/>
        <v>8</v>
      </c>
      <c r="BM158" s="4">
        <f>Modelling_old[[#This Row],[Target E_Grid daily
MWh]]+Modelling_new[[#This Row],[Target E_Grid daily
MWh]]</f>
        <v>35.161290322580648</v>
      </c>
      <c r="BN158" s="4">
        <f>Modelling_old[[#This Row],[Target E_Grid MTD
MWh]]+Modelling_new[[#This Row],[Target E_Grid MTD
MWh]]</f>
        <v>668.06451612903231</v>
      </c>
      <c r="BO158" s="4">
        <f>Modelling_old[[#This Row],[Target E_Grid YTD
MWh]]+Modelling_new[[#This Row],[Target E_Grid YTD
MWh]]</f>
        <v>6188.0645161290322</v>
      </c>
      <c r="BP15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58" s="4">
        <f>SUMIFS(Modelling[Target POA Daily (KWh/m2)],Modelling[Date],"&lt;="&amp;Modelling[[#This Row],[Date]],Modelling[Month Year],Modelling[[#This Row],[Month Year]])</f>
        <v>79.309677419354827</v>
      </c>
      <c r="BR158" s="4">
        <f>SUMIFS(Modelling[Target POA Daily (KWh/m2)],Modelling[Date],"&lt;="&amp;Modelling[[#This Row],[Date]],Modelling[Finacial Year],Modelling[[#This Row],[Finacial Year]])</f>
        <v>770.7096774193526</v>
      </c>
      <c r="BS158" s="9">
        <f>BM158/Modelling[[#This Row],[Comisined DC ]]/BP158</f>
        <v>0.73228025878434988</v>
      </c>
      <c r="BT158" s="9">
        <f>BN158/BQ158/Modelling[[#This Row],[Comisined DC ]]</f>
        <v>0.73228025878435021</v>
      </c>
      <c r="BU158" s="9">
        <f>BO158/BR158/Modelling[[#This Row],[Comisined DC ]]</f>
        <v>0.69798987923917311</v>
      </c>
      <c r="BV158" s="9">
        <f>BM158/(24*Modelling[[#This Row],[Comisined DC ]])</f>
        <v>0.12736164715953616</v>
      </c>
      <c r="BW158" s="9">
        <f>BN158/((COUNTIFS(Modelling[Date],"&lt;="&amp;Modelling[[#This Row],[Date]],Modelling[Month Year],Modelling[[#This Row],[Month Year]])*24*Modelling[[#This Row],[MTD DC Capcity]]))</f>
        <v>0.12736164715953621</v>
      </c>
      <c r="BX158" s="28">
        <f>BO158/((COUNTIFS(Modelling[Date],"&lt;="&amp;Modelling[[#This Row],[Date]],Modelling[Finacial Year],Modelling[[#This Row],[Finacial Year]])*24*Modelling[[#This Row],[MTD DC Capcity]]))</f>
        <v>0.1589679535078003</v>
      </c>
      <c r="BY158" s="4">
        <f>Modelling_old[[#This Row],[DC Capcity]]+Modelling_new[[#This Row],[Comisined DC ]]</f>
        <v>11.5031</v>
      </c>
      <c r="BZ158" s="4">
        <v>0</v>
      </c>
      <c r="CA158" s="4">
        <f>AVERAGEIFS(Modelling[[Comisined DC ]],Modelling[Date],"&lt;="&amp;Modelling[[#This Row],[Date]],Modelling[Month Year],Modelling[[#This Row],[Month Year]])</f>
        <v>11.503099999999996</v>
      </c>
      <c r="CB158" s="4">
        <f>AVERAGEIFS(Modelling[[Comisined DC ]],Modelling[Date],"&lt;="&amp;Modelling[[#This Row],[Date]],Modelling[Finacial Year],Modelling[[#This Row],[Finacial Year]])</f>
        <v>11.503099999999971</v>
      </c>
      <c r="CG158">
        <f t="shared" si="66"/>
        <v>19</v>
      </c>
      <c r="CH158">
        <f t="shared" si="67"/>
        <v>141</v>
      </c>
    </row>
    <row r="159" spans="1:86" x14ac:dyDescent="0.35">
      <c r="A159" s="27">
        <v>45158</v>
      </c>
      <c r="B159" s="5">
        <f>MONTH(Modelling_old[[#This Row],[Date]])</f>
        <v>8</v>
      </c>
      <c r="C159" s="25">
        <f t="shared" si="50"/>
        <v>2024</v>
      </c>
      <c r="D159" s="3">
        <f t="shared" si="51"/>
        <v>2023</v>
      </c>
      <c r="E159" s="3" t="s">
        <v>626</v>
      </c>
      <c r="F159" s="5" t="s">
        <v>626</v>
      </c>
      <c r="G159" s="102">
        <v>45139</v>
      </c>
      <c r="H159" s="5">
        <f t="shared" si="52"/>
        <v>31</v>
      </c>
      <c r="I159" s="5">
        <f t="shared" si="53"/>
        <v>8</v>
      </c>
      <c r="J159" s="4">
        <f t="shared" si="54"/>
        <v>35.161290322580648</v>
      </c>
      <c r="K159" s="4">
        <f>SUM($J$140:J159)</f>
        <v>703.22580645161293</v>
      </c>
      <c r="L159" s="4">
        <f>SUM($J$18:J159)</f>
        <v>6223.2258064516127</v>
      </c>
      <c r="M159" s="4">
        <f t="shared" si="55"/>
        <v>4.1741935483870973</v>
      </c>
      <c r="N159" s="4">
        <f>SUM($M$140:M159)</f>
        <v>83.483870967741922</v>
      </c>
      <c r="O159" s="4">
        <f>SUM($M$18:M159)</f>
        <v>774.88387096773965</v>
      </c>
      <c r="P159" s="9">
        <f t="shared" si="56"/>
        <v>0.73228025878434988</v>
      </c>
      <c r="Q159" s="26">
        <f t="shared" si="49"/>
        <v>0.73228025878435021</v>
      </c>
      <c r="R159" s="26">
        <f t="shared" si="49"/>
        <v>0.69817459682903671</v>
      </c>
      <c r="S159" s="9">
        <f t="shared" si="57"/>
        <v>0.12736164715953616</v>
      </c>
      <c r="T159" s="9">
        <f>K159/((COUNT($K$140:K159))*24*$Q$1)</f>
        <v>0.12736164715953613</v>
      </c>
      <c r="U159" s="28">
        <f>L159/((COUNT($L$18:L159))*24*$Q$1)</f>
        <v>0.15874537388562937</v>
      </c>
      <c r="V159" s="134">
        <v>11.5031</v>
      </c>
      <c r="Y159" s="27">
        <f t="shared" si="64"/>
        <v>45158</v>
      </c>
      <c r="Z159" s="5">
        <f>MONTH(Modelling_new[[#This Row],[Date]])</f>
        <v>8</v>
      </c>
      <c r="AA159" s="25">
        <f>YEAR(Y159)+IF(MONTH(Modelling_new[[#This Row],[Date]])&gt;=4,1,0)</f>
        <v>2024</v>
      </c>
      <c r="AB159" s="3">
        <f t="shared" si="58"/>
        <v>2023</v>
      </c>
      <c r="AC159" s="3" t="s">
        <v>626</v>
      </c>
      <c r="AD159" s="5" t="s">
        <v>626</v>
      </c>
      <c r="AE159" s="102">
        <v>45139</v>
      </c>
      <c r="AF159" s="5">
        <f t="shared" si="59"/>
        <v>31</v>
      </c>
      <c r="AG159" s="5">
        <f t="shared" si="60"/>
        <v>8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BD159" s="27">
        <f t="shared" si="65"/>
        <v>45158</v>
      </c>
      <c r="BE159" s="5">
        <f>MONTH(Modelling[[#This Row],[Date]])</f>
        <v>8</v>
      </c>
      <c r="BF159" s="25">
        <f>YEAR(BD159)+IF(MONTH(Modelling[[#This Row],[Date]])&gt;=4,1,0)</f>
        <v>2024</v>
      </c>
      <c r="BG159" s="3">
        <f t="shared" si="61"/>
        <v>2023</v>
      </c>
      <c r="BH159" s="3" t="s">
        <v>626</v>
      </c>
      <c r="BI159" s="5" t="s">
        <v>626</v>
      </c>
      <c r="BJ159" s="102">
        <v>45139</v>
      </c>
      <c r="BK159" s="5">
        <f t="shared" si="62"/>
        <v>31</v>
      </c>
      <c r="BL159" s="5">
        <f t="shared" si="63"/>
        <v>8</v>
      </c>
      <c r="BM159" s="4">
        <f>Modelling_old[[#This Row],[Target E_Grid daily
MWh]]+Modelling_new[[#This Row],[Target E_Grid daily
MWh]]</f>
        <v>35.161290322580648</v>
      </c>
      <c r="BN159" s="4">
        <f>Modelling_old[[#This Row],[Target E_Grid MTD
MWh]]+Modelling_new[[#This Row],[Target E_Grid MTD
MWh]]</f>
        <v>703.22580645161293</v>
      </c>
      <c r="BO159" s="4">
        <f>Modelling_old[[#This Row],[Target E_Grid YTD
MWh]]+Modelling_new[[#This Row],[Target E_Grid YTD
MWh]]</f>
        <v>6223.2258064516127</v>
      </c>
      <c r="BP15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59" s="4">
        <f>SUMIFS(Modelling[Target POA Daily (KWh/m2)],Modelling[Date],"&lt;="&amp;Modelling[[#This Row],[Date]],Modelling[Month Year],Modelling[[#This Row],[Month Year]])</f>
        <v>83.483870967741922</v>
      </c>
      <c r="BR159" s="4">
        <f>SUMIFS(Modelling[Target POA Daily (KWh/m2)],Modelling[Date],"&lt;="&amp;Modelling[[#This Row],[Date]],Modelling[Finacial Year],Modelling[[#This Row],[Finacial Year]])</f>
        <v>774.88387096773965</v>
      </c>
      <c r="BS159" s="9">
        <f>BM159/Modelling[[#This Row],[Comisined DC ]]/BP159</f>
        <v>0.73228025878434988</v>
      </c>
      <c r="BT159" s="9">
        <f>BN159/BQ159/Modelling[[#This Row],[Comisined DC ]]</f>
        <v>0.73228025878435021</v>
      </c>
      <c r="BU159" s="9">
        <f>BO159/BR159/Modelling[[#This Row],[Comisined DC ]]</f>
        <v>0.69817459682903671</v>
      </c>
      <c r="BV159" s="9">
        <f>BM159/(24*Modelling[[#This Row],[Comisined DC ]])</f>
        <v>0.12736164715953616</v>
      </c>
      <c r="BW159" s="9">
        <f>BN159/((COUNTIFS(Modelling[Date],"&lt;="&amp;Modelling[[#This Row],[Date]],Modelling[Month Year],Modelling[[#This Row],[Month Year]])*24*Modelling[[#This Row],[MTD DC Capcity]]))</f>
        <v>0.12736164715953618</v>
      </c>
      <c r="BX159" s="28">
        <f>BO159/((COUNTIFS(Modelling[Date],"&lt;="&amp;Modelling[[#This Row],[Date]],Modelling[Finacial Year],Modelling[[#This Row],[Finacial Year]])*24*Modelling[[#This Row],[MTD DC Capcity]]))</f>
        <v>0.15874537388562943</v>
      </c>
      <c r="BY159" s="4">
        <f>Modelling_old[[#This Row],[DC Capcity]]+Modelling_new[[#This Row],[Comisined DC ]]</f>
        <v>11.5031</v>
      </c>
      <c r="BZ159" s="4">
        <v>0</v>
      </c>
      <c r="CA159" s="4">
        <f>AVERAGEIFS(Modelling[[Comisined DC ]],Modelling[Date],"&lt;="&amp;Modelling[[#This Row],[Date]],Modelling[Month Year],Modelling[[#This Row],[Month Year]])</f>
        <v>11.503099999999996</v>
      </c>
      <c r="CB159" s="4">
        <f>AVERAGEIFS(Modelling[[Comisined DC ]],Modelling[Date],"&lt;="&amp;Modelling[[#This Row],[Date]],Modelling[Finacial Year],Modelling[[#This Row],[Finacial Year]])</f>
        <v>11.503099999999971</v>
      </c>
      <c r="CG159">
        <f t="shared" si="66"/>
        <v>20</v>
      </c>
      <c r="CH159">
        <f t="shared" si="67"/>
        <v>142</v>
      </c>
    </row>
    <row r="160" spans="1:86" x14ac:dyDescent="0.35">
      <c r="A160" s="27">
        <v>45159</v>
      </c>
      <c r="B160" s="5">
        <f>MONTH(Modelling_old[[#This Row],[Date]])</f>
        <v>8</v>
      </c>
      <c r="C160" s="25">
        <f t="shared" si="50"/>
        <v>2024</v>
      </c>
      <c r="D160" s="3">
        <f t="shared" si="51"/>
        <v>2023</v>
      </c>
      <c r="E160" s="3" t="s">
        <v>626</v>
      </c>
      <c r="F160" s="5" t="s">
        <v>626</v>
      </c>
      <c r="G160" s="102">
        <v>45139</v>
      </c>
      <c r="H160" s="5">
        <f t="shared" si="52"/>
        <v>31</v>
      </c>
      <c r="I160" s="5">
        <f t="shared" si="53"/>
        <v>8</v>
      </c>
      <c r="J160" s="4">
        <f t="shared" si="54"/>
        <v>35.161290322580648</v>
      </c>
      <c r="K160" s="4">
        <f>SUM($J$140:J160)</f>
        <v>738.38709677419354</v>
      </c>
      <c r="L160" s="4">
        <f>SUM($J$18:J160)</f>
        <v>6258.3870967741932</v>
      </c>
      <c r="M160" s="4">
        <f t="shared" si="55"/>
        <v>4.1741935483870973</v>
      </c>
      <c r="N160" s="4">
        <f>SUM($M$140:M160)</f>
        <v>87.658064516129016</v>
      </c>
      <c r="O160" s="4">
        <f>SUM($M$18:M160)</f>
        <v>779.05806451612671</v>
      </c>
      <c r="P160" s="9">
        <f t="shared" si="56"/>
        <v>0.73228025878434988</v>
      </c>
      <c r="Q160" s="26">
        <f t="shared" si="49"/>
        <v>0.73228025878435021</v>
      </c>
      <c r="R160" s="26">
        <f t="shared" si="49"/>
        <v>0.69835733498499908</v>
      </c>
      <c r="S160" s="9">
        <f t="shared" si="57"/>
        <v>0.12736164715953616</v>
      </c>
      <c r="T160" s="9">
        <f>K160/((COUNT($K$140:K160))*24*$Q$1)</f>
        <v>0.12736164715953616</v>
      </c>
      <c r="U160" s="28">
        <f>L160/((COUNT($L$18:L160))*24*$Q$1)</f>
        <v>0.15852590726516716</v>
      </c>
      <c r="V160" s="134">
        <v>11.5031</v>
      </c>
      <c r="Y160" s="27">
        <f t="shared" si="64"/>
        <v>45159</v>
      </c>
      <c r="Z160" s="5">
        <f>MONTH(Modelling_new[[#This Row],[Date]])</f>
        <v>8</v>
      </c>
      <c r="AA160" s="25">
        <f>YEAR(Y160)+IF(MONTH(Modelling_new[[#This Row],[Date]])&gt;=4,1,0)</f>
        <v>2024</v>
      </c>
      <c r="AB160" s="3">
        <f t="shared" si="58"/>
        <v>2023</v>
      </c>
      <c r="AC160" s="3" t="s">
        <v>626</v>
      </c>
      <c r="AD160" s="5" t="s">
        <v>626</v>
      </c>
      <c r="AE160" s="102">
        <v>45139</v>
      </c>
      <c r="AF160" s="5">
        <f t="shared" si="59"/>
        <v>31</v>
      </c>
      <c r="AG160" s="5">
        <f t="shared" si="60"/>
        <v>8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BD160" s="27">
        <f t="shared" si="65"/>
        <v>45159</v>
      </c>
      <c r="BE160" s="5">
        <f>MONTH(Modelling[[#This Row],[Date]])</f>
        <v>8</v>
      </c>
      <c r="BF160" s="25">
        <f>YEAR(BD160)+IF(MONTH(Modelling[[#This Row],[Date]])&gt;=4,1,0)</f>
        <v>2024</v>
      </c>
      <c r="BG160" s="3">
        <f t="shared" si="61"/>
        <v>2023</v>
      </c>
      <c r="BH160" s="3" t="s">
        <v>626</v>
      </c>
      <c r="BI160" s="5" t="s">
        <v>626</v>
      </c>
      <c r="BJ160" s="102">
        <v>45139</v>
      </c>
      <c r="BK160" s="5">
        <f t="shared" si="62"/>
        <v>31</v>
      </c>
      <c r="BL160" s="5">
        <f t="shared" si="63"/>
        <v>8</v>
      </c>
      <c r="BM160" s="4">
        <f>Modelling_old[[#This Row],[Target E_Grid daily
MWh]]+Modelling_new[[#This Row],[Target E_Grid daily
MWh]]</f>
        <v>35.161290322580648</v>
      </c>
      <c r="BN160" s="4">
        <f>Modelling_old[[#This Row],[Target E_Grid MTD
MWh]]+Modelling_new[[#This Row],[Target E_Grid MTD
MWh]]</f>
        <v>738.38709677419354</v>
      </c>
      <c r="BO160" s="4">
        <f>Modelling_old[[#This Row],[Target E_Grid YTD
MWh]]+Modelling_new[[#This Row],[Target E_Grid YTD
MWh]]</f>
        <v>6258.3870967741932</v>
      </c>
      <c r="BP16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60" s="4">
        <f>SUMIFS(Modelling[Target POA Daily (KWh/m2)],Modelling[Date],"&lt;="&amp;Modelling[[#This Row],[Date]],Modelling[Month Year],Modelling[[#This Row],[Month Year]])</f>
        <v>87.658064516129016</v>
      </c>
      <c r="BR160" s="4">
        <f>SUMIFS(Modelling[Target POA Daily (KWh/m2)],Modelling[Date],"&lt;="&amp;Modelling[[#This Row],[Date]],Modelling[Finacial Year],Modelling[[#This Row],[Finacial Year]])</f>
        <v>779.05806451612671</v>
      </c>
      <c r="BS160" s="9">
        <f>BM160/Modelling[[#This Row],[Comisined DC ]]/BP160</f>
        <v>0.73228025878434988</v>
      </c>
      <c r="BT160" s="9">
        <f>BN160/BQ160/Modelling[[#This Row],[Comisined DC ]]</f>
        <v>0.73228025878435021</v>
      </c>
      <c r="BU160" s="9">
        <f>BO160/BR160/Modelling[[#This Row],[Comisined DC ]]</f>
        <v>0.69835733498499908</v>
      </c>
      <c r="BV160" s="9">
        <f>BM160/(24*Modelling[[#This Row],[Comisined DC ]])</f>
        <v>0.12736164715953616</v>
      </c>
      <c r="BW160" s="9">
        <f>BN160/((COUNTIFS(Modelling[Date],"&lt;="&amp;Modelling[[#This Row],[Date]],Modelling[Month Year],Modelling[[#This Row],[Month Year]])*24*Modelling[[#This Row],[MTD DC Capcity]]))</f>
        <v>0.12736164715953618</v>
      </c>
      <c r="BX160" s="28">
        <f>BO160/((COUNTIFS(Modelling[Date],"&lt;="&amp;Modelling[[#This Row],[Date]],Modelling[Finacial Year],Modelling[[#This Row],[Finacial Year]])*24*Modelling[[#This Row],[MTD DC Capcity]]))</f>
        <v>0.15852590726516722</v>
      </c>
      <c r="BY160" s="4">
        <f>Modelling_old[[#This Row],[DC Capcity]]+Modelling_new[[#This Row],[Comisined DC ]]</f>
        <v>11.5031</v>
      </c>
      <c r="BZ160" s="4">
        <v>0</v>
      </c>
      <c r="CA160" s="4">
        <f>AVERAGEIFS(Modelling[[Comisined DC ]],Modelling[Date],"&lt;="&amp;Modelling[[#This Row],[Date]],Modelling[Month Year],Modelling[[#This Row],[Month Year]])</f>
        <v>11.503099999999996</v>
      </c>
      <c r="CB160" s="4">
        <f>AVERAGEIFS(Modelling[[Comisined DC ]],Modelling[Date],"&lt;="&amp;Modelling[[#This Row],[Date]],Modelling[Finacial Year],Modelling[[#This Row],[Finacial Year]])</f>
        <v>11.503099999999971</v>
      </c>
      <c r="CG160">
        <f t="shared" si="66"/>
        <v>21</v>
      </c>
      <c r="CH160">
        <f t="shared" si="67"/>
        <v>143</v>
      </c>
    </row>
    <row r="161" spans="1:86" x14ac:dyDescent="0.35">
      <c r="A161" s="27">
        <v>45160</v>
      </c>
      <c r="B161" s="5">
        <f>MONTH(Modelling_old[[#This Row],[Date]])</f>
        <v>8</v>
      </c>
      <c r="C161" s="25">
        <f t="shared" si="50"/>
        <v>2024</v>
      </c>
      <c r="D161" s="3">
        <f t="shared" si="51"/>
        <v>2023</v>
      </c>
      <c r="E161" s="3" t="s">
        <v>626</v>
      </c>
      <c r="F161" s="5" t="s">
        <v>626</v>
      </c>
      <c r="G161" s="102">
        <v>45139</v>
      </c>
      <c r="H161" s="5">
        <f t="shared" si="52"/>
        <v>31</v>
      </c>
      <c r="I161" s="5">
        <f t="shared" si="53"/>
        <v>8</v>
      </c>
      <c r="J161" s="4">
        <f t="shared" si="54"/>
        <v>35.161290322580648</v>
      </c>
      <c r="K161" s="4">
        <f>SUM($J$140:J161)</f>
        <v>773.54838709677415</v>
      </c>
      <c r="L161" s="4">
        <f>SUM($J$18:J161)</f>
        <v>6293.5483870967737</v>
      </c>
      <c r="M161" s="4">
        <f t="shared" si="55"/>
        <v>4.1741935483870973</v>
      </c>
      <c r="N161" s="4">
        <f>SUM($M$140:M161)</f>
        <v>91.832258064516111</v>
      </c>
      <c r="O161" s="4">
        <f>SUM($M$18:M161)</f>
        <v>783.23225806451376</v>
      </c>
      <c r="P161" s="9">
        <f t="shared" si="56"/>
        <v>0.73228025878434988</v>
      </c>
      <c r="Q161" s="26">
        <f t="shared" si="49"/>
        <v>0.73228025878435021</v>
      </c>
      <c r="R161" s="26">
        <f t="shared" si="49"/>
        <v>0.69853812535491522</v>
      </c>
      <c r="S161" s="9">
        <f t="shared" si="57"/>
        <v>0.12736164715953616</v>
      </c>
      <c r="T161" s="9">
        <f>K161/((COUNT($K$140:K161))*24*$Q$1)</f>
        <v>0.12736164715953613</v>
      </c>
      <c r="U161" s="28">
        <f>L161/((COUNT($L$18:L161))*24*$Q$1)</f>
        <v>0.15830948879221138</v>
      </c>
      <c r="V161" s="134">
        <v>11.5031</v>
      </c>
      <c r="Y161" s="27">
        <f t="shared" si="64"/>
        <v>45160</v>
      </c>
      <c r="Z161" s="5">
        <f>MONTH(Modelling_new[[#This Row],[Date]])</f>
        <v>8</v>
      </c>
      <c r="AA161" s="25">
        <f>YEAR(Y161)+IF(MONTH(Modelling_new[[#This Row],[Date]])&gt;=4,1,0)</f>
        <v>2024</v>
      </c>
      <c r="AB161" s="3">
        <f t="shared" si="58"/>
        <v>2023</v>
      </c>
      <c r="AC161" s="3" t="s">
        <v>626</v>
      </c>
      <c r="AD161" s="5" t="s">
        <v>626</v>
      </c>
      <c r="AE161" s="102">
        <v>45139</v>
      </c>
      <c r="AF161" s="5">
        <f t="shared" si="59"/>
        <v>31</v>
      </c>
      <c r="AG161" s="5">
        <f t="shared" si="60"/>
        <v>8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BD161" s="27">
        <f t="shared" si="65"/>
        <v>45160</v>
      </c>
      <c r="BE161" s="5">
        <f>MONTH(Modelling[[#This Row],[Date]])</f>
        <v>8</v>
      </c>
      <c r="BF161" s="25">
        <f>YEAR(BD161)+IF(MONTH(Modelling[[#This Row],[Date]])&gt;=4,1,0)</f>
        <v>2024</v>
      </c>
      <c r="BG161" s="3">
        <f t="shared" si="61"/>
        <v>2023</v>
      </c>
      <c r="BH161" s="3" t="s">
        <v>626</v>
      </c>
      <c r="BI161" s="5" t="s">
        <v>626</v>
      </c>
      <c r="BJ161" s="102">
        <v>45139</v>
      </c>
      <c r="BK161" s="5">
        <f t="shared" si="62"/>
        <v>31</v>
      </c>
      <c r="BL161" s="5">
        <f t="shared" si="63"/>
        <v>8</v>
      </c>
      <c r="BM161" s="4">
        <f>Modelling_old[[#This Row],[Target E_Grid daily
MWh]]+Modelling_new[[#This Row],[Target E_Grid daily
MWh]]</f>
        <v>35.161290322580648</v>
      </c>
      <c r="BN161" s="4">
        <f>Modelling_old[[#This Row],[Target E_Grid MTD
MWh]]+Modelling_new[[#This Row],[Target E_Grid MTD
MWh]]</f>
        <v>773.54838709677415</v>
      </c>
      <c r="BO161" s="4">
        <f>Modelling_old[[#This Row],[Target E_Grid YTD
MWh]]+Modelling_new[[#This Row],[Target E_Grid YTD
MWh]]</f>
        <v>6293.5483870967737</v>
      </c>
      <c r="BP16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61" s="4">
        <f>SUMIFS(Modelling[Target POA Daily (KWh/m2)],Modelling[Date],"&lt;="&amp;Modelling[[#This Row],[Date]],Modelling[Month Year],Modelling[[#This Row],[Month Year]])</f>
        <v>91.832258064516111</v>
      </c>
      <c r="BR161" s="4">
        <f>SUMIFS(Modelling[Target POA Daily (KWh/m2)],Modelling[Date],"&lt;="&amp;Modelling[[#This Row],[Date]],Modelling[Finacial Year],Modelling[[#This Row],[Finacial Year]])</f>
        <v>783.23225806451376</v>
      </c>
      <c r="BS161" s="9">
        <f>BM161/Modelling[[#This Row],[Comisined DC ]]/BP161</f>
        <v>0.73228025878434988</v>
      </c>
      <c r="BT161" s="9">
        <f>BN161/BQ161/Modelling[[#This Row],[Comisined DC ]]</f>
        <v>0.73228025878435021</v>
      </c>
      <c r="BU161" s="9">
        <f>BO161/BR161/Modelling[[#This Row],[Comisined DC ]]</f>
        <v>0.69853812535491522</v>
      </c>
      <c r="BV161" s="9">
        <f>BM161/(24*Modelling[[#This Row],[Comisined DC ]])</f>
        <v>0.12736164715953616</v>
      </c>
      <c r="BW161" s="9">
        <f>BN161/((COUNTIFS(Modelling[Date],"&lt;="&amp;Modelling[[#This Row],[Date]],Modelling[Month Year],Modelling[[#This Row],[Month Year]])*24*Modelling[[#This Row],[MTD DC Capcity]]))</f>
        <v>0.12736164715953616</v>
      </c>
      <c r="BX161" s="28">
        <f>BO161/((COUNTIFS(Modelling[Date],"&lt;="&amp;Modelling[[#This Row],[Date]],Modelling[Finacial Year],Modelling[[#This Row],[Finacial Year]])*24*Modelling[[#This Row],[MTD DC Capcity]]))</f>
        <v>0.15830948879221143</v>
      </c>
      <c r="BY161" s="4">
        <f>Modelling_old[[#This Row],[DC Capcity]]+Modelling_new[[#This Row],[Comisined DC ]]</f>
        <v>11.5031</v>
      </c>
      <c r="BZ161" s="4">
        <v>0</v>
      </c>
      <c r="CA161" s="4">
        <f>AVERAGEIFS(Modelling[[Comisined DC ]],Modelling[Date],"&lt;="&amp;Modelling[[#This Row],[Date]],Modelling[Month Year],Modelling[[#This Row],[Month Year]])</f>
        <v>11.503099999999996</v>
      </c>
      <c r="CB161" s="4">
        <f>AVERAGEIFS(Modelling[[Comisined DC ]],Modelling[Date],"&lt;="&amp;Modelling[[#This Row],[Date]],Modelling[Finacial Year],Modelling[[#This Row],[Finacial Year]])</f>
        <v>11.50309999999997</v>
      </c>
      <c r="CG161">
        <f t="shared" si="66"/>
        <v>22</v>
      </c>
      <c r="CH161">
        <f t="shared" si="67"/>
        <v>144</v>
      </c>
    </row>
    <row r="162" spans="1:86" x14ac:dyDescent="0.35">
      <c r="A162" s="27">
        <v>45161</v>
      </c>
      <c r="B162" s="5">
        <f>MONTH(Modelling_old[[#This Row],[Date]])</f>
        <v>8</v>
      </c>
      <c r="C162" s="25">
        <f t="shared" si="50"/>
        <v>2024</v>
      </c>
      <c r="D162" s="3">
        <f t="shared" si="51"/>
        <v>2023</v>
      </c>
      <c r="E162" s="3" t="s">
        <v>626</v>
      </c>
      <c r="F162" s="5" t="s">
        <v>626</v>
      </c>
      <c r="G162" s="102">
        <v>45139</v>
      </c>
      <c r="H162" s="5">
        <f t="shared" si="52"/>
        <v>31</v>
      </c>
      <c r="I162" s="5">
        <f t="shared" si="53"/>
        <v>8</v>
      </c>
      <c r="J162" s="4">
        <f t="shared" si="54"/>
        <v>35.161290322580648</v>
      </c>
      <c r="K162" s="4">
        <f>SUM($J$140:J162)</f>
        <v>808.70967741935476</v>
      </c>
      <c r="L162" s="4">
        <f>SUM($J$18:J162)</f>
        <v>6328.7096774193542</v>
      </c>
      <c r="M162" s="4">
        <f t="shared" si="55"/>
        <v>4.1741935483870973</v>
      </c>
      <c r="N162" s="4">
        <f>SUM($M$140:M162)</f>
        <v>96.006451612903206</v>
      </c>
      <c r="O162" s="4">
        <f>SUM($M$18:M162)</f>
        <v>787.40645161290081</v>
      </c>
      <c r="P162" s="9">
        <f t="shared" si="56"/>
        <v>0.73228025878434988</v>
      </c>
      <c r="Q162" s="26">
        <f t="shared" ref="Q162:R225" si="68">K162/N162/$Q$1</f>
        <v>0.73228025878434999</v>
      </c>
      <c r="R162" s="26">
        <f t="shared" si="68"/>
        <v>0.69871699891555394</v>
      </c>
      <c r="S162" s="9">
        <f t="shared" si="57"/>
        <v>0.12736164715953616</v>
      </c>
      <c r="T162" s="9">
        <f>K162/((COUNT($K$140:K162))*24*$Q$1)</f>
        <v>0.12736164715953613</v>
      </c>
      <c r="U162" s="28">
        <f>L162/((COUNT($L$18:L162))*24*$Q$1)</f>
        <v>0.15809605540164121</v>
      </c>
      <c r="V162" s="134">
        <v>11.5031</v>
      </c>
      <c r="Y162" s="27">
        <f t="shared" si="64"/>
        <v>45161</v>
      </c>
      <c r="Z162" s="5">
        <f>MONTH(Modelling_new[[#This Row],[Date]])</f>
        <v>8</v>
      </c>
      <c r="AA162" s="25">
        <f>YEAR(Y162)+IF(MONTH(Modelling_new[[#This Row],[Date]])&gt;=4,1,0)</f>
        <v>2024</v>
      </c>
      <c r="AB162" s="3">
        <f t="shared" si="58"/>
        <v>2023</v>
      </c>
      <c r="AC162" s="3" t="s">
        <v>626</v>
      </c>
      <c r="AD162" s="5" t="s">
        <v>626</v>
      </c>
      <c r="AE162" s="102">
        <v>45139</v>
      </c>
      <c r="AF162" s="5">
        <f t="shared" si="59"/>
        <v>31</v>
      </c>
      <c r="AG162" s="5">
        <f t="shared" si="60"/>
        <v>8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BD162" s="27">
        <f t="shared" si="65"/>
        <v>45161</v>
      </c>
      <c r="BE162" s="5">
        <f>MONTH(Modelling[[#This Row],[Date]])</f>
        <v>8</v>
      </c>
      <c r="BF162" s="25">
        <f>YEAR(BD162)+IF(MONTH(Modelling[[#This Row],[Date]])&gt;=4,1,0)</f>
        <v>2024</v>
      </c>
      <c r="BG162" s="3">
        <f t="shared" si="61"/>
        <v>2023</v>
      </c>
      <c r="BH162" s="3" t="s">
        <v>626</v>
      </c>
      <c r="BI162" s="5" t="s">
        <v>626</v>
      </c>
      <c r="BJ162" s="102">
        <v>45139</v>
      </c>
      <c r="BK162" s="5">
        <f t="shared" si="62"/>
        <v>31</v>
      </c>
      <c r="BL162" s="5">
        <f t="shared" si="63"/>
        <v>8</v>
      </c>
      <c r="BM162" s="4">
        <f>Modelling_old[[#This Row],[Target E_Grid daily
MWh]]+Modelling_new[[#This Row],[Target E_Grid daily
MWh]]</f>
        <v>35.161290322580648</v>
      </c>
      <c r="BN162" s="4">
        <f>Modelling_old[[#This Row],[Target E_Grid MTD
MWh]]+Modelling_new[[#This Row],[Target E_Grid MTD
MWh]]</f>
        <v>808.70967741935476</v>
      </c>
      <c r="BO162" s="4">
        <f>Modelling_old[[#This Row],[Target E_Grid YTD
MWh]]+Modelling_new[[#This Row],[Target E_Grid YTD
MWh]]</f>
        <v>6328.7096774193542</v>
      </c>
      <c r="BP16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62" s="4">
        <f>SUMIFS(Modelling[Target POA Daily (KWh/m2)],Modelling[Date],"&lt;="&amp;Modelling[[#This Row],[Date]],Modelling[Month Year],Modelling[[#This Row],[Month Year]])</f>
        <v>96.006451612903206</v>
      </c>
      <c r="BR162" s="4">
        <f>SUMIFS(Modelling[Target POA Daily (KWh/m2)],Modelling[Date],"&lt;="&amp;Modelling[[#This Row],[Date]],Modelling[Finacial Year],Modelling[[#This Row],[Finacial Year]])</f>
        <v>787.40645161290081</v>
      </c>
      <c r="BS162" s="9">
        <f>BM162/Modelling[[#This Row],[Comisined DC ]]/BP162</f>
        <v>0.73228025878434988</v>
      </c>
      <c r="BT162" s="9">
        <f>BN162/BQ162/Modelling[[#This Row],[Comisined DC ]]</f>
        <v>0.73228025878434999</v>
      </c>
      <c r="BU162" s="9">
        <f>BO162/BR162/Modelling[[#This Row],[Comisined DC ]]</f>
        <v>0.69871699891555394</v>
      </c>
      <c r="BV162" s="9">
        <f>BM162/(24*Modelling[[#This Row],[Comisined DC ]])</f>
        <v>0.12736164715953616</v>
      </c>
      <c r="BW162" s="9">
        <f>BN162/((COUNTIFS(Modelling[Date],"&lt;="&amp;Modelling[[#This Row],[Date]],Modelling[Month Year],Modelling[[#This Row],[Month Year]])*24*Modelling[[#This Row],[MTD DC Capcity]]))</f>
        <v>0.12736164715953618</v>
      </c>
      <c r="BX162" s="28">
        <f>BO162/((COUNTIFS(Modelling[Date],"&lt;="&amp;Modelling[[#This Row],[Date]],Modelling[Finacial Year],Modelling[[#This Row],[Finacial Year]])*24*Modelling[[#This Row],[MTD DC Capcity]]))</f>
        <v>0.15809605540164129</v>
      </c>
      <c r="BY162" s="4">
        <f>Modelling_old[[#This Row],[DC Capcity]]+Modelling_new[[#This Row],[Comisined DC ]]</f>
        <v>11.5031</v>
      </c>
      <c r="BZ162" s="4">
        <v>0</v>
      </c>
      <c r="CA162" s="4">
        <f>AVERAGEIFS(Modelling[[Comisined DC ]],Modelling[Date],"&lt;="&amp;Modelling[[#This Row],[Date]],Modelling[Month Year],Modelling[[#This Row],[Month Year]])</f>
        <v>11.503099999999995</v>
      </c>
      <c r="CB162" s="4">
        <f>AVERAGEIFS(Modelling[[Comisined DC ]],Modelling[Date],"&lt;="&amp;Modelling[[#This Row],[Date]],Modelling[Finacial Year],Modelling[[#This Row],[Finacial Year]])</f>
        <v>11.50309999999997</v>
      </c>
      <c r="CG162">
        <f t="shared" si="66"/>
        <v>23</v>
      </c>
      <c r="CH162">
        <f t="shared" si="67"/>
        <v>145</v>
      </c>
    </row>
    <row r="163" spans="1:86" x14ac:dyDescent="0.35">
      <c r="A163" s="27">
        <v>45162</v>
      </c>
      <c r="B163" s="5">
        <f>MONTH(Modelling_old[[#This Row],[Date]])</f>
        <v>8</v>
      </c>
      <c r="C163" s="25">
        <f t="shared" si="50"/>
        <v>2024</v>
      </c>
      <c r="D163" s="3">
        <f t="shared" si="51"/>
        <v>2023</v>
      </c>
      <c r="E163" s="3" t="s">
        <v>626</v>
      </c>
      <c r="F163" s="5" t="s">
        <v>626</v>
      </c>
      <c r="G163" s="102">
        <v>45139</v>
      </c>
      <c r="H163" s="5">
        <f t="shared" si="52"/>
        <v>31</v>
      </c>
      <c r="I163" s="5">
        <f t="shared" si="53"/>
        <v>8</v>
      </c>
      <c r="J163" s="4">
        <f t="shared" si="54"/>
        <v>35.161290322580648</v>
      </c>
      <c r="K163" s="4">
        <f>SUM($J$140:J163)</f>
        <v>843.87096774193537</v>
      </c>
      <c r="L163" s="4">
        <f>SUM($J$18:J163)</f>
        <v>6363.8709677419347</v>
      </c>
      <c r="M163" s="4">
        <f t="shared" si="55"/>
        <v>4.1741935483870973</v>
      </c>
      <c r="N163" s="4">
        <f>SUM($M$140:M163)</f>
        <v>100.1806451612903</v>
      </c>
      <c r="O163" s="4">
        <f>SUM($M$18:M163)</f>
        <v>791.58064516128786</v>
      </c>
      <c r="P163" s="9">
        <f t="shared" si="56"/>
        <v>0.73228025878434988</v>
      </c>
      <c r="Q163" s="26">
        <f t="shared" si="68"/>
        <v>0.73228025878434999</v>
      </c>
      <c r="R163" s="26">
        <f t="shared" si="68"/>
        <v>0.69889398599029295</v>
      </c>
      <c r="S163" s="9">
        <f t="shared" si="57"/>
        <v>0.12736164715953616</v>
      </c>
      <c r="T163" s="9">
        <f>K163/((COUNT($K$140:K163))*24*$Q$1)</f>
        <v>0.12736164715953613</v>
      </c>
      <c r="U163" s="28">
        <f>L163/((COUNT($L$18:L163))*24*$Q$1)</f>
        <v>0.15788554575614736</v>
      </c>
      <c r="V163" s="134">
        <v>11.5031</v>
      </c>
      <c r="Y163" s="27">
        <f t="shared" si="64"/>
        <v>45162</v>
      </c>
      <c r="Z163" s="5">
        <f>MONTH(Modelling_new[[#This Row],[Date]])</f>
        <v>8</v>
      </c>
      <c r="AA163" s="25">
        <f>YEAR(Y163)+IF(MONTH(Modelling_new[[#This Row],[Date]])&gt;=4,1,0)</f>
        <v>2024</v>
      </c>
      <c r="AB163" s="3">
        <f t="shared" si="58"/>
        <v>2023</v>
      </c>
      <c r="AC163" s="3" t="s">
        <v>626</v>
      </c>
      <c r="AD163" s="5" t="s">
        <v>626</v>
      </c>
      <c r="AE163" s="102">
        <v>45139</v>
      </c>
      <c r="AF163" s="5">
        <f t="shared" si="59"/>
        <v>31</v>
      </c>
      <c r="AG163" s="5">
        <f t="shared" si="60"/>
        <v>8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BD163" s="27">
        <f t="shared" si="65"/>
        <v>45162</v>
      </c>
      <c r="BE163" s="5">
        <f>MONTH(Modelling[[#This Row],[Date]])</f>
        <v>8</v>
      </c>
      <c r="BF163" s="25">
        <f>YEAR(BD163)+IF(MONTH(Modelling[[#This Row],[Date]])&gt;=4,1,0)</f>
        <v>2024</v>
      </c>
      <c r="BG163" s="3">
        <f t="shared" si="61"/>
        <v>2023</v>
      </c>
      <c r="BH163" s="3" t="s">
        <v>626</v>
      </c>
      <c r="BI163" s="5" t="s">
        <v>626</v>
      </c>
      <c r="BJ163" s="102">
        <v>45139</v>
      </c>
      <c r="BK163" s="5">
        <f t="shared" si="62"/>
        <v>31</v>
      </c>
      <c r="BL163" s="5">
        <f t="shared" si="63"/>
        <v>8</v>
      </c>
      <c r="BM163" s="4">
        <f>Modelling_old[[#This Row],[Target E_Grid daily
MWh]]+Modelling_new[[#This Row],[Target E_Grid daily
MWh]]</f>
        <v>35.161290322580648</v>
      </c>
      <c r="BN163" s="4">
        <f>Modelling_old[[#This Row],[Target E_Grid MTD
MWh]]+Modelling_new[[#This Row],[Target E_Grid MTD
MWh]]</f>
        <v>843.87096774193537</v>
      </c>
      <c r="BO163" s="4">
        <f>Modelling_old[[#This Row],[Target E_Grid YTD
MWh]]+Modelling_new[[#This Row],[Target E_Grid YTD
MWh]]</f>
        <v>6363.8709677419347</v>
      </c>
      <c r="BP16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63" s="4">
        <f>SUMIFS(Modelling[Target POA Daily (KWh/m2)],Modelling[Date],"&lt;="&amp;Modelling[[#This Row],[Date]],Modelling[Month Year],Modelling[[#This Row],[Month Year]])</f>
        <v>100.1806451612903</v>
      </c>
      <c r="BR163" s="4">
        <f>SUMIFS(Modelling[Target POA Daily (KWh/m2)],Modelling[Date],"&lt;="&amp;Modelling[[#This Row],[Date]],Modelling[Finacial Year],Modelling[[#This Row],[Finacial Year]])</f>
        <v>791.58064516128786</v>
      </c>
      <c r="BS163" s="9">
        <f>BM163/Modelling[[#This Row],[Comisined DC ]]/BP163</f>
        <v>0.73228025878434988</v>
      </c>
      <c r="BT163" s="9">
        <f>BN163/BQ163/Modelling[[#This Row],[Comisined DC ]]</f>
        <v>0.73228025878434999</v>
      </c>
      <c r="BU163" s="9">
        <f>BO163/BR163/Modelling[[#This Row],[Comisined DC ]]</f>
        <v>0.69889398599029295</v>
      </c>
      <c r="BV163" s="9">
        <f>BM163/(24*Modelling[[#This Row],[Comisined DC ]])</f>
        <v>0.12736164715953616</v>
      </c>
      <c r="BW163" s="9">
        <f>BN163/((COUNTIFS(Modelling[Date],"&lt;="&amp;Modelling[[#This Row],[Date]],Modelling[Month Year],Modelling[[#This Row],[Month Year]])*24*Modelling[[#This Row],[MTD DC Capcity]]))</f>
        <v>0.12736164715953618</v>
      </c>
      <c r="BX163" s="28">
        <f>BO163/((COUNTIFS(Modelling[Date],"&lt;="&amp;Modelling[[#This Row],[Date]],Modelling[Finacial Year],Modelling[[#This Row],[Finacial Year]])*24*Modelling[[#This Row],[MTD DC Capcity]]))</f>
        <v>0.15788554575614741</v>
      </c>
      <c r="BY163" s="4">
        <f>Modelling_old[[#This Row],[DC Capcity]]+Modelling_new[[#This Row],[Comisined DC ]]</f>
        <v>11.5031</v>
      </c>
      <c r="BZ163" s="4">
        <v>0</v>
      </c>
      <c r="CA163" s="4">
        <f>AVERAGEIFS(Modelling[[Comisined DC ]],Modelling[Date],"&lt;="&amp;Modelling[[#This Row],[Date]],Modelling[Month Year],Modelling[[#This Row],[Month Year]])</f>
        <v>11.503099999999996</v>
      </c>
      <c r="CB163" s="4">
        <f>AVERAGEIFS(Modelling[[Comisined DC ]],Modelling[Date],"&lt;="&amp;Modelling[[#This Row],[Date]],Modelling[Finacial Year],Modelling[[#This Row],[Finacial Year]])</f>
        <v>11.50309999999997</v>
      </c>
      <c r="CG163">
        <f t="shared" si="66"/>
        <v>24</v>
      </c>
      <c r="CH163">
        <f t="shared" si="67"/>
        <v>146</v>
      </c>
    </row>
    <row r="164" spans="1:86" x14ac:dyDescent="0.35">
      <c r="A164" s="27">
        <v>45163</v>
      </c>
      <c r="B164" s="5">
        <f>MONTH(Modelling_old[[#This Row],[Date]])</f>
        <v>8</v>
      </c>
      <c r="C164" s="25">
        <f t="shared" si="50"/>
        <v>2024</v>
      </c>
      <c r="D164" s="3">
        <f t="shared" si="51"/>
        <v>2023</v>
      </c>
      <c r="E164" s="3" t="s">
        <v>626</v>
      </c>
      <c r="F164" s="5" t="s">
        <v>626</v>
      </c>
      <c r="G164" s="102">
        <v>45139</v>
      </c>
      <c r="H164" s="5">
        <f t="shared" si="52"/>
        <v>31</v>
      </c>
      <c r="I164" s="5">
        <f t="shared" si="53"/>
        <v>8</v>
      </c>
      <c r="J164" s="4">
        <f t="shared" si="54"/>
        <v>35.161290322580648</v>
      </c>
      <c r="K164" s="4">
        <f>SUM($J$140:J164)</f>
        <v>879.03225806451599</v>
      </c>
      <c r="L164" s="4">
        <f>SUM($J$18:J164)</f>
        <v>6399.0322580645152</v>
      </c>
      <c r="M164" s="4">
        <f t="shared" si="55"/>
        <v>4.1741935483870973</v>
      </c>
      <c r="N164" s="4">
        <f>SUM($M$140:M164)</f>
        <v>104.3548387096774</v>
      </c>
      <c r="O164" s="4">
        <f>SUM($M$18:M164)</f>
        <v>795.75483870967491</v>
      </c>
      <c r="P164" s="9">
        <f t="shared" si="56"/>
        <v>0.73228025878434988</v>
      </c>
      <c r="Q164" s="26">
        <f t="shared" si="68"/>
        <v>0.73228025878434999</v>
      </c>
      <c r="R164" s="26">
        <f t="shared" si="68"/>
        <v>0.69906911626625545</v>
      </c>
      <c r="S164" s="9">
        <f t="shared" si="57"/>
        <v>0.12736164715953616</v>
      </c>
      <c r="T164" s="9">
        <f>K164/((COUNT($K$140:K164))*24*$Q$1)</f>
        <v>0.12736164715953613</v>
      </c>
      <c r="U164" s="28">
        <f>L164/((COUNT($L$18:L164))*24*$Q$1)</f>
        <v>0.15767790018746289</v>
      </c>
      <c r="V164" s="134">
        <v>11.5031</v>
      </c>
      <c r="Y164" s="27">
        <f t="shared" si="64"/>
        <v>45163</v>
      </c>
      <c r="Z164" s="5">
        <f>MONTH(Modelling_new[[#This Row],[Date]])</f>
        <v>8</v>
      </c>
      <c r="AA164" s="25">
        <f>YEAR(Y164)+IF(MONTH(Modelling_new[[#This Row],[Date]])&gt;=4,1,0)</f>
        <v>2024</v>
      </c>
      <c r="AB164" s="3">
        <f t="shared" si="58"/>
        <v>2023</v>
      </c>
      <c r="AC164" s="3" t="s">
        <v>626</v>
      </c>
      <c r="AD164" s="5" t="s">
        <v>626</v>
      </c>
      <c r="AE164" s="102">
        <v>45139</v>
      </c>
      <c r="AF164" s="5">
        <f t="shared" si="59"/>
        <v>31</v>
      </c>
      <c r="AG164" s="5">
        <f t="shared" si="60"/>
        <v>8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BD164" s="27">
        <f t="shared" si="65"/>
        <v>45163</v>
      </c>
      <c r="BE164" s="5">
        <f>MONTH(Modelling[[#This Row],[Date]])</f>
        <v>8</v>
      </c>
      <c r="BF164" s="25">
        <f>YEAR(BD164)+IF(MONTH(Modelling[[#This Row],[Date]])&gt;=4,1,0)</f>
        <v>2024</v>
      </c>
      <c r="BG164" s="3">
        <f t="shared" si="61"/>
        <v>2023</v>
      </c>
      <c r="BH164" s="3" t="s">
        <v>626</v>
      </c>
      <c r="BI164" s="5" t="s">
        <v>626</v>
      </c>
      <c r="BJ164" s="102">
        <v>45139</v>
      </c>
      <c r="BK164" s="5">
        <f t="shared" si="62"/>
        <v>31</v>
      </c>
      <c r="BL164" s="5">
        <f t="shared" si="63"/>
        <v>8</v>
      </c>
      <c r="BM164" s="4">
        <f>Modelling_old[[#This Row],[Target E_Grid daily
MWh]]+Modelling_new[[#This Row],[Target E_Grid daily
MWh]]</f>
        <v>35.161290322580648</v>
      </c>
      <c r="BN164" s="4">
        <f>Modelling_old[[#This Row],[Target E_Grid MTD
MWh]]+Modelling_new[[#This Row],[Target E_Grid MTD
MWh]]</f>
        <v>879.03225806451599</v>
      </c>
      <c r="BO164" s="4">
        <f>Modelling_old[[#This Row],[Target E_Grid YTD
MWh]]+Modelling_new[[#This Row],[Target E_Grid YTD
MWh]]</f>
        <v>6399.0322580645152</v>
      </c>
      <c r="BP16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64" s="4">
        <f>SUMIFS(Modelling[Target POA Daily (KWh/m2)],Modelling[Date],"&lt;="&amp;Modelling[[#This Row],[Date]],Modelling[Month Year],Modelling[[#This Row],[Month Year]])</f>
        <v>104.3548387096774</v>
      </c>
      <c r="BR164" s="4">
        <f>SUMIFS(Modelling[Target POA Daily (KWh/m2)],Modelling[Date],"&lt;="&amp;Modelling[[#This Row],[Date]],Modelling[Finacial Year],Modelling[[#This Row],[Finacial Year]])</f>
        <v>795.75483870967491</v>
      </c>
      <c r="BS164" s="9">
        <f>BM164/Modelling[[#This Row],[Comisined DC ]]/BP164</f>
        <v>0.73228025878434988</v>
      </c>
      <c r="BT164" s="9">
        <f>BN164/BQ164/Modelling[[#This Row],[Comisined DC ]]</f>
        <v>0.73228025878434999</v>
      </c>
      <c r="BU164" s="9">
        <f>BO164/BR164/Modelling[[#This Row],[Comisined DC ]]</f>
        <v>0.69906911626625545</v>
      </c>
      <c r="BV164" s="9">
        <f>BM164/(24*Modelling[[#This Row],[Comisined DC ]])</f>
        <v>0.12736164715953616</v>
      </c>
      <c r="BW164" s="9">
        <f>BN164/((COUNTIFS(Modelling[Date],"&lt;="&amp;Modelling[[#This Row],[Date]],Modelling[Month Year],Modelling[[#This Row],[Month Year]])*24*Modelling[[#This Row],[MTD DC Capcity]]))</f>
        <v>0.12736164715953616</v>
      </c>
      <c r="BX164" s="28">
        <f>BO164/((COUNTIFS(Modelling[Date],"&lt;="&amp;Modelling[[#This Row],[Date]],Modelling[Finacial Year],Modelling[[#This Row],[Finacial Year]])*24*Modelling[[#This Row],[MTD DC Capcity]]))</f>
        <v>0.15767790018746294</v>
      </c>
      <c r="BY164" s="4">
        <f>Modelling_old[[#This Row],[DC Capcity]]+Modelling_new[[#This Row],[Comisined DC ]]</f>
        <v>11.5031</v>
      </c>
      <c r="BZ164" s="4">
        <v>0</v>
      </c>
      <c r="CA164" s="4">
        <f>AVERAGEIFS(Modelling[[Comisined DC ]],Modelling[Date],"&lt;="&amp;Modelling[[#This Row],[Date]],Modelling[Month Year],Modelling[[#This Row],[Month Year]])</f>
        <v>11.503099999999996</v>
      </c>
      <c r="CB164" s="4">
        <f>AVERAGEIFS(Modelling[[Comisined DC ]],Modelling[Date],"&lt;="&amp;Modelling[[#This Row],[Date]],Modelling[Finacial Year],Modelling[[#This Row],[Finacial Year]])</f>
        <v>11.50309999999997</v>
      </c>
      <c r="CG164">
        <f t="shared" si="66"/>
        <v>25</v>
      </c>
      <c r="CH164">
        <f t="shared" si="67"/>
        <v>147</v>
      </c>
    </row>
    <row r="165" spans="1:86" x14ac:dyDescent="0.35">
      <c r="A165" s="27">
        <v>45164</v>
      </c>
      <c r="B165" s="5">
        <f>MONTH(Modelling_old[[#This Row],[Date]])</f>
        <v>8</v>
      </c>
      <c r="C165" s="25">
        <f t="shared" si="50"/>
        <v>2024</v>
      </c>
      <c r="D165" s="3">
        <f t="shared" si="51"/>
        <v>2023</v>
      </c>
      <c r="E165" s="3" t="s">
        <v>626</v>
      </c>
      <c r="F165" s="5" t="s">
        <v>626</v>
      </c>
      <c r="G165" s="102">
        <v>45139</v>
      </c>
      <c r="H165" s="5">
        <f t="shared" si="52"/>
        <v>31</v>
      </c>
      <c r="I165" s="5">
        <f t="shared" si="53"/>
        <v>8</v>
      </c>
      <c r="J165" s="4">
        <f t="shared" si="54"/>
        <v>35.161290322580648</v>
      </c>
      <c r="K165" s="4">
        <f>SUM($J$140:J165)</f>
        <v>914.1935483870966</v>
      </c>
      <c r="L165" s="4">
        <f>SUM($J$18:J165)</f>
        <v>6434.1935483870957</v>
      </c>
      <c r="M165" s="4">
        <f t="shared" si="55"/>
        <v>4.1741935483870973</v>
      </c>
      <c r="N165" s="4">
        <f>SUM($M$140:M165)</f>
        <v>108.52903225806449</v>
      </c>
      <c r="O165" s="4">
        <f>SUM($M$18:M165)</f>
        <v>799.92903225806197</v>
      </c>
      <c r="P165" s="9">
        <f t="shared" si="56"/>
        <v>0.73228025878434988</v>
      </c>
      <c r="Q165" s="26">
        <f t="shared" si="68"/>
        <v>0.73228025878434999</v>
      </c>
      <c r="R165" s="26">
        <f t="shared" si="68"/>
        <v>0.69924241881091043</v>
      </c>
      <c r="S165" s="9">
        <f t="shared" si="57"/>
        <v>0.12736164715953616</v>
      </c>
      <c r="T165" s="9">
        <f>K165/((COUNT($K$140:K165))*24*$Q$1)</f>
        <v>0.12736164715953613</v>
      </c>
      <c r="U165" s="28">
        <f>L165/((COUNT($L$18:L165))*24*$Q$1)</f>
        <v>0.1574730606399769</v>
      </c>
      <c r="V165" s="134">
        <v>11.5031</v>
      </c>
      <c r="Y165" s="27">
        <f t="shared" si="64"/>
        <v>45164</v>
      </c>
      <c r="Z165" s="5">
        <f>MONTH(Modelling_new[[#This Row],[Date]])</f>
        <v>8</v>
      </c>
      <c r="AA165" s="25">
        <f>YEAR(Y165)+IF(MONTH(Modelling_new[[#This Row],[Date]])&gt;=4,1,0)</f>
        <v>2024</v>
      </c>
      <c r="AB165" s="3">
        <f t="shared" si="58"/>
        <v>2023</v>
      </c>
      <c r="AC165" s="3" t="s">
        <v>626</v>
      </c>
      <c r="AD165" s="5" t="s">
        <v>626</v>
      </c>
      <c r="AE165" s="102">
        <v>45139</v>
      </c>
      <c r="AF165" s="5">
        <f t="shared" si="59"/>
        <v>31</v>
      </c>
      <c r="AG165" s="5">
        <f t="shared" si="60"/>
        <v>8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BD165" s="27">
        <f t="shared" si="65"/>
        <v>45164</v>
      </c>
      <c r="BE165" s="5">
        <f>MONTH(Modelling[[#This Row],[Date]])</f>
        <v>8</v>
      </c>
      <c r="BF165" s="25">
        <f>YEAR(BD165)+IF(MONTH(Modelling[[#This Row],[Date]])&gt;=4,1,0)</f>
        <v>2024</v>
      </c>
      <c r="BG165" s="3">
        <f t="shared" si="61"/>
        <v>2023</v>
      </c>
      <c r="BH165" s="3" t="s">
        <v>626</v>
      </c>
      <c r="BI165" s="5" t="s">
        <v>626</v>
      </c>
      <c r="BJ165" s="102">
        <v>45139</v>
      </c>
      <c r="BK165" s="5">
        <f t="shared" si="62"/>
        <v>31</v>
      </c>
      <c r="BL165" s="5">
        <f t="shared" si="63"/>
        <v>8</v>
      </c>
      <c r="BM165" s="4">
        <f>Modelling_old[[#This Row],[Target E_Grid daily
MWh]]+Modelling_new[[#This Row],[Target E_Grid daily
MWh]]</f>
        <v>35.161290322580648</v>
      </c>
      <c r="BN165" s="4">
        <f>Modelling_old[[#This Row],[Target E_Grid MTD
MWh]]+Modelling_new[[#This Row],[Target E_Grid MTD
MWh]]</f>
        <v>914.1935483870966</v>
      </c>
      <c r="BO165" s="4">
        <f>Modelling_old[[#This Row],[Target E_Grid YTD
MWh]]+Modelling_new[[#This Row],[Target E_Grid YTD
MWh]]</f>
        <v>6434.1935483870957</v>
      </c>
      <c r="BP16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65" s="4">
        <f>SUMIFS(Modelling[Target POA Daily (KWh/m2)],Modelling[Date],"&lt;="&amp;Modelling[[#This Row],[Date]],Modelling[Month Year],Modelling[[#This Row],[Month Year]])</f>
        <v>108.52903225806449</v>
      </c>
      <c r="BR165" s="4">
        <f>SUMIFS(Modelling[Target POA Daily (KWh/m2)],Modelling[Date],"&lt;="&amp;Modelling[[#This Row],[Date]],Modelling[Finacial Year],Modelling[[#This Row],[Finacial Year]])</f>
        <v>799.92903225806197</v>
      </c>
      <c r="BS165" s="9">
        <f>BM165/Modelling[[#This Row],[Comisined DC ]]/BP165</f>
        <v>0.73228025878434988</v>
      </c>
      <c r="BT165" s="9">
        <f>BN165/BQ165/Modelling[[#This Row],[Comisined DC ]]</f>
        <v>0.73228025878434999</v>
      </c>
      <c r="BU165" s="9">
        <f>BO165/BR165/Modelling[[#This Row],[Comisined DC ]]</f>
        <v>0.69924241881091043</v>
      </c>
      <c r="BV165" s="9">
        <f>BM165/(24*Modelling[[#This Row],[Comisined DC ]])</f>
        <v>0.12736164715953616</v>
      </c>
      <c r="BW165" s="9">
        <f>BN165/((COUNTIFS(Modelling[Date],"&lt;="&amp;Modelling[[#This Row],[Date]],Modelling[Month Year],Modelling[[#This Row],[Month Year]])*24*Modelling[[#This Row],[MTD DC Capcity]]))</f>
        <v>0.12736164715953613</v>
      </c>
      <c r="BX165" s="28">
        <f>BO165/((COUNTIFS(Modelling[Date],"&lt;="&amp;Modelling[[#This Row],[Date]],Modelling[Finacial Year],Modelling[[#This Row],[Finacial Year]])*24*Modelling[[#This Row],[MTD DC Capcity]]))</f>
        <v>0.15747306063997693</v>
      </c>
      <c r="BY165" s="4">
        <f>Modelling_old[[#This Row],[DC Capcity]]+Modelling_new[[#This Row],[Comisined DC ]]</f>
        <v>11.5031</v>
      </c>
      <c r="BZ165" s="4">
        <v>0</v>
      </c>
      <c r="CA165" s="4">
        <f>AVERAGEIFS(Modelling[[Comisined DC ]],Modelling[Date],"&lt;="&amp;Modelling[[#This Row],[Date]],Modelling[Month Year],Modelling[[#This Row],[Month Year]])</f>
        <v>11.503099999999998</v>
      </c>
      <c r="CB165" s="4">
        <f>AVERAGEIFS(Modelling[[Comisined DC ]],Modelling[Date],"&lt;="&amp;Modelling[[#This Row],[Date]],Modelling[Finacial Year],Modelling[[#This Row],[Finacial Year]])</f>
        <v>11.503099999999968</v>
      </c>
      <c r="CG165">
        <f t="shared" si="66"/>
        <v>26</v>
      </c>
      <c r="CH165">
        <f t="shared" si="67"/>
        <v>148</v>
      </c>
    </row>
    <row r="166" spans="1:86" x14ac:dyDescent="0.35">
      <c r="A166" s="27">
        <v>45165</v>
      </c>
      <c r="B166" s="5">
        <f>MONTH(Modelling_old[[#This Row],[Date]])</f>
        <v>8</v>
      </c>
      <c r="C166" s="25">
        <f t="shared" si="50"/>
        <v>2024</v>
      </c>
      <c r="D166" s="3">
        <f t="shared" si="51"/>
        <v>2023</v>
      </c>
      <c r="E166" s="3" t="s">
        <v>626</v>
      </c>
      <c r="F166" s="5" t="s">
        <v>626</v>
      </c>
      <c r="G166" s="102">
        <v>45139</v>
      </c>
      <c r="H166" s="5">
        <f t="shared" si="52"/>
        <v>31</v>
      </c>
      <c r="I166" s="5">
        <f t="shared" si="53"/>
        <v>8</v>
      </c>
      <c r="J166" s="4">
        <f t="shared" si="54"/>
        <v>35.161290322580648</v>
      </c>
      <c r="K166" s="4">
        <f>SUM($J$140:J166)</f>
        <v>949.35483870967721</v>
      </c>
      <c r="L166" s="4">
        <f>SUM($J$18:J166)</f>
        <v>6469.3548387096762</v>
      </c>
      <c r="M166" s="4">
        <f t="shared" si="55"/>
        <v>4.1741935483870973</v>
      </c>
      <c r="N166" s="4">
        <f>SUM($M$140:M166)</f>
        <v>112.70322580645158</v>
      </c>
      <c r="O166" s="4">
        <f>SUM($M$18:M166)</f>
        <v>804.10322580644902</v>
      </c>
      <c r="P166" s="9">
        <f t="shared" si="56"/>
        <v>0.73228025878434988</v>
      </c>
      <c r="Q166" s="26">
        <f t="shared" si="68"/>
        <v>0.73228025878434999</v>
      </c>
      <c r="R166" s="26">
        <f t="shared" si="68"/>
        <v>0.69941392208815623</v>
      </c>
      <c r="S166" s="9">
        <f t="shared" si="57"/>
        <v>0.12736164715953616</v>
      </c>
      <c r="T166" s="9">
        <f>K166/((COUNT($K$140:K166))*24*$Q$1)</f>
        <v>0.12736164715953613</v>
      </c>
      <c r="U166" s="28">
        <f>L166/((COUNT($L$18:L166))*24*$Q$1)</f>
        <v>0.15727097061661824</v>
      </c>
      <c r="V166" s="134">
        <v>11.5031</v>
      </c>
      <c r="Y166" s="27">
        <f t="shared" si="64"/>
        <v>45165</v>
      </c>
      <c r="Z166" s="5">
        <f>MONTH(Modelling_new[[#This Row],[Date]])</f>
        <v>8</v>
      </c>
      <c r="AA166" s="25">
        <f>YEAR(Y166)+IF(MONTH(Modelling_new[[#This Row],[Date]])&gt;=4,1,0)</f>
        <v>2024</v>
      </c>
      <c r="AB166" s="3">
        <f t="shared" si="58"/>
        <v>2023</v>
      </c>
      <c r="AC166" s="3" t="s">
        <v>626</v>
      </c>
      <c r="AD166" s="5" t="s">
        <v>626</v>
      </c>
      <c r="AE166" s="102">
        <v>45139</v>
      </c>
      <c r="AF166" s="5">
        <f t="shared" si="59"/>
        <v>31</v>
      </c>
      <c r="AG166" s="5">
        <f t="shared" si="60"/>
        <v>8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BD166" s="27">
        <f t="shared" si="65"/>
        <v>45165</v>
      </c>
      <c r="BE166" s="5">
        <f>MONTH(Modelling[[#This Row],[Date]])</f>
        <v>8</v>
      </c>
      <c r="BF166" s="25">
        <f>YEAR(BD166)+IF(MONTH(Modelling[[#This Row],[Date]])&gt;=4,1,0)</f>
        <v>2024</v>
      </c>
      <c r="BG166" s="3">
        <f t="shared" si="61"/>
        <v>2023</v>
      </c>
      <c r="BH166" s="3" t="s">
        <v>626</v>
      </c>
      <c r="BI166" s="5" t="s">
        <v>626</v>
      </c>
      <c r="BJ166" s="102">
        <v>45139</v>
      </c>
      <c r="BK166" s="5">
        <f t="shared" si="62"/>
        <v>31</v>
      </c>
      <c r="BL166" s="5">
        <f t="shared" si="63"/>
        <v>8</v>
      </c>
      <c r="BM166" s="4">
        <f>Modelling_old[[#This Row],[Target E_Grid daily
MWh]]+Modelling_new[[#This Row],[Target E_Grid daily
MWh]]</f>
        <v>35.161290322580648</v>
      </c>
      <c r="BN166" s="4">
        <f>Modelling_old[[#This Row],[Target E_Grid MTD
MWh]]+Modelling_new[[#This Row],[Target E_Grid MTD
MWh]]</f>
        <v>949.35483870967721</v>
      </c>
      <c r="BO166" s="4">
        <f>Modelling_old[[#This Row],[Target E_Grid YTD
MWh]]+Modelling_new[[#This Row],[Target E_Grid YTD
MWh]]</f>
        <v>6469.3548387096762</v>
      </c>
      <c r="BP16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66" s="4">
        <f>SUMIFS(Modelling[Target POA Daily (KWh/m2)],Modelling[Date],"&lt;="&amp;Modelling[[#This Row],[Date]],Modelling[Month Year],Modelling[[#This Row],[Month Year]])</f>
        <v>112.70322580645158</v>
      </c>
      <c r="BR166" s="4">
        <f>SUMIFS(Modelling[Target POA Daily (KWh/m2)],Modelling[Date],"&lt;="&amp;Modelling[[#This Row],[Date]],Modelling[Finacial Year],Modelling[[#This Row],[Finacial Year]])</f>
        <v>804.10322580644902</v>
      </c>
      <c r="BS166" s="9">
        <f>BM166/Modelling[[#This Row],[Comisined DC ]]/BP166</f>
        <v>0.73228025878434988</v>
      </c>
      <c r="BT166" s="9">
        <f>BN166/BQ166/Modelling[[#This Row],[Comisined DC ]]</f>
        <v>0.73228025878434999</v>
      </c>
      <c r="BU166" s="9">
        <f>BO166/BR166/Modelling[[#This Row],[Comisined DC ]]</f>
        <v>0.69941392208815623</v>
      </c>
      <c r="BV166" s="9">
        <f>BM166/(24*Modelling[[#This Row],[Comisined DC ]])</f>
        <v>0.12736164715953616</v>
      </c>
      <c r="BW166" s="9">
        <f>BN166/((COUNTIFS(Modelling[Date],"&lt;="&amp;Modelling[[#This Row],[Date]],Modelling[Month Year],Modelling[[#This Row],[Month Year]])*24*Modelling[[#This Row],[MTD DC Capcity]]))</f>
        <v>0.12736164715953613</v>
      </c>
      <c r="BX166" s="28">
        <f>BO166/((COUNTIFS(Modelling[Date],"&lt;="&amp;Modelling[[#This Row],[Date]],Modelling[Finacial Year],Modelling[[#This Row],[Finacial Year]])*24*Modelling[[#This Row],[MTD DC Capcity]]))</f>
        <v>0.15727097061661827</v>
      </c>
      <c r="BY166" s="4">
        <f>Modelling_old[[#This Row],[DC Capcity]]+Modelling_new[[#This Row],[Comisined DC ]]</f>
        <v>11.5031</v>
      </c>
      <c r="BZ166" s="4">
        <v>0</v>
      </c>
      <c r="CA166" s="4">
        <f>AVERAGEIFS(Modelling[[Comisined DC ]],Modelling[Date],"&lt;="&amp;Modelling[[#This Row],[Date]],Modelling[Month Year],Modelling[[#This Row],[Month Year]])</f>
        <v>11.503099999999998</v>
      </c>
      <c r="CB166" s="4">
        <f>AVERAGEIFS(Modelling[[Comisined DC ]],Modelling[Date],"&lt;="&amp;Modelling[[#This Row],[Date]],Modelling[Finacial Year],Modelling[[#This Row],[Finacial Year]])</f>
        <v>11.503099999999968</v>
      </c>
      <c r="CG166">
        <f t="shared" si="66"/>
        <v>27</v>
      </c>
      <c r="CH166">
        <f t="shared" si="67"/>
        <v>149</v>
      </c>
    </row>
    <row r="167" spans="1:86" x14ac:dyDescent="0.35">
      <c r="A167" s="27">
        <v>45166</v>
      </c>
      <c r="B167" s="5">
        <f>MONTH(Modelling_old[[#This Row],[Date]])</f>
        <v>8</v>
      </c>
      <c r="C167" s="25">
        <f t="shared" si="50"/>
        <v>2024</v>
      </c>
      <c r="D167" s="3">
        <f t="shared" si="51"/>
        <v>2023</v>
      </c>
      <c r="E167" s="3" t="s">
        <v>626</v>
      </c>
      <c r="F167" s="5" t="s">
        <v>626</v>
      </c>
      <c r="G167" s="102">
        <v>45139</v>
      </c>
      <c r="H167" s="5">
        <f t="shared" si="52"/>
        <v>31</v>
      </c>
      <c r="I167" s="5">
        <f t="shared" si="53"/>
        <v>8</v>
      </c>
      <c r="J167" s="4">
        <f t="shared" si="54"/>
        <v>35.161290322580648</v>
      </c>
      <c r="K167" s="4">
        <f>SUM($J$140:J167)</f>
        <v>984.51612903225782</v>
      </c>
      <c r="L167" s="4">
        <f>SUM($J$18:J167)</f>
        <v>6504.5161290322567</v>
      </c>
      <c r="M167" s="4">
        <f t="shared" si="55"/>
        <v>4.1741935483870973</v>
      </c>
      <c r="N167" s="4">
        <f>SUM($M$140:M167)</f>
        <v>116.87741935483868</v>
      </c>
      <c r="O167" s="4">
        <f>SUM($M$18:M167)</f>
        <v>808.27741935483607</v>
      </c>
      <c r="P167" s="9">
        <f t="shared" si="56"/>
        <v>0.73228025878434988</v>
      </c>
      <c r="Q167" s="26">
        <f t="shared" si="68"/>
        <v>0.73228025878434999</v>
      </c>
      <c r="R167" s="26">
        <f t="shared" si="68"/>
        <v>0.69958365397390643</v>
      </c>
      <c r="S167" s="9">
        <f t="shared" si="57"/>
        <v>0.12736164715953616</v>
      </c>
      <c r="T167" s="9">
        <f>K167/((COUNT($K$140:K167))*24*$Q$1)</f>
        <v>0.1273616471595361</v>
      </c>
      <c r="U167" s="28">
        <f>L167/((COUNT($L$18:L167))*24*$Q$1)</f>
        <v>0.15707157512690437</v>
      </c>
      <c r="V167" s="134">
        <v>11.5031</v>
      </c>
      <c r="Y167" s="27">
        <f t="shared" si="64"/>
        <v>45166</v>
      </c>
      <c r="Z167" s="5">
        <f>MONTH(Modelling_new[[#This Row],[Date]])</f>
        <v>8</v>
      </c>
      <c r="AA167" s="25">
        <f>YEAR(Y167)+IF(MONTH(Modelling_new[[#This Row],[Date]])&gt;=4,1,0)</f>
        <v>2024</v>
      </c>
      <c r="AB167" s="3">
        <f t="shared" si="58"/>
        <v>2023</v>
      </c>
      <c r="AC167" s="3" t="s">
        <v>626</v>
      </c>
      <c r="AD167" s="5" t="s">
        <v>626</v>
      </c>
      <c r="AE167" s="102">
        <v>45139</v>
      </c>
      <c r="AF167" s="5">
        <f t="shared" si="59"/>
        <v>31</v>
      </c>
      <c r="AG167" s="5">
        <f t="shared" si="60"/>
        <v>8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BD167" s="27">
        <f t="shared" si="65"/>
        <v>45166</v>
      </c>
      <c r="BE167" s="5">
        <f>MONTH(Modelling[[#This Row],[Date]])</f>
        <v>8</v>
      </c>
      <c r="BF167" s="25">
        <f>YEAR(BD167)+IF(MONTH(Modelling[[#This Row],[Date]])&gt;=4,1,0)</f>
        <v>2024</v>
      </c>
      <c r="BG167" s="3">
        <f t="shared" si="61"/>
        <v>2023</v>
      </c>
      <c r="BH167" s="3" t="s">
        <v>626</v>
      </c>
      <c r="BI167" s="5" t="s">
        <v>626</v>
      </c>
      <c r="BJ167" s="102">
        <v>45139</v>
      </c>
      <c r="BK167" s="5">
        <f t="shared" si="62"/>
        <v>31</v>
      </c>
      <c r="BL167" s="5">
        <f t="shared" si="63"/>
        <v>8</v>
      </c>
      <c r="BM167" s="4">
        <f>Modelling_old[[#This Row],[Target E_Grid daily
MWh]]+Modelling_new[[#This Row],[Target E_Grid daily
MWh]]</f>
        <v>35.161290322580648</v>
      </c>
      <c r="BN167" s="4">
        <f>Modelling_old[[#This Row],[Target E_Grid MTD
MWh]]+Modelling_new[[#This Row],[Target E_Grid MTD
MWh]]</f>
        <v>984.51612903225782</v>
      </c>
      <c r="BO167" s="4">
        <f>Modelling_old[[#This Row],[Target E_Grid YTD
MWh]]+Modelling_new[[#This Row],[Target E_Grid YTD
MWh]]</f>
        <v>6504.5161290322567</v>
      </c>
      <c r="BP16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67" s="4">
        <f>SUMIFS(Modelling[Target POA Daily (KWh/m2)],Modelling[Date],"&lt;="&amp;Modelling[[#This Row],[Date]],Modelling[Month Year],Modelling[[#This Row],[Month Year]])</f>
        <v>116.87741935483868</v>
      </c>
      <c r="BR167" s="4">
        <f>SUMIFS(Modelling[Target POA Daily (KWh/m2)],Modelling[Date],"&lt;="&amp;Modelling[[#This Row],[Date]],Modelling[Finacial Year],Modelling[[#This Row],[Finacial Year]])</f>
        <v>808.27741935483607</v>
      </c>
      <c r="BS167" s="9">
        <f>BM167/Modelling[[#This Row],[Comisined DC ]]/BP167</f>
        <v>0.73228025878434988</v>
      </c>
      <c r="BT167" s="9">
        <f>BN167/BQ167/Modelling[[#This Row],[Comisined DC ]]</f>
        <v>0.73228025878434999</v>
      </c>
      <c r="BU167" s="9">
        <f>BO167/BR167/Modelling[[#This Row],[Comisined DC ]]</f>
        <v>0.69958365397390643</v>
      </c>
      <c r="BV167" s="9">
        <f>BM167/(24*Modelling[[#This Row],[Comisined DC ]])</f>
        <v>0.12736164715953616</v>
      </c>
      <c r="BW167" s="9">
        <f>BN167/((COUNTIFS(Modelling[Date],"&lt;="&amp;Modelling[[#This Row],[Date]],Modelling[Month Year],Modelling[[#This Row],[Month Year]])*24*Modelling[[#This Row],[MTD DC Capcity]]))</f>
        <v>0.1273616471595361</v>
      </c>
      <c r="BX167" s="28">
        <f>BO167/((COUNTIFS(Modelling[Date],"&lt;="&amp;Modelling[[#This Row],[Date]],Modelling[Finacial Year],Modelling[[#This Row],[Finacial Year]])*24*Modelling[[#This Row],[MTD DC Capcity]]))</f>
        <v>0.15707157512690437</v>
      </c>
      <c r="BY167" s="4">
        <f>Modelling_old[[#This Row],[DC Capcity]]+Modelling_new[[#This Row],[Comisined DC ]]</f>
        <v>11.5031</v>
      </c>
      <c r="BZ167" s="4">
        <v>0</v>
      </c>
      <c r="CA167" s="4">
        <f>AVERAGEIFS(Modelling[[Comisined DC ]],Modelling[Date],"&lt;="&amp;Modelling[[#This Row],[Date]],Modelling[Month Year],Modelling[[#This Row],[Month Year]])</f>
        <v>11.5031</v>
      </c>
      <c r="CB167" s="4">
        <f>AVERAGEIFS(Modelling[[Comisined DC ]],Modelling[Date],"&lt;="&amp;Modelling[[#This Row],[Date]],Modelling[Finacial Year],Modelling[[#This Row],[Finacial Year]])</f>
        <v>11.503099999999968</v>
      </c>
      <c r="CG167">
        <f t="shared" si="66"/>
        <v>28</v>
      </c>
      <c r="CH167">
        <f t="shared" si="67"/>
        <v>150</v>
      </c>
    </row>
    <row r="168" spans="1:86" x14ac:dyDescent="0.35">
      <c r="A168" s="27">
        <v>45167</v>
      </c>
      <c r="B168" s="5">
        <f>MONTH(Modelling_old[[#This Row],[Date]])</f>
        <v>8</v>
      </c>
      <c r="C168" s="25">
        <f t="shared" si="50"/>
        <v>2024</v>
      </c>
      <c r="D168" s="3">
        <f t="shared" si="51"/>
        <v>2023</v>
      </c>
      <c r="E168" s="3" t="s">
        <v>626</v>
      </c>
      <c r="F168" s="5" t="s">
        <v>626</v>
      </c>
      <c r="G168" s="102">
        <v>45139</v>
      </c>
      <c r="H168" s="5">
        <f t="shared" si="52"/>
        <v>31</v>
      </c>
      <c r="I168" s="5">
        <f t="shared" si="53"/>
        <v>8</v>
      </c>
      <c r="J168" s="4">
        <f t="shared" si="54"/>
        <v>35.161290322580648</v>
      </c>
      <c r="K168" s="4">
        <f>SUM($J$140:J168)</f>
        <v>1019.6774193548384</v>
      </c>
      <c r="L168" s="4">
        <f>SUM($J$18:J168)</f>
        <v>6539.6774193548372</v>
      </c>
      <c r="M168" s="4">
        <f t="shared" si="55"/>
        <v>4.1741935483870973</v>
      </c>
      <c r="N168" s="4">
        <f>SUM($M$140:M168)</f>
        <v>121.05161290322577</v>
      </c>
      <c r="O168" s="4">
        <f>SUM($M$18:M168)</f>
        <v>812.45161290322312</v>
      </c>
      <c r="P168" s="9">
        <f t="shared" si="56"/>
        <v>0.73228025878434988</v>
      </c>
      <c r="Q168" s="26">
        <f t="shared" si="68"/>
        <v>0.73228025878434999</v>
      </c>
      <c r="R168" s="26">
        <f t="shared" si="68"/>
        <v>0.69975164177119353</v>
      </c>
      <c r="S168" s="9">
        <f t="shared" si="57"/>
        <v>0.12736164715953616</v>
      </c>
      <c r="T168" s="9">
        <f>K168/((COUNT($K$140:K168))*24*$Q$1)</f>
        <v>0.12736164715953613</v>
      </c>
      <c r="U168" s="28">
        <f>L168/((COUNT($L$18:L168))*24*$Q$1)</f>
        <v>0.15687482063705424</v>
      </c>
      <c r="V168" s="134">
        <v>11.5031</v>
      </c>
      <c r="Y168" s="27">
        <f t="shared" si="64"/>
        <v>45167</v>
      </c>
      <c r="Z168" s="5">
        <f>MONTH(Modelling_new[[#This Row],[Date]])</f>
        <v>8</v>
      </c>
      <c r="AA168" s="25">
        <f>YEAR(Y168)+IF(MONTH(Modelling_new[[#This Row],[Date]])&gt;=4,1,0)</f>
        <v>2024</v>
      </c>
      <c r="AB168" s="3">
        <f t="shared" si="58"/>
        <v>2023</v>
      </c>
      <c r="AC168" s="3" t="s">
        <v>626</v>
      </c>
      <c r="AD168" s="5" t="s">
        <v>626</v>
      </c>
      <c r="AE168" s="102">
        <v>45139</v>
      </c>
      <c r="AF168" s="5">
        <f t="shared" si="59"/>
        <v>31</v>
      </c>
      <c r="AG168" s="5">
        <f t="shared" si="60"/>
        <v>8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BD168" s="27">
        <f t="shared" si="65"/>
        <v>45167</v>
      </c>
      <c r="BE168" s="5">
        <f>MONTH(Modelling[[#This Row],[Date]])</f>
        <v>8</v>
      </c>
      <c r="BF168" s="25">
        <f>YEAR(BD168)+IF(MONTH(Modelling[[#This Row],[Date]])&gt;=4,1,0)</f>
        <v>2024</v>
      </c>
      <c r="BG168" s="3">
        <f t="shared" si="61"/>
        <v>2023</v>
      </c>
      <c r="BH168" s="3" t="s">
        <v>626</v>
      </c>
      <c r="BI168" s="5" t="s">
        <v>626</v>
      </c>
      <c r="BJ168" s="102">
        <v>45139</v>
      </c>
      <c r="BK168" s="5">
        <f t="shared" si="62"/>
        <v>31</v>
      </c>
      <c r="BL168" s="5">
        <f t="shared" si="63"/>
        <v>8</v>
      </c>
      <c r="BM168" s="4">
        <f>Modelling_old[[#This Row],[Target E_Grid daily
MWh]]+Modelling_new[[#This Row],[Target E_Grid daily
MWh]]</f>
        <v>35.161290322580648</v>
      </c>
      <c r="BN168" s="4">
        <f>Modelling_old[[#This Row],[Target E_Grid MTD
MWh]]+Modelling_new[[#This Row],[Target E_Grid MTD
MWh]]</f>
        <v>1019.6774193548384</v>
      </c>
      <c r="BO168" s="4">
        <f>Modelling_old[[#This Row],[Target E_Grid YTD
MWh]]+Modelling_new[[#This Row],[Target E_Grid YTD
MWh]]</f>
        <v>6539.6774193548372</v>
      </c>
      <c r="BP16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68" s="4">
        <f>SUMIFS(Modelling[Target POA Daily (KWh/m2)],Modelling[Date],"&lt;="&amp;Modelling[[#This Row],[Date]],Modelling[Month Year],Modelling[[#This Row],[Month Year]])</f>
        <v>121.05161290322577</v>
      </c>
      <c r="BR168" s="4">
        <f>SUMIFS(Modelling[Target POA Daily (KWh/m2)],Modelling[Date],"&lt;="&amp;Modelling[[#This Row],[Date]],Modelling[Finacial Year],Modelling[[#This Row],[Finacial Year]])</f>
        <v>812.45161290322312</v>
      </c>
      <c r="BS168" s="9">
        <f>BM168/Modelling[[#This Row],[Comisined DC ]]/BP168</f>
        <v>0.73228025878434988</v>
      </c>
      <c r="BT168" s="9">
        <f>BN168/BQ168/Modelling[[#This Row],[Comisined DC ]]</f>
        <v>0.73228025878434999</v>
      </c>
      <c r="BU168" s="9">
        <f>BO168/BR168/Modelling[[#This Row],[Comisined DC ]]</f>
        <v>0.69975164177119353</v>
      </c>
      <c r="BV168" s="9">
        <f>BM168/(24*Modelling[[#This Row],[Comisined DC ]])</f>
        <v>0.12736164715953616</v>
      </c>
      <c r="BW168" s="9">
        <f>BN168/((COUNTIFS(Modelling[Date],"&lt;="&amp;Modelling[[#This Row],[Date]],Modelling[Month Year],Modelling[[#This Row],[Month Year]])*24*Modelling[[#This Row],[MTD DC Capcity]]))</f>
        <v>0.12736164715953613</v>
      </c>
      <c r="BX168" s="28">
        <f>BO168/((COUNTIFS(Modelling[Date],"&lt;="&amp;Modelling[[#This Row],[Date]],Modelling[Finacial Year],Modelling[[#This Row],[Finacial Year]])*24*Modelling[[#This Row],[MTD DC Capcity]]))</f>
        <v>0.15687482063705424</v>
      </c>
      <c r="BY168" s="4">
        <f>Modelling_old[[#This Row],[DC Capcity]]+Modelling_new[[#This Row],[Comisined DC ]]</f>
        <v>11.5031</v>
      </c>
      <c r="BZ168" s="4">
        <v>0</v>
      </c>
      <c r="CA168" s="4">
        <f>AVERAGEIFS(Modelling[[Comisined DC ]],Modelling[Date],"&lt;="&amp;Modelling[[#This Row],[Date]],Modelling[Month Year],Modelling[[#This Row],[Month Year]])</f>
        <v>11.5031</v>
      </c>
      <c r="CB168" s="4">
        <f>AVERAGEIFS(Modelling[[Comisined DC ]],Modelling[Date],"&lt;="&amp;Modelling[[#This Row],[Date]],Modelling[Finacial Year],Modelling[[#This Row],[Finacial Year]])</f>
        <v>11.503099999999968</v>
      </c>
      <c r="CG168">
        <f t="shared" si="66"/>
        <v>29</v>
      </c>
      <c r="CH168">
        <f t="shared" si="67"/>
        <v>151</v>
      </c>
    </row>
    <row r="169" spans="1:86" x14ac:dyDescent="0.35">
      <c r="A169" s="27">
        <v>45168</v>
      </c>
      <c r="B169" s="5">
        <f>MONTH(Modelling_old[[#This Row],[Date]])</f>
        <v>8</v>
      </c>
      <c r="C169" s="25">
        <f t="shared" si="50"/>
        <v>2024</v>
      </c>
      <c r="D169" s="3">
        <f t="shared" si="51"/>
        <v>2023</v>
      </c>
      <c r="E169" s="3" t="s">
        <v>626</v>
      </c>
      <c r="F169" s="5" t="s">
        <v>626</v>
      </c>
      <c r="G169" s="102">
        <v>45139</v>
      </c>
      <c r="H169" s="5">
        <f t="shared" si="52"/>
        <v>31</v>
      </c>
      <c r="I169" s="5">
        <f t="shared" si="53"/>
        <v>8</v>
      </c>
      <c r="J169" s="4">
        <f t="shared" si="54"/>
        <v>35.161290322580648</v>
      </c>
      <c r="K169" s="4">
        <f>SUM($J$140:J169)</f>
        <v>1054.838709677419</v>
      </c>
      <c r="L169" s="4">
        <f>SUM($J$18:J169)</f>
        <v>6574.8387096774177</v>
      </c>
      <c r="M169" s="4">
        <f t="shared" si="55"/>
        <v>4.1741935483870973</v>
      </c>
      <c r="N169" s="4">
        <f>SUM($M$140:M169)</f>
        <v>125.22580645161287</v>
      </c>
      <c r="O169" s="4">
        <f>SUM($M$18:M169)</f>
        <v>816.62580645161017</v>
      </c>
      <c r="P169" s="9">
        <f t="shared" si="56"/>
        <v>0.73228025878434988</v>
      </c>
      <c r="Q169" s="26">
        <f t="shared" si="68"/>
        <v>0.73228025878434999</v>
      </c>
      <c r="R169" s="26">
        <f t="shared" si="68"/>
        <v>0.69991791222481081</v>
      </c>
      <c r="S169" s="9">
        <f t="shared" si="57"/>
        <v>0.12736164715953616</v>
      </c>
      <c r="T169" s="9">
        <f>K169/((COUNT($K$140:K169))*24*$Q$1)</f>
        <v>0.1273616471595361</v>
      </c>
      <c r="U169" s="28">
        <f>L169/((COUNT($L$18:L169))*24*$Q$1)</f>
        <v>0.15668065502207057</v>
      </c>
      <c r="V169" s="134">
        <v>11.5031</v>
      </c>
      <c r="Y169" s="27">
        <f t="shared" si="64"/>
        <v>45168</v>
      </c>
      <c r="Z169" s="5">
        <f>MONTH(Modelling_new[[#This Row],[Date]])</f>
        <v>8</v>
      </c>
      <c r="AA169" s="25">
        <f>YEAR(Y169)+IF(MONTH(Modelling_new[[#This Row],[Date]])&gt;=4,1,0)</f>
        <v>2024</v>
      </c>
      <c r="AB169" s="3">
        <f t="shared" si="58"/>
        <v>2023</v>
      </c>
      <c r="AC169" s="3" t="s">
        <v>626</v>
      </c>
      <c r="AD169" s="5" t="s">
        <v>626</v>
      </c>
      <c r="AE169" s="102">
        <v>45139</v>
      </c>
      <c r="AF169" s="5">
        <f t="shared" si="59"/>
        <v>31</v>
      </c>
      <c r="AG169" s="5">
        <f t="shared" si="60"/>
        <v>8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BD169" s="27">
        <f t="shared" si="65"/>
        <v>45168</v>
      </c>
      <c r="BE169" s="5">
        <f>MONTH(Modelling[[#This Row],[Date]])</f>
        <v>8</v>
      </c>
      <c r="BF169" s="25">
        <f>YEAR(BD169)+IF(MONTH(Modelling[[#This Row],[Date]])&gt;=4,1,0)</f>
        <v>2024</v>
      </c>
      <c r="BG169" s="3">
        <f t="shared" si="61"/>
        <v>2023</v>
      </c>
      <c r="BH169" s="3" t="s">
        <v>626</v>
      </c>
      <c r="BI169" s="5" t="s">
        <v>626</v>
      </c>
      <c r="BJ169" s="102">
        <v>45139</v>
      </c>
      <c r="BK169" s="5">
        <f t="shared" si="62"/>
        <v>31</v>
      </c>
      <c r="BL169" s="5">
        <f t="shared" si="63"/>
        <v>8</v>
      </c>
      <c r="BM169" s="4">
        <f>Modelling_old[[#This Row],[Target E_Grid daily
MWh]]+Modelling_new[[#This Row],[Target E_Grid daily
MWh]]</f>
        <v>35.161290322580648</v>
      </c>
      <c r="BN169" s="4">
        <f>Modelling_old[[#This Row],[Target E_Grid MTD
MWh]]+Modelling_new[[#This Row],[Target E_Grid MTD
MWh]]</f>
        <v>1054.838709677419</v>
      </c>
      <c r="BO169" s="4">
        <f>Modelling_old[[#This Row],[Target E_Grid YTD
MWh]]+Modelling_new[[#This Row],[Target E_Grid YTD
MWh]]</f>
        <v>6574.8387096774177</v>
      </c>
      <c r="BP16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69" s="4">
        <f>SUMIFS(Modelling[Target POA Daily (KWh/m2)],Modelling[Date],"&lt;="&amp;Modelling[[#This Row],[Date]],Modelling[Month Year],Modelling[[#This Row],[Month Year]])</f>
        <v>125.22580645161287</v>
      </c>
      <c r="BR169" s="4">
        <f>SUMIFS(Modelling[Target POA Daily (KWh/m2)],Modelling[Date],"&lt;="&amp;Modelling[[#This Row],[Date]],Modelling[Finacial Year],Modelling[[#This Row],[Finacial Year]])</f>
        <v>816.62580645161017</v>
      </c>
      <c r="BS169" s="9">
        <f>BM169/Modelling[[#This Row],[Comisined DC ]]/BP169</f>
        <v>0.73228025878434988</v>
      </c>
      <c r="BT169" s="9">
        <f>BN169/BQ169/Modelling[[#This Row],[Comisined DC ]]</f>
        <v>0.73228025878434999</v>
      </c>
      <c r="BU169" s="9">
        <f>BO169/BR169/Modelling[[#This Row],[Comisined DC ]]</f>
        <v>0.69991791222481081</v>
      </c>
      <c r="BV169" s="9">
        <f>BM169/(24*Modelling[[#This Row],[Comisined DC ]])</f>
        <v>0.12736164715953616</v>
      </c>
      <c r="BW169" s="9">
        <f>BN169/((COUNTIFS(Modelling[Date],"&lt;="&amp;Modelling[[#This Row],[Date]],Modelling[Month Year],Modelling[[#This Row],[Month Year]])*24*Modelling[[#This Row],[MTD DC Capcity]]))</f>
        <v>0.1273616471595361</v>
      </c>
      <c r="BX169" s="28">
        <f>BO169/((COUNTIFS(Modelling[Date],"&lt;="&amp;Modelling[[#This Row],[Date]],Modelling[Finacial Year],Modelling[[#This Row],[Finacial Year]])*24*Modelling[[#This Row],[MTD DC Capcity]]))</f>
        <v>0.15668065502207057</v>
      </c>
      <c r="BY169" s="4">
        <f>Modelling_old[[#This Row],[DC Capcity]]+Modelling_new[[#This Row],[Comisined DC ]]</f>
        <v>11.5031</v>
      </c>
      <c r="BZ169" s="4">
        <v>0</v>
      </c>
      <c r="CA169" s="4">
        <f>AVERAGEIFS(Modelling[[Comisined DC ]],Modelling[Date],"&lt;="&amp;Modelling[[#This Row],[Date]],Modelling[Month Year],Modelling[[#This Row],[Month Year]])</f>
        <v>11.5031</v>
      </c>
      <c r="CB169" s="4">
        <f>AVERAGEIFS(Modelling[[Comisined DC ]],Modelling[Date],"&lt;="&amp;Modelling[[#This Row],[Date]],Modelling[Finacial Year],Modelling[[#This Row],[Finacial Year]])</f>
        <v>11.503099999999966</v>
      </c>
      <c r="CG169">
        <f t="shared" si="66"/>
        <v>30</v>
      </c>
      <c r="CH169">
        <f t="shared" si="67"/>
        <v>152</v>
      </c>
    </row>
    <row r="170" spans="1:86" x14ac:dyDescent="0.35">
      <c r="A170" s="27">
        <v>45169</v>
      </c>
      <c r="B170" s="5">
        <f>MONTH(Modelling_old[[#This Row],[Date]])</f>
        <v>8</v>
      </c>
      <c r="C170" s="25">
        <f t="shared" si="50"/>
        <v>2024</v>
      </c>
      <c r="D170" s="3">
        <f t="shared" si="51"/>
        <v>2023</v>
      </c>
      <c r="E170" s="3" t="s">
        <v>626</v>
      </c>
      <c r="F170" s="5" t="s">
        <v>626</v>
      </c>
      <c r="G170" s="102">
        <v>45139</v>
      </c>
      <c r="H170" s="5">
        <f t="shared" si="52"/>
        <v>31</v>
      </c>
      <c r="I170" s="5">
        <f t="shared" si="53"/>
        <v>8</v>
      </c>
      <c r="J170" s="4">
        <f t="shared" si="54"/>
        <v>35.161290322580648</v>
      </c>
      <c r="K170" s="4">
        <f>SUM($J$140:J170)</f>
        <v>1089.9999999999998</v>
      </c>
      <c r="L170" s="4">
        <f>SUM($J$18:J170)</f>
        <v>6609.9999999999982</v>
      </c>
      <c r="M170" s="4">
        <f t="shared" si="55"/>
        <v>4.1741935483870973</v>
      </c>
      <c r="N170" s="4">
        <f>SUM($M$140:M170)</f>
        <v>129.39999999999998</v>
      </c>
      <c r="O170" s="4">
        <f>SUM($M$18:M170)</f>
        <v>820.79999999999723</v>
      </c>
      <c r="P170" s="9">
        <f t="shared" si="56"/>
        <v>0.73228025878434988</v>
      </c>
      <c r="Q170" s="26">
        <f t="shared" si="68"/>
        <v>0.73228025878434999</v>
      </c>
      <c r="R170" s="26">
        <f t="shared" si="68"/>
        <v>0.70008249153550706</v>
      </c>
      <c r="S170" s="9">
        <f t="shared" si="57"/>
        <v>0.12736164715953616</v>
      </c>
      <c r="T170" s="9">
        <f>K170/((COUNT($K$140:K170))*24*$Q$1)</f>
        <v>0.12736164715953613</v>
      </c>
      <c r="U170" s="28">
        <f>L170/((COUNT($L$18:L170))*24*$Q$1)</f>
        <v>0.15648902751970106</v>
      </c>
      <c r="V170" s="134">
        <v>11.5031</v>
      </c>
      <c r="Y170" s="27">
        <f t="shared" si="64"/>
        <v>45169</v>
      </c>
      <c r="Z170" s="5">
        <f>MONTH(Modelling_new[[#This Row],[Date]])</f>
        <v>8</v>
      </c>
      <c r="AA170" s="25">
        <f>YEAR(Y170)+IF(MONTH(Modelling_new[[#This Row],[Date]])&gt;=4,1,0)</f>
        <v>2024</v>
      </c>
      <c r="AB170" s="3">
        <f t="shared" si="58"/>
        <v>2023</v>
      </c>
      <c r="AC170" s="3" t="s">
        <v>626</v>
      </c>
      <c r="AD170" s="5" t="s">
        <v>626</v>
      </c>
      <c r="AE170" s="102">
        <v>45139</v>
      </c>
      <c r="AF170" s="5">
        <f t="shared" si="59"/>
        <v>31</v>
      </c>
      <c r="AG170" s="5">
        <f t="shared" si="60"/>
        <v>8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BD170" s="27">
        <f t="shared" si="65"/>
        <v>45169</v>
      </c>
      <c r="BE170" s="5">
        <f>MONTH(Modelling[[#This Row],[Date]])</f>
        <v>8</v>
      </c>
      <c r="BF170" s="25">
        <f>YEAR(BD170)+IF(MONTH(Modelling[[#This Row],[Date]])&gt;=4,1,0)</f>
        <v>2024</v>
      </c>
      <c r="BG170" s="3">
        <f t="shared" si="61"/>
        <v>2023</v>
      </c>
      <c r="BH170" s="3" t="s">
        <v>626</v>
      </c>
      <c r="BI170" s="5" t="s">
        <v>626</v>
      </c>
      <c r="BJ170" s="102">
        <v>45139</v>
      </c>
      <c r="BK170" s="5">
        <f t="shared" si="62"/>
        <v>31</v>
      </c>
      <c r="BL170" s="5">
        <f t="shared" si="63"/>
        <v>8</v>
      </c>
      <c r="BM170" s="4">
        <f>Modelling_old[[#This Row],[Target E_Grid daily
MWh]]+Modelling_new[[#This Row],[Target E_Grid daily
MWh]]</f>
        <v>35.161290322580648</v>
      </c>
      <c r="BN170" s="4">
        <f>Modelling_old[[#This Row],[Target E_Grid MTD
MWh]]+Modelling_new[[#This Row],[Target E_Grid MTD
MWh]]</f>
        <v>1089.9999999999998</v>
      </c>
      <c r="BO170" s="4">
        <f>Modelling_old[[#This Row],[Target E_Grid YTD
MWh]]+Modelling_new[[#This Row],[Target E_Grid YTD
MWh]]</f>
        <v>6609.9999999999982</v>
      </c>
      <c r="BP17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4.1741935483870973</v>
      </c>
      <c r="BQ170" s="4">
        <f>SUMIFS(Modelling[Target POA Daily (KWh/m2)],Modelling[Date],"&lt;="&amp;Modelling[[#This Row],[Date]],Modelling[Month Year],Modelling[[#This Row],[Month Year]])</f>
        <v>129.39999999999998</v>
      </c>
      <c r="BR170" s="4">
        <f>SUMIFS(Modelling[Target POA Daily (KWh/m2)],Modelling[Date],"&lt;="&amp;Modelling[[#This Row],[Date]],Modelling[Finacial Year],Modelling[[#This Row],[Finacial Year]])</f>
        <v>820.79999999999723</v>
      </c>
      <c r="BS170" s="9">
        <f>BM170/Modelling[[#This Row],[Comisined DC ]]/BP170</f>
        <v>0.73228025878434988</v>
      </c>
      <c r="BT170" s="9">
        <f>BN170/BQ170/Modelling[[#This Row],[Comisined DC ]]</f>
        <v>0.73228025878434999</v>
      </c>
      <c r="BU170" s="9">
        <f>BO170/BR170/Modelling[[#This Row],[Comisined DC ]]</f>
        <v>0.70008249153550706</v>
      </c>
      <c r="BV170" s="9">
        <f>BM170/(24*Modelling[[#This Row],[Comisined DC ]])</f>
        <v>0.12736164715953616</v>
      </c>
      <c r="BW170" s="9">
        <f>BN170/((COUNTIFS(Modelling[Date],"&lt;="&amp;Modelling[[#This Row],[Date]],Modelling[Month Year],Modelling[[#This Row],[Month Year]])*24*Modelling[[#This Row],[MTD DC Capcity]]))</f>
        <v>0.1273616471595361</v>
      </c>
      <c r="BX170" s="28">
        <f>BO170/((COUNTIFS(Modelling[Date],"&lt;="&amp;Modelling[[#This Row],[Date]],Modelling[Finacial Year],Modelling[[#This Row],[Finacial Year]])*24*Modelling[[#This Row],[MTD DC Capcity]]))</f>
        <v>0.15648902751970103</v>
      </c>
      <c r="BY170" s="4">
        <f>Modelling_old[[#This Row],[DC Capcity]]+Modelling_new[[#This Row],[Comisined DC ]]</f>
        <v>11.5031</v>
      </c>
      <c r="BZ170" s="4">
        <v>0</v>
      </c>
      <c r="CA170" s="4">
        <f>AVERAGEIFS(Modelling[[Comisined DC ]],Modelling[Date],"&lt;="&amp;Modelling[[#This Row],[Date]],Modelling[Month Year],Modelling[[#This Row],[Month Year]])</f>
        <v>11.503100000000002</v>
      </c>
      <c r="CB170" s="4">
        <f>AVERAGEIFS(Modelling[[Comisined DC ]],Modelling[Date],"&lt;="&amp;Modelling[[#This Row],[Date]],Modelling[Finacial Year],Modelling[[#This Row],[Finacial Year]])</f>
        <v>11.503099999999966</v>
      </c>
      <c r="CG170">
        <f t="shared" si="66"/>
        <v>31</v>
      </c>
      <c r="CH170">
        <f t="shared" si="67"/>
        <v>153</v>
      </c>
    </row>
    <row r="171" spans="1:86" x14ac:dyDescent="0.35">
      <c r="A171" s="27">
        <v>45170</v>
      </c>
      <c r="B171" s="5">
        <f>MONTH(Modelling_old[[#This Row],[Date]])</f>
        <v>9</v>
      </c>
      <c r="C171" s="25">
        <f t="shared" si="50"/>
        <v>2024</v>
      </c>
      <c r="D171" s="3">
        <f t="shared" si="51"/>
        <v>2023</v>
      </c>
      <c r="E171" s="3" t="s">
        <v>626</v>
      </c>
      <c r="F171" s="5" t="s">
        <v>626</v>
      </c>
      <c r="G171" s="102">
        <v>45170</v>
      </c>
      <c r="H171" s="5">
        <f t="shared" si="52"/>
        <v>30</v>
      </c>
      <c r="I171" s="5">
        <f t="shared" si="53"/>
        <v>9</v>
      </c>
      <c r="J171" s="4">
        <f t="shared" si="54"/>
        <v>40</v>
      </c>
      <c r="K171" s="4">
        <f>SUM($J$171:J171)</f>
        <v>40</v>
      </c>
      <c r="L171" s="4">
        <f>SUM($J$18:J171)</f>
        <v>6649.9999999999982</v>
      </c>
      <c r="M171" s="4">
        <f t="shared" si="55"/>
        <v>4.9333333333333336</v>
      </c>
      <c r="N171" s="4">
        <f>SUM($M$171:M171)</f>
        <v>4.9333333333333336</v>
      </c>
      <c r="O171" s="4">
        <f>SUM($M$18:M171)</f>
        <v>825.73333333333051</v>
      </c>
      <c r="P171" s="9">
        <f t="shared" si="56"/>
        <v>0.70486287245247869</v>
      </c>
      <c r="Q171" s="26">
        <f t="shared" si="68"/>
        <v>0.70486287245247869</v>
      </c>
      <c r="R171" s="26">
        <f t="shared" si="68"/>
        <v>0.70011105186070144</v>
      </c>
      <c r="S171" s="9">
        <f t="shared" si="57"/>
        <v>0.14488847933745397</v>
      </c>
      <c r="T171" s="9">
        <f>K171/((COUNT($K$171:K171))*24*$Q$1)</f>
        <v>0.14488847933745397</v>
      </c>
      <c r="U171" s="28">
        <f>L171/((COUNT($L$18:L171))*24*$Q$1)</f>
        <v>0.15641369928475138</v>
      </c>
      <c r="V171" s="134">
        <v>11.5031</v>
      </c>
      <c r="Y171" s="27">
        <f t="shared" si="64"/>
        <v>45170</v>
      </c>
      <c r="Z171" s="5">
        <f>MONTH(Modelling_new[[#This Row],[Date]])</f>
        <v>9</v>
      </c>
      <c r="AA171" s="25">
        <f>YEAR(Y171)+IF(MONTH(Modelling_new[[#This Row],[Date]])&gt;=4,1,0)</f>
        <v>2024</v>
      </c>
      <c r="AB171" s="3">
        <f t="shared" si="58"/>
        <v>2023</v>
      </c>
      <c r="AC171" s="3" t="s">
        <v>626</v>
      </c>
      <c r="AD171" s="5" t="s">
        <v>626</v>
      </c>
      <c r="AE171" s="102">
        <v>45170</v>
      </c>
      <c r="AF171" s="5">
        <f t="shared" si="59"/>
        <v>30</v>
      </c>
      <c r="AG171" s="5">
        <f t="shared" si="60"/>
        <v>9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BD171" s="27">
        <f t="shared" si="65"/>
        <v>45170</v>
      </c>
      <c r="BE171" s="5">
        <f>MONTH(Modelling[[#This Row],[Date]])</f>
        <v>9</v>
      </c>
      <c r="BF171" s="25">
        <f>YEAR(BD171)+IF(MONTH(Modelling[[#This Row],[Date]])&gt;=4,1,0)</f>
        <v>2024</v>
      </c>
      <c r="BG171" s="3">
        <f t="shared" si="61"/>
        <v>2023</v>
      </c>
      <c r="BH171" s="3" t="s">
        <v>626</v>
      </c>
      <c r="BI171" s="5" t="s">
        <v>626</v>
      </c>
      <c r="BJ171" s="102">
        <v>45170</v>
      </c>
      <c r="BK171" s="5">
        <f t="shared" si="62"/>
        <v>30</v>
      </c>
      <c r="BL171" s="5">
        <f t="shared" si="63"/>
        <v>9</v>
      </c>
      <c r="BM171" s="4">
        <f>Modelling_old[[#This Row],[Target E_Grid daily
MWh]]+Modelling_new[[#This Row],[Target E_Grid daily
MWh]]</f>
        <v>40</v>
      </c>
      <c r="BN171" s="4">
        <f>Modelling_old[[#This Row],[Target E_Grid MTD
MWh]]+Modelling_new[[#This Row],[Target E_Grid MTD
MWh]]</f>
        <v>40</v>
      </c>
      <c r="BO171" s="4">
        <f>Modelling_old[[#This Row],[Target E_Grid YTD
MWh]]+Modelling_new[[#This Row],[Target E_Grid YTD
MWh]]</f>
        <v>6649.9999999999982</v>
      </c>
      <c r="BP17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71" s="4">
        <f>SUMIFS(Modelling[Target POA Daily (KWh/m2)],Modelling[Date],"&lt;="&amp;Modelling[[#This Row],[Date]],Modelling[Month Year],Modelling[[#This Row],[Month Year]])</f>
        <v>4.9333333333333336</v>
      </c>
      <c r="BR171" s="4">
        <f>SUMIFS(Modelling[Target POA Daily (KWh/m2)],Modelling[Date],"&lt;="&amp;Modelling[[#This Row],[Date]],Modelling[Finacial Year],Modelling[[#This Row],[Finacial Year]])</f>
        <v>825.73333333333051</v>
      </c>
      <c r="BS171" s="9">
        <f>BM171/Modelling[[#This Row],[Comisined DC ]]/BP171</f>
        <v>0.70486287245247869</v>
      </c>
      <c r="BT171" s="9">
        <f>BN171/BQ171/Modelling[[#This Row],[Comisined DC ]]</f>
        <v>0.70486287245247869</v>
      </c>
      <c r="BU171" s="9">
        <f>BO171/BR171/Modelling[[#This Row],[Comisined DC ]]</f>
        <v>0.70011105186070144</v>
      </c>
      <c r="BV171" s="9">
        <f>BM171/(24*Modelling[[#This Row],[Comisined DC ]])</f>
        <v>0.14488847933745397</v>
      </c>
      <c r="BW171" s="9">
        <f>BN171/((COUNTIFS(Modelling[Date],"&lt;="&amp;Modelling[[#This Row],[Date]],Modelling[Month Year],Modelling[[#This Row],[Month Year]])*24*Modelling[[#This Row],[MTD DC Capcity]]))</f>
        <v>0.14488847933745397</v>
      </c>
      <c r="BX171" s="28">
        <f>BO171/((COUNTIFS(Modelling[Date],"&lt;="&amp;Modelling[[#This Row],[Date]],Modelling[Finacial Year],Modelling[[#This Row],[Finacial Year]])*24*Modelling[[#This Row],[MTD DC Capcity]]))</f>
        <v>0.15641369928475138</v>
      </c>
      <c r="BY171" s="4">
        <f>Modelling_old[[#This Row],[DC Capcity]]+Modelling_new[[#This Row],[Comisined DC ]]</f>
        <v>11.5031</v>
      </c>
      <c r="BZ171" s="4">
        <v>0</v>
      </c>
      <c r="CA171" s="4">
        <f>AVERAGEIFS(Modelling[[Comisined DC ]],Modelling[Date],"&lt;="&amp;Modelling[[#This Row],[Date]],Modelling[Month Year],Modelling[[#This Row],[Month Year]])</f>
        <v>11.5031</v>
      </c>
      <c r="CB171" s="4">
        <f>AVERAGEIFS(Modelling[[Comisined DC ]],Modelling[Date],"&lt;="&amp;Modelling[[#This Row],[Date]],Modelling[Finacial Year],Modelling[[#This Row],[Finacial Year]])</f>
        <v>11.503099999999966</v>
      </c>
      <c r="CG171">
        <v>1</v>
      </c>
      <c r="CH171">
        <f t="shared" si="67"/>
        <v>154</v>
      </c>
    </row>
    <row r="172" spans="1:86" x14ac:dyDescent="0.35">
      <c r="A172" s="27">
        <v>45171</v>
      </c>
      <c r="B172" s="5">
        <f>MONTH(Modelling_old[[#This Row],[Date]])</f>
        <v>9</v>
      </c>
      <c r="C172" s="25">
        <f t="shared" si="50"/>
        <v>2024</v>
      </c>
      <c r="D172" s="3">
        <f t="shared" si="51"/>
        <v>2023</v>
      </c>
      <c r="E172" s="3" t="s">
        <v>626</v>
      </c>
      <c r="F172" s="5" t="s">
        <v>626</v>
      </c>
      <c r="G172" s="102">
        <v>45170</v>
      </c>
      <c r="H172" s="5">
        <f t="shared" si="52"/>
        <v>30</v>
      </c>
      <c r="I172" s="5">
        <f t="shared" si="53"/>
        <v>9</v>
      </c>
      <c r="J172" s="4">
        <f t="shared" si="54"/>
        <v>40</v>
      </c>
      <c r="K172" s="4">
        <f>SUM($J$171:J172)</f>
        <v>80</v>
      </c>
      <c r="L172" s="4">
        <f>SUM($J$18:J172)</f>
        <v>6689.9999999999982</v>
      </c>
      <c r="M172" s="4">
        <f t="shared" si="55"/>
        <v>4.9333333333333336</v>
      </c>
      <c r="N172" s="4">
        <f>SUM($M$171:M172)</f>
        <v>9.8666666666666671</v>
      </c>
      <c r="O172" s="4">
        <f>SUM($M$18:M172)</f>
        <v>830.66666666666379</v>
      </c>
      <c r="P172" s="9">
        <f t="shared" si="56"/>
        <v>0.70486287245247869</v>
      </c>
      <c r="Q172" s="26">
        <f t="shared" si="68"/>
        <v>0.70486287245247869</v>
      </c>
      <c r="R172" s="26">
        <f t="shared" si="68"/>
        <v>0.70013927294607781</v>
      </c>
      <c r="S172" s="9">
        <f t="shared" si="57"/>
        <v>0.14488847933745397</v>
      </c>
      <c r="T172" s="9">
        <f>K172/((COUNT($K$171:K172))*24*$Q$1)</f>
        <v>0.14488847933745397</v>
      </c>
      <c r="U172" s="28">
        <f>L172/((COUNT($L$18:L172))*24*$Q$1)</f>
        <v>0.1563393430270269</v>
      </c>
      <c r="V172" s="134">
        <v>11.5031</v>
      </c>
      <c r="Y172" s="27">
        <f t="shared" si="64"/>
        <v>45171</v>
      </c>
      <c r="Z172" s="5">
        <f>MONTH(Modelling_new[[#This Row],[Date]])</f>
        <v>9</v>
      </c>
      <c r="AA172" s="25">
        <f>YEAR(Y172)+IF(MONTH(Modelling_new[[#This Row],[Date]])&gt;=4,1,0)</f>
        <v>2024</v>
      </c>
      <c r="AB172" s="3">
        <f t="shared" si="58"/>
        <v>2023</v>
      </c>
      <c r="AC172" s="3" t="s">
        <v>626</v>
      </c>
      <c r="AD172" s="5" t="s">
        <v>626</v>
      </c>
      <c r="AE172" s="102">
        <v>45170</v>
      </c>
      <c r="AF172" s="5">
        <f t="shared" si="59"/>
        <v>30</v>
      </c>
      <c r="AG172" s="5">
        <f t="shared" si="60"/>
        <v>9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BD172" s="27">
        <f t="shared" si="65"/>
        <v>45171</v>
      </c>
      <c r="BE172" s="5">
        <f>MONTH(Modelling[[#This Row],[Date]])</f>
        <v>9</v>
      </c>
      <c r="BF172" s="25">
        <f>YEAR(BD172)+IF(MONTH(Modelling[[#This Row],[Date]])&gt;=4,1,0)</f>
        <v>2024</v>
      </c>
      <c r="BG172" s="3">
        <f t="shared" si="61"/>
        <v>2023</v>
      </c>
      <c r="BH172" s="3" t="s">
        <v>626</v>
      </c>
      <c r="BI172" s="5" t="s">
        <v>626</v>
      </c>
      <c r="BJ172" s="102">
        <v>45170</v>
      </c>
      <c r="BK172" s="5">
        <f t="shared" si="62"/>
        <v>30</v>
      </c>
      <c r="BL172" s="5">
        <f t="shared" si="63"/>
        <v>9</v>
      </c>
      <c r="BM172" s="4">
        <f>Modelling_old[[#This Row],[Target E_Grid daily
MWh]]+Modelling_new[[#This Row],[Target E_Grid daily
MWh]]</f>
        <v>40</v>
      </c>
      <c r="BN172" s="4">
        <f>Modelling_old[[#This Row],[Target E_Grid MTD
MWh]]+Modelling_new[[#This Row],[Target E_Grid MTD
MWh]]</f>
        <v>80</v>
      </c>
      <c r="BO172" s="4">
        <f>Modelling_old[[#This Row],[Target E_Grid YTD
MWh]]+Modelling_new[[#This Row],[Target E_Grid YTD
MWh]]</f>
        <v>6689.9999999999982</v>
      </c>
      <c r="BP17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72" s="4">
        <f>SUMIFS(Modelling[Target POA Daily (KWh/m2)],Modelling[Date],"&lt;="&amp;Modelling[[#This Row],[Date]],Modelling[Month Year],Modelling[[#This Row],[Month Year]])</f>
        <v>9.8666666666666671</v>
      </c>
      <c r="BR172" s="4">
        <f>SUMIFS(Modelling[Target POA Daily (KWh/m2)],Modelling[Date],"&lt;="&amp;Modelling[[#This Row],[Date]],Modelling[Finacial Year],Modelling[[#This Row],[Finacial Year]])</f>
        <v>830.66666666666379</v>
      </c>
      <c r="BS172" s="9">
        <f>BM172/Modelling[[#This Row],[Comisined DC ]]/BP172</f>
        <v>0.70486287245247869</v>
      </c>
      <c r="BT172" s="9">
        <f>BN172/BQ172/Modelling[[#This Row],[Comisined DC ]]</f>
        <v>0.70486287245247869</v>
      </c>
      <c r="BU172" s="9">
        <f>BO172/BR172/Modelling[[#This Row],[Comisined DC ]]</f>
        <v>0.70013927294607781</v>
      </c>
      <c r="BV172" s="9">
        <f>BM172/(24*Modelling[[#This Row],[Comisined DC ]])</f>
        <v>0.14488847933745397</v>
      </c>
      <c r="BW172" s="9">
        <f>BN172/((COUNTIFS(Modelling[Date],"&lt;="&amp;Modelling[[#This Row],[Date]],Modelling[Month Year],Modelling[[#This Row],[Month Year]])*24*Modelling[[#This Row],[MTD DC Capcity]]))</f>
        <v>0.14488847933745397</v>
      </c>
      <c r="BX172" s="28">
        <f>BO172/((COUNTIFS(Modelling[Date],"&lt;="&amp;Modelling[[#This Row],[Date]],Modelling[Finacial Year],Modelling[[#This Row],[Finacial Year]])*24*Modelling[[#This Row],[MTD DC Capcity]]))</f>
        <v>0.1563393430270269</v>
      </c>
      <c r="BY172" s="4">
        <f>Modelling_old[[#This Row],[DC Capcity]]+Modelling_new[[#This Row],[Comisined DC ]]</f>
        <v>11.5031</v>
      </c>
      <c r="BZ172" s="4">
        <v>0</v>
      </c>
      <c r="CA172" s="4">
        <f>AVERAGEIFS(Modelling[[Comisined DC ]],Modelling[Date],"&lt;="&amp;Modelling[[#This Row],[Date]],Modelling[Month Year],Modelling[[#This Row],[Month Year]])</f>
        <v>11.5031</v>
      </c>
      <c r="CB172" s="4">
        <f>AVERAGEIFS(Modelling[[Comisined DC ]],Modelling[Date],"&lt;="&amp;Modelling[[#This Row],[Date]],Modelling[Finacial Year],Modelling[[#This Row],[Finacial Year]])</f>
        <v>11.503099999999966</v>
      </c>
      <c r="CG172">
        <f t="shared" ref="CG172:CG200" si="69">CG171+1</f>
        <v>2</v>
      </c>
      <c r="CH172">
        <f t="shared" si="67"/>
        <v>155</v>
      </c>
    </row>
    <row r="173" spans="1:86" x14ac:dyDescent="0.35">
      <c r="A173" s="27">
        <v>45172</v>
      </c>
      <c r="B173" s="5">
        <f>MONTH(Modelling_old[[#This Row],[Date]])</f>
        <v>9</v>
      </c>
      <c r="C173" s="25">
        <f t="shared" si="50"/>
        <v>2024</v>
      </c>
      <c r="D173" s="3">
        <f t="shared" si="51"/>
        <v>2023</v>
      </c>
      <c r="E173" s="3" t="s">
        <v>626</v>
      </c>
      <c r="F173" s="5" t="s">
        <v>626</v>
      </c>
      <c r="G173" s="102">
        <v>45170</v>
      </c>
      <c r="H173" s="5">
        <f t="shared" si="52"/>
        <v>30</v>
      </c>
      <c r="I173" s="5">
        <f t="shared" si="53"/>
        <v>9</v>
      </c>
      <c r="J173" s="4">
        <f t="shared" si="54"/>
        <v>40</v>
      </c>
      <c r="K173" s="4">
        <f>SUM($J$171:J173)</f>
        <v>120</v>
      </c>
      <c r="L173" s="4">
        <f>SUM($J$18:J173)</f>
        <v>6729.9999999999982</v>
      </c>
      <c r="M173" s="4">
        <f t="shared" si="55"/>
        <v>4.9333333333333336</v>
      </c>
      <c r="N173" s="4">
        <f>SUM($M$171:M173)</f>
        <v>14.8</v>
      </c>
      <c r="O173" s="4">
        <f>SUM($M$18:M173)</f>
        <v>835.59999999999707</v>
      </c>
      <c r="P173" s="9">
        <f t="shared" si="56"/>
        <v>0.70486287245247869</v>
      </c>
      <c r="Q173" s="26">
        <f t="shared" si="68"/>
        <v>0.70486287245247869</v>
      </c>
      <c r="R173" s="26">
        <f t="shared" si="68"/>
        <v>0.7001671608001927</v>
      </c>
      <c r="S173" s="9">
        <f t="shared" si="57"/>
        <v>0.14488847933745397</v>
      </c>
      <c r="T173" s="9">
        <f>K173/((COUNT($K$171:K173))*24*$Q$1)</f>
        <v>0.14488847933745397</v>
      </c>
      <c r="U173" s="28">
        <f>L173/((COUNT($L$18:L173))*24*$Q$1)</f>
        <v>0.15626594005465785</v>
      </c>
      <c r="V173" s="134">
        <v>11.5031</v>
      </c>
      <c r="Y173" s="27">
        <f t="shared" si="64"/>
        <v>45172</v>
      </c>
      <c r="Z173" s="5">
        <f>MONTH(Modelling_new[[#This Row],[Date]])</f>
        <v>9</v>
      </c>
      <c r="AA173" s="25">
        <f>YEAR(Y173)+IF(MONTH(Modelling_new[[#This Row],[Date]])&gt;=4,1,0)</f>
        <v>2024</v>
      </c>
      <c r="AB173" s="3">
        <f t="shared" si="58"/>
        <v>2023</v>
      </c>
      <c r="AC173" s="3" t="s">
        <v>626</v>
      </c>
      <c r="AD173" s="5" t="s">
        <v>626</v>
      </c>
      <c r="AE173" s="102">
        <v>45170</v>
      </c>
      <c r="AF173" s="5">
        <f t="shared" si="59"/>
        <v>30</v>
      </c>
      <c r="AG173" s="5">
        <f t="shared" si="60"/>
        <v>9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BD173" s="27">
        <f t="shared" si="65"/>
        <v>45172</v>
      </c>
      <c r="BE173" s="5">
        <f>MONTH(Modelling[[#This Row],[Date]])</f>
        <v>9</v>
      </c>
      <c r="BF173" s="25">
        <f>YEAR(BD173)+IF(MONTH(Modelling[[#This Row],[Date]])&gt;=4,1,0)</f>
        <v>2024</v>
      </c>
      <c r="BG173" s="3">
        <f t="shared" si="61"/>
        <v>2023</v>
      </c>
      <c r="BH173" s="3" t="s">
        <v>626</v>
      </c>
      <c r="BI173" s="5" t="s">
        <v>626</v>
      </c>
      <c r="BJ173" s="102">
        <v>45170</v>
      </c>
      <c r="BK173" s="5">
        <f t="shared" si="62"/>
        <v>30</v>
      </c>
      <c r="BL173" s="5">
        <f t="shared" si="63"/>
        <v>9</v>
      </c>
      <c r="BM173" s="4">
        <f>Modelling_old[[#This Row],[Target E_Grid daily
MWh]]+Modelling_new[[#This Row],[Target E_Grid daily
MWh]]</f>
        <v>40</v>
      </c>
      <c r="BN173" s="4">
        <f>Modelling_old[[#This Row],[Target E_Grid MTD
MWh]]+Modelling_new[[#This Row],[Target E_Grid MTD
MWh]]</f>
        <v>120</v>
      </c>
      <c r="BO173" s="4">
        <f>Modelling_old[[#This Row],[Target E_Grid YTD
MWh]]+Modelling_new[[#This Row],[Target E_Grid YTD
MWh]]</f>
        <v>6729.9999999999982</v>
      </c>
      <c r="BP17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73" s="4">
        <f>SUMIFS(Modelling[Target POA Daily (KWh/m2)],Modelling[Date],"&lt;="&amp;Modelling[[#This Row],[Date]],Modelling[Month Year],Modelling[[#This Row],[Month Year]])</f>
        <v>14.8</v>
      </c>
      <c r="BR173" s="4">
        <f>SUMIFS(Modelling[Target POA Daily (KWh/m2)],Modelling[Date],"&lt;="&amp;Modelling[[#This Row],[Date]],Modelling[Finacial Year],Modelling[[#This Row],[Finacial Year]])</f>
        <v>835.59999999999707</v>
      </c>
      <c r="BS173" s="9">
        <f>BM173/Modelling[[#This Row],[Comisined DC ]]/BP173</f>
        <v>0.70486287245247869</v>
      </c>
      <c r="BT173" s="9">
        <f>BN173/BQ173/Modelling[[#This Row],[Comisined DC ]]</f>
        <v>0.70486287245247869</v>
      </c>
      <c r="BU173" s="9">
        <f>BO173/BR173/Modelling[[#This Row],[Comisined DC ]]</f>
        <v>0.7001671608001927</v>
      </c>
      <c r="BV173" s="9">
        <f>BM173/(24*Modelling[[#This Row],[Comisined DC ]])</f>
        <v>0.14488847933745397</v>
      </c>
      <c r="BW173" s="9">
        <f>BN173/((COUNTIFS(Modelling[Date],"&lt;="&amp;Modelling[[#This Row],[Date]],Modelling[Month Year],Modelling[[#This Row],[Month Year]])*24*Modelling[[#This Row],[MTD DC Capcity]]))</f>
        <v>0.14488847933745397</v>
      </c>
      <c r="BX173" s="28">
        <f>BO173/((COUNTIFS(Modelling[Date],"&lt;="&amp;Modelling[[#This Row],[Date]],Modelling[Finacial Year],Modelling[[#This Row],[Finacial Year]])*24*Modelling[[#This Row],[MTD DC Capcity]]))</f>
        <v>0.15626594005465788</v>
      </c>
      <c r="BY173" s="4">
        <f>Modelling_old[[#This Row],[DC Capcity]]+Modelling_new[[#This Row],[Comisined DC ]]</f>
        <v>11.5031</v>
      </c>
      <c r="BZ173" s="4">
        <v>0</v>
      </c>
      <c r="CA173" s="4">
        <f>AVERAGEIFS(Modelling[[Comisined DC ]],Modelling[Date],"&lt;="&amp;Modelling[[#This Row],[Date]],Modelling[Month Year],Modelling[[#This Row],[Month Year]])</f>
        <v>11.503099999999998</v>
      </c>
      <c r="CB173" s="4">
        <f>AVERAGEIFS(Modelling[[Comisined DC ]],Modelling[Date],"&lt;="&amp;Modelling[[#This Row],[Date]],Modelling[Finacial Year],Modelling[[#This Row],[Finacial Year]])</f>
        <v>11.503099999999964</v>
      </c>
      <c r="CG173">
        <f t="shared" si="69"/>
        <v>3</v>
      </c>
      <c r="CH173">
        <f t="shared" si="67"/>
        <v>156</v>
      </c>
    </row>
    <row r="174" spans="1:86" x14ac:dyDescent="0.35">
      <c r="A174" s="27">
        <v>45173</v>
      </c>
      <c r="B174" s="5">
        <f>MONTH(Modelling_old[[#This Row],[Date]])</f>
        <v>9</v>
      </c>
      <c r="C174" s="25">
        <f t="shared" si="50"/>
        <v>2024</v>
      </c>
      <c r="D174" s="3">
        <f t="shared" si="51"/>
        <v>2023</v>
      </c>
      <c r="E174" s="3" t="s">
        <v>626</v>
      </c>
      <c r="F174" s="5" t="s">
        <v>626</v>
      </c>
      <c r="G174" s="102">
        <v>45170</v>
      </c>
      <c r="H174" s="5">
        <f t="shared" si="52"/>
        <v>30</v>
      </c>
      <c r="I174" s="5">
        <f t="shared" si="53"/>
        <v>9</v>
      </c>
      <c r="J174" s="4">
        <f t="shared" si="54"/>
        <v>40</v>
      </c>
      <c r="K174" s="4">
        <f>SUM($J$171:J174)</f>
        <v>160</v>
      </c>
      <c r="L174" s="4">
        <f>SUM($J$18:J174)</f>
        <v>6769.9999999999982</v>
      </c>
      <c r="M174" s="4">
        <f t="shared" si="55"/>
        <v>4.9333333333333336</v>
      </c>
      <c r="N174" s="4">
        <f>SUM($M$171:M174)</f>
        <v>19.733333333333334</v>
      </c>
      <c r="O174" s="4">
        <f>SUM($M$18:M174)</f>
        <v>840.53333333333035</v>
      </c>
      <c r="P174" s="9">
        <f t="shared" si="56"/>
        <v>0.70486287245247869</v>
      </c>
      <c r="Q174" s="26">
        <f t="shared" si="68"/>
        <v>0.70486287245247869</v>
      </c>
      <c r="R174" s="26">
        <f t="shared" si="68"/>
        <v>0.70019472129053772</v>
      </c>
      <c r="S174" s="9">
        <f t="shared" si="57"/>
        <v>0.14488847933745397</v>
      </c>
      <c r="T174" s="9">
        <f>K174/((COUNT($K$171:K174))*24*$Q$1)</f>
        <v>0.14488847933745397</v>
      </c>
      <c r="U174" s="28">
        <f>L174/((COUNT($L$18:L174))*24*$Q$1)</f>
        <v>0.15619347215200047</v>
      </c>
      <c r="V174" s="134">
        <v>11.5031</v>
      </c>
      <c r="Y174" s="27">
        <f t="shared" si="64"/>
        <v>45173</v>
      </c>
      <c r="Z174" s="5">
        <f>MONTH(Modelling_new[[#This Row],[Date]])</f>
        <v>9</v>
      </c>
      <c r="AA174" s="25">
        <f>YEAR(Y174)+IF(MONTH(Modelling_new[[#This Row],[Date]])&gt;=4,1,0)</f>
        <v>2024</v>
      </c>
      <c r="AB174" s="3">
        <f t="shared" si="58"/>
        <v>2023</v>
      </c>
      <c r="AC174" s="3" t="s">
        <v>626</v>
      </c>
      <c r="AD174" s="5" t="s">
        <v>626</v>
      </c>
      <c r="AE174" s="102">
        <v>45170</v>
      </c>
      <c r="AF174" s="5">
        <f t="shared" si="59"/>
        <v>30</v>
      </c>
      <c r="AG174" s="5">
        <f t="shared" si="60"/>
        <v>9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BD174" s="27">
        <f t="shared" si="65"/>
        <v>45173</v>
      </c>
      <c r="BE174" s="5">
        <f>MONTH(Modelling[[#This Row],[Date]])</f>
        <v>9</v>
      </c>
      <c r="BF174" s="25">
        <f>YEAR(BD174)+IF(MONTH(Modelling[[#This Row],[Date]])&gt;=4,1,0)</f>
        <v>2024</v>
      </c>
      <c r="BG174" s="3">
        <f t="shared" si="61"/>
        <v>2023</v>
      </c>
      <c r="BH174" s="3" t="s">
        <v>626</v>
      </c>
      <c r="BI174" s="5" t="s">
        <v>626</v>
      </c>
      <c r="BJ174" s="102">
        <v>45170</v>
      </c>
      <c r="BK174" s="5">
        <f t="shared" si="62"/>
        <v>30</v>
      </c>
      <c r="BL174" s="5">
        <f t="shared" si="63"/>
        <v>9</v>
      </c>
      <c r="BM174" s="4">
        <f>Modelling_old[[#This Row],[Target E_Grid daily
MWh]]+Modelling_new[[#This Row],[Target E_Grid daily
MWh]]</f>
        <v>40</v>
      </c>
      <c r="BN174" s="4">
        <f>Modelling_old[[#This Row],[Target E_Grid MTD
MWh]]+Modelling_new[[#This Row],[Target E_Grid MTD
MWh]]</f>
        <v>160</v>
      </c>
      <c r="BO174" s="4">
        <f>Modelling_old[[#This Row],[Target E_Grid YTD
MWh]]+Modelling_new[[#This Row],[Target E_Grid YTD
MWh]]</f>
        <v>6769.9999999999982</v>
      </c>
      <c r="BP17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74" s="4">
        <f>SUMIFS(Modelling[Target POA Daily (KWh/m2)],Modelling[Date],"&lt;="&amp;Modelling[[#This Row],[Date]],Modelling[Month Year],Modelling[[#This Row],[Month Year]])</f>
        <v>19.733333333333334</v>
      </c>
      <c r="BR174" s="4">
        <f>SUMIFS(Modelling[Target POA Daily (KWh/m2)],Modelling[Date],"&lt;="&amp;Modelling[[#This Row],[Date]],Modelling[Finacial Year],Modelling[[#This Row],[Finacial Year]])</f>
        <v>840.53333333333035</v>
      </c>
      <c r="BS174" s="9">
        <f>BM174/Modelling[[#This Row],[Comisined DC ]]/BP174</f>
        <v>0.70486287245247869</v>
      </c>
      <c r="BT174" s="9">
        <f>BN174/BQ174/Modelling[[#This Row],[Comisined DC ]]</f>
        <v>0.70486287245247869</v>
      </c>
      <c r="BU174" s="9">
        <f>BO174/BR174/Modelling[[#This Row],[Comisined DC ]]</f>
        <v>0.70019472129053772</v>
      </c>
      <c r="BV174" s="9">
        <f>BM174/(24*Modelling[[#This Row],[Comisined DC ]])</f>
        <v>0.14488847933745397</v>
      </c>
      <c r="BW174" s="9">
        <f>BN174/((COUNTIFS(Modelling[Date],"&lt;="&amp;Modelling[[#This Row],[Date]],Modelling[Month Year],Modelling[[#This Row],[Month Year]])*24*Modelling[[#This Row],[MTD DC Capcity]]))</f>
        <v>0.14488847933745397</v>
      </c>
      <c r="BX174" s="28">
        <f>BO174/((COUNTIFS(Modelling[Date],"&lt;="&amp;Modelling[[#This Row],[Date]],Modelling[Finacial Year],Modelling[[#This Row],[Finacial Year]])*24*Modelling[[#This Row],[MTD DC Capcity]]))</f>
        <v>0.15619347215200047</v>
      </c>
      <c r="BY174" s="4">
        <f>Modelling_old[[#This Row],[DC Capcity]]+Modelling_new[[#This Row],[Comisined DC ]]</f>
        <v>11.5031</v>
      </c>
      <c r="BZ174" s="4">
        <v>0</v>
      </c>
      <c r="CA174" s="4">
        <f>AVERAGEIFS(Modelling[[Comisined DC ]],Modelling[Date],"&lt;="&amp;Modelling[[#This Row],[Date]],Modelling[Month Year],Modelling[[#This Row],[Month Year]])</f>
        <v>11.5031</v>
      </c>
      <c r="CB174" s="4">
        <f>AVERAGEIFS(Modelling[[Comisined DC ]],Modelling[Date],"&lt;="&amp;Modelling[[#This Row],[Date]],Modelling[Finacial Year],Modelling[[#This Row],[Finacial Year]])</f>
        <v>11.503099999999964</v>
      </c>
      <c r="CG174">
        <f t="shared" si="69"/>
        <v>4</v>
      </c>
      <c r="CH174">
        <f t="shared" si="67"/>
        <v>157</v>
      </c>
    </row>
    <row r="175" spans="1:86" x14ac:dyDescent="0.35">
      <c r="A175" s="27">
        <v>45174</v>
      </c>
      <c r="B175" s="5">
        <f>MONTH(Modelling_old[[#This Row],[Date]])</f>
        <v>9</v>
      </c>
      <c r="C175" s="25">
        <f t="shared" si="50"/>
        <v>2024</v>
      </c>
      <c r="D175" s="3">
        <f t="shared" si="51"/>
        <v>2023</v>
      </c>
      <c r="E175" s="3" t="s">
        <v>626</v>
      </c>
      <c r="F175" s="5" t="s">
        <v>626</v>
      </c>
      <c r="G175" s="102">
        <v>45170</v>
      </c>
      <c r="H175" s="5">
        <f t="shared" si="52"/>
        <v>30</v>
      </c>
      <c r="I175" s="5">
        <f t="shared" si="53"/>
        <v>9</v>
      </c>
      <c r="J175" s="4">
        <f t="shared" si="54"/>
        <v>40</v>
      </c>
      <c r="K175" s="4">
        <f>SUM($J$171:J175)</f>
        <v>200</v>
      </c>
      <c r="L175" s="4">
        <f>SUM($J$18:J175)</f>
        <v>6809.9999999999982</v>
      </c>
      <c r="M175" s="4">
        <f t="shared" si="55"/>
        <v>4.9333333333333336</v>
      </c>
      <c r="N175" s="4">
        <f>SUM($M$171:M175)</f>
        <v>24.666666666666668</v>
      </c>
      <c r="O175" s="4">
        <f>SUM($M$18:M175)</f>
        <v>845.46666666666363</v>
      </c>
      <c r="P175" s="9">
        <f t="shared" si="56"/>
        <v>0.70486287245247869</v>
      </c>
      <c r="Q175" s="26">
        <f t="shared" si="68"/>
        <v>0.70486287245247869</v>
      </c>
      <c r="R175" s="26">
        <f t="shared" si="68"/>
        <v>0.7002219601476567</v>
      </c>
      <c r="S175" s="9">
        <f t="shared" si="57"/>
        <v>0.14488847933745397</v>
      </c>
      <c r="T175" s="9">
        <f>K175/((COUNT($K$171:K175))*24*$Q$1)</f>
        <v>0.14488847933745397</v>
      </c>
      <c r="U175" s="28">
        <f>L175/((COUNT($L$18:L175))*24*$Q$1)</f>
        <v>0.15612192156456664</v>
      </c>
      <c r="V175" s="134">
        <v>11.5031</v>
      </c>
      <c r="Y175" s="27">
        <f t="shared" si="64"/>
        <v>45174</v>
      </c>
      <c r="Z175" s="5">
        <f>MONTH(Modelling_new[[#This Row],[Date]])</f>
        <v>9</v>
      </c>
      <c r="AA175" s="25">
        <f>YEAR(Y175)+IF(MONTH(Modelling_new[[#This Row],[Date]])&gt;=4,1,0)</f>
        <v>2024</v>
      </c>
      <c r="AB175" s="3">
        <f t="shared" si="58"/>
        <v>2023</v>
      </c>
      <c r="AC175" s="3" t="s">
        <v>626</v>
      </c>
      <c r="AD175" s="5" t="s">
        <v>626</v>
      </c>
      <c r="AE175" s="102">
        <v>45170</v>
      </c>
      <c r="AF175" s="5">
        <f t="shared" si="59"/>
        <v>30</v>
      </c>
      <c r="AG175" s="5">
        <f t="shared" si="60"/>
        <v>9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BD175" s="27">
        <f t="shared" si="65"/>
        <v>45174</v>
      </c>
      <c r="BE175" s="5">
        <f>MONTH(Modelling[[#This Row],[Date]])</f>
        <v>9</v>
      </c>
      <c r="BF175" s="25">
        <f>YEAR(BD175)+IF(MONTH(Modelling[[#This Row],[Date]])&gt;=4,1,0)</f>
        <v>2024</v>
      </c>
      <c r="BG175" s="3">
        <f t="shared" si="61"/>
        <v>2023</v>
      </c>
      <c r="BH175" s="3" t="s">
        <v>626</v>
      </c>
      <c r="BI175" s="5" t="s">
        <v>626</v>
      </c>
      <c r="BJ175" s="102">
        <v>45170</v>
      </c>
      <c r="BK175" s="5">
        <f t="shared" si="62"/>
        <v>30</v>
      </c>
      <c r="BL175" s="5">
        <f t="shared" si="63"/>
        <v>9</v>
      </c>
      <c r="BM175" s="4">
        <f>Modelling_old[[#This Row],[Target E_Grid daily
MWh]]+Modelling_new[[#This Row],[Target E_Grid daily
MWh]]</f>
        <v>40</v>
      </c>
      <c r="BN175" s="4">
        <f>Modelling_old[[#This Row],[Target E_Grid MTD
MWh]]+Modelling_new[[#This Row],[Target E_Grid MTD
MWh]]</f>
        <v>200</v>
      </c>
      <c r="BO175" s="4">
        <f>Modelling_old[[#This Row],[Target E_Grid YTD
MWh]]+Modelling_new[[#This Row],[Target E_Grid YTD
MWh]]</f>
        <v>6809.9999999999982</v>
      </c>
      <c r="BP17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75" s="4">
        <f>SUMIFS(Modelling[Target POA Daily (KWh/m2)],Modelling[Date],"&lt;="&amp;Modelling[[#This Row],[Date]],Modelling[Month Year],Modelling[[#This Row],[Month Year]])</f>
        <v>24.666666666666668</v>
      </c>
      <c r="BR175" s="4">
        <f>SUMIFS(Modelling[Target POA Daily (KWh/m2)],Modelling[Date],"&lt;="&amp;Modelling[[#This Row],[Date]],Modelling[Finacial Year],Modelling[[#This Row],[Finacial Year]])</f>
        <v>845.46666666666363</v>
      </c>
      <c r="BS175" s="9">
        <f>BM175/Modelling[[#This Row],[Comisined DC ]]/BP175</f>
        <v>0.70486287245247869</v>
      </c>
      <c r="BT175" s="9">
        <f>BN175/BQ175/Modelling[[#This Row],[Comisined DC ]]</f>
        <v>0.70486287245247869</v>
      </c>
      <c r="BU175" s="9">
        <f>BO175/BR175/Modelling[[#This Row],[Comisined DC ]]</f>
        <v>0.7002219601476567</v>
      </c>
      <c r="BV175" s="9">
        <f>BM175/(24*Modelling[[#This Row],[Comisined DC ]])</f>
        <v>0.14488847933745397</v>
      </c>
      <c r="BW175" s="9">
        <f>BN175/((COUNTIFS(Modelling[Date],"&lt;="&amp;Modelling[[#This Row],[Date]],Modelling[Month Year],Modelling[[#This Row],[Month Year]])*24*Modelling[[#This Row],[MTD DC Capcity]]))</f>
        <v>0.14488847933745397</v>
      </c>
      <c r="BX175" s="28">
        <f>BO175/((COUNTIFS(Modelling[Date],"&lt;="&amp;Modelling[[#This Row],[Date]],Modelling[Finacial Year],Modelling[[#This Row],[Finacial Year]])*24*Modelling[[#This Row],[MTD DC Capcity]]))</f>
        <v>0.15612192156456664</v>
      </c>
      <c r="BY175" s="4">
        <f>Modelling_old[[#This Row],[DC Capcity]]+Modelling_new[[#This Row],[Comisined DC ]]</f>
        <v>11.5031</v>
      </c>
      <c r="BZ175" s="4">
        <v>0</v>
      </c>
      <c r="CA175" s="4">
        <f>AVERAGEIFS(Modelling[[Comisined DC ]],Modelling[Date],"&lt;="&amp;Modelling[[#This Row],[Date]],Modelling[Month Year],Modelling[[#This Row],[Month Year]])</f>
        <v>11.5031</v>
      </c>
      <c r="CB175" s="4">
        <f>AVERAGEIFS(Modelling[[Comisined DC ]],Modelling[Date],"&lt;="&amp;Modelling[[#This Row],[Date]],Modelling[Finacial Year],Modelling[[#This Row],[Finacial Year]])</f>
        <v>11.503099999999964</v>
      </c>
      <c r="CG175">
        <f t="shared" si="69"/>
        <v>5</v>
      </c>
      <c r="CH175">
        <f t="shared" si="67"/>
        <v>158</v>
      </c>
    </row>
    <row r="176" spans="1:86" x14ac:dyDescent="0.35">
      <c r="A176" s="27">
        <v>45175</v>
      </c>
      <c r="B176" s="5">
        <f>MONTH(Modelling_old[[#This Row],[Date]])</f>
        <v>9</v>
      </c>
      <c r="C176" s="25">
        <f t="shared" si="50"/>
        <v>2024</v>
      </c>
      <c r="D176" s="3">
        <f t="shared" si="51"/>
        <v>2023</v>
      </c>
      <c r="E176" s="3" t="s">
        <v>626</v>
      </c>
      <c r="F176" s="5" t="s">
        <v>626</v>
      </c>
      <c r="G176" s="102">
        <v>45170</v>
      </c>
      <c r="H176" s="5">
        <f t="shared" si="52"/>
        <v>30</v>
      </c>
      <c r="I176" s="5">
        <f t="shared" si="53"/>
        <v>9</v>
      </c>
      <c r="J176" s="4">
        <f t="shared" si="54"/>
        <v>40</v>
      </c>
      <c r="K176" s="4">
        <f>SUM($J$171:J176)</f>
        <v>240</v>
      </c>
      <c r="L176" s="4">
        <f>SUM($J$18:J176)</f>
        <v>6849.9999999999982</v>
      </c>
      <c r="M176" s="4">
        <f t="shared" si="55"/>
        <v>4.9333333333333336</v>
      </c>
      <c r="N176" s="4">
        <f>SUM($M$171:M176)</f>
        <v>29.6</v>
      </c>
      <c r="O176" s="4">
        <f>SUM($M$18:M176)</f>
        <v>850.39999999999691</v>
      </c>
      <c r="P176" s="9">
        <f t="shared" si="56"/>
        <v>0.70486287245247869</v>
      </c>
      <c r="Q176" s="26">
        <f t="shared" si="68"/>
        <v>0.70486287245247869</v>
      </c>
      <c r="R176" s="26">
        <f t="shared" si="68"/>
        <v>0.70024888296911791</v>
      </c>
      <c r="S176" s="9">
        <f t="shared" si="57"/>
        <v>0.14488847933745397</v>
      </c>
      <c r="T176" s="9">
        <f>K176/((COUNT($K$171:K176))*24*$Q$1)</f>
        <v>0.14488847933745397</v>
      </c>
      <c r="U176" s="28">
        <f>L176/((COUNT($L$18:L176))*24*$Q$1)</f>
        <v>0.15605127098452193</v>
      </c>
      <c r="V176" s="134">
        <v>11.5031</v>
      </c>
      <c r="Y176" s="27">
        <f t="shared" si="64"/>
        <v>45175</v>
      </c>
      <c r="Z176" s="5">
        <f>MONTH(Modelling_new[[#This Row],[Date]])</f>
        <v>9</v>
      </c>
      <c r="AA176" s="25">
        <f>YEAR(Y176)+IF(MONTH(Modelling_new[[#This Row],[Date]])&gt;=4,1,0)</f>
        <v>2024</v>
      </c>
      <c r="AB176" s="3">
        <f t="shared" si="58"/>
        <v>2023</v>
      </c>
      <c r="AC176" s="3" t="s">
        <v>626</v>
      </c>
      <c r="AD176" s="5" t="s">
        <v>626</v>
      </c>
      <c r="AE176" s="102">
        <v>45170</v>
      </c>
      <c r="AF176" s="5">
        <f t="shared" si="59"/>
        <v>30</v>
      </c>
      <c r="AG176" s="5">
        <f t="shared" si="60"/>
        <v>9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BD176" s="27">
        <f t="shared" si="65"/>
        <v>45175</v>
      </c>
      <c r="BE176" s="5">
        <f>MONTH(Modelling[[#This Row],[Date]])</f>
        <v>9</v>
      </c>
      <c r="BF176" s="25">
        <f>YEAR(BD176)+IF(MONTH(Modelling[[#This Row],[Date]])&gt;=4,1,0)</f>
        <v>2024</v>
      </c>
      <c r="BG176" s="3">
        <f t="shared" si="61"/>
        <v>2023</v>
      </c>
      <c r="BH176" s="3" t="s">
        <v>626</v>
      </c>
      <c r="BI176" s="5" t="s">
        <v>626</v>
      </c>
      <c r="BJ176" s="102">
        <v>45170</v>
      </c>
      <c r="BK176" s="5">
        <f t="shared" si="62"/>
        <v>30</v>
      </c>
      <c r="BL176" s="5">
        <f t="shared" si="63"/>
        <v>9</v>
      </c>
      <c r="BM176" s="4">
        <f>Modelling_old[[#This Row],[Target E_Grid daily
MWh]]+Modelling_new[[#This Row],[Target E_Grid daily
MWh]]</f>
        <v>40</v>
      </c>
      <c r="BN176" s="4">
        <f>Modelling_old[[#This Row],[Target E_Grid MTD
MWh]]+Modelling_new[[#This Row],[Target E_Grid MTD
MWh]]</f>
        <v>240</v>
      </c>
      <c r="BO176" s="4">
        <f>Modelling_old[[#This Row],[Target E_Grid YTD
MWh]]+Modelling_new[[#This Row],[Target E_Grid YTD
MWh]]</f>
        <v>6849.9999999999982</v>
      </c>
      <c r="BP17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76" s="4">
        <f>SUMIFS(Modelling[Target POA Daily (KWh/m2)],Modelling[Date],"&lt;="&amp;Modelling[[#This Row],[Date]],Modelling[Month Year],Modelling[[#This Row],[Month Year]])</f>
        <v>29.6</v>
      </c>
      <c r="BR176" s="4">
        <f>SUMIFS(Modelling[Target POA Daily (KWh/m2)],Modelling[Date],"&lt;="&amp;Modelling[[#This Row],[Date]],Modelling[Finacial Year],Modelling[[#This Row],[Finacial Year]])</f>
        <v>850.39999999999691</v>
      </c>
      <c r="BS176" s="9">
        <f>BM176/Modelling[[#This Row],[Comisined DC ]]/BP176</f>
        <v>0.70486287245247869</v>
      </c>
      <c r="BT176" s="9">
        <f>BN176/BQ176/Modelling[[#This Row],[Comisined DC ]]</f>
        <v>0.70486287245247869</v>
      </c>
      <c r="BU176" s="9">
        <f>BO176/BR176/Modelling[[#This Row],[Comisined DC ]]</f>
        <v>0.70024888296911791</v>
      </c>
      <c r="BV176" s="9">
        <f>BM176/(24*Modelling[[#This Row],[Comisined DC ]])</f>
        <v>0.14488847933745397</v>
      </c>
      <c r="BW176" s="9">
        <f>BN176/((COUNTIFS(Modelling[Date],"&lt;="&amp;Modelling[[#This Row],[Date]],Modelling[Month Year],Modelling[[#This Row],[Month Year]])*24*Modelling[[#This Row],[MTD DC Capcity]]))</f>
        <v>0.14488847933745394</v>
      </c>
      <c r="BX176" s="28">
        <f>BO176/((COUNTIFS(Modelling[Date],"&lt;="&amp;Modelling[[#This Row],[Date]],Modelling[Finacial Year],Modelling[[#This Row],[Finacial Year]])*24*Modelling[[#This Row],[MTD DC Capcity]]))</f>
        <v>0.1560512709845219</v>
      </c>
      <c r="BY176" s="4">
        <f>Modelling_old[[#This Row],[DC Capcity]]+Modelling_new[[#This Row],[Comisined DC ]]</f>
        <v>11.5031</v>
      </c>
      <c r="BZ176" s="4">
        <v>0</v>
      </c>
      <c r="CA176" s="4">
        <f>AVERAGEIFS(Modelling[[Comisined DC ]],Modelling[Date],"&lt;="&amp;Modelling[[#This Row],[Date]],Modelling[Month Year],Modelling[[#This Row],[Month Year]])</f>
        <v>11.503100000000002</v>
      </c>
      <c r="CB176" s="4">
        <f>AVERAGEIFS(Modelling[[Comisined DC ]],Modelling[Date],"&lt;="&amp;Modelling[[#This Row],[Date]],Modelling[Finacial Year],Modelling[[#This Row],[Finacial Year]])</f>
        <v>11.503099999999964</v>
      </c>
      <c r="CG176">
        <f t="shared" si="69"/>
        <v>6</v>
      </c>
      <c r="CH176">
        <f t="shared" si="67"/>
        <v>159</v>
      </c>
    </row>
    <row r="177" spans="1:86" x14ac:dyDescent="0.35">
      <c r="A177" s="27">
        <v>45176</v>
      </c>
      <c r="B177" s="5">
        <f>MONTH(Modelling_old[[#This Row],[Date]])</f>
        <v>9</v>
      </c>
      <c r="C177" s="25">
        <f t="shared" si="50"/>
        <v>2024</v>
      </c>
      <c r="D177" s="3">
        <f t="shared" si="51"/>
        <v>2023</v>
      </c>
      <c r="E177" s="3" t="s">
        <v>626</v>
      </c>
      <c r="F177" s="5" t="s">
        <v>626</v>
      </c>
      <c r="G177" s="102">
        <v>45170</v>
      </c>
      <c r="H177" s="5">
        <f t="shared" si="52"/>
        <v>30</v>
      </c>
      <c r="I177" s="5">
        <f t="shared" si="53"/>
        <v>9</v>
      </c>
      <c r="J177" s="4">
        <f t="shared" si="54"/>
        <v>40</v>
      </c>
      <c r="K177" s="4">
        <f>SUM($J$171:J177)</f>
        <v>280</v>
      </c>
      <c r="L177" s="4">
        <f>SUM($J$18:J177)</f>
        <v>6889.9999999999982</v>
      </c>
      <c r="M177" s="4">
        <f t="shared" si="55"/>
        <v>4.9333333333333336</v>
      </c>
      <c r="N177" s="4">
        <f>SUM($M$171:M177)</f>
        <v>34.533333333333331</v>
      </c>
      <c r="O177" s="4">
        <f>SUM($M$18:M177)</f>
        <v>855.33333333333019</v>
      </c>
      <c r="P177" s="9">
        <f t="shared" si="56"/>
        <v>0.70486287245247869</v>
      </c>
      <c r="Q177" s="26">
        <f t="shared" si="68"/>
        <v>0.70486287245247881</v>
      </c>
      <c r="R177" s="26">
        <f t="shared" si="68"/>
        <v>0.70027549522334764</v>
      </c>
      <c r="S177" s="9">
        <f t="shared" si="57"/>
        <v>0.14488847933745397</v>
      </c>
      <c r="T177" s="9">
        <f>K177/((COUNT($K$171:K177))*24*$Q$1)</f>
        <v>0.14488847933745397</v>
      </c>
      <c r="U177" s="28">
        <f>L177/((COUNT($L$18:L177))*24*$Q$1)</f>
        <v>0.15598150353672774</v>
      </c>
      <c r="V177" s="134">
        <v>11.5031</v>
      </c>
      <c r="Y177" s="27">
        <f t="shared" si="64"/>
        <v>45176</v>
      </c>
      <c r="Z177" s="5">
        <f>MONTH(Modelling_new[[#This Row],[Date]])</f>
        <v>9</v>
      </c>
      <c r="AA177" s="25">
        <f>YEAR(Y177)+IF(MONTH(Modelling_new[[#This Row],[Date]])&gt;=4,1,0)</f>
        <v>2024</v>
      </c>
      <c r="AB177" s="3">
        <f t="shared" si="58"/>
        <v>2023</v>
      </c>
      <c r="AC177" s="3" t="s">
        <v>626</v>
      </c>
      <c r="AD177" s="5" t="s">
        <v>626</v>
      </c>
      <c r="AE177" s="102">
        <v>45170</v>
      </c>
      <c r="AF177" s="5">
        <f t="shared" si="59"/>
        <v>30</v>
      </c>
      <c r="AG177" s="5">
        <f t="shared" si="60"/>
        <v>9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BD177" s="27">
        <f t="shared" si="65"/>
        <v>45176</v>
      </c>
      <c r="BE177" s="5">
        <f>MONTH(Modelling[[#This Row],[Date]])</f>
        <v>9</v>
      </c>
      <c r="BF177" s="25">
        <f>YEAR(BD177)+IF(MONTH(Modelling[[#This Row],[Date]])&gt;=4,1,0)</f>
        <v>2024</v>
      </c>
      <c r="BG177" s="3">
        <f t="shared" si="61"/>
        <v>2023</v>
      </c>
      <c r="BH177" s="3" t="s">
        <v>626</v>
      </c>
      <c r="BI177" s="5" t="s">
        <v>626</v>
      </c>
      <c r="BJ177" s="102">
        <v>45170</v>
      </c>
      <c r="BK177" s="5">
        <f t="shared" si="62"/>
        <v>30</v>
      </c>
      <c r="BL177" s="5">
        <f t="shared" si="63"/>
        <v>9</v>
      </c>
      <c r="BM177" s="4">
        <f>Modelling_old[[#This Row],[Target E_Grid daily
MWh]]+Modelling_new[[#This Row],[Target E_Grid daily
MWh]]</f>
        <v>40</v>
      </c>
      <c r="BN177" s="4">
        <f>Modelling_old[[#This Row],[Target E_Grid MTD
MWh]]+Modelling_new[[#This Row],[Target E_Grid MTD
MWh]]</f>
        <v>280</v>
      </c>
      <c r="BO177" s="4">
        <f>Modelling_old[[#This Row],[Target E_Grid YTD
MWh]]+Modelling_new[[#This Row],[Target E_Grid YTD
MWh]]</f>
        <v>6889.9999999999982</v>
      </c>
      <c r="BP17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77" s="4">
        <f>SUMIFS(Modelling[Target POA Daily (KWh/m2)],Modelling[Date],"&lt;="&amp;Modelling[[#This Row],[Date]],Modelling[Month Year],Modelling[[#This Row],[Month Year]])</f>
        <v>34.533333333333331</v>
      </c>
      <c r="BR177" s="4">
        <f>SUMIFS(Modelling[Target POA Daily (KWh/m2)],Modelling[Date],"&lt;="&amp;Modelling[[#This Row],[Date]],Modelling[Finacial Year],Modelling[[#This Row],[Finacial Year]])</f>
        <v>855.33333333333019</v>
      </c>
      <c r="BS177" s="9">
        <f>BM177/Modelling[[#This Row],[Comisined DC ]]/BP177</f>
        <v>0.70486287245247869</v>
      </c>
      <c r="BT177" s="9">
        <f>BN177/BQ177/Modelling[[#This Row],[Comisined DC ]]</f>
        <v>0.70486287245247881</v>
      </c>
      <c r="BU177" s="9">
        <f>BO177/BR177/Modelling[[#This Row],[Comisined DC ]]</f>
        <v>0.70027549522334764</v>
      </c>
      <c r="BV177" s="9">
        <f>BM177/(24*Modelling[[#This Row],[Comisined DC ]])</f>
        <v>0.14488847933745397</v>
      </c>
      <c r="BW177" s="9">
        <f>BN177/((COUNTIFS(Modelling[Date],"&lt;="&amp;Modelling[[#This Row],[Date]],Modelling[Month Year],Modelling[[#This Row],[Month Year]])*24*Modelling[[#This Row],[MTD DC Capcity]]))</f>
        <v>0.14488847933745394</v>
      </c>
      <c r="BX177" s="28">
        <f>BO177/((COUNTIFS(Modelling[Date],"&lt;="&amp;Modelling[[#This Row],[Date]],Modelling[Finacial Year],Modelling[[#This Row],[Finacial Year]])*24*Modelling[[#This Row],[MTD DC Capcity]]))</f>
        <v>0.15598150353672771</v>
      </c>
      <c r="BY177" s="4">
        <f>Modelling_old[[#This Row],[DC Capcity]]+Modelling_new[[#This Row],[Comisined DC ]]</f>
        <v>11.5031</v>
      </c>
      <c r="BZ177" s="4">
        <v>0</v>
      </c>
      <c r="CA177" s="4">
        <f>AVERAGEIFS(Modelling[[Comisined DC ]],Modelling[Date],"&lt;="&amp;Modelling[[#This Row],[Date]],Modelling[Month Year],Modelling[[#This Row],[Month Year]])</f>
        <v>11.503100000000002</v>
      </c>
      <c r="CB177" s="4">
        <f>AVERAGEIFS(Modelling[[Comisined DC ]],Modelling[Date],"&lt;="&amp;Modelling[[#This Row],[Date]],Modelling[Finacial Year],Modelling[[#This Row],[Finacial Year]])</f>
        <v>11.503099999999964</v>
      </c>
      <c r="CG177">
        <f t="shared" si="69"/>
        <v>7</v>
      </c>
      <c r="CH177">
        <f t="shared" si="67"/>
        <v>160</v>
      </c>
    </row>
    <row r="178" spans="1:86" x14ac:dyDescent="0.35">
      <c r="A178" s="27">
        <v>45177</v>
      </c>
      <c r="B178" s="5">
        <f>MONTH(Modelling_old[[#This Row],[Date]])</f>
        <v>9</v>
      </c>
      <c r="C178" s="25">
        <f t="shared" si="50"/>
        <v>2024</v>
      </c>
      <c r="D178" s="3">
        <f t="shared" si="51"/>
        <v>2023</v>
      </c>
      <c r="E178" s="3" t="s">
        <v>626</v>
      </c>
      <c r="F178" s="5" t="s">
        <v>626</v>
      </c>
      <c r="G178" s="102">
        <v>45170</v>
      </c>
      <c r="H178" s="5">
        <f t="shared" si="52"/>
        <v>30</v>
      </c>
      <c r="I178" s="5">
        <f t="shared" si="53"/>
        <v>9</v>
      </c>
      <c r="J178" s="4">
        <f t="shared" si="54"/>
        <v>40</v>
      </c>
      <c r="K178" s="4">
        <f>SUM($J$171:J178)</f>
        <v>320</v>
      </c>
      <c r="L178" s="4">
        <f>SUM($J$18:J178)</f>
        <v>6929.9999999999982</v>
      </c>
      <c r="M178" s="4">
        <f t="shared" si="55"/>
        <v>4.9333333333333336</v>
      </c>
      <c r="N178" s="4">
        <f>SUM($M$171:M178)</f>
        <v>39.466666666666669</v>
      </c>
      <c r="O178" s="4">
        <f>SUM($M$18:M178)</f>
        <v>860.26666666666347</v>
      </c>
      <c r="P178" s="9">
        <f t="shared" si="56"/>
        <v>0.70486287245247869</v>
      </c>
      <c r="Q178" s="26">
        <f t="shared" si="68"/>
        <v>0.70486287245247869</v>
      </c>
      <c r="R178" s="26">
        <f t="shared" si="68"/>
        <v>0.70030180225333505</v>
      </c>
      <c r="S178" s="9">
        <f t="shared" si="57"/>
        <v>0.14488847933745397</v>
      </c>
      <c r="T178" s="9">
        <f>K178/((COUNT($K$171:K178))*24*$Q$1)</f>
        <v>0.14488847933745397</v>
      </c>
      <c r="U178" s="28">
        <f>L178/((COUNT($L$18:L178))*24*$Q$1)</f>
        <v>0.15591260276530367</v>
      </c>
      <c r="V178" s="134">
        <v>11.5031</v>
      </c>
      <c r="Y178" s="27">
        <f t="shared" si="64"/>
        <v>45177</v>
      </c>
      <c r="Z178" s="5">
        <f>MONTH(Modelling_new[[#This Row],[Date]])</f>
        <v>9</v>
      </c>
      <c r="AA178" s="25">
        <f>YEAR(Y178)+IF(MONTH(Modelling_new[[#This Row],[Date]])&gt;=4,1,0)</f>
        <v>2024</v>
      </c>
      <c r="AB178" s="3">
        <f t="shared" si="58"/>
        <v>2023</v>
      </c>
      <c r="AC178" s="3" t="s">
        <v>626</v>
      </c>
      <c r="AD178" s="5" t="s">
        <v>626</v>
      </c>
      <c r="AE178" s="102">
        <v>45170</v>
      </c>
      <c r="AF178" s="5">
        <f t="shared" si="59"/>
        <v>30</v>
      </c>
      <c r="AG178" s="5">
        <f t="shared" si="60"/>
        <v>9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BD178" s="27">
        <f t="shared" si="65"/>
        <v>45177</v>
      </c>
      <c r="BE178" s="5">
        <f>MONTH(Modelling[[#This Row],[Date]])</f>
        <v>9</v>
      </c>
      <c r="BF178" s="25">
        <f>YEAR(BD178)+IF(MONTH(Modelling[[#This Row],[Date]])&gt;=4,1,0)</f>
        <v>2024</v>
      </c>
      <c r="BG178" s="3">
        <f t="shared" si="61"/>
        <v>2023</v>
      </c>
      <c r="BH178" s="3" t="s">
        <v>626</v>
      </c>
      <c r="BI178" s="5" t="s">
        <v>626</v>
      </c>
      <c r="BJ178" s="102">
        <v>45170</v>
      </c>
      <c r="BK178" s="5">
        <f t="shared" si="62"/>
        <v>30</v>
      </c>
      <c r="BL178" s="5">
        <f t="shared" si="63"/>
        <v>9</v>
      </c>
      <c r="BM178" s="4">
        <f>Modelling_old[[#This Row],[Target E_Grid daily
MWh]]+Modelling_new[[#This Row],[Target E_Grid daily
MWh]]</f>
        <v>40</v>
      </c>
      <c r="BN178" s="4">
        <f>Modelling_old[[#This Row],[Target E_Grid MTD
MWh]]+Modelling_new[[#This Row],[Target E_Grid MTD
MWh]]</f>
        <v>320</v>
      </c>
      <c r="BO178" s="4">
        <f>Modelling_old[[#This Row],[Target E_Grid YTD
MWh]]+Modelling_new[[#This Row],[Target E_Grid YTD
MWh]]</f>
        <v>6929.9999999999982</v>
      </c>
      <c r="BP17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78" s="4">
        <f>SUMIFS(Modelling[Target POA Daily (KWh/m2)],Modelling[Date],"&lt;="&amp;Modelling[[#This Row],[Date]],Modelling[Month Year],Modelling[[#This Row],[Month Year]])</f>
        <v>39.466666666666669</v>
      </c>
      <c r="BR178" s="4">
        <f>SUMIFS(Modelling[Target POA Daily (KWh/m2)],Modelling[Date],"&lt;="&amp;Modelling[[#This Row],[Date]],Modelling[Finacial Year],Modelling[[#This Row],[Finacial Year]])</f>
        <v>860.26666666666347</v>
      </c>
      <c r="BS178" s="9">
        <f>BM178/Modelling[[#This Row],[Comisined DC ]]/BP178</f>
        <v>0.70486287245247869</v>
      </c>
      <c r="BT178" s="9">
        <f>BN178/BQ178/Modelling[[#This Row],[Comisined DC ]]</f>
        <v>0.70486287245247869</v>
      </c>
      <c r="BU178" s="9">
        <f>BO178/BR178/Modelling[[#This Row],[Comisined DC ]]</f>
        <v>0.70030180225333505</v>
      </c>
      <c r="BV178" s="9">
        <f>BM178/(24*Modelling[[#This Row],[Comisined DC ]])</f>
        <v>0.14488847933745397</v>
      </c>
      <c r="BW178" s="9">
        <f>BN178/((COUNTIFS(Modelling[Date],"&lt;="&amp;Modelling[[#This Row],[Date]],Modelling[Month Year],Modelling[[#This Row],[Month Year]])*24*Modelling[[#This Row],[MTD DC Capcity]]))</f>
        <v>0.14488847933745394</v>
      </c>
      <c r="BX178" s="28">
        <f>BO178/((COUNTIFS(Modelling[Date],"&lt;="&amp;Modelling[[#This Row],[Date]],Modelling[Finacial Year],Modelling[[#This Row],[Finacial Year]])*24*Modelling[[#This Row],[MTD DC Capcity]]))</f>
        <v>0.15591260276530367</v>
      </c>
      <c r="BY178" s="4">
        <f>Modelling_old[[#This Row],[DC Capcity]]+Modelling_new[[#This Row],[Comisined DC ]]</f>
        <v>11.5031</v>
      </c>
      <c r="BZ178" s="4">
        <v>0</v>
      </c>
      <c r="CA178" s="4">
        <f>AVERAGEIFS(Modelling[[Comisined DC ]],Modelling[Date],"&lt;="&amp;Modelling[[#This Row],[Date]],Modelling[Month Year],Modelling[[#This Row],[Month Year]])</f>
        <v>11.503100000000002</v>
      </c>
      <c r="CB178" s="4">
        <f>AVERAGEIFS(Modelling[[Comisined DC ]],Modelling[Date],"&lt;="&amp;Modelling[[#This Row],[Date]],Modelling[Finacial Year],Modelling[[#This Row],[Finacial Year]])</f>
        <v>11.503099999999963</v>
      </c>
      <c r="CG178">
        <f t="shared" si="69"/>
        <v>8</v>
      </c>
      <c r="CH178">
        <f t="shared" si="67"/>
        <v>161</v>
      </c>
    </row>
    <row r="179" spans="1:86" x14ac:dyDescent="0.35">
      <c r="A179" s="27">
        <v>45178</v>
      </c>
      <c r="B179" s="5">
        <f>MONTH(Modelling_old[[#This Row],[Date]])</f>
        <v>9</v>
      </c>
      <c r="C179" s="25">
        <f t="shared" si="50"/>
        <v>2024</v>
      </c>
      <c r="D179" s="3">
        <f t="shared" si="51"/>
        <v>2023</v>
      </c>
      <c r="E179" s="3" t="s">
        <v>626</v>
      </c>
      <c r="F179" s="5" t="s">
        <v>626</v>
      </c>
      <c r="G179" s="102">
        <v>45170</v>
      </c>
      <c r="H179" s="5">
        <f t="shared" si="52"/>
        <v>30</v>
      </c>
      <c r="I179" s="5">
        <f t="shared" si="53"/>
        <v>9</v>
      </c>
      <c r="J179" s="4">
        <f t="shared" si="54"/>
        <v>40</v>
      </c>
      <c r="K179" s="4">
        <f>SUM($J$171:J179)</f>
        <v>360</v>
      </c>
      <c r="L179" s="4">
        <f>SUM($J$18:J179)</f>
        <v>6969.9999999999982</v>
      </c>
      <c r="M179" s="4">
        <f t="shared" si="55"/>
        <v>4.9333333333333336</v>
      </c>
      <c r="N179" s="4">
        <f>SUM($M$171:M179)</f>
        <v>44.400000000000006</v>
      </c>
      <c r="O179" s="4">
        <f>SUM($M$18:M179)</f>
        <v>865.19999999999675</v>
      </c>
      <c r="P179" s="9">
        <f t="shared" si="56"/>
        <v>0.70486287245247869</v>
      </c>
      <c r="Q179" s="26">
        <f t="shared" si="68"/>
        <v>0.70486287245247869</v>
      </c>
      <c r="R179" s="26">
        <f t="shared" si="68"/>
        <v>0.70032780928020633</v>
      </c>
      <c r="S179" s="9">
        <f t="shared" si="57"/>
        <v>0.14488847933745397</v>
      </c>
      <c r="T179" s="9">
        <f>K179/((COUNT($K$171:K179))*24*$Q$1)</f>
        <v>0.14488847933745394</v>
      </c>
      <c r="U179" s="28">
        <f>L179/((COUNT($L$18:L179))*24*$Q$1)</f>
        <v>0.15584455262068733</v>
      </c>
      <c r="V179" s="134">
        <v>11.5031</v>
      </c>
      <c r="Y179" s="27">
        <f t="shared" si="64"/>
        <v>45178</v>
      </c>
      <c r="Z179" s="5">
        <f>MONTH(Modelling_new[[#This Row],[Date]])</f>
        <v>9</v>
      </c>
      <c r="AA179" s="25">
        <f>YEAR(Y179)+IF(MONTH(Modelling_new[[#This Row],[Date]])&gt;=4,1,0)</f>
        <v>2024</v>
      </c>
      <c r="AB179" s="3">
        <f t="shared" si="58"/>
        <v>2023</v>
      </c>
      <c r="AC179" s="3" t="s">
        <v>626</v>
      </c>
      <c r="AD179" s="5" t="s">
        <v>626</v>
      </c>
      <c r="AE179" s="102">
        <v>45170</v>
      </c>
      <c r="AF179" s="5">
        <f t="shared" si="59"/>
        <v>30</v>
      </c>
      <c r="AG179" s="5">
        <f t="shared" si="60"/>
        <v>9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BD179" s="27">
        <f t="shared" si="65"/>
        <v>45178</v>
      </c>
      <c r="BE179" s="5">
        <f>MONTH(Modelling[[#This Row],[Date]])</f>
        <v>9</v>
      </c>
      <c r="BF179" s="25">
        <f>YEAR(BD179)+IF(MONTH(Modelling[[#This Row],[Date]])&gt;=4,1,0)</f>
        <v>2024</v>
      </c>
      <c r="BG179" s="3">
        <f t="shared" si="61"/>
        <v>2023</v>
      </c>
      <c r="BH179" s="3" t="s">
        <v>626</v>
      </c>
      <c r="BI179" s="5" t="s">
        <v>626</v>
      </c>
      <c r="BJ179" s="102">
        <v>45170</v>
      </c>
      <c r="BK179" s="5">
        <f t="shared" si="62"/>
        <v>30</v>
      </c>
      <c r="BL179" s="5">
        <f t="shared" si="63"/>
        <v>9</v>
      </c>
      <c r="BM179" s="4">
        <f>Modelling_old[[#This Row],[Target E_Grid daily
MWh]]+Modelling_new[[#This Row],[Target E_Grid daily
MWh]]</f>
        <v>40</v>
      </c>
      <c r="BN179" s="4">
        <f>Modelling_old[[#This Row],[Target E_Grid MTD
MWh]]+Modelling_new[[#This Row],[Target E_Grid MTD
MWh]]</f>
        <v>360</v>
      </c>
      <c r="BO179" s="4">
        <f>Modelling_old[[#This Row],[Target E_Grid YTD
MWh]]+Modelling_new[[#This Row],[Target E_Grid YTD
MWh]]</f>
        <v>6969.9999999999982</v>
      </c>
      <c r="BP17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79" s="4">
        <f>SUMIFS(Modelling[Target POA Daily (KWh/m2)],Modelling[Date],"&lt;="&amp;Modelling[[#This Row],[Date]],Modelling[Month Year],Modelling[[#This Row],[Month Year]])</f>
        <v>44.400000000000006</v>
      </c>
      <c r="BR179" s="4">
        <f>SUMIFS(Modelling[Target POA Daily (KWh/m2)],Modelling[Date],"&lt;="&amp;Modelling[[#This Row],[Date]],Modelling[Finacial Year],Modelling[[#This Row],[Finacial Year]])</f>
        <v>865.19999999999675</v>
      </c>
      <c r="BS179" s="9">
        <f>BM179/Modelling[[#This Row],[Comisined DC ]]/BP179</f>
        <v>0.70486287245247869</v>
      </c>
      <c r="BT179" s="9">
        <f>BN179/BQ179/Modelling[[#This Row],[Comisined DC ]]</f>
        <v>0.70486287245247869</v>
      </c>
      <c r="BU179" s="9">
        <f>BO179/BR179/Modelling[[#This Row],[Comisined DC ]]</f>
        <v>0.70032780928020633</v>
      </c>
      <c r="BV179" s="9">
        <f>BM179/(24*Modelling[[#This Row],[Comisined DC ]])</f>
        <v>0.14488847933745397</v>
      </c>
      <c r="BW179" s="9">
        <f>BN179/((COUNTIFS(Modelling[Date],"&lt;="&amp;Modelling[[#This Row],[Date]],Modelling[Month Year],Modelling[[#This Row],[Month Year]])*24*Modelling[[#This Row],[MTD DC Capcity]]))</f>
        <v>0.14488847933745394</v>
      </c>
      <c r="BX179" s="28">
        <f>BO179/((COUNTIFS(Modelling[Date],"&lt;="&amp;Modelling[[#This Row],[Date]],Modelling[Finacial Year],Modelling[[#This Row],[Finacial Year]])*24*Modelling[[#This Row],[MTD DC Capcity]]))</f>
        <v>0.1558445526206873</v>
      </c>
      <c r="BY179" s="4">
        <f>Modelling_old[[#This Row],[DC Capcity]]+Modelling_new[[#This Row],[Comisined DC ]]</f>
        <v>11.5031</v>
      </c>
      <c r="BZ179" s="4">
        <v>0</v>
      </c>
      <c r="CA179" s="4">
        <f>AVERAGEIFS(Modelling[[Comisined DC ]],Modelling[Date],"&lt;="&amp;Modelling[[#This Row],[Date]],Modelling[Month Year],Modelling[[#This Row],[Month Year]])</f>
        <v>11.503100000000002</v>
      </c>
      <c r="CB179" s="4">
        <f>AVERAGEIFS(Modelling[[Comisined DC ]],Modelling[Date],"&lt;="&amp;Modelling[[#This Row],[Date]],Modelling[Finacial Year],Modelling[[#This Row],[Finacial Year]])</f>
        <v>11.503099999999963</v>
      </c>
      <c r="CG179">
        <f t="shared" si="69"/>
        <v>9</v>
      </c>
      <c r="CH179">
        <f t="shared" si="67"/>
        <v>162</v>
      </c>
    </row>
    <row r="180" spans="1:86" x14ac:dyDescent="0.35">
      <c r="A180" s="27">
        <v>45179</v>
      </c>
      <c r="B180" s="5">
        <f>MONTH(Modelling_old[[#This Row],[Date]])</f>
        <v>9</v>
      </c>
      <c r="C180" s="25">
        <f t="shared" si="50"/>
        <v>2024</v>
      </c>
      <c r="D180" s="3">
        <f t="shared" si="51"/>
        <v>2023</v>
      </c>
      <c r="E180" s="3" t="s">
        <v>626</v>
      </c>
      <c r="F180" s="5" t="s">
        <v>626</v>
      </c>
      <c r="G180" s="102">
        <v>45170</v>
      </c>
      <c r="H180" s="5">
        <f t="shared" si="52"/>
        <v>30</v>
      </c>
      <c r="I180" s="5">
        <f t="shared" si="53"/>
        <v>9</v>
      </c>
      <c r="J180" s="4">
        <f t="shared" si="54"/>
        <v>40</v>
      </c>
      <c r="K180" s="4">
        <f>SUM($J$171:J180)</f>
        <v>400</v>
      </c>
      <c r="L180" s="4">
        <f>SUM($J$18:J180)</f>
        <v>7009.9999999999982</v>
      </c>
      <c r="M180" s="4">
        <f t="shared" si="55"/>
        <v>4.9333333333333336</v>
      </c>
      <c r="N180" s="4">
        <f>SUM($M$171:M180)</f>
        <v>49.333333333333343</v>
      </c>
      <c r="O180" s="4">
        <f>SUM($M$18:M180)</f>
        <v>870.13333333333003</v>
      </c>
      <c r="P180" s="9">
        <f t="shared" si="56"/>
        <v>0.70486287245247869</v>
      </c>
      <c r="Q180" s="26">
        <f t="shared" si="68"/>
        <v>0.70486287245247869</v>
      </c>
      <c r="R180" s="26">
        <f t="shared" si="68"/>
        <v>0.70035352140668117</v>
      </c>
      <c r="S180" s="9">
        <f t="shared" si="57"/>
        <v>0.14488847933745397</v>
      </c>
      <c r="T180" s="9">
        <f>K180/((COUNT($K$171:K180))*24*$Q$1)</f>
        <v>0.14488847933745397</v>
      </c>
      <c r="U180" s="28">
        <f>L180/((COUNT($L$18:L180))*24*$Q$1)</f>
        <v>0.15577733744717054</v>
      </c>
      <c r="V180" s="134">
        <v>11.5031</v>
      </c>
      <c r="Y180" s="27">
        <f t="shared" si="64"/>
        <v>45179</v>
      </c>
      <c r="Z180" s="5">
        <f>MONTH(Modelling_new[[#This Row],[Date]])</f>
        <v>9</v>
      </c>
      <c r="AA180" s="25">
        <f>YEAR(Y180)+IF(MONTH(Modelling_new[[#This Row],[Date]])&gt;=4,1,0)</f>
        <v>2024</v>
      </c>
      <c r="AB180" s="3">
        <f t="shared" si="58"/>
        <v>2023</v>
      </c>
      <c r="AC180" s="3" t="s">
        <v>626</v>
      </c>
      <c r="AD180" s="5" t="s">
        <v>626</v>
      </c>
      <c r="AE180" s="102">
        <v>45170</v>
      </c>
      <c r="AF180" s="5">
        <f t="shared" si="59"/>
        <v>30</v>
      </c>
      <c r="AG180" s="5">
        <f t="shared" si="60"/>
        <v>9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BD180" s="27">
        <f t="shared" si="65"/>
        <v>45179</v>
      </c>
      <c r="BE180" s="5">
        <f>MONTH(Modelling[[#This Row],[Date]])</f>
        <v>9</v>
      </c>
      <c r="BF180" s="25">
        <f>YEAR(BD180)+IF(MONTH(Modelling[[#This Row],[Date]])&gt;=4,1,0)</f>
        <v>2024</v>
      </c>
      <c r="BG180" s="3">
        <f t="shared" si="61"/>
        <v>2023</v>
      </c>
      <c r="BH180" s="3" t="s">
        <v>626</v>
      </c>
      <c r="BI180" s="5" t="s">
        <v>626</v>
      </c>
      <c r="BJ180" s="102">
        <v>45170</v>
      </c>
      <c r="BK180" s="5">
        <f t="shared" si="62"/>
        <v>30</v>
      </c>
      <c r="BL180" s="5">
        <f t="shared" si="63"/>
        <v>9</v>
      </c>
      <c r="BM180" s="4">
        <f>Modelling_old[[#This Row],[Target E_Grid daily
MWh]]+Modelling_new[[#This Row],[Target E_Grid daily
MWh]]</f>
        <v>40</v>
      </c>
      <c r="BN180" s="4">
        <f>Modelling_old[[#This Row],[Target E_Grid MTD
MWh]]+Modelling_new[[#This Row],[Target E_Grid MTD
MWh]]</f>
        <v>400</v>
      </c>
      <c r="BO180" s="4">
        <f>Modelling_old[[#This Row],[Target E_Grid YTD
MWh]]+Modelling_new[[#This Row],[Target E_Grid YTD
MWh]]</f>
        <v>7009.9999999999982</v>
      </c>
      <c r="BP18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80" s="4">
        <f>SUMIFS(Modelling[Target POA Daily (KWh/m2)],Modelling[Date],"&lt;="&amp;Modelling[[#This Row],[Date]],Modelling[Month Year],Modelling[[#This Row],[Month Year]])</f>
        <v>49.333333333333343</v>
      </c>
      <c r="BR180" s="4">
        <f>SUMIFS(Modelling[Target POA Daily (KWh/m2)],Modelling[Date],"&lt;="&amp;Modelling[[#This Row],[Date]],Modelling[Finacial Year],Modelling[[#This Row],[Finacial Year]])</f>
        <v>870.13333333333003</v>
      </c>
      <c r="BS180" s="9">
        <f>BM180/Modelling[[#This Row],[Comisined DC ]]/BP180</f>
        <v>0.70486287245247869</v>
      </c>
      <c r="BT180" s="9">
        <f>BN180/BQ180/Modelling[[#This Row],[Comisined DC ]]</f>
        <v>0.70486287245247869</v>
      </c>
      <c r="BU180" s="9">
        <f>BO180/BR180/Modelling[[#This Row],[Comisined DC ]]</f>
        <v>0.70035352140668117</v>
      </c>
      <c r="BV180" s="9">
        <f>BM180/(24*Modelling[[#This Row],[Comisined DC ]])</f>
        <v>0.14488847933745397</v>
      </c>
      <c r="BW180" s="9">
        <f>BN180/((COUNTIFS(Modelling[Date],"&lt;="&amp;Modelling[[#This Row],[Date]],Modelling[Month Year],Modelling[[#This Row],[Month Year]])*24*Modelling[[#This Row],[MTD DC Capcity]]))</f>
        <v>0.14488847933745394</v>
      </c>
      <c r="BX180" s="28">
        <f>BO180/((COUNTIFS(Modelling[Date],"&lt;="&amp;Modelling[[#This Row],[Date]],Modelling[Finacial Year],Modelling[[#This Row],[Finacial Year]])*24*Modelling[[#This Row],[MTD DC Capcity]]))</f>
        <v>0.15577733744717051</v>
      </c>
      <c r="BY180" s="4">
        <f>Modelling_old[[#This Row],[DC Capcity]]+Modelling_new[[#This Row],[Comisined DC ]]</f>
        <v>11.5031</v>
      </c>
      <c r="BZ180" s="4">
        <v>0</v>
      </c>
      <c r="CA180" s="4">
        <f>AVERAGEIFS(Modelling[[Comisined DC ]],Modelling[Date],"&lt;="&amp;Modelling[[#This Row],[Date]],Modelling[Month Year],Modelling[[#This Row],[Month Year]])</f>
        <v>11.503100000000002</v>
      </c>
      <c r="CB180" s="4">
        <f>AVERAGEIFS(Modelling[[Comisined DC ]],Modelling[Date],"&lt;="&amp;Modelling[[#This Row],[Date]],Modelling[Finacial Year],Modelling[[#This Row],[Finacial Year]])</f>
        <v>11.503099999999963</v>
      </c>
      <c r="CG180">
        <f t="shared" si="69"/>
        <v>10</v>
      </c>
      <c r="CH180">
        <f t="shared" si="67"/>
        <v>163</v>
      </c>
    </row>
    <row r="181" spans="1:86" x14ac:dyDescent="0.35">
      <c r="A181" s="27">
        <v>45180</v>
      </c>
      <c r="B181" s="5">
        <f>MONTH(Modelling_old[[#This Row],[Date]])</f>
        <v>9</v>
      </c>
      <c r="C181" s="25">
        <f t="shared" si="50"/>
        <v>2024</v>
      </c>
      <c r="D181" s="3">
        <f t="shared" si="51"/>
        <v>2023</v>
      </c>
      <c r="E181" s="3" t="s">
        <v>626</v>
      </c>
      <c r="F181" s="5" t="s">
        <v>626</v>
      </c>
      <c r="G181" s="102">
        <v>45170</v>
      </c>
      <c r="H181" s="5">
        <f t="shared" si="52"/>
        <v>30</v>
      </c>
      <c r="I181" s="5">
        <f t="shared" si="53"/>
        <v>9</v>
      </c>
      <c r="J181" s="4">
        <f t="shared" si="54"/>
        <v>40</v>
      </c>
      <c r="K181" s="4">
        <f>SUM($J$171:J181)</f>
        <v>440</v>
      </c>
      <c r="L181" s="4">
        <f>SUM($J$18:J181)</f>
        <v>7049.9999999999982</v>
      </c>
      <c r="M181" s="4">
        <f t="shared" si="55"/>
        <v>4.9333333333333336</v>
      </c>
      <c r="N181" s="4">
        <f>SUM($M$171:M181)</f>
        <v>54.26666666666668</v>
      </c>
      <c r="O181" s="4">
        <f>SUM($M$18:M181)</f>
        <v>875.06666666666331</v>
      </c>
      <c r="P181" s="9">
        <f t="shared" si="56"/>
        <v>0.70486287245247869</v>
      </c>
      <c r="Q181" s="26">
        <f t="shared" si="68"/>
        <v>0.70486287245247869</v>
      </c>
      <c r="R181" s="26">
        <f t="shared" si="68"/>
        <v>0.70037894362040887</v>
      </c>
      <c r="S181" s="9">
        <f t="shared" si="57"/>
        <v>0.14488847933745397</v>
      </c>
      <c r="T181" s="9">
        <f>K181/((COUNT($K$171:K181))*24*$Q$1)</f>
        <v>0.14488847933745397</v>
      </c>
      <c r="U181" s="28">
        <f>L181/((COUNT($L$18:L181))*24*$Q$1)</f>
        <v>0.1557109419708918</v>
      </c>
      <c r="V181" s="134">
        <v>11.5031</v>
      </c>
      <c r="Y181" s="27">
        <f t="shared" si="64"/>
        <v>45180</v>
      </c>
      <c r="Z181" s="5">
        <f>MONTH(Modelling_new[[#This Row],[Date]])</f>
        <v>9</v>
      </c>
      <c r="AA181" s="25">
        <f>YEAR(Y181)+IF(MONTH(Modelling_new[[#This Row],[Date]])&gt;=4,1,0)</f>
        <v>2024</v>
      </c>
      <c r="AB181" s="3">
        <f t="shared" si="58"/>
        <v>2023</v>
      </c>
      <c r="AC181" s="3" t="s">
        <v>626</v>
      </c>
      <c r="AD181" s="5" t="s">
        <v>626</v>
      </c>
      <c r="AE181" s="102">
        <v>45170</v>
      </c>
      <c r="AF181" s="5">
        <f t="shared" si="59"/>
        <v>30</v>
      </c>
      <c r="AG181" s="5">
        <f t="shared" si="60"/>
        <v>9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BD181" s="27">
        <f t="shared" si="65"/>
        <v>45180</v>
      </c>
      <c r="BE181" s="5">
        <f>MONTH(Modelling[[#This Row],[Date]])</f>
        <v>9</v>
      </c>
      <c r="BF181" s="25">
        <f>YEAR(BD181)+IF(MONTH(Modelling[[#This Row],[Date]])&gt;=4,1,0)</f>
        <v>2024</v>
      </c>
      <c r="BG181" s="3">
        <f t="shared" si="61"/>
        <v>2023</v>
      </c>
      <c r="BH181" s="3" t="s">
        <v>626</v>
      </c>
      <c r="BI181" s="5" t="s">
        <v>626</v>
      </c>
      <c r="BJ181" s="102">
        <v>45170</v>
      </c>
      <c r="BK181" s="5">
        <f t="shared" si="62"/>
        <v>30</v>
      </c>
      <c r="BL181" s="5">
        <f t="shared" si="63"/>
        <v>9</v>
      </c>
      <c r="BM181" s="4">
        <f>Modelling_old[[#This Row],[Target E_Grid daily
MWh]]+Modelling_new[[#This Row],[Target E_Grid daily
MWh]]</f>
        <v>40</v>
      </c>
      <c r="BN181" s="4">
        <f>Modelling_old[[#This Row],[Target E_Grid MTD
MWh]]+Modelling_new[[#This Row],[Target E_Grid MTD
MWh]]</f>
        <v>440</v>
      </c>
      <c r="BO181" s="4">
        <f>Modelling_old[[#This Row],[Target E_Grid YTD
MWh]]+Modelling_new[[#This Row],[Target E_Grid YTD
MWh]]</f>
        <v>7049.9999999999982</v>
      </c>
      <c r="BP18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81" s="4">
        <f>SUMIFS(Modelling[Target POA Daily (KWh/m2)],Modelling[Date],"&lt;="&amp;Modelling[[#This Row],[Date]],Modelling[Month Year],Modelling[[#This Row],[Month Year]])</f>
        <v>54.26666666666668</v>
      </c>
      <c r="BR181" s="4">
        <f>SUMIFS(Modelling[Target POA Daily (KWh/m2)],Modelling[Date],"&lt;="&amp;Modelling[[#This Row],[Date]],Modelling[Finacial Year],Modelling[[#This Row],[Finacial Year]])</f>
        <v>875.06666666666331</v>
      </c>
      <c r="BS181" s="9">
        <f>BM181/Modelling[[#This Row],[Comisined DC ]]/BP181</f>
        <v>0.70486287245247869</v>
      </c>
      <c r="BT181" s="9">
        <f>BN181/BQ181/Modelling[[#This Row],[Comisined DC ]]</f>
        <v>0.70486287245247869</v>
      </c>
      <c r="BU181" s="9">
        <f>BO181/BR181/Modelling[[#This Row],[Comisined DC ]]</f>
        <v>0.70037894362040887</v>
      </c>
      <c r="BV181" s="9">
        <f>BM181/(24*Modelling[[#This Row],[Comisined DC ]])</f>
        <v>0.14488847933745397</v>
      </c>
      <c r="BW181" s="9">
        <f>BN181/((COUNTIFS(Modelling[Date],"&lt;="&amp;Modelling[[#This Row],[Date]],Modelling[Month Year],Modelling[[#This Row],[Month Year]])*24*Modelling[[#This Row],[MTD DC Capcity]]))</f>
        <v>0.14488847933745394</v>
      </c>
      <c r="BX181" s="28">
        <f>BO181/((COUNTIFS(Modelling[Date],"&lt;="&amp;Modelling[[#This Row],[Date]],Modelling[Finacial Year],Modelling[[#This Row],[Finacial Year]])*24*Modelling[[#This Row],[MTD DC Capcity]]))</f>
        <v>0.15571094197089178</v>
      </c>
      <c r="BY181" s="4">
        <f>Modelling_old[[#This Row],[DC Capcity]]+Modelling_new[[#This Row],[Comisined DC ]]</f>
        <v>11.5031</v>
      </c>
      <c r="BZ181" s="4">
        <v>0</v>
      </c>
      <c r="CA181" s="4">
        <f>AVERAGEIFS(Modelling[[Comisined DC ]],Modelling[Date],"&lt;="&amp;Modelling[[#This Row],[Date]],Modelling[Month Year],Modelling[[#This Row],[Month Year]])</f>
        <v>11.503100000000002</v>
      </c>
      <c r="CB181" s="4">
        <f>AVERAGEIFS(Modelling[[Comisined DC ]],Modelling[Date],"&lt;="&amp;Modelling[[#This Row],[Date]],Modelling[Finacial Year],Modelling[[#This Row],[Finacial Year]])</f>
        <v>11.503099999999963</v>
      </c>
      <c r="CG181">
        <f t="shared" si="69"/>
        <v>11</v>
      </c>
      <c r="CH181">
        <f t="shared" si="67"/>
        <v>164</v>
      </c>
    </row>
    <row r="182" spans="1:86" x14ac:dyDescent="0.35">
      <c r="A182" s="27">
        <v>45181</v>
      </c>
      <c r="B182" s="5">
        <f>MONTH(Modelling_old[[#This Row],[Date]])</f>
        <v>9</v>
      </c>
      <c r="C182" s="25">
        <f t="shared" si="50"/>
        <v>2024</v>
      </c>
      <c r="D182" s="3">
        <f t="shared" si="51"/>
        <v>2023</v>
      </c>
      <c r="E182" s="3" t="s">
        <v>626</v>
      </c>
      <c r="F182" s="5" t="s">
        <v>626</v>
      </c>
      <c r="G182" s="102">
        <v>45170</v>
      </c>
      <c r="H182" s="5">
        <f t="shared" si="52"/>
        <v>30</v>
      </c>
      <c r="I182" s="5">
        <f t="shared" si="53"/>
        <v>9</v>
      </c>
      <c r="J182" s="4">
        <f t="shared" si="54"/>
        <v>40</v>
      </c>
      <c r="K182" s="4">
        <f>SUM($J$171:J182)</f>
        <v>480</v>
      </c>
      <c r="L182" s="4">
        <f>SUM($J$18:J182)</f>
        <v>7089.9999999999982</v>
      </c>
      <c r="M182" s="4">
        <f t="shared" si="55"/>
        <v>4.9333333333333336</v>
      </c>
      <c r="N182" s="4">
        <f>SUM($M$171:M182)</f>
        <v>59.200000000000017</v>
      </c>
      <c r="O182" s="4">
        <f>SUM($M$18:M182)</f>
        <v>879.99999999999659</v>
      </c>
      <c r="P182" s="9">
        <f t="shared" si="56"/>
        <v>0.70486287245247869</v>
      </c>
      <c r="Q182" s="26">
        <f t="shared" si="68"/>
        <v>0.70486287245247847</v>
      </c>
      <c r="R182" s="26">
        <f t="shared" si="68"/>
        <v>0.70040408079719485</v>
      </c>
      <c r="S182" s="9">
        <f t="shared" si="57"/>
        <v>0.14488847933745397</v>
      </c>
      <c r="T182" s="9">
        <f>K182/((COUNT($K$171:K182))*24*$Q$1)</f>
        <v>0.14488847933745397</v>
      </c>
      <c r="U182" s="28">
        <f>L182/((COUNT($L$18:L182))*24*$Q$1)</f>
        <v>0.1556453512882649</v>
      </c>
      <c r="V182" s="134">
        <v>11.5031</v>
      </c>
      <c r="Y182" s="27">
        <f t="shared" si="64"/>
        <v>45181</v>
      </c>
      <c r="Z182" s="5">
        <f>MONTH(Modelling_new[[#This Row],[Date]])</f>
        <v>9</v>
      </c>
      <c r="AA182" s="25">
        <f>YEAR(Y182)+IF(MONTH(Modelling_new[[#This Row],[Date]])&gt;=4,1,0)</f>
        <v>2024</v>
      </c>
      <c r="AB182" s="3">
        <f t="shared" si="58"/>
        <v>2023</v>
      </c>
      <c r="AC182" s="3" t="s">
        <v>626</v>
      </c>
      <c r="AD182" s="5" t="s">
        <v>626</v>
      </c>
      <c r="AE182" s="102">
        <v>45170</v>
      </c>
      <c r="AF182" s="5">
        <f t="shared" si="59"/>
        <v>30</v>
      </c>
      <c r="AG182" s="5">
        <f t="shared" si="60"/>
        <v>9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BD182" s="27">
        <f t="shared" si="65"/>
        <v>45181</v>
      </c>
      <c r="BE182" s="5">
        <f>MONTH(Modelling[[#This Row],[Date]])</f>
        <v>9</v>
      </c>
      <c r="BF182" s="25">
        <f>YEAR(BD182)+IF(MONTH(Modelling[[#This Row],[Date]])&gt;=4,1,0)</f>
        <v>2024</v>
      </c>
      <c r="BG182" s="3">
        <f t="shared" si="61"/>
        <v>2023</v>
      </c>
      <c r="BH182" s="3" t="s">
        <v>626</v>
      </c>
      <c r="BI182" s="5" t="s">
        <v>626</v>
      </c>
      <c r="BJ182" s="102">
        <v>45170</v>
      </c>
      <c r="BK182" s="5">
        <f t="shared" si="62"/>
        <v>30</v>
      </c>
      <c r="BL182" s="5">
        <f t="shared" si="63"/>
        <v>9</v>
      </c>
      <c r="BM182" s="4">
        <f>Modelling_old[[#This Row],[Target E_Grid daily
MWh]]+Modelling_new[[#This Row],[Target E_Grid daily
MWh]]</f>
        <v>40</v>
      </c>
      <c r="BN182" s="4">
        <f>Modelling_old[[#This Row],[Target E_Grid MTD
MWh]]+Modelling_new[[#This Row],[Target E_Grid MTD
MWh]]</f>
        <v>480</v>
      </c>
      <c r="BO182" s="4">
        <f>Modelling_old[[#This Row],[Target E_Grid YTD
MWh]]+Modelling_new[[#This Row],[Target E_Grid YTD
MWh]]</f>
        <v>7089.9999999999982</v>
      </c>
      <c r="BP18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82" s="4">
        <f>SUMIFS(Modelling[Target POA Daily (KWh/m2)],Modelling[Date],"&lt;="&amp;Modelling[[#This Row],[Date]],Modelling[Month Year],Modelling[[#This Row],[Month Year]])</f>
        <v>59.200000000000017</v>
      </c>
      <c r="BR182" s="4">
        <f>SUMIFS(Modelling[Target POA Daily (KWh/m2)],Modelling[Date],"&lt;="&amp;Modelling[[#This Row],[Date]],Modelling[Finacial Year],Modelling[[#This Row],[Finacial Year]])</f>
        <v>879.99999999999659</v>
      </c>
      <c r="BS182" s="9">
        <f>BM182/Modelling[[#This Row],[Comisined DC ]]/BP182</f>
        <v>0.70486287245247869</v>
      </c>
      <c r="BT182" s="9">
        <f>BN182/BQ182/Modelling[[#This Row],[Comisined DC ]]</f>
        <v>0.70486287245247847</v>
      </c>
      <c r="BU182" s="9">
        <f>BO182/BR182/Modelling[[#This Row],[Comisined DC ]]</f>
        <v>0.70040408079719485</v>
      </c>
      <c r="BV182" s="9">
        <f>BM182/(24*Modelling[[#This Row],[Comisined DC ]])</f>
        <v>0.14488847933745397</v>
      </c>
      <c r="BW182" s="9">
        <f>BN182/((COUNTIFS(Modelling[Date],"&lt;="&amp;Modelling[[#This Row],[Date]],Modelling[Month Year],Modelling[[#This Row],[Month Year]])*24*Modelling[[#This Row],[MTD DC Capcity]]))</f>
        <v>0.14488847933745394</v>
      </c>
      <c r="BX182" s="28">
        <f>BO182/((COUNTIFS(Modelling[Date],"&lt;="&amp;Modelling[[#This Row],[Date]],Modelling[Finacial Year],Modelling[[#This Row],[Finacial Year]])*24*Modelling[[#This Row],[MTD DC Capcity]]))</f>
        <v>0.15564535128826487</v>
      </c>
      <c r="BY182" s="4">
        <f>Modelling_old[[#This Row],[DC Capcity]]+Modelling_new[[#This Row],[Comisined DC ]]</f>
        <v>11.5031</v>
      </c>
      <c r="BZ182" s="4">
        <v>0</v>
      </c>
      <c r="CA182" s="4">
        <f>AVERAGEIFS(Modelling[[Comisined DC ]],Modelling[Date],"&lt;="&amp;Modelling[[#This Row],[Date]],Modelling[Month Year],Modelling[[#This Row],[Month Year]])</f>
        <v>11.503100000000002</v>
      </c>
      <c r="CB182" s="4">
        <f>AVERAGEIFS(Modelling[[Comisined DC ]],Modelling[Date],"&lt;="&amp;Modelling[[#This Row],[Date]],Modelling[Finacial Year],Modelling[[#This Row],[Finacial Year]])</f>
        <v>11.503099999999963</v>
      </c>
      <c r="CG182">
        <f t="shared" si="69"/>
        <v>12</v>
      </c>
      <c r="CH182">
        <f t="shared" si="67"/>
        <v>165</v>
      </c>
    </row>
    <row r="183" spans="1:86" x14ac:dyDescent="0.35">
      <c r="A183" s="27">
        <v>45182</v>
      </c>
      <c r="B183" s="5">
        <f>MONTH(Modelling_old[[#This Row],[Date]])</f>
        <v>9</v>
      </c>
      <c r="C183" s="25">
        <f t="shared" si="50"/>
        <v>2024</v>
      </c>
      <c r="D183" s="3">
        <f t="shared" si="51"/>
        <v>2023</v>
      </c>
      <c r="E183" s="3" t="s">
        <v>626</v>
      </c>
      <c r="F183" s="5" t="s">
        <v>626</v>
      </c>
      <c r="G183" s="102">
        <v>45170</v>
      </c>
      <c r="H183" s="5">
        <f t="shared" si="52"/>
        <v>30</v>
      </c>
      <c r="I183" s="5">
        <f t="shared" si="53"/>
        <v>9</v>
      </c>
      <c r="J183" s="4">
        <f t="shared" si="54"/>
        <v>40</v>
      </c>
      <c r="K183" s="4">
        <f>SUM($J$171:J183)</f>
        <v>520</v>
      </c>
      <c r="L183" s="4">
        <f>SUM($J$18:J183)</f>
        <v>7129.9999999999982</v>
      </c>
      <c r="M183" s="4">
        <f t="shared" si="55"/>
        <v>4.9333333333333336</v>
      </c>
      <c r="N183" s="4">
        <f>SUM($M$171:M183)</f>
        <v>64.133333333333354</v>
      </c>
      <c r="O183" s="4">
        <f>SUM($M$18:M183)</f>
        <v>884.93333333332987</v>
      </c>
      <c r="P183" s="9">
        <f t="shared" si="56"/>
        <v>0.70486287245247869</v>
      </c>
      <c r="Q183" s="26">
        <f t="shared" si="68"/>
        <v>0.70486287245247847</v>
      </c>
      <c r="R183" s="26">
        <f t="shared" si="68"/>
        <v>0.7004289377041174</v>
      </c>
      <c r="S183" s="9">
        <f t="shared" si="57"/>
        <v>0.14488847933745397</v>
      </c>
      <c r="T183" s="9">
        <f>K183/((COUNT($K$171:K183))*24*$Q$1)</f>
        <v>0.14488847933745397</v>
      </c>
      <c r="U183" s="28">
        <f>L183/((COUNT($L$18:L183))*24*$Q$1)</f>
        <v>0.15558055085482628</v>
      </c>
      <c r="V183" s="134">
        <v>11.5031</v>
      </c>
      <c r="Y183" s="27">
        <f t="shared" si="64"/>
        <v>45182</v>
      </c>
      <c r="Z183" s="5">
        <f>MONTH(Modelling_new[[#This Row],[Date]])</f>
        <v>9</v>
      </c>
      <c r="AA183" s="25">
        <f>YEAR(Y183)+IF(MONTH(Modelling_new[[#This Row],[Date]])&gt;=4,1,0)</f>
        <v>2024</v>
      </c>
      <c r="AB183" s="3">
        <f t="shared" si="58"/>
        <v>2023</v>
      </c>
      <c r="AC183" s="3" t="s">
        <v>626</v>
      </c>
      <c r="AD183" s="5" t="s">
        <v>626</v>
      </c>
      <c r="AE183" s="102">
        <v>45170</v>
      </c>
      <c r="AF183" s="5">
        <f t="shared" si="59"/>
        <v>30</v>
      </c>
      <c r="AG183" s="5">
        <f t="shared" si="60"/>
        <v>9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BD183" s="27">
        <f t="shared" si="65"/>
        <v>45182</v>
      </c>
      <c r="BE183" s="5">
        <f>MONTH(Modelling[[#This Row],[Date]])</f>
        <v>9</v>
      </c>
      <c r="BF183" s="25">
        <f>YEAR(BD183)+IF(MONTH(Modelling[[#This Row],[Date]])&gt;=4,1,0)</f>
        <v>2024</v>
      </c>
      <c r="BG183" s="3">
        <f t="shared" si="61"/>
        <v>2023</v>
      </c>
      <c r="BH183" s="3" t="s">
        <v>626</v>
      </c>
      <c r="BI183" s="5" t="s">
        <v>626</v>
      </c>
      <c r="BJ183" s="102">
        <v>45170</v>
      </c>
      <c r="BK183" s="5">
        <f t="shared" si="62"/>
        <v>30</v>
      </c>
      <c r="BL183" s="5">
        <f t="shared" si="63"/>
        <v>9</v>
      </c>
      <c r="BM183" s="4">
        <f>Modelling_old[[#This Row],[Target E_Grid daily
MWh]]+Modelling_new[[#This Row],[Target E_Grid daily
MWh]]</f>
        <v>40</v>
      </c>
      <c r="BN183" s="4">
        <f>Modelling_old[[#This Row],[Target E_Grid MTD
MWh]]+Modelling_new[[#This Row],[Target E_Grid MTD
MWh]]</f>
        <v>520</v>
      </c>
      <c r="BO183" s="4">
        <f>Modelling_old[[#This Row],[Target E_Grid YTD
MWh]]+Modelling_new[[#This Row],[Target E_Grid YTD
MWh]]</f>
        <v>7129.9999999999982</v>
      </c>
      <c r="BP18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83" s="4">
        <f>SUMIFS(Modelling[Target POA Daily (KWh/m2)],Modelling[Date],"&lt;="&amp;Modelling[[#This Row],[Date]],Modelling[Month Year],Modelling[[#This Row],[Month Year]])</f>
        <v>64.133333333333354</v>
      </c>
      <c r="BR183" s="4">
        <f>SUMIFS(Modelling[Target POA Daily (KWh/m2)],Modelling[Date],"&lt;="&amp;Modelling[[#This Row],[Date]],Modelling[Finacial Year],Modelling[[#This Row],[Finacial Year]])</f>
        <v>884.93333333332987</v>
      </c>
      <c r="BS183" s="9">
        <f>BM183/Modelling[[#This Row],[Comisined DC ]]/BP183</f>
        <v>0.70486287245247869</v>
      </c>
      <c r="BT183" s="9">
        <f>BN183/BQ183/Modelling[[#This Row],[Comisined DC ]]</f>
        <v>0.70486287245247847</v>
      </c>
      <c r="BU183" s="9">
        <f>BO183/BR183/Modelling[[#This Row],[Comisined DC ]]</f>
        <v>0.7004289377041174</v>
      </c>
      <c r="BV183" s="9">
        <f>BM183/(24*Modelling[[#This Row],[Comisined DC ]])</f>
        <v>0.14488847933745397</v>
      </c>
      <c r="BW183" s="9">
        <f>BN183/((COUNTIFS(Modelling[Date],"&lt;="&amp;Modelling[[#This Row],[Date]],Modelling[Month Year],Modelling[[#This Row],[Month Year]])*24*Modelling[[#This Row],[MTD DC Capcity]]))</f>
        <v>0.14488847933745397</v>
      </c>
      <c r="BX183" s="28">
        <f>BO183/((COUNTIFS(Modelling[Date],"&lt;="&amp;Modelling[[#This Row],[Date]],Modelling[Finacial Year],Modelling[[#This Row],[Finacial Year]])*24*Modelling[[#This Row],[MTD DC Capcity]]))</f>
        <v>0.15558055085482628</v>
      </c>
      <c r="BY183" s="4">
        <f>Modelling_old[[#This Row],[DC Capcity]]+Modelling_new[[#This Row],[Comisined DC ]]</f>
        <v>11.5031</v>
      </c>
      <c r="BZ183" s="4">
        <v>0</v>
      </c>
      <c r="CA183" s="4">
        <f>AVERAGEIFS(Modelling[[Comisined DC ]],Modelling[Date],"&lt;="&amp;Modelling[[#This Row],[Date]],Modelling[Month Year],Modelling[[#This Row],[Month Year]])</f>
        <v>11.5031</v>
      </c>
      <c r="CB183" s="4">
        <f>AVERAGEIFS(Modelling[[Comisined DC ]],Modelling[Date],"&lt;="&amp;Modelling[[#This Row],[Date]],Modelling[Finacial Year],Modelling[[#This Row],[Finacial Year]])</f>
        <v>11.503099999999961</v>
      </c>
      <c r="CG183">
        <f t="shared" si="69"/>
        <v>13</v>
      </c>
      <c r="CH183">
        <f t="shared" si="67"/>
        <v>166</v>
      </c>
    </row>
    <row r="184" spans="1:86" x14ac:dyDescent="0.35">
      <c r="A184" s="27">
        <v>45183</v>
      </c>
      <c r="B184" s="5">
        <f>MONTH(Modelling_old[[#This Row],[Date]])</f>
        <v>9</v>
      </c>
      <c r="C184" s="25">
        <f t="shared" si="50"/>
        <v>2024</v>
      </c>
      <c r="D184" s="3">
        <f t="shared" si="51"/>
        <v>2023</v>
      </c>
      <c r="E184" s="3" t="s">
        <v>626</v>
      </c>
      <c r="F184" s="5" t="s">
        <v>626</v>
      </c>
      <c r="G184" s="102">
        <v>45170</v>
      </c>
      <c r="H184" s="5">
        <f t="shared" si="52"/>
        <v>30</v>
      </c>
      <c r="I184" s="5">
        <f t="shared" si="53"/>
        <v>9</v>
      </c>
      <c r="J184" s="4">
        <f t="shared" si="54"/>
        <v>40</v>
      </c>
      <c r="K184" s="4">
        <f>SUM($J$171:J184)</f>
        <v>560</v>
      </c>
      <c r="L184" s="4">
        <f>SUM($J$18:J184)</f>
        <v>7169.9999999999982</v>
      </c>
      <c r="M184" s="4">
        <f t="shared" si="55"/>
        <v>4.9333333333333336</v>
      </c>
      <c r="N184" s="4">
        <f>SUM($M$171:M184)</f>
        <v>69.066666666666691</v>
      </c>
      <c r="O184" s="4">
        <f>SUM($M$18:M184)</f>
        <v>889.86666666666315</v>
      </c>
      <c r="P184" s="9">
        <f t="shared" si="56"/>
        <v>0.70486287245247869</v>
      </c>
      <c r="Q184" s="26">
        <f t="shared" si="68"/>
        <v>0.70486287245247847</v>
      </c>
      <c r="R184" s="26">
        <f t="shared" si="68"/>
        <v>0.7004535190025426</v>
      </c>
      <c r="S184" s="9">
        <f t="shared" si="57"/>
        <v>0.14488847933745397</v>
      </c>
      <c r="T184" s="9">
        <f>K184/((COUNT($K$171:K184))*24*$Q$1)</f>
        <v>0.14488847933745397</v>
      </c>
      <c r="U184" s="28">
        <f>L184/((COUNT($L$18:L184))*24*$Q$1)</f>
        <v>0.15551652647448272</v>
      </c>
      <c r="V184" s="134">
        <v>11.5031</v>
      </c>
      <c r="Y184" s="27">
        <f t="shared" si="64"/>
        <v>45183</v>
      </c>
      <c r="Z184" s="5">
        <f>MONTH(Modelling_new[[#This Row],[Date]])</f>
        <v>9</v>
      </c>
      <c r="AA184" s="25">
        <f>YEAR(Y184)+IF(MONTH(Modelling_new[[#This Row],[Date]])&gt;=4,1,0)</f>
        <v>2024</v>
      </c>
      <c r="AB184" s="3">
        <f t="shared" si="58"/>
        <v>2023</v>
      </c>
      <c r="AC184" s="3" t="s">
        <v>626</v>
      </c>
      <c r="AD184" s="5" t="s">
        <v>626</v>
      </c>
      <c r="AE184" s="102">
        <v>45170</v>
      </c>
      <c r="AF184" s="5">
        <f t="shared" si="59"/>
        <v>30</v>
      </c>
      <c r="AG184" s="5">
        <f t="shared" si="60"/>
        <v>9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BD184" s="27">
        <f t="shared" si="65"/>
        <v>45183</v>
      </c>
      <c r="BE184" s="5">
        <f>MONTH(Modelling[[#This Row],[Date]])</f>
        <v>9</v>
      </c>
      <c r="BF184" s="25">
        <f>YEAR(BD184)+IF(MONTH(Modelling[[#This Row],[Date]])&gt;=4,1,0)</f>
        <v>2024</v>
      </c>
      <c r="BG184" s="3">
        <f t="shared" si="61"/>
        <v>2023</v>
      </c>
      <c r="BH184" s="3" t="s">
        <v>626</v>
      </c>
      <c r="BI184" s="5" t="s">
        <v>626</v>
      </c>
      <c r="BJ184" s="102">
        <v>45170</v>
      </c>
      <c r="BK184" s="5">
        <f t="shared" si="62"/>
        <v>30</v>
      </c>
      <c r="BL184" s="5">
        <f t="shared" si="63"/>
        <v>9</v>
      </c>
      <c r="BM184" s="4">
        <f>Modelling_old[[#This Row],[Target E_Grid daily
MWh]]+Modelling_new[[#This Row],[Target E_Grid daily
MWh]]</f>
        <v>40</v>
      </c>
      <c r="BN184" s="4">
        <f>Modelling_old[[#This Row],[Target E_Grid MTD
MWh]]+Modelling_new[[#This Row],[Target E_Grid MTD
MWh]]</f>
        <v>560</v>
      </c>
      <c r="BO184" s="4">
        <f>Modelling_old[[#This Row],[Target E_Grid YTD
MWh]]+Modelling_new[[#This Row],[Target E_Grid YTD
MWh]]</f>
        <v>7169.9999999999982</v>
      </c>
      <c r="BP18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84" s="4">
        <f>SUMIFS(Modelling[Target POA Daily (KWh/m2)],Modelling[Date],"&lt;="&amp;Modelling[[#This Row],[Date]],Modelling[Month Year],Modelling[[#This Row],[Month Year]])</f>
        <v>69.066666666666691</v>
      </c>
      <c r="BR184" s="4">
        <f>SUMIFS(Modelling[Target POA Daily (KWh/m2)],Modelling[Date],"&lt;="&amp;Modelling[[#This Row],[Date]],Modelling[Finacial Year],Modelling[[#This Row],[Finacial Year]])</f>
        <v>889.86666666666315</v>
      </c>
      <c r="BS184" s="9">
        <f>BM184/Modelling[[#This Row],[Comisined DC ]]/BP184</f>
        <v>0.70486287245247869</v>
      </c>
      <c r="BT184" s="9">
        <f>BN184/BQ184/Modelling[[#This Row],[Comisined DC ]]</f>
        <v>0.70486287245247847</v>
      </c>
      <c r="BU184" s="9">
        <f>BO184/BR184/Modelling[[#This Row],[Comisined DC ]]</f>
        <v>0.7004535190025426</v>
      </c>
      <c r="BV184" s="9">
        <f>BM184/(24*Modelling[[#This Row],[Comisined DC ]])</f>
        <v>0.14488847933745397</v>
      </c>
      <c r="BW184" s="9">
        <f>BN184/((COUNTIFS(Modelling[Date],"&lt;="&amp;Modelling[[#This Row],[Date]],Modelling[Month Year],Modelling[[#This Row],[Month Year]])*24*Modelling[[#This Row],[MTD DC Capcity]]))</f>
        <v>0.14488847933745397</v>
      </c>
      <c r="BX184" s="28">
        <f>BO184/((COUNTIFS(Modelling[Date],"&lt;="&amp;Modelling[[#This Row],[Date]],Modelling[Finacial Year],Modelling[[#This Row],[Finacial Year]])*24*Modelling[[#This Row],[MTD DC Capcity]]))</f>
        <v>0.15551652647448272</v>
      </c>
      <c r="BY184" s="4">
        <f>Modelling_old[[#This Row],[DC Capcity]]+Modelling_new[[#This Row],[Comisined DC ]]</f>
        <v>11.5031</v>
      </c>
      <c r="BZ184" s="4">
        <v>0</v>
      </c>
      <c r="CA184" s="4">
        <f>AVERAGEIFS(Modelling[[Comisined DC ]],Modelling[Date],"&lt;="&amp;Modelling[[#This Row],[Date]],Modelling[Month Year],Modelling[[#This Row],[Month Year]])</f>
        <v>11.5031</v>
      </c>
      <c r="CB184" s="4">
        <f>AVERAGEIFS(Modelling[[Comisined DC ]],Modelling[Date],"&lt;="&amp;Modelling[[#This Row],[Date]],Modelling[Finacial Year],Modelling[[#This Row],[Finacial Year]])</f>
        <v>11.503099999999961</v>
      </c>
      <c r="CG184">
        <f t="shared" si="69"/>
        <v>14</v>
      </c>
      <c r="CH184">
        <f t="shared" si="67"/>
        <v>167</v>
      </c>
    </row>
    <row r="185" spans="1:86" x14ac:dyDescent="0.35">
      <c r="A185" s="27">
        <v>45184</v>
      </c>
      <c r="B185" s="5">
        <f>MONTH(Modelling_old[[#This Row],[Date]])</f>
        <v>9</v>
      </c>
      <c r="C185" s="25">
        <f t="shared" si="50"/>
        <v>2024</v>
      </c>
      <c r="D185" s="3">
        <f t="shared" si="51"/>
        <v>2023</v>
      </c>
      <c r="E185" s="3" t="s">
        <v>626</v>
      </c>
      <c r="F185" s="5" t="s">
        <v>626</v>
      </c>
      <c r="G185" s="102">
        <v>45170</v>
      </c>
      <c r="H185" s="5">
        <f t="shared" si="52"/>
        <v>30</v>
      </c>
      <c r="I185" s="5">
        <f t="shared" si="53"/>
        <v>9</v>
      </c>
      <c r="J185" s="4">
        <f t="shared" si="54"/>
        <v>40</v>
      </c>
      <c r="K185" s="4">
        <f>SUM($J$171:J185)</f>
        <v>600</v>
      </c>
      <c r="L185" s="4">
        <f>SUM($J$18:J185)</f>
        <v>7209.9999999999982</v>
      </c>
      <c r="M185" s="4">
        <f t="shared" si="55"/>
        <v>4.9333333333333336</v>
      </c>
      <c r="N185" s="4">
        <f>SUM($M$171:M185)</f>
        <v>74.000000000000028</v>
      </c>
      <c r="O185" s="4">
        <f>SUM($M$18:M185)</f>
        <v>894.79999999999643</v>
      </c>
      <c r="P185" s="9">
        <f t="shared" si="56"/>
        <v>0.70486287245247869</v>
      </c>
      <c r="Q185" s="26">
        <f t="shared" si="68"/>
        <v>0.70486287245247847</v>
      </c>
      <c r="R185" s="26">
        <f t="shared" si="68"/>
        <v>0.7004778292510373</v>
      </c>
      <c r="S185" s="9">
        <f t="shared" si="57"/>
        <v>0.14488847933745397</v>
      </c>
      <c r="T185" s="9">
        <f>K185/((COUNT($K$171:K185))*24*$Q$1)</f>
        <v>0.14488847933745397</v>
      </c>
      <c r="U185" s="28">
        <f>L185/((COUNT($L$18:L185))*24*$Q$1)</f>
        <v>0.15545326428914327</v>
      </c>
      <c r="V185" s="134">
        <v>11.5031</v>
      </c>
      <c r="Y185" s="27">
        <f t="shared" si="64"/>
        <v>45184</v>
      </c>
      <c r="Z185" s="5">
        <f>MONTH(Modelling_new[[#This Row],[Date]])</f>
        <v>9</v>
      </c>
      <c r="AA185" s="25">
        <f>YEAR(Y185)+IF(MONTH(Modelling_new[[#This Row],[Date]])&gt;=4,1,0)</f>
        <v>2024</v>
      </c>
      <c r="AB185" s="3">
        <f t="shared" si="58"/>
        <v>2023</v>
      </c>
      <c r="AC185" s="3" t="s">
        <v>626</v>
      </c>
      <c r="AD185" s="5" t="s">
        <v>626</v>
      </c>
      <c r="AE185" s="102">
        <v>45170</v>
      </c>
      <c r="AF185" s="5">
        <f t="shared" si="59"/>
        <v>30</v>
      </c>
      <c r="AG185" s="5">
        <f t="shared" si="60"/>
        <v>9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BD185" s="27">
        <f t="shared" si="65"/>
        <v>45184</v>
      </c>
      <c r="BE185" s="5">
        <f>MONTH(Modelling[[#This Row],[Date]])</f>
        <v>9</v>
      </c>
      <c r="BF185" s="25">
        <f>YEAR(BD185)+IF(MONTH(Modelling[[#This Row],[Date]])&gt;=4,1,0)</f>
        <v>2024</v>
      </c>
      <c r="BG185" s="3">
        <f t="shared" si="61"/>
        <v>2023</v>
      </c>
      <c r="BH185" s="3" t="s">
        <v>626</v>
      </c>
      <c r="BI185" s="5" t="s">
        <v>626</v>
      </c>
      <c r="BJ185" s="102">
        <v>45170</v>
      </c>
      <c r="BK185" s="5">
        <f t="shared" si="62"/>
        <v>30</v>
      </c>
      <c r="BL185" s="5">
        <f t="shared" si="63"/>
        <v>9</v>
      </c>
      <c r="BM185" s="4">
        <f>Modelling_old[[#This Row],[Target E_Grid daily
MWh]]+Modelling_new[[#This Row],[Target E_Grid daily
MWh]]</f>
        <v>40</v>
      </c>
      <c r="BN185" s="4">
        <f>Modelling_old[[#This Row],[Target E_Grid MTD
MWh]]+Modelling_new[[#This Row],[Target E_Grid MTD
MWh]]</f>
        <v>600</v>
      </c>
      <c r="BO185" s="4">
        <f>Modelling_old[[#This Row],[Target E_Grid YTD
MWh]]+Modelling_new[[#This Row],[Target E_Grid YTD
MWh]]</f>
        <v>7209.9999999999982</v>
      </c>
      <c r="BP18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85" s="4">
        <f>SUMIFS(Modelling[Target POA Daily (KWh/m2)],Modelling[Date],"&lt;="&amp;Modelling[[#This Row],[Date]],Modelling[Month Year],Modelling[[#This Row],[Month Year]])</f>
        <v>74.000000000000028</v>
      </c>
      <c r="BR185" s="4">
        <f>SUMIFS(Modelling[Target POA Daily (KWh/m2)],Modelling[Date],"&lt;="&amp;Modelling[[#This Row],[Date]],Modelling[Finacial Year],Modelling[[#This Row],[Finacial Year]])</f>
        <v>894.79999999999643</v>
      </c>
      <c r="BS185" s="9">
        <f>BM185/Modelling[[#This Row],[Comisined DC ]]/BP185</f>
        <v>0.70486287245247869</v>
      </c>
      <c r="BT185" s="9">
        <f>BN185/BQ185/Modelling[[#This Row],[Comisined DC ]]</f>
        <v>0.70486287245247847</v>
      </c>
      <c r="BU185" s="9">
        <f>BO185/BR185/Modelling[[#This Row],[Comisined DC ]]</f>
        <v>0.7004778292510373</v>
      </c>
      <c r="BV185" s="9">
        <f>BM185/(24*Modelling[[#This Row],[Comisined DC ]])</f>
        <v>0.14488847933745397</v>
      </c>
      <c r="BW185" s="9">
        <f>BN185/((COUNTIFS(Modelling[Date],"&lt;="&amp;Modelling[[#This Row],[Date]],Modelling[Month Year],Modelling[[#This Row],[Month Year]])*24*Modelling[[#This Row],[MTD DC Capcity]]))</f>
        <v>0.144888479337454</v>
      </c>
      <c r="BX185" s="28">
        <f>BO185/((COUNTIFS(Modelling[Date],"&lt;="&amp;Modelling[[#This Row],[Date]],Modelling[Finacial Year],Modelling[[#This Row],[Finacial Year]])*24*Modelling[[#This Row],[MTD DC Capcity]]))</f>
        <v>0.1554532642891433</v>
      </c>
      <c r="BY185" s="4">
        <f>Modelling_old[[#This Row],[DC Capcity]]+Modelling_new[[#This Row],[Comisined DC ]]</f>
        <v>11.5031</v>
      </c>
      <c r="BZ185" s="4">
        <v>0</v>
      </c>
      <c r="CA185" s="4">
        <f>AVERAGEIFS(Modelling[[Comisined DC ]],Modelling[Date],"&lt;="&amp;Modelling[[#This Row],[Date]],Modelling[Month Year],Modelling[[#This Row],[Month Year]])</f>
        <v>11.503099999999998</v>
      </c>
      <c r="CB185" s="4">
        <f>AVERAGEIFS(Modelling[[Comisined DC ]],Modelling[Date],"&lt;="&amp;Modelling[[#This Row],[Date]],Modelling[Finacial Year],Modelling[[#This Row],[Finacial Year]])</f>
        <v>11.503099999999961</v>
      </c>
      <c r="CG185">
        <f t="shared" si="69"/>
        <v>15</v>
      </c>
      <c r="CH185">
        <f t="shared" si="67"/>
        <v>168</v>
      </c>
    </row>
    <row r="186" spans="1:86" x14ac:dyDescent="0.35">
      <c r="A186" s="27">
        <v>45185</v>
      </c>
      <c r="B186" s="5">
        <f>MONTH(Modelling_old[[#This Row],[Date]])</f>
        <v>9</v>
      </c>
      <c r="C186" s="25">
        <f t="shared" si="50"/>
        <v>2024</v>
      </c>
      <c r="D186" s="3">
        <f t="shared" si="51"/>
        <v>2023</v>
      </c>
      <c r="E186" s="3" t="s">
        <v>626</v>
      </c>
      <c r="F186" s="5" t="s">
        <v>626</v>
      </c>
      <c r="G186" s="102">
        <v>45170</v>
      </c>
      <c r="H186" s="5">
        <f t="shared" si="52"/>
        <v>30</v>
      </c>
      <c r="I186" s="5">
        <f t="shared" si="53"/>
        <v>9</v>
      </c>
      <c r="J186" s="4">
        <f t="shared" si="54"/>
        <v>40</v>
      </c>
      <c r="K186" s="4">
        <f>SUM($J$171:J186)</f>
        <v>640</v>
      </c>
      <c r="L186" s="4">
        <f>SUM($J$18:J186)</f>
        <v>7249.9999999999982</v>
      </c>
      <c r="M186" s="4">
        <f t="shared" si="55"/>
        <v>4.9333333333333336</v>
      </c>
      <c r="N186" s="4">
        <f>SUM($M$171:M186)</f>
        <v>78.933333333333366</v>
      </c>
      <c r="O186" s="4">
        <f>SUM($M$18:M186)</f>
        <v>899.73333333332971</v>
      </c>
      <c r="P186" s="9">
        <f t="shared" si="56"/>
        <v>0.70486287245247869</v>
      </c>
      <c r="Q186" s="26">
        <f t="shared" si="68"/>
        <v>0.70486287245247847</v>
      </c>
      <c r="R186" s="26">
        <f t="shared" si="68"/>
        <v>0.70050187290818811</v>
      </c>
      <c r="S186" s="9">
        <f t="shared" si="57"/>
        <v>0.14488847933745397</v>
      </c>
      <c r="T186" s="9">
        <f>K186/((COUNT($K$171:K186))*24*$Q$1)</f>
        <v>0.14488847933745397</v>
      </c>
      <c r="U186" s="28">
        <f>L186/((COUNT($L$18:L186))*24*$Q$1)</f>
        <v>0.15539075076871908</v>
      </c>
      <c r="V186" s="134">
        <v>11.5031</v>
      </c>
      <c r="Y186" s="27">
        <f t="shared" si="64"/>
        <v>45185</v>
      </c>
      <c r="Z186" s="5">
        <f>MONTH(Modelling_new[[#This Row],[Date]])</f>
        <v>9</v>
      </c>
      <c r="AA186" s="25">
        <f>YEAR(Y186)+IF(MONTH(Modelling_new[[#This Row],[Date]])&gt;=4,1,0)</f>
        <v>2024</v>
      </c>
      <c r="AB186" s="3">
        <f t="shared" si="58"/>
        <v>2023</v>
      </c>
      <c r="AC186" s="3" t="s">
        <v>626</v>
      </c>
      <c r="AD186" s="5" t="s">
        <v>626</v>
      </c>
      <c r="AE186" s="102">
        <v>45170</v>
      </c>
      <c r="AF186" s="5">
        <f t="shared" si="59"/>
        <v>30</v>
      </c>
      <c r="AG186" s="5">
        <f t="shared" si="60"/>
        <v>9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BD186" s="27">
        <f t="shared" si="65"/>
        <v>45185</v>
      </c>
      <c r="BE186" s="5">
        <f>MONTH(Modelling[[#This Row],[Date]])</f>
        <v>9</v>
      </c>
      <c r="BF186" s="25">
        <f>YEAR(BD186)+IF(MONTH(Modelling[[#This Row],[Date]])&gt;=4,1,0)</f>
        <v>2024</v>
      </c>
      <c r="BG186" s="3">
        <f t="shared" si="61"/>
        <v>2023</v>
      </c>
      <c r="BH186" s="3" t="s">
        <v>626</v>
      </c>
      <c r="BI186" s="5" t="s">
        <v>626</v>
      </c>
      <c r="BJ186" s="102">
        <v>45170</v>
      </c>
      <c r="BK186" s="5">
        <f t="shared" si="62"/>
        <v>30</v>
      </c>
      <c r="BL186" s="5">
        <f t="shared" si="63"/>
        <v>9</v>
      </c>
      <c r="BM186" s="4">
        <f>Modelling_old[[#This Row],[Target E_Grid daily
MWh]]+Modelling_new[[#This Row],[Target E_Grid daily
MWh]]</f>
        <v>40</v>
      </c>
      <c r="BN186" s="4">
        <f>Modelling_old[[#This Row],[Target E_Grid MTD
MWh]]+Modelling_new[[#This Row],[Target E_Grid MTD
MWh]]</f>
        <v>640</v>
      </c>
      <c r="BO186" s="4">
        <f>Modelling_old[[#This Row],[Target E_Grid YTD
MWh]]+Modelling_new[[#This Row],[Target E_Grid YTD
MWh]]</f>
        <v>7249.9999999999982</v>
      </c>
      <c r="BP18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86" s="4">
        <f>SUMIFS(Modelling[Target POA Daily (KWh/m2)],Modelling[Date],"&lt;="&amp;Modelling[[#This Row],[Date]],Modelling[Month Year],Modelling[[#This Row],[Month Year]])</f>
        <v>78.933333333333366</v>
      </c>
      <c r="BR186" s="4">
        <f>SUMIFS(Modelling[Target POA Daily (KWh/m2)],Modelling[Date],"&lt;="&amp;Modelling[[#This Row],[Date]],Modelling[Finacial Year],Modelling[[#This Row],[Finacial Year]])</f>
        <v>899.73333333332971</v>
      </c>
      <c r="BS186" s="9">
        <f>BM186/Modelling[[#This Row],[Comisined DC ]]/BP186</f>
        <v>0.70486287245247869</v>
      </c>
      <c r="BT186" s="9">
        <f>BN186/BQ186/Modelling[[#This Row],[Comisined DC ]]</f>
        <v>0.70486287245247847</v>
      </c>
      <c r="BU186" s="9">
        <f>BO186/BR186/Modelling[[#This Row],[Comisined DC ]]</f>
        <v>0.70050187290818811</v>
      </c>
      <c r="BV186" s="9">
        <f>BM186/(24*Modelling[[#This Row],[Comisined DC ]])</f>
        <v>0.14488847933745397</v>
      </c>
      <c r="BW186" s="9">
        <f>BN186/((COUNTIFS(Modelling[Date],"&lt;="&amp;Modelling[[#This Row],[Date]],Modelling[Month Year],Modelling[[#This Row],[Month Year]])*24*Modelling[[#This Row],[MTD DC Capcity]]))</f>
        <v>0.14488847933745397</v>
      </c>
      <c r="BX186" s="28">
        <f>BO186/((COUNTIFS(Modelling[Date],"&lt;="&amp;Modelling[[#This Row],[Date]],Modelling[Finacial Year],Modelling[[#This Row],[Finacial Year]])*24*Modelling[[#This Row],[MTD DC Capcity]]))</f>
        <v>0.15539075076871911</v>
      </c>
      <c r="BY186" s="4">
        <f>Modelling_old[[#This Row],[DC Capcity]]+Modelling_new[[#This Row],[Comisined DC ]]</f>
        <v>11.5031</v>
      </c>
      <c r="BZ186" s="4">
        <v>0</v>
      </c>
      <c r="CA186" s="4">
        <f>AVERAGEIFS(Modelling[[Comisined DC ]],Modelling[Date],"&lt;="&amp;Modelling[[#This Row],[Date]],Modelling[Month Year],Modelling[[#This Row],[Month Year]])</f>
        <v>11.503099999999998</v>
      </c>
      <c r="CB186" s="4">
        <f>AVERAGEIFS(Modelling[[Comisined DC ]],Modelling[Date],"&lt;="&amp;Modelling[[#This Row],[Date]],Modelling[Finacial Year],Modelling[[#This Row],[Finacial Year]])</f>
        <v>11.503099999999961</v>
      </c>
      <c r="CG186">
        <f t="shared" si="69"/>
        <v>16</v>
      </c>
      <c r="CH186">
        <f t="shared" si="67"/>
        <v>169</v>
      </c>
    </row>
    <row r="187" spans="1:86" x14ac:dyDescent="0.35">
      <c r="A187" s="27">
        <v>45186</v>
      </c>
      <c r="B187" s="5">
        <f>MONTH(Modelling_old[[#This Row],[Date]])</f>
        <v>9</v>
      </c>
      <c r="C187" s="25">
        <f t="shared" si="50"/>
        <v>2024</v>
      </c>
      <c r="D187" s="3">
        <f t="shared" si="51"/>
        <v>2023</v>
      </c>
      <c r="E187" s="3" t="s">
        <v>626</v>
      </c>
      <c r="F187" s="5" t="s">
        <v>626</v>
      </c>
      <c r="G187" s="102">
        <v>45170</v>
      </c>
      <c r="H187" s="5">
        <f t="shared" si="52"/>
        <v>30</v>
      </c>
      <c r="I187" s="5">
        <f t="shared" si="53"/>
        <v>9</v>
      </c>
      <c r="J187" s="4">
        <f t="shared" si="54"/>
        <v>40</v>
      </c>
      <c r="K187" s="4">
        <f>SUM($J$171:J187)</f>
        <v>680</v>
      </c>
      <c r="L187" s="4">
        <f>SUM($J$18:J187)</f>
        <v>7289.9999999999982</v>
      </c>
      <c r="M187" s="4">
        <f t="shared" si="55"/>
        <v>4.9333333333333336</v>
      </c>
      <c r="N187" s="4">
        <f>SUM($M$171:M187)</f>
        <v>83.866666666666703</v>
      </c>
      <c r="O187" s="4">
        <f>SUM($M$18:M187)</f>
        <v>904.66666666666299</v>
      </c>
      <c r="P187" s="9">
        <f t="shared" si="56"/>
        <v>0.70486287245247869</v>
      </c>
      <c r="Q187" s="26">
        <f t="shared" si="68"/>
        <v>0.70486287245247847</v>
      </c>
      <c r="R187" s="26">
        <f t="shared" si="68"/>
        <v>0.70052565433532721</v>
      </c>
      <c r="S187" s="9">
        <f t="shared" si="57"/>
        <v>0.14488847933745397</v>
      </c>
      <c r="T187" s="9">
        <f>K187/((COUNT($K$171:K187))*24*$Q$1)</f>
        <v>0.14488847933745397</v>
      </c>
      <c r="U187" s="28">
        <f>L187/((COUNT($L$18:L187))*24*$Q$1)</f>
        <v>0.15532897270147633</v>
      </c>
      <c r="V187" s="134">
        <v>11.5031</v>
      </c>
      <c r="Y187" s="27">
        <f t="shared" si="64"/>
        <v>45186</v>
      </c>
      <c r="Z187" s="5">
        <f>MONTH(Modelling_new[[#This Row],[Date]])</f>
        <v>9</v>
      </c>
      <c r="AA187" s="25">
        <f>YEAR(Y187)+IF(MONTH(Modelling_new[[#This Row],[Date]])&gt;=4,1,0)</f>
        <v>2024</v>
      </c>
      <c r="AB187" s="3">
        <f t="shared" si="58"/>
        <v>2023</v>
      </c>
      <c r="AC187" s="3" t="s">
        <v>626</v>
      </c>
      <c r="AD187" s="5" t="s">
        <v>626</v>
      </c>
      <c r="AE187" s="102">
        <v>45170</v>
      </c>
      <c r="AF187" s="5">
        <f t="shared" si="59"/>
        <v>30</v>
      </c>
      <c r="AG187" s="5">
        <f t="shared" si="60"/>
        <v>9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BD187" s="27">
        <f t="shared" si="65"/>
        <v>45186</v>
      </c>
      <c r="BE187" s="5">
        <f>MONTH(Modelling[[#This Row],[Date]])</f>
        <v>9</v>
      </c>
      <c r="BF187" s="25">
        <f>YEAR(BD187)+IF(MONTH(Modelling[[#This Row],[Date]])&gt;=4,1,0)</f>
        <v>2024</v>
      </c>
      <c r="BG187" s="3">
        <f t="shared" si="61"/>
        <v>2023</v>
      </c>
      <c r="BH187" s="3" t="s">
        <v>626</v>
      </c>
      <c r="BI187" s="5" t="s">
        <v>626</v>
      </c>
      <c r="BJ187" s="102">
        <v>45170</v>
      </c>
      <c r="BK187" s="5">
        <f t="shared" si="62"/>
        <v>30</v>
      </c>
      <c r="BL187" s="5">
        <f t="shared" si="63"/>
        <v>9</v>
      </c>
      <c r="BM187" s="4">
        <f>Modelling_old[[#This Row],[Target E_Grid daily
MWh]]+Modelling_new[[#This Row],[Target E_Grid daily
MWh]]</f>
        <v>40</v>
      </c>
      <c r="BN187" s="4">
        <f>Modelling_old[[#This Row],[Target E_Grid MTD
MWh]]+Modelling_new[[#This Row],[Target E_Grid MTD
MWh]]</f>
        <v>680</v>
      </c>
      <c r="BO187" s="4">
        <f>Modelling_old[[#This Row],[Target E_Grid YTD
MWh]]+Modelling_new[[#This Row],[Target E_Grid YTD
MWh]]</f>
        <v>7289.9999999999982</v>
      </c>
      <c r="BP18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87" s="4">
        <f>SUMIFS(Modelling[Target POA Daily (KWh/m2)],Modelling[Date],"&lt;="&amp;Modelling[[#This Row],[Date]],Modelling[Month Year],Modelling[[#This Row],[Month Year]])</f>
        <v>83.866666666666703</v>
      </c>
      <c r="BR187" s="4">
        <f>SUMIFS(Modelling[Target POA Daily (KWh/m2)],Modelling[Date],"&lt;="&amp;Modelling[[#This Row],[Date]],Modelling[Finacial Year],Modelling[[#This Row],[Finacial Year]])</f>
        <v>904.66666666666299</v>
      </c>
      <c r="BS187" s="9">
        <f>BM187/Modelling[[#This Row],[Comisined DC ]]/BP187</f>
        <v>0.70486287245247869</v>
      </c>
      <c r="BT187" s="9">
        <f>BN187/BQ187/Modelling[[#This Row],[Comisined DC ]]</f>
        <v>0.70486287245247847</v>
      </c>
      <c r="BU187" s="9">
        <f>BO187/BR187/Modelling[[#This Row],[Comisined DC ]]</f>
        <v>0.70052565433532721</v>
      </c>
      <c r="BV187" s="9">
        <f>BM187/(24*Modelling[[#This Row],[Comisined DC ]])</f>
        <v>0.14488847933745397</v>
      </c>
      <c r="BW187" s="9">
        <f>BN187/((COUNTIFS(Modelling[Date],"&lt;="&amp;Modelling[[#This Row],[Date]],Modelling[Month Year],Modelling[[#This Row],[Month Year]])*24*Modelling[[#This Row],[MTD DC Capcity]]))</f>
        <v>0.144888479337454</v>
      </c>
      <c r="BX187" s="28">
        <f>BO187/((COUNTIFS(Modelling[Date],"&lt;="&amp;Modelling[[#This Row],[Date]],Modelling[Finacial Year],Modelling[[#This Row],[Finacial Year]])*24*Modelling[[#This Row],[MTD DC Capcity]]))</f>
        <v>0.15532897270147636</v>
      </c>
      <c r="BY187" s="4">
        <f>Modelling_old[[#This Row],[DC Capcity]]+Modelling_new[[#This Row],[Comisined DC ]]</f>
        <v>11.5031</v>
      </c>
      <c r="BZ187" s="4">
        <v>0</v>
      </c>
      <c r="CA187" s="4">
        <f>AVERAGEIFS(Modelling[[Comisined DC ]],Modelling[Date],"&lt;="&amp;Modelling[[#This Row],[Date]],Modelling[Month Year],Modelling[[#This Row],[Month Year]])</f>
        <v>11.503099999999998</v>
      </c>
      <c r="CB187" s="4">
        <f>AVERAGEIFS(Modelling[[Comisined DC ]],Modelling[Date],"&lt;="&amp;Modelling[[#This Row],[Date]],Modelling[Finacial Year],Modelling[[#This Row],[Finacial Year]])</f>
        <v>11.503099999999961</v>
      </c>
      <c r="CG187">
        <f t="shared" si="69"/>
        <v>17</v>
      </c>
      <c r="CH187">
        <f t="shared" si="67"/>
        <v>170</v>
      </c>
    </row>
    <row r="188" spans="1:86" x14ac:dyDescent="0.35">
      <c r="A188" s="27">
        <v>45187</v>
      </c>
      <c r="B188" s="5">
        <f>MONTH(Modelling_old[[#This Row],[Date]])</f>
        <v>9</v>
      </c>
      <c r="C188" s="25">
        <f t="shared" si="50"/>
        <v>2024</v>
      </c>
      <c r="D188" s="3">
        <f t="shared" si="51"/>
        <v>2023</v>
      </c>
      <c r="E188" s="3" t="s">
        <v>626</v>
      </c>
      <c r="F188" s="5" t="s">
        <v>626</v>
      </c>
      <c r="G188" s="102">
        <v>45170</v>
      </c>
      <c r="H188" s="5">
        <f t="shared" si="52"/>
        <v>30</v>
      </c>
      <c r="I188" s="5">
        <f t="shared" si="53"/>
        <v>9</v>
      </c>
      <c r="J188" s="4">
        <f t="shared" si="54"/>
        <v>40</v>
      </c>
      <c r="K188" s="4">
        <f>SUM($J$171:J188)</f>
        <v>720</v>
      </c>
      <c r="L188" s="4">
        <f>SUM($J$18:J188)</f>
        <v>7329.9999999999982</v>
      </c>
      <c r="M188" s="4">
        <f t="shared" si="55"/>
        <v>4.9333333333333336</v>
      </c>
      <c r="N188" s="4">
        <f>SUM($M$171:M188)</f>
        <v>88.80000000000004</v>
      </c>
      <c r="O188" s="4">
        <f>SUM($M$18:M188)</f>
        <v>909.59999999999627</v>
      </c>
      <c r="P188" s="9">
        <f t="shared" si="56"/>
        <v>0.70486287245247869</v>
      </c>
      <c r="Q188" s="26">
        <f t="shared" si="68"/>
        <v>0.70486287245247847</v>
      </c>
      <c r="R188" s="26">
        <f t="shared" si="68"/>
        <v>0.70054917779916992</v>
      </c>
      <c r="S188" s="9">
        <f t="shared" si="57"/>
        <v>0.14488847933745397</v>
      </c>
      <c r="T188" s="9">
        <f>K188/((COUNT($K$171:K188))*24*$Q$1)</f>
        <v>0.14488847933745394</v>
      </c>
      <c r="U188" s="28">
        <f>L188/((COUNT($L$18:L188))*24*$Q$1)</f>
        <v>0.15526791718472768</v>
      </c>
      <c r="V188" s="134">
        <v>11.5031</v>
      </c>
      <c r="Y188" s="27">
        <f t="shared" si="64"/>
        <v>45187</v>
      </c>
      <c r="Z188" s="5">
        <f>MONTH(Modelling_new[[#This Row],[Date]])</f>
        <v>9</v>
      </c>
      <c r="AA188" s="25">
        <f>YEAR(Y188)+IF(MONTH(Modelling_new[[#This Row],[Date]])&gt;=4,1,0)</f>
        <v>2024</v>
      </c>
      <c r="AB188" s="3">
        <f t="shared" si="58"/>
        <v>2023</v>
      </c>
      <c r="AC188" s="3" t="s">
        <v>626</v>
      </c>
      <c r="AD188" s="5" t="s">
        <v>626</v>
      </c>
      <c r="AE188" s="102">
        <v>45170</v>
      </c>
      <c r="AF188" s="5">
        <f t="shared" si="59"/>
        <v>30</v>
      </c>
      <c r="AG188" s="5">
        <f t="shared" si="60"/>
        <v>9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BD188" s="27">
        <f t="shared" si="65"/>
        <v>45187</v>
      </c>
      <c r="BE188" s="5">
        <f>MONTH(Modelling[[#This Row],[Date]])</f>
        <v>9</v>
      </c>
      <c r="BF188" s="25">
        <f>YEAR(BD188)+IF(MONTH(Modelling[[#This Row],[Date]])&gt;=4,1,0)</f>
        <v>2024</v>
      </c>
      <c r="BG188" s="3">
        <f t="shared" si="61"/>
        <v>2023</v>
      </c>
      <c r="BH188" s="3" t="s">
        <v>626</v>
      </c>
      <c r="BI188" s="5" t="s">
        <v>626</v>
      </c>
      <c r="BJ188" s="102">
        <v>45170</v>
      </c>
      <c r="BK188" s="5">
        <f t="shared" si="62"/>
        <v>30</v>
      </c>
      <c r="BL188" s="5">
        <f t="shared" si="63"/>
        <v>9</v>
      </c>
      <c r="BM188" s="4">
        <f>Modelling_old[[#This Row],[Target E_Grid daily
MWh]]+Modelling_new[[#This Row],[Target E_Grid daily
MWh]]</f>
        <v>40</v>
      </c>
      <c r="BN188" s="4">
        <f>Modelling_old[[#This Row],[Target E_Grid MTD
MWh]]+Modelling_new[[#This Row],[Target E_Grid MTD
MWh]]</f>
        <v>720</v>
      </c>
      <c r="BO188" s="4">
        <f>Modelling_old[[#This Row],[Target E_Grid YTD
MWh]]+Modelling_new[[#This Row],[Target E_Grid YTD
MWh]]</f>
        <v>7329.9999999999982</v>
      </c>
      <c r="BP18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88" s="4">
        <f>SUMIFS(Modelling[Target POA Daily (KWh/m2)],Modelling[Date],"&lt;="&amp;Modelling[[#This Row],[Date]],Modelling[Month Year],Modelling[[#This Row],[Month Year]])</f>
        <v>88.80000000000004</v>
      </c>
      <c r="BR188" s="4">
        <f>SUMIFS(Modelling[Target POA Daily (KWh/m2)],Modelling[Date],"&lt;="&amp;Modelling[[#This Row],[Date]],Modelling[Finacial Year],Modelling[[#This Row],[Finacial Year]])</f>
        <v>909.59999999999627</v>
      </c>
      <c r="BS188" s="9">
        <f>BM188/Modelling[[#This Row],[Comisined DC ]]/BP188</f>
        <v>0.70486287245247869</v>
      </c>
      <c r="BT188" s="9">
        <f>BN188/BQ188/Modelling[[#This Row],[Comisined DC ]]</f>
        <v>0.70486287245247847</v>
      </c>
      <c r="BU188" s="9">
        <f>BO188/BR188/Modelling[[#This Row],[Comisined DC ]]</f>
        <v>0.70054917779916992</v>
      </c>
      <c r="BV188" s="9">
        <f>BM188/(24*Modelling[[#This Row],[Comisined DC ]])</f>
        <v>0.14488847933745397</v>
      </c>
      <c r="BW188" s="9">
        <f>BN188/((COUNTIFS(Modelling[Date],"&lt;="&amp;Modelling[[#This Row],[Date]],Modelling[Month Year],Modelling[[#This Row],[Month Year]])*24*Modelling[[#This Row],[MTD DC Capcity]]))</f>
        <v>0.144888479337454</v>
      </c>
      <c r="BX188" s="28">
        <f>BO188/((COUNTIFS(Modelling[Date],"&lt;="&amp;Modelling[[#This Row],[Date]],Modelling[Finacial Year],Modelling[[#This Row],[Finacial Year]])*24*Modelling[[#This Row],[MTD DC Capcity]]))</f>
        <v>0.15526791718472771</v>
      </c>
      <c r="BY188" s="4">
        <f>Modelling_old[[#This Row],[DC Capcity]]+Modelling_new[[#This Row],[Comisined DC ]]</f>
        <v>11.5031</v>
      </c>
      <c r="BZ188" s="4">
        <v>0</v>
      </c>
      <c r="CA188" s="4">
        <f>AVERAGEIFS(Modelling[[Comisined DC ]],Modelling[Date],"&lt;="&amp;Modelling[[#This Row],[Date]],Modelling[Month Year],Modelling[[#This Row],[Month Year]])</f>
        <v>11.503099999999996</v>
      </c>
      <c r="CB188" s="4">
        <f>AVERAGEIFS(Modelling[[Comisined DC ]],Modelling[Date],"&lt;="&amp;Modelling[[#This Row],[Date]],Modelling[Finacial Year],Modelling[[#This Row],[Finacial Year]])</f>
        <v>11.503099999999959</v>
      </c>
      <c r="CG188">
        <f t="shared" si="69"/>
        <v>18</v>
      </c>
      <c r="CH188">
        <f t="shared" si="67"/>
        <v>171</v>
      </c>
    </row>
    <row r="189" spans="1:86" x14ac:dyDescent="0.35">
      <c r="A189" s="27">
        <v>45188</v>
      </c>
      <c r="B189" s="5">
        <f>MONTH(Modelling_old[[#This Row],[Date]])</f>
        <v>9</v>
      </c>
      <c r="C189" s="25">
        <f t="shared" si="50"/>
        <v>2024</v>
      </c>
      <c r="D189" s="3">
        <f t="shared" si="51"/>
        <v>2023</v>
      </c>
      <c r="E189" s="3" t="s">
        <v>626</v>
      </c>
      <c r="F189" s="5" t="s">
        <v>626</v>
      </c>
      <c r="G189" s="102">
        <v>45170</v>
      </c>
      <c r="H189" s="5">
        <f t="shared" si="52"/>
        <v>30</v>
      </c>
      <c r="I189" s="5">
        <f t="shared" si="53"/>
        <v>9</v>
      </c>
      <c r="J189" s="4">
        <f t="shared" si="54"/>
        <v>40</v>
      </c>
      <c r="K189" s="4">
        <f>SUM($J$171:J189)</f>
        <v>760</v>
      </c>
      <c r="L189" s="4">
        <f>SUM($J$18:J189)</f>
        <v>7369.9999999999982</v>
      </c>
      <c r="M189" s="4">
        <f t="shared" si="55"/>
        <v>4.9333333333333336</v>
      </c>
      <c r="N189" s="4">
        <f>SUM($M$171:M189)</f>
        <v>93.733333333333377</v>
      </c>
      <c r="O189" s="4">
        <f>SUM($M$18:M189)</f>
        <v>914.53333333332955</v>
      </c>
      <c r="P189" s="9">
        <f t="shared" si="56"/>
        <v>0.70486287245247869</v>
      </c>
      <c r="Q189" s="26">
        <f t="shared" si="68"/>
        <v>0.70486287245247836</v>
      </c>
      <c r="R189" s="26">
        <f t="shared" si="68"/>
        <v>0.70057244747436642</v>
      </c>
      <c r="S189" s="9">
        <f t="shared" si="57"/>
        <v>0.14488847933745397</v>
      </c>
      <c r="T189" s="9">
        <f>K189/((COUNT($K$171:K189))*24*$Q$1)</f>
        <v>0.14488847933745397</v>
      </c>
      <c r="U189" s="28">
        <f>L189/((COUNT($L$18:L189))*24*$Q$1)</f>
        <v>0.15520757161584819</v>
      </c>
      <c r="V189" s="134">
        <v>11.5031</v>
      </c>
      <c r="Y189" s="27">
        <f t="shared" si="64"/>
        <v>45188</v>
      </c>
      <c r="Z189" s="5">
        <f>MONTH(Modelling_new[[#This Row],[Date]])</f>
        <v>9</v>
      </c>
      <c r="AA189" s="25">
        <f>YEAR(Y189)+IF(MONTH(Modelling_new[[#This Row],[Date]])&gt;=4,1,0)</f>
        <v>2024</v>
      </c>
      <c r="AB189" s="3">
        <f t="shared" si="58"/>
        <v>2023</v>
      </c>
      <c r="AC189" s="3" t="s">
        <v>626</v>
      </c>
      <c r="AD189" s="5" t="s">
        <v>626</v>
      </c>
      <c r="AE189" s="102">
        <v>45170</v>
      </c>
      <c r="AF189" s="5">
        <f t="shared" si="59"/>
        <v>30</v>
      </c>
      <c r="AG189" s="5">
        <f t="shared" si="60"/>
        <v>9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BD189" s="27">
        <f t="shared" si="65"/>
        <v>45188</v>
      </c>
      <c r="BE189" s="5">
        <f>MONTH(Modelling[[#This Row],[Date]])</f>
        <v>9</v>
      </c>
      <c r="BF189" s="25">
        <f>YEAR(BD189)+IF(MONTH(Modelling[[#This Row],[Date]])&gt;=4,1,0)</f>
        <v>2024</v>
      </c>
      <c r="BG189" s="3">
        <f t="shared" si="61"/>
        <v>2023</v>
      </c>
      <c r="BH189" s="3" t="s">
        <v>626</v>
      </c>
      <c r="BI189" s="5" t="s">
        <v>626</v>
      </c>
      <c r="BJ189" s="102">
        <v>45170</v>
      </c>
      <c r="BK189" s="5">
        <f t="shared" si="62"/>
        <v>30</v>
      </c>
      <c r="BL189" s="5">
        <f t="shared" si="63"/>
        <v>9</v>
      </c>
      <c r="BM189" s="4">
        <f>Modelling_old[[#This Row],[Target E_Grid daily
MWh]]+Modelling_new[[#This Row],[Target E_Grid daily
MWh]]</f>
        <v>40</v>
      </c>
      <c r="BN189" s="4">
        <f>Modelling_old[[#This Row],[Target E_Grid MTD
MWh]]+Modelling_new[[#This Row],[Target E_Grid MTD
MWh]]</f>
        <v>760</v>
      </c>
      <c r="BO189" s="4">
        <f>Modelling_old[[#This Row],[Target E_Grid YTD
MWh]]+Modelling_new[[#This Row],[Target E_Grid YTD
MWh]]</f>
        <v>7369.9999999999982</v>
      </c>
      <c r="BP18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89" s="4">
        <f>SUMIFS(Modelling[Target POA Daily (KWh/m2)],Modelling[Date],"&lt;="&amp;Modelling[[#This Row],[Date]],Modelling[Month Year],Modelling[[#This Row],[Month Year]])</f>
        <v>93.733333333333377</v>
      </c>
      <c r="BR189" s="4">
        <f>SUMIFS(Modelling[Target POA Daily (KWh/m2)],Modelling[Date],"&lt;="&amp;Modelling[[#This Row],[Date]],Modelling[Finacial Year],Modelling[[#This Row],[Finacial Year]])</f>
        <v>914.53333333332955</v>
      </c>
      <c r="BS189" s="9">
        <f>BM189/Modelling[[#This Row],[Comisined DC ]]/BP189</f>
        <v>0.70486287245247869</v>
      </c>
      <c r="BT189" s="9">
        <f>BN189/BQ189/Modelling[[#This Row],[Comisined DC ]]</f>
        <v>0.70486287245247836</v>
      </c>
      <c r="BU189" s="9">
        <f>BO189/BR189/Modelling[[#This Row],[Comisined DC ]]</f>
        <v>0.70057244747436642</v>
      </c>
      <c r="BV189" s="9">
        <f>BM189/(24*Modelling[[#This Row],[Comisined DC ]])</f>
        <v>0.14488847933745397</v>
      </c>
      <c r="BW189" s="9">
        <f>BN189/((COUNTIFS(Modelling[Date],"&lt;="&amp;Modelling[[#This Row],[Date]],Modelling[Month Year],Modelling[[#This Row],[Month Year]])*24*Modelling[[#This Row],[MTD DC Capcity]]))</f>
        <v>0.14488847933745402</v>
      </c>
      <c r="BX189" s="28">
        <f>BO189/((COUNTIFS(Modelling[Date],"&lt;="&amp;Modelling[[#This Row],[Date]],Modelling[Finacial Year],Modelling[[#This Row],[Finacial Year]])*24*Modelling[[#This Row],[MTD DC Capcity]]))</f>
        <v>0.15520757161584822</v>
      </c>
      <c r="BY189" s="4">
        <f>Modelling_old[[#This Row],[DC Capcity]]+Modelling_new[[#This Row],[Comisined DC ]]</f>
        <v>11.5031</v>
      </c>
      <c r="BZ189" s="4">
        <v>0</v>
      </c>
      <c r="CA189" s="4">
        <f>AVERAGEIFS(Modelling[[Comisined DC ]],Modelling[Date],"&lt;="&amp;Modelling[[#This Row],[Date]],Modelling[Month Year],Modelling[[#This Row],[Month Year]])</f>
        <v>11.503099999999996</v>
      </c>
      <c r="CB189" s="4">
        <f>AVERAGEIFS(Modelling[[Comisined DC ]],Modelling[Date],"&lt;="&amp;Modelling[[#This Row],[Date]],Modelling[Finacial Year],Modelling[[#This Row],[Finacial Year]])</f>
        <v>11.503099999999959</v>
      </c>
      <c r="CG189">
        <f t="shared" si="69"/>
        <v>19</v>
      </c>
      <c r="CH189">
        <f t="shared" si="67"/>
        <v>172</v>
      </c>
    </row>
    <row r="190" spans="1:86" x14ac:dyDescent="0.35">
      <c r="A190" s="27">
        <v>45189</v>
      </c>
      <c r="B190" s="5">
        <f>MONTH(Modelling_old[[#This Row],[Date]])</f>
        <v>9</v>
      </c>
      <c r="C190" s="25">
        <f t="shared" si="50"/>
        <v>2024</v>
      </c>
      <c r="D190" s="3">
        <f t="shared" si="51"/>
        <v>2023</v>
      </c>
      <c r="E190" s="3" t="s">
        <v>626</v>
      </c>
      <c r="F190" s="5" t="s">
        <v>626</v>
      </c>
      <c r="G190" s="102">
        <v>45170</v>
      </c>
      <c r="H190" s="5">
        <f t="shared" si="52"/>
        <v>30</v>
      </c>
      <c r="I190" s="5">
        <f t="shared" si="53"/>
        <v>9</v>
      </c>
      <c r="J190" s="4">
        <f t="shared" si="54"/>
        <v>40</v>
      </c>
      <c r="K190" s="4">
        <f>SUM($J$171:J190)</f>
        <v>800</v>
      </c>
      <c r="L190" s="4">
        <f>SUM($J$18:J190)</f>
        <v>7409.9999999999982</v>
      </c>
      <c r="M190" s="4">
        <f t="shared" si="55"/>
        <v>4.9333333333333336</v>
      </c>
      <c r="N190" s="4">
        <f>SUM($M$171:M190)</f>
        <v>98.666666666666714</v>
      </c>
      <c r="O190" s="4">
        <f>SUM($M$18:M190)</f>
        <v>919.46666666666283</v>
      </c>
      <c r="P190" s="9">
        <f t="shared" si="56"/>
        <v>0.70486287245247869</v>
      </c>
      <c r="Q190" s="26">
        <f t="shared" si="68"/>
        <v>0.70486287245247836</v>
      </c>
      <c r="R190" s="26">
        <f t="shared" si="68"/>
        <v>0.70059546744597179</v>
      </c>
      <c r="S190" s="9">
        <f t="shared" si="57"/>
        <v>0.14488847933745397</v>
      </c>
      <c r="T190" s="9">
        <f>K190/((COUNT($K$171:K190))*24*$Q$1)</f>
        <v>0.14488847933745397</v>
      </c>
      <c r="U190" s="28">
        <f>L190/((COUNT($L$18:L190))*24*$Q$1)</f>
        <v>0.15514792368360311</v>
      </c>
      <c r="V190" s="134">
        <v>11.5031</v>
      </c>
      <c r="Y190" s="27">
        <f t="shared" si="64"/>
        <v>45189</v>
      </c>
      <c r="Z190" s="5">
        <f>MONTH(Modelling_new[[#This Row],[Date]])</f>
        <v>9</v>
      </c>
      <c r="AA190" s="25">
        <f>YEAR(Y190)+IF(MONTH(Modelling_new[[#This Row],[Date]])&gt;=4,1,0)</f>
        <v>2024</v>
      </c>
      <c r="AB190" s="3">
        <f t="shared" si="58"/>
        <v>2023</v>
      </c>
      <c r="AC190" s="3" t="s">
        <v>626</v>
      </c>
      <c r="AD190" s="5" t="s">
        <v>626</v>
      </c>
      <c r="AE190" s="102">
        <v>45170</v>
      </c>
      <c r="AF190" s="5">
        <f t="shared" si="59"/>
        <v>30</v>
      </c>
      <c r="AG190" s="5">
        <f t="shared" si="60"/>
        <v>9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BD190" s="27">
        <f t="shared" si="65"/>
        <v>45189</v>
      </c>
      <c r="BE190" s="5">
        <f>MONTH(Modelling[[#This Row],[Date]])</f>
        <v>9</v>
      </c>
      <c r="BF190" s="25">
        <f>YEAR(BD190)+IF(MONTH(Modelling[[#This Row],[Date]])&gt;=4,1,0)</f>
        <v>2024</v>
      </c>
      <c r="BG190" s="3">
        <f t="shared" si="61"/>
        <v>2023</v>
      </c>
      <c r="BH190" s="3" t="s">
        <v>626</v>
      </c>
      <c r="BI190" s="5" t="s">
        <v>626</v>
      </c>
      <c r="BJ190" s="102">
        <v>45170</v>
      </c>
      <c r="BK190" s="5">
        <f t="shared" si="62"/>
        <v>30</v>
      </c>
      <c r="BL190" s="5">
        <f t="shared" si="63"/>
        <v>9</v>
      </c>
      <c r="BM190" s="4">
        <f>Modelling_old[[#This Row],[Target E_Grid daily
MWh]]+Modelling_new[[#This Row],[Target E_Grid daily
MWh]]</f>
        <v>40</v>
      </c>
      <c r="BN190" s="4">
        <f>Modelling_old[[#This Row],[Target E_Grid MTD
MWh]]+Modelling_new[[#This Row],[Target E_Grid MTD
MWh]]</f>
        <v>800</v>
      </c>
      <c r="BO190" s="4">
        <f>Modelling_old[[#This Row],[Target E_Grid YTD
MWh]]+Modelling_new[[#This Row],[Target E_Grid YTD
MWh]]</f>
        <v>7409.9999999999982</v>
      </c>
      <c r="BP19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90" s="4">
        <f>SUMIFS(Modelling[Target POA Daily (KWh/m2)],Modelling[Date],"&lt;="&amp;Modelling[[#This Row],[Date]],Modelling[Month Year],Modelling[[#This Row],[Month Year]])</f>
        <v>98.666666666666714</v>
      </c>
      <c r="BR190" s="4">
        <f>SUMIFS(Modelling[Target POA Daily (KWh/m2)],Modelling[Date],"&lt;="&amp;Modelling[[#This Row],[Date]],Modelling[Finacial Year],Modelling[[#This Row],[Finacial Year]])</f>
        <v>919.46666666666283</v>
      </c>
      <c r="BS190" s="9">
        <f>BM190/Modelling[[#This Row],[Comisined DC ]]/BP190</f>
        <v>0.70486287245247869</v>
      </c>
      <c r="BT190" s="9">
        <f>BN190/BQ190/Modelling[[#This Row],[Comisined DC ]]</f>
        <v>0.70486287245247836</v>
      </c>
      <c r="BU190" s="9">
        <f>BO190/BR190/Modelling[[#This Row],[Comisined DC ]]</f>
        <v>0.70059546744597179</v>
      </c>
      <c r="BV190" s="9">
        <f>BM190/(24*Modelling[[#This Row],[Comisined DC ]])</f>
        <v>0.14488847933745397</v>
      </c>
      <c r="BW190" s="9">
        <f>BN190/((COUNTIFS(Modelling[Date],"&lt;="&amp;Modelling[[#This Row],[Date]],Modelling[Month Year],Modelling[[#This Row],[Month Year]])*24*Modelling[[#This Row],[MTD DC Capcity]]))</f>
        <v>0.144888479337454</v>
      </c>
      <c r="BX190" s="28">
        <f>BO190/((COUNTIFS(Modelling[Date],"&lt;="&amp;Modelling[[#This Row],[Date]],Modelling[Finacial Year],Modelling[[#This Row],[Finacial Year]])*24*Modelling[[#This Row],[MTD DC Capcity]]))</f>
        <v>0.15514792368360317</v>
      </c>
      <c r="BY190" s="4">
        <f>Modelling_old[[#This Row],[DC Capcity]]+Modelling_new[[#This Row],[Comisined DC ]]</f>
        <v>11.5031</v>
      </c>
      <c r="BZ190" s="4">
        <v>0</v>
      </c>
      <c r="CA190" s="4">
        <f>AVERAGEIFS(Modelling[[Comisined DC ]],Modelling[Date],"&lt;="&amp;Modelling[[#This Row],[Date]],Modelling[Month Year],Modelling[[#This Row],[Month Year]])</f>
        <v>11.503099999999996</v>
      </c>
      <c r="CB190" s="4">
        <f>AVERAGEIFS(Modelling[[Comisined DC ]],Modelling[Date],"&lt;="&amp;Modelling[[#This Row],[Date]],Modelling[Finacial Year],Modelling[[#This Row],[Finacial Year]])</f>
        <v>11.503099999999959</v>
      </c>
      <c r="CG190">
        <f t="shared" si="69"/>
        <v>20</v>
      </c>
      <c r="CH190">
        <f t="shared" si="67"/>
        <v>173</v>
      </c>
    </row>
    <row r="191" spans="1:86" x14ac:dyDescent="0.35">
      <c r="A191" s="27">
        <v>45190</v>
      </c>
      <c r="B191" s="5">
        <f>MONTH(Modelling_old[[#This Row],[Date]])</f>
        <v>9</v>
      </c>
      <c r="C191" s="25">
        <f t="shared" si="50"/>
        <v>2024</v>
      </c>
      <c r="D191" s="3">
        <f t="shared" si="51"/>
        <v>2023</v>
      </c>
      <c r="E191" s="3" t="s">
        <v>626</v>
      </c>
      <c r="F191" s="5" t="s">
        <v>626</v>
      </c>
      <c r="G191" s="102">
        <v>45170</v>
      </c>
      <c r="H191" s="5">
        <f t="shared" si="52"/>
        <v>30</v>
      </c>
      <c r="I191" s="5">
        <f t="shared" si="53"/>
        <v>9</v>
      </c>
      <c r="J191" s="4">
        <f t="shared" si="54"/>
        <v>40</v>
      </c>
      <c r="K191" s="4">
        <f>SUM($J$171:J191)</f>
        <v>840</v>
      </c>
      <c r="L191" s="4">
        <f>SUM($J$18:J191)</f>
        <v>7449.9999999999982</v>
      </c>
      <c r="M191" s="4">
        <f t="shared" si="55"/>
        <v>4.9333333333333336</v>
      </c>
      <c r="N191" s="4">
        <f>SUM($M$171:M191)</f>
        <v>103.60000000000005</v>
      </c>
      <c r="O191" s="4">
        <f>SUM($M$18:M191)</f>
        <v>924.39999999999611</v>
      </c>
      <c r="P191" s="9">
        <f t="shared" si="56"/>
        <v>0.70486287245247869</v>
      </c>
      <c r="Q191" s="26">
        <f t="shared" si="68"/>
        <v>0.70486287245247836</v>
      </c>
      <c r="R191" s="26">
        <f t="shared" si="68"/>
        <v>0.70061824171183651</v>
      </c>
      <c r="S191" s="9">
        <f t="shared" si="57"/>
        <v>0.14488847933745397</v>
      </c>
      <c r="T191" s="9">
        <f>K191/((COUNT($K$171:K191))*24*$Q$1)</f>
        <v>0.14488847933745397</v>
      </c>
      <c r="U191" s="28">
        <f>L191/((COUNT($L$18:L191))*24*$Q$1)</f>
        <v>0.15508896135977468</v>
      </c>
      <c r="V191" s="134">
        <v>11.5031</v>
      </c>
      <c r="Y191" s="27">
        <f t="shared" si="64"/>
        <v>45190</v>
      </c>
      <c r="Z191" s="5">
        <f>MONTH(Modelling_new[[#This Row],[Date]])</f>
        <v>9</v>
      </c>
      <c r="AA191" s="25">
        <f>YEAR(Y191)+IF(MONTH(Modelling_new[[#This Row],[Date]])&gt;=4,1,0)</f>
        <v>2024</v>
      </c>
      <c r="AB191" s="3">
        <f t="shared" si="58"/>
        <v>2023</v>
      </c>
      <c r="AC191" s="3" t="s">
        <v>626</v>
      </c>
      <c r="AD191" s="5" t="s">
        <v>626</v>
      </c>
      <c r="AE191" s="102">
        <v>45170</v>
      </c>
      <c r="AF191" s="5">
        <f t="shared" si="59"/>
        <v>30</v>
      </c>
      <c r="AG191" s="5">
        <f t="shared" si="60"/>
        <v>9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BD191" s="27">
        <f t="shared" si="65"/>
        <v>45190</v>
      </c>
      <c r="BE191" s="5">
        <f>MONTH(Modelling[[#This Row],[Date]])</f>
        <v>9</v>
      </c>
      <c r="BF191" s="25">
        <f>YEAR(BD191)+IF(MONTH(Modelling[[#This Row],[Date]])&gt;=4,1,0)</f>
        <v>2024</v>
      </c>
      <c r="BG191" s="3">
        <f t="shared" si="61"/>
        <v>2023</v>
      </c>
      <c r="BH191" s="3" t="s">
        <v>626</v>
      </c>
      <c r="BI191" s="5" t="s">
        <v>626</v>
      </c>
      <c r="BJ191" s="102">
        <v>45170</v>
      </c>
      <c r="BK191" s="5">
        <f t="shared" si="62"/>
        <v>30</v>
      </c>
      <c r="BL191" s="5">
        <f t="shared" si="63"/>
        <v>9</v>
      </c>
      <c r="BM191" s="4">
        <f>Modelling_old[[#This Row],[Target E_Grid daily
MWh]]+Modelling_new[[#This Row],[Target E_Grid daily
MWh]]</f>
        <v>40</v>
      </c>
      <c r="BN191" s="4">
        <f>Modelling_old[[#This Row],[Target E_Grid MTD
MWh]]+Modelling_new[[#This Row],[Target E_Grid MTD
MWh]]</f>
        <v>840</v>
      </c>
      <c r="BO191" s="4">
        <f>Modelling_old[[#This Row],[Target E_Grid YTD
MWh]]+Modelling_new[[#This Row],[Target E_Grid YTD
MWh]]</f>
        <v>7449.9999999999982</v>
      </c>
      <c r="BP19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91" s="4">
        <f>SUMIFS(Modelling[Target POA Daily (KWh/m2)],Modelling[Date],"&lt;="&amp;Modelling[[#This Row],[Date]],Modelling[Month Year],Modelling[[#This Row],[Month Year]])</f>
        <v>103.60000000000005</v>
      </c>
      <c r="BR191" s="4">
        <f>SUMIFS(Modelling[Target POA Daily (KWh/m2)],Modelling[Date],"&lt;="&amp;Modelling[[#This Row],[Date]],Modelling[Finacial Year],Modelling[[#This Row],[Finacial Year]])</f>
        <v>924.39999999999611</v>
      </c>
      <c r="BS191" s="9">
        <f>BM191/Modelling[[#This Row],[Comisined DC ]]/BP191</f>
        <v>0.70486287245247869</v>
      </c>
      <c r="BT191" s="9">
        <f>BN191/BQ191/Modelling[[#This Row],[Comisined DC ]]</f>
        <v>0.70486287245247836</v>
      </c>
      <c r="BU191" s="9">
        <f>BO191/BR191/Modelling[[#This Row],[Comisined DC ]]</f>
        <v>0.70061824171183651</v>
      </c>
      <c r="BV191" s="9">
        <f>BM191/(24*Modelling[[#This Row],[Comisined DC ]])</f>
        <v>0.14488847933745397</v>
      </c>
      <c r="BW191" s="9">
        <f>BN191/((COUNTIFS(Modelling[Date],"&lt;="&amp;Modelling[[#This Row],[Date]],Modelling[Month Year],Modelling[[#This Row],[Month Year]])*24*Modelling[[#This Row],[MTD DC Capcity]]))</f>
        <v>0.14488847933745402</v>
      </c>
      <c r="BX191" s="28">
        <f>BO191/((COUNTIFS(Modelling[Date],"&lt;="&amp;Modelling[[#This Row],[Date]],Modelling[Finacial Year],Modelling[[#This Row],[Finacial Year]])*24*Modelling[[#This Row],[MTD DC Capcity]]))</f>
        <v>0.15508896135977474</v>
      </c>
      <c r="BY191" s="4">
        <f>Modelling_old[[#This Row],[DC Capcity]]+Modelling_new[[#This Row],[Comisined DC ]]</f>
        <v>11.5031</v>
      </c>
      <c r="BZ191" s="4">
        <v>0</v>
      </c>
      <c r="CA191" s="4">
        <f>AVERAGEIFS(Modelling[[Comisined DC ]],Modelling[Date],"&lt;="&amp;Modelling[[#This Row],[Date]],Modelling[Month Year],Modelling[[#This Row],[Month Year]])</f>
        <v>11.503099999999996</v>
      </c>
      <c r="CB191" s="4">
        <f>AVERAGEIFS(Modelling[[Comisined DC ]],Modelling[Date],"&lt;="&amp;Modelling[[#This Row],[Date]],Modelling[Finacial Year],Modelling[[#This Row],[Finacial Year]])</f>
        <v>11.503099999999959</v>
      </c>
      <c r="CG191">
        <f t="shared" si="69"/>
        <v>21</v>
      </c>
      <c r="CH191">
        <f t="shared" si="67"/>
        <v>174</v>
      </c>
    </row>
    <row r="192" spans="1:86" x14ac:dyDescent="0.35">
      <c r="A192" s="27">
        <v>45191</v>
      </c>
      <c r="B192" s="5">
        <f>MONTH(Modelling_old[[#This Row],[Date]])</f>
        <v>9</v>
      </c>
      <c r="C192" s="25">
        <f t="shared" si="50"/>
        <v>2024</v>
      </c>
      <c r="D192" s="3">
        <f t="shared" si="51"/>
        <v>2023</v>
      </c>
      <c r="E192" s="3" t="s">
        <v>626</v>
      </c>
      <c r="F192" s="5" t="s">
        <v>626</v>
      </c>
      <c r="G192" s="102">
        <v>45170</v>
      </c>
      <c r="H192" s="5">
        <f t="shared" si="52"/>
        <v>30</v>
      </c>
      <c r="I192" s="5">
        <f t="shared" si="53"/>
        <v>9</v>
      </c>
      <c r="J192" s="4">
        <f t="shared" si="54"/>
        <v>40</v>
      </c>
      <c r="K192" s="4">
        <f>SUM($J$171:J192)</f>
        <v>880</v>
      </c>
      <c r="L192" s="4">
        <f>SUM($J$18:J192)</f>
        <v>7489.9999999999982</v>
      </c>
      <c r="M192" s="4">
        <f t="shared" si="55"/>
        <v>4.9333333333333336</v>
      </c>
      <c r="N192" s="4">
        <f>SUM($M$171:M192)</f>
        <v>108.53333333333339</v>
      </c>
      <c r="O192" s="4">
        <f>SUM($M$18:M192)</f>
        <v>929.33333333332939</v>
      </c>
      <c r="P192" s="9">
        <f t="shared" si="56"/>
        <v>0.70486287245247869</v>
      </c>
      <c r="Q192" s="26">
        <f t="shared" si="68"/>
        <v>0.70486287245247836</v>
      </c>
      <c r="R192" s="26">
        <f t="shared" si="68"/>
        <v>0.70064077418492188</v>
      </c>
      <c r="S192" s="9">
        <f t="shared" si="57"/>
        <v>0.14488847933745397</v>
      </c>
      <c r="T192" s="9">
        <f>K192/((COUNT($K$171:K192))*24*$Q$1)</f>
        <v>0.14488847933745397</v>
      </c>
      <c r="U192" s="28">
        <f>L192/((COUNT($L$18:L192))*24*$Q$1)</f>
        <v>0.15503067289107572</v>
      </c>
      <c r="V192" s="134">
        <v>11.5031</v>
      </c>
      <c r="Y192" s="27">
        <f t="shared" si="64"/>
        <v>45191</v>
      </c>
      <c r="Z192" s="5">
        <f>MONTH(Modelling_new[[#This Row],[Date]])</f>
        <v>9</v>
      </c>
      <c r="AA192" s="25">
        <f>YEAR(Y192)+IF(MONTH(Modelling_new[[#This Row],[Date]])&gt;=4,1,0)</f>
        <v>2024</v>
      </c>
      <c r="AB192" s="3">
        <f t="shared" si="58"/>
        <v>2023</v>
      </c>
      <c r="AC192" s="3" t="s">
        <v>626</v>
      </c>
      <c r="AD192" s="5" t="s">
        <v>626</v>
      </c>
      <c r="AE192" s="102">
        <v>45170</v>
      </c>
      <c r="AF192" s="5">
        <f t="shared" si="59"/>
        <v>30</v>
      </c>
      <c r="AG192" s="5">
        <f t="shared" si="60"/>
        <v>9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BD192" s="27">
        <f t="shared" si="65"/>
        <v>45191</v>
      </c>
      <c r="BE192" s="5">
        <f>MONTH(Modelling[[#This Row],[Date]])</f>
        <v>9</v>
      </c>
      <c r="BF192" s="25">
        <f>YEAR(BD192)+IF(MONTH(Modelling[[#This Row],[Date]])&gt;=4,1,0)</f>
        <v>2024</v>
      </c>
      <c r="BG192" s="3">
        <f t="shared" si="61"/>
        <v>2023</v>
      </c>
      <c r="BH192" s="3" t="s">
        <v>626</v>
      </c>
      <c r="BI192" s="5" t="s">
        <v>626</v>
      </c>
      <c r="BJ192" s="102">
        <v>45170</v>
      </c>
      <c r="BK192" s="5">
        <f t="shared" si="62"/>
        <v>30</v>
      </c>
      <c r="BL192" s="5">
        <f t="shared" si="63"/>
        <v>9</v>
      </c>
      <c r="BM192" s="4">
        <f>Modelling_old[[#This Row],[Target E_Grid daily
MWh]]+Modelling_new[[#This Row],[Target E_Grid daily
MWh]]</f>
        <v>40</v>
      </c>
      <c r="BN192" s="4">
        <f>Modelling_old[[#This Row],[Target E_Grid MTD
MWh]]+Modelling_new[[#This Row],[Target E_Grid MTD
MWh]]</f>
        <v>880</v>
      </c>
      <c r="BO192" s="4">
        <f>Modelling_old[[#This Row],[Target E_Grid YTD
MWh]]+Modelling_new[[#This Row],[Target E_Grid YTD
MWh]]</f>
        <v>7489.9999999999982</v>
      </c>
      <c r="BP19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92" s="4">
        <f>SUMIFS(Modelling[Target POA Daily (KWh/m2)],Modelling[Date],"&lt;="&amp;Modelling[[#This Row],[Date]],Modelling[Month Year],Modelling[[#This Row],[Month Year]])</f>
        <v>108.53333333333339</v>
      </c>
      <c r="BR192" s="4">
        <f>SUMIFS(Modelling[Target POA Daily (KWh/m2)],Modelling[Date],"&lt;="&amp;Modelling[[#This Row],[Date]],Modelling[Finacial Year],Modelling[[#This Row],[Finacial Year]])</f>
        <v>929.33333333332939</v>
      </c>
      <c r="BS192" s="9">
        <f>BM192/Modelling[[#This Row],[Comisined DC ]]/BP192</f>
        <v>0.70486287245247869</v>
      </c>
      <c r="BT192" s="9">
        <f>BN192/BQ192/Modelling[[#This Row],[Comisined DC ]]</f>
        <v>0.70486287245247836</v>
      </c>
      <c r="BU192" s="9">
        <f>BO192/BR192/Modelling[[#This Row],[Comisined DC ]]</f>
        <v>0.70064077418492188</v>
      </c>
      <c r="BV192" s="9">
        <f>BM192/(24*Modelling[[#This Row],[Comisined DC ]])</f>
        <v>0.14488847933745397</v>
      </c>
      <c r="BW192" s="9">
        <f>BN192/((COUNTIFS(Modelling[Date],"&lt;="&amp;Modelling[[#This Row],[Date]],Modelling[Month Year],Modelling[[#This Row],[Month Year]])*24*Modelling[[#This Row],[MTD DC Capcity]]))</f>
        <v>0.144888479337454</v>
      </c>
      <c r="BX192" s="28">
        <f>BO192/((COUNTIFS(Modelling[Date],"&lt;="&amp;Modelling[[#This Row],[Date]],Modelling[Finacial Year],Modelling[[#This Row],[Finacial Year]])*24*Modelling[[#This Row],[MTD DC Capcity]]))</f>
        <v>0.15503067289107575</v>
      </c>
      <c r="BY192" s="4">
        <f>Modelling_old[[#This Row],[DC Capcity]]+Modelling_new[[#This Row],[Comisined DC ]]</f>
        <v>11.5031</v>
      </c>
      <c r="BZ192" s="4">
        <v>0</v>
      </c>
      <c r="CA192" s="4">
        <f>AVERAGEIFS(Modelling[[Comisined DC ]],Modelling[Date],"&lt;="&amp;Modelling[[#This Row],[Date]],Modelling[Month Year],Modelling[[#This Row],[Month Year]])</f>
        <v>11.503099999999996</v>
      </c>
      <c r="CB192" s="4">
        <f>AVERAGEIFS(Modelling[[Comisined DC ]],Modelling[Date],"&lt;="&amp;Modelling[[#This Row],[Date]],Modelling[Finacial Year],Modelling[[#This Row],[Finacial Year]])</f>
        <v>11.503099999999959</v>
      </c>
      <c r="CG192">
        <f t="shared" si="69"/>
        <v>22</v>
      </c>
      <c r="CH192">
        <f t="shared" si="67"/>
        <v>175</v>
      </c>
    </row>
    <row r="193" spans="1:86" x14ac:dyDescent="0.35">
      <c r="A193" s="27">
        <v>45192</v>
      </c>
      <c r="B193" s="5">
        <f>MONTH(Modelling_old[[#This Row],[Date]])</f>
        <v>9</v>
      </c>
      <c r="C193" s="25">
        <f t="shared" si="50"/>
        <v>2024</v>
      </c>
      <c r="D193" s="3">
        <f t="shared" si="51"/>
        <v>2023</v>
      </c>
      <c r="E193" s="3" t="s">
        <v>626</v>
      </c>
      <c r="F193" s="5" t="s">
        <v>626</v>
      </c>
      <c r="G193" s="102">
        <v>45170</v>
      </c>
      <c r="H193" s="5">
        <f t="shared" si="52"/>
        <v>30</v>
      </c>
      <c r="I193" s="5">
        <f t="shared" si="53"/>
        <v>9</v>
      </c>
      <c r="J193" s="4">
        <f t="shared" si="54"/>
        <v>40</v>
      </c>
      <c r="K193" s="4">
        <f>SUM($J$171:J193)</f>
        <v>920</v>
      </c>
      <c r="L193" s="4">
        <f>SUM($J$18:J193)</f>
        <v>7529.9999999999982</v>
      </c>
      <c r="M193" s="4">
        <f t="shared" si="55"/>
        <v>4.9333333333333336</v>
      </c>
      <c r="N193" s="4">
        <f>SUM($M$171:M193)</f>
        <v>113.46666666666673</v>
      </c>
      <c r="O193" s="4">
        <f>SUM($M$18:M193)</f>
        <v>934.26666666666267</v>
      </c>
      <c r="P193" s="9">
        <f t="shared" si="56"/>
        <v>0.70486287245247869</v>
      </c>
      <c r="Q193" s="26">
        <f t="shared" si="68"/>
        <v>0.70486287245247836</v>
      </c>
      <c r="R193" s="26">
        <f t="shared" si="68"/>
        <v>0.70066306869553974</v>
      </c>
      <c r="S193" s="9">
        <f t="shared" si="57"/>
        <v>0.14488847933745397</v>
      </c>
      <c r="T193" s="9">
        <f>K193/((COUNT($K$171:K193))*24*$Q$1)</f>
        <v>0.14488847933745397</v>
      </c>
      <c r="U193" s="28">
        <f>L193/((COUNT($L$18:L193))*24*$Q$1)</f>
        <v>0.15497304679133922</v>
      </c>
      <c r="V193" s="134">
        <v>11.5031</v>
      </c>
      <c r="Y193" s="27">
        <f t="shared" si="64"/>
        <v>45192</v>
      </c>
      <c r="Z193" s="5">
        <f>MONTH(Modelling_new[[#This Row],[Date]])</f>
        <v>9</v>
      </c>
      <c r="AA193" s="25">
        <f>YEAR(Y193)+IF(MONTH(Modelling_new[[#This Row],[Date]])&gt;=4,1,0)</f>
        <v>2024</v>
      </c>
      <c r="AB193" s="3">
        <f t="shared" si="58"/>
        <v>2023</v>
      </c>
      <c r="AC193" s="3" t="s">
        <v>626</v>
      </c>
      <c r="AD193" s="5" t="s">
        <v>626</v>
      </c>
      <c r="AE193" s="102">
        <v>45170</v>
      </c>
      <c r="AF193" s="5">
        <f t="shared" si="59"/>
        <v>30</v>
      </c>
      <c r="AG193" s="5">
        <f t="shared" si="60"/>
        <v>9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BD193" s="27">
        <f t="shared" si="65"/>
        <v>45192</v>
      </c>
      <c r="BE193" s="5">
        <f>MONTH(Modelling[[#This Row],[Date]])</f>
        <v>9</v>
      </c>
      <c r="BF193" s="25">
        <f>YEAR(BD193)+IF(MONTH(Modelling[[#This Row],[Date]])&gt;=4,1,0)</f>
        <v>2024</v>
      </c>
      <c r="BG193" s="3">
        <f t="shared" si="61"/>
        <v>2023</v>
      </c>
      <c r="BH193" s="3" t="s">
        <v>626</v>
      </c>
      <c r="BI193" s="5" t="s">
        <v>626</v>
      </c>
      <c r="BJ193" s="102">
        <v>45170</v>
      </c>
      <c r="BK193" s="5">
        <f t="shared" si="62"/>
        <v>30</v>
      </c>
      <c r="BL193" s="5">
        <f t="shared" si="63"/>
        <v>9</v>
      </c>
      <c r="BM193" s="4">
        <f>Modelling_old[[#This Row],[Target E_Grid daily
MWh]]+Modelling_new[[#This Row],[Target E_Grid daily
MWh]]</f>
        <v>40</v>
      </c>
      <c r="BN193" s="4">
        <f>Modelling_old[[#This Row],[Target E_Grid MTD
MWh]]+Modelling_new[[#This Row],[Target E_Grid MTD
MWh]]</f>
        <v>920</v>
      </c>
      <c r="BO193" s="4">
        <f>Modelling_old[[#This Row],[Target E_Grid YTD
MWh]]+Modelling_new[[#This Row],[Target E_Grid YTD
MWh]]</f>
        <v>7529.9999999999982</v>
      </c>
      <c r="BP19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93" s="4">
        <f>SUMIFS(Modelling[Target POA Daily (KWh/m2)],Modelling[Date],"&lt;="&amp;Modelling[[#This Row],[Date]],Modelling[Month Year],Modelling[[#This Row],[Month Year]])</f>
        <v>113.46666666666673</v>
      </c>
      <c r="BR193" s="4">
        <f>SUMIFS(Modelling[Target POA Daily (KWh/m2)],Modelling[Date],"&lt;="&amp;Modelling[[#This Row],[Date]],Modelling[Finacial Year],Modelling[[#This Row],[Finacial Year]])</f>
        <v>934.26666666666267</v>
      </c>
      <c r="BS193" s="9">
        <f>BM193/Modelling[[#This Row],[Comisined DC ]]/BP193</f>
        <v>0.70486287245247869</v>
      </c>
      <c r="BT193" s="9">
        <f>BN193/BQ193/Modelling[[#This Row],[Comisined DC ]]</f>
        <v>0.70486287245247836</v>
      </c>
      <c r="BU193" s="9">
        <f>BO193/BR193/Modelling[[#This Row],[Comisined DC ]]</f>
        <v>0.70066306869553974</v>
      </c>
      <c r="BV193" s="9">
        <f>BM193/(24*Modelling[[#This Row],[Comisined DC ]])</f>
        <v>0.14488847933745397</v>
      </c>
      <c r="BW193" s="9">
        <f>BN193/((COUNTIFS(Modelling[Date],"&lt;="&amp;Modelling[[#This Row],[Date]],Modelling[Month Year],Modelling[[#This Row],[Month Year]])*24*Modelling[[#This Row],[MTD DC Capcity]]))</f>
        <v>0.14488847933745402</v>
      </c>
      <c r="BX193" s="28">
        <f>BO193/((COUNTIFS(Modelling[Date],"&lt;="&amp;Modelling[[#This Row],[Date]],Modelling[Finacial Year],Modelling[[#This Row],[Finacial Year]])*24*Modelling[[#This Row],[MTD DC Capcity]]))</f>
        <v>0.15497304679133928</v>
      </c>
      <c r="BY193" s="4">
        <f>Modelling_old[[#This Row],[DC Capcity]]+Modelling_new[[#This Row],[Comisined DC ]]</f>
        <v>11.5031</v>
      </c>
      <c r="BZ193" s="4">
        <v>0</v>
      </c>
      <c r="CA193" s="4">
        <f>AVERAGEIFS(Modelling[[Comisined DC ]],Modelling[Date],"&lt;="&amp;Modelling[[#This Row],[Date]],Modelling[Month Year],Modelling[[#This Row],[Month Year]])</f>
        <v>11.503099999999995</v>
      </c>
      <c r="CB193" s="4">
        <f>AVERAGEIFS(Modelling[[Comisined DC ]],Modelling[Date],"&lt;="&amp;Modelling[[#This Row],[Date]],Modelling[Finacial Year],Modelling[[#This Row],[Finacial Year]])</f>
        <v>11.503099999999959</v>
      </c>
      <c r="CG193">
        <f t="shared" si="69"/>
        <v>23</v>
      </c>
      <c r="CH193">
        <f t="shared" si="67"/>
        <v>176</v>
      </c>
    </row>
    <row r="194" spans="1:86" x14ac:dyDescent="0.35">
      <c r="A194" s="27">
        <v>45193</v>
      </c>
      <c r="B194" s="5">
        <f>MONTH(Modelling_old[[#This Row],[Date]])</f>
        <v>9</v>
      </c>
      <c r="C194" s="25">
        <f t="shared" si="50"/>
        <v>2024</v>
      </c>
      <c r="D194" s="3">
        <f t="shared" si="51"/>
        <v>2023</v>
      </c>
      <c r="E194" s="3" t="s">
        <v>626</v>
      </c>
      <c r="F194" s="5" t="s">
        <v>626</v>
      </c>
      <c r="G194" s="102">
        <v>45170</v>
      </c>
      <c r="H194" s="5">
        <f t="shared" si="52"/>
        <v>30</v>
      </c>
      <c r="I194" s="5">
        <f t="shared" si="53"/>
        <v>9</v>
      </c>
      <c r="J194" s="4">
        <f t="shared" si="54"/>
        <v>40</v>
      </c>
      <c r="K194" s="4">
        <f>SUM($J$171:J194)</f>
        <v>960</v>
      </c>
      <c r="L194" s="4">
        <f>SUM($J$18:J194)</f>
        <v>7569.9999999999982</v>
      </c>
      <c r="M194" s="4">
        <f t="shared" si="55"/>
        <v>4.9333333333333336</v>
      </c>
      <c r="N194" s="4">
        <f>SUM($M$171:M194)</f>
        <v>118.40000000000006</v>
      </c>
      <c r="O194" s="4">
        <f>SUM($M$18:M194)</f>
        <v>939.19999999999595</v>
      </c>
      <c r="P194" s="9">
        <f t="shared" si="56"/>
        <v>0.70486287245247869</v>
      </c>
      <c r="Q194" s="26">
        <f t="shared" si="68"/>
        <v>0.70486287245247836</v>
      </c>
      <c r="R194" s="26">
        <f t="shared" si="68"/>
        <v>0.70068512899352486</v>
      </c>
      <c r="S194" s="9">
        <f t="shared" si="57"/>
        <v>0.14488847933745397</v>
      </c>
      <c r="T194" s="9">
        <f>K194/((COUNT($K$171:K194))*24*$Q$1)</f>
        <v>0.14488847933745397</v>
      </c>
      <c r="U194" s="28">
        <f>L194/((COUNT($L$18:L194))*24*$Q$1)</f>
        <v>0.15491607183397263</v>
      </c>
      <c r="V194" s="134">
        <v>11.5031</v>
      </c>
      <c r="Y194" s="27">
        <f t="shared" si="64"/>
        <v>45193</v>
      </c>
      <c r="Z194" s="5">
        <f>MONTH(Modelling_new[[#This Row],[Date]])</f>
        <v>9</v>
      </c>
      <c r="AA194" s="25">
        <f>YEAR(Y194)+IF(MONTH(Modelling_new[[#This Row],[Date]])&gt;=4,1,0)</f>
        <v>2024</v>
      </c>
      <c r="AB194" s="3">
        <f t="shared" si="58"/>
        <v>2023</v>
      </c>
      <c r="AC194" s="3" t="s">
        <v>626</v>
      </c>
      <c r="AD194" s="5" t="s">
        <v>626</v>
      </c>
      <c r="AE194" s="102">
        <v>45170</v>
      </c>
      <c r="AF194" s="5">
        <f t="shared" si="59"/>
        <v>30</v>
      </c>
      <c r="AG194" s="5">
        <f t="shared" si="60"/>
        <v>9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BD194" s="27">
        <f t="shared" si="65"/>
        <v>45193</v>
      </c>
      <c r="BE194" s="5">
        <f>MONTH(Modelling[[#This Row],[Date]])</f>
        <v>9</v>
      </c>
      <c r="BF194" s="25">
        <f>YEAR(BD194)+IF(MONTH(Modelling[[#This Row],[Date]])&gt;=4,1,0)</f>
        <v>2024</v>
      </c>
      <c r="BG194" s="3">
        <f t="shared" si="61"/>
        <v>2023</v>
      </c>
      <c r="BH194" s="3" t="s">
        <v>626</v>
      </c>
      <c r="BI194" s="5" t="s">
        <v>626</v>
      </c>
      <c r="BJ194" s="102">
        <v>45170</v>
      </c>
      <c r="BK194" s="5">
        <f t="shared" si="62"/>
        <v>30</v>
      </c>
      <c r="BL194" s="5">
        <f t="shared" si="63"/>
        <v>9</v>
      </c>
      <c r="BM194" s="4">
        <f>Modelling_old[[#This Row],[Target E_Grid daily
MWh]]+Modelling_new[[#This Row],[Target E_Grid daily
MWh]]</f>
        <v>40</v>
      </c>
      <c r="BN194" s="4">
        <f>Modelling_old[[#This Row],[Target E_Grid MTD
MWh]]+Modelling_new[[#This Row],[Target E_Grid MTD
MWh]]</f>
        <v>960</v>
      </c>
      <c r="BO194" s="4">
        <f>Modelling_old[[#This Row],[Target E_Grid YTD
MWh]]+Modelling_new[[#This Row],[Target E_Grid YTD
MWh]]</f>
        <v>7569.9999999999982</v>
      </c>
      <c r="BP19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94" s="4">
        <f>SUMIFS(Modelling[Target POA Daily (KWh/m2)],Modelling[Date],"&lt;="&amp;Modelling[[#This Row],[Date]],Modelling[Month Year],Modelling[[#This Row],[Month Year]])</f>
        <v>118.40000000000006</v>
      </c>
      <c r="BR194" s="4">
        <f>SUMIFS(Modelling[Target POA Daily (KWh/m2)],Modelling[Date],"&lt;="&amp;Modelling[[#This Row],[Date]],Modelling[Finacial Year],Modelling[[#This Row],[Finacial Year]])</f>
        <v>939.19999999999595</v>
      </c>
      <c r="BS194" s="9">
        <f>BM194/Modelling[[#This Row],[Comisined DC ]]/BP194</f>
        <v>0.70486287245247869</v>
      </c>
      <c r="BT194" s="9">
        <f>BN194/BQ194/Modelling[[#This Row],[Comisined DC ]]</f>
        <v>0.70486287245247836</v>
      </c>
      <c r="BU194" s="9">
        <f>BO194/BR194/Modelling[[#This Row],[Comisined DC ]]</f>
        <v>0.70068512899352486</v>
      </c>
      <c r="BV194" s="9">
        <f>BM194/(24*Modelling[[#This Row],[Comisined DC ]])</f>
        <v>0.14488847933745397</v>
      </c>
      <c r="BW194" s="9">
        <f>BN194/((COUNTIFS(Modelling[Date],"&lt;="&amp;Modelling[[#This Row],[Date]],Modelling[Month Year],Modelling[[#This Row],[Month Year]])*24*Modelling[[#This Row],[MTD DC Capcity]]))</f>
        <v>0.14488847933745402</v>
      </c>
      <c r="BX194" s="28">
        <f>BO194/((COUNTIFS(Modelling[Date],"&lt;="&amp;Modelling[[#This Row],[Date]],Modelling[Finacial Year],Modelling[[#This Row],[Finacial Year]])*24*Modelling[[#This Row],[MTD DC Capcity]]))</f>
        <v>0.15491607183397268</v>
      </c>
      <c r="BY194" s="4">
        <f>Modelling_old[[#This Row],[DC Capcity]]+Modelling_new[[#This Row],[Comisined DC ]]</f>
        <v>11.5031</v>
      </c>
      <c r="BZ194" s="4">
        <v>0</v>
      </c>
      <c r="CA194" s="4">
        <f>AVERAGEIFS(Modelling[[Comisined DC ]],Modelling[Date],"&lt;="&amp;Modelling[[#This Row],[Date]],Modelling[Month Year],Modelling[[#This Row],[Month Year]])</f>
        <v>11.503099999999996</v>
      </c>
      <c r="CB194" s="4">
        <f>AVERAGEIFS(Modelling[[Comisined DC ]],Modelling[Date],"&lt;="&amp;Modelling[[#This Row],[Date]],Modelling[Finacial Year],Modelling[[#This Row],[Finacial Year]])</f>
        <v>11.503099999999957</v>
      </c>
      <c r="CG194">
        <f t="shared" si="69"/>
        <v>24</v>
      </c>
      <c r="CH194">
        <f t="shared" si="67"/>
        <v>177</v>
      </c>
    </row>
    <row r="195" spans="1:86" x14ac:dyDescent="0.35">
      <c r="A195" s="27">
        <v>45194</v>
      </c>
      <c r="B195" s="5">
        <f>MONTH(Modelling_old[[#This Row],[Date]])</f>
        <v>9</v>
      </c>
      <c r="C195" s="25">
        <f t="shared" si="50"/>
        <v>2024</v>
      </c>
      <c r="D195" s="3">
        <f t="shared" si="51"/>
        <v>2023</v>
      </c>
      <c r="E195" s="3" t="s">
        <v>626</v>
      </c>
      <c r="F195" s="5" t="s">
        <v>626</v>
      </c>
      <c r="G195" s="102">
        <v>45170</v>
      </c>
      <c r="H195" s="5">
        <f t="shared" si="52"/>
        <v>30</v>
      </c>
      <c r="I195" s="5">
        <f t="shared" si="53"/>
        <v>9</v>
      </c>
      <c r="J195" s="4">
        <f t="shared" si="54"/>
        <v>40</v>
      </c>
      <c r="K195" s="4">
        <f>SUM($J$171:J195)</f>
        <v>1000</v>
      </c>
      <c r="L195" s="4">
        <f>SUM($J$18:J195)</f>
        <v>7609.9999999999982</v>
      </c>
      <c r="M195" s="4">
        <f t="shared" si="55"/>
        <v>4.9333333333333336</v>
      </c>
      <c r="N195" s="4">
        <f>SUM($M$171:M195)</f>
        <v>123.3333333333334</v>
      </c>
      <c r="O195" s="4">
        <f>SUM($M$18:M195)</f>
        <v>944.13333333332923</v>
      </c>
      <c r="P195" s="9">
        <f t="shared" si="56"/>
        <v>0.70486287245247869</v>
      </c>
      <c r="Q195" s="26">
        <f t="shared" si="68"/>
        <v>0.70486287245247836</v>
      </c>
      <c r="R195" s="26">
        <f t="shared" si="68"/>
        <v>0.70070695875033628</v>
      </c>
      <c r="S195" s="9">
        <f t="shared" si="57"/>
        <v>0.14488847933745397</v>
      </c>
      <c r="T195" s="9">
        <f>K195/((COUNT($K$171:K195))*24*$Q$1)</f>
        <v>0.14488847933745397</v>
      </c>
      <c r="U195" s="28">
        <f>L195/((COUNT($L$18:L195))*24*$Q$1)</f>
        <v>0.15485973704466635</v>
      </c>
      <c r="V195" s="134">
        <v>11.5031</v>
      </c>
      <c r="Y195" s="27">
        <f t="shared" si="64"/>
        <v>45194</v>
      </c>
      <c r="Z195" s="5">
        <f>MONTH(Modelling_new[[#This Row],[Date]])</f>
        <v>9</v>
      </c>
      <c r="AA195" s="25">
        <f>YEAR(Y195)+IF(MONTH(Modelling_new[[#This Row],[Date]])&gt;=4,1,0)</f>
        <v>2024</v>
      </c>
      <c r="AB195" s="3">
        <f t="shared" si="58"/>
        <v>2023</v>
      </c>
      <c r="AC195" s="3" t="s">
        <v>626</v>
      </c>
      <c r="AD195" s="5" t="s">
        <v>626</v>
      </c>
      <c r="AE195" s="102">
        <v>45170</v>
      </c>
      <c r="AF195" s="5">
        <f t="shared" si="59"/>
        <v>30</v>
      </c>
      <c r="AG195" s="5">
        <f t="shared" si="60"/>
        <v>9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BD195" s="27">
        <f t="shared" si="65"/>
        <v>45194</v>
      </c>
      <c r="BE195" s="5">
        <f>MONTH(Modelling[[#This Row],[Date]])</f>
        <v>9</v>
      </c>
      <c r="BF195" s="25">
        <f>YEAR(BD195)+IF(MONTH(Modelling[[#This Row],[Date]])&gt;=4,1,0)</f>
        <v>2024</v>
      </c>
      <c r="BG195" s="3">
        <f t="shared" si="61"/>
        <v>2023</v>
      </c>
      <c r="BH195" s="3" t="s">
        <v>626</v>
      </c>
      <c r="BI195" s="5" t="s">
        <v>626</v>
      </c>
      <c r="BJ195" s="102">
        <v>45170</v>
      </c>
      <c r="BK195" s="5">
        <f t="shared" si="62"/>
        <v>30</v>
      </c>
      <c r="BL195" s="5">
        <f t="shared" si="63"/>
        <v>9</v>
      </c>
      <c r="BM195" s="4">
        <f>Modelling_old[[#This Row],[Target E_Grid daily
MWh]]+Modelling_new[[#This Row],[Target E_Grid daily
MWh]]</f>
        <v>40</v>
      </c>
      <c r="BN195" s="4">
        <f>Modelling_old[[#This Row],[Target E_Grid MTD
MWh]]+Modelling_new[[#This Row],[Target E_Grid MTD
MWh]]</f>
        <v>1000</v>
      </c>
      <c r="BO195" s="4">
        <f>Modelling_old[[#This Row],[Target E_Grid YTD
MWh]]+Modelling_new[[#This Row],[Target E_Grid YTD
MWh]]</f>
        <v>7609.9999999999982</v>
      </c>
      <c r="BP19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95" s="4">
        <f>SUMIFS(Modelling[Target POA Daily (KWh/m2)],Modelling[Date],"&lt;="&amp;Modelling[[#This Row],[Date]],Modelling[Month Year],Modelling[[#This Row],[Month Year]])</f>
        <v>123.3333333333334</v>
      </c>
      <c r="BR195" s="4">
        <f>SUMIFS(Modelling[Target POA Daily (KWh/m2)],Modelling[Date],"&lt;="&amp;Modelling[[#This Row],[Date]],Modelling[Finacial Year],Modelling[[#This Row],[Finacial Year]])</f>
        <v>944.13333333332923</v>
      </c>
      <c r="BS195" s="9">
        <f>BM195/Modelling[[#This Row],[Comisined DC ]]/BP195</f>
        <v>0.70486287245247869</v>
      </c>
      <c r="BT195" s="9">
        <f>BN195/BQ195/Modelling[[#This Row],[Comisined DC ]]</f>
        <v>0.70486287245247836</v>
      </c>
      <c r="BU195" s="9">
        <f>BO195/BR195/Modelling[[#This Row],[Comisined DC ]]</f>
        <v>0.70070695875033628</v>
      </c>
      <c r="BV195" s="9">
        <f>BM195/(24*Modelling[[#This Row],[Comisined DC ]])</f>
        <v>0.14488847933745397</v>
      </c>
      <c r="BW195" s="9">
        <f>BN195/((COUNTIFS(Modelling[Date],"&lt;="&amp;Modelling[[#This Row],[Date]],Modelling[Month Year],Modelling[[#This Row],[Month Year]])*24*Modelling[[#This Row],[MTD DC Capcity]]))</f>
        <v>0.144888479337454</v>
      </c>
      <c r="BX195" s="28">
        <f>BO195/((COUNTIFS(Modelling[Date],"&lt;="&amp;Modelling[[#This Row],[Date]],Modelling[Finacial Year],Modelling[[#This Row],[Finacial Year]])*24*Modelling[[#This Row],[MTD DC Capcity]]))</f>
        <v>0.15485973704466641</v>
      </c>
      <c r="BY195" s="4">
        <f>Modelling_old[[#This Row],[DC Capcity]]+Modelling_new[[#This Row],[Comisined DC ]]</f>
        <v>11.5031</v>
      </c>
      <c r="BZ195" s="4">
        <v>0</v>
      </c>
      <c r="CA195" s="4">
        <f>AVERAGEIFS(Modelling[[Comisined DC ]],Modelling[Date],"&lt;="&amp;Modelling[[#This Row],[Date]],Modelling[Month Year],Modelling[[#This Row],[Month Year]])</f>
        <v>11.503099999999996</v>
      </c>
      <c r="CB195" s="4">
        <f>AVERAGEIFS(Modelling[[Comisined DC ]],Modelling[Date],"&lt;="&amp;Modelling[[#This Row],[Date]],Modelling[Finacial Year],Modelling[[#This Row],[Finacial Year]])</f>
        <v>11.503099999999957</v>
      </c>
      <c r="CG195">
        <f t="shared" si="69"/>
        <v>25</v>
      </c>
      <c r="CH195">
        <f t="shared" si="67"/>
        <v>178</v>
      </c>
    </row>
    <row r="196" spans="1:86" x14ac:dyDescent="0.35">
      <c r="A196" s="27">
        <v>45195</v>
      </c>
      <c r="B196" s="5">
        <f>MONTH(Modelling_old[[#This Row],[Date]])</f>
        <v>9</v>
      </c>
      <c r="C196" s="25">
        <f t="shared" si="50"/>
        <v>2024</v>
      </c>
      <c r="D196" s="3">
        <f t="shared" si="51"/>
        <v>2023</v>
      </c>
      <c r="E196" s="3" t="s">
        <v>626</v>
      </c>
      <c r="F196" s="5" t="s">
        <v>626</v>
      </c>
      <c r="G196" s="102">
        <v>45170</v>
      </c>
      <c r="H196" s="5">
        <f t="shared" si="52"/>
        <v>30</v>
      </c>
      <c r="I196" s="5">
        <f t="shared" si="53"/>
        <v>9</v>
      </c>
      <c r="J196" s="4">
        <f t="shared" si="54"/>
        <v>40</v>
      </c>
      <c r="K196" s="4">
        <f>SUM($J$171:J196)</f>
        <v>1040</v>
      </c>
      <c r="L196" s="4">
        <f>SUM($J$18:J196)</f>
        <v>7649.9999999999982</v>
      </c>
      <c r="M196" s="4">
        <f t="shared" si="55"/>
        <v>4.9333333333333336</v>
      </c>
      <c r="N196" s="4">
        <f>SUM($M$171:M196)</f>
        <v>128.26666666666674</v>
      </c>
      <c r="O196" s="4">
        <f>SUM($M$18:M196)</f>
        <v>949.06666666666251</v>
      </c>
      <c r="P196" s="9">
        <f t="shared" si="56"/>
        <v>0.70486287245247869</v>
      </c>
      <c r="Q196" s="26">
        <f t="shared" si="68"/>
        <v>0.70486287245247836</v>
      </c>
      <c r="R196" s="26">
        <f t="shared" si="68"/>
        <v>0.70072856156109498</v>
      </c>
      <c r="S196" s="9">
        <f t="shared" si="57"/>
        <v>0.14488847933745397</v>
      </c>
      <c r="T196" s="9">
        <f>K196/((COUNT($K$171:K196))*24*$Q$1)</f>
        <v>0.14488847933745397</v>
      </c>
      <c r="U196" s="28">
        <f>L196/((COUNT($L$18:L196))*24*$Q$1)</f>
        <v>0.15480403169434673</v>
      </c>
      <c r="V196" s="134">
        <v>11.5031</v>
      </c>
      <c r="Y196" s="27">
        <f t="shared" si="64"/>
        <v>45195</v>
      </c>
      <c r="Z196" s="5">
        <f>MONTH(Modelling_new[[#This Row],[Date]])</f>
        <v>9</v>
      </c>
      <c r="AA196" s="25">
        <f>YEAR(Y196)+IF(MONTH(Modelling_new[[#This Row],[Date]])&gt;=4,1,0)</f>
        <v>2024</v>
      </c>
      <c r="AB196" s="3">
        <f t="shared" si="58"/>
        <v>2023</v>
      </c>
      <c r="AC196" s="3" t="s">
        <v>626</v>
      </c>
      <c r="AD196" s="5" t="s">
        <v>626</v>
      </c>
      <c r="AE196" s="102">
        <v>45170</v>
      </c>
      <c r="AF196" s="5">
        <f t="shared" si="59"/>
        <v>30</v>
      </c>
      <c r="AG196" s="5">
        <f t="shared" si="60"/>
        <v>9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BD196" s="27">
        <f t="shared" si="65"/>
        <v>45195</v>
      </c>
      <c r="BE196" s="5">
        <f>MONTH(Modelling[[#This Row],[Date]])</f>
        <v>9</v>
      </c>
      <c r="BF196" s="25">
        <f>YEAR(BD196)+IF(MONTH(Modelling[[#This Row],[Date]])&gt;=4,1,0)</f>
        <v>2024</v>
      </c>
      <c r="BG196" s="3">
        <f t="shared" si="61"/>
        <v>2023</v>
      </c>
      <c r="BH196" s="3" t="s">
        <v>626</v>
      </c>
      <c r="BI196" s="5" t="s">
        <v>626</v>
      </c>
      <c r="BJ196" s="102">
        <v>45170</v>
      </c>
      <c r="BK196" s="5">
        <f t="shared" si="62"/>
        <v>30</v>
      </c>
      <c r="BL196" s="5">
        <f t="shared" si="63"/>
        <v>9</v>
      </c>
      <c r="BM196" s="4">
        <f>Modelling_old[[#This Row],[Target E_Grid daily
MWh]]+Modelling_new[[#This Row],[Target E_Grid daily
MWh]]</f>
        <v>40</v>
      </c>
      <c r="BN196" s="4">
        <f>Modelling_old[[#This Row],[Target E_Grid MTD
MWh]]+Modelling_new[[#This Row],[Target E_Grid MTD
MWh]]</f>
        <v>1040</v>
      </c>
      <c r="BO196" s="4">
        <f>Modelling_old[[#This Row],[Target E_Grid YTD
MWh]]+Modelling_new[[#This Row],[Target E_Grid YTD
MWh]]</f>
        <v>7649.9999999999982</v>
      </c>
      <c r="BP19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96" s="4">
        <f>SUMIFS(Modelling[Target POA Daily (KWh/m2)],Modelling[Date],"&lt;="&amp;Modelling[[#This Row],[Date]],Modelling[Month Year],Modelling[[#This Row],[Month Year]])</f>
        <v>128.26666666666674</v>
      </c>
      <c r="BR196" s="4">
        <f>SUMIFS(Modelling[Target POA Daily (KWh/m2)],Modelling[Date],"&lt;="&amp;Modelling[[#This Row],[Date]],Modelling[Finacial Year],Modelling[[#This Row],[Finacial Year]])</f>
        <v>949.06666666666251</v>
      </c>
      <c r="BS196" s="9">
        <f>BM196/Modelling[[#This Row],[Comisined DC ]]/BP196</f>
        <v>0.70486287245247869</v>
      </c>
      <c r="BT196" s="9">
        <f>BN196/BQ196/Modelling[[#This Row],[Comisined DC ]]</f>
        <v>0.70486287245247836</v>
      </c>
      <c r="BU196" s="9">
        <f>BO196/BR196/Modelling[[#This Row],[Comisined DC ]]</f>
        <v>0.70072856156109498</v>
      </c>
      <c r="BV196" s="9">
        <f>BM196/(24*Modelling[[#This Row],[Comisined DC ]])</f>
        <v>0.14488847933745397</v>
      </c>
      <c r="BW196" s="9">
        <f>BN196/((COUNTIFS(Modelling[Date],"&lt;="&amp;Modelling[[#This Row],[Date]],Modelling[Month Year],Modelling[[#This Row],[Month Year]])*24*Modelling[[#This Row],[MTD DC Capcity]]))</f>
        <v>0.14488847933745397</v>
      </c>
      <c r="BX196" s="28">
        <f>BO196/((COUNTIFS(Modelling[Date],"&lt;="&amp;Modelling[[#This Row],[Date]],Modelling[Finacial Year],Modelling[[#This Row],[Finacial Year]])*24*Modelling[[#This Row],[MTD DC Capcity]]))</f>
        <v>0.15480403169434673</v>
      </c>
      <c r="BY196" s="4">
        <f>Modelling_old[[#This Row],[DC Capcity]]+Modelling_new[[#This Row],[Comisined DC ]]</f>
        <v>11.5031</v>
      </c>
      <c r="BZ196" s="4">
        <v>0</v>
      </c>
      <c r="CA196" s="4">
        <f>AVERAGEIFS(Modelling[[Comisined DC ]],Modelling[Date],"&lt;="&amp;Modelling[[#This Row],[Date]],Modelling[Month Year],Modelling[[#This Row],[Month Year]])</f>
        <v>11.503099999999998</v>
      </c>
      <c r="CB196" s="4">
        <f>AVERAGEIFS(Modelling[[Comisined DC ]],Modelling[Date],"&lt;="&amp;Modelling[[#This Row],[Date]],Modelling[Finacial Year],Modelling[[#This Row],[Finacial Year]])</f>
        <v>11.503099999999957</v>
      </c>
      <c r="CG196">
        <f t="shared" si="69"/>
        <v>26</v>
      </c>
      <c r="CH196">
        <f t="shared" si="67"/>
        <v>179</v>
      </c>
    </row>
    <row r="197" spans="1:86" x14ac:dyDescent="0.35">
      <c r="A197" s="27">
        <v>45196</v>
      </c>
      <c r="B197" s="5">
        <f>MONTH(Modelling_old[[#This Row],[Date]])</f>
        <v>9</v>
      </c>
      <c r="C197" s="25">
        <f t="shared" si="50"/>
        <v>2024</v>
      </c>
      <c r="D197" s="3">
        <f t="shared" si="51"/>
        <v>2023</v>
      </c>
      <c r="E197" s="3" t="s">
        <v>626</v>
      </c>
      <c r="F197" s="5" t="s">
        <v>626</v>
      </c>
      <c r="G197" s="102">
        <v>45170</v>
      </c>
      <c r="H197" s="5">
        <f t="shared" si="52"/>
        <v>30</v>
      </c>
      <c r="I197" s="5">
        <f t="shared" si="53"/>
        <v>9</v>
      </c>
      <c r="J197" s="4">
        <f t="shared" si="54"/>
        <v>40</v>
      </c>
      <c r="K197" s="4">
        <f>SUM($J$171:J197)</f>
        <v>1080</v>
      </c>
      <c r="L197" s="4">
        <f>SUM($J$18:J197)</f>
        <v>7689.9999999999982</v>
      </c>
      <c r="M197" s="4">
        <f t="shared" si="55"/>
        <v>4.9333333333333336</v>
      </c>
      <c r="N197" s="4">
        <f>SUM($M$171:M197)</f>
        <v>133.20000000000007</v>
      </c>
      <c r="O197" s="4">
        <f>SUM($M$18:M197)</f>
        <v>953.99999999999579</v>
      </c>
      <c r="P197" s="9">
        <f t="shared" si="56"/>
        <v>0.70486287245247869</v>
      </c>
      <c r="Q197" s="26">
        <f t="shared" si="68"/>
        <v>0.70486287245247836</v>
      </c>
      <c r="R197" s="26">
        <f t="shared" si="68"/>
        <v>0.70074994094655696</v>
      </c>
      <c r="S197" s="9">
        <f t="shared" si="57"/>
        <v>0.14488847933745397</v>
      </c>
      <c r="T197" s="9">
        <f>K197/((COUNT($K$171:K197))*24*$Q$1)</f>
        <v>0.14488847933745397</v>
      </c>
      <c r="U197" s="28">
        <f>L197/((COUNT($L$18:L197))*24*$Q$1)</f>
        <v>0.15474894529236399</v>
      </c>
      <c r="V197" s="134">
        <v>11.5031</v>
      </c>
      <c r="Y197" s="27">
        <f t="shared" si="64"/>
        <v>45196</v>
      </c>
      <c r="Z197" s="5">
        <f>MONTH(Modelling_new[[#This Row],[Date]])</f>
        <v>9</v>
      </c>
      <c r="AA197" s="25">
        <f>YEAR(Y197)+IF(MONTH(Modelling_new[[#This Row],[Date]])&gt;=4,1,0)</f>
        <v>2024</v>
      </c>
      <c r="AB197" s="3">
        <f t="shared" si="58"/>
        <v>2023</v>
      </c>
      <c r="AC197" s="3" t="s">
        <v>626</v>
      </c>
      <c r="AD197" s="5" t="s">
        <v>626</v>
      </c>
      <c r="AE197" s="102">
        <v>45170</v>
      </c>
      <c r="AF197" s="5">
        <f t="shared" si="59"/>
        <v>30</v>
      </c>
      <c r="AG197" s="5">
        <f t="shared" si="60"/>
        <v>9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BD197" s="27">
        <f t="shared" si="65"/>
        <v>45196</v>
      </c>
      <c r="BE197" s="5">
        <f>MONTH(Modelling[[#This Row],[Date]])</f>
        <v>9</v>
      </c>
      <c r="BF197" s="25">
        <f>YEAR(BD197)+IF(MONTH(Modelling[[#This Row],[Date]])&gt;=4,1,0)</f>
        <v>2024</v>
      </c>
      <c r="BG197" s="3">
        <f t="shared" si="61"/>
        <v>2023</v>
      </c>
      <c r="BH197" s="3" t="s">
        <v>626</v>
      </c>
      <c r="BI197" s="5" t="s">
        <v>626</v>
      </c>
      <c r="BJ197" s="102">
        <v>45170</v>
      </c>
      <c r="BK197" s="5">
        <f t="shared" si="62"/>
        <v>30</v>
      </c>
      <c r="BL197" s="5">
        <f t="shared" si="63"/>
        <v>9</v>
      </c>
      <c r="BM197" s="4">
        <f>Modelling_old[[#This Row],[Target E_Grid daily
MWh]]+Modelling_new[[#This Row],[Target E_Grid daily
MWh]]</f>
        <v>40</v>
      </c>
      <c r="BN197" s="4">
        <f>Modelling_old[[#This Row],[Target E_Grid MTD
MWh]]+Modelling_new[[#This Row],[Target E_Grid MTD
MWh]]</f>
        <v>1080</v>
      </c>
      <c r="BO197" s="4">
        <f>Modelling_old[[#This Row],[Target E_Grid YTD
MWh]]+Modelling_new[[#This Row],[Target E_Grid YTD
MWh]]</f>
        <v>7689.9999999999982</v>
      </c>
      <c r="BP19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97" s="4">
        <f>SUMIFS(Modelling[Target POA Daily (KWh/m2)],Modelling[Date],"&lt;="&amp;Modelling[[#This Row],[Date]],Modelling[Month Year],Modelling[[#This Row],[Month Year]])</f>
        <v>133.20000000000007</v>
      </c>
      <c r="BR197" s="4">
        <f>SUMIFS(Modelling[Target POA Daily (KWh/m2)],Modelling[Date],"&lt;="&amp;Modelling[[#This Row],[Date]],Modelling[Finacial Year],Modelling[[#This Row],[Finacial Year]])</f>
        <v>953.99999999999579</v>
      </c>
      <c r="BS197" s="9">
        <f>BM197/Modelling[[#This Row],[Comisined DC ]]/BP197</f>
        <v>0.70486287245247869</v>
      </c>
      <c r="BT197" s="9">
        <f>BN197/BQ197/Modelling[[#This Row],[Comisined DC ]]</f>
        <v>0.70486287245247836</v>
      </c>
      <c r="BU197" s="9">
        <f>BO197/BR197/Modelling[[#This Row],[Comisined DC ]]</f>
        <v>0.70074994094655696</v>
      </c>
      <c r="BV197" s="9">
        <f>BM197/(24*Modelling[[#This Row],[Comisined DC ]])</f>
        <v>0.14488847933745397</v>
      </c>
      <c r="BW197" s="9">
        <f>BN197/((COUNTIFS(Modelling[Date],"&lt;="&amp;Modelling[[#This Row],[Date]],Modelling[Month Year],Modelling[[#This Row],[Month Year]])*24*Modelling[[#This Row],[MTD DC Capcity]]))</f>
        <v>0.144888479337454</v>
      </c>
      <c r="BX197" s="28">
        <f>BO197/((COUNTIFS(Modelling[Date],"&lt;="&amp;Modelling[[#This Row],[Date]],Modelling[Finacial Year],Modelling[[#This Row],[Finacial Year]])*24*Modelling[[#This Row],[MTD DC Capcity]]))</f>
        <v>0.15474894529236402</v>
      </c>
      <c r="BY197" s="4">
        <f>Modelling_old[[#This Row],[DC Capcity]]+Modelling_new[[#This Row],[Comisined DC ]]</f>
        <v>11.5031</v>
      </c>
      <c r="BZ197" s="4">
        <v>0</v>
      </c>
      <c r="CA197" s="4">
        <f>AVERAGEIFS(Modelling[[Comisined DC ]],Modelling[Date],"&lt;="&amp;Modelling[[#This Row],[Date]],Modelling[Month Year],Modelling[[#This Row],[Month Year]])</f>
        <v>11.503099999999998</v>
      </c>
      <c r="CB197" s="4">
        <f>AVERAGEIFS(Modelling[[Comisined DC ]],Modelling[Date],"&lt;="&amp;Modelling[[#This Row],[Date]],Modelling[Finacial Year],Modelling[[#This Row],[Finacial Year]])</f>
        <v>11.503099999999957</v>
      </c>
      <c r="CG197">
        <f t="shared" si="69"/>
        <v>27</v>
      </c>
      <c r="CH197">
        <f t="shared" si="67"/>
        <v>180</v>
      </c>
    </row>
    <row r="198" spans="1:86" x14ac:dyDescent="0.35">
      <c r="A198" s="27">
        <v>45197</v>
      </c>
      <c r="B198" s="5">
        <f>MONTH(Modelling_old[[#This Row],[Date]])</f>
        <v>9</v>
      </c>
      <c r="C198" s="25">
        <f t="shared" si="50"/>
        <v>2024</v>
      </c>
      <c r="D198" s="3">
        <f t="shared" si="51"/>
        <v>2023</v>
      </c>
      <c r="E198" s="3" t="s">
        <v>626</v>
      </c>
      <c r="F198" s="5" t="s">
        <v>626</v>
      </c>
      <c r="G198" s="102">
        <v>45170</v>
      </c>
      <c r="H198" s="5">
        <f t="shared" si="52"/>
        <v>30</v>
      </c>
      <c r="I198" s="5">
        <f t="shared" si="53"/>
        <v>9</v>
      </c>
      <c r="J198" s="4">
        <f t="shared" si="54"/>
        <v>40</v>
      </c>
      <c r="K198" s="4">
        <f>SUM($J$171:J198)</f>
        <v>1120</v>
      </c>
      <c r="L198" s="4">
        <f>SUM($J$18:J198)</f>
        <v>7729.9999999999982</v>
      </c>
      <c r="M198" s="4">
        <f t="shared" si="55"/>
        <v>4.9333333333333336</v>
      </c>
      <c r="N198" s="4">
        <f>SUM($M$171:M198)</f>
        <v>138.13333333333341</v>
      </c>
      <c r="O198" s="4">
        <f>SUM($M$18:M198)</f>
        <v>958.93333333332907</v>
      </c>
      <c r="P198" s="9">
        <f t="shared" si="56"/>
        <v>0.70486287245247869</v>
      </c>
      <c r="Q198" s="26">
        <f t="shared" si="68"/>
        <v>0.70486287245247836</v>
      </c>
      <c r="R198" s="26">
        <f t="shared" si="68"/>
        <v>0.70077110035502743</v>
      </c>
      <c r="S198" s="9">
        <f t="shared" si="57"/>
        <v>0.14488847933745397</v>
      </c>
      <c r="T198" s="9">
        <f>K198/((COUNT($K$171:K198))*24*$Q$1)</f>
        <v>0.14488847933745397</v>
      </c>
      <c r="U198" s="28">
        <f>L198/((COUNT($L$18:L198))*24*$Q$1)</f>
        <v>0.15469446757990593</v>
      </c>
      <c r="V198" s="134">
        <v>11.5031</v>
      </c>
      <c r="Y198" s="27">
        <f t="shared" si="64"/>
        <v>45197</v>
      </c>
      <c r="Z198" s="5">
        <f>MONTH(Modelling_new[[#This Row],[Date]])</f>
        <v>9</v>
      </c>
      <c r="AA198" s="25">
        <f>YEAR(Y198)+IF(MONTH(Modelling_new[[#This Row],[Date]])&gt;=4,1,0)</f>
        <v>2024</v>
      </c>
      <c r="AB198" s="3">
        <f t="shared" si="58"/>
        <v>2023</v>
      </c>
      <c r="AC198" s="3" t="s">
        <v>626</v>
      </c>
      <c r="AD198" s="5" t="s">
        <v>626</v>
      </c>
      <c r="AE198" s="102">
        <v>45170</v>
      </c>
      <c r="AF198" s="5">
        <f t="shared" si="59"/>
        <v>30</v>
      </c>
      <c r="AG198" s="5">
        <f t="shared" si="60"/>
        <v>9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BD198" s="27">
        <f t="shared" si="65"/>
        <v>45197</v>
      </c>
      <c r="BE198" s="5">
        <f>MONTH(Modelling[[#This Row],[Date]])</f>
        <v>9</v>
      </c>
      <c r="BF198" s="25">
        <f>YEAR(BD198)+IF(MONTH(Modelling[[#This Row],[Date]])&gt;=4,1,0)</f>
        <v>2024</v>
      </c>
      <c r="BG198" s="3">
        <f t="shared" si="61"/>
        <v>2023</v>
      </c>
      <c r="BH198" s="3" t="s">
        <v>626</v>
      </c>
      <c r="BI198" s="5" t="s">
        <v>626</v>
      </c>
      <c r="BJ198" s="102">
        <v>45170</v>
      </c>
      <c r="BK198" s="5">
        <f t="shared" si="62"/>
        <v>30</v>
      </c>
      <c r="BL198" s="5">
        <f t="shared" si="63"/>
        <v>9</v>
      </c>
      <c r="BM198" s="4">
        <f>Modelling_old[[#This Row],[Target E_Grid daily
MWh]]+Modelling_new[[#This Row],[Target E_Grid daily
MWh]]</f>
        <v>40</v>
      </c>
      <c r="BN198" s="4">
        <f>Modelling_old[[#This Row],[Target E_Grid MTD
MWh]]+Modelling_new[[#This Row],[Target E_Grid MTD
MWh]]</f>
        <v>1120</v>
      </c>
      <c r="BO198" s="4">
        <f>Modelling_old[[#This Row],[Target E_Grid YTD
MWh]]+Modelling_new[[#This Row],[Target E_Grid YTD
MWh]]</f>
        <v>7729.9999999999982</v>
      </c>
      <c r="BP19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98" s="4">
        <f>SUMIFS(Modelling[Target POA Daily (KWh/m2)],Modelling[Date],"&lt;="&amp;Modelling[[#This Row],[Date]],Modelling[Month Year],Modelling[[#This Row],[Month Year]])</f>
        <v>138.13333333333341</v>
      </c>
      <c r="BR198" s="4">
        <f>SUMIFS(Modelling[Target POA Daily (KWh/m2)],Modelling[Date],"&lt;="&amp;Modelling[[#This Row],[Date]],Modelling[Finacial Year],Modelling[[#This Row],[Finacial Year]])</f>
        <v>958.93333333332907</v>
      </c>
      <c r="BS198" s="9">
        <f>BM198/Modelling[[#This Row],[Comisined DC ]]/BP198</f>
        <v>0.70486287245247869</v>
      </c>
      <c r="BT198" s="9">
        <f>BN198/BQ198/Modelling[[#This Row],[Comisined DC ]]</f>
        <v>0.70486287245247836</v>
      </c>
      <c r="BU198" s="9">
        <f>BO198/BR198/Modelling[[#This Row],[Comisined DC ]]</f>
        <v>0.70077110035502743</v>
      </c>
      <c r="BV198" s="9">
        <f>BM198/(24*Modelling[[#This Row],[Comisined DC ]])</f>
        <v>0.14488847933745397</v>
      </c>
      <c r="BW198" s="9">
        <f>BN198/((COUNTIFS(Modelling[Date],"&lt;="&amp;Modelling[[#This Row],[Date]],Modelling[Month Year],Modelling[[#This Row],[Month Year]])*24*Modelling[[#This Row],[MTD DC Capcity]]))</f>
        <v>0.14488847933745397</v>
      </c>
      <c r="BX198" s="28">
        <f>BO198/((COUNTIFS(Modelling[Date],"&lt;="&amp;Modelling[[#This Row],[Date]],Modelling[Finacial Year],Modelling[[#This Row],[Finacial Year]])*24*Modelling[[#This Row],[MTD DC Capcity]]))</f>
        <v>0.15469446757990593</v>
      </c>
      <c r="BY198" s="4">
        <f>Modelling_old[[#This Row],[DC Capcity]]+Modelling_new[[#This Row],[Comisined DC ]]</f>
        <v>11.5031</v>
      </c>
      <c r="BZ198" s="4">
        <v>0</v>
      </c>
      <c r="CA198" s="4">
        <f>AVERAGEIFS(Modelling[[Comisined DC ]],Modelling[Date],"&lt;="&amp;Modelling[[#This Row],[Date]],Modelling[Month Year],Modelling[[#This Row],[Month Year]])</f>
        <v>11.5031</v>
      </c>
      <c r="CB198" s="4">
        <f>AVERAGEIFS(Modelling[[Comisined DC ]],Modelling[Date],"&lt;="&amp;Modelling[[#This Row],[Date]],Modelling[Finacial Year],Modelling[[#This Row],[Finacial Year]])</f>
        <v>11.503099999999957</v>
      </c>
      <c r="CG198">
        <f t="shared" si="69"/>
        <v>28</v>
      </c>
      <c r="CH198">
        <f t="shared" si="67"/>
        <v>181</v>
      </c>
    </row>
    <row r="199" spans="1:86" x14ac:dyDescent="0.35">
      <c r="A199" s="27">
        <v>45198</v>
      </c>
      <c r="B199" s="5">
        <f>MONTH(Modelling_old[[#This Row],[Date]])</f>
        <v>9</v>
      </c>
      <c r="C199" s="25">
        <f t="shared" si="50"/>
        <v>2024</v>
      </c>
      <c r="D199" s="3">
        <f t="shared" si="51"/>
        <v>2023</v>
      </c>
      <c r="E199" s="3" t="s">
        <v>626</v>
      </c>
      <c r="F199" s="5" t="s">
        <v>626</v>
      </c>
      <c r="G199" s="102">
        <v>45170</v>
      </c>
      <c r="H199" s="5">
        <f t="shared" si="52"/>
        <v>30</v>
      </c>
      <c r="I199" s="5">
        <f t="shared" si="53"/>
        <v>9</v>
      </c>
      <c r="J199" s="4">
        <f t="shared" si="54"/>
        <v>40</v>
      </c>
      <c r="K199" s="4">
        <f>SUM($J$171:J199)</f>
        <v>1160</v>
      </c>
      <c r="L199" s="4">
        <f>SUM($J$18:J199)</f>
        <v>7769.9999999999982</v>
      </c>
      <c r="M199" s="4">
        <f t="shared" si="55"/>
        <v>4.9333333333333336</v>
      </c>
      <c r="N199" s="4">
        <f>SUM($M$171:M199)</f>
        <v>143.06666666666675</v>
      </c>
      <c r="O199" s="4">
        <f>SUM($M$18:M199)</f>
        <v>963.86666666666235</v>
      </c>
      <c r="P199" s="9">
        <f t="shared" si="56"/>
        <v>0.70486287245247869</v>
      </c>
      <c r="Q199" s="26">
        <f t="shared" si="68"/>
        <v>0.70486287245247836</v>
      </c>
      <c r="R199" s="26">
        <f t="shared" si="68"/>
        <v>0.7007920431642134</v>
      </c>
      <c r="S199" s="9">
        <f t="shared" si="57"/>
        <v>0.14488847933745397</v>
      </c>
      <c r="T199" s="9">
        <f>K199/((COUNT($K$171:K199))*24*$Q$1)</f>
        <v>0.14488847933745397</v>
      </c>
      <c r="U199" s="28">
        <f>L199/((COUNT($L$18:L199))*24*$Q$1)</f>
        <v>0.15464058852362869</v>
      </c>
      <c r="V199" s="134">
        <v>11.5031</v>
      </c>
      <c r="Y199" s="27">
        <f t="shared" si="64"/>
        <v>45198</v>
      </c>
      <c r="Z199" s="5">
        <f>MONTH(Modelling_new[[#This Row],[Date]])</f>
        <v>9</v>
      </c>
      <c r="AA199" s="25">
        <f>YEAR(Y199)+IF(MONTH(Modelling_new[[#This Row],[Date]])&gt;=4,1,0)</f>
        <v>2024</v>
      </c>
      <c r="AB199" s="3">
        <f t="shared" si="58"/>
        <v>2023</v>
      </c>
      <c r="AC199" s="3" t="s">
        <v>626</v>
      </c>
      <c r="AD199" s="5" t="s">
        <v>626</v>
      </c>
      <c r="AE199" s="102">
        <v>45170</v>
      </c>
      <c r="AF199" s="5">
        <f t="shared" si="59"/>
        <v>30</v>
      </c>
      <c r="AG199" s="5">
        <f t="shared" si="60"/>
        <v>9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BD199" s="27">
        <f t="shared" si="65"/>
        <v>45198</v>
      </c>
      <c r="BE199" s="5">
        <f>MONTH(Modelling[[#This Row],[Date]])</f>
        <v>9</v>
      </c>
      <c r="BF199" s="25">
        <f>YEAR(BD199)+IF(MONTH(Modelling[[#This Row],[Date]])&gt;=4,1,0)</f>
        <v>2024</v>
      </c>
      <c r="BG199" s="3">
        <f t="shared" si="61"/>
        <v>2023</v>
      </c>
      <c r="BH199" s="3" t="s">
        <v>626</v>
      </c>
      <c r="BI199" s="5" t="s">
        <v>626</v>
      </c>
      <c r="BJ199" s="102">
        <v>45170</v>
      </c>
      <c r="BK199" s="5">
        <f t="shared" si="62"/>
        <v>30</v>
      </c>
      <c r="BL199" s="5">
        <f t="shared" si="63"/>
        <v>9</v>
      </c>
      <c r="BM199" s="4">
        <f>Modelling_old[[#This Row],[Target E_Grid daily
MWh]]+Modelling_new[[#This Row],[Target E_Grid daily
MWh]]</f>
        <v>40</v>
      </c>
      <c r="BN199" s="4">
        <f>Modelling_old[[#This Row],[Target E_Grid MTD
MWh]]+Modelling_new[[#This Row],[Target E_Grid MTD
MWh]]</f>
        <v>1160</v>
      </c>
      <c r="BO199" s="4">
        <f>Modelling_old[[#This Row],[Target E_Grid YTD
MWh]]+Modelling_new[[#This Row],[Target E_Grid YTD
MWh]]</f>
        <v>7769.9999999999982</v>
      </c>
      <c r="BP19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199" s="4">
        <f>SUMIFS(Modelling[Target POA Daily (KWh/m2)],Modelling[Date],"&lt;="&amp;Modelling[[#This Row],[Date]],Modelling[Month Year],Modelling[[#This Row],[Month Year]])</f>
        <v>143.06666666666675</v>
      </c>
      <c r="BR199" s="4">
        <f>SUMIFS(Modelling[Target POA Daily (KWh/m2)],Modelling[Date],"&lt;="&amp;Modelling[[#This Row],[Date]],Modelling[Finacial Year],Modelling[[#This Row],[Finacial Year]])</f>
        <v>963.86666666666235</v>
      </c>
      <c r="BS199" s="9">
        <f>BM199/Modelling[[#This Row],[Comisined DC ]]/BP199</f>
        <v>0.70486287245247869</v>
      </c>
      <c r="BT199" s="9">
        <f>BN199/BQ199/Modelling[[#This Row],[Comisined DC ]]</f>
        <v>0.70486287245247836</v>
      </c>
      <c r="BU199" s="9">
        <f>BO199/BR199/Modelling[[#This Row],[Comisined DC ]]</f>
        <v>0.7007920431642134</v>
      </c>
      <c r="BV199" s="9">
        <f>BM199/(24*Modelling[[#This Row],[Comisined DC ]])</f>
        <v>0.14488847933745397</v>
      </c>
      <c r="BW199" s="9">
        <f>BN199/((COUNTIFS(Modelling[Date],"&lt;="&amp;Modelling[[#This Row],[Date]],Modelling[Month Year],Modelling[[#This Row],[Month Year]])*24*Modelling[[#This Row],[MTD DC Capcity]]))</f>
        <v>0.14488847933745397</v>
      </c>
      <c r="BX199" s="28">
        <f>BO199/((COUNTIFS(Modelling[Date],"&lt;="&amp;Modelling[[#This Row],[Date]],Modelling[Finacial Year],Modelling[[#This Row],[Finacial Year]])*24*Modelling[[#This Row],[MTD DC Capcity]]))</f>
        <v>0.15464058852362869</v>
      </c>
      <c r="BY199" s="4">
        <f>Modelling_old[[#This Row],[DC Capcity]]+Modelling_new[[#This Row],[Comisined DC ]]</f>
        <v>11.5031</v>
      </c>
      <c r="BZ199" s="4">
        <v>0</v>
      </c>
      <c r="CA199" s="4">
        <f>AVERAGEIFS(Modelling[[Comisined DC ]],Modelling[Date],"&lt;="&amp;Modelling[[#This Row],[Date]],Modelling[Month Year],Modelling[[#This Row],[Month Year]])</f>
        <v>11.5031</v>
      </c>
      <c r="CB199" s="4">
        <f>AVERAGEIFS(Modelling[[Comisined DC ]],Modelling[Date],"&lt;="&amp;Modelling[[#This Row],[Date]],Modelling[Finacial Year],Modelling[[#This Row],[Finacial Year]])</f>
        <v>11.503099999999957</v>
      </c>
      <c r="CG199">
        <f t="shared" si="69"/>
        <v>29</v>
      </c>
      <c r="CH199">
        <f t="shared" si="67"/>
        <v>182</v>
      </c>
    </row>
    <row r="200" spans="1:86" x14ac:dyDescent="0.35">
      <c r="A200" s="27">
        <v>45199</v>
      </c>
      <c r="B200" s="5">
        <f>MONTH(Modelling_old[[#This Row],[Date]])</f>
        <v>9</v>
      </c>
      <c r="C200" s="25">
        <f t="shared" si="50"/>
        <v>2024</v>
      </c>
      <c r="D200" s="3">
        <f t="shared" si="51"/>
        <v>2023</v>
      </c>
      <c r="E200" s="3" t="s">
        <v>626</v>
      </c>
      <c r="F200" s="5" t="s">
        <v>626</v>
      </c>
      <c r="G200" s="102">
        <v>45170</v>
      </c>
      <c r="H200" s="5">
        <f t="shared" si="52"/>
        <v>30</v>
      </c>
      <c r="I200" s="5">
        <f t="shared" si="53"/>
        <v>9</v>
      </c>
      <c r="J200" s="4">
        <f t="shared" si="54"/>
        <v>40</v>
      </c>
      <c r="K200" s="4">
        <f>SUM($J$171:J200)</f>
        <v>1200</v>
      </c>
      <c r="L200" s="4">
        <f>SUM($J$18:J200)</f>
        <v>7809.9999999999982</v>
      </c>
      <c r="M200" s="4">
        <f t="shared" si="55"/>
        <v>4.9333333333333336</v>
      </c>
      <c r="N200" s="4">
        <f>SUM($M$171:M200)</f>
        <v>148.00000000000009</v>
      </c>
      <c r="O200" s="4">
        <f>SUM($M$18:M200)</f>
        <v>968.79999999999563</v>
      </c>
      <c r="P200" s="9">
        <f t="shared" si="56"/>
        <v>0.70486287245247869</v>
      </c>
      <c r="Q200" s="26">
        <f t="shared" si="68"/>
        <v>0.70486287245247836</v>
      </c>
      <c r="R200" s="26">
        <f t="shared" si="68"/>
        <v>0.70081277268302244</v>
      </c>
      <c r="S200" s="9">
        <f t="shared" si="57"/>
        <v>0.14488847933745397</v>
      </c>
      <c r="T200" s="9">
        <f>K200/((COUNT($K$171:K200))*24*$Q$1)</f>
        <v>0.14488847933745397</v>
      </c>
      <c r="U200" s="28">
        <f>L200/((COUNT($L$18:L200))*24*$Q$1)</f>
        <v>0.15458729830949661</v>
      </c>
      <c r="V200" s="134">
        <v>11.5031</v>
      </c>
      <c r="Y200" s="27">
        <f t="shared" si="64"/>
        <v>45199</v>
      </c>
      <c r="Z200" s="5">
        <f>MONTH(Modelling_new[[#This Row],[Date]])</f>
        <v>9</v>
      </c>
      <c r="AA200" s="25">
        <f>YEAR(Y200)+IF(MONTH(Modelling_new[[#This Row],[Date]])&gt;=4,1,0)</f>
        <v>2024</v>
      </c>
      <c r="AB200" s="3">
        <f t="shared" si="58"/>
        <v>2023</v>
      </c>
      <c r="AC200" s="3" t="s">
        <v>626</v>
      </c>
      <c r="AD200" s="5" t="s">
        <v>626</v>
      </c>
      <c r="AE200" s="102">
        <v>45170</v>
      </c>
      <c r="AF200" s="5">
        <f t="shared" si="59"/>
        <v>30</v>
      </c>
      <c r="AG200" s="5">
        <f t="shared" si="60"/>
        <v>9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BD200" s="27">
        <f t="shared" si="65"/>
        <v>45199</v>
      </c>
      <c r="BE200" s="5">
        <f>MONTH(Modelling[[#This Row],[Date]])</f>
        <v>9</v>
      </c>
      <c r="BF200" s="25">
        <f>YEAR(BD200)+IF(MONTH(Modelling[[#This Row],[Date]])&gt;=4,1,0)</f>
        <v>2024</v>
      </c>
      <c r="BG200" s="3">
        <f t="shared" si="61"/>
        <v>2023</v>
      </c>
      <c r="BH200" s="3" t="s">
        <v>626</v>
      </c>
      <c r="BI200" s="5" t="s">
        <v>626</v>
      </c>
      <c r="BJ200" s="102">
        <v>45170</v>
      </c>
      <c r="BK200" s="5">
        <f t="shared" si="62"/>
        <v>30</v>
      </c>
      <c r="BL200" s="5">
        <f t="shared" si="63"/>
        <v>9</v>
      </c>
      <c r="BM200" s="4">
        <f>Modelling_old[[#This Row],[Target E_Grid daily
MWh]]+Modelling_new[[#This Row],[Target E_Grid daily
MWh]]</f>
        <v>40</v>
      </c>
      <c r="BN200" s="4">
        <f>Modelling_old[[#This Row],[Target E_Grid MTD
MWh]]+Modelling_new[[#This Row],[Target E_Grid MTD
MWh]]</f>
        <v>1200</v>
      </c>
      <c r="BO200" s="4">
        <f>Modelling_old[[#This Row],[Target E_Grid YTD
MWh]]+Modelling_new[[#This Row],[Target E_Grid YTD
MWh]]</f>
        <v>7809.9999999999982</v>
      </c>
      <c r="BP20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4.9333333333333336</v>
      </c>
      <c r="BQ200" s="4">
        <f>SUMIFS(Modelling[Target POA Daily (KWh/m2)],Modelling[Date],"&lt;="&amp;Modelling[[#This Row],[Date]],Modelling[Month Year],Modelling[[#This Row],[Month Year]])</f>
        <v>148.00000000000009</v>
      </c>
      <c r="BR200" s="4">
        <f>SUMIFS(Modelling[Target POA Daily (KWh/m2)],Modelling[Date],"&lt;="&amp;Modelling[[#This Row],[Date]],Modelling[Finacial Year],Modelling[[#This Row],[Finacial Year]])</f>
        <v>968.79999999999563</v>
      </c>
      <c r="BS200" s="9">
        <f>BM200/Modelling[[#This Row],[Comisined DC ]]/BP200</f>
        <v>0.70486287245247869</v>
      </c>
      <c r="BT200" s="9">
        <f>BN200/BQ200/Modelling[[#This Row],[Comisined DC ]]</f>
        <v>0.70486287245247836</v>
      </c>
      <c r="BU200" s="9">
        <f>BO200/BR200/Modelling[[#This Row],[Comisined DC ]]</f>
        <v>0.70081277268302244</v>
      </c>
      <c r="BV200" s="9">
        <f>BM200/(24*Modelling[[#This Row],[Comisined DC ]])</f>
        <v>0.14488847933745397</v>
      </c>
      <c r="BW200" s="9">
        <f>BN200/((COUNTIFS(Modelling[Date],"&lt;="&amp;Modelling[[#This Row],[Date]],Modelling[Month Year],Modelling[[#This Row],[Month Year]])*24*Modelling[[#This Row],[MTD DC Capcity]]))</f>
        <v>0.14488847933745397</v>
      </c>
      <c r="BX200" s="28">
        <f>BO200/((COUNTIFS(Modelling[Date],"&lt;="&amp;Modelling[[#This Row],[Date]],Modelling[Finacial Year],Modelling[[#This Row],[Finacial Year]])*24*Modelling[[#This Row],[MTD DC Capcity]]))</f>
        <v>0.15458729830949661</v>
      </c>
      <c r="BY200" s="4">
        <f>Modelling_old[[#This Row],[DC Capcity]]+Modelling_new[[#This Row],[Comisined DC ]]</f>
        <v>11.5031</v>
      </c>
      <c r="BZ200" s="4">
        <v>0</v>
      </c>
      <c r="CA200" s="4">
        <f>AVERAGEIFS(Modelling[[Comisined DC ]],Modelling[Date],"&lt;="&amp;Modelling[[#This Row],[Date]],Modelling[Month Year],Modelling[[#This Row],[Month Year]])</f>
        <v>11.5031</v>
      </c>
      <c r="CB200" s="4">
        <f>AVERAGEIFS(Modelling[[Comisined DC ]],Modelling[Date],"&lt;="&amp;Modelling[[#This Row],[Date]],Modelling[Finacial Year],Modelling[[#This Row],[Finacial Year]])</f>
        <v>11.503099999999955</v>
      </c>
      <c r="CG200">
        <f t="shared" si="69"/>
        <v>30</v>
      </c>
      <c r="CH200">
        <f t="shared" si="67"/>
        <v>183</v>
      </c>
    </row>
    <row r="201" spans="1:86" x14ac:dyDescent="0.35">
      <c r="A201" s="27">
        <v>45200</v>
      </c>
      <c r="B201" s="5">
        <f>MONTH(Modelling_old[[#This Row],[Date]])</f>
        <v>10</v>
      </c>
      <c r="C201" s="25">
        <f t="shared" si="50"/>
        <v>2024</v>
      </c>
      <c r="D201" s="3">
        <f t="shared" si="51"/>
        <v>2023</v>
      </c>
      <c r="E201" s="3" t="s">
        <v>626</v>
      </c>
      <c r="F201" s="5" t="s">
        <v>626</v>
      </c>
      <c r="G201" s="102">
        <v>45200</v>
      </c>
      <c r="H201" s="5">
        <f t="shared" si="52"/>
        <v>31</v>
      </c>
      <c r="I201" s="5">
        <f t="shared" si="53"/>
        <v>10</v>
      </c>
      <c r="J201" s="4">
        <f t="shared" si="54"/>
        <v>49.354838709677416</v>
      </c>
      <c r="K201" s="4">
        <f>SUM($J$201:J201)</f>
        <v>49.354838709677416</v>
      </c>
      <c r="L201" s="4">
        <f>SUM($J$18:J201)</f>
        <v>7859.3548387096753</v>
      </c>
      <c r="M201" s="4">
        <f t="shared" si="55"/>
        <v>6.0354838709677416</v>
      </c>
      <c r="N201" s="4">
        <f>SUM($M$201:M201)</f>
        <v>6.0354838709677416</v>
      </c>
      <c r="O201" s="4">
        <f>SUM($M$18:M201)</f>
        <v>974.83548387096334</v>
      </c>
      <c r="P201" s="9">
        <f t="shared" si="56"/>
        <v>0.71089056136709106</v>
      </c>
      <c r="Q201" s="26">
        <f t="shared" si="68"/>
        <v>0.71089056136709117</v>
      </c>
      <c r="R201" s="26">
        <f t="shared" si="68"/>
        <v>0.70087516714040943</v>
      </c>
      <c r="S201" s="9">
        <f t="shared" si="57"/>
        <v>0.17877368821476175</v>
      </c>
      <c r="T201" s="9">
        <f>K201/((COUNT($K$201:K201))*24*$Q$1)</f>
        <v>0.17877368821476175</v>
      </c>
      <c r="U201" s="28">
        <f>L201/((COUNT($L$18:L201))*24*$Q$1)</f>
        <v>0.15471874608072086</v>
      </c>
      <c r="V201" s="134">
        <v>11.5031</v>
      </c>
      <c r="Y201" s="27">
        <f t="shared" si="64"/>
        <v>45200</v>
      </c>
      <c r="Z201" s="5">
        <f>MONTH(Modelling_new[[#This Row],[Date]])</f>
        <v>10</v>
      </c>
      <c r="AA201" s="25">
        <f>YEAR(Y201)+IF(MONTH(Modelling_new[[#This Row],[Date]])&gt;=4,1,0)</f>
        <v>2024</v>
      </c>
      <c r="AB201" s="3">
        <f t="shared" si="58"/>
        <v>2023</v>
      </c>
      <c r="AC201" s="3" t="s">
        <v>626</v>
      </c>
      <c r="AD201" s="5" t="s">
        <v>626</v>
      </c>
      <c r="AE201" s="102">
        <v>45200</v>
      </c>
      <c r="AF201" s="5">
        <f t="shared" si="59"/>
        <v>31</v>
      </c>
      <c r="AG201" s="5">
        <f t="shared" si="60"/>
        <v>10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BD201" s="27">
        <f t="shared" si="65"/>
        <v>45200</v>
      </c>
      <c r="BE201" s="5">
        <f>MONTH(Modelling[[#This Row],[Date]])</f>
        <v>10</v>
      </c>
      <c r="BF201" s="25">
        <f>YEAR(BD201)+IF(MONTH(Modelling[[#This Row],[Date]])&gt;=4,1,0)</f>
        <v>2024</v>
      </c>
      <c r="BG201" s="3">
        <f t="shared" si="61"/>
        <v>2023</v>
      </c>
      <c r="BH201" s="3" t="s">
        <v>626</v>
      </c>
      <c r="BI201" s="5" t="s">
        <v>626</v>
      </c>
      <c r="BJ201" s="102">
        <v>45200</v>
      </c>
      <c r="BK201" s="5">
        <f t="shared" si="62"/>
        <v>31</v>
      </c>
      <c r="BL201" s="5">
        <f t="shared" si="63"/>
        <v>10</v>
      </c>
      <c r="BM201" s="4">
        <f>Modelling_old[[#This Row],[Target E_Grid daily
MWh]]+Modelling_new[[#This Row],[Target E_Grid daily
MWh]]</f>
        <v>49.354838709677416</v>
      </c>
      <c r="BN201" s="4">
        <f>Modelling_old[[#This Row],[Target E_Grid MTD
MWh]]+Modelling_new[[#This Row],[Target E_Grid MTD
MWh]]</f>
        <v>49.354838709677416</v>
      </c>
      <c r="BO201" s="4">
        <f>Modelling_old[[#This Row],[Target E_Grid YTD
MWh]]+Modelling_new[[#This Row],[Target E_Grid YTD
MWh]]</f>
        <v>7859.3548387096753</v>
      </c>
      <c r="BP20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01" s="4">
        <f>SUMIFS(Modelling[Target POA Daily (KWh/m2)],Modelling[Date],"&lt;="&amp;Modelling[[#This Row],[Date]],Modelling[Month Year],Modelling[[#This Row],[Month Year]])</f>
        <v>6.0354838709677416</v>
      </c>
      <c r="BR201" s="4">
        <f>SUMIFS(Modelling[Target POA Daily (KWh/m2)],Modelling[Date],"&lt;="&amp;Modelling[[#This Row],[Date]],Modelling[Finacial Year],Modelling[[#This Row],[Finacial Year]])</f>
        <v>974.83548387096334</v>
      </c>
      <c r="BS201" s="9">
        <f>BM201/Modelling[[#This Row],[Comisined DC ]]/BP201</f>
        <v>0.71089056136709106</v>
      </c>
      <c r="BT201" s="9">
        <f>BN201/BQ201/Modelling[[#This Row],[Comisined DC ]]</f>
        <v>0.71089056136709117</v>
      </c>
      <c r="BU201" s="9">
        <f>BO201/BR201/Modelling[[#This Row],[Comisined DC ]]</f>
        <v>0.70087516714040943</v>
      </c>
      <c r="BV201" s="9">
        <f>BM201/(24*Modelling[[#This Row],[Comisined DC ]])</f>
        <v>0.17877368821476175</v>
      </c>
      <c r="BW201" s="9">
        <f>BN201/((COUNTIFS(Modelling[Date],"&lt;="&amp;Modelling[[#This Row],[Date]],Modelling[Month Year],Modelling[[#This Row],[Month Year]])*24*Modelling[[#This Row],[MTD DC Capcity]]))</f>
        <v>0.17877368821476175</v>
      </c>
      <c r="BX201" s="28">
        <f>BO201/((COUNTIFS(Modelling[Date],"&lt;="&amp;Modelling[[#This Row],[Date]],Modelling[Finacial Year],Modelling[[#This Row],[Finacial Year]])*24*Modelling[[#This Row],[MTD DC Capcity]]))</f>
        <v>0.15471874608072086</v>
      </c>
      <c r="BY201" s="4">
        <f>Modelling_old[[#This Row],[DC Capcity]]+Modelling_new[[#This Row],[Comisined DC ]]</f>
        <v>11.5031</v>
      </c>
      <c r="BZ201" s="4">
        <v>0</v>
      </c>
      <c r="CA201" s="4">
        <f>AVERAGEIFS(Modelling[[Comisined DC ]],Modelling[Date],"&lt;="&amp;Modelling[[#This Row],[Date]],Modelling[Month Year],Modelling[[#This Row],[Month Year]])</f>
        <v>11.5031</v>
      </c>
      <c r="CB201" s="4">
        <f>AVERAGEIFS(Modelling[[Comisined DC ]],Modelling[Date],"&lt;="&amp;Modelling[[#This Row],[Date]],Modelling[Finacial Year],Modelling[[#This Row],[Finacial Year]])</f>
        <v>11.503099999999955</v>
      </c>
      <c r="CG201">
        <v>1</v>
      </c>
      <c r="CH201">
        <f t="shared" si="67"/>
        <v>184</v>
      </c>
    </row>
    <row r="202" spans="1:86" x14ac:dyDescent="0.35">
      <c r="A202" s="27">
        <v>45201</v>
      </c>
      <c r="B202" s="5">
        <f>MONTH(Modelling_old[[#This Row],[Date]])</f>
        <v>10</v>
      </c>
      <c r="C202" s="25">
        <f t="shared" si="50"/>
        <v>2024</v>
      </c>
      <c r="D202" s="3">
        <f t="shared" si="51"/>
        <v>2023</v>
      </c>
      <c r="E202" s="3" t="s">
        <v>626</v>
      </c>
      <c r="F202" s="5" t="s">
        <v>626</v>
      </c>
      <c r="G202" s="102">
        <v>45200</v>
      </c>
      <c r="H202" s="5">
        <f t="shared" si="52"/>
        <v>31</v>
      </c>
      <c r="I202" s="5">
        <f t="shared" si="53"/>
        <v>10</v>
      </c>
      <c r="J202" s="4">
        <f t="shared" si="54"/>
        <v>49.354838709677416</v>
      </c>
      <c r="K202" s="4">
        <f>SUM($J$201:J202)</f>
        <v>98.709677419354833</v>
      </c>
      <c r="L202" s="4">
        <f>SUM($J$18:J202)</f>
        <v>7908.7096774193524</v>
      </c>
      <c r="M202" s="4">
        <f t="shared" si="55"/>
        <v>6.0354838709677416</v>
      </c>
      <c r="N202" s="4">
        <f>SUM($M$201:M202)</f>
        <v>12.070967741935483</v>
      </c>
      <c r="O202" s="4">
        <f>SUM($M$18:M202)</f>
        <v>980.87096774193105</v>
      </c>
      <c r="P202" s="9">
        <f t="shared" si="56"/>
        <v>0.71089056136709106</v>
      </c>
      <c r="Q202" s="26">
        <f t="shared" si="68"/>
        <v>0.71089056136709117</v>
      </c>
      <c r="R202" s="26">
        <f t="shared" si="68"/>
        <v>0.70093679374809226</v>
      </c>
      <c r="S202" s="9">
        <f t="shared" si="57"/>
        <v>0.17877368821476175</v>
      </c>
      <c r="T202" s="9">
        <f>K202/((COUNT($K$201:K202))*24*$Q$1)</f>
        <v>0.17877368821476175</v>
      </c>
      <c r="U202" s="28">
        <f>L202/((COUNT($L$18:L202))*24*$Q$1)</f>
        <v>0.1548487727949589</v>
      </c>
      <c r="V202" s="134">
        <v>11.5031</v>
      </c>
      <c r="Y202" s="27">
        <f t="shared" si="64"/>
        <v>45201</v>
      </c>
      <c r="Z202" s="5">
        <f>MONTH(Modelling_new[[#This Row],[Date]])</f>
        <v>10</v>
      </c>
      <c r="AA202" s="25">
        <f>YEAR(Y202)+IF(MONTH(Modelling_new[[#This Row],[Date]])&gt;=4,1,0)</f>
        <v>2024</v>
      </c>
      <c r="AB202" s="3">
        <f t="shared" si="58"/>
        <v>2023</v>
      </c>
      <c r="AC202" s="3" t="s">
        <v>626</v>
      </c>
      <c r="AD202" s="5" t="s">
        <v>626</v>
      </c>
      <c r="AE202" s="102">
        <v>45200</v>
      </c>
      <c r="AF202" s="5">
        <f t="shared" si="59"/>
        <v>31</v>
      </c>
      <c r="AG202" s="5">
        <f t="shared" si="60"/>
        <v>10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BD202" s="27">
        <f t="shared" si="65"/>
        <v>45201</v>
      </c>
      <c r="BE202" s="5">
        <f>MONTH(Modelling[[#This Row],[Date]])</f>
        <v>10</v>
      </c>
      <c r="BF202" s="25">
        <f>YEAR(BD202)+IF(MONTH(Modelling[[#This Row],[Date]])&gt;=4,1,0)</f>
        <v>2024</v>
      </c>
      <c r="BG202" s="3">
        <f t="shared" si="61"/>
        <v>2023</v>
      </c>
      <c r="BH202" s="3" t="s">
        <v>626</v>
      </c>
      <c r="BI202" s="5" t="s">
        <v>626</v>
      </c>
      <c r="BJ202" s="102">
        <v>45200</v>
      </c>
      <c r="BK202" s="5">
        <f t="shared" si="62"/>
        <v>31</v>
      </c>
      <c r="BL202" s="5">
        <f t="shared" si="63"/>
        <v>10</v>
      </c>
      <c r="BM202" s="4">
        <f>Modelling_old[[#This Row],[Target E_Grid daily
MWh]]+Modelling_new[[#This Row],[Target E_Grid daily
MWh]]</f>
        <v>49.354838709677416</v>
      </c>
      <c r="BN202" s="4">
        <f>Modelling_old[[#This Row],[Target E_Grid MTD
MWh]]+Modelling_new[[#This Row],[Target E_Grid MTD
MWh]]</f>
        <v>98.709677419354833</v>
      </c>
      <c r="BO202" s="4">
        <f>Modelling_old[[#This Row],[Target E_Grid YTD
MWh]]+Modelling_new[[#This Row],[Target E_Grid YTD
MWh]]</f>
        <v>7908.7096774193524</v>
      </c>
      <c r="BP20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02" s="4">
        <f>SUMIFS(Modelling[Target POA Daily (KWh/m2)],Modelling[Date],"&lt;="&amp;Modelling[[#This Row],[Date]],Modelling[Month Year],Modelling[[#This Row],[Month Year]])</f>
        <v>12.070967741935483</v>
      </c>
      <c r="BR202" s="4">
        <f>SUMIFS(Modelling[Target POA Daily (KWh/m2)],Modelling[Date],"&lt;="&amp;Modelling[[#This Row],[Date]],Modelling[Finacial Year],Modelling[[#This Row],[Finacial Year]])</f>
        <v>980.87096774193105</v>
      </c>
      <c r="BS202" s="9">
        <f>BM202/Modelling[[#This Row],[Comisined DC ]]/BP202</f>
        <v>0.71089056136709106</v>
      </c>
      <c r="BT202" s="9">
        <f>BN202/BQ202/Modelling[[#This Row],[Comisined DC ]]</f>
        <v>0.71089056136709117</v>
      </c>
      <c r="BU202" s="9">
        <f>BO202/BR202/Modelling[[#This Row],[Comisined DC ]]</f>
        <v>0.70093679374809226</v>
      </c>
      <c r="BV202" s="9">
        <f>BM202/(24*Modelling[[#This Row],[Comisined DC ]])</f>
        <v>0.17877368821476175</v>
      </c>
      <c r="BW202" s="9">
        <f>BN202/((COUNTIFS(Modelling[Date],"&lt;="&amp;Modelling[[#This Row],[Date]],Modelling[Month Year],Modelling[[#This Row],[Month Year]])*24*Modelling[[#This Row],[MTD DC Capcity]]))</f>
        <v>0.17877368821476175</v>
      </c>
      <c r="BX202" s="28">
        <f>BO202/((COUNTIFS(Modelling[Date],"&lt;="&amp;Modelling[[#This Row],[Date]],Modelling[Finacial Year],Modelling[[#This Row],[Finacial Year]])*24*Modelling[[#This Row],[MTD DC Capcity]]))</f>
        <v>0.1548487727949589</v>
      </c>
      <c r="BY202" s="4">
        <f>Modelling_old[[#This Row],[DC Capcity]]+Modelling_new[[#This Row],[Comisined DC ]]</f>
        <v>11.5031</v>
      </c>
      <c r="BZ202" s="4">
        <v>0</v>
      </c>
      <c r="CA202" s="4">
        <f>AVERAGEIFS(Modelling[[Comisined DC ]],Modelling[Date],"&lt;="&amp;Modelling[[#This Row],[Date]],Modelling[Month Year],Modelling[[#This Row],[Month Year]])</f>
        <v>11.5031</v>
      </c>
      <c r="CB202" s="4">
        <f>AVERAGEIFS(Modelling[[Comisined DC ]],Modelling[Date],"&lt;="&amp;Modelling[[#This Row],[Date]],Modelling[Finacial Year],Modelling[[#This Row],[Finacial Year]])</f>
        <v>11.503099999999955</v>
      </c>
      <c r="CG202">
        <f t="shared" ref="CG202:CG265" si="70">CG201+1</f>
        <v>2</v>
      </c>
      <c r="CH202">
        <f t="shared" si="67"/>
        <v>185</v>
      </c>
    </row>
    <row r="203" spans="1:86" x14ac:dyDescent="0.35">
      <c r="A203" s="27">
        <v>45202</v>
      </c>
      <c r="B203" s="5">
        <f>MONTH(Modelling_old[[#This Row],[Date]])</f>
        <v>10</v>
      </c>
      <c r="C203" s="25">
        <f t="shared" si="50"/>
        <v>2024</v>
      </c>
      <c r="D203" s="3">
        <f t="shared" si="51"/>
        <v>2023</v>
      </c>
      <c r="E203" s="3" t="s">
        <v>626</v>
      </c>
      <c r="F203" s="5" t="s">
        <v>626</v>
      </c>
      <c r="G203" s="102">
        <v>45200</v>
      </c>
      <c r="H203" s="5">
        <f t="shared" si="52"/>
        <v>31</v>
      </c>
      <c r="I203" s="5">
        <f t="shared" si="53"/>
        <v>10</v>
      </c>
      <c r="J203" s="4">
        <f t="shared" si="54"/>
        <v>49.354838709677416</v>
      </c>
      <c r="K203" s="4">
        <f>SUM($J$201:J203)</f>
        <v>148.06451612903226</v>
      </c>
      <c r="L203" s="4">
        <f>SUM($J$18:J203)</f>
        <v>7958.0645161290295</v>
      </c>
      <c r="M203" s="4">
        <f t="shared" si="55"/>
        <v>6.0354838709677416</v>
      </c>
      <c r="N203" s="4">
        <f>SUM($M$201:M203)</f>
        <v>18.106451612903225</v>
      </c>
      <c r="O203" s="4">
        <f>SUM($M$18:M203)</f>
        <v>986.90645161289876</v>
      </c>
      <c r="P203" s="9">
        <f t="shared" si="56"/>
        <v>0.71089056136709106</v>
      </c>
      <c r="Q203" s="26">
        <f t="shared" si="68"/>
        <v>0.71089056136709117</v>
      </c>
      <c r="R203" s="26">
        <f t="shared" si="68"/>
        <v>0.70099766659355967</v>
      </c>
      <c r="S203" s="9">
        <f t="shared" si="57"/>
        <v>0.17877368821476175</v>
      </c>
      <c r="T203" s="9">
        <f>K203/((COUNT($K$201:K203))*24*$Q$1)</f>
        <v>0.17877368821476175</v>
      </c>
      <c r="U203" s="28">
        <f>L203/((COUNT($L$18:L203))*24*$Q$1)</f>
        <v>0.15497740137248472</v>
      </c>
      <c r="V203" s="134">
        <v>11.5031</v>
      </c>
      <c r="Y203" s="27">
        <f t="shared" si="64"/>
        <v>45202</v>
      </c>
      <c r="Z203" s="5">
        <f>MONTH(Modelling_new[[#This Row],[Date]])</f>
        <v>10</v>
      </c>
      <c r="AA203" s="25">
        <f>YEAR(Y203)+IF(MONTH(Modelling_new[[#This Row],[Date]])&gt;=4,1,0)</f>
        <v>2024</v>
      </c>
      <c r="AB203" s="3">
        <f t="shared" si="58"/>
        <v>2023</v>
      </c>
      <c r="AC203" s="3" t="s">
        <v>626</v>
      </c>
      <c r="AD203" s="5" t="s">
        <v>626</v>
      </c>
      <c r="AE203" s="102">
        <v>45200</v>
      </c>
      <c r="AF203" s="5">
        <f t="shared" si="59"/>
        <v>31</v>
      </c>
      <c r="AG203" s="5">
        <f t="shared" si="60"/>
        <v>10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BD203" s="27">
        <f t="shared" si="65"/>
        <v>45202</v>
      </c>
      <c r="BE203" s="5">
        <f>MONTH(Modelling[[#This Row],[Date]])</f>
        <v>10</v>
      </c>
      <c r="BF203" s="25">
        <f>YEAR(BD203)+IF(MONTH(Modelling[[#This Row],[Date]])&gt;=4,1,0)</f>
        <v>2024</v>
      </c>
      <c r="BG203" s="3">
        <f t="shared" si="61"/>
        <v>2023</v>
      </c>
      <c r="BH203" s="3" t="s">
        <v>626</v>
      </c>
      <c r="BI203" s="5" t="s">
        <v>626</v>
      </c>
      <c r="BJ203" s="102">
        <v>45200</v>
      </c>
      <c r="BK203" s="5">
        <f t="shared" si="62"/>
        <v>31</v>
      </c>
      <c r="BL203" s="5">
        <f t="shared" si="63"/>
        <v>10</v>
      </c>
      <c r="BM203" s="4">
        <f>Modelling_old[[#This Row],[Target E_Grid daily
MWh]]+Modelling_new[[#This Row],[Target E_Grid daily
MWh]]</f>
        <v>49.354838709677416</v>
      </c>
      <c r="BN203" s="4">
        <f>Modelling_old[[#This Row],[Target E_Grid MTD
MWh]]+Modelling_new[[#This Row],[Target E_Grid MTD
MWh]]</f>
        <v>148.06451612903226</v>
      </c>
      <c r="BO203" s="4">
        <f>Modelling_old[[#This Row],[Target E_Grid YTD
MWh]]+Modelling_new[[#This Row],[Target E_Grid YTD
MWh]]</f>
        <v>7958.0645161290295</v>
      </c>
      <c r="BP20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03" s="4">
        <f>SUMIFS(Modelling[Target POA Daily (KWh/m2)],Modelling[Date],"&lt;="&amp;Modelling[[#This Row],[Date]],Modelling[Month Year],Modelling[[#This Row],[Month Year]])</f>
        <v>18.106451612903225</v>
      </c>
      <c r="BR203" s="4">
        <f>SUMIFS(Modelling[Target POA Daily (KWh/m2)],Modelling[Date],"&lt;="&amp;Modelling[[#This Row],[Date]],Modelling[Finacial Year],Modelling[[#This Row],[Finacial Year]])</f>
        <v>986.90645161289876</v>
      </c>
      <c r="BS203" s="9">
        <f>BM203/Modelling[[#This Row],[Comisined DC ]]/BP203</f>
        <v>0.71089056136709106</v>
      </c>
      <c r="BT203" s="9">
        <f>BN203/BQ203/Modelling[[#This Row],[Comisined DC ]]</f>
        <v>0.71089056136709117</v>
      </c>
      <c r="BU203" s="9">
        <f>BO203/BR203/Modelling[[#This Row],[Comisined DC ]]</f>
        <v>0.70099766659355967</v>
      </c>
      <c r="BV203" s="9">
        <f>BM203/(24*Modelling[[#This Row],[Comisined DC ]])</f>
        <v>0.17877368821476175</v>
      </c>
      <c r="BW203" s="9">
        <f>BN203/((COUNTIFS(Modelling[Date],"&lt;="&amp;Modelling[[#This Row],[Date]],Modelling[Month Year],Modelling[[#This Row],[Month Year]])*24*Modelling[[#This Row],[MTD DC Capcity]]))</f>
        <v>0.17877368821476175</v>
      </c>
      <c r="BX203" s="28">
        <f>BO203/((COUNTIFS(Modelling[Date],"&lt;="&amp;Modelling[[#This Row],[Date]],Modelling[Finacial Year],Modelling[[#This Row],[Finacial Year]])*24*Modelling[[#This Row],[MTD DC Capcity]]))</f>
        <v>0.15497740137248475</v>
      </c>
      <c r="BY203" s="4">
        <f>Modelling_old[[#This Row],[DC Capcity]]+Modelling_new[[#This Row],[Comisined DC ]]</f>
        <v>11.5031</v>
      </c>
      <c r="BZ203" s="4">
        <v>0</v>
      </c>
      <c r="CA203" s="4">
        <f>AVERAGEIFS(Modelling[[Comisined DC ]],Modelling[Date],"&lt;="&amp;Modelling[[#This Row],[Date]],Modelling[Month Year],Modelling[[#This Row],[Month Year]])</f>
        <v>11.503099999999998</v>
      </c>
      <c r="CB203" s="4">
        <f>AVERAGEIFS(Modelling[[Comisined DC ]],Modelling[Date],"&lt;="&amp;Modelling[[#This Row],[Date]],Modelling[Finacial Year],Modelling[[#This Row],[Finacial Year]])</f>
        <v>11.503099999999955</v>
      </c>
      <c r="CG203">
        <f t="shared" si="70"/>
        <v>3</v>
      </c>
      <c r="CH203">
        <f t="shared" si="67"/>
        <v>186</v>
      </c>
    </row>
    <row r="204" spans="1:86" x14ac:dyDescent="0.35">
      <c r="A204" s="27">
        <v>45203</v>
      </c>
      <c r="B204" s="5">
        <f>MONTH(Modelling_old[[#This Row],[Date]])</f>
        <v>10</v>
      </c>
      <c r="C204" s="25">
        <f t="shared" si="50"/>
        <v>2024</v>
      </c>
      <c r="D204" s="3">
        <f t="shared" si="51"/>
        <v>2023</v>
      </c>
      <c r="E204" s="3" t="s">
        <v>626</v>
      </c>
      <c r="F204" s="5" t="s">
        <v>626</v>
      </c>
      <c r="G204" s="102">
        <v>45200</v>
      </c>
      <c r="H204" s="5">
        <f t="shared" si="52"/>
        <v>31</v>
      </c>
      <c r="I204" s="5">
        <f t="shared" si="53"/>
        <v>10</v>
      </c>
      <c r="J204" s="4">
        <f t="shared" si="54"/>
        <v>49.354838709677416</v>
      </c>
      <c r="K204" s="4">
        <f>SUM($J$201:J204)</f>
        <v>197.41935483870967</v>
      </c>
      <c r="L204" s="4">
        <f>SUM($J$18:J204)</f>
        <v>8007.4193548387066</v>
      </c>
      <c r="M204" s="4">
        <f t="shared" si="55"/>
        <v>6.0354838709677416</v>
      </c>
      <c r="N204" s="4">
        <f>SUM($M$201:M204)</f>
        <v>24.141935483870967</v>
      </c>
      <c r="O204" s="4">
        <f>SUM($M$18:M204)</f>
        <v>992.94193548386647</v>
      </c>
      <c r="P204" s="9">
        <f t="shared" si="56"/>
        <v>0.71089056136709106</v>
      </c>
      <c r="Q204" s="26">
        <f t="shared" si="68"/>
        <v>0.71089056136709117</v>
      </c>
      <c r="R204" s="26">
        <f t="shared" si="68"/>
        <v>0.70105779942178359</v>
      </c>
      <c r="S204" s="9">
        <f t="shared" si="57"/>
        <v>0.17877368821476175</v>
      </c>
      <c r="T204" s="9">
        <f>K204/((COUNT($K$201:K204))*24*$Q$1)</f>
        <v>0.17877368821476175</v>
      </c>
      <c r="U204" s="28">
        <f>L204/((COUNT($L$18:L204))*24*$Q$1)</f>
        <v>0.15510465424329906</v>
      </c>
      <c r="V204" s="134">
        <v>11.5031</v>
      </c>
      <c r="Y204" s="27">
        <f t="shared" si="64"/>
        <v>45203</v>
      </c>
      <c r="Z204" s="5">
        <f>MONTH(Modelling_new[[#This Row],[Date]])</f>
        <v>10</v>
      </c>
      <c r="AA204" s="25">
        <f>YEAR(Y204)+IF(MONTH(Modelling_new[[#This Row],[Date]])&gt;=4,1,0)</f>
        <v>2024</v>
      </c>
      <c r="AB204" s="3">
        <f t="shared" si="58"/>
        <v>2023</v>
      </c>
      <c r="AC204" s="3" t="s">
        <v>626</v>
      </c>
      <c r="AD204" s="5" t="s">
        <v>626</v>
      </c>
      <c r="AE204" s="102">
        <v>45200</v>
      </c>
      <c r="AF204" s="5">
        <f t="shared" si="59"/>
        <v>31</v>
      </c>
      <c r="AG204" s="5">
        <f t="shared" si="60"/>
        <v>10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BD204" s="27">
        <f t="shared" si="65"/>
        <v>45203</v>
      </c>
      <c r="BE204" s="5">
        <f>MONTH(Modelling[[#This Row],[Date]])</f>
        <v>10</v>
      </c>
      <c r="BF204" s="25">
        <f>YEAR(BD204)+IF(MONTH(Modelling[[#This Row],[Date]])&gt;=4,1,0)</f>
        <v>2024</v>
      </c>
      <c r="BG204" s="3">
        <f t="shared" si="61"/>
        <v>2023</v>
      </c>
      <c r="BH204" s="3" t="s">
        <v>626</v>
      </c>
      <c r="BI204" s="5" t="s">
        <v>626</v>
      </c>
      <c r="BJ204" s="102">
        <v>45200</v>
      </c>
      <c r="BK204" s="5">
        <f t="shared" si="62"/>
        <v>31</v>
      </c>
      <c r="BL204" s="5">
        <f t="shared" si="63"/>
        <v>10</v>
      </c>
      <c r="BM204" s="4">
        <f>Modelling_old[[#This Row],[Target E_Grid daily
MWh]]+Modelling_new[[#This Row],[Target E_Grid daily
MWh]]</f>
        <v>49.354838709677416</v>
      </c>
      <c r="BN204" s="4">
        <f>Modelling_old[[#This Row],[Target E_Grid MTD
MWh]]+Modelling_new[[#This Row],[Target E_Grid MTD
MWh]]</f>
        <v>197.41935483870967</v>
      </c>
      <c r="BO204" s="4">
        <f>Modelling_old[[#This Row],[Target E_Grid YTD
MWh]]+Modelling_new[[#This Row],[Target E_Grid YTD
MWh]]</f>
        <v>8007.4193548387066</v>
      </c>
      <c r="BP20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04" s="4">
        <f>SUMIFS(Modelling[Target POA Daily (KWh/m2)],Modelling[Date],"&lt;="&amp;Modelling[[#This Row],[Date]],Modelling[Month Year],Modelling[[#This Row],[Month Year]])</f>
        <v>24.141935483870967</v>
      </c>
      <c r="BR204" s="4">
        <f>SUMIFS(Modelling[Target POA Daily (KWh/m2)],Modelling[Date],"&lt;="&amp;Modelling[[#This Row],[Date]],Modelling[Finacial Year],Modelling[[#This Row],[Finacial Year]])</f>
        <v>992.94193548386647</v>
      </c>
      <c r="BS204" s="9">
        <f>BM204/Modelling[[#This Row],[Comisined DC ]]/BP204</f>
        <v>0.71089056136709106</v>
      </c>
      <c r="BT204" s="9">
        <f>BN204/BQ204/Modelling[[#This Row],[Comisined DC ]]</f>
        <v>0.71089056136709117</v>
      </c>
      <c r="BU204" s="9">
        <f>BO204/BR204/Modelling[[#This Row],[Comisined DC ]]</f>
        <v>0.70105779942178359</v>
      </c>
      <c r="BV204" s="9">
        <f>BM204/(24*Modelling[[#This Row],[Comisined DC ]])</f>
        <v>0.17877368821476175</v>
      </c>
      <c r="BW204" s="9">
        <f>BN204/((COUNTIFS(Modelling[Date],"&lt;="&amp;Modelling[[#This Row],[Date]],Modelling[Month Year],Modelling[[#This Row],[Month Year]])*24*Modelling[[#This Row],[MTD DC Capcity]]))</f>
        <v>0.17877368821476175</v>
      </c>
      <c r="BX204" s="28">
        <f>BO204/((COUNTIFS(Modelling[Date],"&lt;="&amp;Modelling[[#This Row],[Date]],Modelling[Finacial Year],Modelling[[#This Row],[Finacial Year]])*24*Modelling[[#This Row],[MTD DC Capcity]]))</f>
        <v>0.15510465424329906</v>
      </c>
      <c r="BY204" s="4">
        <f>Modelling_old[[#This Row],[DC Capcity]]+Modelling_new[[#This Row],[Comisined DC ]]</f>
        <v>11.5031</v>
      </c>
      <c r="BZ204" s="4">
        <v>0</v>
      </c>
      <c r="CA204" s="4">
        <f>AVERAGEIFS(Modelling[[Comisined DC ]],Modelling[Date],"&lt;="&amp;Modelling[[#This Row],[Date]],Modelling[Month Year],Modelling[[#This Row],[Month Year]])</f>
        <v>11.5031</v>
      </c>
      <c r="CB204" s="4">
        <f>AVERAGEIFS(Modelling[[Comisined DC ]],Modelling[Date],"&lt;="&amp;Modelling[[#This Row],[Date]],Modelling[Finacial Year],Modelling[[#This Row],[Finacial Year]])</f>
        <v>11.503099999999955</v>
      </c>
      <c r="CG204">
        <f t="shared" si="70"/>
        <v>4</v>
      </c>
      <c r="CH204">
        <f t="shared" si="67"/>
        <v>187</v>
      </c>
    </row>
    <row r="205" spans="1:86" x14ac:dyDescent="0.35">
      <c r="A205" s="27">
        <v>45204</v>
      </c>
      <c r="B205" s="5">
        <f>MONTH(Modelling_old[[#This Row],[Date]])</f>
        <v>10</v>
      </c>
      <c r="C205" s="25">
        <f t="shared" si="50"/>
        <v>2024</v>
      </c>
      <c r="D205" s="3">
        <f t="shared" si="51"/>
        <v>2023</v>
      </c>
      <c r="E205" s="3" t="s">
        <v>626</v>
      </c>
      <c r="F205" s="5" t="s">
        <v>626</v>
      </c>
      <c r="G205" s="102">
        <v>45200</v>
      </c>
      <c r="H205" s="5">
        <f t="shared" si="52"/>
        <v>31</v>
      </c>
      <c r="I205" s="5">
        <f t="shared" si="53"/>
        <v>10</v>
      </c>
      <c r="J205" s="4">
        <f t="shared" si="54"/>
        <v>49.354838709677416</v>
      </c>
      <c r="K205" s="4">
        <f>SUM($J$201:J205)</f>
        <v>246.77419354838707</v>
      </c>
      <c r="L205" s="4">
        <f>SUM($J$18:J205)</f>
        <v>8056.7741935483837</v>
      </c>
      <c r="M205" s="4">
        <f t="shared" si="55"/>
        <v>6.0354838709677416</v>
      </c>
      <c r="N205" s="4">
        <f>SUM($M$201:M205)</f>
        <v>30.177419354838708</v>
      </c>
      <c r="O205" s="4">
        <f>SUM($M$18:M205)</f>
        <v>998.97741935483418</v>
      </c>
      <c r="P205" s="9">
        <f t="shared" si="56"/>
        <v>0.71089056136709106</v>
      </c>
      <c r="Q205" s="26">
        <f t="shared" si="68"/>
        <v>0.71089056136709095</v>
      </c>
      <c r="R205" s="26">
        <f t="shared" si="68"/>
        <v>0.70111720564556634</v>
      </c>
      <c r="S205" s="9">
        <f t="shared" si="57"/>
        <v>0.17877368821476175</v>
      </c>
      <c r="T205" s="9">
        <f>K205/((COUNT($K$201:K205))*24*$Q$1)</f>
        <v>0.17877368821476172</v>
      </c>
      <c r="U205" s="28">
        <f>L205/((COUNT($L$18:L205))*24*$Q$1)</f>
        <v>0.15523055336016853</v>
      </c>
      <c r="V205" s="134">
        <v>11.5031</v>
      </c>
      <c r="Y205" s="27">
        <f t="shared" si="64"/>
        <v>45204</v>
      </c>
      <c r="Z205" s="5">
        <f>MONTH(Modelling_new[[#This Row],[Date]])</f>
        <v>10</v>
      </c>
      <c r="AA205" s="25">
        <f>YEAR(Y205)+IF(MONTH(Modelling_new[[#This Row],[Date]])&gt;=4,1,0)</f>
        <v>2024</v>
      </c>
      <c r="AB205" s="3">
        <f t="shared" si="58"/>
        <v>2023</v>
      </c>
      <c r="AC205" s="3" t="s">
        <v>626</v>
      </c>
      <c r="AD205" s="5" t="s">
        <v>626</v>
      </c>
      <c r="AE205" s="102">
        <v>45200</v>
      </c>
      <c r="AF205" s="5">
        <f t="shared" si="59"/>
        <v>31</v>
      </c>
      <c r="AG205" s="5">
        <f t="shared" si="60"/>
        <v>10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BD205" s="27">
        <f t="shared" si="65"/>
        <v>45204</v>
      </c>
      <c r="BE205" s="5">
        <f>MONTH(Modelling[[#This Row],[Date]])</f>
        <v>10</v>
      </c>
      <c r="BF205" s="25">
        <f>YEAR(BD205)+IF(MONTH(Modelling[[#This Row],[Date]])&gt;=4,1,0)</f>
        <v>2024</v>
      </c>
      <c r="BG205" s="3">
        <f t="shared" si="61"/>
        <v>2023</v>
      </c>
      <c r="BH205" s="3" t="s">
        <v>626</v>
      </c>
      <c r="BI205" s="5" t="s">
        <v>626</v>
      </c>
      <c r="BJ205" s="102">
        <v>45200</v>
      </c>
      <c r="BK205" s="5">
        <f t="shared" si="62"/>
        <v>31</v>
      </c>
      <c r="BL205" s="5">
        <f t="shared" si="63"/>
        <v>10</v>
      </c>
      <c r="BM205" s="4">
        <f>Modelling_old[[#This Row],[Target E_Grid daily
MWh]]+Modelling_new[[#This Row],[Target E_Grid daily
MWh]]</f>
        <v>49.354838709677416</v>
      </c>
      <c r="BN205" s="4">
        <f>Modelling_old[[#This Row],[Target E_Grid MTD
MWh]]+Modelling_new[[#This Row],[Target E_Grid MTD
MWh]]</f>
        <v>246.77419354838707</v>
      </c>
      <c r="BO205" s="4">
        <f>Modelling_old[[#This Row],[Target E_Grid YTD
MWh]]+Modelling_new[[#This Row],[Target E_Grid YTD
MWh]]</f>
        <v>8056.7741935483837</v>
      </c>
      <c r="BP20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05" s="4">
        <f>SUMIFS(Modelling[Target POA Daily (KWh/m2)],Modelling[Date],"&lt;="&amp;Modelling[[#This Row],[Date]],Modelling[Month Year],Modelling[[#This Row],[Month Year]])</f>
        <v>30.177419354838708</v>
      </c>
      <c r="BR205" s="4">
        <f>SUMIFS(Modelling[Target POA Daily (KWh/m2)],Modelling[Date],"&lt;="&amp;Modelling[[#This Row],[Date]],Modelling[Finacial Year],Modelling[[#This Row],[Finacial Year]])</f>
        <v>998.97741935483418</v>
      </c>
      <c r="BS205" s="9">
        <f>BM205/Modelling[[#This Row],[Comisined DC ]]/BP205</f>
        <v>0.71089056136709106</v>
      </c>
      <c r="BT205" s="9">
        <f>BN205/BQ205/Modelling[[#This Row],[Comisined DC ]]</f>
        <v>0.71089056136709095</v>
      </c>
      <c r="BU205" s="9">
        <f>BO205/BR205/Modelling[[#This Row],[Comisined DC ]]</f>
        <v>0.70111720564556634</v>
      </c>
      <c r="BV205" s="9">
        <f>BM205/(24*Modelling[[#This Row],[Comisined DC ]])</f>
        <v>0.17877368821476175</v>
      </c>
      <c r="BW205" s="9">
        <f>BN205/((COUNTIFS(Modelling[Date],"&lt;="&amp;Modelling[[#This Row],[Date]],Modelling[Month Year],Modelling[[#This Row],[Month Year]])*24*Modelling[[#This Row],[MTD DC Capcity]]))</f>
        <v>0.17877368821476172</v>
      </c>
      <c r="BX205" s="28">
        <f>BO205/((COUNTIFS(Modelling[Date],"&lt;="&amp;Modelling[[#This Row],[Date]],Modelling[Finacial Year],Modelling[[#This Row],[Finacial Year]])*24*Modelling[[#This Row],[MTD DC Capcity]]))</f>
        <v>0.15523055336016853</v>
      </c>
      <c r="BY205" s="4">
        <f>Modelling_old[[#This Row],[DC Capcity]]+Modelling_new[[#This Row],[Comisined DC ]]</f>
        <v>11.5031</v>
      </c>
      <c r="BZ205" s="4">
        <v>0</v>
      </c>
      <c r="CA205" s="4">
        <f>AVERAGEIFS(Modelling[[Comisined DC ]],Modelling[Date],"&lt;="&amp;Modelling[[#This Row],[Date]],Modelling[Month Year],Modelling[[#This Row],[Month Year]])</f>
        <v>11.5031</v>
      </c>
      <c r="CB205" s="4">
        <f>AVERAGEIFS(Modelling[[Comisined DC ]],Modelling[Date],"&lt;="&amp;Modelling[[#This Row],[Date]],Modelling[Finacial Year],Modelling[[#This Row],[Finacial Year]])</f>
        <v>11.503099999999955</v>
      </c>
      <c r="CG205">
        <f t="shared" si="70"/>
        <v>5</v>
      </c>
      <c r="CH205">
        <f t="shared" si="67"/>
        <v>188</v>
      </c>
    </row>
    <row r="206" spans="1:86" x14ac:dyDescent="0.35">
      <c r="A206" s="27">
        <v>45205</v>
      </c>
      <c r="B206" s="5">
        <f>MONTH(Modelling_old[[#This Row],[Date]])</f>
        <v>10</v>
      </c>
      <c r="C206" s="25">
        <f t="shared" si="50"/>
        <v>2024</v>
      </c>
      <c r="D206" s="3">
        <f t="shared" si="51"/>
        <v>2023</v>
      </c>
      <c r="E206" s="3" t="s">
        <v>626</v>
      </c>
      <c r="F206" s="5" t="s">
        <v>626</v>
      </c>
      <c r="G206" s="102">
        <v>45200</v>
      </c>
      <c r="H206" s="5">
        <f t="shared" si="52"/>
        <v>31</v>
      </c>
      <c r="I206" s="5">
        <f t="shared" si="53"/>
        <v>10</v>
      </c>
      <c r="J206" s="4">
        <f t="shared" si="54"/>
        <v>49.354838709677416</v>
      </c>
      <c r="K206" s="4">
        <f>SUM($J$201:J206)</f>
        <v>296.12903225806451</v>
      </c>
      <c r="L206" s="4">
        <f>SUM($J$18:J206)</f>
        <v>8106.1290322580608</v>
      </c>
      <c r="M206" s="4">
        <f t="shared" si="55"/>
        <v>6.0354838709677416</v>
      </c>
      <c r="N206" s="4">
        <f>SUM($M$201:M206)</f>
        <v>36.21290322580645</v>
      </c>
      <c r="O206" s="4">
        <f>SUM($M$18:M206)</f>
        <v>1005.0129032258019</v>
      </c>
      <c r="P206" s="9">
        <f t="shared" si="56"/>
        <v>0.71089056136709106</v>
      </c>
      <c r="Q206" s="26">
        <f t="shared" si="68"/>
        <v>0.71089056136709117</v>
      </c>
      <c r="R206" s="26">
        <f t="shared" si="68"/>
        <v>0.70117589835551375</v>
      </c>
      <c r="S206" s="9">
        <f t="shared" si="57"/>
        <v>0.17877368821476175</v>
      </c>
      <c r="T206" s="9">
        <f>K206/((COUNT($K$201:K206))*24*$Q$1)</f>
        <v>0.17877368821476175</v>
      </c>
      <c r="U206" s="28">
        <f>L206/((COUNT($L$18:L206))*24*$Q$1)</f>
        <v>0.15535512021125103</v>
      </c>
      <c r="V206" s="134">
        <v>11.5031</v>
      </c>
      <c r="Y206" s="27">
        <f t="shared" si="64"/>
        <v>45205</v>
      </c>
      <c r="Z206" s="5">
        <f>MONTH(Modelling_new[[#This Row],[Date]])</f>
        <v>10</v>
      </c>
      <c r="AA206" s="25">
        <f>YEAR(Y206)+IF(MONTH(Modelling_new[[#This Row],[Date]])&gt;=4,1,0)</f>
        <v>2024</v>
      </c>
      <c r="AB206" s="3">
        <f t="shared" si="58"/>
        <v>2023</v>
      </c>
      <c r="AC206" s="3" t="s">
        <v>626</v>
      </c>
      <c r="AD206" s="5" t="s">
        <v>626</v>
      </c>
      <c r="AE206" s="102">
        <v>45200</v>
      </c>
      <c r="AF206" s="5">
        <f t="shared" si="59"/>
        <v>31</v>
      </c>
      <c r="AG206" s="5">
        <f t="shared" si="60"/>
        <v>10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BD206" s="27">
        <f t="shared" si="65"/>
        <v>45205</v>
      </c>
      <c r="BE206" s="5">
        <f>MONTH(Modelling[[#This Row],[Date]])</f>
        <v>10</v>
      </c>
      <c r="BF206" s="25">
        <f>YEAR(BD206)+IF(MONTH(Modelling[[#This Row],[Date]])&gt;=4,1,0)</f>
        <v>2024</v>
      </c>
      <c r="BG206" s="3">
        <f t="shared" si="61"/>
        <v>2023</v>
      </c>
      <c r="BH206" s="3" t="s">
        <v>626</v>
      </c>
      <c r="BI206" s="5" t="s">
        <v>626</v>
      </c>
      <c r="BJ206" s="102">
        <v>45200</v>
      </c>
      <c r="BK206" s="5">
        <f t="shared" si="62"/>
        <v>31</v>
      </c>
      <c r="BL206" s="5">
        <f t="shared" si="63"/>
        <v>10</v>
      </c>
      <c r="BM206" s="4">
        <f>Modelling_old[[#This Row],[Target E_Grid daily
MWh]]+Modelling_new[[#This Row],[Target E_Grid daily
MWh]]</f>
        <v>49.354838709677416</v>
      </c>
      <c r="BN206" s="4">
        <f>Modelling_old[[#This Row],[Target E_Grid MTD
MWh]]+Modelling_new[[#This Row],[Target E_Grid MTD
MWh]]</f>
        <v>296.12903225806451</v>
      </c>
      <c r="BO206" s="4">
        <f>Modelling_old[[#This Row],[Target E_Grid YTD
MWh]]+Modelling_new[[#This Row],[Target E_Grid YTD
MWh]]</f>
        <v>8106.1290322580608</v>
      </c>
      <c r="BP20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06" s="4">
        <f>SUMIFS(Modelling[Target POA Daily (KWh/m2)],Modelling[Date],"&lt;="&amp;Modelling[[#This Row],[Date]],Modelling[Month Year],Modelling[[#This Row],[Month Year]])</f>
        <v>36.21290322580645</v>
      </c>
      <c r="BR206" s="4">
        <f>SUMIFS(Modelling[Target POA Daily (KWh/m2)],Modelling[Date],"&lt;="&amp;Modelling[[#This Row],[Date]],Modelling[Finacial Year],Modelling[[#This Row],[Finacial Year]])</f>
        <v>1005.0129032258019</v>
      </c>
      <c r="BS206" s="9">
        <f>BM206/Modelling[[#This Row],[Comisined DC ]]/BP206</f>
        <v>0.71089056136709106</v>
      </c>
      <c r="BT206" s="9">
        <f>BN206/BQ206/Modelling[[#This Row],[Comisined DC ]]</f>
        <v>0.71089056136709117</v>
      </c>
      <c r="BU206" s="9">
        <f>BO206/BR206/Modelling[[#This Row],[Comisined DC ]]</f>
        <v>0.70117589835551375</v>
      </c>
      <c r="BV206" s="9">
        <f>BM206/(24*Modelling[[#This Row],[Comisined DC ]])</f>
        <v>0.17877368821476175</v>
      </c>
      <c r="BW206" s="9">
        <f>BN206/((COUNTIFS(Modelling[Date],"&lt;="&amp;Modelling[[#This Row],[Date]],Modelling[Month Year],Modelling[[#This Row],[Month Year]])*24*Modelling[[#This Row],[MTD DC Capcity]]))</f>
        <v>0.17877368821476172</v>
      </c>
      <c r="BX206" s="28">
        <f>BO206/((COUNTIFS(Modelling[Date],"&lt;="&amp;Modelling[[#This Row],[Date]],Modelling[Finacial Year],Modelling[[#This Row],[Finacial Year]])*24*Modelling[[#This Row],[MTD DC Capcity]]))</f>
        <v>0.155355120211251</v>
      </c>
      <c r="BY206" s="4">
        <f>Modelling_old[[#This Row],[DC Capcity]]+Modelling_new[[#This Row],[Comisined DC ]]</f>
        <v>11.5031</v>
      </c>
      <c r="BZ206" s="4">
        <v>0</v>
      </c>
      <c r="CA206" s="4">
        <f>AVERAGEIFS(Modelling[[Comisined DC ]],Modelling[Date],"&lt;="&amp;Modelling[[#This Row],[Date]],Modelling[Month Year],Modelling[[#This Row],[Month Year]])</f>
        <v>11.503100000000002</v>
      </c>
      <c r="CB206" s="4">
        <f>AVERAGEIFS(Modelling[[Comisined DC ]],Modelling[Date],"&lt;="&amp;Modelling[[#This Row],[Date]],Modelling[Finacial Year],Modelling[[#This Row],[Finacial Year]])</f>
        <v>11.503099999999954</v>
      </c>
      <c r="CG206">
        <f t="shared" si="70"/>
        <v>6</v>
      </c>
      <c r="CH206">
        <f t="shared" si="67"/>
        <v>189</v>
      </c>
    </row>
    <row r="207" spans="1:86" x14ac:dyDescent="0.35">
      <c r="A207" s="27">
        <v>45206</v>
      </c>
      <c r="B207" s="5">
        <f>MONTH(Modelling_old[[#This Row],[Date]])</f>
        <v>10</v>
      </c>
      <c r="C207" s="25">
        <f t="shared" si="50"/>
        <v>2024</v>
      </c>
      <c r="D207" s="3">
        <f t="shared" si="51"/>
        <v>2023</v>
      </c>
      <c r="E207" s="3" t="s">
        <v>626</v>
      </c>
      <c r="F207" s="5" t="s">
        <v>626</v>
      </c>
      <c r="G207" s="102">
        <v>45200</v>
      </c>
      <c r="H207" s="5">
        <f t="shared" si="52"/>
        <v>31</v>
      </c>
      <c r="I207" s="5">
        <f t="shared" si="53"/>
        <v>10</v>
      </c>
      <c r="J207" s="4">
        <f t="shared" si="54"/>
        <v>49.354838709677416</v>
      </c>
      <c r="K207" s="4">
        <f>SUM($J$201:J207)</f>
        <v>345.48387096774195</v>
      </c>
      <c r="L207" s="4">
        <f>SUM($J$18:J207)</f>
        <v>8155.4838709677379</v>
      </c>
      <c r="M207" s="4">
        <f t="shared" si="55"/>
        <v>6.0354838709677416</v>
      </c>
      <c r="N207" s="4">
        <f>SUM($M$201:M207)</f>
        <v>42.248387096774195</v>
      </c>
      <c r="O207" s="4">
        <f>SUM($M$18:M207)</f>
        <v>1011.0483870967696</v>
      </c>
      <c r="P207" s="9">
        <f t="shared" si="56"/>
        <v>0.71089056136709106</v>
      </c>
      <c r="Q207" s="26">
        <f t="shared" si="68"/>
        <v>0.71089056136709117</v>
      </c>
      <c r="R207" s="26">
        <f t="shared" si="68"/>
        <v>0.70123389032965322</v>
      </c>
      <c r="S207" s="9">
        <f t="shared" si="57"/>
        <v>0.17877368821476175</v>
      </c>
      <c r="T207" s="9">
        <f>K207/((COUNT($K$201:K207))*24*$Q$1)</f>
        <v>0.17877368821476175</v>
      </c>
      <c r="U207" s="28">
        <f>L207/((COUNT($L$18:L207))*24*$Q$1)</f>
        <v>0.15547837583232213</v>
      </c>
      <c r="V207" s="134">
        <v>11.5031</v>
      </c>
      <c r="Y207" s="27">
        <f t="shared" si="64"/>
        <v>45206</v>
      </c>
      <c r="Z207" s="5">
        <f>MONTH(Modelling_new[[#This Row],[Date]])</f>
        <v>10</v>
      </c>
      <c r="AA207" s="25">
        <f>YEAR(Y207)+IF(MONTH(Modelling_new[[#This Row],[Date]])&gt;=4,1,0)</f>
        <v>2024</v>
      </c>
      <c r="AB207" s="3">
        <f t="shared" si="58"/>
        <v>2023</v>
      </c>
      <c r="AC207" s="3" t="s">
        <v>626</v>
      </c>
      <c r="AD207" s="5" t="s">
        <v>626</v>
      </c>
      <c r="AE207" s="102">
        <v>45200</v>
      </c>
      <c r="AF207" s="5">
        <f t="shared" si="59"/>
        <v>31</v>
      </c>
      <c r="AG207" s="5">
        <f t="shared" si="60"/>
        <v>10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BD207" s="27">
        <f t="shared" si="65"/>
        <v>45206</v>
      </c>
      <c r="BE207" s="5">
        <f>MONTH(Modelling[[#This Row],[Date]])</f>
        <v>10</v>
      </c>
      <c r="BF207" s="25">
        <f>YEAR(BD207)+IF(MONTH(Modelling[[#This Row],[Date]])&gt;=4,1,0)</f>
        <v>2024</v>
      </c>
      <c r="BG207" s="3">
        <f t="shared" si="61"/>
        <v>2023</v>
      </c>
      <c r="BH207" s="3" t="s">
        <v>626</v>
      </c>
      <c r="BI207" s="5" t="s">
        <v>626</v>
      </c>
      <c r="BJ207" s="102">
        <v>45200</v>
      </c>
      <c r="BK207" s="5">
        <f t="shared" si="62"/>
        <v>31</v>
      </c>
      <c r="BL207" s="5">
        <f t="shared" si="63"/>
        <v>10</v>
      </c>
      <c r="BM207" s="4">
        <f>Modelling_old[[#This Row],[Target E_Grid daily
MWh]]+Modelling_new[[#This Row],[Target E_Grid daily
MWh]]</f>
        <v>49.354838709677416</v>
      </c>
      <c r="BN207" s="4">
        <f>Modelling_old[[#This Row],[Target E_Grid MTD
MWh]]+Modelling_new[[#This Row],[Target E_Grid MTD
MWh]]</f>
        <v>345.48387096774195</v>
      </c>
      <c r="BO207" s="4">
        <f>Modelling_old[[#This Row],[Target E_Grid YTD
MWh]]+Modelling_new[[#This Row],[Target E_Grid YTD
MWh]]</f>
        <v>8155.4838709677379</v>
      </c>
      <c r="BP20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07" s="4">
        <f>SUMIFS(Modelling[Target POA Daily (KWh/m2)],Modelling[Date],"&lt;="&amp;Modelling[[#This Row],[Date]],Modelling[Month Year],Modelling[[#This Row],[Month Year]])</f>
        <v>42.248387096774195</v>
      </c>
      <c r="BR207" s="4">
        <f>SUMIFS(Modelling[Target POA Daily (KWh/m2)],Modelling[Date],"&lt;="&amp;Modelling[[#This Row],[Date]],Modelling[Finacial Year],Modelling[[#This Row],[Finacial Year]])</f>
        <v>1011.0483870967696</v>
      </c>
      <c r="BS207" s="9">
        <f>BM207/Modelling[[#This Row],[Comisined DC ]]/BP207</f>
        <v>0.71089056136709106</v>
      </c>
      <c r="BT207" s="9">
        <f>BN207/BQ207/Modelling[[#This Row],[Comisined DC ]]</f>
        <v>0.71089056136709117</v>
      </c>
      <c r="BU207" s="9">
        <f>BO207/BR207/Modelling[[#This Row],[Comisined DC ]]</f>
        <v>0.70123389032965322</v>
      </c>
      <c r="BV207" s="9">
        <f>BM207/(24*Modelling[[#This Row],[Comisined DC ]])</f>
        <v>0.17877368821476175</v>
      </c>
      <c r="BW207" s="9">
        <f>BN207/((COUNTIFS(Modelling[Date],"&lt;="&amp;Modelling[[#This Row],[Date]],Modelling[Month Year],Modelling[[#This Row],[Month Year]])*24*Modelling[[#This Row],[MTD DC Capcity]]))</f>
        <v>0.17877368821476172</v>
      </c>
      <c r="BX207" s="28">
        <f>BO207/((COUNTIFS(Modelling[Date],"&lt;="&amp;Modelling[[#This Row],[Date]],Modelling[Finacial Year],Modelling[[#This Row],[Finacial Year]])*24*Modelling[[#This Row],[MTD DC Capcity]]))</f>
        <v>0.1554783758323221</v>
      </c>
      <c r="BY207" s="4">
        <f>Modelling_old[[#This Row],[DC Capcity]]+Modelling_new[[#This Row],[Comisined DC ]]</f>
        <v>11.5031</v>
      </c>
      <c r="BZ207" s="4">
        <v>0</v>
      </c>
      <c r="CA207" s="4">
        <f>AVERAGEIFS(Modelling[[Comisined DC ]],Modelling[Date],"&lt;="&amp;Modelling[[#This Row],[Date]],Modelling[Month Year],Modelling[[#This Row],[Month Year]])</f>
        <v>11.503100000000002</v>
      </c>
      <c r="CB207" s="4">
        <f>AVERAGEIFS(Modelling[[Comisined DC ]],Modelling[Date],"&lt;="&amp;Modelling[[#This Row],[Date]],Modelling[Finacial Year],Modelling[[#This Row],[Finacial Year]])</f>
        <v>11.503099999999954</v>
      </c>
      <c r="CG207">
        <f t="shared" si="70"/>
        <v>7</v>
      </c>
      <c r="CH207">
        <f t="shared" si="67"/>
        <v>190</v>
      </c>
    </row>
    <row r="208" spans="1:86" x14ac:dyDescent="0.35">
      <c r="A208" s="27">
        <v>45207</v>
      </c>
      <c r="B208" s="5">
        <f>MONTH(Modelling_old[[#This Row],[Date]])</f>
        <v>10</v>
      </c>
      <c r="C208" s="25">
        <f t="shared" si="50"/>
        <v>2024</v>
      </c>
      <c r="D208" s="3">
        <f t="shared" si="51"/>
        <v>2023</v>
      </c>
      <c r="E208" s="3" t="s">
        <v>626</v>
      </c>
      <c r="F208" s="5" t="s">
        <v>626</v>
      </c>
      <c r="G208" s="102">
        <v>45200</v>
      </c>
      <c r="H208" s="5">
        <f t="shared" si="52"/>
        <v>31</v>
      </c>
      <c r="I208" s="5">
        <f t="shared" si="53"/>
        <v>10</v>
      </c>
      <c r="J208" s="4">
        <f t="shared" si="54"/>
        <v>49.354838709677416</v>
      </c>
      <c r="K208" s="4">
        <f>SUM($J$201:J208)</f>
        <v>394.83870967741939</v>
      </c>
      <c r="L208" s="4">
        <f>SUM($J$18:J208)</f>
        <v>8204.838709677415</v>
      </c>
      <c r="M208" s="4">
        <f t="shared" si="55"/>
        <v>6.0354838709677416</v>
      </c>
      <c r="N208" s="4">
        <f>SUM($M$201:M208)</f>
        <v>48.283870967741933</v>
      </c>
      <c r="O208" s="4">
        <f>SUM($M$18:M208)</f>
        <v>1017.0838709677373</v>
      </c>
      <c r="P208" s="9">
        <f t="shared" si="56"/>
        <v>0.71089056136709106</v>
      </c>
      <c r="Q208" s="26">
        <f t="shared" si="68"/>
        <v>0.71089056136709117</v>
      </c>
      <c r="R208" s="26">
        <f t="shared" si="68"/>
        <v>0.70129119404270712</v>
      </c>
      <c r="S208" s="9">
        <f t="shared" si="57"/>
        <v>0.17877368821476175</v>
      </c>
      <c r="T208" s="9">
        <f>K208/((COUNT($K$201:K208))*24*$Q$1)</f>
        <v>0.17877368821476178</v>
      </c>
      <c r="U208" s="28">
        <f>L208/((COUNT($L$18:L208))*24*$Q$1)</f>
        <v>0.15560034081861762</v>
      </c>
      <c r="V208" s="134">
        <v>11.5031</v>
      </c>
      <c r="Y208" s="27">
        <f t="shared" si="64"/>
        <v>45207</v>
      </c>
      <c r="Z208" s="5">
        <f>MONTH(Modelling_new[[#This Row],[Date]])</f>
        <v>10</v>
      </c>
      <c r="AA208" s="25">
        <f>YEAR(Y208)+IF(MONTH(Modelling_new[[#This Row],[Date]])&gt;=4,1,0)</f>
        <v>2024</v>
      </c>
      <c r="AB208" s="3">
        <f t="shared" si="58"/>
        <v>2023</v>
      </c>
      <c r="AC208" s="3" t="s">
        <v>626</v>
      </c>
      <c r="AD208" s="5" t="s">
        <v>626</v>
      </c>
      <c r="AE208" s="102">
        <v>45200</v>
      </c>
      <c r="AF208" s="5">
        <f t="shared" si="59"/>
        <v>31</v>
      </c>
      <c r="AG208" s="5">
        <f t="shared" si="60"/>
        <v>10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BD208" s="27">
        <f t="shared" si="65"/>
        <v>45207</v>
      </c>
      <c r="BE208" s="5">
        <f>MONTH(Modelling[[#This Row],[Date]])</f>
        <v>10</v>
      </c>
      <c r="BF208" s="25">
        <f>YEAR(BD208)+IF(MONTH(Modelling[[#This Row],[Date]])&gt;=4,1,0)</f>
        <v>2024</v>
      </c>
      <c r="BG208" s="3">
        <f t="shared" si="61"/>
        <v>2023</v>
      </c>
      <c r="BH208" s="3" t="s">
        <v>626</v>
      </c>
      <c r="BI208" s="5" t="s">
        <v>626</v>
      </c>
      <c r="BJ208" s="102">
        <v>45200</v>
      </c>
      <c r="BK208" s="5">
        <f t="shared" si="62"/>
        <v>31</v>
      </c>
      <c r="BL208" s="5">
        <f t="shared" si="63"/>
        <v>10</v>
      </c>
      <c r="BM208" s="4">
        <f>Modelling_old[[#This Row],[Target E_Grid daily
MWh]]+Modelling_new[[#This Row],[Target E_Grid daily
MWh]]</f>
        <v>49.354838709677416</v>
      </c>
      <c r="BN208" s="4">
        <f>Modelling_old[[#This Row],[Target E_Grid MTD
MWh]]+Modelling_new[[#This Row],[Target E_Grid MTD
MWh]]</f>
        <v>394.83870967741939</v>
      </c>
      <c r="BO208" s="4">
        <f>Modelling_old[[#This Row],[Target E_Grid YTD
MWh]]+Modelling_new[[#This Row],[Target E_Grid YTD
MWh]]</f>
        <v>8204.838709677415</v>
      </c>
      <c r="BP20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08" s="4">
        <f>SUMIFS(Modelling[Target POA Daily (KWh/m2)],Modelling[Date],"&lt;="&amp;Modelling[[#This Row],[Date]],Modelling[Month Year],Modelling[[#This Row],[Month Year]])</f>
        <v>48.283870967741933</v>
      </c>
      <c r="BR208" s="4">
        <f>SUMIFS(Modelling[Target POA Daily (KWh/m2)],Modelling[Date],"&lt;="&amp;Modelling[[#This Row],[Date]],Modelling[Finacial Year],Modelling[[#This Row],[Finacial Year]])</f>
        <v>1017.0838709677373</v>
      </c>
      <c r="BS208" s="9">
        <f>BM208/Modelling[[#This Row],[Comisined DC ]]/BP208</f>
        <v>0.71089056136709106</v>
      </c>
      <c r="BT208" s="9">
        <f>BN208/BQ208/Modelling[[#This Row],[Comisined DC ]]</f>
        <v>0.71089056136709117</v>
      </c>
      <c r="BU208" s="9">
        <f>BO208/BR208/Modelling[[#This Row],[Comisined DC ]]</f>
        <v>0.70129119404270712</v>
      </c>
      <c r="BV208" s="9">
        <f>BM208/(24*Modelling[[#This Row],[Comisined DC ]])</f>
        <v>0.17877368821476175</v>
      </c>
      <c r="BW208" s="9">
        <f>BN208/((COUNTIFS(Modelling[Date],"&lt;="&amp;Modelling[[#This Row],[Date]],Modelling[Month Year],Modelling[[#This Row],[Month Year]])*24*Modelling[[#This Row],[MTD DC Capcity]]))</f>
        <v>0.17877368821476175</v>
      </c>
      <c r="BX208" s="28">
        <f>BO208/((COUNTIFS(Modelling[Date],"&lt;="&amp;Modelling[[#This Row],[Date]],Modelling[Finacial Year],Modelling[[#This Row],[Finacial Year]])*24*Modelling[[#This Row],[MTD DC Capcity]]))</f>
        <v>0.15560034081861759</v>
      </c>
      <c r="BY208" s="4">
        <f>Modelling_old[[#This Row],[DC Capcity]]+Modelling_new[[#This Row],[Comisined DC ]]</f>
        <v>11.5031</v>
      </c>
      <c r="BZ208" s="4">
        <v>0</v>
      </c>
      <c r="CA208" s="4">
        <f>AVERAGEIFS(Modelling[[Comisined DC ]],Modelling[Date],"&lt;="&amp;Modelling[[#This Row],[Date]],Modelling[Month Year],Modelling[[#This Row],[Month Year]])</f>
        <v>11.503100000000002</v>
      </c>
      <c r="CB208" s="4">
        <f>AVERAGEIFS(Modelling[[Comisined DC ]],Modelling[Date],"&lt;="&amp;Modelling[[#This Row],[Date]],Modelling[Finacial Year],Modelling[[#This Row],[Finacial Year]])</f>
        <v>11.503099999999954</v>
      </c>
      <c r="CG208">
        <f t="shared" si="70"/>
        <v>8</v>
      </c>
      <c r="CH208">
        <f t="shared" si="67"/>
        <v>191</v>
      </c>
    </row>
    <row r="209" spans="1:86" x14ac:dyDescent="0.35">
      <c r="A209" s="27">
        <v>45208</v>
      </c>
      <c r="B209" s="5">
        <f>MONTH(Modelling_old[[#This Row],[Date]])</f>
        <v>10</v>
      </c>
      <c r="C209" s="25">
        <f t="shared" si="50"/>
        <v>2024</v>
      </c>
      <c r="D209" s="3">
        <f t="shared" si="51"/>
        <v>2023</v>
      </c>
      <c r="E209" s="3" t="s">
        <v>626</v>
      </c>
      <c r="F209" s="5" t="s">
        <v>626</v>
      </c>
      <c r="G209" s="102">
        <v>45200</v>
      </c>
      <c r="H209" s="5">
        <f t="shared" si="52"/>
        <v>31</v>
      </c>
      <c r="I209" s="5">
        <f t="shared" si="53"/>
        <v>10</v>
      </c>
      <c r="J209" s="4">
        <f t="shared" si="54"/>
        <v>49.354838709677416</v>
      </c>
      <c r="K209" s="4">
        <f>SUM($J$201:J209)</f>
        <v>444.19354838709683</v>
      </c>
      <c r="L209" s="4">
        <f>SUM($J$18:J209)</f>
        <v>8254.193548387093</v>
      </c>
      <c r="M209" s="4">
        <f t="shared" si="55"/>
        <v>6.0354838709677416</v>
      </c>
      <c r="N209" s="4">
        <f>SUM($M$201:M209)</f>
        <v>54.319354838709671</v>
      </c>
      <c r="O209" s="4">
        <f>SUM($M$18:M209)</f>
        <v>1023.119354838705</v>
      </c>
      <c r="P209" s="9">
        <f t="shared" si="56"/>
        <v>0.71089056136709106</v>
      </c>
      <c r="Q209" s="26">
        <f t="shared" si="68"/>
        <v>0.71089056136709128</v>
      </c>
      <c r="R209" s="26">
        <f t="shared" si="68"/>
        <v>0.70134782167503951</v>
      </c>
      <c r="S209" s="9">
        <f t="shared" si="57"/>
        <v>0.17877368821476175</v>
      </c>
      <c r="T209" s="9">
        <f>K209/((COUNT($K$201:K209))*24*$Q$1)</f>
        <v>0.17877368821476175</v>
      </c>
      <c r="U209" s="28">
        <f>L209/((COUNT($L$18:L209))*24*$Q$1)</f>
        <v>0.15572103533630588</v>
      </c>
      <c r="V209" s="134">
        <v>11.5031</v>
      </c>
      <c r="Y209" s="27">
        <f t="shared" si="64"/>
        <v>45208</v>
      </c>
      <c r="Z209" s="5">
        <f>MONTH(Modelling_new[[#This Row],[Date]])</f>
        <v>10</v>
      </c>
      <c r="AA209" s="25">
        <f>YEAR(Y209)+IF(MONTH(Modelling_new[[#This Row],[Date]])&gt;=4,1,0)</f>
        <v>2024</v>
      </c>
      <c r="AB209" s="3">
        <f t="shared" si="58"/>
        <v>2023</v>
      </c>
      <c r="AC209" s="3" t="s">
        <v>626</v>
      </c>
      <c r="AD209" s="5" t="s">
        <v>626</v>
      </c>
      <c r="AE209" s="102">
        <v>45200</v>
      </c>
      <c r="AF209" s="5">
        <f t="shared" si="59"/>
        <v>31</v>
      </c>
      <c r="AG209" s="5">
        <f t="shared" si="60"/>
        <v>10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BD209" s="27">
        <f t="shared" si="65"/>
        <v>45208</v>
      </c>
      <c r="BE209" s="5">
        <f>MONTH(Modelling[[#This Row],[Date]])</f>
        <v>10</v>
      </c>
      <c r="BF209" s="25">
        <f>YEAR(BD209)+IF(MONTH(Modelling[[#This Row],[Date]])&gt;=4,1,0)</f>
        <v>2024</v>
      </c>
      <c r="BG209" s="3">
        <f t="shared" si="61"/>
        <v>2023</v>
      </c>
      <c r="BH209" s="3" t="s">
        <v>626</v>
      </c>
      <c r="BI209" s="5" t="s">
        <v>626</v>
      </c>
      <c r="BJ209" s="102">
        <v>45200</v>
      </c>
      <c r="BK209" s="5">
        <f t="shared" si="62"/>
        <v>31</v>
      </c>
      <c r="BL209" s="5">
        <f t="shared" si="63"/>
        <v>10</v>
      </c>
      <c r="BM209" s="4">
        <f>Modelling_old[[#This Row],[Target E_Grid daily
MWh]]+Modelling_new[[#This Row],[Target E_Grid daily
MWh]]</f>
        <v>49.354838709677416</v>
      </c>
      <c r="BN209" s="4">
        <f>Modelling_old[[#This Row],[Target E_Grid MTD
MWh]]+Modelling_new[[#This Row],[Target E_Grid MTD
MWh]]</f>
        <v>444.19354838709683</v>
      </c>
      <c r="BO209" s="4">
        <f>Modelling_old[[#This Row],[Target E_Grid YTD
MWh]]+Modelling_new[[#This Row],[Target E_Grid YTD
MWh]]</f>
        <v>8254.193548387093</v>
      </c>
      <c r="BP20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09" s="4">
        <f>SUMIFS(Modelling[Target POA Daily (KWh/m2)],Modelling[Date],"&lt;="&amp;Modelling[[#This Row],[Date]],Modelling[Month Year],Modelling[[#This Row],[Month Year]])</f>
        <v>54.319354838709671</v>
      </c>
      <c r="BR209" s="4">
        <f>SUMIFS(Modelling[Target POA Daily (KWh/m2)],Modelling[Date],"&lt;="&amp;Modelling[[#This Row],[Date]],Modelling[Finacial Year],Modelling[[#This Row],[Finacial Year]])</f>
        <v>1023.119354838705</v>
      </c>
      <c r="BS209" s="9">
        <f>BM209/Modelling[[#This Row],[Comisined DC ]]/BP209</f>
        <v>0.71089056136709106</v>
      </c>
      <c r="BT209" s="9">
        <f>BN209/BQ209/Modelling[[#This Row],[Comisined DC ]]</f>
        <v>0.71089056136709128</v>
      </c>
      <c r="BU209" s="9">
        <f>BO209/BR209/Modelling[[#This Row],[Comisined DC ]]</f>
        <v>0.70134782167503951</v>
      </c>
      <c r="BV209" s="9">
        <f>BM209/(24*Modelling[[#This Row],[Comisined DC ]])</f>
        <v>0.17877368821476175</v>
      </c>
      <c r="BW209" s="9">
        <f>BN209/((COUNTIFS(Modelling[Date],"&lt;="&amp;Modelling[[#This Row],[Date]],Modelling[Month Year],Modelling[[#This Row],[Month Year]])*24*Modelling[[#This Row],[MTD DC Capcity]]))</f>
        <v>0.17877368821476175</v>
      </c>
      <c r="BX209" s="28">
        <f>BO209/((COUNTIFS(Modelling[Date],"&lt;="&amp;Modelling[[#This Row],[Date]],Modelling[Finacial Year],Modelling[[#This Row],[Finacial Year]])*24*Modelling[[#This Row],[MTD DC Capcity]]))</f>
        <v>0.15572103533630585</v>
      </c>
      <c r="BY209" s="4">
        <f>Modelling_old[[#This Row],[DC Capcity]]+Modelling_new[[#This Row],[Comisined DC ]]</f>
        <v>11.5031</v>
      </c>
      <c r="BZ209" s="4">
        <v>0</v>
      </c>
      <c r="CA209" s="4">
        <f>AVERAGEIFS(Modelling[[Comisined DC ]],Modelling[Date],"&lt;="&amp;Modelling[[#This Row],[Date]],Modelling[Month Year],Modelling[[#This Row],[Month Year]])</f>
        <v>11.503100000000002</v>
      </c>
      <c r="CB209" s="4">
        <f>AVERAGEIFS(Modelling[[Comisined DC ]],Modelling[Date],"&lt;="&amp;Modelling[[#This Row],[Date]],Modelling[Finacial Year],Modelling[[#This Row],[Finacial Year]])</f>
        <v>11.503099999999954</v>
      </c>
      <c r="CG209">
        <f t="shared" si="70"/>
        <v>9</v>
      </c>
      <c r="CH209">
        <f t="shared" si="67"/>
        <v>192</v>
      </c>
    </row>
    <row r="210" spans="1:86" x14ac:dyDescent="0.35">
      <c r="A210" s="27">
        <v>45209</v>
      </c>
      <c r="B210" s="5">
        <f>MONTH(Modelling_old[[#This Row],[Date]])</f>
        <v>10</v>
      </c>
      <c r="C210" s="25">
        <f t="shared" ref="C210:C273" si="71">YEAR(A210)+(MONTH(A210)&gt;=B210)</f>
        <v>2024</v>
      </c>
      <c r="D210" s="3">
        <f t="shared" ref="D210:D273" si="72">YEAR(A210)</f>
        <v>2023</v>
      </c>
      <c r="E210" s="3" t="s">
        <v>626</v>
      </c>
      <c r="F210" s="5" t="s">
        <v>626</v>
      </c>
      <c r="G210" s="102">
        <v>45200</v>
      </c>
      <c r="H210" s="5">
        <f t="shared" ref="H210:H273" si="73">DAY(EOMONTH(G210,0))</f>
        <v>31</v>
      </c>
      <c r="I210" s="5">
        <f t="shared" ref="I210:I273" si="74">MONTH(A210)</f>
        <v>10</v>
      </c>
      <c r="J210" s="4">
        <f t="shared" ref="J210:J273" si="75">VLOOKUP(I210,$C$2:$L$13,10,0)/H210</f>
        <v>49.354838709677416</v>
      </c>
      <c r="K210" s="4">
        <f>SUM($J$201:J210)</f>
        <v>493.54838709677426</v>
      </c>
      <c r="L210" s="4">
        <f>SUM($J$18:J210)</f>
        <v>8303.548387096771</v>
      </c>
      <c r="M210" s="4">
        <f t="shared" ref="M210:M273" si="76">VLOOKUP(I210,$C$2:$M$13,11,0)</f>
        <v>6.0354838709677416</v>
      </c>
      <c r="N210" s="4">
        <f>SUM($M$201:M210)</f>
        <v>60.354838709677409</v>
      </c>
      <c r="O210" s="4">
        <f>SUM($M$18:M210)</f>
        <v>1029.1548387096727</v>
      </c>
      <c r="P210" s="9">
        <f t="shared" ref="P210:P273" si="77">J210/$Q$1/M210</f>
        <v>0.71089056136709106</v>
      </c>
      <c r="Q210" s="26">
        <f t="shared" si="68"/>
        <v>0.71089056136709128</v>
      </c>
      <c r="R210" s="26">
        <f t="shared" si="68"/>
        <v>0.70140378512128665</v>
      </c>
      <c r="S210" s="9">
        <f t="shared" ref="S210:S273" si="78">J210/(24*$Q$1)</f>
        <v>0.17877368821476175</v>
      </c>
      <c r="T210" s="9">
        <f>K210/((COUNT($K$201:K210))*24*$Q$1)</f>
        <v>0.17877368821476175</v>
      </c>
      <c r="U210" s="28">
        <f>L210/((COUNT($L$18:L210))*24*$Q$1)</f>
        <v>0.15584047913360358</v>
      </c>
      <c r="V210" s="134">
        <v>11.5031</v>
      </c>
      <c r="Y210" s="27">
        <f t="shared" si="64"/>
        <v>45209</v>
      </c>
      <c r="Z210" s="5">
        <f>MONTH(Modelling_new[[#This Row],[Date]])</f>
        <v>10</v>
      </c>
      <c r="AA210" s="25">
        <f>YEAR(Y210)+IF(MONTH(Modelling_new[[#This Row],[Date]])&gt;=4,1,0)</f>
        <v>2024</v>
      </c>
      <c r="AB210" s="3">
        <f t="shared" ref="AB210:AB273" si="79">YEAR(Y210)</f>
        <v>2023</v>
      </c>
      <c r="AC210" s="3" t="s">
        <v>626</v>
      </c>
      <c r="AD210" s="5" t="s">
        <v>626</v>
      </c>
      <c r="AE210" s="102">
        <v>45200</v>
      </c>
      <c r="AF210" s="5">
        <f t="shared" ref="AF210:AF273" si="80">DAY(EOMONTH(AE210,0))</f>
        <v>31</v>
      </c>
      <c r="AG210" s="5">
        <f t="shared" ref="AG210:AG273" si="81">MONTH(Y210)</f>
        <v>10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BD210" s="27">
        <f t="shared" si="65"/>
        <v>45209</v>
      </c>
      <c r="BE210" s="5">
        <f>MONTH(Modelling[[#This Row],[Date]])</f>
        <v>10</v>
      </c>
      <c r="BF210" s="25">
        <f>YEAR(BD210)+IF(MONTH(Modelling[[#This Row],[Date]])&gt;=4,1,0)</f>
        <v>2024</v>
      </c>
      <c r="BG210" s="3">
        <f t="shared" ref="BG210:BG273" si="82">YEAR(BD210)</f>
        <v>2023</v>
      </c>
      <c r="BH210" s="3" t="s">
        <v>626</v>
      </c>
      <c r="BI210" s="5" t="s">
        <v>626</v>
      </c>
      <c r="BJ210" s="102">
        <v>45200</v>
      </c>
      <c r="BK210" s="5">
        <f t="shared" ref="BK210:BK273" si="83">DAY(EOMONTH(BJ210,0))</f>
        <v>31</v>
      </c>
      <c r="BL210" s="5">
        <f t="shared" ref="BL210:BL273" si="84">MONTH(BD210)</f>
        <v>10</v>
      </c>
      <c r="BM210" s="4">
        <f>Modelling_old[[#This Row],[Target E_Grid daily
MWh]]+Modelling_new[[#This Row],[Target E_Grid daily
MWh]]</f>
        <v>49.354838709677416</v>
      </c>
      <c r="BN210" s="4">
        <f>Modelling_old[[#This Row],[Target E_Grid MTD
MWh]]+Modelling_new[[#This Row],[Target E_Grid MTD
MWh]]</f>
        <v>493.54838709677426</v>
      </c>
      <c r="BO210" s="4">
        <f>Modelling_old[[#This Row],[Target E_Grid YTD
MWh]]+Modelling_new[[#This Row],[Target E_Grid YTD
MWh]]</f>
        <v>8303.548387096771</v>
      </c>
      <c r="BP21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10" s="4">
        <f>SUMIFS(Modelling[Target POA Daily (KWh/m2)],Modelling[Date],"&lt;="&amp;Modelling[[#This Row],[Date]],Modelling[Month Year],Modelling[[#This Row],[Month Year]])</f>
        <v>60.354838709677409</v>
      </c>
      <c r="BR210" s="4">
        <f>SUMIFS(Modelling[Target POA Daily (KWh/m2)],Modelling[Date],"&lt;="&amp;Modelling[[#This Row],[Date]],Modelling[Finacial Year],Modelling[[#This Row],[Finacial Year]])</f>
        <v>1029.1548387096727</v>
      </c>
      <c r="BS210" s="9">
        <f>BM210/Modelling[[#This Row],[Comisined DC ]]/BP210</f>
        <v>0.71089056136709106</v>
      </c>
      <c r="BT210" s="9">
        <f>BN210/BQ210/Modelling[[#This Row],[Comisined DC ]]</f>
        <v>0.71089056136709128</v>
      </c>
      <c r="BU210" s="9">
        <f>BO210/BR210/Modelling[[#This Row],[Comisined DC ]]</f>
        <v>0.70140378512128665</v>
      </c>
      <c r="BV210" s="9">
        <f>BM210/(24*Modelling[[#This Row],[Comisined DC ]])</f>
        <v>0.17877368821476175</v>
      </c>
      <c r="BW210" s="9">
        <f>BN210/((COUNTIFS(Modelling[Date],"&lt;="&amp;Modelling[[#This Row],[Date]],Modelling[Month Year],Modelling[[#This Row],[Month Year]])*24*Modelling[[#This Row],[MTD DC Capcity]]))</f>
        <v>0.17877368821476172</v>
      </c>
      <c r="BX210" s="28">
        <f>BO210/((COUNTIFS(Modelling[Date],"&lt;="&amp;Modelling[[#This Row],[Date]],Modelling[Finacial Year],Modelling[[#This Row],[Finacial Year]])*24*Modelling[[#This Row],[MTD DC Capcity]]))</f>
        <v>0.15584047913360358</v>
      </c>
      <c r="BY210" s="4">
        <f>Modelling_old[[#This Row],[DC Capcity]]+Modelling_new[[#This Row],[Comisined DC ]]</f>
        <v>11.5031</v>
      </c>
      <c r="BZ210" s="4">
        <v>0</v>
      </c>
      <c r="CA210" s="4">
        <f>AVERAGEIFS(Modelling[[Comisined DC ]],Modelling[Date],"&lt;="&amp;Modelling[[#This Row],[Date]],Modelling[Month Year],Modelling[[#This Row],[Month Year]])</f>
        <v>11.503100000000002</v>
      </c>
      <c r="CB210" s="4">
        <f>AVERAGEIFS(Modelling[[Comisined DC ]],Modelling[Date],"&lt;="&amp;Modelling[[#This Row],[Date]],Modelling[Finacial Year],Modelling[[#This Row],[Finacial Year]])</f>
        <v>11.503099999999954</v>
      </c>
      <c r="CG210">
        <f t="shared" si="70"/>
        <v>10</v>
      </c>
      <c r="CH210">
        <f t="shared" si="67"/>
        <v>193</v>
      </c>
    </row>
    <row r="211" spans="1:86" x14ac:dyDescent="0.35">
      <c r="A211" s="27">
        <v>45210</v>
      </c>
      <c r="B211" s="5">
        <f>MONTH(Modelling_old[[#This Row],[Date]])</f>
        <v>10</v>
      </c>
      <c r="C211" s="25">
        <f t="shared" si="71"/>
        <v>2024</v>
      </c>
      <c r="D211" s="3">
        <f t="shared" si="72"/>
        <v>2023</v>
      </c>
      <c r="E211" s="3" t="s">
        <v>626</v>
      </c>
      <c r="F211" s="5" t="s">
        <v>626</v>
      </c>
      <c r="G211" s="102">
        <v>45200</v>
      </c>
      <c r="H211" s="5">
        <f t="shared" si="73"/>
        <v>31</v>
      </c>
      <c r="I211" s="5">
        <f t="shared" si="74"/>
        <v>10</v>
      </c>
      <c r="J211" s="4">
        <f t="shared" si="75"/>
        <v>49.354838709677416</v>
      </c>
      <c r="K211" s="4">
        <f>SUM($J$201:J211)</f>
        <v>542.9032258064517</v>
      </c>
      <c r="L211" s="4">
        <f>SUM($J$18:J211)</f>
        <v>8352.903225806449</v>
      </c>
      <c r="M211" s="4">
        <f t="shared" si="76"/>
        <v>6.0354838709677416</v>
      </c>
      <c r="N211" s="4">
        <f>SUM($M$201:M211)</f>
        <v>66.390322580645147</v>
      </c>
      <c r="O211" s="4">
        <f>SUM($M$18:M211)</f>
        <v>1035.1903225806404</v>
      </c>
      <c r="P211" s="9">
        <f t="shared" si="77"/>
        <v>0.71089056136709106</v>
      </c>
      <c r="Q211" s="26">
        <f t="shared" si="68"/>
        <v>0.71089056136709128</v>
      </c>
      <c r="R211" s="26">
        <f t="shared" si="68"/>
        <v>0.70145909599868783</v>
      </c>
      <c r="S211" s="9">
        <f t="shared" si="78"/>
        <v>0.17877368821476175</v>
      </c>
      <c r="T211" s="9">
        <f>K211/((COUNT($K$201:K211))*24*$Q$1)</f>
        <v>0.17877368821476178</v>
      </c>
      <c r="U211" s="28">
        <f>L211/((COUNT($L$18:L211))*24*$Q$1)</f>
        <v>0.15595869155154771</v>
      </c>
      <c r="V211" s="134">
        <v>11.5031</v>
      </c>
      <c r="Y211" s="27">
        <f t="shared" si="64"/>
        <v>45210</v>
      </c>
      <c r="Z211" s="5">
        <f>MONTH(Modelling_new[[#This Row],[Date]])</f>
        <v>10</v>
      </c>
      <c r="AA211" s="25">
        <f>YEAR(Y211)+IF(MONTH(Modelling_new[[#This Row],[Date]])&gt;=4,1,0)</f>
        <v>2024</v>
      </c>
      <c r="AB211" s="3">
        <f t="shared" si="79"/>
        <v>2023</v>
      </c>
      <c r="AC211" s="3" t="s">
        <v>626</v>
      </c>
      <c r="AD211" s="5" t="s">
        <v>626</v>
      </c>
      <c r="AE211" s="102">
        <v>45200</v>
      </c>
      <c r="AF211" s="5">
        <f t="shared" si="80"/>
        <v>31</v>
      </c>
      <c r="AG211" s="5">
        <f t="shared" si="81"/>
        <v>10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BD211" s="27">
        <f t="shared" si="65"/>
        <v>45210</v>
      </c>
      <c r="BE211" s="5">
        <f>MONTH(Modelling[[#This Row],[Date]])</f>
        <v>10</v>
      </c>
      <c r="BF211" s="25">
        <f>YEAR(BD211)+IF(MONTH(Modelling[[#This Row],[Date]])&gt;=4,1,0)</f>
        <v>2024</v>
      </c>
      <c r="BG211" s="3">
        <f t="shared" si="82"/>
        <v>2023</v>
      </c>
      <c r="BH211" s="3" t="s">
        <v>626</v>
      </c>
      <c r="BI211" s="5" t="s">
        <v>626</v>
      </c>
      <c r="BJ211" s="102">
        <v>45200</v>
      </c>
      <c r="BK211" s="5">
        <f t="shared" si="83"/>
        <v>31</v>
      </c>
      <c r="BL211" s="5">
        <f t="shared" si="84"/>
        <v>10</v>
      </c>
      <c r="BM211" s="4">
        <f>Modelling_old[[#This Row],[Target E_Grid daily
MWh]]+Modelling_new[[#This Row],[Target E_Grid daily
MWh]]</f>
        <v>49.354838709677416</v>
      </c>
      <c r="BN211" s="4">
        <f>Modelling_old[[#This Row],[Target E_Grid MTD
MWh]]+Modelling_new[[#This Row],[Target E_Grid MTD
MWh]]</f>
        <v>542.9032258064517</v>
      </c>
      <c r="BO211" s="4">
        <f>Modelling_old[[#This Row],[Target E_Grid YTD
MWh]]+Modelling_new[[#This Row],[Target E_Grid YTD
MWh]]</f>
        <v>8352.903225806449</v>
      </c>
      <c r="BP21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11" s="4">
        <f>SUMIFS(Modelling[Target POA Daily (KWh/m2)],Modelling[Date],"&lt;="&amp;Modelling[[#This Row],[Date]],Modelling[Month Year],Modelling[[#This Row],[Month Year]])</f>
        <v>66.390322580645147</v>
      </c>
      <c r="BR211" s="4">
        <f>SUMIFS(Modelling[Target POA Daily (KWh/m2)],Modelling[Date],"&lt;="&amp;Modelling[[#This Row],[Date]],Modelling[Finacial Year],Modelling[[#This Row],[Finacial Year]])</f>
        <v>1035.1903225806404</v>
      </c>
      <c r="BS211" s="9">
        <f>BM211/Modelling[[#This Row],[Comisined DC ]]/BP211</f>
        <v>0.71089056136709106</v>
      </c>
      <c r="BT211" s="9">
        <f>BN211/BQ211/Modelling[[#This Row],[Comisined DC ]]</f>
        <v>0.71089056136709128</v>
      </c>
      <c r="BU211" s="9">
        <f>BO211/BR211/Modelling[[#This Row],[Comisined DC ]]</f>
        <v>0.70145909599868783</v>
      </c>
      <c r="BV211" s="9">
        <f>BM211/(24*Modelling[[#This Row],[Comisined DC ]])</f>
        <v>0.17877368821476175</v>
      </c>
      <c r="BW211" s="9">
        <f>BN211/((COUNTIFS(Modelling[Date],"&lt;="&amp;Modelling[[#This Row],[Date]],Modelling[Month Year],Modelling[[#This Row],[Month Year]])*24*Modelling[[#This Row],[MTD DC Capcity]]))</f>
        <v>0.17877368821476175</v>
      </c>
      <c r="BX211" s="28">
        <f>BO211/((COUNTIFS(Modelling[Date],"&lt;="&amp;Modelling[[#This Row],[Date]],Modelling[Finacial Year],Modelling[[#This Row],[Finacial Year]])*24*Modelling[[#This Row],[MTD DC Capcity]]))</f>
        <v>0.15595869155154768</v>
      </c>
      <c r="BY211" s="4">
        <f>Modelling_old[[#This Row],[DC Capcity]]+Modelling_new[[#This Row],[Comisined DC ]]</f>
        <v>11.5031</v>
      </c>
      <c r="BZ211" s="4">
        <v>0</v>
      </c>
      <c r="CA211" s="4">
        <f>AVERAGEIFS(Modelling[[Comisined DC ]],Modelling[Date],"&lt;="&amp;Modelling[[#This Row],[Date]],Modelling[Month Year],Modelling[[#This Row],[Month Year]])</f>
        <v>11.503100000000002</v>
      </c>
      <c r="CB211" s="4">
        <f>AVERAGEIFS(Modelling[[Comisined DC ]],Modelling[Date],"&lt;="&amp;Modelling[[#This Row],[Date]],Modelling[Finacial Year],Modelling[[#This Row],[Finacial Year]])</f>
        <v>11.503099999999954</v>
      </c>
      <c r="CG211">
        <f t="shared" si="70"/>
        <v>11</v>
      </c>
      <c r="CH211">
        <f t="shared" si="67"/>
        <v>194</v>
      </c>
    </row>
    <row r="212" spans="1:86" x14ac:dyDescent="0.35">
      <c r="A212" s="27">
        <v>45211</v>
      </c>
      <c r="B212" s="5">
        <f>MONTH(Modelling_old[[#This Row],[Date]])</f>
        <v>10</v>
      </c>
      <c r="C212" s="25">
        <f t="shared" si="71"/>
        <v>2024</v>
      </c>
      <c r="D212" s="3">
        <f t="shared" si="72"/>
        <v>2023</v>
      </c>
      <c r="E212" s="3" t="s">
        <v>626</v>
      </c>
      <c r="F212" s="5" t="s">
        <v>626</v>
      </c>
      <c r="G212" s="102">
        <v>45200</v>
      </c>
      <c r="H212" s="5">
        <f t="shared" si="73"/>
        <v>31</v>
      </c>
      <c r="I212" s="5">
        <f t="shared" si="74"/>
        <v>10</v>
      </c>
      <c r="J212" s="4">
        <f t="shared" si="75"/>
        <v>49.354838709677416</v>
      </c>
      <c r="K212" s="4">
        <f>SUM($J$201:J212)</f>
        <v>592.25806451612914</v>
      </c>
      <c r="L212" s="4">
        <f>SUM($J$18:J212)</f>
        <v>8402.258064516127</v>
      </c>
      <c r="M212" s="4">
        <f t="shared" si="76"/>
        <v>6.0354838709677416</v>
      </c>
      <c r="N212" s="4">
        <f>SUM($M$201:M212)</f>
        <v>72.425806451612885</v>
      </c>
      <c r="O212" s="4">
        <f>SUM($M$18:M212)</f>
        <v>1041.2258064516082</v>
      </c>
      <c r="P212" s="9">
        <f t="shared" si="77"/>
        <v>0.71089056136709106</v>
      </c>
      <c r="Q212" s="26">
        <f t="shared" si="68"/>
        <v>0.71089056136709139</v>
      </c>
      <c r="R212" s="26">
        <f t="shared" si="68"/>
        <v>0.70151376565512358</v>
      </c>
      <c r="S212" s="9">
        <f t="shared" si="78"/>
        <v>0.17877368821476175</v>
      </c>
      <c r="T212" s="9">
        <f>K212/((COUNT($K$201:K212))*24*$Q$1)</f>
        <v>0.17877368821476178</v>
      </c>
      <c r="U212" s="28">
        <f>L212/((COUNT($L$18:L212))*24*$Q$1)</f>
        <v>0.15607569153443598</v>
      </c>
      <c r="V212" s="134">
        <v>11.5031</v>
      </c>
      <c r="Y212" s="27">
        <f t="shared" ref="Y212:Y275" si="85">Y211+1</f>
        <v>45211</v>
      </c>
      <c r="Z212" s="5">
        <f>MONTH(Modelling_new[[#This Row],[Date]])</f>
        <v>10</v>
      </c>
      <c r="AA212" s="25">
        <f>YEAR(Y212)+IF(MONTH(Modelling_new[[#This Row],[Date]])&gt;=4,1,0)</f>
        <v>2024</v>
      </c>
      <c r="AB212" s="3">
        <f t="shared" si="79"/>
        <v>2023</v>
      </c>
      <c r="AC212" s="3" t="s">
        <v>626</v>
      </c>
      <c r="AD212" s="5" t="s">
        <v>626</v>
      </c>
      <c r="AE212" s="102">
        <v>45200</v>
      </c>
      <c r="AF212" s="5">
        <f t="shared" si="80"/>
        <v>31</v>
      </c>
      <c r="AG212" s="5">
        <f t="shared" si="81"/>
        <v>10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BD212" s="27">
        <f t="shared" ref="BD212:BD275" si="86">BD211+1</f>
        <v>45211</v>
      </c>
      <c r="BE212" s="5">
        <f>MONTH(Modelling[[#This Row],[Date]])</f>
        <v>10</v>
      </c>
      <c r="BF212" s="25">
        <f>YEAR(BD212)+IF(MONTH(Modelling[[#This Row],[Date]])&gt;=4,1,0)</f>
        <v>2024</v>
      </c>
      <c r="BG212" s="3">
        <f t="shared" si="82"/>
        <v>2023</v>
      </c>
      <c r="BH212" s="3" t="s">
        <v>626</v>
      </c>
      <c r="BI212" s="5" t="s">
        <v>626</v>
      </c>
      <c r="BJ212" s="102">
        <v>45200</v>
      </c>
      <c r="BK212" s="5">
        <f t="shared" si="83"/>
        <v>31</v>
      </c>
      <c r="BL212" s="5">
        <f t="shared" si="84"/>
        <v>10</v>
      </c>
      <c r="BM212" s="4">
        <f>Modelling_old[[#This Row],[Target E_Grid daily
MWh]]+Modelling_new[[#This Row],[Target E_Grid daily
MWh]]</f>
        <v>49.354838709677416</v>
      </c>
      <c r="BN212" s="4">
        <f>Modelling_old[[#This Row],[Target E_Grid MTD
MWh]]+Modelling_new[[#This Row],[Target E_Grid MTD
MWh]]</f>
        <v>592.25806451612914</v>
      </c>
      <c r="BO212" s="4">
        <f>Modelling_old[[#This Row],[Target E_Grid YTD
MWh]]+Modelling_new[[#This Row],[Target E_Grid YTD
MWh]]</f>
        <v>8402.258064516127</v>
      </c>
      <c r="BP21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12" s="4">
        <f>SUMIFS(Modelling[Target POA Daily (KWh/m2)],Modelling[Date],"&lt;="&amp;Modelling[[#This Row],[Date]],Modelling[Month Year],Modelling[[#This Row],[Month Year]])</f>
        <v>72.425806451612885</v>
      </c>
      <c r="BR212" s="4">
        <f>SUMIFS(Modelling[Target POA Daily (KWh/m2)],Modelling[Date],"&lt;="&amp;Modelling[[#This Row],[Date]],Modelling[Finacial Year],Modelling[[#This Row],[Finacial Year]])</f>
        <v>1041.2258064516082</v>
      </c>
      <c r="BS212" s="9">
        <f>BM212/Modelling[[#This Row],[Comisined DC ]]/BP212</f>
        <v>0.71089056136709106</v>
      </c>
      <c r="BT212" s="9">
        <f>BN212/BQ212/Modelling[[#This Row],[Comisined DC ]]</f>
        <v>0.71089056136709139</v>
      </c>
      <c r="BU212" s="9">
        <f>BO212/BR212/Modelling[[#This Row],[Comisined DC ]]</f>
        <v>0.70151376565512358</v>
      </c>
      <c r="BV212" s="9">
        <f>BM212/(24*Modelling[[#This Row],[Comisined DC ]])</f>
        <v>0.17877368821476175</v>
      </c>
      <c r="BW212" s="9">
        <f>BN212/((COUNTIFS(Modelling[Date],"&lt;="&amp;Modelling[[#This Row],[Date]],Modelling[Month Year],Modelling[[#This Row],[Month Year]])*24*Modelling[[#This Row],[MTD DC Capcity]]))</f>
        <v>0.17877368821476175</v>
      </c>
      <c r="BX212" s="28">
        <f>BO212/((COUNTIFS(Modelling[Date],"&lt;="&amp;Modelling[[#This Row],[Date]],Modelling[Finacial Year],Modelling[[#This Row],[Finacial Year]])*24*Modelling[[#This Row],[MTD DC Capcity]]))</f>
        <v>0.15607569153443598</v>
      </c>
      <c r="BY212" s="4">
        <f>Modelling_old[[#This Row],[DC Capcity]]+Modelling_new[[#This Row],[Comisined DC ]]</f>
        <v>11.5031</v>
      </c>
      <c r="BZ212" s="4">
        <v>0</v>
      </c>
      <c r="CA212" s="4">
        <f>AVERAGEIFS(Modelling[[Comisined DC ]],Modelling[Date],"&lt;="&amp;Modelling[[#This Row],[Date]],Modelling[Month Year],Modelling[[#This Row],[Month Year]])</f>
        <v>11.503100000000002</v>
      </c>
      <c r="CB212" s="4">
        <f>AVERAGEIFS(Modelling[[Comisined DC ]],Modelling[Date],"&lt;="&amp;Modelling[[#This Row],[Date]],Modelling[Finacial Year],Modelling[[#This Row],[Finacial Year]])</f>
        <v>11.503099999999954</v>
      </c>
      <c r="CG212">
        <f t="shared" si="70"/>
        <v>12</v>
      </c>
      <c r="CH212">
        <f t="shared" ref="CH212:CH275" si="87">CH211+1</f>
        <v>195</v>
      </c>
    </row>
    <row r="213" spans="1:86" x14ac:dyDescent="0.35">
      <c r="A213" s="27">
        <v>45212</v>
      </c>
      <c r="B213" s="5">
        <f>MONTH(Modelling_old[[#This Row],[Date]])</f>
        <v>10</v>
      </c>
      <c r="C213" s="25">
        <f t="shared" si="71"/>
        <v>2024</v>
      </c>
      <c r="D213" s="3">
        <f t="shared" si="72"/>
        <v>2023</v>
      </c>
      <c r="E213" s="3" t="s">
        <v>626</v>
      </c>
      <c r="F213" s="5" t="s">
        <v>626</v>
      </c>
      <c r="G213" s="102">
        <v>45200</v>
      </c>
      <c r="H213" s="5">
        <f t="shared" si="73"/>
        <v>31</v>
      </c>
      <c r="I213" s="5">
        <f t="shared" si="74"/>
        <v>10</v>
      </c>
      <c r="J213" s="4">
        <f t="shared" si="75"/>
        <v>49.354838709677416</v>
      </c>
      <c r="K213" s="4">
        <f>SUM($J$201:J213)</f>
        <v>641.61290322580658</v>
      </c>
      <c r="L213" s="4">
        <f>SUM($J$18:J213)</f>
        <v>8451.612903225805</v>
      </c>
      <c r="M213" s="4">
        <f t="shared" si="76"/>
        <v>6.0354838709677416</v>
      </c>
      <c r="N213" s="4">
        <f>SUM($M$201:M213)</f>
        <v>78.461290322580624</v>
      </c>
      <c r="O213" s="4">
        <f>SUM($M$18:M213)</f>
        <v>1047.2612903225759</v>
      </c>
      <c r="P213" s="9">
        <f t="shared" si="77"/>
        <v>0.71089056136709106</v>
      </c>
      <c r="Q213" s="26">
        <f t="shared" si="68"/>
        <v>0.71089056136709139</v>
      </c>
      <c r="R213" s="26">
        <f t="shared" si="68"/>
        <v>0.701567805176878</v>
      </c>
      <c r="S213" s="9">
        <f t="shared" si="78"/>
        <v>0.17877368821476175</v>
      </c>
      <c r="T213" s="9">
        <f>K213/((COUNT($K$201:K213))*24*$Q$1)</f>
        <v>0.17877368821476178</v>
      </c>
      <c r="U213" s="28">
        <f>L213/((COUNT($L$18:L213))*24*$Q$1)</f>
        <v>0.15619149763994788</v>
      </c>
      <c r="V213" s="134">
        <v>11.5031</v>
      </c>
      <c r="Y213" s="27">
        <f t="shared" si="85"/>
        <v>45212</v>
      </c>
      <c r="Z213" s="5">
        <f>MONTH(Modelling_new[[#This Row],[Date]])</f>
        <v>10</v>
      </c>
      <c r="AA213" s="25">
        <f>YEAR(Y213)+IF(MONTH(Modelling_new[[#This Row],[Date]])&gt;=4,1,0)</f>
        <v>2024</v>
      </c>
      <c r="AB213" s="3">
        <f t="shared" si="79"/>
        <v>2023</v>
      </c>
      <c r="AC213" s="3" t="s">
        <v>626</v>
      </c>
      <c r="AD213" s="5" t="s">
        <v>626</v>
      </c>
      <c r="AE213" s="102">
        <v>45200</v>
      </c>
      <c r="AF213" s="5">
        <f t="shared" si="80"/>
        <v>31</v>
      </c>
      <c r="AG213" s="5">
        <f t="shared" si="81"/>
        <v>10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BD213" s="27">
        <f t="shared" si="86"/>
        <v>45212</v>
      </c>
      <c r="BE213" s="5">
        <f>MONTH(Modelling[[#This Row],[Date]])</f>
        <v>10</v>
      </c>
      <c r="BF213" s="25">
        <f>YEAR(BD213)+IF(MONTH(Modelling[[#This Row],[Date]])&gt;=4,1,0)</f>
        <v>2024</v>
      </c>
      <c r="BG213" s="3">
        <f t="shared" si="82"/>
        <v>2023</v>
      </c>
      <c r="BH213" s="3" t="s">
        <v>626</v>
      </c>
      <c r="BI213" s="5" t="s">
        <v>626</v>
      </c>
      <c r="BJ213" s="102">
        <v>45200</v>
      </c>
      <c r="BK213" s="5">
        <f t="shared" si="83"/>
        <v>31</v>
      </c>
      <c r="BL213" s="5">
        <f t="shared" si="84"/>
        <v>10</v>
      </c>
      <c r="BM213" s="4">
        <f>Modelling_old[[#This Row],[Target E_Grid daily
MWh]]+Modelling_new[[#This Row],[Target E_Grid daily
MWh]]</f>
        <v>49.354838709677416</v>
      </c>
      <c r="BN213" s="4">
        <f>Modelling_old[[#This Row],[Target E_Grid MTD
MWh]]+Modelling_new[[#This Row],[Target E_Grid MTD
MWh]]</f>
        <v>641.61290322580658</v>
      </c>
      <c r="BO213" s="4">
        <f>Modelling_old[[#This Row],[Target E_Grid YTD
MWh]]+Modelling_new[[#This Row],[Target E_Grid YTD
MWh]]</f>
        <v>8451.612903225805</v>
      </c>
      <c r="BP21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13" s="4">
        <f>SUMIFS(Modelling[Target POA Daily (KWh/m2)],Modelling[Date],"&lt;="&amp;Modelling[[#This Row],[Date]],Modelling[Month Year],Modelling[[#This Row],[Month Year]])</f>
        <v>78.461290322580624</v>
      </c>
      <c r="BR213" s="4">
        <f>SUMIFS(Modelling[Target POA Daily (KWh/m2)],Modelling[Date],"&lt;="&amp;Modelling[[#This Row],[Date]],Modelling[Finacial Year],Modelling[[#This Row],[Finacial Year]])</f>
        <v>1047.2612903225759</v>
      </c>
      <c r="BS213" s="9">
        <f>BM213/Modelling[[#This Row],[Comisined DC ]]/BP213</f>
        <v>0.71089056136709106</v>
      </c>
      <c r="BT213" s="9">
        <f>BN213/BQ213/Modelling[[#This Row],[Comisined DC ]]</f>
        <v>0.71089056136709139</v>
      </c>
      <c r="BU213" s="9">
        <f>BO213/BR213/Modelling[[#This Row],[Comisined DC ]]</f>
        <v>0.701567805176878</v>
      </c>
      <c r="BV213" s="9">
        <f>BM213/(24*Modelling[[#This Row],[Comisined DC ]])</f>
        <v>0.17877368821476175</v>
      </c>
      <c r="BW213" s="9">
        <f>BN213/((COUNTIFS(Modelling[Date],"&lt;="&amp;Modelling[[#This Row],[Date]],Modelling[Month Year],Modelling[[#This Row],[Month Year]])*24*Modelling[[#This Row],[MTD DC Capcity]]))</f>
        <v>0.17877368821476178</v>
      </c>
      <c r="BX213" s="28">
        <f>BO213/((COUNTIFS(Modelling[Date],"&lt;="&amp;Modelling[[#This Row],[Date]],Modelling[Finacial Year],Modelling[[#This Row],[Finacial Year]])*24*Modelling[[#This Row],[MTD DC Capcity]]))</f>
        <v>0.15619149763994788</v>
      </c>
      <c r="BY213" s="4">
        <f>Modelling_old[[#This Row],[DC Capcity]]+Modelling_new[[#This Row],[Comisined DC ]]</f>
        <v>11.5031</v>
      </c>
      <c r="BZ213" s="4">
        <v>0</v>
      </c>
      <c r="CA213" s="4">
        <f>AVERAGEIFS(Modelling[[Comisined DC ]],Modelling[Date],"&lt;="&amp;Modelling[[#This Row],[Date]],Modelling[Month Year],Modelling[[#This Row],[Month Year]])</f>
        <v>11.5031</v>
      </c>
      <c r="CB213" s="4">
        <f>AVERAGEIFS(Modelling[[Comisined DC ]],Modelling[Date],"&lt;="&amp;Modelling[[#This Row],[Date]],Modelling[Finacial Year],Modelling[[#This Row],[Finacial Year]])</f>
        <v>11.503099999999952</v>
      </c>
      <c r="CG213">
        <f t="shared" si="70"/>
        <v>13</v>
      </c>
      <c r="CH213">
        <f t="shared" si="87"/>
        <v>196</v>
      </c>
    </row>
    <row r="214" spans="1:86" x14ac:dyDescent="0.35">
      <c r="A214" s="27">
        <v>45213</v>
      </c>
      <c r="B214" s="5">
        <f>MONTH(Modelling_old[[#This Row],[Date]])</f>
        <v>10</v>
      </c>
      <c r="C214" s="25">
        <f t="shared" si="71"/>
        <v>2024</v>
      </c>
      <c r="D214" s="3">
        <f t="shared" si="72"/>
        <v>2023</v>
      </c>
      <c r="E214" s="3" t="s">
        <v>626</v>
      </c>
      <c r="F214" s="5" t="s">
        <v>626</v>
      </c>
      <c r="G214" s="102">
        <v>45200</v>
      </c>
      <c r="H214" s="5">
        <f t="shared" si="73"/>
        <v>31</v>
      </c>
      <c r="I214" s="5">
        <f t="shared" si="74"/>
        <v>10</v>
      </c>
      <c r="J214" s="4">
        <f t="shared" si="75"/>
        <v>49.354838709677416</v>
      </c>
      <c r="K214" s="4">
        <f>SUM($J$201:J214)</f>
        <v>690.96774193548401</v>
      </c>
      <c r="L214" s="4">
        <f>SUM($J$18:J214)</f>
        <v>8500.967741935483</v>
      </c>
      <c r="M214" s="4">
        <f t="shared" si="76"/>
        <v>6.0354838709677416</v>
      </c>
      <c r="N214" s="4">
        <f>SUM($M$201:M214)</f>
        <v>84.496774193548362</v>
      </c>
      <c r="O214" s="4">
        <f>SUM($M$18:M214)</f>
        <v>1053.2967741935436</v>
      </c>
      <c r="P214" s="9">
        <f t="shared" si="77"/>
        <v>0.71089056136709106</v>
      </c>
      <c r="Q214" s="26">
        <f t="shared" si="68"/>
        <v>0.71089056136709139</v>
      </c>
      <c r="R214" s="26">
        <f t="shared" si="68"/>
        <v>0.70162122539613403</v>
      </c>
      <c r="S214" s="9">
        <f t="shared" si="78"/>
        <v>0.17877368821476175</v>
      </c>
      <c r="T214" s="9">
        <f>K214/((COUNT($K$201:K214))*24*$Q$1)</f>
        <v>0.17877368821476178</v>
      </c>
      <c r="U214" s="28">
        <f>L214/((COUNT($L$18:L214))*24*$Q$1)</f>
        <v>0.1563061280489571</v>
      </c>
      <c r="V214" s="134">
        <v>11.5031</v>
      </c>
      <c r="Y214" s="27">
        <f t="shared" si="85"/>
        <v>45213</v>
      </c>
      <c r="Z214" s="5">
        <f>MONTH(Modelling_new[[#This Row],[Date]])</f>
        <v>10</v>
      </c>
      <c r="AA214" s="25">
        <f>YEAR(Y214)+IF(MONTH(Modelling_new[[#This Row],[Date]])&gt;=4,1,0)</f>
        <v>2024</v>
      </c>
      <c r="AB214" s="3">
        <f t="shared" si="79"/>
        <v>2023</v>
      </c>
      <c r="AC214" s="3" t="s">
        <v>626</v>
      </c>
      <c r="AD214" s="5" t="s">
        <v>626</v>
      </c>
      <c r="AE214" s="102">
        <v>45200</v>
      </c>
      <c r="AF214" s="5">
        <f t="shared" si="80"/>
        <v>31</v>
      </c>
      <c r="AG214" s="5">
        <f t="shared" si="81"/>
        <v>10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BD214" s="27">
        <f t="shared" si="86"/>
        <v>45213</v>
      </c>
      <c r="BE214" s="5">
        <f>MONTH(Modelling[[#This Row],[Date]])</f>
        <v>10</v>
      </c>
      <c r="BF214" s="25">
        <f>YEAR(BD214)+IF(MONTH(Modelling[[#This Row],[Date]])&gt;=4,1,0)</f>
        <v>2024</v>
      </c>
      <c r="BG214" s="3">
        <f t="shared" si="82"/>
        <v>2023</v>
      </c>
      <c r="BH214" s="3" t="s">
        <v>626</v>
      </c>
      <c r="BI214" s="5" t="s">
        <v>626</v>
      </c>
      <c r="BJ214" s="102">
        <v>45200</v>
      </c>
      <c r="BK214" s="5">
        <f t="shared" si="83"/>
        <v>31</v>
      </c>
      <c r="BL214" s="5">
        <f t="shared" si="84"/>
        <v>10</v>
      </c>
      <c r="BM214" s="4">
        <f>Modelling_old[[#This Row],[Target E_Grid daily
MWh]]+Modelling_new[[#This Row],[Target E_Grid daily
MWh]]</f>
        <v>49.354838709677416</v>
      </c>
      <c r="BN214" s="4">
        <f>Modelling_old[[#This Row],[Target E_Grid MTD
MWh]]+Modelling_new[[#This Row],[Target E_Grid MTD
MWh]]</f>
        <v>690.96774193548401</v>
      </c>
      <c r="BO214" s="4">
        <f>Modelling_old[[#This Row],[Target E_Grid YTD
MWh]]+Modelling_new[[#This Row],[Target E_Grid YTD
MWh]]</f>
        <v>8500.967741935483</v>
      </c>
      <c r="BP21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14" s="4">
        <f>SUMIFS(Modelling[Target POA Daily (KWh/m2)],Modelling[Date],"&lt;="&amp;Modelling[[#This Row],[Date]],Modelling[Month Year],Modelling[[#This Row],[Month Year]])</f>
        <v>84.496774193548362</v>
      </c>
      <c r="BR214" s="4">
        <f>SUMIFS(Modelling[Target POA Daily (KWh/m2)],Modelling[Date],"&lt;="&amp;Modelling[[#This Row],[Date]],Modelling[Finacial Year],Modelling[[#This Row],[Finacial Year]])</f>
        <v>1053.2967741935436</v>
      </c>
      <c r="BS214" s="9">
        <f>BM214/Modelling[[#This Row],[Comisined DC ]]/BP214</f>
        <v>0.71089056136709106</v>
      </c>
      <c r="BT214" s="9">
        <f>BN214/BQ214/Modelling[[#This Row],[Comisined DC ]]</f>
        <v>0.71089056136709139</v>
      </c>
      <c r="BU214" s="9">
        <f>BO214/BR214/Modelling[[#This Row],[Comisined DC ]]</f>
        <v>0.70162122539613403</v>
      </c>
      <c r="BV214" s="9">
        <f>BM214/(24*Modelling[[#This Row],[Comisined DC ]])</f>
        <v>0.17877368821476175</v>
      </c>
      <c r="BW214" s="9">
        <f>BN214/((COUNTIFS(Modelling[Date],"&lt;="&amp;Modelling[[#This Row],[Date]],Modelling[Month Year],Modelling[[#This Row],[Month Year]])*24*Modelling[[#This Row],[MTD DC Capcity]]))</f>
        <v>0.17877368821476178</v>
      </c>
      <c r="BX214" s="28">
        <f>BO214/((COUNTIFS(Modelling[Date],"&lt;="&amp;Modelling[[#This Row],[Date]],Modelling[Finacial Year],Modelling[[#This Row],[Finacial Year]])*24*Modelling[[#This Row],[MTD DC Capcity]]))</f>
        <v>0.1563061280489571</v>
      </c>
      <c r="BY214" s="4">
        <f>Modelling_old[[#This Row],[DC Capcity]]+Modelling_new[[#This Row],[Comisined DC ]]</f>
        <v>11.5031</v>
      </c>
      <c r="BZ214" s="4">
        <v>0</v>
      </c>
      <c r="CA214" s="4">
        <f>AVERAGEIFS(Modelling[[Comisined DC ]],Modelling[Date],"&lt;="&amp;Modelling[[#This Row],[Date]],Modelling[Month Year],Modelling[[#This Row],[Month Year]])</f>
        <v>11.5031</v>
      </c>
      <c r="CB214" s="4">
        <f>AVERAGEIFS(Modelling[[Comisined DC ]],Modelling[Date],"&lt;="&amp;Modelling[[#This Row],[Date]],Modelling[Finacial Year],Modelling[[#This Row],[Finacial Year]])</f>
        <v>11.503099999999952</v>
      </c>
      <c r="CG214">
        <f t="shared" si="70"/>
        <v>14</v>
      </c>
      <c r="CH214">
        <f t="shared" si="87"/>
        <v>197</v>
      </c>
    </row>
    <row r="215" spans="1:86" x14ac:dyDescent="0.35">
      <c r="A215" s="27">
        <v>45214</v>
      </c>
      <c r="B215" s="5">
        <f>MONTH(Modelling_old[[#This Row],[Date]])</f>
        <v>10</v>
      </c>
      <c r="C215" s="25">
        <f t="shared" si="71"/>
        <v>2024</v>
      </c>
      <c r="D215" s="3">
        <f t="shared" si="72"/>
        <v>2023</v>
      </c>
      <c r="E215" s="3" t="s">
        <v>626</v>
      </c>
      <c r="F215" s="5" t="s">
        <v>626</v>
      </c>
      <c r="G215" s="102">
        <v>45200</v>
      </c>
      <c r="H215" s="5">
        <f t="shared" si="73"/>
        <v>31</v>
      </c>
      <c r="I215" s="5">
        <f t="shared" si="74"/>
        <v>10</v>
      </c>
      <c r="J215" s="4">
        <f t="shared" si="75"/>
        <v>49.354838709677416</v>
      </c>
      <c r="K215" s="4">
        <f>SUM($J$201:J215)</f>
        <v>740.32258064516145</v>
      </c>
      <c r="L215" s="4">
        <f>SUM($J$18:J215)</f>
        <v>8550.322580645161</v>
      </c>
      <c r="M215" s="4">
        <f t="shared" si="76"/>
        <v>6.0354838709677416</v>
      </c>
      <c r="N215" s="4">
        <f>SUM($M$201:M215)</f>
        <v>90.5322580645161</v>
      </c>
      <c r="O215" s="4">
        <f>SUM($M$18:M215)</f>
        <v>1059.3322580645113</v>
      </c>
      <c r="P215" s="9">
        <f t="shared" si="77"/>
        <v>0.71089056136709106</v>
      </c>
      <c r="Q215" s="26">
        <f t="shared" si="68"/>
        <v>0.71089056136709139</v>
      </c>
      <c r="R215" s="26">
        <f t="shared" si="68"/>
        <v>0.7016740368982114</v>
      </c>
      <c r="S215" s="9">
        <f t="shared" si="78"/>
        <v>0.17877368821476175</v>
      </c>
      <c r="T215" s="9">
        <f>K215/((COUNT($K$201:K215))*24*$Q$1)</f>
        <v>0.17877368821476178</v>
      </c>
      <c r="U215" s="28">
        <f>L215/((COUNT($L$18:L215))*24*$Q$1)</f>
        <v>0.15641960057504703</v>
      </c>
      <c r="V215" s="134">
        <v>11.5031</v>
      </c>
      <c r="Y215" s="27">
        <f t="shared" si="85"/>
        <v>45214</v>
      </c>
      <c r="Z215" s="5">
        <f>MONTH(Modelling_new[[#This Row],[Date]])</f>
        <v>10</v>
      </c>
      <c r="AA215" s="25">
        <f>YEAR(Y215)+IF(MONTH(Modelling_new[[#This Row],[Date]])&gt;=4,1,0)</f>
        <v>2024</v>
      </c>
      <c r="AB215" s="3">
        <f t="shared" si="79"/>
        <v>2023</v>
      </c>
      <c r="AC215" s="3" t="s">
        <v>626</v>
      </c>
      <c r="AD215" s="5" t="s">
        <v>626</v>
      </c>
      <c r="AE215" s="102">
        <v>45200</v>
      </c>
      <c r="AF215" s="5">
        <f t="shared" si="80"/>
        <v>31</v>
      </c>
      <c r="AG215" s="5">
        <f t="shared" si="81"/>
        <v>10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BD215" s="27">
        <f t="shared" si="86"/>
        <v>45214</v>
      </c>
      <c r="BE215" s="5">
        <f>MONTH(Modelling[[#This Row],[Date]])</f>
        <v>10</v>
      </c>
      <c r="BF215" s="25">
        <f>YEAR(BD215)+IF(MONTH(Modelling[[#This Row],[Date]])&gt;=4,1,0)</f>
        <v>2024</v>
      </c>
      <c r="BG215" s="3">
        <f t="shared" si="82"/>
        <v>2023</v>
      </c>
      <c r="BH215" s="3" t="s">
        <v>626</v>
      </c>
      <c r="BI215" s="5" t="s">
        <v>626</v>
      </c>
      <c r="BJ215" s="102">
        <v>45200</v>
      </c>
      <c r="BK215" s="5">
        <f t="shared" si="83"/>
        <v>31</v>
      </c>
      <c r="BL215" s="5">
        <f t="shared" si="84"/>
        <v>10</v>
      </c>
      <c r="BM215" s="4">
        <f>Modelling_old[[#This Row],[Target E_Grid daily
MWh]]+Modelling_new[[#This Row],[Target E_Grid daily
MWh]]</f>
        <v>49.354838709677416</v>
      </c>
      <c r="BN215" s="4">
        <f>Modelling_old[[#This Row],[Target E_Grid MTD
MWh]]+Modelling_new[[#This Row],[Target E_Grid MTD
MWh]]</f>
        <v>740.32258064516145</v>
      </c>
      <c r="BO215" s="4">
        <f>Modelling_old[[#This Row],[Target E_Grid YTD
MWh]]+Modelling_new[[#This Row],[Target E_Grid YTD
MWh]]</f>
        <v>8550.322580645161</v>
      </c>
      <c r="BP21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15" s="4">
        <f>SUMIFS(Modelling[Target POA Daily (KWh/m2)],Modelling[Date],"&lt;="&amp;Modelling[[#This Row],[Date]],Modelling[Month Year],Modelling[[#This Row],[Month Year]])</f>
        <v>90.5322580645161</v>
      </c>
      <c r="BR215" s="4">
        <f>SUMIFS(Modelling[Target POA Daily (KWh/m2)],Modelling[Date],"&lt;="&amp;Modelling[[#This Row],[Date]],Modelling[Finacial Year],Modelling[[#This Row],[Finacial Year]])</f>
        <v>1059.3322580645113</v>
      </c>
      <c r="BS215" s="9">
        <f>BM215/Modelling[[#This Row],[Comisined DC ]]/BP215</f>
        <v>0.71089056136709106</v>
      </c>
      <c r="BT215" s="9">
        <f>BN215/BQ215/Modelling[[#This Row],[Comisined DC ]]</f>
        <v>0.71089056136709139</v>
      </c>
      <c r="BU215" s="9">
        <f>BO215/BR215/Modelling[[#This Row],[Comisined DC ]]</f>
        <v>0.7016740368982114</v>
      </c>
      <c r="BV215" s="9">
        <f>BM215/(24*Modelling[[#This Row],[Comisined DC ]])</f>
        <v>0.17877368821476175</v>
      </c>
      <c r="BW215" s="9">
        <f>BN215/((COUNTIFS(Modelling[Date],"&lt;="&amp;Modelling[[#This Row],[Date]],Modelling[Month Year],Modelling[[#This Row],[Month Year]])*24*Modelling[[#This Row],[MTD DC Capcity]]))</f>
        <v>0.17877368821476183</v>
      </c>
      <c r="BX215" s="28">
        <f>BO215/((COUNTIFS(Modelling[Date],"&lt;="&amp;Modelling[[#This Row],[Date]],Modelling[Finacial Year],Modelling[[#This Row],[Finacial Year]])*24*Modelling[[#This Row],[MTD DC Capcity]]))</f>
        <v>0.15641960057504706</v>
      </c>
      <c r="BY215" s="4">
        <f>Modelling_old[[#This Row],[DC Capcity]]+Modelling_new[[#This Row],[Comisined DC ]]</f>
        <v>11.5031</v>
      </c>
      <c r="BZ215" s="4">
        <v>0</v>
      </c>
      <c r="CA215" s="4">
        <f>AVERAGEIFS(Modelling[[Comisined DC ]],Modelling[Date],"&lt;="&amp;Modelling[[#This Row],[Date]],Modelling[Month Year],Modelling[[#This Row],[Month Year]])</f>
        <v>11.503099999999998</v>
      </c>
      <c r="CB215" s="4">
        <f>AVERAGEIFS(Modelling[[Comisined DC ]],Modelling[Date],"&lt;="&amp;Modelling[[#This Row],[Date]],Modelling[Finacial Year],Modelling[[#This Row],[Finacial Year]])</f>
        <v>11.503099999999952</v>
      </c>
      <c r="CG215">
        <f t="shared" si="70"/>
        <v>15</v>
      </c>
      <c r="CH215">
        <f t="shared" si="87"/>
        <v>198</v>
      </c>
    </row>
    <row r="216" spans="1:86" x14ac:dyDescent="0.35">
      <c r="A216" s="27">
        <v>45215</v>
      </c>
      <c r="B216" s="5">
        <f>MONTH(Modelling_old[[#This Row],[Date]])</f>
        <v>10</v>
      </c>
      <c r="C216" s="25">
        <f t="shared" si="71"/>
        <v>2024</v>
      </c>
      <c r="D216" s="3">
        <f t="shared" si="72"/>
        <v>2023</v>
      </c>
      <c r="E216" s="3" t="s">
        <v>626</v>
      </c>
      <c r="F216" s="5" t="s">
        <v>626</v>
      </c>
      <c r="G216" s="102">
        <v>45200</v>
      </c>
      <c r="H216" s="5">
        <f t="shared" si="73"/>
        <v>31</v>
      </c>
      <c r="I216" s="5">
        <f t="shared" si="74"/>
        <v>10</v>
      </c>
      <c r="J216" s="4">
        <f t="shared" si="75"/>
        <v>49.354838709677416</v>
      </c>
      <c r="K216" s="4">
        <f>SUM($J$201:J216)</f>
        <v>789.67741935483889</v>
      </c>
      <c r="L216" s="4">
        <f>SUM($J$18:J216)</f>
        <v>8599.677419354839</v>
      </c>
      <c r="M216" s="4">
        <f t="shared" si="76"/>
        <v>6.0354838709677416</v>
      </c>
      <c r="N216" s="4">
        <f>SUM($M$201:M216)</f>
        <v>96.567741935483838</v>
      </c>
      <c r="O216" s="4">
        <f>SUM($M$18:M216)</f>
        <v>1065.367741935479</v>
      </c>
      <c r="P216" s="9">
        <f t="shared" si="77"/>
        <v>0.71089056136709106</v>
      </c>
      <c r="Q216" s="26">
        <f t="shared" si="68"/>
        <v>0.71089056136709139</v>
      </c>
      <c r="R216" s="26">
        <f t="shared" si="68"/>
        <v>0.70172625002855959</v>
      </c>
      <c r="S216" s="9">
        <f t="shared" si="78"/>
        <v>0.17877368821476175</v>
      </c>
      <c r="T216" s="9">
        <f>K216/((COUNT($K$201:K216))*24*$Q$1)</f>
        <v>0.17877368821476181</v>
      </c>
      <c r="U216" s="28">
        <f>L216/((COUNT($L$18:L216))*24*$Q$1)</f>
        <v>0.15653193267373908</v>
      </c>
      <c r="V216" s="134">
        <v>11.5031</v>
      </c>
      <c r="Y216" s="27">
        <f t="shared" si="85"/>
        <v>45215</v>
      </c>
      <c r="Z216" s="5">
        <f>MONTH(Modelling_new[[#This Row],[Date]])</f>
        <v>10</v>
      </c>
      <c r="AA216" s="25">
        <f>YEAR(Y216)+IF(MONTH(Modelling_new[[#This Row],[Date]])&gt;=4,1,0)</f>
        <v>2024</v>
      </c>
      <c r="AB216" s="3">
        <f t="shared" si="79"/>
        <v>2023</v>
      </c>
      <c r="AC216" s="3" t="s">
        <v>626</v>
      </c>
      <c r="AD216" s="5" t="s">
        <v>626</v>
      </c>
      <c r="AE216" s="102">
        <v>45200</v>
      </c>
      <c r="AF216" s="5">
        <f t="shared" si="80"/>
        <v>31</v>
      </c>
      <c r="AG216" s="5">
        <f t="shared" si="81"/>
        <v>10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BD216" s="27">
        <f t="shared" si="86"/>
        <v>45215</v>
      </c>
      <c r="BE216" s="5">
        <f>MONTH(Modelling[[#This Row],[Date]])</f>
        <v>10</v>
      </c>
      <c r="BF216" s="25">
        <f>YEAR(BD216)+IF(MONTH(Modelling[[#This Row],[Date]])&gt;=4,1,0)</f>
        <v>2024</v>
      </c>
      <c r="BG216" s="3">
        <f t="shared" si="82"/>
        <v>2023</v>
      </c>
      <c r="BH216" s="3" t="s">
        <v>626</v>
      </c>
      <c r="BI216" s="5" t="s">
        <v>626</v>
      </c>
      <c r="BJ216" s="102">
        <v>45200</v>
      </c>
      <c r="BK216" s="5">
        <f t="shared" si="83"/>
        <v>31</v>
      </c>
      <c r="BL216" s="5">
        <f t="shared" si="84"/>
        <v>10</v>
      </c>
      <c r="BM216" s="4">
        <f>Modelling_old[[#This Row],[Target E_Grid daily
MWh]]+Modelling_new[[#This Row],[Target E_Grid daily
MWh]]</f>
        <v>49.354838709677416</v>
      </c>
      <c r="BN216" s="4">
        <f>Modelling_old[[#This Row],[Target E_Grid MTD
MWh]]+Modelling_new[[#This Row],[Target E_Grid MTD
MWh]]</f>
        <v>789.67741935483889</v>
      </c>
      <c r="BO216" s="4">
        <f>Modelling_old[[#This Row],[Target E_Grid YTD
MWh]]+Modelling_new[[#This Row],[Target E_Grid YTD
MWh]]</f>
        <v>8599.677419354839</v>
      </c>
      <c r="BP21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16" s="4">
        <f>SUMIFS(Modelling[Target POA Daily (KWh/m2)],Modelling[Date],"&lt;="&amp;Modelling[[#This Row],[Date]],Modelling[Month Year],Modelling[[#This Row],[Month Year]])</f>
        <v>96.567741935483838</v>
      </c>
      <c r="BR216" s="4">
        <f>SUMIFS(Modelling[Target POA Daily (KWh/m2)],Modelling[Date],"&lt;="&amp;Modelling[[#This Row],[Date]],Modelling[Finacial Year],Modelling[[#This Row],[Finacial Year]])</f>
        <v>1065.367741935479</v>
      </c>
      <c r="BS216" s="9">
        <f>BM216/Modelling[[#This Row],[Comisined DC ]]/BP216</f>
        <v>0.71089056136709106</v>
      </c>
      <c r="BT216" s="9">
        <f>BN216/BQ216/Modelling[[#This Row],[Comisined DC ]]</f>
        <v>0.71089056136709139</v>
      </c>
      <c r="BU216" s="9">
        <f>BO216/BR216/Modelling[[#This Row],[Comisined DC ]]</f>
        <v>0.70172625002855959</v>
      </c>
      <c r="BV216" s="9">
        <f>BM216/(24*Modelling[[#This Row],[Comisined DC ]])</f>
        <v>0.17877368821476175</v>
      </c>
      <c r="BW216" s="9">
        <f>BN216/((COUNTIFS(Modelling[Date],"&lt;="&amp;Modelling[[#This Row],[Date]],Modelling[Month Year],Modelling[[#This Row],[Month Year]])*24*Modelling[[#This Row],[MTD DC Capcity]]))</f>
        <v>0.17877368821476181</v>
      </c>
      <c r="BX216" s="28">
        <f>BO216/((COUNTIFS(Modelling[Date],"&lt;="&amp;Modelling[[#This Row],[Date]],Modelling[Finacial Year],Modelling[[#This Row],[Finacial Year]])*24*Modelling[[#This Row],[MTD DC Capcity]]))</f>
        <v>0.1565319326737391</v>
      </c>
      <c r="BY216" s="4">
        <f>Modelling_old[[#This Row],[DC Capcity]]+Modelling_new[[#This Row],[Comisined DC ]]</f>
        <v>11.5031</v>
      </c>
      <c r="BZ216" s="4">
        <v>0</v>
      </c>
      <c r="CA216" s="4">
        <f>AVERAGEIFS(Modelling[[Comisined DC ]],Modelling[Date],"&lt;="&amp;Modelling[[#This Row],[Date]],Modelling[Month Year],Modelling[[#This Row],[Month Year]])</f>
        <v>11.503099999999998</v>
      </c>
      <c r="CB216" s="4">
        <f>AVERAGEIFS(Modelling[[Comisined DC ]],Modelling[Date],"&lt;="&amp;Modelling[[#This Row],[Date]],Modelling[Finacial Year],Modelling[[#This Row],[Finacial Year]])</f>
        <v>11.503099999999952</v>
      </c>
      <c r="CG216">
        <f t="shared" si="70"/>
        <v>16</v>
      </c>
      <c r="CH216">
        <f t="shared" si="87"/>
        <v>199</v>
      </c>
    </row>
    <row r="217" spans="1:86" x14ac:dyDescent="0.35">
      <c r="A217" s="27">
        <v>45216</v>
      </c>
      <c r="B217" s="5">
        <f>MONTH(Modelling_old[[#This Row],[Date]])</f>
        <v>10</v>
      </c>
      <c r="C217" s="25">
        <f t="shared" si="71"/>
        <v>2024</v>
      </c>
      <c r="D217" s="3">
        <f t="shared" si="72"/>
        <v>2023</v>
      </c>
      <c r="E217" s="3" t="s">
        <v>626</v>
      </c>
      <c r="F217" s="5" t="s">
        <v>626</v>
      </c>
      <c r="G217" s="102">
        <v>45200</v>
      </c>
      <c r="H217" s="5">
        <f t="shared" si="73"/>
        <v>31</v>
      </c>
      <c r="I217" s="5">
        <f t="shared" si="74"/>
        <v>10</v>
      </c>
      <c r="J217" s="4">
        <f t="shared" si="75"/>
        <v>49.354838709677416</v>
      </c>
      <c r="K217" s="4">
        <f>SUM($J$201:J217)</f>
        <v>839.03225806451633</v>
      </c>
      <c r="L217" s="4">
        <f>SUM($J$18:J217)</f>
        <v>8649.032258064517</v>
      </c>
      <c r="M217" s="4">
        <f t="shared" si="76"/>
        <v>6.0354838709677416</v>
      </c>
      <c r="N217" s="4">
        <f>SUM($M$201:M217)</f>
        <v>102.60322580645158</v>
      </c>
      <c r="O217" s="4">
        <f>SUM($M$18:M217)</f>
        <v>1071.4032258064467</v>
      </c>
      <c r="P217" s="9">
        <f t="shared" si="77"/>
        <v>0.71089056136709106</v>
      </c>
      <c r="Q217" s="26">
        <f t="shared" si="68"/>
        <v>0.71089056136709139</v>
      </c>
      <c r="R217" s="26">
        <f t="shared" si="68"/>
        <v>0.70177787489951382</v>
      </c>
      <c r="S217" s="9">
        <f t="shared" si="78"/>
        <v>0.17877368821476175</v>
      </c>
      <c r="T217" s="9">
        <f>K217/((COUNT($K$201:K217))*24*$Q$1)</f>
        <v>0.17877368821476178</v>
      </c>
      <c r="U217" s="28">
        <f>L217/((COUNT($L$18:L217))*24*$Q$1)</f>
        <v>0.1566431414514442</v>
      </c>
      <c r="V217" s="134">
        <v>11.5031</v>
      </c>
      <c r="Y217" s="27">
        <f t="shared" si="85"/>
        <v>45216</v>
      </c>
      <c r="Z217" s="5">
        <f>MONTH(Modelling_new[[#This Row],[Date]])</f>
        <v>10</v>
      </c>
      <c r="AA217" s="25">
        <f>YEAR(Y217)+IF(MONTH(Modelling_new[[#This Row],[Date]])&gt;=4,1,0)</f>
        <v>2024</v>
      </c>
      <c r="AB217" s="3">
        <f t="shared" si="79"/>
        <v>2023</v>
      </c>
      <c r="AC217" s="3" t="s">
        <v>626</v>
      </c>
      <c r="AD217" s="5" t="s">
        <v>626</v>
      </c>
      <c r="AE217" s="102">
        <v>45200</v>
      </c>
      <c r="AF217" s="5">
        <f t="shared" si="80"/>
        <v>31</v>
      </c>
      <c r="AG217" s="5">
        <f t="shared" si="81"/>
        <v>10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BD217" s="27">
        <f t="shared" si="86"/>
        <v>45216</v>
      </c>
      <c r="BE217" s="5">
        <f>MONTH(Modelling[[#This Row],[Date]])</f>
        <v>10</v>
      </c>
      <c r="BF217" s="25">
        <f>YEAR(BD217)+IF(MONTH(Modelling[[#This Row],[Date]])&gt;=4,1,0)</f>
        <v>2024</v>
      </c>
      <c r="BG217" s="3">
        <f t="shared" si="82"/>
        <v>2023</v>
      </c>
      <c r="BH217" s="3" t="s">
        <v>626</v>
      </c>
      <c r="BI217" s="5" t="s">
        <v>626</v>
      </c>
      <c r="BJ217" s="102">
        <v>45200</v>
      </c>
      <c r="BK217" s="5">
        <f t="shared" si="83"/>
        <v>31</v>
      </c>
      <c r="BL217" s="5">
        <f t="shared" si="84"/>
        <v>10</v>
      </c>
      <c r="BM217" s="4">
        <f>Modelling_old[[#This Row],[Target E_Grid daily
MWh]]+Modelling_new[[#This Row],[Target E_Grid daily
MWh]]</f>
        <v>49.354838709677416</v>
      </c>
      <c r="BN217" s="4">
        <f>Modelling_old[[#This Row],[Target E_Grid MTD
MWh]]+Modelling_new[[#This Row],[Target E_Grid MTD
MWh]]</f>
        <v>839.03225806451633</v>
      </c>
      <c r="BO217" s="4">
        <f>Modelling_old[[#This Row],[Target E_Grid YTD
MWh]]+Modelling_new[[#This Row],[Target E_Grid YTD
MWh]]</f>
        <v>8649.032258064517</v>
      </c>
      <c r="BP21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17" s="4">
        <f>SUMIFS(Modelling[Target POA Daily (KWh/m2)],Modelling[Date],"&lt;="&amp;Modelling[[#This Row],[Date]],Modelling[Month Year],Modelling[[#This Row],[Month Year]])</f>
        <v>102.60322580645158</v>
      </c>
      <c r="BR217" s="4">
        <f>SUMIFS(Modelling[Target POA Daily (KWh/m2)],Modelling[Date],"&lt;="&amp;Modelling[[#This Row],[Date]],Modelling[Finacial Year],Modelling[[#This Row],[Finacial Year]])</f>
        <v>1071.4032258064467</v>
      </c>
      <c r="BS217" s="9">
        <f>BM217/Modelling[[#This Row],[Comisined DC ]]/BP217</f>
        <v>0.71089056136709106</v>
      </c>
      <c r="BT217" s="9">
        <f>BN217/BQ217/Modelling[[#This Row],[Comisined DC ]]</f>
        <v>0.71089056136709139</v>
      </c>
      <c r="BU217" s="9">
        <f>BO217/BR217/Modelling[[#This Row],[Comisined DC ]]</f>
        <v>0.70177787489951382</v>
      </c>
      <c r="BV217" s="9">
        <f>BM217/(24*Modelling[[#This Row],[Comisined DC ]])</f>
        <v>0.17877368821476175</v>
      </c>
      <c r="BW217" s="9">
        <f>BN217/((COUNTIFS(Modelling[Date],"&lt;="&amp;Modelling[[#This Row],[Date]],Modelling[Month Year],Modelling[[#This Row],[Month Year]])*24*Modelling[[#This Row],[MTD DC Capcity]]))</f>
        <v>0.17877368821476183</v>
      </c>
      <c r="BX217" s="28">
        <f>BO217/((COUNTIFS(Modelling[Date],"&lt;="&amp;Modelling[[#This Row],[Date]],Modelling[Finacial Year],Modelling[[#This Row],[Finacial Year]])*24*Modelling[[#This Row],[MTD DC Capcity]]))</f>
        <v>0.15664314145144423</v>
      </c>
      <c r="BY217" s="4">
        <f>Modelling_old[[#This Row],[DC Capcity]]+Modelling_new[[#This Row],[Comisined DC ]]</f>
        <v>11.5031</v>
      </c>
      <c r="BZ217" s="4">
        <v>0</v>
      </c>
      <c r="CA217" s="4">
        <f>AVERAGEIFS(Modelling[[Comisined DC ]],Modelling[Date],"&lt;="&amp;Modelling[[#This Row],[Date]],Modelling[Month Year],Modelling[[#This Row],[Month Year]])</f>
        <v>11.503099999999998</v>
      </c>
      <c r="CB217" s="4">
        <f>AVERAGEIFS(Modelling[[Comisined DC ]],Modelling[Date],"&lt;="&amp;Modelling[[#This Row],[Date]],Modelling[Finacial Year],Modelling[[#This Row],[Finacial Year]])</f>
        <v>11.503099999999952</v>
      </c>
      <c r="CG217">
        <f t="shared" si="70"/>
        <v>17</v>
      </c>
      <c r="CH217">
        <f t="shared" si="87"/>
        <v>200</v>
      </c>
    </row>
    <row r="218" spans="1:86" x14ac:dyDescent="0.35">
      <c r="A218" s="27">
        <v>45217</v>
      </c>
      <c r="B218" s="5">
        <f>MONTH(Modelling_old[[#This Row],[Date]])</f>
        <v>10</v>
      </c>
      <c r="C218" s="25">
        <f t="shared" si="71"/>
        <v>2024</v>
      </c>
      <c r="D218" s="3">
        <f t="shared" si="72"/>
        <v>2023</v>
      </c>
      <c r="E218" s="3" t="s">
        <v>626</v>
      </c>
      <c r="F218" s="5" t="s">
        <v>626</v>
      </c>
      <c r="G218" s="102">
        <v>45200</v>
      </c>
      <c r="H218" s="5">
        <f t="shared" si="73"/>
        <v>31</v>
      </c>
      <c r="I218" s="5">
        <f t="shared" si="74"/>
        <v>10</v>
      </c>
      <c r="J218" s="4">
        <f t="shared" si="75"/>
        <v>49.354838709677416</v>
      </c>
      <c r="K218" s="4">
        <f>SUM($J$201:J218)</f>
        <v>888.38709677419376</v>
      </c>
      <c r="L218" s="4">
        <f>SUM($J$18:J218)</f>
        <v>8698.387096774195</v>
      </c>
      <c r="M218" s="4">
        <f t="shared" si="76"/>
        <v>6.0354838709677416</v>
      </c>
      <c r="N218" s="4">
        <f>SUM($M$201:M218)</f>
        <v>108.63870967741931</v>
      </c>
      <c r="O218" s="4">
        <f>SUM($M$18:M218)</f>
        <v>1077.4387096774144</v>
      </c>
      <c r="P218" s="9">
        <f t="shared" si="77"/>
        <v>0.71089056136709106</v>
      </c>
      <c r="Q218" s="26">
        <f t="shared" si="68"/>
        <v>0.71089056136709139</v>
      </c>
      <c r="R218" s="26">
        <f t="shared" si="68"/>
        <v>0.70182892139682485</v>
      </c>
      <c r="S218" s="9">
        <f t="shared" si="78"/>
        <v>0.17877368821476175</v>
      </c>
      <c r="T218" s="9">
        <f>K218/((COUNT($K$201:K218))*24*$Q$1)</f>
        <v>0.17877368821476178</v>
      </c>
      <c r="U218" s="28">
        <f>L218/((COUNT($L$18:L218))*24*$Q$1)</f>
        <v>0.15675324367414728</v>
      </c>
      <c r="V218" s="134">
        <v>11.5031</v>
      </c>
      <c r="Y218" s="27">
        <f t="shared" si="85"/>
        <v>45217</v>
      </c>
      <c r="Z218" s="5">
        <f>MONTH(Modelling_new[[#This Row],[Date]])</f>
        <v>10</v>
      </c>
      <c r="AA218" s="25">
        <f>YEAR(Y218)+IF(MONTH(Modelling_new[[#This Row],[Date]])&gt;=4,1,0)</f>
        <v>2024</v>
      </c>
      <c r="AB218" s="3">
        <f t="shared" si="79"/>
        <v>2023</v>
      </c>
      <c r="AC218" s="3" t="s">
        <v>626</v>
      </c>
      <c r="AD218" s="5" t="s">
        <v>626</v>
      </c>
      <c r="AE218" s="102">
        <v>45200</v>
      </c>
      <c r="AF218" s="5">
        <f t="shared" si="80"/>
        <v>31</v>
      </c>
      <c r="AG218" s="5">
        <f t="shared" si="81"/>
        <v>10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BD218" s="27">
        <f t="shared" si="86"/>
        <v>45217</v>
      </c>
      <c r="BE218" s="5">
        <f>MONTH(Modelling[[#This Row],[Date]])</f>
        <v>10</v>
      </c>
      <c r="BF218" s="25">
        <f>YEAR(BD218)+IF(MONTH(Modelling[[#This Row],[Date]])&gt;=4,1,0)</f>
        <v>2024</v>
      </c>
      <c r="BG218" s="3">
        <f t="shared" si="82"/>
        <v>2023</v>
      </c>
      <c r="BH218" s="3" t="s">
        <v>626</v>
      </c>
      <c r="BI218" s="5" t="s">
        <v>626</v>
      </c>
      <c r="BJ218" s="102">
        <v>45200</v>
      </c>
      <c r="BK218" s="5">
        <f t="shared" si="83"/>
        <v>31</v>
      </c>
      <c r="BL218" s="5">
        <f t="shared" si="84"/>
        <v>10</v>
      </c>
      <c r="BM218" s="4">
        <f>Modelling_old[[#This Row],[Target E_Grid daily
MWh]]+Modelling_new[[#This Row],[Target E_Grid daily
MWh]]</f>
        <v>49.354838709677416</v>
      </c>
      <c r="BN218" s="4">
        <f>Modelling_old[[#This Row],[Target E_Grid MTD
MWh]]+Modelling_new[[#This Row],[Target E_Grid MTD
MWh]]</f>
        <v>888.38709677419376</v>
      </c>
      <c r="BO218" s="4">
        <f>Modelling_old[[#This Row],[Target E_Grid YTD
MWh]]+Modelling_new[[#This Row],[Target E_Grid YTD
MWh]]</f>
        <v>8698.387096774195</v>
      </c>
      <c r="BP21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18" s="4">
        <f>SUMIFS(Modelling[Target POA Daily (KWh/m2)],Modelling[Date],"&lt;="&amp;Modelling[[#This Row],[Date]],Modelling[Month Year],Modelling[[#This Row],[Month Year]])</f>
        <v>108.63870967741931</v>
      </c>
      <c r="BR218" s="4">
        <f>SUMIFS(Modelling[Target POA Daily (KWh/m2)],Modelling[Date],"&lt;="&amp;Modelling[[#This Row],[Date]],Modelling[Finacial Year],Modelling[[#This Row],[Finacial Year]])</f>
        <v>1077.4387096774144</v>
      </c>
      <c r="BS218" s="9">
        <f>BM218/Modelling[[#This Row],[Comisined DC ]]/BP218</f>
        <v>0.71089056136709106</v>
      </c>
      <c r="BT218" s="9">
        <f>BN218/BQ218/Modelling[[#This Row],[Comisined DC ]]</f>
        <v>0.71089056136709139</v>
      </c>
      <c r="BU218" s="9">
        <f>BO218/BR218/Modelling[[#This Row],[Comisined DC ]]</f>
        <v>0.70182892139682485</v>
      </c>
      <c r="BV218" s="9">
        <f>BM218/(24*Modelling[[#This Row],[Comisined DC ]])</f>
        <v>0.17877368821476175</v>
      </c>
      <c r="BW218" s="9">
        <f>BN218/((COUNTIFS(Modelling[Date],"&lt;="&amp;Modelling[[#This Row],[Date]],Modelling[Month Year],Modelling[[#This Row],[Month Year]])*24*Modelling[[#This Row],[MTD DC Capcity]]))</f>
        <v>0.17877368821476183</v>
      </c>
      <c r="BX218" s="28">
        <f>BO218/((COUNTIFS(Modelling[Date],"&lt;="&amp;Modelling[[#This Row],[Date]],Modelling[Finacial Year],Modelling[[#This Row],[Finacial Year]])*24*Modelling[[#This Row],[MTD DC Capcity]]))</f>
        <v>0.15675324367414734</v>
      </c>
      <c r="BY218" s="4">
        <f>Modelling_old[[#This Row],[DC Capcity]]+Modelling_new[[#This Row],[Comisined DC ]]</f>
        <v>11.5031</v>
      </c>
      <c r="BZ218" s="4">
        <v>0</v>
      </c>
      <c r="CA218" s="4">
        <f>AVERAGEIFS(Modelling[[Comisined DC ]],Modelling[Date],"&lt;="&amp;Modelling[[#This Row],[Date]],Modelling[Month Year],Modelling[[#This Row],[Month Year]])</f>
        <v>11.503099999999996</v>
      </c>
      <c r="CB218" s="4">
        <f>AVERAGEIFS(Modelling[[Comisined DC ]],Modelling[Date],"&lt;="&amp;Modelling[[#This Row],[Date]],Modelling[Finacial Year],Modelling[[#This Row],[Finacial Year]])</f>
        <v>11.503099999999952</v>
      </c>
      <c r="CG218">
        <f t="shared" si="70"/>
        <v>18</v>
      </c>
      <c r="CH218">
        <f t="shared" si="87"/>
        <v>201</v>
      </c>
    </row>
    <row r="219" spans="1:86" x14ac:dyDescent="0.35">
      <c r="A219" s="27">
        <v>45218</v>
      </c>
      <c r="B219" s="5">
        <f>MONTH(Modelling_old[[#This Row],[Date]])</f>
        <v>10</v>
      </c>
      <c r="C219" s="25">
        <f t="shared" si="71"/>
        <v>2024</v>
      </c>
      <c r="D219" s="3">
        <f t="shared" si="72"/>
        <v>2023</v>
      </c>
      <c r="E219" s="3" t="s">
        <v>626</v>
      </c>
      <c r="F219" s="5" t="s">
        <v>626</v>
      </c>
      <c r="G219" s="102">
        <v>45200</v>
      </c>
      <c r="H219" s="5">
        <f t="shared" si="73"/>
        <v>31</v>
      </c>
      <c r="I219" s="5">
        <f t="shared" si="74"/>
        <v>10</v>
      </c>
      <c r="J219" s="4">
        <f t="shared" si="75"/>
        <v>49.354838709677416</v>
      </c>
      <c r="K219" s="4">
        <f>SUM($J$201:J219)</f>
        <v>937.7419354838712</v>
      </c>
      <c r="L219" s="4">
        <f>SUM($J$18:J219)</f>
        <v>8747.741935483873</v>
      </c>
      <c r="M219" s="4">
        <f t="shared" si="76"/>
        <v>6.0354838709677416</v>
      </c>
      <c r="N219" s="4">
        <f>SUM($M$201:M219)</f>
        <v>114.67419354838705</v>
      </c>
      <c r="O219" s="4">
        <f>SUM($M$18:M219)</f>
        <v>1083.4741935483821</v>
      </c>
      <c r="P219" s="9">
        <f t="shared" si="77"/>
        <v>0.71089056136709106</v>
      </c>
      <c r="Q219" s="26">
        <f t="shared" si="68"/>
        <v>0.71089056136709161</v>
      </c>
      <c r="R219" s="26">
        <f t="shared" si="68"/>
        <v>0.70187939918596909</v>
      </c>
      <c r="S219" s="9">
        <f t="shared" si="78"/>
        <v>0.17877368821476175</v>
      </c>
      <c r="T219" s="9">
        <f>K219/((COUNT($K$201:K219))*24*$Q$1)</f>
        <v>0.17877368821476181</v>
      </c>
      <c r="U219" s="28">
        <f>L219/((COUNT($L$18:L219))*24*$Q$1)</f>
        <v>0.15686225577583349</v>
      </c>
      <c r="V219" s="134">
        <v>11.5031</v>
      </c>
      <c r="Y219" s="27">
        <f t="shared" si="85"/>
        <v>45218</v>
      </c>
      <c r="Z219" s="5">
        <f>MONTH(Modelling_new[[#This Row],[Date]])</f>
        <v>10</v>
      </c>
      <c r="AA219" s="25">
        <f>YEAR(Y219)+IF(MONTH(Modelling_new[[#This Row],[Date]])&gt;=4,1,0)</f>
        <v>2024</v>
      </c>
      <c r="AB219" s="3">
        <f t="shared" si="79"/>
        <v>2023</v>
      </c>
      <c r="AC219" s="3" t="s">
        <v>626</v>
      </c>
      <c r="AD219" s="5" t="s">
        <v>626</v>
      </c>
      <c r="AE219" s="102">
        <v>45200</v>
      </c>
      <c r="AF219" s="5">
        <f t="shared" si="80"/>
        <v>31</v>
      </c>
      <c r="AG219" s="5">
        <f t="shared" si="81"/>
        <v>10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BD219" s="27">
        <f t="shared" si="86"/>
        <v>45218</v>
      </c>
      <c r="BE219" s="5">
        <f>MONTH(Modelling[[#This Row],[Date]])</f>
        <v>10</v>
      </c>
      <c r="BF219" s="25">
        <f>YEAR(BD219)+IF(MONTH(Modelling[[#This Row],[Date]])&gt;=4,1,0)</f>
        <v>2024</v>
      </c>
      <c r="BG219" s="3">
        <f t="shared" si="82"/>
        <v>2023</v>
      </c>
      <c r="BH219" s="3" t="s">
        <v>626</v>
      </c>
      <c r="BI219" s="5" t="s">
        <v>626</v>
      </c>
      <c r="BJ219" s="102">
        <v>45200</v>
      </c>
      <c r="BK219" s="5">
        <f t="shared" si="83"/>
        <v>31</v>
      </c>
      <c r="BL219" s="5">
        <f t="shared" si="84"/>
        <v>10</v>
      </c>
      <c r="BM219" s="4">
        <f>Modelling_old[[#This Row],[Target E_Grid daily
MWh]]+Modelling_new[[#This Row],[Target E_Grid daily
MWh]]</f>
        <v>49.354838709677416</v>
      </c>
      <c r="BN219" s="4">
        <f>Modelling_old[[#This Row],[Target E_Grid MTD
MWh]]+Modelling_new[[#This Row],[Target E_Grid MTD
MWh]]</f>
        <v>937.7419354838712</v>
      </c>
      <c r="BO219" s="4">
        <f>Modelling_old[[#This Row],[Target E_Grid YTD
MWh]]+Modelling_new[[#This Row],[Target E_Grid YTD
MWh]]</f>
        <v>8747.741935483873</v>
      </c>
      <c r="BP21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19" s="4">
        <f>SUMIFS(Modelling[Target POA Daily (KWh/m2)],Modelling[Date],"&lt;="&amp;Modelling[[#This Row],[Date]],Modelling[Month Year],Modelling[[#This Row],[Month Year]])</f>
        <v>114.67419354838705</v>
      </c>
      <c r="BR219" s="4">
        <f>SUMIFS(Modelling[Target POA Daily (KWh/m2)],Modelling[Date],"&lt;="&amp;Modelling[[#This Row],[Date]],Modelling[Finacial Year],Modelling[[#This Row],[Finacial Year]])</f>
        <v>1083.4741935483821</v>
      </c>
      <c r="BS219" s="9">
        <f>BM219/Modelling[[#This Row],[Comisined DC ]]/BP219</f>
        <v>0.71089056136709106</v>
      </c>
      <c r="BT219" s="9">
        <f>BN219/BQ219/Modelling[[#This Row],[Comisined DC ]]</f>
        <v>0.71089056136709161</v>
      </c>
      <c r="BU219" s="9">
        <f>BO219/BR219/Modelling[[#This Row],[Comisined DC ]]</f>
        <v>0.70187939918596909</v>
      </c>
      <c r="BV219" s="9">
        <f>BM219/(24*Modelling[[#This Row],[Comisined DC ]])</f>
        <v>0.17877368821476175</v>
      </c>
      <c r="BW219" s="9">
        <f>BN219/((COUNTIFS(Modelling[Date],"&lt;="&amp;Modelling[[#This Row],[Date]],Modelling[Month Year],Modelling[[#This Row],[Month Year]])*24*Modelling[[#This Row],[MTD DC Capcity]]))</f>
        <v>0.17877368821476186</v>
      </c>
      <c r="BX219" s="28">
        <f>BO219/((COUNTIFS(Modelling[Date],"&lt;="&amp;Modelling[[#This Row],[Date]],Modelling[Finacial Year],Modelling[[#This Row],[Finacial Year]])*24*Modelling[[#This Row],[MTD DC Capcity]]))</f>
        <v>0.15686225577583354</v>
      </c>
      <c r="BY219" s="4">
        <f>Modelling_old[[#This Row],[DC Capcity]]+Modelling_new[[#This Row],[Comisined DC ]]</f>
        <v>11.5031</v>
      </c>
      <c r="BZ219" s="4">
        <v>0</v>
      </c>
      <c r="CA219" s="4">
        <f>AVERAGEIFS(Modelling[[Comisined DC ]],Modelling[Date],"&lt;="&amp;Modelling[[#This Row],[Date]],Modelling[Month Year],Modelling[[#This Row],[Month Year]])</f>
        <v>11.503099999999996</v>
      </c>
      <c r="CB219" s="4">
        <f>AVERAGEIFS(Modelling[[Comisined DC ]],Modelling[Date],"&lt;="&amp;Modelling[[#This Row],[Date]],Modelling[Finacial Year],Modelling[[#This Row],[Finacial Year]])</f>
        <v>11.503099999999952</v>
      </c>
      <c r="CG219">
        <f t="shared" si="70"/>
        <v>19</v>
      </c>
      <c r="CH219">
        <f t="shared" si="87"/>
        <v>202</v>
      </c>
    </row>
    <row r="220" spans="1:86" x14ac:dyDescent="0.35">
      <c r="A220" s="27">
        <v>45219</v>
      </c>
      <c r="B220" s="5">
        <f>MONTH(Modelling_old[[#This Row],[Date]])</f>
        <v>10</v>
      </c>
      <c r="C220" s="25">
        <f t="shared" si="71"/>
        <v>2024</v>
      </c>
      <c r="D220" s="3">
        <f t="shared" si="72"/>
        <v>2023</v>
      </c>
      <c r="E220" s="3" t="s">
        <v>626</v>
      </c>
      <c r="F220" s="5" t="s">
        <v>626</v>
      </c>
      <c r="G220" s="102">
        <v>45200</v>
      </c>
      <c r="H220" s="5">
        <f t="shared" si="73"/>
        <v>31</v>
      </c>
      <c r="I220" s="5">
        <f t="shared" si="74"/>
        <v>10</v>
      </c>
      <c r="J220" s="4">
        <f t="shared" si="75"/>
        <v>49.354838709677416</v>
      </c>
      <c r="K220" s="4">
        <f>SUM($J$201:J220)</f>
        <v>987.09677419354864</v>
      </c>
      <c r="L220" s="4">
        <f>SUM($J$18:J220)</f>
        <v>8797.096774193551</v>
      </c>
      <c r="M220" s="4">
        <f t="shared" si="76"/>
        <v>6.0354838709677416</v>
      </c>
      <c r="N220" s="4">
        <f>SUM($M$201:M220)</f>
        <v>120.70967741935479</v>
      </c>
      <c r="O220" s="4">
        <f>SUM($M$18:M220)</f>
        <v>1089.5096774193498</v>
      </c>
      <c r="P220" s="9">
        <f t="shared" si="77"/>
        <v>0.71089056136709106</v>
      </c>
      <c r="Q220" s="26">
        <f t="shared" si="68"/>
        <v>0.71089056136709161</v>
      </c>
      <c r="R220" s="26">
        <f t="shared" si="68"/>
        <v>0.70192931771825018</v>
      </c>
      <c r="S220" s="9">
        <f t="shared" si="78"/>
        <v>0.17877368821476175</v>
      </c>
      <c r="T220" s="9">
        <f>K220/((COUNT($K$201:K220))*24*$Q$1)</f>
        <v>0.17877368821476178</v>
      </c>
      <c r="U220" s="28">
        <f>L220/((COUNT($L$18:L220))*24*$Q$1)</f>
        <v>0.15697019386666566</v>
      </c>
      <c r="V220" s="134">
        <v>11.5031</v>
      </c>
      <c r="Y220" s="27">
        <f t="shared" si="85"/>
        <v>45219</v>
      </c>
      <c r="Z220" s="5">
        <f>MONTH(Modelling_new[[#This Row],[Date]])</f>
        <v>10</v>
      </c>
      <c r="AA220" s="25">
        <f>YEAR(Y220)+IF(MONTH(Modelling_new[[#This Row],[Date]])&gt;=4,1,0)</f>
        <v>2024</v>
      </c>
      <c r="AB220" s="3">
        <f t="shared" si="79"/>
        <v>2023</v>
      </c>
      <c r="AC220" s="3" t="s">
        <v>626</v>
      </c>
      <c r="AD220" s="5" t="s">
        <v>626</v>
      </c>
      <c r="AE220" s="102">
        <v>45200</v>
      </c>
      <c r="AF220" s="5">
        <f t="shared" si="80"/>
        <v>31</v>
      </c>
      <c r="AG220" s="5">
        <f t="shared" si="81"/>
        <v>10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BD220" s="27">
        <f t="shared" si="86"/>
        <v>45219</v>
      </c>
      <c r="BE220" s="5">
        <f>MONTH(Modelling[[#This Row],[Date]])</f>
        <v>10</v>
      </c>
      <c r="BF220" s="25">
        <f>YEAR(BD220)+IF(MONTH(Modelling[[#This Row],[Date]])&gt;=4,1,0)</f>
        <v>2024</v>
      </c>
      <c r="BG220" s="3">
        <f t="shared" si="82"/>
        <v>2023</v>
      </c>
      <c r="BH220" s="3" t="s">
        <v>626</v>
      </c>
      <c r="BI220" s="5" t="s">
        <v>626</v>
      </c>
      <c r="BJ220" s="102">
        <v>45200</v>
      </c>
      <c r="BK220" s="5">
        <f t="shared" si="83"/>
        <v>31</v>
      </c>
      <c r="BL220" s="5">
        <f t="shared" si="84"/>
        <v>10</v>
      </c>
      <c r="BM220" s="4">
        <f>Modelling_old[[#This Row],[Target E_Grid daily
MWh]]+Modelling_new[[#This Row],[Target E_Grid daily
MWh]]</f>
        <v>49.354838709677416</v>
      </c>
      <c r="BN220" s="4">
        <f>Modelling_old[[#This Row],[Target E_Grid MTD
MWh]]+Modelling_new[[#This Row],[Target E_Grid MTD
MWh]]</f>
        <v>987.09677419354864</v>
      </c>
      <c r="BO220" s="4">
        <f>Modelling_old[[#This Row],[Target E_Grid YTD
MWh]]+Modelling_new[[#This Row],[Target E_Grid YTD
MWh]]</f>
        <v>8797.096774193551</v>
      </c>
      <c r="BP22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20" s="4">
        <f>SUMIFS(Modelling[Target POA Daily (KWh/m2)],Modelling[Date],"&lt;="&amp;Modelling[[#This Row],[Date]],Modelling[Month Year],Modelling[[#This Row],[Month Year]])</f>
        <v>120.70967741935479</v>
      </c>
      <c r="BR220" s="4">
        <f>SUMIFS(Modelling[Target POA Daily (KWh/m2)],Modelling[Date],"&lt;="&amp;Modelling[[#This Row],[Date]],Modelling[Finacial Year],Modelling[[#This Row],[Finacial Year]])</f>
        <v>1089.5096774193498</v>
      </c>
      <c r="BS220" s="9">
        <f>BM220/Modelling[[#This Row],[Comisined DC ]]/BP220</f>
        <v>0.71089056136709106</v>
      </c>
      <c r="BT220" s="9">
        <f>BN220/BQ220/Modelling[[#This Row],[Comisined DC ]]</f>
        <v>0.71089056136709161</v>
      </c>
      <c r="BU220" s="9">
        <f>BO220/BR220/Modelling[[#This Row],[Comisined DC ]]</f>
        <v>0.70192931771825018</v>
      </c>
      <c r="BV220" s="9">
        <f>BM220/(24*Modelling[[#This Row],[Comisined DC ]])</f>
        <v>0.17877368821476175</v>
      </c>
      <c r="BW220" s="9">
        <f>BN220/((COUNTIFS(Modelling[Date],"&lt;="&amp;Modelling[[#This Row],[Date]],Modelling[Month Year],Modelling[[#This Row],[Month Year]])*24*Modelling[[#This Row],[MTD DC Capcity]]))</f>
        <v>0.17877368821476183</v>
      </c>
      <c r="BX220" s="28">
        <f>BO220/((COUNTIFS(Modelling[Date],"&lt;="&amp;Modelling[[#This Row],[Date]],Modelling[Finacial Year],Modelling[[#This Row],[Finacial Year]])*24*Modelling[[#This Row],[MTD DC Capcity]]))</f>
        <v>0.15697019386666572</v>
      </c>
      <c r="BY220" s="4">
        <f>Modelling_old[[#This Row],[DC Capcity]]+Modelling_new[[#This Row],[Comisined DC ]]</f>
        <v>11.5031</v>
      </c>
      <c r="BZ220" s="4">
        <v>0</v>
      </c>
      <c r="CA220" s="4">
        <f>AVERAGEIFS(Modelling[[Comisined DC ]],Modelling[Date],"&lt;="&amp;Modelling[[#This Row],[Date]],Modelling[Month Year],Modelling[[#This Row],[Month Year]])</f>
        <v>11.503099999999996</v>
      </c>
      <c r="CB220" s="4">
        <f>AVERAGEIFS(Modelling[[Comisined DC ]],Modelling[Date],"&lt;="&amp;Modelling[[#This Row],[Date]],Modelling[Finacial Year],Modelling[[#This Row],[Finacial Year]])</f>
        <v>11.50309999999995</v>
      </c>
      <c r="CG220">
        <f t="shared" si="70"/>
        <v>20</v>
      </c>
      <c r="CH220">
        <f t="shared" si="87"/>
        <v>203</v>
      </c>
    </row>
    <row r="221" spans="1:86" x14ac:dyDescent="0.35">
      <c r="A221" s="27">
        <v>45220</v>
      </c>
      <c r="B221" s="5">
        <f>MONTH(Modelling_old[[#This Row],[Date]])</f>
        <v>10</v>
      </c>
      <c r="C221" s="25">
        <f t="shared" si="71"/>
        <v>2024</v>
      </c>
      <c r="D221" s="3">
        <f t="shared" si="72"/>
        <v>2023</v>
      </c>
      <c r="E221" s="3" t="s">
        <v>626</v>
      </c>
      <c r="F221" s="5" t="s">
        <v>626</v>
      </c>
      <c r="G221" s="102">
        <v>45200</v>
      </c>
      <c r="H221" s="5">
        <f t="shared" si="73"/>
        <v>31</v>
      </c>
      <c r="I221" s="5">
        <f t="shared" si="74"/>
        <v>10</v>
      </c>
      <c r="J221" s="4">
        <f t="shared" si="75"/>
        <v>49.354838709677416</v>
      </c>
      <c r="K221" s="4">
        <f>SUM($J$201:J221)</f>
        <v>1036.4516129032261</v>
      </c>
      <c r="L221" s="4">
        <f>SUM($J$18:J221)</f>
        <v>8846.451612903229</v>
      </c>
      <c r="M221" s="4">
        <f t="shared" si="76"/>
        <v>6.0354838709677416</v>
      </c>
      <c r="N221" s="4">
        <f>SUM($M$201:M221)</f>
        <v>126.74516129032253</v>
      </c>
      <c r="O221" s="4">
        <f>SUM($M$18:M221)</f>
        <v>1095.5451612903175</v>
      </c>
      <c r="P221" s="9">
        <f t="shared" si="77"/>
        <v>0.71089056136709106</v>
      </c>
      <c r="Q221" s="26">
        <f t="shared" si="68"/>
        <v>0.71089056136709161</v>
      </c>
      <c r="R221" s="26">
        <f t="shared" si="68"/>
        <v>0.70197868623669879</v>
      </c>
      <c r="S221" s="9">
        <f t="shared" si="78"/>
        <v>0.17877368821476175</v>
      </c>
      <c r="T221" s="9">
        <f>K221/((COUNT($K$201:K221))*24*$Q$1)</f>
        <v>0.17877368821476181</v>
      </c>
      <c r="U221" s="28">
        <f>L221/((COUNT($L$18:L221))*24*$Q$1)</f>
        <v>0.15707707374092103</v>
      </c>
      <c r="V221" s="134">
        <v>11.5031</v>
      </c>
      <c r="Y221" s="27">
        <f t="shared" si="85"/>
        <v>45220</v>
      </c>
      <c r="Z221" s="5">
        <f>MONTH(Modelling_new[[#This Row],[Date]])</f>
        <v>10</v>
      </c>
      <c r="AA221" s="25">
        <f>YEAR(Y221)+IF(MONTH(Modelling_new[[#This Row],[Date]])&gt;=4,1,0)</f>
        <v>2024</v>
      </c>
      <c r="AB221" s="3">
        <f t="shared" si="79"/>
        <v>2023</v>
      </c>
      <c r="AC221" s="3" t="s">
        <v>626</v>
      </c>
      <c r="AD221" s="5" t="s">
        <v>626</v>
      </c>
      <c r="AE221" s="102">
        <v>45200</v>
      </c>
      <c r="AF221" s="5">
        <f t="shared" si="80"/>
        <v>31</v>
      </c>
      <c r="AG221" s="5">
        <f t="shared" si="81"/>
        <v>10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BD221" s="27">
        <f t="shared" si="86"/>
        <v>45220</v>
      </c>
      <c r="BE221" s="5">
        <f>MONTH(Modelling[[#This Row],[Date]])</f>
        <v>10</v>
      </c>
      <c r="BF221" s="25">
        <f>YEAR(BD221)+IF(MONTH(Modelling[[#This Row],[Date]])&gt;=4,1,0)</f>
        <v>2024</v>
      </c>
      <c r="BG221" s="3">
        <f t="shared" si="82"/>
        <v>2023</v>
      </c>
      <c r="BH221" s="3" t="s">
        <v>626</v>
      </c>
      <c r="BI221" s="5" t="s">
        <v>626</v>
      </c>
      <c r="BJ221" s="102">
        <v>45200</v>
      </c>
      <c r="BK221" s="5">
        <f t="shared" si="83"/>
        <v>31</v>
      </c>
      <c r="BL221" s="5">
        <f t="shared" si="84"/>
        <v>10</v>
      </c>
      <c r="BM221" s="4">
        <f>Modelling_old[[#This Row],[Target E_Grid daily
MWh]]+Modelling_new[[#This Row],[Target E_Grid daily
MWh]]</f>
        <v>49.354838709677416</v>
      </c>
      <c r="BN221" s="4">
        <f>Modelling_old[[#This Row],[Target E_Grid MTD
MWh]]+Modelling_new[[#This Row],[Target E_Grid MTD
MWh]]</f>
        <v>1036.4516129032261</v>
      </c>
      <c r="BO221" s="4">
        <f>Modelling_old[[#This Row],[Target E_Grid YTD
MWh]]+Modelling_new[[#This Row],[Target E_Grid YTD
MWh]]</f>
        <v>8846.451612903229</v>
      </c>
      <c r="BP22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21" s="4">
        <f>SUMIFS(Modelling[Target POA Daily (KWh/m2)],Modelling[Date],"&lt;="&amp;Modelling[[#This Row],[Date]],Modelling[Month Year],Modelling[[#This Row],[Month Year]])</f>
        <v>126.74516129032253</v>
      </c>
      <c r="BR221" s="4">
        <f>SUMIFS(Modelling[Target POA Daily (KWh/m2)],Modelling[Date],"&lt;="&amp;Modelling[[#This Row],[Date]],Modelling[Finacial Year],Modelling[[#This Row],[Finacial Year]])</f>
        <v>1095.5451612903175</v>
      </c>
      <c r="BS221" s="9">
        <f>BM221/Modelling[[#This Row],[Comisined DC ]]/BP221</f>
        <v>0.71089056136709106</v>
      </c>
      <c r="BT221" s="9">
        <f>BN221/BQ221/Modelling[[#This Row],[Comisined DC ]]</f>
        <v>0.71089056136709161</v>
      </c>
      <c r="BU221" s="9">
        <f>BO221/BR221/Modelling[[#This Row],[Comisined DC ]]</f>
        <v>0.70197868623669879</v>
      </c>
      <c r="BV221" s="9">
        <f>BM221/(24*Modelling[[#This Row],[Comisined DC ]])</f>
        <v>0.17877368821476175</v>
      </c>
      <c r="BW221" s="9">
        <f>BN221/((COUNTIFS(Modelling[Date],"&lt;="&amp;Modelling[[#This Row],[Date]],Modelling[Month Year],Modelling[[#This Row],[Month Year]])*24*Modelling[[#This Row],[MTD DC Capcity]]))</f>
        <v>0.17877368821476186</v>
      </c>
      <c r="BX221" s="28">
        <f>BO221/((COUNTIFS(Modelling[Date],"&lt;="&amp;Modelling[[#This Row],[Date]],Modelling[Finacial Year],Modelling[[#This Row],[Finacial Year]])*24*Modelling[[#This Row],[MTD DC Capcity]]))</f>
        <v>0.15707707374092111</v>
      </c>
      <c r="BY221" s="4">
        <f>Modelling_old[[#This Row],[DC Capcity]]+Modelling_new[[#This Row],[Comisined DC ]]</f>
        <v>11.5031</v>
      </c>
      <c r="BZ221" s="4">
        <v>0</v>
      </c>
      <c r="CA221" s="4">
        <f>AVERAGEIFS(Modelling[[Comisined DC ]],Modelling[Date],"&lt;="&amp;Modelling[[#This Row],[Date]],Modelling[Month Year],Modelling[[#This Row],[Month Year]])</f>
        <v>11.503099999999996</v>
      </c>
      <c r="CB221" s="4">
        <f>AVERAGEIFS(Modelling[[Comisined DC ]],Modelling[Date],"&lt;="&amp;Modelling[[#This Row],[Date]],Modelling[Finacial Year],Modelling[[#This Row],[Finacial Year]])</f>
        <v>11.50309999999995</v>
      </c>
      <c r="CG221">
        <f t="shared" si="70"/>
        <v>21</v>
      </c>
      <c r="CH221">
        <f t="shared" si="87"/>
        <v>204</v>
      </c>
    </row>
    <row r="222" spans="1:86" x14ac:dyDescent="0.35">
      <c r="A222" s="27">
        <v>45221</v>
      </c>
      <c r="B222" s="5">
        <f>MONTH(Modelling_old[[#This Row],[Date]])</f>
        <v>10</v>
      </c>
      <c r="C222" s="25">
        <f t="shared" si="71"/>
        <v>2024</v>
      </c>
      <c r="D222" s="3">
        <f t="shared" si="72"/>
        <v>2023</v>
      </c>
      <c r="E222" s="3" t="s">
        <v>626</v>
      </c>
      <c r="F222" s="5" t="s">
        <v>626</v>
      </c>
      <c r="G222" s="102">
        <v>45200</v>
      </c>
      <c r="H222" s="5">
        <f t="shared" si="73"/>
        <v>31</v>
      </c>
      <c r="I222" s="5">
        <f t="shared" si="74"/>
        <v>10</v>
      </c>
      <c r="J222" s="4">
        <f t="shared" si="75"/>
        <v>49.354838709677416</v>
      </c>
      <c r="K222" s="4">
        <f>SUM($J$201:J222)</f>
        <v>1085.8064516129034</v>
      </c>
      <c r="L222" s="4">
        <f>SUM($J$18:J222)</f>
        <v>8895.806451612907</v>
      </c>
      <c r="M222" s="4">
        <f t="shared" si="76"/>
        <v>6.0354838709677416</v>
      </c>
      <c r="N222" s="4">
        <f>SUM($M$201:M222)</f>
        <v>132.78064516129027</v>
      </c>
      <c r="O222" s="4">
        <f>SUM($M$18:M222)</f>
        <v>1101.5806451612852</v>
      </c>
      <c r="P222" s="9">
        <f t="shared" si="77"/>
        <v>0.71089056136709106</v>
      </c>
      <c r="Q222" s="26">
        <f t="shared" si="68"/>
        <v>0.71089056136709139</v>
      </c>
      <c r="R222" s="26">
        <f t="shared" si="68"/>
        <v>0.70202751378177786</v>
      </c>
      <c r="S222" s="9">
        <f t="shared" si="78"/>
        <v>0.17877368821476175</v>
      </c>
      <c r="T222" s="9">
        <f>K222/((COUNT($K$201:K222))*24*$Q$1)</f>
        <v>0.17877368821476178</v>
      </c>
      <c r="U222" s="28">
        <f>L222/((COUNT($L$18:L222))*24*$Q$1)</f>
        <v>0.15718291088469588</v>
      </c>
      <c r="V222" s="134">
        <v>11.5031</v>
      </c>
      <c r="Y222" s="27">
        <f t="shared" si="85"/>
        <v>45221</v>
      </c>
      <c r="Z222" s="5">
        <f>MONTH(Modelling_new[[#This Row],[Date]])</f>
        <v>10</v>
      </c>
      <c r="AA222" s="25">
        <f>YEAR(Y222)+IF(MONTH(Modelling_new[[#This Row],[Date]])&gt;=4,1,0)</f>
        <v>2024</v>
      </c>
      <c r="AB222" s="3">
        <f t="shared" si="79"/>
        <v>2023</v>
      </c>
      <c r="AC222" s="3" t="s">
        <v>626</v>
      </c>
      <c r="AD222" s="5" t="s">
        <v>626</v>
      </c>
      <c r="AE222" s="102">
        <v>45200</v>
      </c>
      <c r="AF222" s="5">
        <f t="shared" si="80"/>
        <v>31</v>
      </c>
      <c r="AG222" s="5">
        <f t="shared" si="81"/>
        <v>10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BD222" s="27">
        <f t="shared" si="86"/>
        <v>45221</v>
      </c>
      <c r="BE222" s="5">
        <f>MONTH(Modelling[[#This Row],[Date]])</f>
        <v>10</v>
      </c>
      <c r="BF222" s="25">
        <f>YEAR(BD222)+IF(MONTH(Modelling[[#This Row],[Date]])&gt;=4,1,0)</f>
        <v>2024</v>
      </c>
      <c r="BG222" s="3">
        <f t="shared" si="82"/>
        <v>2023</v>
      </c>
      <c r="BH222" s="3" t="s">
        <v>626</v>
      </c>
      <c r="BI222" s="5" t="s">
        <v>626</v>
      </c>
      <c r="BJ222" s="102">
        <v>45200</v>
      </c>
      <c r="BK222" s="5">
        <f t="shared" si="83"/>
        <v>31</v>
      </c>
      <c r="BL222" s="5">
        <f t="shared" si="84"/>
        <v>10</v>
      </c>
      <c r="BM222" s="4">
        <f>Modelling_old[[#This Row],[Target E_Grid daily
MWh]]+Modelling_new[[#This Row],[Target E_Grid daily
MWh]]</f>
        <v>49.354838709677416</v>
      </c>
      <c r="BN222" s="4">
        <f>Modelling_old[[#This Row],[Target E_Grid MTD
MWh]]+Modelling_new[[#This Row],[Target E_Grid MTD
MWh]]</f>
        <v>1085.8064516129034</v>
      </c>
      <c r="BO222" s="4">
        <f>Modelling_old[[#This Row],[Target E_Grid YTD
MWh]]+Modelling_new[[#This Row],[Target E_Grid YTD
MWh]]</f>
        <v>8895.806451612907</v>
      </c>
      <c r="BP22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22" s="4">
        <f>SUMIFS(Modelling[Target POA Daily (KWh/m2)],Modelling[Date],"&lt;="&amp;Modelling[[#This Row],[Date]],Modelling[Month Year],Modelling[[#This Row],[Month Year]])</f>
        <v>132.78064516129027</v>
      </c>
      <c r="BR222" s="4">
        <f>SUMIFS(Modelling[Target POA Daily (KWh/m2)],Modelling[Date],"&lt;="&amp;Modelling[[#This Row],[Date]],Modelling[Finacial Year],Modelling[[#This Row],[Finacial Year]])</f>
        <v>1101.5806451612852</v>
      </c>
      <c r="BS222" s="9">
        <f>BM222/Modelling[[#This Row],[Comisined DC ]]/BP222</f>
        <v>0.71089056136709106</v>
      </c>
      <c r="BT222" s="9">
        <f>BN222/BQ222/Modelling[[#This Row],[Comisined DC ]]</f>
        <v>0.71089056136709139</v>
      </c>
      <c r="BU222" s="9">
        <f>BO222/BR222/Modelling[[#This Row],[Comisined DC ]]</f>
        <v>0.70202751378177786</v>
      </c>
      <c r="BV222" s="9">
        <f>BM222/(24*Modelling[[#This Row],[Comisined DC ]])</f>
        <v>0.17877368821476175</v>
      </c>
      <c r="BW222" s="9">
        <f>BN222/((COUNTIFS(Modelling[Date],"&lt;="&amp;Modelling[[#This Row],[Date]],Modelling[Month Year],Modelling[[#This Row],[Month Year]])*24*Modelling[[#This Row],[MTD DC Capcity]]))</f>
        <v>0.17877368821476181</v>
      </c>
      <c r="BX222" s="28">
        <f>BO222/((COUNTIFS(Modelling[Date],"&lt;="&amp;Modelling[[#This Row],[Date]],Modelling[Finacial Year],Modelling[[#This Row],[Finacial Year]])*24*Modelling[[#This Row],[MTD DC Capcity]]))</f>
        <v>0.15718291088469596</v>
      </c>
      <c r="BY222" s="4">
        <f>Modelling_old[[#This Row],[DC Capcity]]+Modelling_new[[#This Row],[Comisined DC ]]</f>
        <v>11.5031</v>
      </c>
      <c r="BZ222" s="4">
        <v>0</v>
      </c>
      <c r="CA222" s="4">
        <f>AVERAGEIFS(Modelling[[Comisined DC ]],Modelling[Date],"&lt;="&amp;Modelling[[#This Row],[Date]],Modelling[Month Year],Modelling[[#This Row],[Month Year]])</f>
        <v>11.503099999999996</v>
      </c>
      <c r="CB222" s="4">
        <f>AVERAGEIFS(Modelling[[Comisined DC ]],Modelling[Date],"&lt;="&amp;Modelling[[#This Row],[Date]],Modelling[Finacial Year],Modelling[[#This Row],[Finacial Year]])</f>
        <v>11.50309999999995</v>
      </c>
      <c r="CG222">
        <f t="shared" si="70"/>
        <v>22</v>
      </c>
      <c r="CH222">
        <f t="shared" si="87"/>
        <v>205</v>
      </c>
    </row>
    <row r="223" spans="1:86" x14ac:dyDescent="0.35">
      <c r="A223" s="27">
        <v>45222</v>
      </c>
      <c r="B223" s="5">
        <f>MONTH(Modelling_old[[#This Row],[Date]])</f>
        <v>10</v>
      </c>
      <c r="C223" s="25">
        <f t="shared" si="71"/>
        <v>2024</v>
      </c>
      <c r="D223" s="3">
        <f t="shared" si="72"/>
        <v>2023</v>
      </c>
      <c r="E223" s="3" t="s">
        <v>626</v>
      </c>
      <c r="F223" s="5" t="s">
        <v>626</v>
      </c>
      <c r="G223" s="102">
        <v>45200</v>
      </c>
      <c r="H223" s="5">
        <f t="shared" si="73"/>
        <v>31</v>
      </c>
      <c r="I223" s="5">
        <f t="shared" si="74"/>
        <v>10</v>
      </c>
      <c r="J223" s="4">
        <f t="shared" si="75"/>
        <v>49.354838709677416</v>
      </c>
      <c r="K223" s="4">
        <f>SUM($J$201:J223)</f>
        <v>1135.1612903225807</v>
      </c>
      <c r="L223" s="4">
        <f>SUM($J$18:J223)</f>
        <v>8945.161290322585</v>
      </c>
      <c r="M223" s="4">
        <f t="shared" si="76"/>
        <v>6.0354838709677416</v>
      </c>
      <c r="N223" s="4">
        <f>SUM($M$201:M223)</f>
        <v>138.816129032258</v>
      </c>
      <c r="O223" s="4">
        <f>SUM($M$18:M223)</f>
        <v>1107.616129032253</v>
      </c>
      <c r="P223" s="9">
        <f t="shared" si="77"/>
        <v>0.71089056136709106</v>
      </c>
      <c r="Q223" s="26">
        <f t="shared" si="68"/>
        <v>0.71089056136709139</v>
      </c>
      <c r="R223" s="26">
        <f t="shared" si="68"/>
        <v>0.70207580919690105</v>
      </c>
      <c r="S223" s="9">
        <f t="shared" si="78"/>
        <v>0.17877368821476175</v>
      </c>
      <c r="T223" s="9">
        <f>K223/((COUNT($K$201:K223))*24*$Q$1)</f>
        <v>0.17877368821476175</v>
      </c>
      <c r="U223" s="28">
        <f>L223/((COUNT($L$18:L223))*24*$Q$1)</f>
        <v>0.15728772048338555</v>
      </c>
      <c r="V223" s="134">
        <v>11.5031</v>
      </c>
      <c r="Y223" s="27">
        <f t="shared" si="85"/>
        <v>45222</v>
      </c>
      <c r="Z223" s="5">
        <f>MONTH(Modelling_new[[#This Row],[Date]])</f>
        <v>10</v>
      </c>
      <c r="AA223" s="25">
        <f>YEAR(Y223)+IF(MONTH(Modelling_new[[#This Row],[Date]])&gt;=4,1,0)</f>
        <v>2024</v>
      </c>
      <c r="AB223" s="3">
        <f t="shared" si="79"/>
        <v>2023</v>
      </c>
      <c r="AC223" s="3" t="s">
        <v>626</v>
      </c>
      <c r="AD223" s="5" t="s">
        <v>626</v>
      </c>
      <c r="AE223" s="102">
        <v>45200</v>
      </c>
      <c r="AF223" s="5">
        <f t="shared" si="80"/>
        <v>31</v>
      </c>
      <c r="AG223" s="5">
        <f t="shared" si="81"/>
        <v>10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BD223" s="27">
        <f t="shared" si="86"/>
        <v>45222</v>
      </c>
      <c r="BE223" s="5">
        <f>MONTH(Modelling[[#This Row],[Date]])</f>
        <v>10</v>
      </c>
      <c r="BF223" s="25">
        <f>YEAR(BD223)+IF(MONTH(Modelling[[#This Row],[Date]])&gt;=4,1,0)</f>
        <v>2024</v>
      </c>
      <c r="BG223" s="3">
        <f t="shared" si="82"/>
        <v>2023</v>
      </c>
      <c r="BH223" s="3" t="s">
        <v>626</v>
      </c>
      <c r="BI223" s="5" t="s">
        <v>626</v>
      </c>
      <c r="BJ223" s="102">
        <v>45200</v>
      </c>
      <c r="BK223" s="5">
        <f t="shared" si="83"/>
        <v>31</v>
      </c>
      <c r="BL223" s="5">
        <f t="shared" si="84"/>
        <v>10</v>
      </c>
      <c r="BM223" s="4">
        <f>Modelling_old[[#This Row],[Target E_Grid daily
MWh]]+Modelling_new[[#This Row],[Target E_Grid daily
MWh]]</f>
        <v>49.354838709677416</v>
      </c>
      <c r="BN223" s="4">
        <f>Modelling_old[[#This Row],[Target E_Grid MTD
MWh]]+Modelling_new[[#This Row],[Target E_Grid MTD
MWh]]</f>
        <v>1135.1612903225807</v>
      </c>
      <c r="BO223" s="4">
        <f>Modelling_old[[#This Row],[Target E_Grid YTD
MWh]]+Modelling_new[[#This Row],[Target E_Grid YTD
MWh]]</f>
        <v>8945.161290322585</v>
      </c>
      <c r="BP22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23" s="4">
        <f>SUMIFS(Modelling[Target POA Daily (KWh/m2)],Modelling[Date],"&lt;="&amp;Modelling[[#This Row],[Date]],Modelling[Month Year],Modelling[[#This Row],[Month Year]])</f>
        <v>138.816129032258</v>
      </c>
      <c r="BR223" s="4">
        <f>SUMIFS(Modelling[Target POA Daily (KWh/m2)],Modelling[Date],"&lt;="&amp;Modelling[[#This Row],[Date]],Modelling[Finacial Year],Modelling[[#This Row],[Finacial Year]])</f>
        <v>1107.616129032253</v>
      </c>
      <c r="BS223" s="9">
        <f>BM223/Modelling[[#This Row],[Comisined DC ]]/BP223</f>
        <v>0.71089056136709106</v>
      </c>
      <c r="BT223" s="9">
        <f>BN223/BQ223/Modelling[[#This Row],[Comisined DC ]]</f>
        <v>0.71089056136709139</v>
      </c>
      <c r="BU223" s="9">
        <f>BO223/BR223/Modelling[[#This Row],[Comisined DC ]]</f>
        <v>0.70207580919690105</v>
      </c>
      <c r="BV223" s="9">
        <f>BM223/(24*Modelling[[#This Row],[Comisined DC ]])</f>
        <v>0.17877368821476175</v>
      </c>
      <c r="BW223" s="9">
        <f>BN223/((COUNTIFS(Modelling[Date],"&lt;="&amp;Modelling[[#This Row],[Date]],Modelling[Month Year],Modelling[[#This Row],[Month Year]])*24*Modelling[[#This Row],[MTD DC Capcity]]))</f>
        <v>0.17877368821476183</v>
      </c>
      <c r="BX223" s="28">
        <f>BO223/((COUNTIFS(Modelling[Date],"&lt;="&amp;Modelling[[#This Row],[Date]],Modelling[Finacial Year],Modelling[[#This Row],[Finacial Year]])*24*Modelling[[#This Row],[MTD DC Capcity]]))</f>
        <v>0.1572877204833856</v>
      </c>
      <c r="BY223" s="4">
        <f>Modelling_old[[#This Row],[DC Capcity]]+Modelling_new[[#This Row],[Comisined DC ]]</f>
        <v>11.5031</v>
      </c>
      <c r="BZ223" s="4">
        <v>0</v>
      </c>
      <c r="CA223" s="4">
        <f>AVERAGEIFS(Modelling[[Comisined DC ]],Modelling[Date],"&lt;="&amp;Modelling[[#This Row],[Date]],Modelling[Month Year],Modelling[[#This Row],[Month Year]])</f>
        <v>11.503099999999995</v>
      </c>
      <c r="CB223" s="4">
        <f>AVERAGEIFS(Modelling[[Comisined DC ]],Modelling[Date],"&lt;="&amp;Modelling[[#This Row],[Date]],Modelling[Finacial Year],Modelling[[#This Row],[Finacial Year]])</f>
        <v>11.50309999999995</v>
      </c>
      <c r="CG223">
        <f t="shared" si="70"/>
        <v>23</v>
      </c>
      <c r="CH223">
        <f t="shared" si="87"/>
        <v>206</v>
      </c>
    </row>
    <row r="224" spans="1:86" x14ac:dyDescent="0.35">
      <c r="A224" s="27">
        <v>45223</v>
      </c>
      <c r="B224" s="5">
        <f>MONTH(Modelling_old[[#This Row],[Date]])</f>
        <v>10</v>
      </c>
      <c r="C224" s="25">
        <f t="shared" si="71"/>
        <v>2024</v>
      </c>
      <c r="D224" s="3">
        <f t="shared" si="72"/>
        <v>2023</v>
      </c>
      <c r="E224" s="3" t="s">
        <v>626</v>
      </c>
      <c r="F224" s="5" t="s">
        <v>626</v>
      </c>
      <c r="G224" s="102">
        <v>45200</v>
      </c>
      <c r="H224" s="5">
        <f t="shared" si="73"/>
        <v>31</v>
      </c>
      <c r="I224" s="5">
        <f t="shared" si="74"/>
        <v>10</v>
      </c>
      <c r="J224" s="4">
        <f t="shared" si="75"/>
        <v>49.354838709677416</v>
      </c>
      <c r="K224" s="4">
        <f>SUM($J$201:J224)</f>
        <v>1184.516129032258</v>
      </c>
      <c r="L224" s="4">
        <f>SUM($J$18:J224)</f>
        <v>8994.5161290322631</v>
      </c>
      <c r="M224" s="4">
        <f t="shared" si="76"/>
        <v>6.0354838709677416</v>
      </c>
      <c r="N224" s="4">
        <f>SUM($M$201:M224)</f>
        <v>144.85161290322574</v>
      </c>
      <c r="O224" s="4">
        <f>SUM($M$18:M224)</f>
        <v>1113.6516129032207</v>
      </c>
      <c r="P224" s="9">
        <f t="shared" si="77"/>
        <v>0.71089056136709106</v>
      </c>
      <c r="Q224" s="26">
        <f t="shared" si="68"/>
        <v>0.71089056136709139</v>
      </c>
      <c r="R224" s="26">
        <f t="shared" si="68"/>
        <v>0.70212358113377382</v>
      </c>
      <c r="S224" s="9">
        <f t="shared" si="78"/>
        <v>0.17877368821476175</v>
      </c>
      <c r="T224" s="9">
        <f>K224/((COUNT($K$201:K224))*24*$Q$1)</f>
        <v>0.17877368821476175</v>
      </c>
      <c r="U224" s="28">
        <f>L224/((COUNT($L$18:L224))*24*$Q$1)</f>
        <v>0.15739151742894777</v>
      </c>
      <c r="V224" s="134">
        <v>11.5031</v>
      </c>
      <c r="Y224" s="27">
        <f t="shared" si="85"/>
        <v>45223</v>
      </c>
      <c r="Z224" s="5">
        <f>MONTH(Modelling_new[[#This Row],[Date]])</f>
        <v>10</v>
      </c>
      <c r="AA224" s="25">
        <f>YEAR(Y224)+IF(MONTH(Modelling_new[[#This Row],[Date]])&gt;=4,1,0)</f>
        <v>2024</v>
      </c>
      <c r="AB224" s="3">
        <f t="shared" si="79"/>
        <v>2023</v>
      </c>
      <c r="AC224" s="3" t="s">
        <v>626</v>
      </c>
      <c r="AD224" s="5" t="s">
        <v>626</v>
      </c>
      <c r="AE224" s="102">
        <v>45200</v>
      </c>
      <c r="AF224" s="5">
        <f t="shared" si="80"/>
        <v>31</v>
      </c>
      <c r="AG224" s="5">
        <f t="shared" si="81"/>
        <v>10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BD224" s="27">
        <f t="shared" si="86"/>
        <v>45223</v>
      </c>
      <c r="BE224" s="5">
        <f>MONTH(Modelling[[#This Row],[Date]])</f>
        <v>10</v>
      </c>
      <c r="BF224" s="25">
        <f>YEAR(BD224)+IF(MONTH(Modelling[[#This Row],[Date]])&gt;=4,1,0)</f>
        <v>2024</v>
      </c>
      <c r="BG224" s="3">
        <f t="shared" si="82"/>
        <v>2023</v>
      </c>
      <c r="BH224" s="3" t="s">
        <v>626</v>
      </c>
      <c r="BI224" s="5" t="s">
        <v>626</v>
      </c>
      <c r="BJ224" s="102">
        <v>45200</v>
      </c>
      <c r="BK224" s="5">
        <f t="shared" si="83"/>
        <v>31</v>
      </c>
      <c r="BL224" s="5">
        <f t="shared" si="84"/>
        <v>10</v>
      </c>
      <c r="BM224" s="4">
        <f>Modelling_old[[#This Row],[Target E_Grid daily
MWh]]+Modelling_new[[#This Row],[Target E_Grid daily
MWh]]</f>
        <v>49.354838709677416</v>
      </c>
      <c r="BN224" s="4">
        <f>Modelling_old[[#This Row],[Target E_Grid MTD
MWh]]+Modelling_new[[#This Row],[Target E_Grid MTD
MWh]]</f>
        <v>1184.516129032258</v>
      </c>
      <c r="BO224" s="4">
        <f>Modelling_old[[#This Row],[Target E_Grid YTD
MWh]]+Modelling_new[[#This Row],[Target E_Grid YTD
MWh]]</f>
        <v>8994.5161290322631</v>
      </c>
      <c r="BP22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24" s="4">
        <f>SUMIFS(Modelling[Target POA Daily (KWh/m2)],Modelling[Date],"&lt;="&amp;Modelling[[#This Row],[Date]],Modelling[Month Year],Modelling[[#This Row],[Month Year]])</f>
        <v>144.85161290322574</v>
      </c>
      <c r="BR224" s="4">
        <f>SUMIFS(Modelling[Target POA Daily (KWh/m2)],Modelling[Date],"&lt;="&amp;Modelling[[#This Row],[Date]],Modelling[Finacial Year],Modelling[[#This Row],[Finacial Year]])</f>
        <v>1113.6516129032207</v>
      </c>
      <c r="BS224" s="9">
        <f>BM224/Modelling[[#This Row],[Comisined DC ]]/BP224</f>
        <v>0.71089056136709106</v>
      </c>
      <c r="BT224" s="9">
        <f>BN224/BQ224/Modelling[[#This Row],[Comisined DC ]]</f>
        <v>0.71089056136709139</v>
      </c>
      <c r="BU224" s="9">
        <f>BO224/BR224/Modelling[[#This Row],[Comisined DC ]]</f>
        <v>0.70212358113377382</v>
      </c>
      <c r="BV224" s="9">
        <f>BM224/(24*Modelling[[#This Row],[Comisined DC ]])</f>
        <v>0.17877368821476175</v>
      </c>
      <c r="BW224" s="9">
        <f>BN224/((COUNTIFS(Modelling[Date],"&lt;="&amp;Modelling[[#This Row],[Date]],Modelling[Month Year],Modelling[[#This Row],[Month Year]])*24*Modelling[[#This Row],[MTD DC Capcity]]))</f>
        <v>0.17877368821476181</v>
      </c>
      <c r="BX224" s="28">
        <f>BO224/((COUNTIFS(Modelling[Date],"&lt;="&amp;Modelling[[#This Row],[Date]],Modelling[Finacial Year],Modelling[[#This Row],[Finacial Year]])*24*Modelling[[#This Row],[MTD DC Capcity]]))</f>
        <v>0.1573915174289478</v>
      </c>
      <c r="BY224" s="4">
        <f>Modelling_old[[#This Row],[DC Capcity]]+Modelling_new[[#This Row],[Comisined DC ]]</f>
        <v>11.5031</v>
      </c>
      <c r="BZ224" s="4">
        <v>0</v>
      </c>
      <c r="CA224" s="4">
        <f>AVERAGEIFS(Modelling[[Comisined DC ]],Modelling[Date],"&lt;="&amp;Modelling[[#This Row],[Date]],Modelling[Month Year],Modelling[[#This Row],[Month Year]])</f>
        <v>11.503099999999996</v>
      </c>
      <c r="CB224" s="4">
        <f>AVERAGEIFS(Modelling[[Comisined DC ]],Modelling[Date],"&lt;="&amp;Modelling[[#This Row],[Date]],Modelling[Finacial Year],Modelling[[#This Row],[Finacial Year]])</f>
        <v>11.50309999999995</v>
      </c>
      <c r="CG224">
        <f t="shared" si="70"/>
        <v>24</v>
      </c>
      <c r="CH224">
        <f t="shared" si="87"/>
        <v>207</v>
      </c>
    </row>
    <row r="225" spans="1:86" x14ac:dyDescent="0.35">
      <c r="A225" s="27">
        <v>45224</v>
      </c>
      <c r="B225" s="5">
        <f>MONTH(Modelling_old[[#This Row],[Date]])</f>
        <v>10</v>
      </c>
      <c r="C225" s="25">
        <f t="shared" si="71"/>
        <v>2024</v>
      </c>
      <c r="D225" s="3">
        <f t="shared" si="72"/>
        <v>2023</v>
      </c>
      <c r="E225" s="3" t="s">
        <v>626</v>
      </c>
      <c r="F225" s="5" t="s">
        <v>626</v>
      </c>
      <c r="G225" s="102">
        <v>45200</v>
      </c>
      <c r="H225" s="5">
        <f t="shared" si="73"/>
        <v>31</v>
      </c>
      <c r="I225" s="5">
        <f t="shared" si="74"/>
        <v>10</v>
      </c>
      <c r="J225" s="4">
        <f t="shared" si="75"/>
        <v>49.354838709677416</v>
      </c>
      <c r="K225" s="4">
        <f>SUM($J$201:J225)</f>
        <v>1233.8709677419354</v>
      </c>
      <c r="L225" s="4">
        <f>SUM($J$18:J225)</f>
        <v>9043.8709677419411</v>
      </c>
      <c r="M225" s="4">
        <f t="shared" si="76"/>
        <v>6.0354838709677416</v>
      </c>
      <c r="N225" s="4">
        <f>SUM($M$201:M225)</f>
        <v>150.88709677419348</v>
      </c>
      <c r="O225" s="4">
        <f>SUM($M$18:M225)</f>
        <v>1119.6870967741884</v>
      </c>
      <c r="P225" s="9">
        <f t="shared" si="77"/>
        <v>0.71089056136709106</v>
      </c>
      <c r="Q225" s="26">
        <f t="shared" si="68"/>
        <v>0.71089056136709128</v>
      </c>
      <c r="R225" s="26">
        <f t="shared" si="68"/>
        <v>0.70217083805755887</v>
      </c>
      <c r="S225" s="9">
        <f t="shared" si="78"/>
        <v>0.17877368821476175</v>
      </c>
      <c r="T225" s="9">
        <f>K225/((COUNT($K$201:K225))*24*$Q$1)</f>
        <v>0.17877368821476172</v>
      </c>
      <c r="U225" s="28">
        <f>L225/((COUNT($L$18:L225))*24*$Q$1)</f>
        <v>0.15749431632695648</v>
      </c>
      <c r="V225" s="134">
        <v>11.5031</v>
      </c>
      <c r="Y225" s="27">
        <f t="shared" si="85"/>
        <v>45224</v>
      </c>
      <c r="Z225" s="5">
        <f>MONTH(Modelling_new[[#This Row],[Date]])</f>
        <v>10</v>
      </c>
      <c r="AA225" s="25">
        <f>YEAR(Y225)+IF(MONTH(Modelling_new[[#This Row],[Date]])&gt;=4,1,0)</f>
        <v>2024</v>
      </c>
      <c r="AB225" s="3">
        <f t="shared" si="79"/>
        <v>2023</v>
      </c>
      <c r="AC225" s="3" t="s">
        <v>626</v>
      </c>
      <c r="AD225" s="5" t="s">
        <v>626</v>
      </c>
      <c r="AE225" s="102">
        <v>45200</v>
      </c>
      <c r="AF225" s="5">
        <f t="shared" si="80"/>
        <v>31</v>
      </c>
      <c r="AG225" s="5">
        <f t="shared" si="81"/>
        <v>10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BD225" s="27">
        <f t="shared" si="86"/>
        <v>45224</v>
      </c>
      <c r="BE225" s="5">
        <f>MONTH(Modelling[[#This Row],[Date]])</f>
        <v>10</v>
      </c>
      <c r="BF225" s="25">
        <f>YEAR(BD225)+IF(MONTH(Modelling[[#This Row],[Date]])&gt;=4,1,0)</f>
        <v>2024</v>
      </c>
      <c r="BG225" s="3">
        <f t="shared" si="82"/>
        <v>2023</v>
      </c>
      <c r="BH225" s="3" t="s">
        <v>626</v>
      </c>
      <c r="BI225" s="5" t="s">
        <v>626</v>
      </c>
      <c r="BJ225" s="102">
        <v>45200</v>
      </c>
      <c r="BK225" s="5">
        <f t="shared" si="83"/>
        <v>31</v>
      </c>
      <c r="BL225" s="5">
        <f t="shared" si="84"/>
        <v>10</v>
      </c>
      <c r="BM225" s="4">
        <f>Modelling_old[[#This Row],[Target E_Grid daily
MWh]]+Modelling_new[[#This Row],[Target E_Grid daily
MWh]]</f>
        <v>49.354838709677416</v>
      </c>
      <c r="BN225" s="4">
        <f>Modelling_old[[#This Row],[Target E_Grid MTD
MWh]]+Modelling_new[[#This Row],[Target E_Grid MTD
MWh]]</f>
        <v>1233.8709677419354</v>
      </c>
      <c r="BO225" s="4">
        <f>Modelling_old[[#This Row],[Target E_Grid YTD
MWh]]+Modelling_new[[#This Row],[Target E_Grid YTD
MWh]]</f>
        <v>9043.8709677419411</v>
      </c>
      <c r="BP22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25" s="4">
        <f>SUMIFS(Modelling[Target POA Daily (KWh/m2)],Modelling[Date],"&lt;="&amp;Modelling[[#This Row],[Date]],Modelling[Month Year],Modelling[[#This Row],[Month Year]])</f>
        <v>150.88709677419348</v>
      </c>
      <c r="BR225" s="4">
        <f>SUMIFS(Modelling[Target POA Daily (KWh/m2)],Modelling[Date],"&lt;="&amp;Modelling[[#This Row],[Date]],Modelling[Finacial Year],Modelling[[#This Row],[Finacial Year]])</f>
        <v>1119.6870967741884</v>
      </c>
      <c r="BS225" s="9">
        <f>BM225/Modelling[[#This Row],[Comisined DC ]]/BP225</f>
        <v>0.71089056136709106</v>
      </c>
      <c r="BT225" s="9">
        <f>BN225/BQ225/Modelling[[#This Row],[Comisined DC ]]</f>
        <v>0.71089056136709128</v>
      </c>
      <c r="BU225" s="9">
        <f>BO225/BR225/Modelling[[#This Row],[Comisined DC ]]</f>
        <v>0.70217083805755887</v>
      </c>
      <c r="BV225" s="9">
        <f>BM225/(24*Modelling[[#This Row],[Comisined DC ]])</f>
        <v>0.17877368821476175</v>
      </c>
      <c r="BW225" s="9">
        <f>BN225/((COUNTIFS(Modelling[Date],"&lt;="&amp;Modelling[[#This Row],[Date]],Modelling[Month Year],Modelling[[#This Row],[Month Year]])*24*Modelling[[#This Row],[MTD DC Capcity]]))</f>
        <v>0.17877368821476178</v>
      </c>
      <c r="BX225" s="28">
        <f>BO225/((COUNTIFS(Modelling[Date],"&lt;="&amp;Modelling[[#This Row],[Date]],Modelling[Finacial Year],Modelling[[#This Row],[Finacial Year]])*24*Modelling[[#This Row],[MTD DC Capcity]]))</f>
        <v>0.15749431632695654</v>
      </c>
      <c r="BY225" s="4">
        <f>Modelling_old[[#This Row],[DC Capcity]]+Modelling_new[[#This Row],[Comisined DC ]]</f>
        <v>11.5031</v>
      </c>
      <c r="BZ225" s="4">
        <v>0</v>
      </c>
      <c r="CA225" s="4">
        <f>AVERAGEIFS(Modelling[[Comisined DC ]],Modelling[Date],"&lt;="&amp;Modelling[[#This Row],[Date]],Modelling[Month Year],Modelling[[#This Row],[Month Year]])</f>
        <v>11.503099999999996</v>
      </c>
      <c r="CB225" s="4">
        <f>AVERAGEIFS(Modelling[[Comisined DC ]],Modelling[Date],"&lt;="&amp;Modelling[[#This Row],[Date]],Modelling[Finacial Year],Modelling[[#This Row],[Finacial Year]])</f>
        <v>11.50309999999995</v>
      </c>
      <c r="CG225">
        <f t="shared" si="70"/>
        <v>25</v>
      </c>
      <c r="CH225">
        <f t="shared" si="87"/>
        <v>208</v>
      </c>
    </row>
    <row r="226" spans="1:86" x14ac:dyDescent="0.35">
      <c r="A226" s="27">
        <v>45225</v>
      </c>
      <c r="B226" s="5">
        <f>MONTH(Modelling_old[[#This Row],[Date]])</f>
        <v>10</v>
      </c>
      <c r="C226" s="25">
        <f t="shared" si="71"/>
        <v>2024</v>
      </c>
      <c r="D226" s="3">
        <f t="shared" si="72"/>
        <v>2023</v>
      </c>
      <c r="E226" s="3" t="s">
        <v>626</v>
      </c>
      <c r="F226" s="5" t="s">
        <v>626</v>
      </c>
      <c r="G226" s="102">
        <v>45200</v>
      </c>
      <c r="H226" s="5">
        <f t="shared" si="73"/>
        <v>31</v>
      </c>
      <c r="I226" s="5">
        <f t="shared" si="74"/>
        <v>10</v>
      </c>
      <c r="J226" s="4">
        <f t="shared" si="75"/>
        <v>49.354838709677416</v>
      </c>
      <c r="K226" s="4">
        <f>SUM($J$201:J226)</f>
        <v>1283.2258064516127</v>
      </c>
      <c r="L226" s="4">
        <f>SUM($J$18:J226)</f>
        <v>9093.2258064516191</v>
      </c>
      <c r="M226" s="4">
        <f t="shared" si="76"/>
        <v>6.0354838709677416</v>
      </c>
      <c r="N226" s="4">
        <f>SUM($M$201:M226)</f>
        <v>156.92258064516122</v>
      </c>
      <c r="O226" s="4">
        <f>SUM($M$18:M226)</f>
        <v>1125.7225806451561</v>
      </c>
      <c r="P226" s="9">
        <f t="shared" si="77"/>
        <v>0.71089056136709106</v>
      </c>
      <c r="Q226" s="26">
        <f t="shared" ref="Q226:R289" si="88">K226/N226/$Q$1</f>
        <v>0.71089056136709128</v>
      </c>
      <c r="R226" s="26">
        <f t="shared" si="88"/>
        <v>0.70221758825187741</v>
      </c>
      <c r="S226" s="9">
        <f t="shared" si="78"/>
        <v>0.17877368821476175</v>
      </c>
      <c r="T226" s="9">
        <f>K226/((COUNT($K$201:K226))*24*$Q$1)</f>
        <v>0.17877368821476172</v>
      </c>
      <c r="U226" s="28">
        <f>L226/((COUNT($L$18:L226))*24*$Q$1)</f>
        <v>0.15759613150345317</v>
      </c>
      <c r="V226" s="134">
        <v>11.5031</v>
      </c>
      <c r="Y226" s="27">
        <f t="shared" si="85"/>
        <v>45225</v>
      </c>
      <c r="Z226" s="5">
        <f>MONTH(Modelling_new[[#This Row],[Date]])</f>
        <v>10</v>
      </c>
      <c r="AA226" s="25">
        <f>YEAR(Y226)+IF(MONTH(Modelling_new[[#This Row],[Date]])&gt;=4,1,0)</f>
        <v>2024</v>
      </c>
      <c r="AB226" s="3">
        <f t="shared" si="79"/>
        <v>2023</v>
      </c>
      <c r="AC226" s="3" t="s">
        <v>626</v>
      </c>
      <c r="AD226" s="5" t="s">
        <v>626</v>
      </c>
      <c r="AE226" s="102">
        <v>45200</v>
      </c>
      <c r="AF226" s="5">
        <f t="shared" si="80"/>
        <v>31</v>
      </c>
      <c r="AG226" s="5">
        <f t="shared" si="81"/>
        <v>10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BD226" s="27">
        <f t="shared" si="86"/>
        <v>45225</v>
      </c>
      <c r="BE226" s="5">
        <f>MONTH(Modelling[[#This Row],[Date]])</f>
        <v>10</v>
      </c>
      <c r="BF226" s="25">
        <f>YEAR(BD226)+IF(MONTH(Modelling[[#This Row],[Date]])&gt;=4,1,0)</f>
        <v>2024</v>
      </c>
      <c r="BG226" s="3">
        <f t="shared" si="82"/>
        <v>2023</v>
      </c>
      <c r="BH226" s="3" t="s">
        <v>626</v>
      </c>
      <c r="BI226" s="5" t="s">
        <v>626</v>
      </c>
      <c r="BJ226" s="102">
        <v>45200</v>
      </c>
      <c r="BK226" s="5">
        <f t="shared" si="83"/>
        <v>31</v>
      </c>
      <c r="BL226" s="5">
        <f t="shared" si="84"/>
        <v>10</v>
      </c>
      <c r="BM226" s="4">
        <f>Modelling_old[[#This Row],[Target E_Grid daily
MWh]]+Modelling_new[[#This Row],[Target E_Grid daily
MWh]]</f>
        <v>49.354838709677416</v>
      </c>
      <c r="BN226" s="4">
        <f>Modelling_old[[#This Row],[Target E_Grid MTD
MWh]]+Modelling_new[[#This Row],[Target E_Grid MTD
MWh]]</f>
        <v>1283.2258064516127</v>
      </c>
      <c r="BO226" s="4">
        <f>Modelling_old[[#This Row],[Target E_Grid YTD
MWh]]+Modelling_new[[#This Row],[Target E_Grid YTD
MWh]]</f>
        <v>9093.2258064516191</v>
      </c>
      <c r="BP22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26" s="4">
        <f>SUMIFS(Modelling[Target POA Daily (KWh/m2)],Modelling[Date],"&lt;="&amp;Modelling[[#This Row],[Date]],Modelling[Month Year],Modelling[[#This Row],[Month Year]])</f>
        <v>156.92258064516122</v>
      </c>
      <c r="BR226" s="4">
        <f>SUMIFS(Modelling[Target POA Daily (KWh/m2)],Modelling[Date],"&lt;="&amp;Modelling[[#This Row],[Date]],Modelling[Finacial Year],Modelling[[#This Row],[Finacial Year]])</f>
        <v>1125.7225806451561</v>
      </c>
      <c r="BS226" s="9">
        <f>BM226/Modelling[[#This Row],[Comisined DC ]]/BP226</f>
        <v>0.71089056136709106</v>
      </c>
      <c r="BT226" s="9">
        <f>BN226/BQ226/Modelling[[#This Row],[Comisined DC ]]</f>
        <v>0.71089056136709128</v>
      </c>
      <c r="BU226" s="9">
        <f>BO226/BR226/Modelling[[#This Row],[Comisined DC ]]</f>
        <v>0.70221758825187741</v>
      </c>
      <c r="BV226" s="9">
        <f>BM226/(24*Modelling[[#This Row],[Comisined DC ]])</f>
        <v>0.17877368821476175</v>
      </c>
      <c r="BW226" s="9">
        <f>BN226/((COUNTIFS(Modelling[Date],"&lt;="&amp;Modelling[[#This Row],[Date]],Modelling[Month Year],Modelling[[#This Row],[Month Year]])*24*Modelling[[#This Row],[MTD DC Capcity]]))</f>
        <v>0.17877368821476172</v>
      </c>
      <c r="BX226" s="28">
        <f>BO226/((COUNTIFS(Modelling[Date],"&lt;="&amp;Modelling[[#This Row],[Date]],Modelling[Finacial Year],Modelling[[#This Row],[Finacial Year]])*24*Modelling[[#This Row],[MTD DC Capcity]]))</f>
        <v>0.1575961315034532</v>
      </c>
      <c r="BY226" s="4">
        <f>Modelling_old[[#This Row],[DC Capcity]]+Modelling_new[[#This Row],[Comisined DC ]]</f>
        <v>11.5031</v>
      </c>
      <c r="BZ226" s="4">
        <v>0</v>
      </c>
      <c r="CA226" s="4">
        <f>AVERAGEIFS(Modelling[[Comisined DC ]],Modelling[Date],"&lt;="&amp;Modelling[[#This Row],[Date]],Modelling[Month Year],Modelling[[#This Row],[Month Year]])</f>
        <v>11.503099999999998</v>
      </c>
      <c r="CB226" s="4">
        <f>AVERAGEIFS(Modelling[[Comisined DC ]],Modelling[Date],"&lt;="&amp;Modelling[[#This Row],[Date]],Modelling[Finacial Year],Modelling[[#This Row],[Finacial Year]])</f>
        <v>11.50309999999995</v>
      </c>
      <c r="CG226">
        <f t="shared" si="70"/>
        <v>26</v>
      </c>
      <c r="CH226">
        <f t="shared" si="87"/>
        <v>209</v>
      </c>
    </row>
    <row r="227" spans="1:86" x14ac:dyDescent="0.35">
      <c r="A227" s="27">
        <v>45226</v>
      </c>
      <c r="B227" s="5">
        <f>MONTH(Modelling_old[[#This Row],[Date]])</f>
        <v>10</v>
      </c>
      <c r="C227" s="25">
        <f t="shared" si="71"/>
        <v>2024</v>
      </c>
      <c r="D227" s="3">
        <f t="shared" si="72"/>
        <v>2023</v>
      </c>
      <c r="E227" s="3" t="s">
        <v>626</v>
      </c>
      <c r="F227" s="5" t="s">
        <v>626</v>
      </c>
      <c r="G227" s="102">
        <v>45200</v>
      </c>
      <c r="H227" s="5">
        <f t="shared" si="73"/>
        <v>31</v>
      </c>
      <c r="I227" s="5">
        <f t="shared" si="74"/>
        <v>10</v>
      </c>
      <c r="J227" s="4">
        <f t="shared" si="75"/>
        <v>49.354838709677416</v>
      </c>
      <c r="K227" s="4">
        <f>SUM($J$201:J227)</f>
        <v>1332.58064516129</v>
      </c>
      <c r="L227" s="4">
        <f>SUM($J$18:J227)</f>
        <v>9142.5806451612971</v>
      </c>
      <c r="M227" s="4">
        <f t="shared" si="76"/>
        <v>6.0354838709677416</v>
      </c>
      <c r="N227" s="4">
        <f>SUM($M$201:M227)</f>
        <v>162.95806451612896</v>
      </c>
      <c r="O227" s="4">
        <f>SUM($M$18:M227)</f>
        <v>1131.7580645161238</v>
      </c>
      <c r="P227" s="9">
        <f t="shared" si="77"/>
        <v>0.71089056136709106</v>
      </c>
      <c r="Q227" s="26">
        <f t="shared" si="88"/>
        <v>0.71089056136709128</v>
      </c>
      <c r="R227" s="26">
        <f t="shared" si="88"/>
        <v>0.70226383982365015</v>
      </c>
      <c r="S227" s="9">
        <f t="shared" si="78"/>
        <v>0.17877368821476175</v>
      </c>
      <c r="T227" s="9">
        <f>K227/((COUNT($K$201:K227))*24*$Q$1)</f>
        <v>0.17877368821476172</v>
      </c>
      <c r="U227" s="28">
        <f>L227/((COUNT($L$18:L227))*24*$Q$1)</f>
        <v>0.15769697701160229</v>
      </c>
      <c r="V227" s="134">
        <v>11.5031</v>
      </c>
      <c r="Y227" s="27">
        <f t="shared" si="85"/>
        <v>45226</v>
      </c>
      <c r="Z227" s="5">
        <f>MONTH(Modelling_new[[#This Row],[Date]])</f>
        <v>10</v>
      </c>
      <c r="AA227" s="25">
        <f>YEAR(Y227)+IF(MONTH(Modelling_new[[#This Row],[Date]])&gt;=4,1,0)</f>
        <v>2024</v>
      </c>
      <c r="AB227" s="3">
        <f t="shared" si="79"/>
        <v>2023</v>
      </c>
      <c r="AC227" s="3" t="s">
        <v>626</v>
      </c>
      <c r="AD227" s="5" t="s">
        <v>626</v>
      </c>
      <c r="AE227" s="102">
        <v>45200</v>
      </c>
      <c r="AF227" s="5">
        <f t="shared" si="80"/>
        <v>31</v>
      </c>
      <c r="AG227" s="5">
        <f t="shared" si="81"/>
        <v>10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BD227" s="27">
        <f t="shared" si="86"/>
        <v>45226</v>
      </c>
      <c r="BE227" s="5">
        <f>MONTH(Modelling[[#This Row],[Date]])</f>
        <v>10</v>
      </c>
      <c r="BF227" s="25">
        <f>YEAR(BD227)+IF(MONTH(Modelling[[#This Row],[Date]])&gt;=4,1,0)</f>
        <v>2024</v>
      </c>
      <c r="BG227" s="3">
        <f t="shared" si="82"/>
        <v>2023</v>
      </c>
      <c r="BH227" s="3" t="s">
        <v>626</v>
      </c>
      <c r="BI227" s="5" t="s">
        <v>626</v>
      </c>
      <c r="BJ227" s="102">
        <v>45200</v>
      </c>
      <c r="BK227" s="5">
        <f t="shared" si="83"/>
        <v>31</v>
      </c>
      <c r="BL227" s="5">
        <f t="shared" si="84"/>
        <v>10</v>
      </c>
      <c r="BM227" s="4">
        <f>Modelling_old[[#This Row],[Target E_Grid daily
MWh]]+Modelling_new[[#This Row],[Target E_Grid daily
MWh]]</f>
        <v>49.354838709677416</v>
      </c>
      <c r="BN227" s="4">
        <f>Modelling_old[[#This Row],[Target E_Grid MTD
MWh]]+Modelling_new[[#This Row],[Target E_Grid MTD
MWh]]</f>
        <v>1332.58064516129</v>
      </c>
      <c r="BO227" s="4">
        <f>Modelling_old[[#This Row],[Target E_Grid YTD
MWh]]+Modelling_new[[#This Row],[Target E_Grid YTD
MWh]]</f>
        <v>9142.5806451612971</v>
      </c>
      <c r="BP22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27" s="4">
        <f>SUMIFS(Modelling[Target POA Daily (KWh/m2)],Modelling[Date],"&lt;="&amp;Modelling[[#This Row],[Date]],Modelling[Month Year],Modelling[[#This Row],[Month Year]])</f>
        <v>162.95806451612896</v>
      </c>
      <c r="BR227" s="4">
        <f>SUMIFS(Modelling[Target POA Daily (KWh/m2)],Modelling[Date],"&lt;="&amp;Modelling[[#This Row],[Date]],Modelling[Finacial Year],Modelling[[#This Row],[Finacial Year]])</f>
        <v>1131.7580645161238</v>
      </c>
      <c r="BS227" s="9">
        <f>BM227/Modelling[[#This Row],[Comisined DC ]]/BP227</f>
        <v>0.71089056136709106</v>
      </c>
      <c r="BT227" s="9">
        <f>BN227/BQ227/Modelling[[#This Row],[Comisined DC ]]</f>
        <v>0.71089056136709128</v>
      </c>
      <c r="BU227" s="9">
        <f>BO227/BR227/Modelling[[#This Row],[Comisined DC ]]</f>
        <v>0.70226383982365015</v>
      </c>
      <c r="BV227" s="9">
        <f>BM227/(24*Modelling[[#This Row],[Comisined DC ]])</f>
        <v>0.17877368821476175</v>
      </c>
      <c r="BW227" s="9">
        <f>BN227/((COUNTIFS(Modelling[Date],"&lt;="&amp;Modelling[[#This Row],[Date]],Modelling[Month Year],Modelling[[#This Row],[Month Year]])*24*Modelling[[#This Row],[MTD DC Capcity]]))</f>
        <v>0.17877368821476172</v>
      </c>
      <c r="BX227" s="28">
        <f>BO227/((COUNTIFS(Modelling[Date],"&lt;="&amp;Modelling[[#This Row],[Date]],Modelling[Finacial Year],Modelling[[#This Row],[Finacial Year]])*24*Modelling[[#This Row],[MTD DC Capcity]]))</f>
        <v>0.15769697701160229</v>
      </c>
      <c r="BY227" s="4">
        <f>Modelling_old[[#This Row],[DC Capcity]]+Modelling_new[[#This Row],[Comisined DC ]]</f>
        <v>11.5031</v>
      </c>
      <c r="BZ227" s="4">
        <v>0</v>
      </c>
      <c r="CA227" s="4">
        <f>AVERAGEIFS(Modelling[[Comisined DC ]],Modelling[Date],"&lt;="&amp;Modelling[[#This Row],[Date]],Modelling[Month Year],Modelling[[#This Row],[Month Year]])</f>
        <v>11.503099999999998</v>
      </c>
      <c r="CB227" s="4">
        <f>AVERAGEIFS(Modelling[[Comisined DC ]],Modelling[Date],"&lt;="&amp;Modelling[[#This Row],[Date]],Modelling[Finacial Year],Modelling[[#This Row],[Finacial Year]])</f>
        <v>11.50309999999995</v>
      </c>
      <c r="CG227">
        <f t="shared" si="70"/>
        <v>27</v>
      </c>
      <c r="CH227">
        <f t="shared" si="87"/>
        <v>210</v>
      </c>
    </row>
    <row r="228" spans="1:86" x14ac:dyDescent="0.35">
      <c r="A228" s="27">
        <v>45227</v>
      </c>
      <c r="B228" s="5">
        <f>MONTH(Modelling_old[[#This Row],[Date]])</f>
        <v>10</v>
      </c>
      <c r="C228" s="25">
        <f t="shared" si="71"/>
        <v>2024</v>
      </c>
      <c r="D228" s="3">
        <f t="shared" si="72"/>
        <v>2023</v>
      </c>
      <c r="E228" s="3" t="s">
        <v>626</v>
      </c>
      <c r="F228" s="5" t="s">
        <v>626</v>
      </c>
      <c r="G228" s="102">
        <v>45200</v>
      </c>
      <c r="H228" s="5">
        <f t="shared" si="73"/>
        <v>31</v>
      </c>
      <c r="I228" s="5">
        <f t="shared" si="74"/>
        <v>10</v>
      </c>
      <c r="J228" s="4">
        <f t="shared" si="75"/>
        <v>49.354838709677416</v>
      </c>
      <c r="K228" s="4">
        <f>SUM($J$201:J228)</f>
        <v>1381.9354838709673</v>
      </c>
      <c r="L228" s="4">
        <f>SUM($J$18:J228)</f>
        <v>9191.9354838709751</v>
      </c>
      <c r="M228" s="4">
        <f t="shared" si="76"/>
        <v>6.0354838709677416</v>
      </c>
      <c r="N228" s="4">
        <f>SUM($M$201:M228)</f>
        <v>168.99354838709669</v>
      </c>
      <c r="O228" s="4">
        <f>SUM($M$18:M228)</f>
        <v>1137.7935483870915</v>
      </c>
      <c r="P228" s="9">
        <f t="shared" si="77"/>
        <v>0.71089056136709106</v>
      </c>
      <c r="Q228" s="26">
        <f t="shared" si="88"/>
        <v>0.71089056136709117</v>
      </c>
      <c r="R228" s="26">
        <f t="shared" si="88"/>
        <v>0.70230960070778303</v>
      </c>
      <c r="S228" s="9">
        <f t="shared" si="78"/>
        <v>0.17877368821476175</v>
      </c>
      <c r="T228" s="9">
        <f>K228/((COUNT($K$201:K228))*24*$Q$1)</f>
        <v>0.17877368821476169</v>
      </c>
      <c r="U228" s="28">
        <f>L228/((COUNT($L$18:L228))*24*$Q$1)</f>
        <v>0.15779686663815753</v>
      </c>
      <c r="V228" s="134">
        <v>11.5031</v>
      </c>
      <c r="Y228" s="27">
        <f t="shared" si="85"/>
        <v>45227</v>
      </c>
      <c r="Z228" s="5">
        <f>MONTH(Modelling_new[[#This Row],[Date]])</f>
        <v>10</v>
      </c>
      <c r="AA228" s="25">
        <f>YEAR(Y228)+IF(MONTH(Modelling_new[[#This Row],[Date]])&gt;=4,1,0)</f>
        <v>2024</v>
      </c>
      <c r="AB228" s="3">
        <f t="shared" si="79"/>
        <v>2023</v>
      </c>
      <c r="AC228" s="3" t="s">
        <v>626</v>
      </c>
      <c r="AD228" s="5" t="s">
        <v>626</v>
      </c>
      <c r="AE228" s="102">
        <v>45200</v>
      </c>
      <c r="AF228" s="5">
        <f t="shared" si="80"/>
        <v>31</v>
      </c>
      <c r="AG228" s="5">
        <f t="shared" si="81"/>
        <v>10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BD228" s="27">
        <f t="shared" si="86"/>
        <v>45227</v>
      </c>
      <c r="BE228" s="5">
        <f>MONTH(Modelling[[#This Row],[Date]])</f>
        <v>10</v>
      </c>
      <c r="BF228" s="25">
        <f>YEAR(BD228)+IF(MONTH(Modelling[[#This Row],[Date]])&gt;=4,1,0)</f>
        <v>2024</v>
      </c>
      <c r="BG228" s="3">
        <f t="shared" si="82"/>
        <v>2023</v>
      </c>
      <c r="BH228" s="3" t="s">
        <v>626</v>
      </c>
      <c r="BI228" s="5" t="s">
        <v>626</v>
      </c>
      <c r="BJ228" s="102">
        <v>45200</v>
      </c>
      <c r="BK228" s="5">
        <f t="shared" si="83"/>
        <v>31</v>
      </c>
      <c r="BL228" s="5">
        <f t="shared" si="84"/>
        <v>10</v>
      </c>
      <c r="BM228" s="4">
        <f>Modelling_old[[#This Row],[Target E_Grid daily
MWh]]+Modelling_new[[#This Row],[Target E_Grid daily
MWh]]</f>
        <v>49.354838709677416</v>
      </c>
      <c r="BN228" s="4">
        <f>Modelling_old[[#This Row],[Target E_Grid MTD
MWh]]+Modelling_new[[#This Row],[Target E_Grid MTD
MWh]]</f>
        <v>1381.9354838709673</v>
      </c>
      <c r="BO228" s="4">
        <f>Modelling_old[[#This Row],[Target E_Grid YTD
MWh]]+Modelling_new[[#This Row],[Target E_Grid YTD
MWh]]</f>
        <v>9191.9354838709751</v>
      </c>
      <c r="BP22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28" s="4">
        <f>SUMIFS(Modelling[Target POA Daily (KWh/m2)],Modelling[Date],"&lt;="&amp;Modelling[[#This Row],[Date]],Modelling[Month Year],Modelling[[#This Row],[Month Year]])</f>
        <v>168.99354838709669</v>
      </c>
      <c r="BR228" s="4">
        <f>SUMIFS(Modelling[Target POA Daily (KWh/m2)],Modelling[Date],"&lt;="&amp;Modelling[[#This Row],[Date]],Modelling[Finacial Year],Modelling[[#This Row],[Finacial Year]])</f>
        <v>1137.7935483870915</v>
      </c>
      <c r="BS228" s="9">
        <f>BM228/Modelling[[#This Row],[Comisined DC ]]/BP228</f>
        <v>0.71089056136709106</v>
      </c>
      <c r="BT228" s="9">
        <f>BN228/BQ228/Modelling[[#This Row],[Comisined DC ]]</f>
        <v>0.71089056136709117</v>
      </c>
      <c r="BU228" s="9">
        <f>BO228/BR228/Modelling[[#This Row],[Comisined DC ]]</f>
        <v>0.70230960070778303</v>
      </c>
      <c r="BV228" s="9">
        <f>BM228/(24*Modelling[[#This Row],[Comisined DC ]])</f>
        <v>0.17877368821476175</v>
      </c>
      <c r="BW228" s="9">
        <f>BN228/((COUNTIFS(Modelling[Date],"&lt;="&amp;Modelling[[#This Row],[Date]],Modelling[Month Year],Modelling[[#This Row],[Month Year]])*24*Modelling[[#This Row],[MTD DC Capcity]]))</f>
        <v>0.17877368821476169</v>
      </c>
      <c r="BX228" s="28">
        <f>BO228/((COUNTIFS(Modelling[Date],"&lt;="&amp;Modelling[[#This Row],[Date]],Modelling[Finacial Year],Modelling[[#This Row],[Finacial Year]])*24*Modelling[[#This Row],[MTD DC Capcity]]))</f>
        <v>0.15779686663815753</v>
      </c>
      <c r="BY228" s="4">
        <f>Modelling_old[[#This Row],[DC Capcity]]+Modelling_new[[#This Row],[Comisined DC ]]</f>
        <v>11.5031</v>
      </c>
      <c r="BZ228" s="4">
        <v>0</v>
      </c>
      <c r="CA228" s="4">
        <f>AVERAGEIFS(Modelling[[Comisined DC ]],Modelling[Date],"&lt;="&amp;Modelling[[#This Row],[Date]],Modelling[Month Year],Modelling[[#This Row],[Month Year]])</f>
        <v>11.5031</v>
      </c>
      <c r="CB228" s="4">
        <f>AVERAGEIFS(Modelling[[Comisined DC ]],Modelling[Date],"&lt;="&amp;Modelling[[#This Row],[Date]],Modelling[Finacial Year],Modelling[[#This Row],[Finacial Year]])</f>
        <v>11.503099999999948</v>
      </c>
      <c r="CG228">
        <f t="shared" si="70"/>
        <v>28</v>
      </c>
      <c r="CH228">
        <f t="shared" si="87"/>
        <v>211</v>
      </c>
    </row>
    <row r="229" spans="1:86" x14ac:dyDescent="0.35">
      <c r="A229" s="27">
        <v>45228</v>
      </c>
      <c r="B229" s="5">
        <f>MONTH(Modelling_old[[#This Row],[Date]])</f>
        <v>10</v>
      </c>
      <c r="C229" s="25">
        <f t="shared" si="71"/>
        <v>2024</v>
      </c>
      <c r="D229" s="3">
        <f t="shared" si="72"/>
        <v>2023</v>
      </c>
      <c r="E229" s="3" t="s">
        <v>626</v>
      </c>
      <c r="F229" s="5" t="s">
        <v>626</v>
      </c>
      <c r="G229" s="102">
        <v>45200</v>
      </c>
      <c r="H229" s="5">
        <f t="shared" si="73"/>
        <v>31</v>
      </c>
      <c r="I229" s="5">
        <f t="shared" si="74"/>
        <v>10</v>
      </c>
      <c r="J229" s="4">
        <f t="shared" si="75"/>
        <v>49.354838709677416</v>
      </c>
      <c r="K229" s="4">
        <f>SUM($J$201:J229)</f>
        <v>1431.2903225806447</v>
      </c>
      <c r="L229" s="4">
        <f>SUM($J$18:J229)</f>
        <v>9241.2903225806531</v>
      </c>
      <c r="M229" s="4">
        <f t="shared" si="76"/>
        <v>6.0354838709677416</v>
      </c>
      <c r="N229" s="4">
        <f>SUM($M$201:M229)</f>
        <v>175.02903225806443</v>
      </c>
      <c r="O229" s="4">
        <f>SUM($M$18:M229)</f>
        <v>1143.8290322580592</v>
      </c>
      <c r="P229" s="9">
        <f t="shared" si="77"/>
        <v>0.71089056136709106</v>
      </c>
      <c r="Q229" s="26">
        <f t="shared" si="88"/>
        <v>0.71089056136709117</v>
      </c>
      <c r="R229" s="26">
        <f t="shared" si="88"/>
        <v>0.7023548786717061</v>
      </c>
      <c r="S229" s="9">
        <f t="shared" si="78"/>
        <v>0.17877368821476175</v>
      </c>
      <c r="T229" s="9">
        <f>K229/((COUNT($K$201:K229))*24*$Q$1)</f>
        <v>0.17877368821476169</v>
      </c>
      <c r="U229" s="28">
        <f>L229/((COUNT($L$18:L229))*24*$Q$1)</f>
        <v>0.1578958139097453</v>
      </c>
      <c r="V229" s="134">
        <v>11.5031</v>
      </c>
      <c r="Y229" s="27">
        <f t="shared" si="85"/>
        <v>45228</v>
      </c>
      <c r="Z229" s="5">
        <f>MONTH(Modelling_new[[#This Row],[Date]])</f>
        <v>10</v>
      </c>
      <c r="AA229" s="25">
        <f>YEAR(Y229)+IF(MONTH(Modelling_new[[#This Row],[Date]])&gt;=4,1,0)</f>
        <v>2024</v>
      </c>
      <c r="AB229" s="3">
        <f t="shared" si="79"/>
        <v>2023</v>
      </c>
      <c r="AC229" s="3" t="s">
        <v>626</v>
      </c>
      <c r="AD229" s="5" t="s">
        <v>626</v>
      </c>
      <c r="AE229" s="102">
        <v>45200</v>
      </c>
      <c r="AF229" s="5">
        <f t="shared" si="80"/>
        <v>31</v>
      </c>
      <c r="AG229" s="5">
        <f t="shared" si="81"/>
        <v>10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BD229" s="27">
        <f t="shared" si="86"/>
        <v>45228</v>
      </c>
      <c r="BE229" s="5">
        <f>MONTH(Modelling[[#This Row],[Date]])</f>
        <v>10</v>
      </c>
      <c r="BF229" s="25">
        <f>YEAR(BD229)+IF(MONTH(Modelling[[#This Row],[Date]])&gt;=4,1,0)</f>
        <v>2024</v>
      </c>
      <c r="BG229" s="3">
        <f t="shared" si="82"/>
        <v>2023</v>
      </c>
      <c r="BH229" s="3" t="s">
        <v>626</v>
      </c>
      <c r="BI229" s="5" t="s">
        <v>626</v>
      </c>
      <c r="BJ229" s="102">
        <v>45200</v>
      </c>
      <c r="BK229" s="5">
        <f t="shared" si="83"/>
        <v>31</v>
      </c>
      <c r="BL229" s="5">
        <f t="shared" si="84"/>
        <v>10</v>
      </c>
      <c r="BM229" s="4">
        <f>Modelling_old[[#This Row],[Target E_Grid daily
MWh]]+Modelling_new[[#This Row],[Target E_Grid daily
MWh]]</f>
        <v>49.354838709677416</v>
      </c>
      <c r="BN229" s="4">
        <f>Modelling_old[[#This Row],[Target E_Grid MTD
MWh]]+Modelling_new[[#This Row],[Target E_Grid MTD
MWh]]</f>
        <v>1431.2903225806447</v>
      </c>
      <c r="BO229" s="4">
        <f>Modelling_old[[#This Row],[Target E_Grid YTD
MWh]]+Modelling_new[[#This Row],[Target E_Grid YTD
MWh]]</f>
        <v>9241.2903225806531</v>
      </c>
      <c r="BP22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29" s="4">
        <f>SUMIFS(Modelling[Target POA Daily (KWh/m2)],Modelling[Date],"&lt;="&amp;Modelling[[#This Row],[Date]],Modelling[Month Year],Modelling[[#This Row],[Month Year]])</f>
        <v>175.02903225806443</v>
      </c>
      <c r="BR229" s="4">
        <f>SUMIFS(Modelling[Target POA Daily (KWh/m2)],Modelling[Date],"&lt;="&amp;Modelling[[#This Row],[Date]],Modelling[Finacial Year],Modelling[[#This Row],[Finacial Year]])</f>
        <v>1143.8290322580592</v>
      </c>
      <c r="BS229" s="9">
        <f>BM229/Modelling[[#This Row],[Comisined DC ]]/BP229</f>
        <v>0.71089056136709106</v>
      </c>
      <c r="BT229" s="9">
        <f>BN229/BQ229/Modelling[[#This Row],[Comisined DC ]]</f>
        <v>0.71089056136709117</v>
      </c>
      <c r="BU229" s="9">
        <f>BO229/BR229/Modelling[[#This Row],[Comisined DC ]]</f>
        <v>0.7023548786717061</v>
      </c>
      <c r="BV229" s="9">
        <f>BM229/(24*Modelling[[#This Row],[Comisined DC ]])</f>
        <v>0.17877368821476175</v>
      </c>
      <c r="BW229" s="9">
        <f>BN229/((COUNTIFS(Modelling[Date],"&lt;="&amp;Modelling[[#This Row],[Date]],Modelling[Month Year],Modelling[[#This Row],[Month Year]])*24*Modelling[[#This Row],[MTD DC Capcity]]))</f>
        <v>0.17877368821476169</v>
      </c>
      <c r="BX229" s="28">
        <f>BO229/((COUNTIFS(Modelling[Date],"&lt;="&amp;Modelling[[#This Row],[Date]],Modelling[Finacial Year],Modelling[[#This Row],[Finacial Year]])*24*Modelling[[#This Row],[MTD DC Capcity]]))</f>
        <v>0.1578958139097453</v>
      </c>
      <c r="BY229" s="4">
        <f>Modelling_old[[#This Row],[DC Capcity]]+Modelling_new[[#This Row],[Comisined DC ]]</f>
        <v>11.5031</v>
      </c>
      <c r="BZ229" s="4">
        <v>0</v>
      </c>
      <c r="CA229" s="4">
        <f>AVERAGEIFS(Modelling[[Comisined DC ]],Modelling[Date],"&lt;="&amp;Modelling[[#This Row],[Date]],Modelling[Month Year],Modelling[[#This Row],[Month Year]])</f>
        <v>11.5031</v>
      </c>
      <c r="CB229" s="4">
        <f>AVERAGEIFS(Modelling[[Comisined DC ]],Modelling[Date],"&lt;="&amp;Modelling[[#This Row],[Date]],Modelling[Finacial Year],Modelling[[#This Row],[Finacial Year]])</f>
        <v>11.503099999999948</v>
      </c>
      <c r="CG229">
        <f t="shared" si="70"/>
        <v>29</v>
      </c>
      <c r="CH229">
        <f t="shared" si="87"/>
        <v>212</v>
      </c>
    </row>
    <row r="230" spans="1:86" x14ac:dyDescent="0.35">
      <c r="A230" s="27">
        <v>45229</v>
      </c>
      <c r="B230" s="5">
        <f>MONTH(Modelling_old[[#This Row],[Date]])</f>
        <v>10</v>
      </c>
      <c r="C230" s="25">
        <f t="shared" si="71"/>
        <v>2024</v>
      </c>
      <c r="D230" s="3">
        <f t="shared" si="72"/>
        <v>2023</v>
      </c>
      <c r="E230" s="3" t="s">
        <v>626</v>
      </c>
      <c r="F230" s="5" t="s">
        <v>626</v>
      </c>
      <c r="G230" s="102">
        <v>45200</v>
      </c>
      <c r="H230" s="5">
        <f t="shared" si="73"/>
        <v>31</v>
      </c>
      <c r="I230" s="5">
        <f t="shared" si="74"/>
        <v>10</v>
      </c>
      <c r="J230" s="4">
        <f t="shared" si="75"/>
        <v>49.354838709677416</v>
      </c>
      <c r="K230" s="4">
        <f>SUM($J$201:J230)</f>
        <v>1480.645161290322</v>
      </c>
      <c r="L230" s="4">
        <f>SUM($J$18:J230)</f>
        <v>9290.6451612903311</v>
      </c>
      <c r="M230" s="4">
        <f t="shared" si="76"/>
        <v>6.0354838709677416</v>
      </c>
      <c r="N230" s="4">
        <f>SUM($M$201:M230)</f>
        <v>181.06451612903217</v>
      </c>
      <c r="O230" s="4">
        <f>SUM($M$18:M230)</f>
        <v>1149.8645161290269</v>
      </c>
      <c r="P230" s="9">
        <f t="shared" si="77"/>
        <v>0.71089056136709106</v>
      </c>
      <c r="Q230" s="26">
        <f t="shared" si="88"/>
        <v>0.71089056136709117</v>
      </c>
      <c r="R230" s="26">
        <f t="shared" si="88"/>
        <v>0.7023996813197686</v>
      </c>
      <c r="S230" s="9">
        <f t="shared" si="78"/>
        <v>0.17877368821476175</v>
      </c>
      <c r="T230" s="9">
        <f>K230/((COUNT($K$201:K230))*24*$Q$1)</f>
        <v>0.17877368821476167</v>
      </c>
      <c r="U230" s="28">
        <f>L230/((COUNT($L$18:L230))*24*$Q$1)</f>
        <v>0.15799383209897075</v>
      </c>
      <c r="V230" s="134">
        <v>11.5031</v>
      </c>
      <c r="Y230" s="27">
        <f t="shared" si="85"/>
        <v>45229</v>
      </c>
      <c r="Z230" s="5">
        <f>MONTH(Modelling_new[[#This Row],[Date]])</f>
        <v>10</v>
      </c>
      <c r="AA230" s="25">
        <f>YEAR(Y230)+IF(MONTH(Modelling_new[[#This Row],[Date]])&gt;=4,1,0)</f>
        <v>2024</v>
      </c>
      <c r="AB230" s="3">
        <f t="shared" si="79"/>
        <v>2023</v>
      </c>
      <c r="AC230" s="3" t="s">
        <v>626</v>
      </c>
      <c r="AD230" s="5" t="s">
        <v>626</v>
      </c>
      <c r="AE230" s="102">
        <v>45200</v>
      </c>
      <c r="AF230" s="5">
        <f t="shared" si="80"/>
        <v>31</v>
      </c>
      <c r="AG230" s="5">
        <f t="shared" si="81"/>
        <v>10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BD230" s="27">
        <f t="shared" si="86"/>
        <v>45229</v>
      </c>
      <c r="BE230" s="5">
        <f>MONTH(Modelling[[#This Row],[Date]])</f>
        <v>10</v>
      </c>
      <c r="BF230" s="25">
        <f>YEAR(BD230)+IF(MONTH(Modelling[[#This Row],[Date]])&gt;=4,1,0)</f>
        <v>2024</v>
      </c>
      <c r="BG230" s="3">
        <f t="shared" si="82"/>
        <v>2023</v>
      </c>
      <c r="BH230" s="3" t="s">
        <v>626</v>
      </c>
      <c r="BI230" s="5" t="s">
        <v>626</v>
      </c>
      <c r="BJ230" s="102">
        <v>45200</v>
      </c>
      <c r="BK230" s="5">
        <f t="shared" si="83"/>
        <v>31</v>
      </c>
      <c r="BL230" s="5">
        <f t="shared" si="84"/>
        <v>10</v>
      </c>
      <c r="BM230" s="4">
        <f>Modelling_old[[#This Row],[Target E_Grid daily
MWh]]+Modelling_new[[#This Row],[Target E_Grid daily
MWh]]</f>
        <v>49.354838709677416</v>
      </c>
      <c r="BN230" s="4">
        <f>Modelling_old[[#This Row],[Target E_Grid MTD
MWh]]+Modelling_new[[#This Row],[Target E_Grid MTD
MWh]]</f>
        <v>1480.645161290322</v>
      </c>
      <c r="BO230" s="4">
        <f>Modelling_old[[#This Row],[Target E_Grid YTD
MWh]]+Modelling_new[[#This Row],[Target E_Grid YTD
MWh]]</f>
        <v>9290.6451612903311</v>
      </c>
      <c r="BP23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30" s="4">
        <f>SUMIFS(Modelling[Target POA Daily (KWh/m2)],Modelling[Date],"&lt;="&amp;Modelling[[#This Row],[Date]],Modelling[Month Year],Modelling[[#This Row],[Month Year]])</f>
        <v>181.06451612903217</v>
      </c>
      <c r="BR230" s="4">
        <f>SUMIFS(Modelling[Target POA Daily (KWh/m2)],Modelling[Date],"&lt;="&amp;Modelling[[#This Row],[Date]],Modelling[Finacial Year],Modelling[[#This Row],[Finacial Year]])</f>
        <v>1149.8645161290269</v>
      </c>
      <c r="BS230" s="9">
        <f>BM230/Modelling[[#This Row],[Comisined DC ]]/BP230</f>
        <v>0.71089056136709106</v>
      </c>
      <c r="BT230" s="9">
        <f>BN230/BQ230/Modelling[[#This Row],[Comisined DC ]]</f>
        <v>0.71089056136709117</v>
      </c>
      <c r="BU230" s="9">
        <f>BO230/BR230/Modelling[[#This Row],[Comisined DC ]]</f>
        <v>0.7023996813197686</v>
      </c>
      <c r="BV230" s="9">
        <f>BM230/(24*Modelling[[#This Row],[Comisined DC ]])</f>
        <v>0.17877368821476175</v>
      </c>
      <c r="BW230" s="9">
        <f>BN230/((COUNTIFS(Modelling[Date],"&lt;="&amp;Modelling[[#This Row],[Date]],Modelling[Month Year],Modelling[[#This Row],[Month Year]])*24*Modelling[[#This Row],[MTD DC Capcity]]))</f>
        <v>0.17877368821476167</v>
      </c>
      <c r="BX230" s="28">
        <f>BO230/((COUNTIFS(Modelling[Date],"&lt;="&amp;Modelling[[#This Row],[Date]],Modelling[Finacial Year],Modelling[[#This Row],[Finacial Year]])*24*Modelling[[#This Row],[MTD DC Capcity]]))</f>
        <v>0.15799383209897075</v>
      </c>
      <c r="BY230" s="4">
        <f>Modelling_old[[#This Row],[DC Capcity]]+Modelling_new[[#This Row],[Comisined DC ]]</f>
        <v>11.5031</v>
      </c>
      <c r="BZ230" s="4">
        <v>0</v>
      </c>
      <c r="CA230" s="4">
        <f>AVERAGEIFS(Modelling[[Comisined DC ]],Modelling[Date],"&lt;="&amp;Modelling[[#This Row],[Date]],Modelling[Month Year],Modelling[[#This Row],[Month Year]])</f>
        <v>11.5031</v>
      </c>
      <c r="CB230" s="4">
        <f>AVERAGEIFS(Modelling[[Comisined DC ]],Modelling[Date],"&lt;="&amp;Modelling[[#This Row],[Date]],Modelling[Finacial Year],Modelling[[#This Row],[Finacial Year]])</f>
        <v>11.503099999999948</v>
      </c>
      <c r="CG230">
        <f t="shared" si="70"/>
        <v>30</v>
      </c>
      <c r="CH230">
        <f t="shared" si="87"/>
        <v>213</v>
      </c>
    </row>
    <row r="231" spans="1:86" x14ac:dyDescent="0.35">
      <c r="A231" s="27">
        <v>45230</v>
      </c>
      <c r="B231" s="5">
        <f>MONTH(Modelling_old[[#This Row],[Date]])</f>
        <v>10</v>
      </c>
      <c r="C231" s="25">
        <f t="shared" si="71"/>
        <v>2024</v>
      </c>
      <c r="D231" s="3">
        <f t="shared" si="72"/>
        <v>2023</v>
      </c>
      <c r="E231" s="3" t="s">
        <v>626</v>
      </c>
      <c r="F231" s="5" t="s">
        <v>626</v>
      </c>
      <c r="G231" s="102">
        <v>45200</v>
      </c>
      <c r="H231" s="5">
        <f t="shared" si="73"/>
        <v>31</v>
      </c>
      <c r="I231" s="5">
        <f t="shared" si="74"/>
        <v>10</v>
      </c>
      <c r="J231" s="4">
        <f t="shared" si="75"/>
        <v>49.354838709677416</v>
      </c>
      <c r="K231" s="4">
        <f>SUM($J$201:J231)</f>
        <v>1529.9999999999993</v>
      </c>
      <c r="L231" s="4">
        <f>SUM($J$18:J231)</f>
        <v>9340.0000000000091</v>
      </c>
      <c r="M231" s="4">
        <f t="shared" si="76"/>
        <v>6.0354838709677416</v>
      </c>
      <c r="N231" s="4">
        <f>SUM($M$201:M231)</f>
        <v>187.09999999999991</v>
      </c>
      <c r="O231" s="4">
        <f>SUM($M$18:M231)</f>
        <v>1155.8999999999946</v>
      </c>
      <c r="P231" s="9">
        <f t="shared" si="77"/>
        <v>0.71089056136709106</v>
      </c>
      <c r="Q231" s="26">
        <f t="shared" si="88"/>
        <v>0.71089056136709117</v>
      </c>
      <c r="R231" s="26">
        <f t="shared" si="88"/>
        <v>0.70244401609749674</v>
      </c>
      <c r="S231" s="9">
        <f t="shared" si="78"/>
        <v>0.17877368821476175</v>
      </c>
      <c r="T231" s="9">
        <f>K231/((COUNT($K$201:K231))*24*$Q$1)</f>
        <v>0.17877368821476167</v>
      </c>
      <c r="U231" s="28">
        <f>L231/((COUNT($L$18:L231))*24*$Q$1)</f>
        <v>0.15809093423035295</v>
      </c>
      <c r="V231" s="134">
        <v>11.5031</v>
      </c>
      <c r="Y231" s="27">
        <f t="shared" si="85"/>
        <v>45230</v>
      </c>
      <c r="Z231" s="5">
        <f>MONTH(Modelling_new[[#This Row],[Date]])</f>
        <v>10</v>
      </c>
      <c r="AA231" s="25">
        <f>YEAR(Y231)+IF(MONTH(Modelling_new[[#This Row],[Date]])&gt;=4,1,0)</f>
        <v>2024</v>
      </c>
      <c r="AB231" s="3">
        <f t="shared" si="79"/>
        <v>2023</v>
      </c>
      <c r="AC231" s="3" t="s">
        <v>626</v>
      </c>
      <c r="AD231" s="5" t="s">
        <v>626</v>
      </c>
      <c r="AE231" s="102">
        <v>45200</v>
      </c>
      <c r="AF231" s="5">
        <f t="shared" si="80"/>
        <v>31</v>
      </c>
      <c r="AG231" s="5">
        <f t="shared" si="81"/>
        <v>10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BD231" s="27">
        <f t="shared" si="86"/>
        <v>45230</v>
      </c>
      <c r="BE231" s="5">
        <f>MONTH(Modelling[[#This Row],[Date]])</f>
        <v>10</v>
      </c>
      <c r="BF231" s="25">
        <f>YEAR(BD231)+IF(MONTH(Modelling[[#This Row],[Date]])&gt;=4,1,0)</f>
        <v>2024</v>
      </c>
      <c r="BG231" s="3">
        <f t="shared" si="82"/>
        <v>2023</v>
      </c>
      <c r="BH231" s="3" t="s">
        <v>626</v>
      </c>
      <c r="BI231" s="5" t="s">
        <v>626</v>
      </c>
      <c r="BJ231" s="102">
        <v>45200</v>
      </c>
      <c r="BK231" s="5">
        <f t="shared" si="83"/>
        <v>31</v>
      </c>
      <c r="BL231" s="5">
        <f t="shared" si="84"/>
        <v>10</v>
      </c>
      <c r="BM231" s="4">
        <f>Modelling_old[[#This Row],[Target E_Grid daily
MWh]]+Modelling_new[[#This Row],[Target E_Grid daily
MWh]]</f>
        <v>49.354838709677416</v>
      </c>
      <c r="BN231" s="4">
        <f>Modelling_old[[#This Row],[Target E_Grid MTD
MWh]]+Modelling_new[[#This Row],[Target E_Grid MTD
MWh]]</f>
        <v>1529.9999999999993</v>
      </c>
      <c r="BO231" s="4">
        <f>Modelling_old[[#This Row],[Target E_Grid YTD
MWh]]+Modelling_new[[#This Row],[Target E_Grid YTD
MWh]]</f>
        <v>9340.0000000000091</v>
      </c>
      <c r="BP23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6.0354838709677416</v>
      </c>
      <c r="BQ231" s="4">
        <f>SUMIFS(Modelling[Target POA Daily (KWh/m2)],Modelling[Date],"&lt;="&amp;Modelling[[#This Row],[Date]],Modelling[Month Year],Modelling[[#This Row],[Month Year]])</f>
        <v>187.09999999999991</v>
      </c>
      <c r="BR231" s="4">
        <f>SUMIFS(Modelling[Target POA Daily (KWh/m2)],Modelling[Date],"&lt;="&amp;Modelling[[#This Row],[Date]],Modelling[Finacial Year],Modelling[[#This Row],[Finacial Year]])</f>
        <v>1155.8999999999946</v>
      </c>
      <c r="BS231" s="9">
        <f>BM231/Modelling[[#This Row],[Comisined DC ]]/BP231</f>
        <v>0.71089056136709106</v>
      </c>
      <c r="BT231" s="9">
        <f>BN231/BQ231/Modelling[[#This Row],[Comisined DC ]]</f>
        <v>0.71089056136709117</v>
      </c>
      <c r="BU231" s="9">
        <f>BO231/BR231/Modelling[[#This Row],[Comisined DC ]]</f>
        <v>0.70244401609749674</v>
      </c>
      <c r="BV231" s="9">
        <f>BM231/(24*Modelling[[#This Row],[Comisined DC ]])</f>
        <v>0.17877368821476175</v>
      </c>
      <c r="BW231" s="9">
        <f>BN231/((COUNTIFS(Modelling[Date],"&lt;="&amp;Modelling[[#This Row],[Date]],Modelling[Month Year],Modelling[[#This Row],[Month Year]])*24*Modelling[[#This Row],[MTD DC Capcity]]))</f>
        <v>0.17877368821476164</v>
      </c>
      <c r="BX231" s="28">
        <f>BO231/((COUNTIFS(Modelling[Date],"&lt;="&amp;Modelling[[#This Row],[Date]],Modelling[Finacial Year],Modelling[[#This Row],[Finacial Year]])*24*Modelling[[#This Row],[MTD DC Capcity]]))</f>
        <v>0.15809093423035295</v>
      </c>
      <c r="BY231" s="4">
        <f>Modelling_old[[#This Row],[DC Capcity]]+Modelling_new[[#This Row],[Comisined DC ]]</f>
        <v>11.5031</v>
      </c>
      <c r="BZ231" s="4">
        <v>0</v>
      </c>
      <c r="CA231" s="4">
        <f>AVERAGEIFS(Modelling[[Comisined DC ]],Modelling[Date],"&lt;="&amp;Modelling[[#This Row],[Date]],Modelling[Month Year],Modelling[[#This Row],[Month Year]])</f>
        <v>11.503100000000002</v>
      </c>
      <c r="CB231" s="4">
        <f>AVERAGEIFS(Modelling[[Comisined DC ]],Modelling[Date],"&lt;="&amp;Modelling[[#This Row],[Date]],Modelling[Finacial Year],Modelling[[#This Row],[Finacial Year]])</f>
        <v>11.503099999999948</v>
      </c>
      <c r="CG231">
        <f t="shared" si="70"/>
        <v>31</v>
      </c>
      <c r="CH231">
        <f t="shared" si="87"/>
        <v>214</v>
      </c>
    </row>
    <row r="232" spans="1:86" x14ac:dyDescent="0.35">
      <c r="A232" s="27">
        <v>45231</v>
      </c>
      <c r="B232" s="5">
        <f>MONTH(Modelling_old[[#This Row],[Date]])</f>
        <v>11</v>
      </c>
      <c r="C232" s="25">
        <f t="shared" si="71"/>
        <v>2024</v>
      </c>
      <c r="D232" s="3">
        <f t="shared" si="72"/>
        <v>2023</v>
      </c>
      <c r="E232" s="3" t="s">
        <v>626</v>
      </c>
      <c r="F232" s="5" t="s">
        <v>626</v>
      </c>
      <c r="G232" s="102">
        <v>45231</v>
      </c>
      <c r="H232" s="5">
        <f t="shared" si="73"/>
        <v>30</v>
      </c>
      <c r="I232" s="5">
        <f t="shared" si="74"/>
        <v>11</v>
      </c>
      <c r="J232" s="4">
        <f t="shared" si="75"/>
        <v>50.666666666666664</v>
      </c>
      <c r="K232" s="4">
        <f>SUM($J$232:J232)</f>
        <v>50.666666666666664</v>
      </c>
      <c r="L232" s="4">
        <f>SUM($J$18:J232)</f>
        <v>9390.6666666666752</v>
      </c>
      <c r="M232" s="4">
        <f t="shared" si="76"/>
        <v>6.4133333333333331</v>
      </c>
      <c r="N232" s="4">
        <f>SUM($M$232:M232)</f>
        <v>6.4133333333333331</v>
      </c>
      <c r="O232" s="4">
        <f>SUM($M$18:M232)</f>
        <v>1162.313333333328</v>
      </c>
      <c r="P232" s="9">
        <f t="shared" si="77"/>
        <v>0.68678946546651765</v>
      </c>
      <c r="Q232" s="26">
        <f t="shared" si="88"/>
        <v>0.68678946546651776</v>
      </c>
      <c r="R232" s="26">
        <f t="shared" si="88"/>
        <v>0.70235763848442057</v>
      </c>
      <c r="S232" s="9">
        <f t="shared" si="78"/>
        <v>0.18352540716077503</v>
      </c>
      <c r="T232" s="9">
        <f>K232/((COUNT($K$232:K232))*24*$Q$1)</f>
        <v>0.18352540716077503</v>
      </c>
      <c r="U232" s="28">
        <f>L232/((COUNT($L$18:L232))*24*$Q$1)</f>
        <v>0.15820923410444793</v>
      </c>
      <c r="V232" s="134">
        <v>11.5031</v>
      </c>
      <c r="Y232" s="27">
        <f t="shared" si="85"/>
        <v>45231</v>
      </c>
      <c r="Z232" s="5">
        <f>MONTH(Modelling_new[[#This Row],[Date]])</f>
        <v>11</v>
      </c>
      <c r="AA232" s="25">
        <f>YEAR(Y232)+IF(MONTH(Modelling_new[[#This Row],[Date]])&gt;=4,1,0)</f>
        <v>2024</v>
      </c>
      <c r="AB232" s="3">
        <f t="shared" si="79"/>
        <v>2023</v>
      </c>
      <c r="AC232" s="3" t="s">
        <v>626</v>
      </c>
      <c r="AD232" s="5" t="s">
        <v>626</v>
      </c>
      <c r="AE232" s="102">
        <v>45231</v>
      </c>
      <c r="AF232" s="5">
        <f t="shared" si="80"/>
        <v>30</v>
      </c>
      <c r="AG232" s="5">
        <f t="shared" si="81"/>
        <v>11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BD232" s="27">
        <f t="shared" si="86"/>
        <v>45231</v>
      </c>
      <c r="BE232" s="5">
        <f>MONTH(Modelling[[#This Row],[Date]])</f>
        <v>11</v>
      </c>
      <c r="BF232" s="25">
        <f>YEAR(BD232)+IF(MONTH(Modelling[[#This Row],[Date]])&gt;=4,1,0)</f>
        <v>2024</v>
      </c>
      <c r="BG232" s="3">
        <f t="shared" si="82"/>
        <v>2023</v>
      </c>
      <c r="BH232" s="3" t="s">
        <v>626</v>
      </c>
      <c r="BI232" s="5" t="s">
        <v>626</v>
      </c>
      <c r="BJ232" s="102">
        <v>45231</v>
      </c>
      <c r="BK232" s="5">
        <f t="shared" si="83"/>
        <v>30</v>
      </c>
      <c r="BL232" s="5">
        <f t="shared" si="84"/>
        <v>11</v>
      </c>
      <c r="BM232" s="4">
        <f>Modelling_old[[#This Row],[Target E_Grid daily
MWh]]+Modelling_new[[#This Row],[Target E_Grid daily
MWh]]</f>
        <v>50.666666666666664</v>
      </c>
      <c r="BN232" s="4">
        <f>Modelling_old[[#This Row],[Target E_Grid MTD
MWh]]+Modelling_new[[#This Row],[Target E_Grid MTD
MWh]]</f>
        <v>50.666666666666664</v>
      </c>
      <c r="BO232" s="4">
        <f>Modelling_old[[#This Row],[Target E_Grid YTD
MWh]]+Modelling_new[[#This Row],[Target E_Grid YTD
MWh]]</f>
        <v>9390.6666666666752</v>
      </c>
      <c r="BP23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32" s="4">
        <f>SUMIFS(Modelling[Target POA Daily (KWh/m2)],Modelling[Date],"&lt;="&amp;Modelling[[#This Row],[Date]],Modelling[Month Year],Modelling[[#This Row],[Month Year]])</f>
        <v>6.4133333333333331</v>
      </c>
      <c r="BR232" s="4">
        <f>SUMIFS(Modelling[Target POA Daily (KWh/m2)],Modelling[Date],"&lt;="&amp;Modelling[[#This Row],[Date]],Modelling[Finacial Year],Modelling[[#This Row],[Finacial Year]])</f>
        <v>1162.313333333328</v>
      </c>
      <c r="BS232" s="9">
        <f>BM232/Modelling[[#This Row],[Comisined DC ]]/BP232</f>
        <v>0.68678946546651765</v>
      </c>
      <c r="BT232" s="9">
        <f>BN232/BQ232/Modelling[[#This Row],[Comisined DC ]]</f>
        <v>0.68678946546651776</v>
      </c>
      <c r="BU232" s="9">
        <f>BO232/BR232/Modelling[[#This Row],[Comisined DC ]]</f>
        <v>0.70235763848442057</v>
      </c>
      <c r="BV232" s="9">
        <f>BM232/(24*Modelling[[#This Row],[Comisined DC ]])</f>
        <v>0.18352540716077503</v>
      </c>
      <c r="BW232" s="9">
        <f>BN232/((COUNTIFS(Modelling[Date],"&lt;="&amp;Modelling[[#This Row],[Date]],Modelling[Month Year],Modelling[[#This Row],[Month Year]])*24*Modelling[[#This Row],[MTD DC Capcity]]))</f>
        <v>0.18352540716077503</v>
      </c>
      <c r="BX232" s="28">
        <f>BO232/((COUNTIFS(Modelling[Date],"&lt;="&amp;Modelling[[#This Row],[Date]],Modelling[Finacial Year],Modelling[[#This Row],[Finacial Year]])*24*Modelling[[#This Row],[MTD DC Capcity]]))</f>
        <v>0.15820923410444793</v>
      </c>
      <c r="BY232" s="4">
        <f>Modelling_old[[#This Row],[DC Capcity]]+Modelling_new[[#This Row],[Comisined DC ]]</f>
        <v>11.5031</v>
      </c>
      <c r="BZ232" s="4">
        <v>0</v>
      </c>
      <c r="CA232" s="4">
        <f>AVERAGEIFS(Modelling[[Comisined DC ]],Modelling[Date],"&lt;="&amp;Modelling[[#This Row],[Date]],Modelling[Month Year],Modelling[[#This Row],[Month Year]])</f>
        <v>11.5031</v>
      </c>
      <c r="CB232" s="4">
        <f>AVERAGEIFS(Modelling[[Comisined DC ]],Modelling[Date],"&lt;="&amp;Modelling[[#This Row],[Date]],Modelling[Finacial Year],Modelling[[#This Row],[Finacial Year]])</f>
        <v>11.503099999999948</v>
      </c>
      <c r="CG232">
        <v>1</v>
      </c>
      <c r="CH232">
        <f t="shared" si="87"/>
        <v>215</v>
      </c>
    </row>
    <row r="233" spans="1:86" x14ac:dyDescent="0.35">
      <c r="A233" s="27">
        <v>45232</v>
      </c>
      <c r="B233" s="5">
        <f>MONTH(Modelling_old[[#This Row],[Date]])</f>
        <v>11</v>
      </c>
      <c r="C233" s="25">
        <f t="shared" si="71"/>
        <v>2024</v>
      </c>
      <c r="D233" s="3">
        <f t="shared" si="72"/>
        <v>2023</v>
      </c>
      <c r="E233" s="3" t="s">
        <v>626</v>
      </c>
      <c r="F233" s="5" t="s">
        <v>626</v>
      </c>
      <c r="G233" s="102">
        <v>45231</v>
      </c>
      <c r="H233" s="5">
        <f t="shared" si="73"/>
        <v>30</v>
      </c>
      <c r="I233" s="5">
        <f t="shared" si="74"/>
        <v>11</v>
      </c>
      <c r="J233" s="4">
        <f t="shared" si="75"/>
        <v>50.666666666666664</v>
      </c>
      <c r="K233" s="4">
        <f>SUM($J$232:J233)</f>
        <v>101.33333333333333</v>
      </c>
      <c r="L233" s="4">
        <f>SUM($J$18:J233)</f>
        <v>9441.3333333333412</v>
      </c>
      <c r="M233" s="4">
        <f t="shared" si="76"/>
        <v>6.4133333333333331</v>
      </c>
      <c r="N233" s="4">
        <f>SUM($M$232:M233)</f>
        <v>12.826666666666666</v>
      </c>
      <c r="O233" s="4">
        <f>SUM($M$18:M233)</f>
        <v>1168.7266666666615</v>
      </c>
      <c r="P233" s="9">
        <f t="shared" si="77"/>
        <v>0.68678946546651765</v>
      </c>
      <c r="Q233" s="26">
        <f t="shared" si="88"/>
        <v>0.68678946546651776</v>
      </c>
      <c r="R233" s="26">
        <f t="shared" si="88"/>
        <v>0.70227220885762875</v>
      </c>
      <c r="S233" s="9">
        <f t="shared" si="78"/>
        <v>0.18352540716077503</v>
      </c>
      <c r="T233" s="9">
        <f>K233/((COUNT($K$232:K233))*24*$Q$1)</f>
        <v>0.18352540716077503</v>
      </c>
      <c r="U233" s="28">
        <f>L233/((COUNT($L$18:L233))*24*$Q$1)</f>
        <v>0.15832643860933834</v>
      </c>
      <c r="V233" s="134">
        <v>11.5031</v>
      </c>
      <c r="Y233" s="27">
        <f t="shared" si="85"/>
        <v>45232</v>
      </c>
      <c r="Z233" s="5">
        <f>MONTH(Modelling_new[[#This Row],[Date]])</f>
        <v>11</v>
      </c>
      <c r="AA233" s="25">
        <f>YEAR(Y233)+IF(MONTH(Modelling_new[[#This Row],[Date]])&gt;=4,1,0)</f>
        <v>2024</v>
      </c>
      <c r="AB233" s="3">
        <f t="shared" si="79"/>
        <v>2023</v>
      </c>
      <c r="AC233" s="3" t="s">
        <v>626</v>
      </c>
      <c r="AD233" s="5" t="s">
        <v>626</v>
      </c>
      <c r="AE233" s="102">
        <v>45231</v>
      </c>
      <c r="AF233" s="5">
        <f t="shared" si="80"/>
        <v>30</v>
      </c>
      <c r="AG233" s="5">
        <f t="shared" si="81"/>
        <v>11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BD233" s="27">
        <f t="shared" si="86"/>
        <v>45232</v>
      </c>
      <c r="BE233" s="5">
        <f>MONTH(Modelling[[#This Row],[Date]])</f>
        <v>11</v>
      </c>
      <c r="BF233" s="25">
        <f>YEAR(BD233)+IF(MONTH(Modelling[[#This Row],[Date]])&gt;=4,1,0)</f>
        <v>2024</v>
      </c>
      <c r="BG233" s="3">
        <f t="shared" si="82"/>
        <v>2023</v>
      </c>
      <c r="BH233" s="3" t="s">
        <v>626</v>
      </c>
      <c r="BI233" s="5" t="s">
        <v>626</v>
      </c>
      <c r="BJ233" s="102">
        <v>45231</v>
      </c>
      <c r="BK233" s="5">
        <f t="shared" si="83"/>
        <v>30</v>
      </c>
      <c r="BL233" s="5">
        <f t="shared" si="84"/>
        <v>11</v>
      </c>
      <c r="BM233" s="4">
        <f>Modelling_old[[#This Row],[Target E_Grid daily
MWh]]+Modelling_new[[#This Row],[Target E_Grid daily
MWh]]</f>
        <v>50.666666666666664</v>
      </c>
      <c r="BN233" s="4">
        <f>Modelling_old[[#This Row],[Target E_Grid MTD
MWh]]+Modelling_new[[#This Row],[Target E_Grid MTD
MWh]]</f>
        <v>101.33333333333333</v>
      </c>
      <c r="BO233" s="4">
        <f>Modelling_old[[#This Row],[Target E_Grid YTD
MWh]]+Modelling_new[[#This Row],[Target E_Grid YTD
MWh]]</f>
        <v>9441.3333333333412</v>
      </c>
      <c r="BP23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33" s="4">
        <f>SUMIFS(Modelling[Target POA Daily (KWh/m2)],Modelling[Date],"&lt;="&amp;Modelling[[#This Row],[Date]],Modelling[Month Year],Modelling[[#This Row],[Month Year]])</f>
        <v>12.826666666666666</v>
      </c>
      <c r="BR233" s="4">
        <f>SUMIFS(Modelling[Target POA Daily (KWh/m2)],Modelling[Date],"&lt;="&amp;Modelling[[#This Row],[Date]],Modelling[Finacial Year],Modelling[[#This Row],[Finacial Year]])</f>
        <v>1168.7266666666615</v>
      </c>
      <c r="BS233" s="9">
        <f>BM233/Modelling[[#This Row],[Comisined DC ]]/BP233</f>
        <v>0.68678946546651765</v>
      </c>
      <c r="BT233" s="9">
        <f>BN233/BQ233/Modelling[[#This Row],[Comisined DC ]]</f>
        <v>0.68678946546651776</v>
      </c>
      <c r="BU233" s="9">
        <f>BO233/BR233/Modelling[[#This Row],[Comisined DC ]]</f>
        <v>0.70227220885762875</v>
      </c>
      <c r="BV233" s="9">
        <f>BM233/(24*Modelling[[#This Row],[Comisined DC ]])</f>
        <v>0.18352540716077503</v>
      </c>
      <c r="BW233" s="9">
        <f>BN233/((COUNTIFS(Modelling[Date],"&lt;="&amp;Modelling[[#This Row],[Date]],Modelling[Month Year],Modelling[[#This Row],[Month Year]])*24*Modelling[[#This Row],[MTD DC Capcity]]))</f>
        <v>0.18352540716077503</v>
      </c>
      <c r="BX233" s="28">
        <f>BO233/((COUNTIFS(Modelling[Date],"&lt;="&amp;Modelling[[#This Row],[Date]],Modelling[Finacial Year],Modelling[[#This Row],[Finacial Year]])*24*Modelling[[#This Row],[MTD DC Capcity]]))</f>
        <v>0.15832643860933834</v>
      </c>
      <c r="BY233" s="4">
        <f>Modelling_old[[#This Row],[DC Capcity]]+Modelling_new[[#This Row],[Comisined DC ]]</f>
        <v>11.5031</v>
      </c>
      <c r="BZ233" s="4">
        <v>0</v>
      </c>
      <c r="CA233" s="4">
        <f>AVERAGEIFS(Modelling[[Comisined DC ]],Modelling[Date],"&lt;="&amp;Modelling[[#This Row],[Date]],Modelling[Month Year],Modelling[[#This Row],[Month Year]])</f>
        <v>11.5031</v>
      </c>
      <c r="CB233" s="4">
        <f>AVERAGEIFS(Modelling[[Comisined DC ]],Modelling[Date],"&lt;="&amp;Modelling[[#This Row],[Date]],Modelling[Finacial Year],Modelling[[#This Row],[Finacial Year]])</f>
        <v>11.503099999999948</v>
      </c>
      <c r="CG233">
        <f t="shared" si="70"/>
        <v>2</v>
      </c>
      <c r="CH233">
        <f t="shared" si="87"/>
        <v>216</v>
      </c>
    </row>
    <row r="234" spans="1:86" x14ac:dyDescent="0.35">
      <c r="A234" s="27">
        <v>45233</v>
      </c>
      <c r="B234" s="5">
        <f>MONTH(Modelling_old[[#This Row],[Date]])</f>
        <v>11</v>
      </c>
      <c r="C234" s="25">
        <f t="shared" si="71"/>
        <v>2024</v>
      </c>
      <c r="D234" s="3">
        <f t="shared" si="72"/>
        <v>2023</v>
      </c>
      <c r="E234" s="3" t="s">
        <v>626</v>
      </c>
      <c r="F234" s="5" t="s">
        <v>626</v>
      </c>
      <c r="G234" s="102">
        <v>45231</v>
      </c>
      <c r="H234" s="5">
        <f t="shared" si="73"/>
        <v>30</v>
      </c>
      <c r="I234" s="5">
        <f t="shared" si="74"/>
        <v>11</v>
      </c>
      <c r="J234" s="4">
        <f t="shared" si="75"/>
        <v>50.666666666666664</v>
      </c>
      <c r="K234" s="4">
        <f>SUM($J$232:J234)</f>
        <v>152</v>
      </c>
      <c r="L234" s="4">
        <f>SUM($J$18:J234)</f>
        <v>9492.0000000000073</v>
      </c>
      <c r="M234" s="4">
        <f t="shared" si="76"/>
        <v>6.4133333333333331</v>
      </c>
      <c r="N234" s="4">
        <f>SUM($M$232:M234)</f>
        <v>19.239999999999998</v>
      </c>
      <c r="O234" s="4">
        <f>SUM($M$18:M234)</f>
        <v>1175.1399999999949</v>
      </c>
      <c r="P234" s="9">
        <f t="shared" si="77"/>
        <v>0.68678946546651765</v>
      </c>
      <c r="Q234" s="26">
        <f t="shared" si="88"/>
        <v>0.68678946546651787</v>
      </c>
      <c r="R234" s="26">
        <f t="shared" si="88"/>
        <v>0.70218771169619965</v>
      </c>
      <c r="S234" s="9">
        <f t="shared" si="78"/>
        <v>0.18352540716077503</v>
      </c>
      <c r="T234" s="9">
        <f>K234/((COUNT($K$232:K234))*24*$Q$1)</f>
        <v>0.18352540716077501</v>
      </c>
      <c r="U234" s="28">
        <f>L234/((COUNT($L$18:L234))*24*$Q$1)</f>
        <v>0.15844256288837719</v>
      </c>
      <c r="V234" s="134">
        <v>11.5031</v>
      </c>
      <c r="Y234" s="27">
        <f t="shared" si="85"/>
        <v>45233</v>
      </c>
      <c r="Z234" s="5">
        <f>MONTH(Modelling_new[[#This Row],[Date]])</f>
        <v>11</v>
      </c>
      <c r="AA234" s="25">
        <f>YEAR(Y234)+IF(MONTH(Modelling_new[[#This Row],[Date]])&gt;=4,1,0)</f>
        <v>2024</v>
      </c>
      <c r="AB234" s="3">
        <f t="shared" si="79"/>
        <v>2023</v>
      </c>
      <c r="AC234" s="3" t="s">
        <v>626</v>
      </c>
      <c r="AD234" s="5" t="s">
        <v>626</v>
      </c>
      <c r="AE234" s="102">
        <v>45231</v>
      </c>
      <c r="AF234" s="5">
        <f t="shared" si="80"/>
        <v>30</v>
      </c>
      <c r="AG234" s="5">
        <f t="shared" si="81"/>
        <v>11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BD234" s="27">
        <f t="shared" si="86"/>
        <v>45233</v>
      </c>
      <c r="BE234" s="5">
        <f>MONTH(Modelling[[#This Row],[Date]])</f>
        <v>11</v>
      </c>
      <c r="BF234" s="25">
        <f>YEAR(BD234)+IF(MONTH(Modelling[[#This Row],[Date]])&gt;=4,1,0)</f>
        <v>2024</v>
      </c>
      <c r="BG234" s="3">
        <f t="shared" si="82"/>
        <v>2023</v>
      </c>
      <c r="BH234" s="3" t="s">
        <v>626</v>
      </c>
      <c r="BI234" s="5" t="s">
        <v>626</v>
      </c>
      <c r="BJ234" s="102">
        <v>45231</v>
      </c>
      <c r="BK234" s="5">
        <f t="shared" si="83"/>
        <v>30</v>
      </c>
      <c r="BL234" s="5">
        <f t="shared" si="84"/>
        <v>11</v>
      </c>
      <c r="BM234" s="4">
        <f>Modelling_old[[#This Row],[Target E_Grid daily
MWh]]+Modelling_new[[#This Row],[Target E_Grid daily
MWh]]</f>
        <v>50.666666666666664</v>
      </c>
      <c r="BN234" s="4">
        <f>Modelling_old[[#This Row],[Target E_Grid MTD
MWh]]+Modelling_new[[#This Row],[Target E_Grid MTD
MWh]]</f>
        <v>152</v>
      </c>
      <c r="BO234" s="4">
        <f>Modelling_old[[#This Row],[Target E_Grid YTD
MWh]]+Modelling_new[[#This Row],[Target E_Grid YTD
MWh]]</f>
        <v>9492.0000000000073</v>
      </c>
      <c r="BP23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34" s="4">
        <f>SUMIFS(Modelling[Target POA Daily (KWh/m2)],Modelling[Date],"&lt;="&amp;Modelling[[#This Row],[Date]],Modelling[Month Year],Modelling[[#This Row],[Month Year]])</f>
        <v>19.239999999999998</v>
      </c>
      <c r="BR234" s="4">
        <f>SUMIFS(Modelling[Target POA Daily (KWh/m2)],Modelling[Date],"&lt;="&amp;Modelling[[#This Row],[Date]],Modelling[Finacial Year],Modelling[[#This Row],[Finacial Year]])</f>
        <v>1175.1399999999949</v>
      </c>
      <c r="BS234" s="9">
        <f>BM234/Modelling[[#This Row],[Comisined DC ]]/BP234</f>
        <v>0.68678946546651765</v>
      </c>
      <c r="BT234" s="9">
        <f>BN234/BQ234/Modelling[[#This Row],[Comisined DC ]]</f>
        <v>0.68678946546651787</v>
      </c>
      <c r="BU234" s="9">
        <f>BO234/BR234/Modelling[[#This Row],[Comisined DC ]]</f>
        <v>0.70218771169619965</v>
      </c>
      <c r="BV234" s="9">
        <f>BM234/(24*Modelling[[#This Row],[Comisined DC ]])</f>
        <v>0.18352540716077503</v>
      </c>
      <c r="BW234" s="9">
        <f>BN234/((COUNTIFS(Modelling[Date],"&lt;="&amp;Modelling[[#This Row],[Date]],Modelling[Month Year],Modelling[[#This Row],[Month Year]])*24*Modelling[[#This Row],[MTD DC Capcity]]))</f>
        <v>0.18352540716077503</v>
      </c>
      <c r="BX234" s="28">
        <f>BO234/((COUNTIFS(Modelling[Date],"&lt;="&amp;Modelling[[#This Row],[Date]],Modelling[Finacial Year],Modelling[[#This Row],[Finacial Year]])*24*Modelling[[#This Row],[MTD DC Capcity]]))</f>
        <v>0.15844256288837724</v>
      </c>
      <c r="BY234" s="4">
        <f>Modelling_old[[#This Row],[DC Capcity]]+Modelling_new[[#This Row],[Comisined DC ]]</f>
        <v>11.5031</v>
      </c>
      <c r="BZ234" s="4">
        <v>0</v>
      </c>
      <c r="CA234" s="4">
        <f>AVERAGEIFS(Modelling[[Comisined DC ]],Modelling[Date],"&lt;="&amp;Modelling[[#This Row],[Date]],Modelling[Month Year],Modelling[[#This Row],[Month Year]])</f>
        <v>11.503099999999998</v>
      </c>
      <c r="CB234" s="4">
        <f>AVERAGEIFS(Modelling[[Comisined DC ]],Modelling[Date],"&lt;="&amp;Modelling[[#This Row],[Date]],Modelling[Finacial Year],Modelling[[#This Row],[Finacial Year]])</f>
        <v>11.503099999999948</v>
      </c>
      <c r="CG234">
        <f t="shared" si="70"/>
        <v>3</v>
      </c>
      <c r="CH234">
        <f t="shared" si="87"/>
        <v>217</v>
      </c>
    </row>
    <row r="235" spans="1:86" x14ac:dyDescent="0.35">
      <c r="A235" s="27">
        <v>45234</v>
      </c>
      <c r="B235" s="5">
        <f>MONTH(Modelling_old[[#This Row],[Date]])</f>
        <v>11</v>
      </c>
      <c r="C235" s="25">
        <f t="shared" si="71"/>
        <v>2024</v>
      </c>
      <c r="D235" s="3">
        <f t="shared" si="72"/>
        <v>2023</v>
      </c>
      <c r="E235" s="3" t="s">
        <v>626</v>
      </c>
      <c r="F235" s="5" t="s">
        <v>626</v>
      </c>
      <c r="G235" s="102">
        <v>45231</v>
      </c>
      <c r="H235" s="5">
        <f t="shared" si="73"/>
        <v>30</v>
      </c>
      <c r="I235" s="5">
        <f t="shared" si="74"/>
        <v>11</v>
      </c>
      <c r="J235" s="4">
        <f t="shared" si="75"/>
        <v>50.666666666666664</v>
      </c>
      <c r="K235" s="4">
        <f>SUM($J$232:J235)</f>
        <v>202.66666666666666</v>
      </c>
      <c r="L235" s="4">
        <f>SUM($J$18:J235)</f>
        <v>9542.6666666666733</v>
      </c>
      <c r="M235" s="4">
        <f t="shared" si="76"/>
        <v>6.4133333333333331</v>
      </c>
      <c r="N235" s="4">
        <f>SUM($M$232:M235)</f>
        <v>25.653333333333332</v>
      </c>
      <c r="O235" s="4">
        <f>SUM($M$18:M235)</f>
        <v>1181.5533333333283</v>
      </c>
      <c r="P235" s="9">
        <f t="shared" si="77"/>
        <v>0.68678946546651765</v>
      </c>
      <c r="Q235" s="26">
        <f t="shared" si="88"/>
        <v>0.68678946546651776</v>
      </c>
      <c r="R235" s="26">
        <f t="shared" si="88"/>
        <v>0.70210413181619435</v>
      </c>
      <c r="S235" s="9">
        <f t="shared" si="78"/>
        <v>0.18352540716077503</v>
      </c>
      <c r="T235" s="9">
        <f>K235/((COUNT($K$232:K235))*24*$Q$1)</f>
        <v>0.18352540716077503</v>
      </c>
      <c r="U235" s="28">
        <f>L235/((COUNT($L$18:L235))*24*$Q$1)</f>
        <v>0.1585576218070579</v>
      </c>
      <c r="V235" s="134">
        <v>11.5031</v>
      </c>
      <c r="Y235" s="27">
        <f t="shared" si="85"/>
        <v>45234</v>
      </c>
      <c r="Z235" s="5">
        <f>MONTH(Modelling_new[[#This Row],[Date]])</f>
        <v>11</v>
      </c>
      <c r="AA235" s="25">
        <f>YEAR(Y235)+IF(MONTH(Modelling_new[[#This Row],[Date]])&gt;=4,1,0)</f>
        <v>2024</v>
      </c>
      <c r="AB235" s="3">
        <f t="shared" si="79"/>
        <v>2023</v>
      </c>
      <c r="AC235" s="3" t="s">
        <v>626</v>
      </c>
      <c r="AD235" s="5" t="s">
        <v>626</v>
      </c>
      <c r="AE235" s="102">
        <v>45231</v>
      </c>
      <c r="AF235" s="5">
        <f t="shared" si="80"/>
        <v>30</v>
      </c>
      <c r="AG235" s="5">
        <f t="shared" si="81"/>
        <v>11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BD235" s="27">
        <f t="shared" si="86"/>
        <v>45234</v>
      </c>
      <c r="BE235" s="5">
        <f>MONTH(Modelling[[#This Row],[Date]])</f>
        <v>11</v>
      </c>
      <c r="BF235" s="25">
        <f>YEAR(BD235)+IF(MONTH(Modelling[[#This Row],[Date]])&gt;=4,1,0)</f>
        <v>2024</v>
      </c>
      <c r="BG235" s="3">
        <f t="shared" si="82"/>
        <v>2023</v>
      </c>
      <c r="BH235" s="3" t="s">
        <v>626</v>
      </c>
      <c r="BI235" s="5" t="s">
        <v>626</v>
      </c>
      <c r="BJ235" s="102">
        <v>45231</v>
      </c>
      <c r="BK235" s="5">
        <f t="shared" si="83"/>
        <v>30</v>
      </c>
      <c r="BL235" s="5">
        <f t="shared" si="84"/>
        <v>11</v>
      </c>
      <c r="BM235" s="4">
        <f>Modelling_old[[#This Row],[Target E_Grid daily
MWh]]+Modelling_new[[#This Row],[Target E_Grid daily
MWh]]</f>
        <v>50.666666666666664</v>
      </c>
      <c r="BN235" s="4">
        <f>Modelling_old[[#This Row],[Target E_Grid MTD
MWh]]+Modelling_new[[#This Row],[Target E_Grid MTD
MWh]]</f>
        <v>202.66666666666666</v>
      </c>
      <c r="BO235" s="4">
        <f>Modelling_old[[#This Row],[Target E_Grid YTD
MWh]]+Modelling_new[[#This Row],[Target E_Grid YTD
MWh]]</f>
        <v>9542.6666666666733</v>
      </c>
      <c r="BP23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35" s="4">
        <f>SUMIFS(Modelling[Target POA Daily (KWh/m2)],Modelling[Date],"&lt;="&amp;Modelling[[#This Row],[Date]],Modelling[Month Year],Modelling[[#This Row],[Month Year]])</f>
        <v>25.653333333333332</v>
      </c>
      <c r="BR235" s="4">
        <f>SUMIFS(Modelling[Target POA Daily (KWh/m2)],Modelling[Date],"&lt;="&amp;Modelling[[#This Row],[Date]],Modelling[Finacial Year],Modelling[[#This Row],[Finacial Year]])</f>
        <v>1181.5533333333283</v>
      </c>
      <c r="BS235" s="9">
        <f>BM235/Modelling[[#This Row],[Comisined DC ]]/BP235</f>
        <v>0.68678946546651765</v>
      </c>
      <c r="BT235" s="9">
        <f>BN235/BQ235/Modelling[[#This Row],[Comisined DC ]]</f>
        <v>0.68678946546651776</v>
      </c>
      <c r="BU235" s="9">
        <f>BO235/BR235/Modelling[[#This Row],[Comisined DC ]]</f>
        <v>0.70210413181619435</v>
      </c>
      <c r="BV235" s="9">
        <f>BM235/(24*Modelling[[#This Row],[Comisined DC ]])</f>
        <v>0.18352540716077503</v>
      </c>
      <c r="BW235" s="9">
        <f>BN235/((COUNTIFS(Modelling[Date],"&lt;="&amp;Modelling[[#This Row],[Date]],Modelling[Month Year],Modelling[[#This Row],[Month Year]])*24*Modelling[[#This Row],[MTD DC Capcity]]))</f>
        <v>0.18352540716077503</v>
      </c>
      <c r="BX235" s="28">
        <f>BO235/((COUNTIFS(Modelling[Date],"&lt;="&amp;Modelling[[#This Row],[Date]],Modelling[Finacial Year],Modelling[[#This Row],[Finacial Year]])*24*Modelling[[#This Row],[MTD DC Capcity]]))</f>
        <v>0.1585576218070579</v>
      </c>
      <c r="BY235" s="4">
        <f>Modelling_old[[#This Row],[DC Capcity]]+Modelling_new[[#This Row],[Comisined DC ]]</f>
        <v>11.5031</v>
      </c>
      <c r="BZ235" s="4">
        <v>0</v>
      </c>
      <c r="CA235" s="4">
        <f>AVERAGEIFS(Modelling[[Comisined DC ]],Modelling[Date],"&lt;="&amp;Modelling[[#This Row],[Date]],Modelling[Month Year],Modelling[[#This Row],[Month Year]])</f>
        <v>11.5031</v>
      </c>
      <c r="CB235" s="4">
        <f>AVERAGEIFS(Modelling[[Comisined DC ]],Modelling[Date],"&lt;="&amp;Modelling[[#This Row],[Date]],Modelling[Finacial Year],Modelling[[#This Row],[Finacial Year]])</f>
        <v>11.503099999999948</v>
      </c>
      <c r="CG235">
        <f t="shared" si="70"/>
        <v>4</v>
      </c>
      <c r="CH235">
        <f t="shared" si="87"/>
        <v>218</v>
      </c>
    </row>
    <row r="236" spans="1:86" x14ac:dyDescent="0.35">
      <c r="A236" s="27">
        <v>45235</v>
      </c>
      <c r="B236" s="5">
        <f>MONTH(Modelling_old[[#This Row],[Date]])</f>
        <v>11</v>
      </c>
      <c r="C236" s="25">
        <f t="shared" si="71"/>
        <v>2024</v>
      </c>
      <c r="D236" s="3">
        <f t="shared" si="72"/>
        <v>2023</v>
      </c>
      <c r="E236" s="3" t="s">
        <v>626</v>
      </c>
      <c r="F236" s="5" t="s">
        <v>626</v>
      </c>
      <c r="G236" s="102">
        <v>45231</v>
      </c>
      <c r="H236" s="5">
        <f t="shared" si="73"/>
        <v>30</v>
      </c>
      <c r="I236" s="5">
        <f t="shared" si="74"/>
        <v>11</v>
      </c>
      <c r="J236" s="4">
        <f t="shared" si="75"/>
        <v>50.666666666666664</v>
      </c>
      <c r="K236" s="4">
        <f>SUM($J$232:J236)</f>
        <v>253.33333333333331</v>
      </c>
      <c r="L236" s="4">
        <f>SUM($J$18:J236)</f>
        <v>9593.3333333333394</v>
      </c>
      <c r="M236" s="4">
        <f t="shared" si="76"/>
        <v>6.4133333333333331</v>
      </c>
      <c r="N236" s="4">
        <f>SUM($M$232:M236)</f>
        <v>32.066666666666663</v>
      </c>
      <c r="O236" s="4">
        <f>SUM($M$18:M236)</f>
        <v>1187.9666666666617</v>
      </c>
      <c r="P236" s="9">
        <f t="shared" si="77"/>
        <v>0.68678946546651765</v>
      </c>
      <c r="Q236" s="26">
        <f t="shared" si="88"/>
        <v>0.68678946546651776</v>
      </c>
      <c r="R236" s="26">
        <f t="shared" si="88"/>
        <v>0.70202145436156094</v>
      </c>
      <c r="S236" s="9">
        <f t="shared" si="78"/>
        <v>0.18352540716077503</v>
      </c>
      <c r="T236" s="9">
        <f>K236/((COUNT($K$232:K236))*24*$Q$1)</f>
        <v>0.18352540716077501</v>
      </c>
      <c r="U236" s="28">
        <f>L236/((COUNT($L$18:L236))*24*$Q$1)</f>
        <v>0.15867162995935799</v>
      </c>
      <c r="V236" s="134">
        <v>11.5031</v>
      </c>
      <c r="Y236" s="27">
        <f t="shared" si="85"/>
        <v>45235</v>
      </c>
      <c r="Z236" s="5">
        <f>MONTH(Modelling_new[[#This Row],[Date]])</f>
        <v>11</v>
      </c>
      <c r="AA236" s="25">
        <f>YEAR(Y236)+IF(MONTH(Modelling_new[[#This Row],[Date]])&gt;=4,1,0)</f>
        <v>2024</v>
      </c>
      <c r="AB236" s="3">
        <f t="shared" si="79"/>
        <v>2023</v>
      </c>
      <c r="AC236" s="3" t="s">
        <v>626</v>
      </c>
      <c r="AD236" s="5" t="s">
        <v>626</v>
      </c>
      <c r="AE236" s="102">
        <v>45231</v>
      </c>
      <c r="AF236" s="5">
        <f t="shared" si="80"/>
        <v>30</v>
      </c>
      <c r="AG236" s="5">
        <f t="shared" si="81"/>
        <v>11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BD236" s="27">
        <f t="shared" si="86"/>
        <v>45235</v>
      </c>
      <c r="BE236" s="5">
        <f>MONTH(Modelling[[#This Row],[Date]])</f>
        <v>11</v>
      </c>
      <c r="BF236" s="25">
        <f>YEAR(BD236)+IF(MONTH(Modelling[[#This Row],[Date]])&gt;=4,1,0)</f>
        <v>2024</v>
      </c>
      <c r="BG236" s="3">
        <f t="shared" si="82"/>
        <v>2023</v>
      </c>
      <c r="BH236" s="3" t="s">
        <v>626</v>
      </c>
      <c r="BI236" s="5" t="s">
        <v>626</v>
      </c>
      <c r="BJ236" s="102">
        <v>45231</v>
      </c>
      <c r="BK236" s="5">
        <f t="shared" si="83"/>
        <v>30</v>
      </c>
      <c r="BL236" s="5">
        <f t="shared" si="84"/>
        <v>11</v>
      </c>
      <c r="BM236" s="4">
        <f>Modelling_old[[#This Row],[Target E_Grid daily
MWh]]+Modelling_new[[#This Row],[Target E_Grid daily
MWh]]</f>
        <v>50.666666666666664</v>
      </c>
      <c r="BN236" s="4">
        <f>Modelling_old[[#This Row],[Target E_Grid MTD
MWh]]+Modelling_new[[#This Row],[Target E_Grid MTD
MWh]]</f>
        <v>253.33333333333331</v>
      </c>
      <c r="BO236" s="4">
        <f>Modelling_old[[#This Row],[Target E_Grid YTD
MWh]]+Modelling_new[[#This Row],[Target E_Grid YTD
MWh]]</f>
        <v>9593.3333333333394</v>
      </c>
      <c r="BP23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36" s="4">
        <f>SUMIFS(Modelling[Target POA Daily (KWh/m2)],Modelling[Date],"&lt;="&amp;Modelling[[#This Row],[Date]],Modelling[Month Year],Modelling[[#This Row],[Month Year]])</f>
        <v>32.066666666666663</v>
      </c>
      <c r="BR236" s="4">
        <f>SUMIFS(Modelling[Target POA Daily (KWh/m2)],Modelling[Date],"&lt;="&amp;Modelling[[#This Row],[Date]],Modelling[Finacial Year],Modelling[[#This Row],[Finacial Year]])</f>
        <v>1187.9666666666617</v>
      </c>
      <c r="BS236" s="9">
        <f>BM236/Modelling[[#This Row],[Comisined DC ]]/BP236</f>
        <v>0.68678946546651765</v>
      </c>
      <c r="BT236" s="9">
        <f>BN236/BQ236/Modelling[[#This Row],[Comisined DC ]]</f>
        <v>0.68678946546651776</v>
      </c>
      <c r="BU236" s="9">
        <f>BO236/BR236/Modelling[[#This Row],[Comisined DC ]]</f>
        <v>0.70202145436156094</v>
      </c>
      <c r="BV236" s="9">
        <f>BM236/(24*Modelling[[#This Row],[Comisined DC ]])</f>
        <v>0.18352540716077503</v>
      </c>
      <c r="BW236" s="9">
        <f>BN236/((COUNTIFS(Modelling[Date],"&lt;="&amp;Modelling[[#This Row],[Date]],Modelling[Month Year],Modelling[[#This Row],[Month Year]])*24*Modelling[[#This Row],[MTD DC Capcity]]))</f>
        <v>0.18352540716077501</v>
      </c>
      <c r="BX236" s="28">
        <f>BO236/((COUNTIFS(Modelling[Date],"&lt;="&amp;Modelling[[#This Row],[Date]],Modelling[Finacial Year],Modelling[[#This Row],[Finacial Year]])*24*Modelling[[#This Row],[MTD DC Capcity]]))</f>
        <v>0.15867162995935799</v>
      </c>
      <c r="BY236" s="4">
        <f>Modelling_old[[#This Row],[DC Capcity]]+Modelling_new[[#This Row],[Comisined DC ]]</f>
        <v>11.5031</v>
      </c>
      <c r="BZ236" s="4">
        <v>0</v>
      </c>
      <c r="CA236" s="4">
        <f>AVERAGEIFS(Modelling[[Comisined DC ]],Modelling[Date],"&lt;="&amp;Modelling[[#This Row],[Date]],Modelling[Month Year],Modelling[[#This Row],[Month Year]])</f>
        <v>11.5031</v>
      </c>
      <c r="CB236" s="4">
        <f>AVERAGEIFS(Modelling[[Comisined DC ]],Modelling[Date],"&lt;="&amp;Modelling[[#This Row],[Date]],Modelling[Finacial Year],Modelling[[#This Row],[Finacial Year]])</f>
        <v>11.503099999999948</v>
      </c>
      <c r="CG236">
        <f t="shared" si="70"/>
        <v>5</v>
      </c>
      <c r="CH236">
        <f t="shared" si="87"/>
        <v>219</v>
      </c>
    </row>
    <row r="237" spans="1:86" x14ac:dyDescent="0.35">
      <c r="A237" s="27">
        <v>45236</v>
      </c>
      <c r="B237" s="5">
        <f>MONTH(Modelling_old[[#This Row],[Date]])</f>
        <v>11</v>
      </c>
      <c r="C237" s="25">
        <f t="shared" si="71"/>
        <v>2024</v>
      </c>
      <c r="D237" s="3">
        <f t="shared" si="72"/>
        <v>2023</v>
      </c>
      <c r="E237" s="3" t="s">
        <v>626</v>
      </c>
      <c r="F237" s="5" t="s">
        <v>626</v>
      </c>
      <c r="G237" s="102">
        <v>45231</v>
      </c>
      <c r="H237" s="5">
        <f t="shared" si="73"/>
        <v>30</v>
      </c>
      <c r="I237" s="5">
        <f t="shared" si="74"/>
        <v>11</v>
      </c>
      <c r="J237" s="4">
        <f t="shared" si="75"/>
        <v>50.666666666666664</v>
      </c>
      <c r="K237" s="4">
        <f>SUM($J$232:J237)</f>
        <v>304</v>
      </c>
      <c r="L237" s="4">
        <f>SUM($J$18:J237)</f>
        <v>9644.0000000000055</v>
      </c>
      <c r="M237" s="4">
        <f t="shared" si="76"/>
        <v>6.4133333333333331</v>
      </c>
      <c r="N237" s="4">
        <f>SUM($M$232:M237)</f>
        <v>38.479999999999997</v>
      </c>
      <c r="O237" s="4">
        <f>SUM($M$18:M237)</f>
        <v>1194.3799999999951</v>
      </c>
      <c r="P237" s="9">
        <f t="shared" si="77"/>
        <v>0.68678946546651765</v>
      </c>
      <c r="Q237" s="26">
        <f t="shared" si="88"/>
        <v>0.68678946546651787</v>
      </c>
      <c r="R237" s="26">
        <f t="shared" si="88"/>
        <v>0.7019396647953311</v>
      </c>
      <c r="S237" s="9">
        <f t="shared" si="78"/>
        <v>0.18352540716077503</v>
      </c>
      <c r="T237" s="9">
        <f>K237/((COUNT($K$232:K237))*24*$Q$1)</f>
        <v>0.18352540716077501</v>
      </c>
      <c r="U237" s="28">
        <f>L237/((COUNT($L$18:L237))*24*$Q$1)</f>
        <v>0.15878460167390987</v>
      </c>
      <c r="V237" s="134">
        <v>11.5031</v>
      </c>
      <c r="Y237" s="27">
        <f t="shared" si="85"/>
        <v>45236</v>
      </c>
      <c r="Z237" s="5">
        <f>MONTH(Modelling_new[[#This Row],[Date]])</f>
        <v>11</v>
      </c>
      <c r="AA237" s="25">
        <f>YEAR(Y237)+IF(MONTH(Modelling_new[[#This Row],[Date]])&gt;=4,1,0)</f>
        <v>2024</v>
      </c>
      <c r="AB237" s="3">
        <f t="shared" si="79"/>
        <v>2023</v>
      </c>
      <c r="AC237" s="3" t="s">
        <v>626</v>
      </c>
      <c r="AD237" s="5" t="s">
        <v>626</v>
      </c>
      <c r="AE237" s="102">
        <v>45231</v>
      </c>
      <c r="AF237" s="5">
        <f t="shared" si="80"/>
        <v>30</v>
      </c>
      <c r="AG237" s="5">
        <f t="shared" si="81"/>
        <v>11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BD237" s="27">
        <f t="shared" si="86"/>
        <v>45236</v>
      </c>
      <c r="BE237" s="5">
        <f>MONTH(Modelling[[#This Row],[Date]])</f>
        <v>11</v>
      </c>
      <c r="BF237" s="25">
        <f>YEAR(BD237)+IF(MONTH(Modelling[[#This Row],[Date]])&gt;=4,1,0)</f>
        <v>2024</v>
      </c>
      <c r="BG237" s="3">
        <f t="shared" si="82"/>
        <v>2023</v>
      </c>
      <c r="BH237" s="3" t="s">
        <v>626</v>
      </c>
      <c r="BI237" s="5" t="s">
        <v>626</v>
      </c>
      <c r="BJ237" s="102">
        <v>45231</v>
      </c>
      <c r="BK237" s="5">
        <f t="shared" si="83"/>
        <v>30</v>
      </c>
      <c r="BL237" s="5">
        <f t="shared" si="84"/>
        <v>11</v>
      </c>
      <c r="BM237" s="4">
        <f>Modelling_old[[#This Row],[Target E_Grid daily
MWh]]+Modelling_new[[#This Row],[Target E_Grid daily
MWh]]</f>
        <v>50.666666666666664</v>
      </c>
      <c r="BN237" s="4">
        <f>Modelling_old[[#This Row],[Target E_Grid MTD
MWh]]+Modelling_new[[#This Row],[Target E_Grid MTD
MWh]]</f>
        <v>304</v>
      </c>
      <c r="BO237" s="4">
        <f>Modelling_old[[#This Row],[Target E_Grid YTD
MWh]]+Modelling_new[[#This Row],[Target E_Grid YTD
MWh]]</f>
        <v>9644.0000000000055</v>
      </c>
      <c r="BP23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37" s="4">
        <f>SUMIFS(Modelling[Target POA Daily (KWh/m2)],Modelling[Date],"&lt;="&amp;Modelling[[#This Row],[Date]],Modelling[Month Year],Modelling[[#This Row],[Month Year]])</f>
        <v>38.479999999999997</v>
      </c>
      <c r="BR237" s="4">
        <f>SUMIFS(Modelling[Target POA Daily (KWh/m2)],Modelling[Date],"&lt;="&amp;Modelling[[#This Row],[Date]],Modelling[Finacial Year],Modelling[[#This Row],[Finacial Year]])</f>
        <v>1194.3799999999951</v>
      </c>
      <c r="BS237" s="9">
        <f>BM237/Modelling[[#This Row],[Comisined DC ]]/BP237</f>
        <v>0.68678946546651765</v>
      </c>
      <c r="BT237" s="9">
        <f>BN237/BQ237/Modelling[[#This Row],[Comisined DC ]]</f>
        <v>0.68678946546651787</v>
      </c>
      <c r="BU237" s="9">
        <f>BO237/BR237/Modelling[[#This Row],[Comisined DC ]]</f>
        <v>0.7019396647953311</v>
      </c>
      <c r="BV237" s="9">
        <f>BM237/(24*Modelling[[#This Row],[Comisined DC ]])</f>
        <v>0.18352540716077503</v>
      </c>
      <c r="BW237" s="9">
        <f>BN237/((COUNTIFS(Modelling[Date],"&lt;="&amp;Modelling[[#This Row],[Date]],Modelling[Month Year],Modelling[[#This Row],[Month Year]])*24*Modelling[[#This Row],[MTD DC Capcity]]))</f>
        <v>0.18352540716077498</v>
      </c>
      <c r="BX237" s="28">
        <f>BO237/((COUNTIFS(Modelling[Date],"&lt;="&amp;Modelling[[#This Row],[Date]],Modelling[Finacial Year],Modelling[[#This Row],[Finacial Year]])*24*Modelling[[#This Row],[MTD DC Capcity]]))</f>
        <v>0.15878460167390984</v>
      </c>
      <c r="BY237" s="4">
        <f>Modelling_old[[#This Row],[DC Capcity]]+Modelling_new[[#This Row],[Comisined DC ]]</f>
        <v>11.5031</v>
      </c>
      <c r="BZ237" s="4">
        <v>0</v>
      </c>
      <c r="CA237" s="4">
        <f>AVERAGEIFS(Modelling[[Comisined DC ]],Modelling[Date],"&lt;="&amp;Modelling[[#This Row],[Date]],Modelling[Month Year],Modelling[[#This Row],[Month Year]])</f>
        <v>11.503100000000002</v>
      </c>
      <c r="CB237" s="4">
        <f>AVERAGEIFS(Modelling[[Comisined DC ]],Modelling[Date],"&lt;="&amp;Modelling[[#This Row],[Date]],Modelling[Finacial Year],Modelling[[#This Row],[Finacial Year]])</f>
        <v>11.503099999999947</v>
      </c>
      <c r="CG237">
        <f t="shared" si="70"/>
        <v>6</v>
      </c>
      <c r="CH237">
        <f t="shared" si="87"/>
        <v>220</v>
      </c>
    </row>
    <row r="238" spans="1:86" x14ac:dyDescent="0.35">
      <c r="A238" s="27">
        <v>45237</v>
      </c>
      <c r="B238" s="5">
        <f>MONTH(Modelling_old[[#This Row],[Date]])</f>
        <v>11</v>
      </c>
      <c r="C238" s="25">
        <f t="shared" si="71"/>
        <v>2024</v>
      </c>
      <c r="D238" s="3">
        <f t="shared" si="72"/>
        <v>2023</v>
      </c>
      <c r="E238" s="3" t="s">
        <v>626</v>
      </c>
      <c r="F238" s="5" t="s">
        <v>626</v>
      </c>
      <c r="G238" s="102">
        <v>45231</v>
      </c>
      <c r="H238" s="5">
        <f t="shared" si="73"/>
        <v>30</v>
      </c>
      <c r="I238" s="5">
        <f t="shared" si="74"/>
        <v>11</v>
      </c>
      <c r="J238" s="4">
        <f t="shared" si="75"/>
        <v>50.666666666666664</v>
      </c>
      <c r="K238" s="4">
        <f>SUM($J$232:J238)</f>
        <v>354.66666666666669</v>
      </c>
      <c r="L238" s="4">
        <f>SUM($J$18:J238)</f>
        <v>9694.6666666666715</v>
      </c>
      <c r="M238" s="4">
        <f t="shared" si="76"/>
        <v>6.4133333333333331</v>
      </c>
      <c r="N238" s="4">
        <f>SUM($M$232:M238)</f>
        <v>44.893333333333331</v>
      </c>
      <c r="O238" s="4">
        <f>SUM($M$18:M238)</f>
        <v>1200.7933333333285</v>
      </c>
      <c r="P238" s="9">
        <f t="shared" si="77"/>
        <v>0.68678946546651765</v>
      </c>
      <c r="Q238" s="26">
        <f t="shared" si="88"/>
        <v>0.68678946546651787</v>
      </c>
      <c r="R238" s="26">
        <f t="shared" si="88"/>
        <v>0.70185874889109934</v>
      </c>
      <c r="S238" s="9">
        <f t="shared" si="78"/>
        <v>0.18352540716077503</v>
      </c>
      <c r="T238" s="9">
        <f>K238/((COUNT($K$232:K238))*24*$Q$1)</f>
        <v>0.18352540716077503</v>
      </c>
      <c r="U238" s="28">
        <f>L238/((COUNT($L$18:L238))*24*$Q$1)</f>
        <v>0.15889655102000427</v>
      </c>
      <c r="V238" s="134">
        <v>11.5031</v>
      </c>
      <c r="Y238" s="27">
        <f t="shared" si="85"/>
        <v>45237</v>
      </c>
      <c r="Z238" s="5">
        <f>MONTH(Modelling_new[[#This Row],[Date]])</f>
        <v>11</v>
      </c>
      <c r="AA238" s="25">
        <f>YEAR(Y238)+IF(MONTH(Modelling_new[[#This Row],[Date]])&gt;=4,1,0)</f>
        <v>2024</v>
      </c>
      <c r="AB238" s="3">
        <f t="shared" si="79"/>
        <v>2023</v>
      </c>
      <c r="AC238" s="3" t="s">
        <v>626</v>
      </c>
      <c r="AD238" s="5" t="s">
        <v>626</v>
      </c>
      <c r="AE238" s="102">
        <v>45231</v>
      </c>
      <c r="AF238" s="5">
        <f t="shared" si="80"/>
        <v>30</v>
      </c>
      <c r="AG238" s="5">
        <f t="shared" si="81"/>
        <v>11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BD238" s="27">
        <f t="shared" si="86"/>
        <v>45237</v>
      </c>
      <c r="BE238" s="5">
        <f>MONTH(Modelling[[#This Row],[Date]])</f>
        <v>11</v>
      </c>
      <c r="BF238" s="25">
        <f>YEAR(BD238)+IF(MONTH(Modelling[[#This Row],[Date]])&gt;=4,1,0)</f>
        <v>2024</v>
      </c>
      <c r="BG238" s="3">
        <f t="shared" si="82"/>
        <v>2023</v>
      </c>
      <c r="BH238" s="3" t="s">
        <v>626</v>
      </c>
      <c r="BI238" s="5" t="s">
        <v>626</v>
      </c>
      <c r="BJ238" s="102">
        <v>45231</v>
      </c>
      <c r="BK238" s="5">
        <f t="shared" si="83"/>
        <v>30</v>
      </c>
      <c r="BL238" s="5">
        <f t="shared" si="84"/>
        <v>11</v>
      </c>
      <c r="BM238" s="4">
        <f>Modelling_old[[#This Row],[Target E_Grid daily
MWh]]+Modelling_new[[#This Row],[Target E_Grid daily
MWh]]</f>
        <v>50.666666666666664</v>
      </c>
      <c r="BN238" s="4">
        <f>Modelling_old[[#This Row],[Target E_Grid MTD
MWh]]+Modelling_new[[#This Row],[Target E_Grid MTD
MWh]]</f>
        <v>354.66666666666669</v>
      </c>
      <c r="BO238" s="4">
        <f>Modelling_old[[#This Row],[Target E_Grid YTD
MWh]]+Modelling_new[[#This Row],[Target E_Grid YTD
MWh]]</f>
        <v>9694.6666666666715</v>
      </c>
      <c r="BP23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38" s="4">
        <f>SUMIFS(Modelling[Target POA Daily (KWh/m2)],Modelling[Date],"&lt;="&amp;Modelling[[#This Row],[Date]],Modelling[Month Year],Modelling[[#This Row],[Month Year]])</f>
        <v>44.893333333333331</v>
      </c>
      <c r="BR238" s="4">
        <f>SUMIFS(Modelling[Target POA Daily (KWh/m2)],Modelling[Date],"&lt;="&amp;Modelling[[#This Row],[Date]],Modelling[Finacial Year],Modelling[[#This Row],[Finacial Year]])</f>
        <v>1200.7933333333285</v>
      </c>
      <c r="BS238" s="9">
        <f>BM238/Modelling[[#This Row],[Comisined DC ]]/BP238</f>
        <v>0.68678946546651765</v>
      </c>
      <c r="BT238" s="9">
        <f>BN238/BQ238/Modelling[[#This Row],[Comisined DC ]]</f>
        <v>0.68678946546651787</v>
      </c>
      <c r="BU238" s="9">
        <f>BO238/BR238/Modelling[[#This Row],[Comisined DC ]]</f>
        <v>0.70185874889109934</v>
      </c>
      <c r="BV238" s="9">
        <f>BM238/(24*Modelling[[#This Row],[Comisined DC ]])</f>
        <v>0.18352540716077503</v>
      </c>
      <c r="BW238" s="9">
        <f>BN238/((COUNTIFS(Modelling[Date],"&lt;="&amp;Modelling[[#This Row],[Date]],Modelling[Month Year],Modelling[[#This Row],[Month Year]])*24*Modelling[[#This Row],[MTD DC Capcity]]))</f>
        <v>0.18352540716077501</v>
      </c>
      <c r="BX238" s="28">
        <f>BO238/((COUNTIFS(Modelling[Date],"&lt;="&amp;Modelling[[#This Row],[Date]],Modelling[Finacial Year],Modelling[[#This Row],[Finacial Year]])*24*Modelling[[#This Row],[MTD DC Capcity]]))</f>
        <v>0.15889655102000425</v>
      </c>
      <c r="BY238" s="4">
        <f>Modelling_old[[#This Row],[DC Capcity]]+Modelling_new[[#This Row],[Comisined DC ]]</f>
        <v>11.5031</v>
      </c>
      <c r="BZ238" s="4">
        <v>0</v>
      </c>
      <c r="CA238" s="4">
        <f>AVERAGEIFS(Modelling[[Comisined DC ]],Modelling[Date],"&lt;="&amp;Modelling[[#This Row],[Date]],Modelling[Month Year],Modelling[[#This Row],[Month Year]])</f>
        <v>11.503100000000002</v>
      </c>
      <c r="CB238" s="4">
        <f>AVERAGEIFS(Modelling[[Comisined DC ]],Modelling[Date],"&lt;="&amp;Modelling[[#This Row],[Date]],Modelling[Finacial Year],Modelling[[#This Row],[Finacial Year]])</f>
        <v>11.503099999999947</v>
      </c>
      <c r="CG238">
        <f t="shared" si="70"/>
        <v>7</v>
      </c>
      <c r="CH238">
        <f t="shared" si="87"/>
        <v>221</v>
      </c>
    </row>
    <row r="239" spans="1:86" x14ac:dyDescent="0.35">
      <c r="A239" s="27">
        <v>45238</v>
      </c>
      <c r="B239" s="5">
        <f>MONTH(Modelling_old[[#This Row],[Date]])</f>
        <v>11</v>
      </c>
      <c r="C239" s="25">
        <f t="shared" si="71"/>
        <v>2024</v>
      </c>
      <c r="D239" s="3">
        <f t="shared" si="72"/>
        <v>2023</v>
      </c>
      <c r="E239" s="3" t="s">
        <v>626</v>
      </c>
      <c r="F239" s="5" t="s">
        <v>626</v>
      </c>
      <c r="G239" s="102">
        <v>45231</v>
      </c>
      <c r="H239" s="5">
        <f t="shared" si="73"/>
        <v>30</v>
      </c>
      <c r="I239" s="5">
        <f t="shared" si="74"/>
        <v>11</v>
      </c>
      <c r="J239" s="4">
        <f t="shared" si="75"/>
        <v>50.666666666666664</v>
      </c>
      <c r="K239" s="4">
        <f>SUM($J$232:J239)</f>
        <v>405.33333333333337</v>
      </c>
      <c r="L239" s="4">
        <f>SUM($J$18:J239)</f>
        <v>9745.3333333333376</v>
      </c>
      <c r="M239" s="4">
        <f t="shared" si="76"/>
        <v>6.4133333333333331</v>
      </c>
      <c r="N239" s="4">
        <f>SUM($M$232:M239)</f>
        <v>51.306666666666665</v>
      </c>
      <c r="O239" s="4">
        <f>SUM($M$18:M239)</f>
        <v>1207.2066666666619</v>
      </c>
      <c r="P239" s="9">
        <f t="shared" si="77"/>
        <v>0.68678946546651765</v>
      </c>
      <c r="Q239" s="26">
        <f t="shared" si="88"/>
        <v>0.68678946546651787</v>
      </c>
      <c r="R239" s="26">
        <f t="shared" si="88"/>
        <v>0.70177869272477333</v>
      </c>
      <c r="S239" s="9">
        <f t="shared" si="78"/>
        <v>0.18352540716077503</v>
      </c>
      <c r="T239" s="9">
        <f>K239/((COUNT($K$232:K239))*24*$Q$1)</f>
        <v>0.18352540716077506</v>
      </c>
      <c r="U239" s="28">
        <f>L239/((COUNT($L$18:L239))*24*$Q$1)</f>
        <v>0.15900749181343116</v>
      </c>
      <c r="V239" s="134">
        <v>11.5031</v>
      </c>
      <c r="Y239" s="27">
        <f t="shared" si="85"/>
        <v>45238</v>
      </c>
      <c r="Z239" s="5">
        <f>MONTH(Modelling_new[[#This Row],[Date]])</f>
        <v>11</v>
      </c>
      <c r="AA239" s="25">
        <f>YEAR(Y239)+IF(MONTH(Modelling_new[[#This Row],[Date]])&gt;=4,1,0)</f>
        <v>2024</v>
      </c>
      <c r="AB239" s="3">
        <f t="shared" si="79"/>
        <v>2023</v>
      </c>
      <c r="AC239" s="3" t="s">
        <v>626</v>
      </c>
      <c r="AD239" s="5" t="s">
        <v>626</v>
      </c>
      <c r="AE239" s="102">
        <v>45231</v>
      </c>
      <c r="AF239" s="5">
        <f t="shared" si="80"/>
        <v>30</v>
      </c>
      <c r="AG239" s="5">
        <f t="shared" si="81"/>
        <v>11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BD239" s="27">
        <f t="shared" si="86"/>
        <v>45238</v>
      </c>
      <c r="BE239" s="5">
        <f>MONTH(Modelling[[#This Row],[Date]])</f>
        <v>11</v>
      </c>
      <c r="BF239" s="25">
        <f>YEAR(BD239)+IF(MONTH(Modelling[[#This Row],[Date]])&gt;=4,1,0)</f>
        <v>2024</v>
      </c>
      <c r="BG239" s="3">
        <f t="shared" si="82"/>
        <v>2023</v>
      </c>
      <c r="BH239" s="3" t="s">
        <v>626</v>
      </c>
      <c r="BI239" s="5" t="s">
        <v>626</v>
      </c>
      <c r="BJ239" s="102">
        <v>45231</v>
      </c>
      <c r="BK239" s="5">
        <f t="shared" si="83"/>
        <v>30</v>
      </c>
      <c r="BL239" s="5">
        <f t="shared" si="84"/>
        <v>11</v>
      </c>
      <c r="BM239" s="4">
        <f>Modelling_old[[#This Row],[Target E_Grid daily
MWh]]+Modelling_new[[#This Row],[Target E_Grid daily
MWh]]</f>
        <v>50.666666666666664</v>
      </c>
      <c r="BN239" s="4">
        <f>Modelling_old[[#This Row],[Target E_Grid MTD
MWh]]+Modelling_new[[#This Row],[Target E_Grid MTD
MWh]]</f>
        <v>405.33333333333337</v>
      </c>
      <c r="BO239" s="4">
        <f>Modelling_old[[#This Row],[Target E_Grid YTD
MWh]]+Modelling_new[[#This Row],[Target E_Grid YTD
MWh]]</f>
        <v>9745.3333333333376</v>
      </c>
      <c r="BP23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39" s="4">
        <f>SUMIFS(Modelling[Target POA Daily (KWh/m2)],Modelling[Date],"&lt;="&amp;Modelling[[#This Row],[Date]],Modelling[Month Year],Modelling[[#This Row],[Month Year]])</f>
        <v>51.306666666666665</v>
      </c>
      <c r="BR239" s="4">
        <f>SUMIFS(Modelling[Target POA Daily (KWh/m2)],Modelling[Date],"&lt;="&amp;Modelling[[#This Row],[Date]],Modelling[Finacial Year],Modelling[[#This Row],[Finacial Year]])</f>
        <v>1207.2066666666619</v>
      </c>
      <c r="BS239" s="9">
        <f>BM239/Modelling[[#This Row],[Comisined DC ]]/BP239</f>
        <v>0.68678946546651765</v>
      </c>
      <c r="BT239" s="9">
        <f>BN239/BQ239/Modelling[[#This Row],[Comisined DC ]]</f>
        <v>0.68678946546651787</v>
      </c>
      <c r="BU239" s="9">
        <f>BO239/BR239/Modelling[[#This Row],[Comisined DC ]]</f>
        <v>0.70177869272477333</v>
      </c>
      <c r="BV239" s="9">
        <f>BM239/(24*Modelling[[#This Row],[Comisined DC ]])</f>
        <v>0.18352540716077503</v>
      </c>
      <c r="BW239" s="9">
        <f>BN239/((COUNTIFS(Modelling[Date],"&lt;="&amp;Modelling[[#This Row],[Date]],Modelling[Month Year],Modelling[[#This Row],[Month Year]])*24*Modelling[[#This Row],[MTD DC Capcity]]))</f>
        <v>0.18352540716077501</v>
      </c>
      <c r="BX239" s="28">
        <f>BO239/((COUNTIFS(Modelling[Date],"&lt;="&amp;Modelling[[#This Row],[Date]],Modelling[Finacial Year],Modelling[[#This Row],[Finacial Year]])*24*Modelling[[#This Row],[MTD DC Capcity]]))</f>
        <v>0.15900749181343113</v>
      </c>
      <c r="BY239" s="4">
        <f>Modelling_old[[#This Row],[DC Capcity]]+Modelling_new[[#This Row],[Comisined DC ]]</f>
        <v>11.5031</v>
      </c>
      <c r="BZ239" s="4">
        <v>0</v>
      </c>
      <c r="CA239" s="4">
        <f>AVERAGEIFS(Modelling[[Comisined DC ]],Modelling[Date],"&lt;="&amp;Modelling[[#This Row],[Date]],Modelling[Month Year],Modelling[[#This Row],[Month Year]])</f>
        <v>11.503100000000002</v>
      </c>
      <c r="CB239" s="4">
        <f>AVERAGEIFS(Modelling[[Comisined DC ]],Modelling[Date],"&lt;="&amp;Modelling[[#This Row],[Date]],Modelling[Finacial Year],Modelling[[#This Row],[Finacial Year]])</f>
        <v>11.503099999999947</v>
      </c>
      <c r="CG239">
        <f t="shared" si="70"/>
        <v>8</v>
      </c>
      <c r="CH239">
        <f t="shared" si="87"/>
        <v>222</v>
      </c>
    </row>
    <row r="240" spans="1:86" x14ac:dyDescent="0.35">
      <c r="A240" s="27">
        <v>45239</v>
      </c>
      <c r="B240" s="5">
        <f>MONTH(Modelling_old[[#This Row],[Date]])</f>
        <v>11</v>
      </c>
      <c r="C240" s="25">
        <f t="shared" si="71"/>
        <v>2024</v>
      </c>
      <c r="D240" s="3">
        <f t="shared" si="72"/>
        <v>2023</v>
      </c>
      <c r="E240" s="3" t="s">
        <v>626</v>
      </c>
      <c r="F240" s="5" t="s">
        <v>626</v>
      </c>
      <c r="G240" s="102">
        <v>45231</v>
      </c>
      <c r="H240" s="5">
        <f t="shared" si="73"/>
        <v>30</v>
      </c>
      <c r="I240" s="5">
        <f t="shared" si="74"/>
        <v>11</v>
      </c>
      <c r="J240" s="4">
        <f t="shared" si="75"/>
        <v>50.666666666666664</v>
      </c>
      <c r="K240" s="4">
        <f>SUM($J$232:J240)</f>
        <v>456.00000000000006</v>
      </c>
      <c r="L240" s="4">
        <f>SUM($J$18:J240)</f>
        <v>9796.0000000000036</v>
      </c>
      <c r="M240" s="4">
        <f t="shared" si="76"/>
        <v>6.4133333333333331</v>
      </c>
      <c r="N240" s="4">
        <f>SUM($M$232:M240)</f>
        <v>57.72</v>
      </c>
      <c r="O240" s="4">
        <f>SUM($M$18:M240)</f>
        <v>1213.6199999999953</v>
      </c>
      <c r="P240" s="9">
        <f t="shared" si="77"/>
        <v>0.68678946546651765</v>
      </c>
      <c r="Q240" s="26">
        <f t="shared" si="88"/>
        <v>0.68678946546651787</v>
      </c>
      <c r="R240" s="26">
        <f t="shared" si="88"/>
        <v>0.70169948266658677</v>
      </c>
      <c r="S240" s="9">
        <f t="shared" si="78"/>
        <v>0.18352540716077503</v>
      </c>
      <c r="T240" s="9">
        <f>K240/((COUNT($K$232:K240))*24*$Q$1)</f>
        <v>0.18352540716077503</v>
      </c>
      <c r="U240" s="28">
        <f>L240/((COUNT($L$18:L240))*24*$Q$1)</f>
        <v>0.15911743762216363</v>
      </c>
      <c r="V240" s="134">
        <v>11.5031</v>
      </c>
      <c r="Y240" s="27">
        <f t="shared" si="85"/>
        <v>45239</v>
      </c>
      <c r="Z240" s="5">
        <f>MONTH(Modelling_new[[#This Row],[Date]])</f>
        <v>11</v>
      </c>
      <c r="AA240" s="25">
        <f>YEAR(Y240)+IF(MONTH(Modelling_new[[#This Row],[Date]])&gt;=4,1,0)</f>
        <v>2024</v>
      </c>
      <c r="AB240" s="3">
        <f t="shared" si="79"/>
        <v>2023</v>
      </c>
      <c r="AC240" s="3" t="s">
        <v>626</v>
      </c>
      <c r="AD240" s="5" t="s">
        <v>626</v>
      </c>
      <c r="AE240" s="102">
        <v>45231</v>
      </c>
      <c r="AF240" s="5">
        <f t="shared" si="80"/>
        <v>30</v>
      </c>
      <c r="AG240" s="5">
        <f t="shared" si="81"/>
        <v>11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BD240" s="27">
        <f t="shared" si="86"/>
        <v>45239</v>
      </c>
      <c r="BE240" s="5">
        <f>MONTH(Modelling[[#This Row],[Date]])</f>
        <v>11</v>
      </c>
      <c r="BF240" s="25">
        <f>YEAR(BD240)+IF(MONTH(Modelling[[#This Row],[Date]])&gt;=4,1,0)</f>
        <v>2024</v>
      </c>
      <c r="BG240" s="3">
        <f t="shared" si="82"/>
        <v>2023</v>
      </c>
      <c r="BH240" s="3" t="s">
        <v>626</v>
      </c>
      <c r="BI240" s="5" t="s">
        <v>626</v>
      </c>
      <c r="BJ240" s="102">
        <v>45231</v>
      </c>
      <c r="BK240" s="5">
        <f t="shared" si="83"/>
        <v>30</v>
      </c>
      <c r="BL240" s="5">
        <f t="shared" si="84"/>
        <v>11</v>
      </c>
      <c r="BM240" s="4">
        <f>Modelling_old[[#This Row],[Target E_Grid daily
MWh]]+Modelling_new[[#This Row],[Target E_Grid daily
MWh]]</f>
        <v>50.666666666666664</v>
      </c>
      <c r="BN240" s="4">
        <f>Modelling_old[[#This Row],[Target E_Grid MTD
MWh]]+Modelling_new[[#This Row],[Target E_Grid MTD
MWh]]</f>
        <v>456.00000000000006</v>
      </c>
      <c r="BO240" s="4">
        <f>Modelling_old[[#This Row],[Target E_Grid YTD
MWh]]+Modelling_new[[#This Row],[Target E_Grid YTD
MWh]]</f>
        <v>9796.0000000000036</v>
      </c>
      <c r="BP24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40" s="4">
        <f>SUMIFS(Modelling[Target POA Daily (KWh/m2)],Modelling[Date],"&lt;="&amp;Modelling[[#This Row],[Date]],Modelling[Month Year],Modelling[[#This Row],[Month Year]])</f>
        <v>57.72</v>
      </c>
      <c r="BR240" s="4">
        <f>SUMIFS(Modelling[Target POA Daily (KWh/m2)],Modelling[Date],"&lt;="&amp;Modelling[[#This Row],[Date]],Modelling[Finacial Year],Modelling[[#This Row],[Finacial Year]])</f>
        <v>1213.6199999999953</v>
      </c>
      <c r="BS240" s="9">
        <f>BM240/Modelling[[#This Row],[Comisined DC ]]/BP240</f>
        <v>0.68678946546651765</v>
      </c>
      <c r="BT240" s="9">
        <f>BN240/BQ240/Modelling[[#This Row],[Comisined DC ]]</f>
        <v>0.68678946546651787</v>
      </c>
      <c r="BU240" s="9">
        <f>BO240/BR240/Modelling[[#This Row],[Comisined DC ]]</f>
        <v>0.70169948266658677</v>
      </c>
      <c r="BV240" s="9">
        <f>BM240/(24*Modelling[[#This Row],[Comisined DC ]])</f>
        <v>0.18352540716077503</v>
      </c>
      <c r="BW240" s="9">
        <f>BN240/((COUNTIFS(Modelling[Date],"&lt;="&amp;Modelling[[#This Row],[Date]],Modelling[Month Year],Modelling[[#This Row],[Month Year]])*24*Modelling[[#This Row],[MTD DC Capcity]]))</f>
        <v>0.18352540716077503</v>
      </c>
      <c r="BX240" s="28">
        <f>BO240/((COUNTIFS(Modelling[Date],"&lt;="&amp;Modelling[[#This Row],[Date]],Modelling[Finacial Year],Modelling[[#This Row],[Finacial Year]])*24*Modelling[[#This Row],[MTD DC Capcity]]))</f>
        <v>0.1591174376221636</v>
      </c>
      <c r="BY240" s="4">
        <f>Modelling_old[[#This Row],[DC Capcity]]+Modelling_new[[#This Row],[Comisined DC ]]</f>
        <v>11.5031</v>
      </c>
      <c r="BZ240" s="4">
        <v>0</v>
      </c>
      <c r="CA240" s="4">
        <f>AVERAGEIFS(Modelling[[Comisined DC ]],Modelling[Date],"&lt;="&amp;Modelling[[#This Row],[Date]],Modelling[Month Year],Modelling[[#This Row],[Month Year]])</f>
        <v>11.503100000000002</v>
      </c>
      <c r="CB240" s="4">
        <f>AVERAGEIFS(Modelling[[Comisined DC ]],Modelling[Date],"&lt;="&amp;Modelling[[#This Row],[Date]],Modelling[Finacial Year],Modelling[[#This Row],[Finacial Year]])</f>
        <v>11.503099999999947</v>
      </c>
      <c r="CG240">
        <f t="shared" si="70"/>
        <v>9</v>
      </c>
      <c r="CH240">
        <f t="shared" si="87"/>
        <v>223</v>
      </c>
    </row>
    <row r="241" spans="1:86" x14ac:dyDescent="0.35">
      <c r="A241" s="27">
        <v>45240</v>
      </c>
      <c r="B241" s="5">
        <f>MONTH(Modelling_old[[#This Row],[Date]])</f>
        <v>11</v>
      </c>
      <c r="C241" s="25">
        <f t="shared" si="71"/>
        <v>2024</v>
      </c>
      <c r="D241" s="3">
        <f t="shared" si="72"/>
        <v>2023</v>
      </c>
      <c r="E241" s="3" t="s">
        <v>626</v>
      </c>
      <c r="F241" s="5" t="s">
        <v>626</v>
      </c>
      <c r="G241" s="102">
        <v>45231</v>
      </c>
      <c r="H241" s="5">
        <f t="shared" si="73"/>
        <v>30</v>
      </c>
      <c r="I241" s="5">
        <f t="shared" si="74"/>
        <v>11</v>
      </c>
      <c r="J241" s="4">
        <f t="shared" si="75"/>
        <v>50.666666666666664</v>
      </c>
      <c r="K241" s="4">
        <f>SUM($J$232:J241)</f>
        <v>506.66666666666674</v>
      </c>
      <c r="L241" s="4">
        <f>SUM($J$18:J241)</f>
        <v>9846.6666666666697</v>
      </c>
      <c r="M241" s="4">
        <f t="shared" si="76"/>
        <v>6.4133333333333331</v>
      </c>
      <c r="N241" s="4">
        <f>SUM($M$232:M241)</f>
        <v>64.133333333333326</v>
      </c>
      <c r="O241" s="4">
        <f>SUM($M$18:M241)</f>
        <v>1220.0333333333288</v>
      </c>
      <c r="P241" s="9">
        <f t="shared" si="77"/>
        <v>0.68678946546651765</v>
      </c>
      <c r="Q241" s="26">
        <f t="shared" si="88"/>
        <v>0.68678946546651787</v>
      </c>
      <c r="R241" s="26">
        <f t="shared" si="88"/>
        <v>0.70162110537336264</v>
      </c>
      <c r="S241" s="9">
        <f t="shared" si="78"/>
        <v>0.18352540716077503</v>
      </c>
      <c r="T241" s="9">
        <f>K241/((COUNT($K$232:K241))*24*$Q$1)</f>
        <v>0.18352540716077503</v>
      </c>
      <c r="U241" s="28">
        <f>L241/((COUNT($L$18:L241))*24*$Q$1)</f>
        <v>0.15922640177188957</v>
      </c>
      <c r="V241" s="134">
        <v>11.5031</v>
      </c>
      <c r="Y241" s="27">
        <f t="shared" si="85"/>
        <v>45240</v>
      </c>
      <c r="Z241" s="5">
        <f>MONTH(Modelling_new[[#This Row],[Date]])</f>
        <v>11</v>
      </c>
      <c r="AA241" s="25">
        <f>YEAR(Y241)+IF(MONTH(Modelling_new[[#This Row],[Date]])&gt;=4,1,0)</f>
        <v>2024</v>
      </c>
      <c r="AB241" s="3">
        <f t="shared" si="79"/>
        <v>2023</v>
      </c>
      <c r="AC241" s="3" t="s">
        <v>626</v>
      </c>
      <c r="AD241" s="5" t="s">
        <v>626</v>
      </c>
      <c r="AE241" s="102">
        <v>45231</v>
      </c>
      <c r="AF241" s="5">
        <f t="shared" si="80"/>
        <v>30</v>
      </c>
      <c r="AG241" s="5">
        <f t="shared" si="81"/>
        <v>11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BD241" s="27">
        <f t="shared" si="86"/>
        <v>45240</v>
      </c>
      <c r="BE241" s="5">
        <f>MONTH(Modelling[[#This Row],[Date]])</f>
        <v>11</v>
      </c>
      <c r="BF241" s="25">
        <f>YEAR(BD241)+IF(MONTH(Modelling[[#This Row],[Date]])&gt;=4,1,0)</f>
        <v>2024</v>
      </c>
      <c r="BG241" s="3">
        <f t="shared" si="82"/>
        <v>2023</v>
      </c>
      <c r="BH241" s="3" t="s">
        <v>626</v>
      </c>
      <c r="BI241" s="5" t="s">
        <v>626</v>
      </c>
      <c r="BJ241" s="102">
        <v>45231</v>
      </c>
      <c r="BK241" s="5">
        <f t="shared" si="83"/>
        <v>30</v>
      </c>
      <c r="BL241" s="5">
        <f t="shared" si="84"/>
        <v>11</v>
      </c>
      <c r="BM241" s="4">
        <f>Modelling_old[[#This Row],[Target E_Grid daily
MWh]]+Modelling_new[[#This Row],[Target E_Grid daily
MWh]]</f>
        <v>50.666666666666664</v>
      </c>
      <c r="BN241" s="4">
        <f>Modelling_old[[#This Row],[Target E_Grid MTD
MWh]]+Modelling_new[[#This Row],[Target E_Grid MTD
MWh]]</f>
        <v>506.66666666666674</v>
      </c>
      <c r="BO241" s="4">
        <f>Modelling_old[[#This Row],[Target E_Grid YTD
MWh]]+Modelling_new[[#This Row],[Target E_Grid YTD
MWh]]</f>
        <v>9846.6666666666697</v>
      </c>
      <c r="BP24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41" s="4">
        <f>SUMIFS(Modelling[Target POA Daily (KWh/m2)],Modelling[Date],"&lt;="&amp;Modelling[[#This Row],[Date]],Modelling[Month Year],Modelling[[#This Row],[Month Year]])</f>
        <v>64.133333333333326</v>
      </c>
      <c r="BR241" s="4">
        <f>SUMIFS(Modelling[Target POA Daily (KWh/m2)],Modelling[Date],"&lt;="&amp;Modelling[[#This Row],[Date]],Modelling[Finacial Year],Modelling[[#This Row],[Finacial Year]])</f>
        <v>1220.0333333333288</v>
      </c>
      <c r="BS241" s="9">
        <f>BM241/Modelling[[#This Row],[Comisined DC ]]/BP241</f>
        <v>0.68678946546651765</v>
      </c>
      <c r="BT241" s="9">
        <f>BN241/BQ241/Modelling[[#This Row],[Comisined DC ]]</f>
        <v>0.68678946546651787</v>
      </c>
      <c r="BU241" s="9">
        <f>BO241/BR241/Modelling[[#This Row],[Comisined DC ]]</f>
        <v>0.70162110537336264</v>
      </c>
      <c r="BV241" s="9">
        <f>BM241/(24*Modelling[[#This Row],[Comisined DC ]])</f>
        <v>0.18352540716077503</v>
      </c>
      <c r="BW241" s="9">
        <f>BN241/((COUNTIFS(Modelling[Date],"&lt;="&amp;Modelling[[#This Row],[Date]],Modelling[Month Year],Modelling[[#This Row],[Month Year]])*24*Modelling[[#This Row],[MTD DC Capcity]]))</f>
        <v>0.18352540716077501</v>
      </c>
      <c r="BX241" s="28">
        <f>BO241/((COUNTIFS(Modelling[Date],"&lt;="&amp;Modelling[[#This Row],[Date]],Modelling[Finacial Year],Modelling[[#This Row],[Finacial Year]])*24*Modelling[[#This Row],[MTD DC Capcity]]))</f>
        <v>0.15922640177188954</v>
      </c>
      <c r="BY241" s="4">
        <f>Modelling_old[[#This Row],[DC Capcity]]+Modelling_new[[#This Row],[Comisined DC ]]</f>
        <v>11.5031</v>
      </c>
      <c r="BZ241" s="4">
        <v>0</v>
      </c>
      <c r="CA241" s="4">
        <f>AVERAGEIFS(Modelling[[Comisined DC ]],Modelling[Date],"&lt;="&amp;Modelling[[#This Row],[Date]],Modelling[Month Year],Modelling[[#This Row],[Month Year]])</f>
        <v>11.503100000000002</v>
      </c>
      <c r="CB241" s="4">
        <f>AVERAGEIFS(Modelling[[Comisined DC ]],Modelling[Date],"&lt;="&amp;Modelling[[#This Row],[Date]],Modelling[Finacial Year],Modelling[[#This Row],[Finacial Year]])</f>
        <v>11.503099999999947</v>
      </c>
      <c r="CG241">
        <f t="shared" si="70"/>
        <v>10</v>
      </c>
      <c r="CH241">
        <f t="shared" si="87"/>
        <v>224</v>
      </c>
    </row>
    <row r="242" spans="1:86" x14ac:dyDescent="0.35">
      <c r="A242" s="27">
        <v>45241</v>
      </c>
      <c r="B242" s="5">
        <f>MONTH(Modelling_old[[#This Row],[Date]])</f>
        <v>11</v>
      </c>
      <c r="C242" s="25">
        <f t="shared" si="71"/>
        <v>2024</v>
      </c>
      <c r="D242" s="3">
        <f t="shared" si="72"/>
        <v>2023</v>
      </c>
      <c r="E242" s="3" t="s">
        <v>626</v>
      </c>
      <c r="F242" s="5" t="s">
        <v>626</v>
      </c>
      <c r="G242" s="102">
        <v>45231</v>
      </c>
      <c r="H242" s="5">
        <f t="shared" si="73"/>
        <v>30</v>
      </c>
      <c r="I242" s="5">
        <f t="shared" si="74"/>
        <v>11</v>
      </c>
      <c r="J242" s="4">
        <f t="shared" si="75"/>
        <v>50.666666666666664</v>
      </c>
      <c r="K242" s="4">
        <f>SUM($J$232:J242)</f>
        <v>557.33333333333337</v>
      </c>
      <c r="L242" s="4">
        <f>SUM($J$18:J242)</f>
        <v>9897.3333333333358</v>
      </c>
      <c r="M242" s="4">
        <f t="shared" si="76"/>
        <v>6.4133333333333331</v>
      </c>
      <c r="N242" s="4">
        <f>SUM($M$232:M242)</f>
        <v>70.546666666666653</v>
      </c>
      <c r="O242" s="4">
        <f>SUM($M$18:M242)</f>
        <v>1226.4466666666622</v>
      </c>
      <c r="P242" s="9">
        <f t="shared" si="77"/>
        <v>0.68678946546651765</v>
      </c>
      <c r="Q242" s="26">
        <f t="shared" si="88"/>
        <v>0.68678946546651787</v>
      </c>
      <c r="R242" s="26">
        <f t="shared" si="88"/>
        <v>0.70154354778102046</v>
      </c>
      <c r="S242" s="9">
        <f t="shared" si="78"/>
        <v>0.18352540716077503</v>
      </c>
      <c r="T242" s="9">
        <f>K242/((COUNT($K$232:K242))*24*$Q$1)</f>
        <v>0.18352540716077503</v>
      </c>
      <c r="U242" s="28">
        <f>L242/((COUNT($L$18:L242))*24*$Q$1)</f>
        <v>0.15933439735139571</v>
      </c>
      <c r="V242" s="134">
        <v>11.5031</v>
      </c>
      <c r="Y242" s="27">
        <f t="shared" si="85"/>
        <v>45241</v>
      </c>
      <c r="Z242" s="5">
        <f>MONTH(Modelling_new[[#This Row],[Date]])</f>
        <v>11</v>
      </c>
      <c r="AA242" s="25">
        <f>YEAR(Y242)+IF(MONTH(Modelling_new[[#This Row],[Date]])&gt;=4,1,0)</f>
        <v>2024</v>
      </c>
      <c r="AB242" s="3">
        <f t="shared" si="79"/>
        <v>2023</v>
      </c>
      <c r="AC242" s="3" t="s">
        <v>626</v>
      </c>
      <c r="AD242" s="5" t="s">
        <v>626</v>
      </c>
      <c r="AE242" s="102">
        <v>45231</v>
      </c>
      <c r="AF242" s="5">
        <f t="shared" si="80"/>
        <v>30</v>
      </c>
      <c r="AG242" s="5">
        <f t="shared" si="81"/>
        <v>11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BD242" s="27">
        <f t="shared" si="86"/>
        <v>45241</v>
      </c>
      <c r="BE242" s="5">
        <f>MONTH(Modelling[[#This Row],[Date]])</f>
        <v>11</v>
      </c>
      <c r="BF242" s="25">
        <f>YEAR(BD242)+IF(MONTH(Modelling[[#This Row],[Date]])&gt;=4,1,0)</f>
        <v>2024</v>
      </c>
      <c r="BG242" s="3">
        <f t="shared" si="82"/>
        <v>2023</v>
      </c>
      <c r="BH242" s="3" t="s">
        <v>626</v>
      </c>
      <c r="BI242" s="5" t="s">
        <v>626</v>
      </c>
      <c r="BJ242" s="102">
        <v>45231</v>
      </c>
      <c r="BK242" s="5">
        <f t="shared" si="83"/>
        <v>30</v>
      </c>
      <c r="BL242" s="5">
        <f t="shared" si="84"/>
        <v>11</v>
      </c>
      <c r="BM242" s="4">
        <f>Modelling_old[[#This Row],[Target E_Grid daily
MWh]]+Modelling_new[[#This Row],[Target E_Grid daily
MWh]]</f>
        <v>50.666666666666664</v>
      </c>
      <c r="BN242" s="4">
        <f>Modelling_old[[#This Row],[Target E_Grid MTD
MWh]]+Modelling_new[[#This Row],[Target E_Grid MTD
MWh]]</f>
        <v>557.33333333333337</v>
      </c>
      <c r="BO242" s="4">
        <f>Modelling_old[[#This Row],[Target E_Grid YTD
MWh]]+Modelling_new[[#This Row],[Target E_Grid YTD
MWh]]</f>
        <v>9897.3333333333358</v>
      </c>
      <c r="BP24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42" s="4">
        <f>SUMIFS(Modelling[Target POA Daily (KWh/m2)],Modelling[Date],"&lt;="&amp;Modelling[[#This Row],[Date]],Modelling[Month Year],Modelling[[#This Row],[Month Year]])</f>
        <v>70.546666666666653</v>
      </c>
      <c r="BR242" s="4">
        <f>SUMIFS(Modelling[Target POA Daily (KWh/m2)],Modelling[Date],"&lt;="&amp;Modelling[[#This Row],[Date]],Modelling[Finacial Year],Modelling[[#This Row],[Finacial Year]])</f>
        <v>1226.4466666666622</v>
      </c>
      <c r="BS242" s="9">
        <f>BM242/Modelling[[#This Row],[Comisined DC ]]/BP242</f>
        <v>0.68678946546651765</v>
      </c>
      <c r="BT242" s="9">
        <f>BN242/BQ242/Modelling[[#This Row],[Comisined DC ]]</f>
        <v>0.68678946546651787</v>
      </c>
      <c r="BU242" s="9">
        <f>BO242/BR242/Modelling[[#This Row],[Comisined DC ]]</f>
        <v>0.70154354778102046</v>
      </c>
      <c r="BV242" s="9">
        <f>BM242/(24*Modelling[[#This Row],[Comisined DC ]])</f>
        <v>0.18352540716077503</v>
      </c>
      <c r="BW242" s="9">
        <f>BN242/((COUNTIFS(Modelling[Date],"&lt;="&amp;Modelling[[#This Row],[Date]],Modelling[Month Year],Modelling[[#This Row],[Month Year]])*24*Modelling[[#This Row],[MTD DC Capcity]]))</f>
        <v>0.18352540716077501</v>
      </c>
      <c r="BX242" s="28">
        <f>BO242/((COUNTIFS(Modelling[Date],"&lt;="&amp;Modelling[[#This Row],[Date]],Modelling[Finacial Year],Modelling[[#This Row],[Finacial Year]])*24*Modelling[[#This Row],[MTD DC Capcity]]))</f>
        <v>0.15933439735139568</v>
      </c>
      <c r="BY242" s="4">
        <f>Modelling_old[[#This Row],[DC Capcity]]+Modelling_new[[#This Row],[Comisined DC ]]</f>
        <v>11.5031</v>
      </c>
      <c r="BZ242" s="4">
        <v>0</v>
      </c>
      <c r="CA242" s="4">
        <f>AVERAGEIFS(Modelling[[Comisined DC ]],Modelling[Date],"&lt;="&amp;Modelling[[#This Row],[Date]],Modelling[Month Year],Modelling[[#This Row],[Month Year]])</f>
        <v>11.503100000000002</v>
      </c>
      <c r="CB242" s="4">
        <f>AVERAGEIFS(Modelling[[Comisined DC ]],Modelling[Date],"&lt;="&amp;Modelling[[#This Row],[Date]],Modelling[Finacial Year],Modelling[[#This Row],[Finacial Year]])</f>
        <v>11.503099999999947</v>
      </c>
      <c r="CG242">
        <f t="shared" si="70"/>
        <v>11</v>
      </c>
      <c r="CH242">
        <f t="shared" si="87"/>
        <v>225</v>
      </c>
    </row>
    <row r="243" spans="1:86" x14ac:dyDescent="0.35">
      <c r="A243" s="27">
        <v>45242</v>
      </c>
      <c r="B243" s="5">
        <f>MONTH(Modelling_old[[#This Row],[Date]])</f>
        <v>11</v>
      </c>
      <c r="C243" s="25">
        <f t="shared" si="71"/>
        <v>2024</v>
      </c>
      <c r="D243" s="3">
        <f t="shared" si="72"/>
        <v>2023</v>
      </c>
      <c r="E243" s="3" t="s">
        <v>626</v>
      </c>
      <c r="F243" s="5" t="s">
        <v>626</v>
      </c>
      <c r="G243" s="102">
        <v>45231</v>
      </c>
      <c r="H243" s="5">
        <f t="shared" si="73"/>
        <v>30</v>
      </c>
      <c r="I243" s="5">
        <f t="shared" si="74"/>
        <v>11</v>
      </c>
      <c r="J243" s="4">
        <f t="shared" si="75"/>
        <v>50.666666666666664</v>
      </c>
      <c r="K243" s="4">
        <f>SUM($J$232:J243)</f>
        <v>608</v>
      </c>
      <c r="L243" s="4">
        <f>SUM($J$18:J243)</f>
        <v>9948.0000000000018</v>
      </c>
      <c r="M243" s="4">
        <f t="shared" si="76"/>
        <v>6.4133333333333331</v>
      </c>
      <c r="N243" s="4">
        <f>SUM($M$232:M243)</f>
        <v>76.95999999999998</v>
      </c>
      <c r="O243" s="4">
        <f>SUM($M$18:M243)</f>
        <v>1232.8599999999956</v>
      </c>
      <c r="P243" s="9">
        <f t="shared" si="77"/>
        <v>0.68678946546651765</v>
      </c>
      <c r="Q243" s="26">
        <f t="shared" si="88"/>
        <v>0.68678946546651787</v>
      </c>
      <c r="R243" s="26">
        <f t="shared" si="88"/>
        <v>0.7014667970973173</v>
      </c>
      <c r="S243" s="9">
        <f t="shared" si="78"/>
        <v>0.18352540716077503</v>
      </c>
      <c r="T243" s="9">
        <f>K243/((COUNT($K$232:K243))*24*$Q$1)</f>
        <v>0.18352540716077501</v>
      </c>
      <c r="U243" s="28">
        <f>L243/((COUNT($L$18:L243))*24*$Q$1)</f>
        <v>0.15944143721780887</v>
      </c>
      <c r="V243" s="134">
        <v>11.5031</v>
      </c>
      <c r="Y243" s="27">
        <f t="shared" si="85"/>
        <v>45242</v>
      </c>
      <c r="Z243" s="5">
        <f>MONTH(Modelling_new[[#This Row],[Date]])</f>
        <v>11</v>
      </c>
      <c r="AA243" s="25">
        <f>YEAR(Y243)+IF(MONTH(Modelling_new[[#This Row],[Date]])&gt;=4,1,0)</f>
        <v>2024</v>
      </c>
      <c r="AB243" s="3">
        <f t="shared" si="79"/>
        <v>2023</v>
      </c>
      <c r="AC243" s="3" t="s">
        <v>626</v>
      </c>
      <c r="AD243" s="5" t="s">
        <v>626</v>
      </c>
      <c r="AE243" s="102">
        <v>45231</v>
      </c>
      <c r="AF243" s="5">
        <f t="shared" si="80"/>
        <v>30</v>
      </c>
      <c r="AG243" s="5">
        <f t="shared" si="81"/>
        <v>11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BD243" s="27">
        <f t="shared" si="86"/>
        <v>45242</v>
      </c>
      <c r="BE243" s="5">
        <f>MONTH(Modelling[[#This Row],[Date]])</f>
        <v>11</v>
      </c>
      <c r="BF243" s="25">
        <f>YEAR(BD243)+IF(MONTH(Modelling[[#This Row],[Date]])&gt;=4,1,0)</f>
        <v>2024</v>
      </c>
      <c r="BG243" s="3">
        <f t="shared" si="82"/>
        <v>2023</v>
      </c>
      <c r="BH243" s="3" t="s">
        <v>626</v>
      </c>
      <c r="BI243" s="5" t="s">
        <v>626</v>
      </c>
      <c r="BJ243" s="102">
        <v>45231</v>
      </c>
      <c r="BK243" s="5">
        <f t="shared" si="83"/>
        <v>30</v>
      </c>
      <c r="BL243" s="5">
        <f t="shared" si="84"/>
        <v>11</v>
      </c>
      <c r="BM243" s="4">
        <f>Modelling_old[[#This Row],[Target E_Grid daily
MWh]]+Modelling_new[[#This Row],[Target E_Grid daily
MWh]]</f>
        <v>50.666666666666664</v>
      </c>
      <c r="BN243" s="4">
        <f>Modelling_old[[#This Row],[Target E_Grid MTD
MWh]]+Modelling_new[[#This Row],[Target E_Grid MTD
MWh]]</f>
        <v>608</v>
      </c>
      <c r="BO243" s="4">
        <f>Modelling_old[[#This Row],[Target E_Grid YTD
MWh]]+Modelling_new[[#This Row],[Target E_Grid YTD
MWh]]</f>
        <v>9948.0000000000018</v>
      </c>
      <c r="BP24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43" s="4">
        <f>SUMIFS(Modelling[Target POA Daily (KWh/m2)],Modelling[Date],"&lt;="&amp;Modelling[[#This Row],[Date]],Modelling[Month Year],Modelling[[#This Row],[Month Year]])</f>
        <v>76.95999999999998</v>
      </c>
      <c r="BR243" s="4">
        <f>SUMIFS(Modelling[Target POA Daily (KWh/m2)],Modelling[Date],"&lt;="&amp;Modelling[[#This Row],[Date]],Modelling[Finacial Year],Modelling[[#This Row],[Finacial Year]])</f>
        <v>1232.8599999999956</v>
      </c>
      <c r="BS243" s="9">
        <f>BM243/Modelling[[#This Row],[Comisined DC ]]/BP243</f>
        <v>0.68678946546651765</v>
      </c>
      <c r="BT243" s="9">
        <f>BN243/BQ243/Modelling[[#This Row],[Comisined DC ]]</f>
        <v>0.68678946546651787</v>
      </c>
      <c r="BU243" s="9">
        <f>BO243/BR243/Modelling[[#This Row],[Comisined DC ]]</f>
        <v>0.7014667970973173</v>
      </c>
      <c r="BV243" s="9">
        <f>BM243/(24*Modelling[[#This Row],[Comisined DC ]])</f>
        <v>0.18352540716077503</v>
      </c>
      <c r="BW243" s="9">
        <f>BN243/((COUNTIFS(Modelling[Date],"&lt;="&amp;Modelling[[#This Row],[Date]],Modelling[Month Year],Modelling[[#This Row],[Month Year]])*24*Modelling[[#This Row],[MTD DC Capcity]]))</f>
        <v>0.18352540716077498</v>
      </c>
      <c r="BX243" s="28">
        <f>BO243/((COUNTIFS(Modelling[Date],"&lt;="&amp;Modelling[[#This Row],[Date]],Modelling[Finacial Year],Modelling[[#This Row],[Finacial Year]])*24*Modelling[[#This Row],[MTD DC Capcity]]))</f>
        <v>0.15944143721780885</v>
      </c>
      <c r="BY243" s="4">
        <f>Modelling_old[[#This Row],[DC Capcity]]+Modelling_new[[#This Row],[Comisined DC ]]</f>
        <v>11.5031</v>
      </c>
      <c r="BZ243" s="4">
        <v>0</v>
      </c>
      <c r="CA243" s="4">
        <f>AVERAGEIFS(Modelling[[Comisined DC ]],Modelling[Date],"&lt;="&amp;Modelling[[#This Row],[Date]],Modelling[Month Year],Modelling[[#This Row],[Month Year]])</f>
        <v>11.503100000000002</v>
      </c>
      <c r="CB243" s="4">
        <f>AVERAGEIFS(Modelling[[Comisined DC ]],Modelling[Date],"&lt;="&amp;Modelling[[#This Row],[Date]],Modelling[Finacial Year],Modelling[[#This Row],[Finacial Year]])</f>
        <v>11.503099999999947</v>
      </c>
      <c r="CG243">
        <f t="shared" si="70"/>
        <v>12</v>
      </c>
      <c r="CH243">
        <f t="shared" si="87"/>
        <v>226</v>
      </c>
    </row>
    <row r="244" spans="1:86" x14ac:dyDescent="0.35">
      <c r="A244" s="27">
        <v>45243</v>
      </c>
      <c r="B244" s="5">
        <f>MONTH(Modelling_old[[#This Row],[Date]])</f>
        <v>11</v>
      </c>
      <c r="C244" s="25">
        <f t="shared" si="71"/>
        <v>2024</v>
      </c>
      <c r="D244" s="3">
        <f t="shared" si="72"/>
        <v>2023</v>
      </c>
      <c r="E244" s="3" t="s">
        <v>626</v>
      </c>
      <c r="F244" s="5" t="s">
        <v>626</v>
      </c>
      <c r="G244" s="102">
        <v>45231</v>
      </c>
      <c r="H244" s="5">
        <f t="shared" si="73"/>
        <v>30</v>
      </c>
      <c r="I244" s="5">
        <f t="shared" si="74"/>
        <v>11</v>
      </c>
      <c r="J244" s="4">
        <f t="shared" si="75"/>
        <v>50.666666666666664</v>
      </c>
      <c r="K244" s="4">
        <f>SUM($J$232:J244)</f>
        <v>658.66666666666663</v>
      </c>
      <c r="L244" s="4">
        <f>SUM($J$18:J244)</f>
        <v>9998.6666666666679</v>
      </c>
      <c r="M244" s="4">
        <f t="shared" si="76"/>
        <v>6.4133333333333331</v>
      </c>
      <c r="N244" s="4">
        <f>SUM($M$232:M244)</f>
        <v>83.373333333333306</v>
      </c>
      <c r="O244" s="4">
        <f>SUM($M$18:M244)</f>
        <v>1239.273333333329</v>
      </c>
      <c r="P244" s="9">
        <f t="shared" si="77"/>
        <v>0.68678946546651765</v>
      </c>
      <c r="Q244" s="26">
        <f t="shared" si="88"/>
        <v>0.68678946546651787</v>
      </c>
      <c r="R244" s="26">
        <f t="shared" si="88"/>
        <v>0.70139084079481284</v>
      </c>
      <c r="S244" s="9">
        <f t="shared" si="78"/>
        <v>0.18352540716077503</v>
      </c>
      <c r="T244" s="9">
        <f>K244/((COUNT($K$232:K244))*24*$Q$1)</f>
        <v>0.18352540716077501</v>
      </c>
      <c r="U244" s="28">
        <f>L244/((COUNT($L$18:L244))*24*$Q$1)</f>
        <v>0.15954753400169858</v>
      </c>
      <c r="V244" s="134">
        <v>11.5031</v>
      </c>
      <c r="Y244" s="27">
        <f t="shared" si="85"/>
        <v>45243</v>
      </c>
      <c r="Z244" s="5">
        <f>MONTH(Modelling_new[[#This Row],[Date]])</f>
        <v>11</v>
      </c>
      <c r="AA244" s="25">
        <f>YEAR(Y244)+IF(MONTH(Modelling_new[[#This Row],[Date]])&gt;=4,1,0)</f>
        <v>2024</v>
      </c>
      <c r="AB244" s="3">
        <f t="shared" si="79"/>
        <v>2023</v>
      </c>
      <c r="AC244" s="3" t="s">
        <v>626</v>
      </c>
      <c r="AD244" s="5" t="s">
        <v>626</v>
      </c>
      <c r="AE244" s="102">
        <v>45231</v>
      </c>
      <c r="AF244" s="5">
        <f t="shared" si="80"/>
        <v>30</v>
      </c>
      <c r="AG244" s="5">
        <f t="shared" si="81"/>
        <v>11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BD244" s="27">
        <f t="shared" si="86"/>
        <v>45243</v>
      </c>
      <c r="BE244" s="5">
        <f>MONTH(Modelling[[#This Row],[Date]])</f>
        <v>11</v>
      </c>
      <c r="BF244" s="25">
        <f>YEAR(BD244)+IF(MONTH(Modelling[[#This Row],[Date]])&gt;=4,1,0)</f>
        <v>2024</v>
      </c>
      <c r="BG244" s="3">
        <f t="shared" si="82"/>
        <v>2023</v>
      </c>
      <c r="BH244" s="3" t="s">
        <v>626</v>
      </c>
      <c r="BI244" s="5" t="s">
        <v>626</v>
      </c>
      <c r="BJ244" s="102">
        <v>45231</v>
      </c>
      <c r="BK244" s="5">
        <f t="shared" si="83"/>
        <v>30</v>
      </c>
      <c r="BL244" s="5">
        <f t="shared" si="84"/>
        <v>11</v>
      </c>
      <c r="BM244" s="4">
        <f>Modelling_old[[#This Row],[Target E_Grid daily
MWh]]+Modelling_new[[#This Row],[Target E_Grid daily
MWh]]</f>
        <v>50.666666666666664</v>
      </c>
      <c r="BN244" s="4">
        <f>Modelling_old[[#This Row],[Target E_Grid MTD
MWh]]+Modelling_new[[#This Row],[Target E_Grid MTD
MWh]]</f>
        <v>658.66666666666663</v>
      </c>
      <c r="BO244" s="4">
        <f>Modelling_old[[#This Row],[Target E_Grid YTD
MWh]]+Modelling_new[[#This Row],[Target E_Grid YTD
MWh]]</f>
        <v>9998.6666666666679</v>
      </c>
      <c r="BP24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44" s="4">
        <f>SUMIFS(Modelling[Target POA Daily (KWh/m2)],Modelling[Date],"&lt;="&amp;Modelling[[#This Row],[Date]],Modelling[Month Year],Modelling[[#This Row],[Month Year]])</f>
        <v>83.373333333333306</v>
      </c>
      <c r="BR244" s="4">
        <f>SUMIFS(Modelling[Target POA Daily (KWh/m2)],Modelling[Date],"&lt;="&amp;Modelling[[#This Row],[Date]],Modelling[Finacial Year],Modelling[[#This Row],[Finacial Year]])</f>
        <v>1239.273333333329</v>
      </c>
      <c r="BS244" s="9">
        <f>BM244/Modelling[[#This Row],[Comisined DC ]]/BP244</f>
        <v>0.68678946546651765</v>
      </c>
      <c r="BT244" s="9">
        <f>BN244/BQ244/Modelling[[#This Row],[Comisined DC ]]</f>
        <v>0.68678946546651787</v>
      </c>
      <c r="BU244" s="9">
        <f>BO244/BR244/Modelling[[#This Row],[Comisined DC ]]</f>
        <v>0.70139084079481284</v>
      </c>
      <c r="BV244" s="9">
        <f>BM244/(24*Modelling[[#This Row],[Comisined DC ]])</f>
        <v>0.18352540716077503</v>
      </c>
      <c r="BW244" s="9">
        <f>BN244/((COUNTIFS(Modelling[Date],"&lt;="&amp;Modelling[[#This Row],[Date]],Modelling[Month Year],Modelling[[#This Row],[Month Year]])*24*Modelling[[#This Row],[MTD DC Capcity]]))</f>
        <v>0.18352540716077501</v>
      </c>
      <c r="BX244" s="28">
        <f>BO244/((COUNTIFS(Modelling[Date],"&lt;="&amp;Modelling[[#This Row],[Date]],Modelling[Finacial Year],Modelling[[#This Row],[Finacial Year]])*24*Modelling[[#This Row],[MTD DC Capcity]]))</f>
        <v>0.15954753400169858</v>
      </c>
      <c r="BY244" s="4">
        <f>Modelling_old[[#This Row],[DC Capcity]]+Modelling_new[[#This Row],[Comisined DC ]]</f>
        <v>11.5031</v>
      </c>
      <c r="BZ244" s="4">
        <v>0</v>
      </c>
      <c r="CA244" s="4">
        <f>AVERAGEIFS(Modelling[[Comisined DC ]],Modelling[Date],"&lt;="&amp;Modelling[[#This Row],[Date]],Modelling[Month Year],Modelling[[#This Row],[Month Year]])</f>
        <v>11.5031</v>
      </c>
      <c r="CB244" s="4">
        <f>AVERAGEIFS(Modelling[[Comisined DC ]],Modelling[Date],"&lt;="&amp;Modelling[[#This Row],[Date]],Modelling[Finacial Year],Modelling[[#This Row],[Finacial Year]])</f>
        <v>11.503099999999947</v>
      </c>
      <c r="CG244">
        <f t="shared" si="70"/>
        <v>13</v>
      </c>
      <c r="CH244">
        <f t="shared" si="87"/>
        <v>227</v>
      </c>
    </row>
    <row r="245" spans="1:86" x14ac:dyDescent="0.35">
      <c r="A245" s="27">
        <v>45244</v>
      </c>
      <c r="B245" s="5">
        <f>MONTH(Modelling_old[[#This Row],[Date]])</f>
        <v>11</v>
      </c>
      <c r="C245" s="25">
        <f t="shared" si="71"/>
        <v>2024</v>
      </c>
      <c r="D245" s="3">
        <f t="shared" si="72"/>
        <v>2023</v>
      </c>
      <c r="E245" s="3" t="s">
        <v>626</v>
      </c>
      <c r="F245" s="5" t="s">
        <v>626</v>
      </c>
      <c r="G245" s="102">
        <v>45231</v>
      </c>
      <c r="H245" s="5">
        <f t="shared" si="73"/>
        <v>30</v>
      </c>
      <c r="I245" s="5">
        <f t="shared" si="74"/>
        <v>11</v>
      </c>
      <c r="J245" s="4">
        <f t="shared" si="75"/>
        <v>50.666666666666664</v>
      </c>
      <c r="K245" s="4">
        <f>SUM($J$232:J245)</f>
        <v>709.33333333333326</v>
      </c>
      <c r="L245" s="4">
        <f>SUM($J$18:J245)</f>
        <v>10049.333333333334</v>
      </c>
      <c r="M245" s="4">
        <f t="shared" si="76"/>
        <v>6.4133333333333331</v>
      </c>
      <c r="N245" s="4">
        <f>SUM($M$232:M245)</f>
        <v>89.786666666666633</v>
      </c>
      <c r="O245" s="4">
        <f>SUM($M$18:M245)</f>
        <v>1245.6866666666624</v>
      </c>
      <c r="P245" s="9">
        <f t="shared" si="77"/>
        <v>0.68678946546651765</v>
      </c>
      <c r="Q245" s="26">
        <f t="shared" si="88"/>
        <v>0.68678946546651787</v>
      </c>
      <c r="R245" s="26">
        <f t="shared" si="88"/>
        <v>0.70131566660405409</v>
      </c>
      <c r="S245" s="9">
        <f t="shared" si="78"/>
        <v>0.18352540716077503</v>
      </c>
      <c r="T245" s="9">
        <f>K245/((COUNT($K$232:K245))*24*$Q$1)</f>
        <v>0.18352540716077501</v>
      </c>
      <c r="U245" s="28">
        <f>L245/((COUNT($L$18:L245))*24*$Q$1)</f>
        <v>0.15965270011204541</v>
      </c>
      <c r="V245" s="134">
        <v>11.5031</v>
      </c>
      <c r="Y245" s="27">
        <f t="shared" si="85"/>
        <v>45244</v>
      </c>
      <c r="Z245" s="5">
        <f>MONTH(Modelling_new[[#This Row],[Date]])</f>
        <v>11</v>
      </c>
      <c r="AA245" s="25">
        <f>YEAR(Y245)+IF(MONTH(Modelling_new[[#This Row],[Date]])&gt;=4,1,0)</f>
        <v>2024</v>
      </c>
      <c r="AB245" s="3">
        <f t="shared" si="79"/>
        <v>2023</v>
      </c>
      <c r="AC245" s="3" t="s">
        <v>626</v>
      </c>
      <c r="AD245" s="5" t="s">
        <v>626</v>
      </c>
      <c r="AE245" s="102">
        <v>45231</v>
      </c>
      <c r="AF245" s="5">
        <f t="shared" si="80"/>
        <v>30</v>
      </c>
      <c r="AG245" s="5">
        <f t="shared" si="81"/>
        <v>11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BD245" s="27">
        <f t="shared" si="86"/>
        <v>45244</v>
      </c>
      <c r="BE245" s="5">
        <f>MONTH(Modelling[[#This Row],[Date]])</f>
        <v>11</v>
      </c>
      <c r="BF245" s="25">
        <f>YEAR(BD245)+IF(MONTH(Modelling[[#This Row],[Date]])&gt;=4,1,0)</f>
        <v>2024</v>
      </c>
      <c r="BG245" s="3">
        <f t="shared" si="82"/>
        <v>2023</v>
      </c>
      <c r="BH245" s="3" t="s">
        <v>626</v>
      </c>
      <c r="BI245" s="5" t="s">
        <v>626</v>
      </c>
      <c r="BJ245" s="102">
        <v>45231</v>
      </c>
      <c r="BK245" s="5">
        <f t="shared" si="83"/>
        <v>30</v>
      </c>
      <c r="BL245" s="5">
        <f t="shared" si="84"/>
        <v>11</v>
      </c>
      <c r="BM245" s="4">
        <f>Modelling_old[[#This Row],[Target E_Grid daily
MWh]]+Modelling_new[[#This Row],[Target E_Grid daily
MWh]]</f>
        <v>50.666666666666664</v>
      </c>
      <c r="BN245" s="4">
        <f>Modelling_old[[#This Row],[Target E_Grid MTD
MWh]]+Modelling_new[[#This Row],[Target E_Grid MTD
MWh]]</f>
        <v>709.33333333333326</v>
      </c>
      <c r="BO245" s="4">
        <f>Modelling_old[[#This Row],[Target E_Grid YTD
MWh]]+Modelling_new[[#This Row],[Target E_Grid YTD
MWh]]</f>
        <v>10049.333333333334</v>
      </c>
      <c r="BP24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45" s="4">
        <f>SUMIFS(Modelling[Target POA Daily (KWh/m2)],Modelling[Date],"&lt;="&amp;Modelling[[#This Row],[Date]],Modelling[Month Year],Modelling[[#This Row],[Month Year]])</f>
        <v>89.786666666666633</v>
      </c>
      <c r="BR245" s="4">
        <f>SUMIFS(Modelling[Target POA Daily (KWh/m2)],Modelling[Date],"&lt;="&amp;Modelling[[#This Row],[Date]],Modelling[Finacial Year],Modelling[[#This Row],[Finacial Year]])</f>
        <v>1245.6866666666624</v>
      </c>
      <c r="BS245" s="9">
        <f>BM245/Modelling[[#This Row],[Comisined DC ]]/BP245</f>
        <v>0.68678946546651765</v>
      </c>
      <c r="BT245" s="9">
        <f>BN245/BQ245/Modelling[[#This Row],[Comisined DC ]]</f>
        <v>0.68678946546651787</v>
      </c>
      <c r="BU245" s="9">
        <f>BO245/BR245/Modelling[[#This Row],[Comisined DC ]]</f>
        <v>0.70131566660405409</v>
      </c>
      <c r="BV245" s="9">
        <f>BM245/(24*Modelling[[#This Row],[Comisined DC ]])</f>
        <v>0.18352540716077503</v>
      </c>
      <c r="BW245" s="9">
        <f>BN245/((COUNTIFS(Modelling[Date],"&lt;="&amp;Modelling[[#This Row],[Date]],Modelling[Month Year],Modelling[[#This Row],[Month Year]])*24*Modelling[[#This Row],[MTD DC Capcity]]))</f>
        <v>0.18352540716077501</v>
      </c>
      <c r="BX245" s="28">
        <f>BO245/((COUNTIFS(Modelling[Date],"&lt;="&amp;Modelling[[#This Row],[Date]],Modelling[Finacial Year],Modelling[[#This Row],[Finacial Year]])*24*Modelling[[#This Row],[MTD DC Capcity]]))</f>
        <v>0.15965270011204541</v>
      </c>
      <c r="BY245" s="4">
        <f>Modelling_old[[#This Row],[DC Capcity]]+Modelling_new[[#This Row],[Comisined DC ]]</f>
        <v>11.5031</v>
      </c>
      <c r="BZ245" s="4">
        <v>0</v>
      </c>
      <c r="CA245" s="4">
        <f>AVERAGEIFS(Modelling[[Comisined DC ]],Modelling[Date],"&lt;="&amp;Modelling[[#This Row],[Date]],Modelling[Month Year],Modelling[[#This Row],[Month Year]])</f>
        <v>11.5031</v>
      </c>
      <c r="CB245" s="4">
        <f>AVERAGEIFS(Modelling[[Comisined DC ]],Modelling[Date],"&lt;="&amp;Modelling[[#This Row],[Date]],Modelling[Finacial Year],Modelling[[#This Row],[Finacial Year]])</f>
        <v>11.503099999999947</v>
      </c>
      <c r="CG245">
        <f t="shared" si="70"/>
        <v>14</v>
      </c>
      <c r="CH245">
        <f t="shared" si="87"/>
        <v>228</v>
      </c>
    </row>
    <row r="246" spans="1:86" x14ac:dyDescent="0.35">
      <c r="A246" s="27">
        <v>45245</v>
      </c>
      <c r="B246" s="5">
        <f>MONTH(Modelling_old[[#This Row],[Date]])</f>
        <v>11</v>
      </c>
      <c r="C246" s="25">
        <f t="shared" si="71"/>
        <v>2024</v>
      </c>
      <c r="D246" s="3">
        <f t="shared" si="72"/>
        <v>2023</v>
      </c>
      <c r="E246" s="3" t="s">
        <v>626</v>
      </c>
      <c r="F246" s="5" t="s">
        <v>626</v>
      </c>
      <c r="G246" s="102">
        <v>45231</v>
      </c>
      <c r="H246" s="5">
        <f t="shared" si="73"/>
        <v>30</v>
      </c>
      <c r="I246" s="5">
        <f t="shared" si="74"/>
        <v>11</v>
      </c>
      <c r="J246" s="4">
        <f t="shared" si="75"/>
        <v>50.666666666666664</v>
      </c>
      <c r="K246" s="4">
        <f>SUM($J$232:J246)</f>
        <v>759.99999999999989</v>
      </c>
      <c r="L246" s="4">
        <f>SUM($J$18:J246)</f>
        <v>10100</v>
      </c>
      <c r="M246" s="4">
        <f t="shared" si="76"/>
        <v>6.4133333333333331</v>
      </c>
      <c r="N246" s="4">
        <f>SUM($M$232:M246)</f>
        <v>96.19999999999996</v>
      </c>
      <c r="O246" s="4">
        <f>SUM($M$18:M246)</f>
        <v>1252.0999999999958</v>
      </c>
      <c r="P246" s="9">
        <f t="shared" si="77"/>
        <v>0.68678946546651765</v>
      </c>
      <c r="Q246" s="26">
        <f t="shared" si="88"/>
        <v>0.68678946546651787</v>
      </c>
      <c r="R246" s="26">
        <f t="shared" si="88"/>
        <v>0.70124126250696739</v>
      </c>
      <c r="S246" s="9">
        <f t="shared" si="78"/>
        <v>0.18352540716077503</v>
      </c>
      <c r="T246" s="9">
        <f>K246/((COUNT($K$232:K246))*24*$Q$1)</f>
        <v>0.18352540716077498</v>
      </c>
      <c r="U246" s="28">
        <f>L246/((COUNT($L$18:L246))*24*$Q$1)</f>
        <v>0.15975694774107915</v>
      </c>
      <c r="V246" s="134">
        <v>11.5031</v>
      </c>
      <c r="Y246" s="27">
        <f t="shared" si="85"/>
        <v>45245</v>
      </c>
      <c r="Z246" s="5">
        <f>MONTH(Modelling_new[[#This Row],[Date]])</f>
        <v>11</v>
      </c>
      <c r="AA246" s="25">
        <f>YEAR(Y246)+IF(MONTH(Modelling_new[[#This Row],[Date]])&gt;=4,1,0)</f>
        <v>2024</v>
      </c>
      <c r="AB246" s="3">
        <f t="shared" si="79"/>
        <v>2023</v>
      </c>
      <c r="AC246" s="3" t="s">
        <v>626</v>
      </c>
      <c r="AD246" s="5" t="s">
        <v>626</v>
      </c>
      <c r="AE246" s="102">
        <v>45231</v>
      </c>
      <c r="AF246" s="5">
        <f t="shared" si="80"/>
        <v>30</v>
      </c>
      <c r="AG246" s="5">
        <f t="shared" si="81"/>
        <v>11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BD246" s="27">
        <f t="shared" si="86"/>
        <v>45245</v>
      </c>
      <c r="BE246" s="5">
        <f>MONTH(Modelling[[#This Row],[Date]])</f>
        <v>11</v>
      </c>
      <c r="BF246" s="25">
        <f>YEAR(BD246)+IF(MONTH(Modelling[[#This Row],[Date]])&gt;=4,1,0)</f>
        <v>2024</v>
      </c>
      <c r="BG246" s="3">
        <f t="shared" si="82"/>
        <v>2023</v>
      </c>
      <c r="BH246" s="3" t="s">
        <v>626</v>
      </c>
      <c r="BI246" s="5" t="s">
        <v>626</v>
      </c>
      <c r="BJ246" s="102">
        <v>45231</v>
      </c>
      <c r="BK246" s="5">
        <f t="shared" si="83"/>
        <v>30</v>
      </c>
      <c r="BL246" s="5">
        <f t="shared" si="84"/>
        <v>11</v>
      </c>
      <c r="BM246" s="4">
        <f>Modelling_old[[#This Row],[Target E_Grid daily
MWh]]+Modelling_new[[#This Row],[Target E_Grid daily
MWh]]</f>
        <v>50.666666666666664</v>
      </c>
      <c r="BN246" s="4">
        <f>Modelling_old[[#This Row],[Target E_Grid MTD
MWh]]+Modelling_new[[#This Row],[Target E_Grid MTD
MWh]]</f>
        <v>759.99999999999989</v>
      </c>
      <c r="BO246" s="4">
        <f>Modelling_old[[#This Row],[Target E_Grid YTD
MWh]]+Modelling_new[[#This Row],[Target E_Grid YTD
MWh]]</f>
        <v>10100</v>
      </c>
      <c r="BP24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46" s="4">
        <f>SUMIFS(Modelling[Target POA Daily (KWh/m2)],Modelling[Date],"&lt;="&amp;Modelling[[#This Row],[Date]],Modelling[Month Year],Modelling[[#This Row],[Month Year]])</f>
        <v>96.19999999999996</v>
      </c>
      <c r="BR246" s="4">
        <f>SUMIFS(Modelling[Target POA Daily (KWh/m2)],Modelling[Date],"&lt;="&amp;Modelling[[#This Row],[Date]],Modelling[Finacial Year],Modelling[[#This Row],[Finacial Year]])</f>
        <v>1252.0999999999958</v>
      </c>
      <c r="BS246" s="9">
        <f>BM246/Modelling[[#This Row],[Comisined DC ]]/BP246</f>
        <v>0.68678946546651765</v>
      </c>
      <c r="BT246" s="9">
        <f>BN246/BQ246/Modelling[[#This Row],[Comisined DC ]]</f>
        <v>0.68678946546651787</v>
      </c>
      <c r="BU246" s="9">
        <f>BO246/BR246/Modelling[[#This Row],[Comisined DC ]]</f>
        <v>0.70124126250696739</v>
      </c>
      <c r="BV246" s="9">
        <f>BM246/(24*Modelling[[#This Row],[Comisined DC ]])</f>
        <v>0.18352540716077503</v>
      </c>
      <c r="BW246" s="9">
        <f>BN246/((COUNTIFS(Modelling[Date],"&lt;="&amp;Modelling[[#This Row],[Date]],Modelling[Month Year],Modelling[[#This Row],[Month Year]])*24*Modelling[[#This Row],[MTD DC Capcity]]))</f>
        <v>0.18352540716077503</v>
      </c>
      <c r="BX246" s="28">
        <f>BO246/((COUNTIFS(Modelling[Date],"&lt;="&amp;Modelling[[#This Row],[Date]],Modelling[Finacial Year],Modelling[[#This Row],[Finacial Year]])*24*Modelling[[#This Row],[MTD DC Capcity]]))</f>
        <v>0.15975694774107918</v>
      </c>
      <c r="BY246" s="4">
        <f>Modelling_old[[#This Row],[DC Capcity]]+Modelling_new[[#This Row],[Comisined DC ]]</f>
        <v>11.5031</v>
      </c>
      <c r="BZ246" s="4">
        <v>0</v>
      </c>
      <c r="CA246" s="4">
        <f>AVERAGEIFS(Modelling[[Comisined DC ]],Modelling[Date],"&lt;="&amp;Modelling[[#This Row],[Date]],Modelling[Month Year],Modelling[[#This Row],[Month Year]])</f>
        <v>11.503099999999998</v>
      </c>
      <c r="CB246" s="4">
        <f>AVERAGEIFS(Modelling[[Comisined DC ]],Modelling[Date],"&lt;="&amp;Modelling[[#This Row],[Date]],Modelling[Finacial Year],Modelling[[#This Row],[Finacial Year]])</f>
        <v>11.503099999999945</v>
      </c>
      <c r="CG246">
        <f t="shared" si="70"/>
        <v>15</v>
      </c>
      <c r="CH246">
        <f t="shared" si="87"/>
        <v>229</v>
      </c>
    </row>
    <row r="247" spans="1:86" x14ac:dyDescent="0.35">
      <c r="A247" s="27">
        <v>45246</v>
      </c>
      <c r="B247" s="5">
        <f>MONTH(Modelling_old[[#This Row],[Date]])</f>
        <v>11</v>
      </c>
      <c r="C247" s="25">
        <f t="shared" si="71"/>
        <v>2024</v>
      </c>
      <c r="D247" s="3">
        <f t="shared" si="72"/>
        <v>2023</v>
      </c>
      <c r="E247" s="3" t="s">
        <v>626</v>
      </c>
      <c r="F247" s="5" t="s">
        <v>626</v>
      </c>
      <c r="G247" s="102">
        <v>45231</v>
      </c>
      <c r="H247" s="5">
        <f t="shared" si="73"/>
        <v>30</v>
      </c>
      <c r="I247" s="5">
        <f t="shared" si="74"/>
        <v>11</v>
      </c>
      <c r="J247" s="4">
        <f t="shared" si="75"/>
        <v>50.666666666666664</v>
      </c>
      <c r="K247" s="4">
        <f>SUM($J$232:J247)</f>
        <v>810.66666666666652</v>
      </c>
      <c r="L247" s="4">
        <f>SUM($J$18:J247)</f>
        <v>10150.666666666666</v>
      </c>
      <c r="M247" s="4">
        <f t="shared" si="76"/>
        <v>6.4133333333333331</v>
      </c>
      <c r="N247" s="4">
        <f>SUM($M$232:M247)</f>
        <v>102.61333333333329</v>
      </c>
      <c r="O247" s="4">
        <f>SUM($M$18:M247)</f>
        <v>1258.5133333333292</v>
      </c>
      <c r="P247" s="9">
        <f t="shared" si="77"/>
        <v>0.68678946546651765</v>
      </c>
      <c r="Q247" s="26">
        <f t="shared" si="88"/>
        <v>0.68678946546651787</v>
      </c>
      <c r="R247" s="26">
        <f t="shared" si="88"/>
        <v>0.70116761673045369</v>
      </c>
      <c r="S247" s="9">
        <f t="shared" si="78"/>
        <v>0.18352540716077503</v>
      </c>
      <c r="T247" s="9">
        <f>K247/((COUNT($K$232:K247))*24*$Q$1)</f>
        <v>0.18352540716077501</v>
      </c>
      <c r="U247" s="28">
        <f>L247/((COUNT($L$18:L247))*24*$Q$1)</f>
        <v>0.15986028886899087</v>
      </c>
      <c r="V247" s="134">
        <v>11.5031</v>
      </c>
      <c r="Y247" s="27">
        <f t="shared" si="85"/>
        <v>45246</v>
      </c>
      <c r="Z247" s="5">
        <f>MONTH(Modelling_new[[#This Row],[Date]])</f>
        <v>11</v>
      </c>
      <c r="AA247" s="25">
        <f>YEAR(Y247)+IF(MONTH(Modelling_new[[#This Row],[Date]])&gt;=4,1,0)</f>
        <v>2024</v>
      </c>
      <c r="AB247" s="3">
        <f t="shared" si="79"/>
        <v>2023</v>
      </c>
      <c r="AC247" s="3" t="s">
        <v>626</v>
      </c>
      <c r="AD247" s="5" t="s">
        <v>626</v>
      </c>
      <c r="AE247" s="102">
        <v>45231</v>
      </c>
      <c r="AF247" s="5">
        <f t="shared" si="80"/>
        <v>30</v>
      </c>
      <c r="AG247" s="5">
        <f t="shared" si="81"/>
        <v>11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BD247" s="27">
        <f t="shared" si="86"/>
        <v>45246</v>
      </c>
      <c r="BE247" s="5">
        <f>MONTH(Modelling[[#This Row],[Date]])</f>
        <v>11</v>
      </c>
      <c r="BF247" s="25">
        <f>YEAR(BD247)+IF(MONTH(Modelling[[#This Row],[Date]])&gt;=4,1,0)</f>
        <v>2024</v>
      </c>
      <c r="BG247" s="3">
        <f t="shared" si="82"/>
        <v>2023</v>
      </c>
      <c r="BH247" s="3" t="s">
        <v>626</v>
      </c>
      <c r="BI247" s="5" t="s">
        <v>626</v>
      </c>
      <c r="BJ247" s="102">
        <v>45231</v>
      </c>
      <c r="BK247" s="5">
        <f t="shared" si="83"/>
        <v>30</v>
      </c>
      <c r="BL247" s="5">
        <f t="shared" si="84"/>
        <v>11</v>
      </c>
      <c r="BM247" s="4">
        <f>Modelling_old[[#This Row],[Target E_Grid daily
MWh]]+Modelling_new[[#This Row],[Target E_Grid daily
MWh]]</f>
        <v>50.666666666666664</v>
      </c>
      <c r="BN247" s="4">
        <f>Modelling_old[[#This Row],[Target E_Grid MTD
MWh]]+Modelling_new[[#This Row],[Target E_Grid MTD
MWh]]</f>
        <v>810.66666666666652</v>
      </c>
      <c r="BO247" s="4">
        <f>Modelling_old[[#This Row],[Target E_Grid YTD
MWh]]+Modelling_new[[#This Row],[Target E_Grid YTD
MWh]]</f>
        <v>10150.666666666666</v>
      </c>
      <c r="BP24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47" s="4">
        <f>SUMIFS(Modelling[Target POA Daily (KWh/m2)],Modelling[Date],"&lt;="&amp;Modelling[[#This Row],[Date]],Modelling[Month Year],Modelling[[#This Row],[Month Year]])</f>
        <v>102.61333333333329</v>
      </c>
      <c r="BR247" s="4">
        <f>SUMIFS(Modelling[Target POA Daily (KWh/m2)],Modelling[Date],"&lt;="&amp;Modelling[[#This Row],[Date]],Modelling[Finacial Year],Modelling[[#This Row],[Finacial Year]])</f>
        <v>1258.5133333333292</v>
      </c>
      <c r="BS247" s="9">
        <f>BM247/Modelling[[#This Row],[Comisined DC ]]/BP247</f>
        <v>0.68678946546651765</v>
      </c>
      <c r="BT247" s="9">
        <f>BN247/BQ247/Modelling[[#This Row],[Comisined DC ]]</f>
        <v>0.68678946546651787</v>
      </c>
      <c r="BU247" s="9">
        <f>BO247/BR247/Modelling[[#This Row],[Comisined DC ]]</f>
        <v>0.70116761673045369</v>
      </c>
      <c r="BV247" s="9">
        <f>BM247/(24*Modelling[[#This Row],[Comisined DC ]])</f>
        <v>0.18352540716077503</v>
      </c>
      <c r="BW247" s="9">
        <f>BN247/((COUNTIFS(Modelling[Date],"&lt;="&amp;Modelling[[#This Row],[Date]],Modelling[Month Year],Modelling[[#This Row],[Month Year]])*24*Modelling[[#This Row],[MTD DC Capcity]]))</f>
        <v>0.18352540716077501</v>
      </c>
      <c r="BX247" s="28">
        <f>BO247/((COUNTIFS(Modelling[Date],"&lt;="&amp;Modelling[[#This Row],[Date]],Modelling[Finacial Year],Modelling[[#This Row],[Finacial Year]])*24*Modelling[[#This Row],[MTD DC Capcity]]))</f>
        <v>0.1598602888689909</v>
      </c>
      <c r="BY247" s="4">
        <f>Modelling_old[[#This Row],[DC Capcity]]+Modelling_new[[#This Row],[Comisined DC ]]</f>
        <v>11.5031</v>
      </c>
      <c r="BZ247" s="4">
        <v>0</v>
      </c>
      <c r="CA247" s="4">
        <f>AVERAGEIFS(Modelling[[Comisined DC ]],Modelling[Date],"&lt;="&amp;Modelling[[#This Row],[Date]],Modelling[Month Year],Modelling[[#This Row],[Month Year]])</f>
        <v>11.503099999999998</v>
      </c>
      <c r="CB247" s="4">
        <f>AVERAGEIFS(Modelling[[Comisined DC ]],Modelling[Date],"&lt;="&amp;Modelling[[#This Row],[Date]],Modelling[Finacial Year],Modelling[[#This Row],[Finacial Year]])</f>
        <v>11.503099999999945</v>
      </c>
      <c r="CG247">
        <f t="shared" si="70"/>
        <v>16</v>
      </c>
      <c r="CH247">
        <f t="shared" si="87"/>
        <v>230</v>
      </c>
    </row>
    <row r="248" spans="1:86" x14ac:dyDescent="0.35">
      <c r="A248" s="27">
        <v>45247</v>
      </c>
      <c r="B248" s="5">
        <f>MONTH(Modelling_old[[#This Row],[Date]])</f>
        <v>11</v>
      </c>
      <c r="C248" s="25">
        <f t="shared" si="71"/>
        <v>2024</v>
      </c>
      <c r="D248" s="3">
        <f t="shared" si="72"/>
        <v>2023</v>
      </c>
      <c r="E248" s="3" t="s">
        <v>626</v>
      </c>
      <c r="F248" s="5" t="s">
        <v>626</v>
      </c>
      <c r="G248" s="102">
        <v>45231</v>
      </c>
      <c r="H248" s="5">
        <f t="shared" si="73"/>
        <v>30</v>
      </c>
      <c r="I248" s="5">
        <f t="shared" si="74"/>
        <v>11</v>
      </c>
      <c r="J248" s="4">
        <f t="shared" si="75"/>
        <v>50.666666666666664</v>
      </c>
      <c r="K248" s="4">
        <f>SUM($J$232:J248)</f>
        <v>861.33333333333314</v>
      </c>
      <c r="L248" s="4">
        <f>SUM($J$18:J248)</f>
        <v>10201.333333333332</v>
      </c>
      <c r="M248" s="4">
        <f t="shared" si="76"/>
        <v>6.4133333333333331</v>
      </c>
      <c r="N248" s="4">
        <f>SUM($M$232:M248)</f>
        <v>109.02666666666661</v>
      </c>
      <c r="O248" s="4">
        <f>SUM($M$18:M248)</f>
        <v>1264.9266666666626</v>
      </c>
      <c r="P248" s="9">
        <f t="shared" si="77"/>
        <v>0.68678946546651765</v>
      </c>
      <c r="Q248" s="26">
        <f t="shared" si="88"/>
        <v>0.68678946546651787</v>
      </c>
      <c r="R248" s="26">
        <f t="shared" si="88"/>
        <v>0.70109471774017806</v>
      </c>
      <c r="S248" s="9">
        <f t="shared" si="78"/>
        <v>0.18352540716077503</v>
      </c>
      <c r="T248" s="9">
        <f>K248/((COUNT($K$232:K248))*24*$Q$1)</f>
        <v>0.18352540716077498</v>
      </c>
      <c r="U248" s="28">
        <f>L248/((COUNT($L$18:L248))*24*$Q$1)</f>
        <v>0.15996273526852239</v>
      </c>
      <c r="V248" s="134">
        <v>11.5031</v>
      </c>
      <c r="Y248" s="27">
        <f t="shared" si="85"/>
        <v>45247</v>
      </c>
      <c r="Z248" s="5">
        <f>MONTH(Modelling_new[[#This Row],[Date]])</f>
        <v>11</v>
      </c>
      <c r="AA248" s="25">
        <f>YEAR(Y248)+IF(MONTH(Modelling_new[[#This Row],[Date]])&gt;=4,1,0)</f>
        <v>2024</v>
      </c>
      <c r="AB248" s="3">
        <f t="shared" si="79"/>
        <v>2023</v>
      </c>
      <c r="AC248" s="3" t="s">
        <v>626</v>
      </c>
      <c r="AD248" s="5" t="s">
        <v>626</v>
      </c>
      <c r="AE248" s="102">
        <v>45231</v>
      </c>
      <c r="AF248" s="5">
        <f t="shared" si="80"/>
        <v>30</v>
      </c>
      <c r="AG248" s="5">
        <f t="shared" si="81"/>
        <v>11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BD248" s="27">
        <f t="shared" si="86"/>
        <v>45247</v>
      </c>
      <c r="BE248" s="5">
        <f>MONTH(Modelling[[#This Row],[Date]])</f>
        <v>11</v>
      </c>
      <c r="BF248" s="25">
        <f>YEAR(BD248)+IF(MONTH(Modelling[[#This Row],[Date]])&gt;=4,1,0)</f>
        <v>2024</v>
      </c>
      <c r="BG248" s="3">
        <f t="shared" si="82"/>
        <v>2023</v>
      </c>
      <c r="BH248" s="3" t="s">
        <v>626</v>
      </c>
      <c r="BI248" s="5" t="s">
        <v>626</v>
      </c>
      <c r="BJ248" s="102">
        <v>45231</v>
      </c>
      <c r="BK248" s="5">
        <f t="shared" si="83"/>
        <v>30</v>
      </c>
      <c r="BL248" s="5">
        <f t="shared" si="84"/>
        <v>11</v>
      </c>
      <c r="BM248" s="4">
        <f>Modelling_old[[#This Row],[Target E_Grid daily
MWh]]+Modelling_new[[#This Row],[Target E_Grid daily
MWh]]</f>
        <v>50.666666666666664</v>
      </c>
      <c r="BN248" s="4">
        <f>Modelling_old[[#This Row],[Target E_Grid MTD
MWh]]+Modelling_new[[#This Row],[Target E_Grid MTD
MWh]]</f>
        <v>861.33333333333314</v>
      </c>
      <c r="BO248" s="4">
        <f>Modelling_old[[#This Row],[Target E_Grid YTD
MWh]]+Modelling_new[[#This Row],[Target E_Grid YTD
MWh]]</f>
        <v>10201.333333333332</v>
      </c>
      <c r="BP24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48" s="4">
        <f>SUMIFS(Modelling[Target POA Daily (KWh/m2)],Modelling[Date],"&lt;="&amp;Modelling[[#This Row],[Date]],Modelling[Month Year],Modelling[[#This Row],[Month Year]])</f>
        <v>109.02666666666661</v>
      </c>
      <c r="BR248" s="4">
        <f>SUMIFS(Modelling[Target POA Daily (KWh/m2)],Modelling[Date],"&lt;="&amp;Modelling[[#This Row],[Date]],Modelling[Finacial Year],Modelling[[#This Row],[Finacial Year]])</f>
        <v>1264.9266666666626</v>
      </c>
      <c r="BS248" s="9">
        <f>BM248/Modelling[[#This Row],[Comisined DC ]]/BP248</f>
        <v>0.68678946546651765</v>
      </c>
      <c r="BT248" s="9">
        <f>BN248/BQ248/Modelling[[#This Row],[Comisined DC ]]</f>
        <v>0.68678946546651787</v>
      </c>
      <c r="BU248" s="9">
        <f>BO248/BR248/Modelling[[#This Row],[Comisined DC ]]</f>
        <v>0.70109471774017806</v>
      </c>
      <c r="BV248" s="9">
        <f>BM248/(24*Modelling[[#This Row],[Comisined DC ]])</f>
        <v>0.18352540716077503</v>
      </c>
      <c r="BW248" s="9">
        <f>BN248/((COUNTIFS(Modelling[Date],"&lt;="&amp;Modelling[[#This Row],[Date]],Modelling[Month Year],Modelling[[#This Row],[Month Year]])*24*Modelling[[#This Row],[MTD DC Capcity]]))</f>
        <v>0.18352540716077501</v>
      </c>
      <c r="BX248" s="28">
        <f>BO248/((COUNTIFS(Modelling[Date],"&lt;="&amp;Modelling[[#This Row],[Date]],Modelling[Finacial Year],Modelling[[#This Row],[Finacial Year]])*24*Modelling[[#This Row],[MTD DC Capcity]]))</f>
        <v>0.15996273526852239</v>
      </c>
      <c r="BY248" s="4">
        <f>Modelling_old[[#This Row],[DC Capcity]]+Modelling_new[[#This Row],[Comisined DC ]]</f>
        <v>11.5031</v>
      </c>
      <c r="BZ248" s="4">
        <v>0</v>
      </c>
      <c r="CA248" s="4">
        <f>AVERAGEIFS(Modelling[[Comisined DC ]],Modelling[Date],"&lt;="&amp;Modelling[[#This Row],[Date]],Modelling[Month Year],Modelling[[#This Row],[Month Year]])</f>
        <v>11.503099999999998</v>
      </c>
      <c r="CB248" s="4">
        <f>AVERAGEIFS(Modelling[[Comisined DC ]],Modelling[Date],"&lt;="&amp;Modelling[[#This Row],[Date]],Modelling[Finacial Year],Modelling[[#This Row],[Finacial Year]])</f>
        <v>11.503099999999945</v>
      </c>
      <c r="CG248">
        <f t="shared" si="70"/>
        <v>17</v>
      </c>
      <c r="CH248">
        <f t="shared" si="87"/>
        <v>231</v>
      </c>
    </row>
    <row r="249" spans="1:86" x14ac:dyDescent="0.35">
      <c r="A249" s="27">
        <v>45248</v>
      </c>
      <c r="B249" s="5">
        <f>MONTH(Modelling_old[[#This Row],[Date]])</f>
        <v>11</v>
      </c>
      <c r="C249" s="25">
        <f t="shared" si="71"/>
        <v>2024</v>
      </c>
      <c r="D249" s="3">
        <f t="shared" si="72"/>
        <v>2023</v>
      </c>
      <c r="E249" s="3" t="s">
        <v>626</v>
      </c>
      <c r="F249" s="5" t="s">
        <v>626</v>
      </c>
      <c r="G249" s="102">
        <v>45231</v>
      </c>
      <c r="H249" s="5">
        <f t="shared" si="73"/>
        <v>30</v>
      </c>
      <c r="I249" s="5">
        <f t="shared" si="74"/>
        <v>11</v>
      </c>
      <c r="J249" s="4">
        <f t="shared" si="75"/>
        <v>50.666666666666664</v>
      </c>
      <c r="K249" s="4">
        <f>SUM($J$232:J249)</f>
        <v>911.99999999999977</v>
      </c>
      <c r="L249" s="4">
        <f>SUM($J$18:J249)</f>
        <v>10251.999999999998</v>
      </c>
      <c r="M249" s="4">
        <f t="shared" si="76"/>
        <v>6.4133333333333331</v>
      </c>
      <c r="N249" s="4">
        <f>SUM($M$232:M249)</f>
        <v>115.43999999999994</v>
      </c>
      <c r="O249" s="4">
        <f>SUM($M$18:M249)</f>
        <v>1271.3399999999961</v>
      </c>
      <c r="P249" s="9">
        <f t="shared" si="77"/>
        <v>0.68678946546651765</v>
      </c>
      <c r="Q249" s="26">
        <f t="shared" si="88"/>
        <v>0.68678946546651787</v>
      </c>
      <c r="R249" s="26">
        <f t="shared" si="88"/>
        <v>0.7010225542345474</v>
      </c>
      <c r="S249" s="9">
        <f t="shared" si="78"/>
        <v>0.18352540716077503</v>
      </c>
      <c r="T249" s="9">
        <f>K249/((COUNT($K$232:K249))*24*$Q$1)</f>
        <v>0.18352540716077495</v>
      </c>
      <c r="U249" s="28">
        <f>L249/((COUNT($L$18:L249))*24*$Q$1)</f>
        <v>0.16006429850943726</v>
      </c>
      <c r="V249" s="134">
        <v>11.5031</v>
      </c>
      <c r="Y249" s="27">
        <f t="shared" si="85"/>
        <v>45248</v>
      </c>
      <c r="Z249" s="5">
        <f>MONTH(Modelling_new[[#This Row],[Date]])</f>
        <v>11</v>
      </c>
      <c r="AA249" s="25">
        <f>YEAR(Y249)+IF(MONTH(Modelling_new[[#This Row],[Date]])&gt;=4,1,0)</f>
        <v>2024</v>
      </c>
      <c r="AB249" s="3">
        <f t="shared" si="79"/>
        <v>2023</v>
      </c>
      <c r="AC249" s="3" t="s">
        <v>626</v>
      </c>
      <c r="AD249" s="5" t="s">
        <v>626</v>
      </c>
      <c r="AE249" s="102">
        <v>45231</v>
      </c>
      <c r="AF249" s="5">
        <f t="shared" si="80"/>
        <v>30</v>
      </c>
      <c r="AG249" s="5">
        <f t="shared" si="81"/>
        <v>11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BD249" s="27">
        <f t="shared" si="86"/>
        <v>45248</v>
      </c>
      <c r="BE249" s="5">
        <f>MONTH(Modelling[[#This Row],[Date]])</f>
        <v>11</v>
      </c>
      <c r="BF249" s="25">
        <f>YEAR(BD249)+IF(MONTH(Modelling[[#This Row],[Date]])&gt;=4,1,0)</f>
        <v>2024</v>
      </c>
      <c r="BG249" s="3">
        <f t="shared" si="82"/>
        <v>2023</v>
      </c>
      <c r="BH249" s="3" t="s">
        <v>626</v>
      </c>
      <c r="BI249" s="5" t="s">
        <v>626</v>
      </c>
      <c r="BJ249" s="102">
        <v>45231</v>
      </c>
      <c r="BK249" s="5">
        <f t="shared" si="83"/>
        <v>30</v>
      </c>
      <c r="BL249" s="5">
        <f t="shared" si="84"/>
        <v>11</v>
      </c>
      <c r="BM249" s="4">
        <f>Modelling_old[[#This Row],[Target E_Grid daily
MWh]]+Modelling_new[[#This Row],[Target E_Grid daily
MWh]]</f>
        <v>50.666666666666664</v>
      </c>
      <c r="BN249" s="4">
        <f>Modelling_old[[#This Row],[Target E_Grid MTD
MWh]]+Modelling_new[[#This Row],[Target E_Grid MTD
MWh]]</f>
        <v>911.99999999999977</v>
      </c>
      <c r="BO249" s="4">
        <f>Modelling_old[[#This Row],[Target E_Grid YTD
MWh]]+Modelling_new[[#This Row],[Target E_Grid YTD
MWh]]</f>
        <v>10251.999999999998</v>
      </c>
      <c r="BP24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49" s="4">
        <f>SUMIFS(Modelling[Target POA Daily (KWh/m2)],Modelling[Date],"&lt;="&amp;Modelling[[#This Row],[Date]],Modelling[Month Year],Modelling[[#This Row],[Month Year]])</f>
        <v>115.43999999999994</v>
      </c>
      <c r="BR249" s="4">
        <f>SUMIFS(Modelling[Target POA Daily (KWh/m2)],Modelling[Date],"&lt;="&amp;Modelling[[#This Row],[Date]],Modelling[Finacial Year],Modelling[[#This Row],[Finacial Year]])</f>
        <v>1271.3399999999961</v>
      </c>
      <c r="BS249" s="9">
        <f>BM249/Modelling[[#This Row],[Comisined DC ]]/BP249</f>
        <v>0.68678946546651765</v>
      </c>
      <c r="BT249" s="9">
        <f>BN249/BQ249/Modelling[[#This Row],[Comisined DC ]]</f>
        <v>0.68678946546651787</v>
      </c>
      <c r="BU249" s="9">
        <f>BO249/BR249/Modelling[[#This Row],[Comisined DC ]]</f>
        <v>0.7010225542345474</v>
      </c>
      <c r="BV249" s="9">
        <f>BM249/(24*Modelling[[#This Row],[Comisined DC ]])</f>
        <v>0.18352540716077503</v>
      </c>
      <c r="BW249" s="9">
        <f>BN249/((COUNTIFS(Modelling[Date],"&lt;="&amp;Modelling[[#This Row],[Date]],Modelling[Month Year],Modelling[[#This Row],[Month Year]])*24*Modelling[[#This Row],[MTD DC Capcity]]))</f>
        <v>0.18352540716077503</v>
      </c>
      <c r="BX249" s="28">
        <f>BO249/((COUNTIFS(Modelling[Date],"&lt;="&amp;Modelling[[#This Row],[Date]],Modelling[Finacial Year],Modelling[[#This Row],[Finacial Year]])*24*Modelling[[#This Row],[MTD DC Capcity]]))</f>
        <v>0.16006429850943729</v>
      </c>
      <c r="BY249" s="4">
        <f>Modelling_old[[#This Row],[DC Capcity]]+Modelling_new[[#This Row],[Comisined DC ]]</f>
        <v>11.5031</v>
      </c>
      <c r="BZ249" s="4">
        <v>0</v>
      </c>
      <c r="CA249" s="4">
        <f>AVERAGEIFS(Modelling[[Comisined DC ]],Modelling[Date],"&lt;="&amp;Modelling[[#This Row],[Date]],Modelling[Month Year],Modelling[[#This Row],[Month Year]])</f>
        <v>11.503099999999996</v>
      </c>
      <c r="CB249" s="4">
        <f>AVERAGEIFS(Modelling[[Comisined DC ]],Modelling[Date],"&lt;="&amp;Modelling[[#This Row],[Date]],Modelling[Finacial Year],Modelling[[#This Row],[Finacial Year]])</f>
        <v>11.503099999999945</v>
      </c>
      <c r="CG249">
        <f t="shared" si="70"/>
        <v>18</v>
      </c>
      <c r="CH249">
        <f t="shared" si="87"/>
        <v>232</v>
      </c>
    </row>
    <row r="250" spans="1:86" x14ac:dyDescent="0.35">
      <c r="A250" s="27">
        <v>45249</v>
      </c>
      <c r="B250" s="5">
        <f>MONTH(Modelling_old[[#This Row],[Date]])</f>
        <v>11</v>
      </c>
      <c r="C250" s="25">
        <f t="shared" si="71"/>
        <v>2024</v>
      </c>
      <c r="D250" s="3">
        <f t="shared" si="72"/>
        <v>2023</v>
      </c>
      <c r="E250" s="3" t="s">
        <v>626</v>
      </c>
      <c r="F250" s="5" t="s">
        <v>626</v>
      </c>
      <c r="G250" s="102">
        <v>45231</v>
      </c>
      <c r="H250" s="5">
        <f t="shared" si="73"/>
        <v>30</v>
      </c>
      <c r="I250" s="5">
        <f t="shared" si="74"/>
        <v>11</v>
      </c>
      <c r="J250" s="4">
        <f t="shared" si="75"/>
        <v>50.666666666666664</v>
      </c>
      <c r="K250" s="4">
        <f>SUM($J$232:J250)</f>
        <v>962.6666666666664</v>
      </c>
      <c r="L250" s="4">
        <f>SUM($J$18:J250)</f>
        <v>10302.666666666664</v>
      </c>
      <c r="M250" s="4">
        <f t="shared" si="76"/>
        <v>6.4133333333333331</v>
      </c>
      <c r="N250" s="4">
        <f>SUM($M$232:M250)</f>
        <v>121.85333333333327</v>
      </c>
      <c r="O250" s="4">
        <f>SUM($M$18:M250)</f>
        <v>1277.7533333333295</v>
      </c>
      <c r="P250" s="9">
        <f t="shared" si="77"/>
        <v>0.68678946546651765</v>
      </c>
      <c r="Q250" s="26">
        <f t="shared" si="88"/>
        <v>0.68678946546651787</v>
      </c>
      <c r="R250" s="26">
        <f t="shared" si="88"/>
        <v>0.70095111513886965</v>
      </c>
      <c r="S250" s="9">
        <f t="shared" si="78"/>
        <v>0.18352540716077503</v>
      </c>
      <c r="T250" s="9">
        <f>K250/((COUNT($K$232:K250))*24*$Q$1)</f>
        <v>0.18352540716077498</v>
      </c>
      <c r="U250" s="28">
        <f>L250/((COUNT($L$18:L250))*24*$Q$1)</f>
        <v>0.16016498996287645</v>
      </c>
      <c r="V250" s="134">
        <v>11.5031</v>
      </c>
      <c r="Y250" s="27">
        <f t="shared" si="85"/>
        <v>45249</v>
      </c>
      <c r="Z250" s="5">
        <f>MONTH(Modelling_new[[#This Row],[Date]])</f>
        <v>11</v>
      </c>
      <c r="AA250" s="25">
        <f>YEAR(Y250)+IF(MONTH(Modelling_new[[#This Row],[Date]])&gt;=4,1,0)</f>
        <v>2024</v>
      </c>
      <c r="AB250" s="3">
        <f t="shared" si="79"/>
        <v>2023</v>
      </c>
      <c r="AC250" s="3" t="s">
        <v>626</v>
      </c>
      <c r="AD250" s="5" t="s">
        <v>626</v>
      </c>
      <c r="AE250" s="102">
        <v>45231</v>
      </c>
      <c r="AF250" s="5">
        <f t="shared" si="80"/>
        <v>30</v>
      </c>
      <c r="AG250" s="5">
        <f t="shared" si="81"/>
        <v>11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BD250" s="27">
        <f t="shared" si="86"/>
        <v>45249</v>
      </c>
      <c r="BE250" s="5">
        <f>MONTH(Modelling[[#This Row],[Date]])</f>
        <v>11</v>
      </c>
      <c r="BF250" s="25">
        <f>YEAR(BD250)+IF(MONTH(Modelling[[#This Row],[Date]])&gt;=4,1,0)</f>
        <v>2024</v>
      </c>
      <c r="BG250" s="3">
        <f t="shared" si="82"/>
        <v>2023</v>
      </c>
      <c r="BH250" s="3" t="s">
        <v>626</v>
      </c>
      <c r="BI250" s="5" t="s">
        <v>626</v>
      </c>
      <c r="BJ250" s="102">
        <v>45231</v>
      </c>
      <c r="BK250" s="5">
        <f t="shared" si="83"/>
        <v>30</v>
      </c>
      <c r="BL250" s="5">
        <f t="shared" si="84"/>
        <v>11</v>
      </c>
      <c r="BM250" s="4">
        <f>Modelling_old[[#This Row],[Target E_Grid daily
MWh]]+Modelling_new[[#This Row],[Target E_Grid daily
MWh]]</f>
        <v>50.666666666666664</v>
      </c>
      <c r="BN250" s="4">
        <f>Modelling_old[[#This Row],[Target E_Grid MTD
MWh]]+Modelling_new[[#This Row],[Target E_Grid MTD
MWh]]</f>
        <v>962.6666666666664</v>
      </c>
      <c r="BO250" s="4">
        <f>Modelling_old[[#This Row],[Target E_Grid YTD
MWh]]+Modelling_new[[#This Row],[Target E_Grid YTD
MWh]]</f>
        <v>10302.666666666664</v>
      </c>
      <c r="BP25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50" s="4">
        <f>SUMIFS(Modelling[Target POA Daily (KWh/m2)],Modelling[Date],"&lt;="&amp;Modelling[[#This Row],[Date]],Modelling[Month Year],Modelling[[#This Row],[Month Year]])</f>
        <v>121.85333333333327</v>
      </c>
      <c r="BR250" s="4">
        <f>SUMIFS(Modelling[Target POA Daily (KWh/m2)],Modelling[Date],"&lt;="&amp;Modelling[[#This Row],[Date]],Modelling[Finacial Year],Modelling[[#This Row],[Finacial Year]])</f>
        <v>1277.7533333333295</v>
      </c>
      <c r="BS250" s="9">
        <f>BM250/Modelling[[#This Row],[Comisined DC ]]/BP250</f>
        <v>0.68678946546651765</v>
      </c>
      <c r="BT250" s="9">
        <f>BN250/BQ250/Modelling[[#This Row],[Comisined DC ]]</f>
        <v>0.68678946546651787</v>
      </c>
      <c r="BU250" s="9">
        <f>BO250/BR250/Modelling[[#This Row],[Comisined DC ]]</f>
        <v>0.70095111513886965</v>
      </c>
      <c r="BV250" s="9">
        <f>BM250/(24*Modelling[[#This Row],[Comisined DC ]])</f>
        <v>0.18352540716077503</v>
      </c>
      <c r="BW250" s="9">
        <f>BN250/((COUNTIFS(Modelling[Date],"&lt;="&amp;Modelling[[#This Row],[Date]],Modelling[Month Year],Modelling[[#This Row],[Month Year]])*24*Modelling[[#This Row],[MTD DC Capcity]]))</f>
        <v>0.18352540716077503</v>
      </c>
      <c r="BX250" s="28">
        <f>BO250/((COUNTIFS(Modelling[Date],"&lt;="&amp;Modelling[[#This Row],[Date]],Modelling[Finacial Year],Modelling[[#This Row],[Finacial Year]])*24*Modelling[[#This Row],[MTD DC Capcity]]))</f>
        <v>0.16016498996287651</v>
      </c>
      <c r="BY250" s="4">
        <f>Modelling_old[[#This Row],[DC Capcity]]+Modelling_new[[#This Row],[Comisined DC ]]</f>
        <v>11.5031</v>
      </c>
      <c r="BZ250" s="4">
        <v>0</v>
      </c>
      <c r="CA250" s="4">
        <f>AVERAGEIFS(Modelling[[Comisined DC ]],Modelling[Date],"&lt;="&amp;Modelling[[#This Row],[Date]],Modelling[Month Year],Modelling[[#This Row],[Month Year]])</f>
        <v>11.503099999999996</v>
      </c>
      <c r="CB250" s="4">
        <f>AVERAGEIFS(Modelling[[Comisined DC ]],Modelling[Date],"&lt;="&amp;Modelling[[#This Row],[Date]],Modelling[Finacial Year],Modelling[[#This Row],[Finacial Year]])</f>
        <v>11.503099999999945</v>
      </c>
      <c r="CG250">
        <f t="shared" si="70"/>
        <v>19</v>
      </c>
      <c r="CH250">
        <f t="shared" si="87"/>
        <v>233</v>
      </c>
    </row>
    <row r="251" spans="1:86" x14ac:dyDescent="0.35">
      <c r="A251" s="27">
        <v>45250</v>
      </c>
      <c r="B251" s="5">
        <f>MONTH(Modelling_old[[#This Row],[Date]])</f>
        <v>11</v>
      </c>
      <c r="C251" s="25">
        <f t="shared" si="71"/>
        <v>2024</v>
      </c>
      <c r="D251" s="3">
        <f t="shared" si="72"/>
        <v>2023</v>
      </c>
      <c r="E251" s="3" t="s">
        <v>626</v>
      </c>
      <c r="F251" s="5" t="s">
        <v>626</v>
      </c>
      <c r="G251" s="102">
        <v>45231</v>
      </c>
      <c r="H251" s="5">
        <f t="shared" si="73"/>
        <v>30</v>
      </c>
      <c r="I251" s="5">
        <f t="shared" si="74"/>
        <v>11</v>
      </c>
      <c r="J251" s="4">
        <f t="shared" si="75"/>
        <v>50.666666666666664</v>
      </c>
      <c r="K251" s="4">
        <f>SUM($J$232:J251)</f>
        <v>1013.333333333333</v>
      </c>
      <c r="L251" s="4">
        <f>SUM($J$18:J251)</f>
        <v>10353.33333333333</v>
      </c>
      <c r="M251" s="4">
        <f t="shared" si="76"/>
        <v>6.4133333333333331</v>
      </c>
      <c r="N251" s="4">
        <f>SUM($M$232:M251)</f>
        <v>128.26666666666659</v>
      </c>
      <c r="O251" s="4">
        <f>SUM($M$18:M251)</f>
        <v>1284.1666666666629</v>
      </c>
      <c r="P251" s="9">
        <f t="shared" si="77"/>
        <v>0.68678946546651765</v>
      </c>
      <c r="Q251" s="26">
        <f t="shared" si="88"/>
        <v>0.68678946546651787</v>
      </c>
      <c r="R251" s="26">
        <f t="shared" si="88"/>
        <v>0.70088038959968835</v>
      </c>
      <c r="S251" s="9">
        <f t="shared" si="78"/>
        <v>0.18352540716077503</v>
      </c>
      <c r="T251" s="9">
        <f>K251/((COUNT($K$232:K251))*24*$Q$1)</f>
        <v>0.18352540716077495</v>
      </c>
      <c r="U251" s="28">
        <f>L251/((COUNT($L$18:L251))*24*$Q$1)</f>
        <v>0.16026482080560253</v>
      </c>
      <c r="V251" s="134">
        <v>11.5031</v>
      </c>
      <c r="Y251" s="27">
        <f t="shared" si="85"/>
        <v>45250</v>
      </c>
      <c r="Z251" s="5">
        <f>MONTH(Modelling_new[[#This Row],[Date]])</f>
        <v>11</v>
      </c>
      <c r="AA251" s="25">
        <f>YEAR(Y251)+IF(MONTH(Modelling_new[[#This Row],[Date]])&gt;=4,1,0)</f>
        <v>2024</v>
      </c>
      <c r="AB251" s="3">
        <f t="shared" si="79"/>
        <v>2023</v>
      </c>
      <c r="AC251" s="3" t="s">
        <v>626</v>
      </c>
      <c r="AD251" s="5" t="s">
        <v>626</v>
      </c>
      <c r="AE251" s="102">
        <v>45231</v>
      </c>
      <c r="AF251" s="5">
        <f t="shared" si="80"/>
        <v>30</v>
      </c>
      <c r="AG251" s="5">
        <f t="shared" si="81"/>
        <v>11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BD251" s="27">
        <f t="shared" si="86"/>
        <v>45250</v>
      </c>
      <c r="BE251" s="5">
        <f>MONTH(Modelling[[#This Row],[Date]])</f>
        <v>11</v>
      </c>
      <c r="BF251" s="25">
        <f>YEAR(BD251)+IF(MONTH(Modelling[[#This Row],[Date]])&gt;=4,1,0)</f>
        <v>2024</v>
      </c>
      <c r="BG251" s="3">
        <f t="shared" si="82"/>
        <v>2023</v>
      </c>
      <c r="BH251" s="3" t="s">
        <v>626</v>
      </c>
      <c r="BI251" s="5" t="s">
        <v>626</v>
      </c>
      <c r="BJ251" s="102">
        <v>45231</v>
      </c>
      <c r="BK251" s="5">
        <f t="shared" si="83"/>
        <v>30</v>
      </c>
      <c r="BL251" s="5">
        <f t="shared" si="84"/>
        <v>11</v>
      </c>
      <c r="BM251" s="4">
        <f>Modelling_old[[#This Row],[Target E_Grid daily
MWh]]+Modelling_new[[#This Row],[Target E_Grid daily
MWh]]</f>
        <v>50.666666666666664</v>
      </c>
      <c r="BN251" s="4">
        <f>Modelling_old[[#This Row],[Target E_Grid MTD
MWh]]+Modelling_new[[#This Row],[Target E_Grid MTD
MWh]]</f>
        <v>1013.333333333333</v>
      </c>
      <c r="BO251" s="4">
        <f>Modelling_old[[#This Row],[Target E_Grid YTD
MWh]]+Modelling_new[[#This Row],[Target E_Grid YTD
MWh]]</f>
        <v>10353.33333333333</v>
      </c>
      <c r="BP25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51" s="4">
        <f>SUMIFS(Modelling[Target POA Daily (KWh/m2)],Modelling[Date],"&lt;="&amp;Modelling[[#This Row],[Date]],Modelling[Month Year],Modelling[[#This Row],[Month Year]])</f>
        <v>128.26666666666659</v>
      </c>
      <c r="BR251" s="4">
        <f>SUMIFS(Modelling[Target POA Daily (KWh/m2)],Modelling[Date],"&lt;="&amp;Modelling[[#This Row],[Date]],Modelling[Finacial Year],Modelling[[#This Row],[Finacial Year]])</f>
        <v>1284.1666666666629</v>
      </c>
      <c r="BS251" s="9">
        <f>BM251/Modelling[[#This Row],[Comisined DC ]]/BP251</f>
        <v>0.68678946546651765</v>
      </c>
      <c r="BT251" s="9">
        <f>BN251/BQ251/Modelling[[#This Row],[Comisined DC ]]</f>
        <v>0.68678946546651787</v>
      </c>
      <c r="BU251" s="9">
        <f>BO251/BR251/Modelling[[#This Row],[Comisined DC ]]</f>
        <v>0.70088038959968835</v>
      </c>
      <c r="BV251" s="9">
        <f>BM251/(24*Modelling[[#This Row],[Comisined DC ]])</f>
        <v>0.18352540716077503</v>
      </c>
      <c r="BW251" s="9">
        <f>BN251/((COUNTIFS(Modelling[Date],"&lt;="&amp;Modelling[[#This Row],[Date]],Modelling[Month Year],Modelling[[#This Row],[Month Year]])*24*Modelling[[#This Row],[MTD DC Capcity]]))</f>
        <v>0.18352540716077501</v>
      </c>
      <c r="BX251" s="28">
        <f>BO251/((COUNTIFS(Modelling[Date],"&lt;="&amp;Modelling[[#This Row],[Date]],Modelling[Finacial Year],Modelling[[#This Row],[Finacial Year]])*24*Modelling[[#This Row],[MTD DC Capcity]]))</f>
        <v>0.16026482080560259</v>
      </c>
      <c r="BY251" s="4">
        <f>Modelling_old[[#This Row],[DC Capcity]]+Modelling_new[[#This Row],[Comisined DC ]]</f>
        <v>11.5031</v>
      </c>
      <c r="BZ251" s="4">
        <v>0</v>
      </c>
      <c r="CA251" s="4">
        <f>AVERAGEIFS(Modelling[[Comisined DC ]],Modelling[Date],"&lt;="&amp;Modelling[[#This Row],[Date]],Modelling[Month Year],Modelling[[#This Row],[Month Year]])</f>
        <v>11.503099999999996</v>
      </c>
      <c r="CB251" s="4">
        <f>AVERAGEIFS(Modelling[[Comisined DC ]],Modelling[Date],"&lt;="&amp;Modelling[[#This Row],[Date]],Modelling[Finacial Year],Modelling[[#This Row],[Finacial Year]])</f>
        <v>11.503099999999945</v>
      </c>
      <c r="CG251">
        <f t="shared" si="70"/>
        <v>20</v>
      </c>
      <c r="CH251">
        <f t="shared" si="87"/>
        <v>234</v>
      </c>
    </row>
    <row r="252" spans="1:86" x14ac:dyDescent="0.35">
      <c r="A252" s="27">
        <v>45251</v>
      </c>
      <c r="B252" s="5">
        <f>MONTH(Modelling_old[[#This Row],[Date]])</f>
        <v>11</v>
      </c>
      <c r="C252" s="25">
        <f t="shared" si="71"/>
        <v>2024</v>
      </c>
      <c r="D252" s="3">
        <f t="shared" si="72"/>
        <v>2023</v>
      </c>
      <c r="E252" s="3" t="s">
        <v>626</v>
      </c>
      <c r="F252" s="5" t="s">
        <v>626</v>
      </c>
      <c r="G252" s="102">
        <v>45231</v>
      </c>
      <c r="H252" s="5">
        <f t="shared" si="73"/>
        <v>30</v>
      </c>
      <c r="I252" s="5">
        <f t="shared" si="74"/>
        <v>11</v>
      </c>
      <c r="J252" s="4">
        <f t="shared" si="75"/>
        <v>50.666666666666664</v>
      </c>
      <c r="K252" s="4">
        <f>SUM($J$232:J252)</f>
        <v>1063.9999999999998</v>
      </c>
      <c r="L252" s="4">
        <f>SUM($J$18:J252)</f>
        <v>10403.999999999996</v>
      </c>
      <c r="M252" s="4">
        <f t="shared" si="76"/>
        <v>6.4133333333333331</v>
      </c>
      <c r="N252" s="4">
        <f>SUM($M$232:M252)</f>
        <v>134.67999999999992</v>
      </c>
      <c r="O252" s="4">
        <f>SUM($M$18:M252)</f>
        <v>1290.5799999999963</v>
      </c>
      <c r="P252" s="9">
        <f t="shared" si="77"/>
        <v>0.68678946546651765</v>
      </c>
      <c r="Q252" s="26">
        <f t="shared" si="88"/>
        <v>0.68678946546651798</v>
      </c>
      <c r="R252" s="26">
        <f t="shared" si="88"/>
        <v>0.70081036697928445</v>
      </c>
      <c r="S252" s="9">
        <f t="shared" si="78"/>
        <v>0.18352540716077503</v>
      </c>
      <c r="T252" s="9">
        <f>K252/((COUNT($K$232:K252))*24*$Q$1)</f>
        <v>0.18352540716077498</v>
      </c>
      <c r="U252" s="28">
        <f>L252/((COUNT($L$18:L252))*24*$Q$1)</f>
        <v>0.16036380202413517</v>
      </c>
      <c r="V252" s="134">
        <v>11.5031</v>
      </c>
      <c r="Y252" s="27">
        <f t="shared" si="85"/>
        <v>45251</v>
      </c>
      <c r="Z252" s="5">
        <f>MONTH(Modelling_new[[#This Row],[Date]])</f>
        <v>11</v>
      </c>
      <c r="AA252" s="25">
        <f>YEAR(Y252)+IF(MONTH(Modelling_new[[#This Row],[Date]])&gt;=4,1,0)</f>
        <v>2024</v>
      </c>
      <c r="AB252" s="3">
        <f t="shared" si="79"/>
        <v>2023</v>
      </c>
      <c r="AC252" s="3" t="s">
        <v>626</v>
      </c>
      <c r="AD252" s="5" t="s">
        <v>626</v>
      </c>
      <c r="AE252" s="102">
        <v>45231</v>
      </c>
      <c r="AF252" s="5">
        <f t="shared" si="80"/>
        <v>30</v>
      </c>
      <c r="AG252" s="5">
        <f t="shared" si="81"/>
        <v>11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BD252" s="27">
        <f t="shared" si="86"/>
        <v>45251</v>
      </c>
      <c r="BE252" s="5">
        <f>MONTH(Modelling[[#This Row],[Date]])</f>
        <v>11</v>
      </c>
      <c r="BF252" s="25">
        <f>YEAR(BD252)+IF(MONTH(Modelling[[#This Row],[Date]])&gt;=4,1,0)</f>
        <v>2024</v>
      </c>
      <c r="BG252" s="3">
        <f t="shared" si="82"/>
        <v>2023</v>
      </c>
      <c r="BH252" s="3" t="s">
        <v>626</v>
      </c>
      <c r="BI252" s="5" t="s">
        <v>626</v>
      </c>
      <c r="BJ252" s="102">
        <v>45231</v>
      </c>
      <c r="BK252" s="5">
        <f t="shared" si="83"/>
        <v>30</v>
      </c>
      <c r="BL252" s="5">
        <f t="shared" si="84"/>
        <v>11</v>
      </c>
      <c r="BM252" s="4">
        <f>Modelling_old[[#This Row],[Target E_Grid daily
MWh]]+Modelling_new[[#This Row],[Target E_Grid daily
MWh]]</f>
        <v>50.666666666666664</v>
      </c>
      <c r="BN252" s="4">
        <f>Modelling_old[[#This Row],[Target E_Grid MTD
MWh]]+Modelling_new[[#This Row],[Target E_Grid MTD
MWh]]</f>
        <v>1063.9999999999998</v>
      </c>
      <c r="BO252" s="4">
        <f>Modelling_old[[#This Row],[Target E_Grid YTD
MWh]]+Modelling_new[[#This Row],[Target E_Grid YTD
MWh]]</f>
        <v>10403.999999999996</v>
      </c>
      <c r="BP25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52" s="4">
        <f>SUMIFS(Modelling[Target POA Daily (KWh/m2)],Modelling[Date],"&lt;="&amp;Modelling[[#This Row],[Date]],Modelling[Month Year],Modelling[[#This Row],[Month Year]])</f>
        <v>134.67999999999992</v>
      </c>
      <c r="BR252" s="4">
        <f>SUMIFS(Modelling[Target POA Daily (KWh/m2)],Modelling[Date],"&lt;="&amp;Modelling[[#This Row],[Date]],Modelling[Finacial Year],Modelling[[#This Row],[Finacial Year]])</f>
        <v>1290.5799999999963</v>
      </c>
      <c r="BS252" s="9">
        <f>BM252/Modelling[[#This Row],[Comisined DC ]]/BP252</f>
        <v>0.68678946546651765</v>
      </c>
      <c r="BT252" s="9">
        <f>BN252/BQ252/Modelling[[#This Row],[Comisined DC ]]</f>
        <v>0.68678946546651798</v>
      </c>
      <c r="BU252" s="9">
        <f>BO252/BR252/Modelling[[#This Row],[Comisined DC ]]</f>
        <v>0.70081036697928445</v>
      </c>
      <c r="BV252" s="9">
        <f>BM252/(24*Modelling[[#This Row],[Comisined DC ]])</f>
        <v>0.18352540716077503</v>
      </c>
      <c r="BW252" s="9">
        <f>BN252/((COUNTIFS(Modelling[Date],"&lt;="&amp;Modelling[[#This Row],[Date]],Modelling[Month Year],Modelling[[#This Row],[Month Year]])*24*Modelling[[#This Row],[MTD DC Capcity]]))</f>
        <v>0.18352540716077503</v>
      </c>
      <c r="BX252" s="28">
        <f>BO252/((COUNTIFS(Modelling[Date],"&lt;="&amp;Modelling[[#This Row],[Date]],Modelling[Finacial Year],Modelling[[#This Row],[Finacial Year]])*24*Modelling[[#This Row],[MTD DC Capcity]]))</f>
        <v>0.16036380202413519</v>
      </c>
      <c r="BY252" s="4">
        <f>Modelling_old[[#This Row],[DC Capcity]]+Modelling_new[[#This Row],[Comisined DC ]]</f>
        <v>11.5031</v>
      </c>
      <c r="BZ252" s="4">
        <v>0</v>
      </c>
      <c r="CA252" s="4">
        <f>AVERAGEIFS(Modelling[[Comisined DC ]],Modelling[Date],"&lt;="&amp;Modelling[[#This Row],[Date]],Modelling[Month Year],Modelling[[#This Row],[Month Year]])</f>
        <v>11.503099999999996</v>
      </c>
      <c r="CB252" s="4">
        <f>AVERAGEIFS(Modelling[[Comisined DC ]],Modelling[Date],"&lt;="&amp;Modelling[[#This Row],[Date]],Modelling[Finacial Year],Modelling[[#This Row],[Finacial Year]])</f>
        <v>11.503099999999945</v>
      </c>
      <c r="CG252">
        <f t="shared" si="70"/>
        <v>21</v>
      </c>
      <c r="CH252">
        <f t="shared" si="87"/>
        <v>235</v>
      </c>
    </row>
    <row r="253" spans="1:86" x14ac:dyDescent="0.35">
      <c r="A253" s="27">
        <v>45252</v>
      </c>
      <c r="B253" s="5">
        <f>MONTH(Modelling_old[[#This Row],[Date]])</f>
        <v>11</v>
      </c>
      <c r="C253" s="25">
        <f t="shared" si="71"/>
        <v>2024</v>
      </c>
      <c r="D253" s="3">
        <f t="shared" si="72"/>
        <v>2023</v>
      </c>
      <c r="E253" s="3" t="s">
        <v>626</v>
      </c>
      <c r="F253" s="5" t="s">
        <v>626</v>
      </c>
      <c r="G253" s="102">
        <v>45231</v>
      </c>
      <c r="H253" s="5">
        <f t="shared" si="73"/>
        <v>30</v>
      </c>
      <c r="I253" s="5">
        <f t="shared" si="74"/>
        <v>11</v>
      </c>
      <c r="J253" s="4">
        <f t="shared" si="75"/>
        <v>50.666666666666664</v>
      </c>
      <c r="K253" s="4">
        <f>SUM($J$232:J253)</f>
        <v>1114.6666666666665</v>
      </c>
      <c r="L253" s="4">
        <f>SUM($J$18:J253)</f>
        <v>10454.666666666662</v>
      </c>
      <c r="M253" s="4">
        <f t="shared" si="76"/>
        <v>6.4133333333333331</v>
      </c>
      <c r="N253" s="4">
        <f>SUM($M$232:M253)</f>
        <v>141.09333333333325</v>
      </c>
      <c r="O253" s="4">
        <f>SUM($M$18:M253)</f>
        <v>1296.9933333333297</v>
      </c>
      <c r="P253" s="9">
        <f t="shared" si="77"/>
        <v>0.68678946546651765</v>
      </c>
      <c r="Q253" s="26">
        <f t="shared" si="88"/>
        <v>0.68678946546651809</v>
      </c>
      <c r="R253" s="26">
        <f t="shared" si="88"/>
        <v>0.70074103685034361</v>
      </c>
      <c r="S253" s="9">
        <f t="shared" si="78"/>
        <v>0.18352540716077503</v>
      </c>
      <c r="T253" s="9">
        <f>K253/((COUNT($K$232:K253))*24*$Q$1)</f>
        <v>0.18352540716077498</v>
      </c>
      <c r="U253" s="28">
        <f>L253/((COUNT($L$18:L253))*24*$Q$1)</f>
        <v>0.16046194441878192</v>
      </c>
      <c r="V253" s="134">
        <v>11.5031</v>
      </c>
      <c r="Y253" s="27">
        <f t="shared" si="85"/>
        <v>45252</v>
      </c>
      <c r="Z253" s="5">
        <f>MONTH(Modelling_new[[#This Row],[Date]])</f>
        <v>11</v>
      </c>
      <c r="AA253" s="25">
        <f>YEAR(Y253)+IF(MONTH(Modelling_new[[#This Row],[Date]])&gt;=4,1,0)</f>
        <v>2024</v>
      </c>
      <c r="AB253" s="3">
        <f t="shared" si="79"/>
        <v>2023</v>
      </c>
      <c r="AC253" s="3" t="s">
        <v>626</v>
      </c>
      <c r="AD253" s="5" t="s">
        <v>626</v>
      </c>
      <c r="AE253" s="102">
        <v>45231</v>
      </c>
      <c r="AF253" s="5">
        <f t="shared" si="80"/>
        <v>30</v>
      </c>
      <c r="AG253" s="5">
        <f t="shared" si="81"/>
        <v>11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BD253" s="27">
        <f t="shared" si="86"/>
        <v>45252</v>
      </c>
      <c r="BE253" s="5">
        <f>MONTH(Modelling[[#This Row],[Date]])</f>
        <v>11</v>
      </c>
      <c r="BF253" s="25">
        <f>YEAR(BD253)+IF(MONTH(Modelling[[#This Row],[Date]])&gt;=4,1,0)</f>
        <v>2024</v>
      </c>
      <c r="BG253" s="3">
        <f t="shared" si="82"/>
        <v>2023</v>
      </c>
      <c r="BH253" s="3" t="s">
        <v>626</v>
      </c>
      <c r="BI253" s="5" t="s">
        <v>626</v>
      </c>
      <c r="BJ253" s="102">
        <v>45231</v>
      </c>
      <c r="BK253" s="5">
        <f t="shared" si="83"/>
        <v>30</v>
      </c>
      <c r="BL253" s="5">
        <f t="shared" si="84"/>
        <v>11</v>
      </c>
      <c r="BM253" s="4">
        <f>Modelling_old[[#This Row],[Target E_Grid daily
MWh]]+Modelling_new[[#This Row],[Target E_Grid daily
MWh]]</f>
        <v>50.666666666666664</v>
      </c>
      <c r="BN253" s="4">
        <f>Modelling_old[[#This Row],[Target E_Grid MTD
MWh]]+Modelling_new[[#This Row],[Target E_Grid MTD
MWh]]</f>
        <v>1114.6666666666665</v>
      </c>
      <c r="BO253" s="4">
        <f>Modelling_old[[#This Row],[Target E_Grid YTD
MWh]]+Modelling_new[[#This Row],[Target E_Grid YTD
MWh]]</f>
        <v>10454.666666666662</v>
      </c>
      <c r="BP25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53" s="4">
        <f>SUMIFS(Modelling[Target POA Daily (KWh/m2)],Modelling[Date],"&lt;="&amp;Modelling[[#This Row],[Date]],Modelling[Month Year],Modelling[[#This Row],[Month Year]])</f>
        <v>141.09333333333325</v>
      </c>
      <c r="BR253" s="4">
        <f>SUMIFS(Modelling[Target POA Daily (KWh/m2)],Modelling[Date],"&lt;="&amp;Modelling[[#This Row],[Date]],Modelling[Finacial Year],Modelling[[#This Row],[Finacial Year]])</f>
        <v>1296.9933333333297</v>
      </c>
      <c r="BS253" s="9">
        <f>BM253/Modelling[[#This Row],[Comisined DC ]]/BP253</f>
        <v>0.68678946546651765</v>
      </c>
      <c r="BT253" s="9">
        <f>BN253/BQ253/Modelling[[#This Row],[Comisined DC ]]</f>
        <v>0.68678946546651809</v>
      </c>
      <c r="BU253" s="9">
        <f>BO253/BR253/Modelling[[#This Row],[Comisined DC ]]</f>
        <v>0.70074103685034361</v>
      </c>
      <c r="BV253" s="9">
        <f>BM253/(24*Modelling[[#This Row],[Comisined DC ]])</f>
        <v>0.18352540716077503</v>
      </c>
      <c r="BW253" s="9">
        <f>BN253/((COUNTIFS(Modelling[Date],"&lt;="&amp;Modelling[[#This Row],[Date]],Modelling[Month Year],Modelling[[#This Row],[Month Year]])*24*Modelling[[#This Row],[MTD DC Capcity]]))</f>
        <v>0.18352540716077503</v>
      </c>
      <c r="BX253" s="28">
        <f>BO253/((COUNTIFS(Modelling[Date],"&lt;="&amp;Modelling[[#This Row],[Date]],Modelling[Finacial Year],Modelling[[#This Row],[Finacial Year]])*24*Modelling[[#This Row],[MTD DC Capcity]]))</f>
        <v>0.16046194441878198</v>
      </c>
      <c r="BY253" s="4">
        <f>Modelling_old[[#This Row],[DC Capcity]]+Modelling_new[[#This Row],[Comisined DC ]]</f>
        <v>11.5031</v>
      </c>
      <c r="BZ253" s="4">
        <v>0</v>
      </c>
      <c r="CA253" s="4">
        <f>AVERAGEIFS(Modelling[[Comisined DC ]],Modelling[Date],"&lt;="&amp;Modelling[[#This Row],[Date]],Modelling[Month Year],Modelling[[#This Row],[Month Year]])</f>
        <v>11.503099999999996</v>
      </c>
      <c r="CB253" s="4">
        <f>AVERAGEIFS(Modelling[[Comisined DC ]],Modelling[Date],"&lt;="&amp;Modelling[[#This Row],[Date]],Modelling[Finacial Year],Modelling[[#This Row],[Finacial Year]])</f>
        <v>11.503099999999945</v>
      </c>
      <c r="CG253">
        <f t="shared" si="70"/>
        <v>22</v>
      </c>
      <c r="CH253">
        <f t="shared" si="87"/>
        <v>236</v>
      </c>
    </row>
    <row r="254" spans="1:86" x14ac:dyDescent="0.35">
      <c r="A254" s="27">
        <v>45253</v>
      </c>
      <c r="B254" s="5">
        <f>MONTH(Modelling_old[[#This Row],[Date]])</f>
        <v>11</v>
      </c>
      <c r="C254" s="25">
        <f t="shared" si="71"/>
        <v>2024</v>
      </c>
      <c r="D254" s="3">
        <f t="shared" si="72"/>
        <v>2023</v>
      </c>
      <c r="E254" s="3" t="s">
        <v>626</v>
      </c>
      <c r="F254" s="5" t="s">
        <v>626</v>
      </c>
      <c r="G254" s="102">
        <v>45231</v>
      </c>
      <c r="H254" s="5">
        <f t="shared" si="73"/>
        <v>30</v>
      </c>
      <c r="I254" s="5">
        <f t="shared" si="74"/>
        <v>11</v>
      </c>
      <c r="J254" s="4">
        <f t="shared" si="75"/>
        <v>50.666666666666664</v>
      </c>
      <c r="K254" s="4">
        <f>SUM($J$232:J254)</f>
        <v>1165.3333333333333</v>
      </c>
      <c r="L254" s="4">
        <f>SUM($J$18:J254)</f>
        <v>10505.333333333328</v>
      </c>
      <c r="M254" s="4">
        <f t="shared" si="76"/>
        <v>6.4133333333333331</v>
      </c>
      <c r="N254" s="4">
        <f>SUM($M$232:M254)</f>
        <v>147.50666666666658</v>
      </c>
      <c r="O254" s="4">
        <f>SUM($M$18:M254)</f>
        <v>1303.4066666666631</v>
      </c>
      <c r="P254" s="9">
        <f t="shared" si="77"/>
        <v>0.68678946546651765</v>
      </c>
      <c r="Q254" s="26">
        <f t="shared" si="88"/>
        <v>0.68678946546651809</v>
      </c>
      <c r="R254" s="26">
        <f t="shared" si="88"/>
        <v>0.70067238899077944</v>
      </c>
      <c r="S254" s="9">
        <f t="shared" si="78"/>
        <v>0.18352540716077503</v>
      </c>
      <c r="T254" s="9">
        <f>K254/((COUNT($K$232:K254))*24*$Q$1)</f>
        <v>0.18352540716077501</v>
      </c>
      <c r="U254" s="28">
        <f>L254/((COUNT($L$18:L254))*24*$Q$1)</f>
        <v>0.1605592586075667</v>
      </c>
      <c r="V254" s="134">
        <v>11.5031</v>
      </c>
      <c r="Y254" s="27">
        <f t="shared" si="85"/>
        <v>45253</v>
      </c>
      <c r="Z254" s="5">
        <f>MONTH(Modelling_new[[#This Row],[Date]])</f>
        <v>11</v>
      </c>
      <c r="AA254" s="25">
        <f>YEAR(Y254)+IF(MONTH(Modelling_new[[#This Row],[Date]])&gt;=4,1,0)</f>
        <v>2024</v>
      </c>
      <c r="AB254" s="3">
        <f t="shared" si="79"/>
        <v>2023</v>
      </c>
      <c r="AC254" s="3" t="s">
        <v>626</v>
      </c>
      <c r="AD254" s="5" t="s">
        <v>626</v>
      </c>
      <c r="AE254" s="102">
        <v>45231</v>
      </c>
      <c r="AF254" s="5">
        <f t="shared" si="80"/>
        <v>30</v>
      </c>
      <c r="AG254" s="5">
        <f t="shared" si="81"/>
        <v>11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BD254" s="27">
        <f t="shared" si="86"/>
        <v>45253</v>
      </c>
      <c r="BE254" s="5">
        <f>MONTH(Modelling[[#This Row],[Date]])</f>
        <v>11</v>
      </c>
      <c r="BF254" s="25">
        <f>YEAR(BD254)+IF(MONTH(Modelling[[#This Row],[Date]])&gt;=4,1,0)</f>
        <v>2024</v>
      </c>
      <c r="BG254" s="3">
        <f t="shared" si="82"/>
        <v>2023</v>
      </c>
      <c r="BH254" s="3" t="s">
        <v>626</v>
      </c>
      <c r="BI254" s="5" t="s">
        <v>626</v>
      </c>
      <c r="BJ254" s="102">
        <v>45231</v>
      </c>
      <c r="BK254" s="5">
        <f t="shared" si="83"/>
        <v>30</v>
      </c>
      <c r="BL254" s="5">
        <f t="shared" si="84"/>
        <v>11</v>
      </c>
      <c r="BM254" s="4">
        <f>Modelling_old[[#This Row],[Target E_Grid daily
MWh]]+Modelling_new[[#This Row],[Target E_Grid daily
MWh]]</f>
        <v>50.666666666666664</v>
      </c>
      <c r="BN254" s="4">
        <f>Modelling_old[[#This Row],[Target E_Grid MTD
MWh]]+Modelling_new[[#This Row],[Target E_Grid MTD
MWh]]</f>
        <v>1165.3333333333333</v>
      </c>
      <c r="BO254" s="4">
        <f>Modelling_old[[#This Row],[Target E_Grid YTD
MWh]]+Modelling_new[[#This Row],[Target E_Grid YTD
MWh]]</f>
        <v>10505.333333333328</v>
      </c>
      <c r="BP25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54" s="4">
        <f>SUMIFS(Modelling[Target POA Daily (KWh/m2)],Modelling[Date],"&lt;="&amp;Modelling[[#This Row],[Date]],Modelling[Month Year],Modelling[[#This Row],[Month Year]])</f>
        <v>147.50666666666658</v>
      </c>
      <c r="BR254" s="4">
        <f>SUMIFS(Modelling[Target POA Daily (KWh/m2)],Modelling[Date],"&lt;="&amp;Modelling[[#This Row],[Date]],Modelling[Finacial Year],Modelling[[#This Row],[Finacial Year]])</f>
        <v>1303.4066666666631</v>
      </c>
      <c r="BS254" s="9">
        <f>BM254/Modelling[[#This Row],[Comisined DC ]]/BP254</f>
        <v>0.68678946546651765</v>
      </c>
      <c r="BT254" s="9">
        <f>BN254/BQ254/Modelling[[#This Row],[Comisined DC ]]</f>
        <v>0.68678946546651809</v>
      </c>
      <c r="BU254" s="9">
        <f>BO254/BR254/Modelling[[#This Row],[Comisined DC ]]</f>
        <v>0.70067238899077944</v>
      </c>
      <c r="BV254" s="9">
        <f>BM254/(24*Modelling[[#This Row],[Comisined DC ]])</f>
        <v>0.18352540716077503</v>
      </c>
      <c r="BW254" s="9">
        <f>BN254/((COUNTIFS(Modelling[Date],"&lt;="&amp;Modelling[[#This Row],[Date]],Modelling[Month Year],Modelling[[#This Row],[Month Year]])*24*Modelling[[#This Row],[MTD DC Capcity]]))</f>
        <v>0.18352540716077509</v>
      </c>
      <c r="BX254" s="28">
        <f>BO254/((COUNTIFS(Modelling[Date],"&lt;="&amp;Modelling[[#This Row],[Date]],Modelling[Finacial Year],Modelling[[#This Row],[Finacial Year]])*24*Modelling[[#This Row],[MTD DC Capcity]]))</f>
        <v>0.16055925860756678</v>
      </c>
      <c r="BY254" s="4">
        <f>Modelling_old[[#This Row],[DC Capcity]]+Modelling_new[[#This Row],[Comisined DC ]]</f>
        <v>11.5031</v>
      </c>
      <c r="BZ254" s="4">
        <v>0</v>
      </c>
      <c r="CA254" s="4">
        <f>AVERAGEIFS(Modelling[[Comisined DC ]],Modelling[Date],"&lt;="&amp;Modelling[[#This Row],[Date]],Modelling[Month Year],Modelling[[#This Row],[Month Year]])</f>
        <v>11.503099999999995</v>
      </c>
      <c r="CB254" s="4">
        <f>AVERAGEIFS(Modelling[[Comisined DC ]],Modelling[Date],"&lt;="&amp;Modelling[[#This Row],[Date]],Modelling[Finacial Year],Modelling[[#This Row],[Finacial Year]])</f>
        <v>11.503099999999945</v>
      </c>
      <c r="CG254">
        <f t="shared" si="70"/>
        <v>23</v>
      </c>
      <c r="CH254">
        <f t="shared" si="87"/>
        <v>237</v>
      </c>
    </row>
    <row r="255" spans="1:86" x14ac:dyDescent="0.35">
      <c r="A255" s="27">
        <v>45254</v>
      </c>
      <c r="B255" s="5">
        <f>MONTH(Modelling_old[[#This Row],[Date]])</f>
        <v>11</v>
      </c>
      <c r="C255" s="25">
        <f t="shared" si="71"/>
        <v>2024</v>
      </c>
      <c r="D255" s="3">
        <f t="shared" si="72"/>
        <v>2023</v>
      </c>
      <c r="E255" s="3" t="s">
        <v>626</v>
      </c>
      <c r="F255" s="5" t="s">
        <v>626</v>
      </c>
      <c r="G255" s="102">
        <v>45231</v>
      </c>
      <c r="H255" s="5">
        <f t="shared" si="73"/>
        <v>30</v>
      </c>
      <c r="I255" s="5">
        <f t="shared" si="74"/>
        <v>11</v>
      </c>
      <c r="J255" s="4">
        <f t="shared" si="75"/>
        <v>50.666666666666664</v>
      </c>
      <c r="K255" s="4">
        <f>SUM($J$232:J255)</f>
        <v>1216</v>
      </c>
      <c r="L255" s="4">
        <f>SUM($J$18:J255)</f>
        <v>10555.999999999995</v>
      </c>
      <c r="M255" s="4">
        <f t="shared" si="76"/>
        <v>6.4133333333333331</v>
      </c>
      <c r="N255" s="4">
        <f>SUM($M$232:M255)</f>
        <v>153.9199999999999</v>
      </c>
      <c r="O255" s="4">
        <f>SUM($M$18:M255)</f>
        <v>1309.8199999999965</v>
      </c>
      <c r="P255" s="9">
        <f t="shared" si="77"/>
        <v>0.68678946546651765</v>
      </c>
      <c r="Q255" s="26">
        <f t="shared" si="88"/>
        <v>0.6867894654665182</v>
      </c>
      <c r="R255" s="26">
        <f t="shared" si="88"/>
        <v>0.70060441337870882</v>
      </c>
      <c r="S255" s="9">
        <f t="shared" si="78"/>
        <v>0.18352540716077503</v>
      </c>
      <c r="T255" s="9">
        <f>K255/((COUNT($K$232:K255))*24*$Q$1)</f>
        <v>0.18352540716077501</v>
      </c>
      <c r="U255" s="28">
        <f>L255/((COUNT($L$18:L255))*24*$Q$1)</f>
        <v>0.16065575503005916</v>
      </c>
      <c r="V255" s="134">
        <v>11.5031</v>
      </c>
      <c r="Y255" s="27">
        <f t="shared" si="85"/>
        <v>45254</v>
      </c>
      <c r="Z255" s="5">
        <f>MONTH(Modelling_new[[#This Row],[Date]])</f>
        <v>11</v>
      </c>
      <c r="AA255" s="25">
        <f>YEAR(Y255)+IF(MONTH(Modelling_new[[#This Row],[Date]])&gt;=4,1,0)</f>
        <v>2024</v>
      </c>
      <c r="AB255" s="3">
        <f t="shared" si="79"/>
        <v>2023</v>
      </c>
      <c r="AC255" s="3" t="s">
        <v>626</v>
      </c>
      <c r="AD255" s="5" t="s">
        <v>626</v>
      </c>
      <c r="AE255" s="102">
        <v>45231</v>
      </c>
      <c r="AF255" s="5">
        <f t="shared" si="80"/>
        <v>30</v>
      </c>
      <c r="AG255" s="5">
        <f t="shared" si="81"/>
        <v>11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BD255" s="27">
        <f t="shared" si="86"/>
        <v>45254</v>
      </c>
      <c r="BE255" s="5">
        <f>MONTH(Modelling[[#This Row],[Date]])</f>
        <v>11</v>
      </c>
      <c r="BF255" s="25">
        <f>YEAR(BD255)+IF(MONTH(Modelling[[#This Row],[Date]])&gt;=4,1,0)</f>
        <v>2024</v>
      </c>
      <c r="BG255" s="3">
        <f t="shared" si="82"/>
        <v>2023</v>
      </c>
      <c r="BH255" s="3" t="s">
        <v>626</v>
      </c>
      <c r="BI255" s="5" t="s">
        <v>626</v>
      </c>
      <c r="BJ255" s="102">
        <v>45231</v>
      </c>
      <c r="BK255" s="5">
        <f t="shared" si="83"/>
        <v>30</v>
      </c>
      <c r="BL255" s="5">
        <f t="shared" si="84"/>
        <v>11</v>
      </c>
      <c r="BM255" s="4">
        <f>Modelling_old[[#This Row],[Target E_Grid daily
MWh]]+Modelling_new[[#This Row],[Target E_Grid daily
MWh]]</f>
        <v>50.666666666666664</v>
      </c>
      <c r="BN255" s="4">
        <f>Modelling_old[[#This Row],[Target E_Grid MTD
MWh]]+Modelling_new[[#This Row],[Target E_Grid MTD
MWh]]</f>
        <v>1216</v>
      </c>
      <c r="BO255" s="4">
        <f>Modelling_old[[#This Row],[Target E_Grid YTD
MWh]]+Modelling_new[[#This Row],[Target E_Grid YTD
MWh]]</f>
        <v>10555.999999999995</v>
      </c>
      <c r="BP25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55" s="4">
        <f>SUMIFS(Modelling[Target POA Daily (KWh/m2)],Modelling[Date],"&lt;="&amp;Modelling[[#This Row],[Date]],Modelling[Month Year],Modelling[[#This Row],[Month Year]])</f>
        <v>153.9199999999999</v>
      </c>
      <c r="BR255" s="4">
        <f>SUMIFS(Modelling[Target POA Daily (KWh/m2)],Modelling[Date],"&lt;="&amp;Modelling[[#This Row],[Date]],Modelling[Finacial Year],Modelling[[#This Row],[Finacial Year]])</f>
        <v>1309.8199999999965</v>
      </c>
      <c r="BS255" s="9">
        <f>BM255/Modelling[[#This Row],[Comisined DC ]]/BP255</f>
        <v>0.68678946546651765</v>
      </c>
      <c r="BT255" s="9">
        <f>BN255/BQ255/Modelling[[#This Row],[Comisined DC ]]</f>
        <v>0.6867894654665182</v>
      </c>
      <c r="BU255" s="9">
        <f>BO255/BR255/Modelling[[#This Row],[Comisined DC ]]</f>
        <v>0.70060441337870882</v>
      </c>
      <c r="BV255" s="9">
        <f>BM255/(24*Modelling[[#This Row],[Comisined DC ]])</f>
        <v>0.18352540716077503</v>
      </c>
      <c r="BW255" s="9">
        <f>BN255/((COUNTIFS(Modelling[Date],"&lt;="&amp;Modelling[[#This Row],[Date]],Modelling[Month Year],Modelling[[#This Row],[Month Year]])*24*Modelling[[#This Row],[MTD DC Capcity]]))</f>
        <v>0.18352540716077509</v>
      </c>
      <c r="BX255" s="28">
        <f>BO255/((COUNTIFS(Modelling[Date],"&lt;="&amp;Modelling[[#This Row],[Date]],Modelling[Finacial Year],Modelling[[#This Row],[Finacial Year]])*24*Modelling[[#This Row],[MTD DC Capcity]]))</f>
        <v>0.16065575503005922</v>
      </c>
      <c r="BY255" s="4">
        <f>Modelling_old[[#This Row],[DC Capcity]]+Modelling_new[[#This Row],[Comisined DC ]]</f>
        <v>11.5031</v>
      </c>
      <c r="BZ255" s="4">
        <v>0</v>
      </c>
      <c r="CA255" s="4">
        <f>AVERAGEIFS(Modelling[[Comisined DC ]],Modelling[Date],"&lt;="&amp;Modelling[[#This Row],[Date]],Modelling[Month Year],Modelling[[#This Row],[Month Year]])</f>
        <v>11.503099999999996</v>
      </c>
      <c r="CB255" s="4">
        <f>AVERAGEIFS(Modelling[[Comisined DC ]],Modelling[Date],"&lt;="&amp;Modelling[[#This Row],[Date]],Modelling[Finacial Year],Modelling[[#This Row],[Finacial Year]])</f>
        <v>11.503099999999945</v>
      </c>
      <c r="CG255">
        <f t="shared" si="70"/>
        <v>24</v>
      </c>
      <c r="CH255">
        <f t="shared" si="87"/>
        <v>238</v>
      </c>
    </row>
    <row r="256" spans="1:86" x14ac:dyDescent="0.35">
      <c r="A256" s="27">
        <v>45255</v>
      </c>
      <c r="B256" s="5">
        <f>MONTH(Modelling_old[[#This Row],[Date]])</f>
        <v>11</v>
      </c>
      <c r="C256" s="25">
        <f t="shared" si="71"/>
        <v>2024</v>
      </c>
      <c r="D256" s="3">
        <f t="shared" si="72"/>
        <v>2023</v>
      </c>
      <c r="E256" s="3" t="s">
        <v>626</v>
      </c>
      <c r="F256" s="5" t="s">
        <v>626</v>
      </c>
      <c r="G256" s="102">
        <v>45231</v>
      </c>
      <c r="H256" s="5">
        <f t="shared" si="73"/>
        <v>30</v>
      </c>
      <c r="I256" s="5">
        <f t="shared" si="74"/>
        <v>11</v>
      </c>
      <c r="J256" s="4">
        <f t="shared" si="75"/>
        <v>50.666666666666664</v>
      </c>
      <c r="K256" s="4">
        <f>SUM($J$232:J256)</f>
        <v>1266.6666666666667</v>
      </c>
      <c r="L256" s="4">
        <f>SUM($J$18:J256)</f>
        <v>10606.666666666661</v>
      </c>
      <c r="M256" s="4">
        <f t="shared" si="76"/>
        <v>6.4133333333333331</v>
      </c>
      <c r="N256" s="4">
        <f>SUM($M$232:M256)</f>
        <v>160.33333333333323</v>
      </c>
      <c r="O256" s="4">
        <f>SUM($M$18:M256)</f>
        <v>1316.2333333333299</v>
      </c>
      <c r="P256" s="9">
        <f t="shared" si="77"/>
        <v>0.68678946546651765</v>
      </c>
      <c r="Q256" s="26">
        <f t="shared" si="88"/>
        <v>0.6867894654665182</v>
      </c>
      <c r="R256" s="26">
        <f t="shared" si="88"/>
        <v>0.70053710018757476</v>
      </c>
      <c r="S256" s="9">
        <f t="shared" si="78"/>
        <v>0.18352540716077503</v>
      </c>
      <c r="T256" s="9">
        <f>K256/((COUNT($K$232:K256))*24*$Q$1)</f>
        <v>0.18352540716077503</v>
      </c>
      <c r="U256" s="28">
        <f>L256/((COUNT($L$18:L256))*24*$Q$1)</f>
        <v>0.16075144395110816</v>
      </c>
      <c r="V256" s="134">
        <v>11.5031</v>
      </c>
      <c r="Y256" s="27">
        <f t="shared" si="85"/>
        <v>45255</v>
      </c>
      <c r="Z256" s="5">
        <f>MONTH(Modelling_new[[#This Row],[Date]])</f>
        <v>11</v>
      </c>
      <c r="AA256" s="25">
        <f>YEAR(Y256)+IF(MONTH(Modelling_new[[#This Row],[Date]])&gt;=4,1,0)</f>
        <v>2024</v>
      </c>
      <c r="AB256" s="3">
        <f t="shared" si="79"/>
        <v>2023</v>
      </c>
      <c r="AC256" s="3" t="s">
        <v>626</v>
      </c>
      <c r="AD256" s="5" t="s">
        <v>626</v>
      </c>
      <c r="AE256" s="102">
        <v>45231</v>
      </c>
      <c r="AF256" s="5">
        <f t="shared" si="80"/>
        <v>30</v>
      </c>
      <c r="AG256" s="5">
        <f t="shared" si="81"/>
        <v>11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BD256" s="27">
        <f t="shared" si="86"/>
        <v>45255</v>
      </c>
      <c r="BE256" s="5">
        <f>MONTH(Modelling[[#This Row],[Date]])</f>
        <v>11</v>
      </c>
      <c r="BF256" s="25">
        <f>YEAR(BD256)+IF(MONTH(Modelling[[#This Row],[Date]])&gt;=4,1,0)</f>
        <v>2024</v>
      </c>
      <c r="BG256" s="3">
        <f t="shared" si="82"/>
        <v>2023</v>
      </c>
      <c r="BH256" s="3" t="s">
        <v>626</v>
      </c>
      <c r="BI256" s="5" t="s">
        <v>626</v>
      </c>
      <c r="BJ256" s="102">
        <v>45231</v>
      </c>
      <c r="BK256" s="5">
        <f t="shared" si="83"/>
        <v>30</v>
      </c>
      <c r="BL256" s="5">
        <f t="shared" si="84"/>
        <v>11</v>
      </c>
      <c r="BM256" s="4">
        <f>Modelling_old[[#This Row],[Target E_Grid daily
MWh]]+Modelling_new[[#This Row],[Target E_Grid daily
MWh]]</f>
        <v>50.666666666666664</v>
      </c>
      <c r="BN256" s="4">
        <f>Modelling_old[[#This Row],[Target E_Grid MTD
MWh]]+Modelling_new[[#This Row],[Target E_Grid MTD
MWh]]</f>
        <v>1266.6666666666667</v>
      </c>
      <c r="BO256" s="4">
        <f>Modelling_old[[#This Row],[Target E_Grid YTD
MWh]]+Modelling_new[[#This Row],[Target E_Grid YTD
MWh]]</f>
        <v>10606.666666666661</v>
      </c>
      <c r="BP25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56" s="4">
        <f>SUMIFS(Modelling[Target POA Daily (KWh/m2)],Modelling[Date],"&lt;="&amp;Modelling[[#This Row],[Date]],Modelling[Month Year],Modelling[[#This Row],[Month Year]])</f>
        <v>160.33333333333323</v>
      </c>
      <c r="BR256" s="4">
        <f>SUMIFS(Modelling[Target POA Daily (KWh/m2)],Modelling[Date],"&lt;="&amp;Modelling[[#This Row],[Date]],Modelling[Finacial Year],Modelling[[#This Row],[Finacial Year]])</f>
        <v>1316.2333333333299</v>
      </c>
      <c r="BS256" s="9">
        <f>BM256/Modelling[[#This Row],[Comisined DC ]]/BP256</f>
        <v>0.68678946546651765</v>
      </c>
      <c r="BT256" s="9">
        <f>BN256/BQ256/Modelling[[#This Row],[Comisined DC ]]</f>
        <v>0.6867894654665182</v>
      </c>
      <c r="BU256" s="9">
        <f>BO256/BR256/Modelling[[#This Row],[Comisined DC ]]</f>
        <v>0.70053710018757476</v>
      </c>
      <c r="BV256" s="9">
        <f>BM256/(24*Modelling[[#This Row],[Comisined DC ]])</f>
        <v>0.18352540716077503</v>
      </c>
      <c r="BW256" s="9">
        <f>BN256/((COUNTIFS(Modelling[Date],"&lt;="&amp;Modelling[[#This Row],[Date]],Modelling[Month Year],Modelling[[#This Row],[Month Year]])*24*Modelling[[#This Row],[MTD DC Capcity]]))</f>
        <v>0.18352540716077509</v>
      </c>
      <c r="BX256" s="28">
        <f>BO256/((COUNTIFS(Modelling[Date],"&lt;="&amp;Modelling[[#This Row],[Date]],Modelling[Finacial Year],Modelling[[#This Row],[Finacial Year]])*24*Modelling[[#This Row],[MTD DC Capcity]]))</f>
        <v>0.16075144395110824</v>
      </c>
      <c r="BY256" s="4">
        <f>Modelling_old[[#This Row],[DC Capcity]]+Modelling_new[[#This Row],[Comisined DC ]]</f>
        <v>11.5031</v>
      </c>
      <c r="BZ256" s="4">
        <v>0</v>
      </c>
      <c r="CA256" s="4">
        <f>AVERAGEIFS(Modelling[[Comisined DC ]],Modelling[Date],"&lt;="&amp;Modelling[[#This Row],[Date]],Modelling[Month Year],Modelling[[#This Row],[Month Year]])</f>
        <v>11.503099999999996</v>
      </c>
      <c r="CB256" s="4">
        <f>AVERAGEIFS(Modelling[[Comisined DC ]],Modelling[Date],"&lt;="&amp;Modelling[[#This Row],[Date]],Modelling[Finacial Year],Modelling[[#This Row],[Finacial Year]])</f>
        <v>11.503099999999943</v>
      </c>
      <c r="CG256">
        <f t="shared" si="70"/>
        <v>25</v>
      </c>
      <c r="CH256">
        <f t="shared" si="87"/>
        <v>239</v>
      </c>
    </row>
    <row r="257" spans="1:86" x14ac:dyDescent="0.35">
      <c r="A257" s="27">
        <v>45256</v>
      </c>
      <c r="B257" s="5">
        <f>MONTH(Modelling_old[[#This Row],[Date]])</f>
        <v>11</v>
      </c>
      <c r="C257" s="25">
        <f t="shared" si="71"/>
        <v>2024</v>
      </c>
      <c r="D257" s="3">
        <f t="shared" si="72"/>
        <v>2023</v>
      </c>
      <c r="E257" s="3" t="s">
        <v>626</v>
      </c>
      <c r="F257" s="5" t="s">
        <v>626</v>
      </c>
      <c r="G257" s="102">
        <v>45231</v>
      </c>
      <c r="H257" s="5">
        <f t="shared" si="73"/>
        <v>30</v>
      </c>
      <c r="I257" s="5">
        <f t="shared" si="74"/>
        <v>11</v>
      </c>
      <c r="J257" s="4">
        <f t="shared" si="75"/>
        <v>50.666666666666664</v>
      </c>
      <c r="K257" s="4">
        <f>SUM($J$232:J257)</f>
        <v>1317.3333333333335</v>
      </c>
      <c r="L257" s="4">
        <f>SUM($J$18:J257)</f>
        <v>10657.333333333327</v>
      </c>
      <c r="M257" s="4">
        <f t="shared" si="76"/>
        <v>6.4133333333333331</v>
      </c>
      <c r="N257" s="4">
        <f>SUM($M$232:M257)</f>
        <v>166.74666666666656</v>
      </c>
      <c r="O257" s="4">
        <f>SUM($M$18:M257)</f>
        <v>1322.6466666666634</v>
      </c>
      <c r="P257" s="9">
        <f t="shared" si="77"/>
        <v>0.68678946546651765</v>
      </c>
      <c r="Q257" s="26">
        <f t="shared" si="88"/>
        <v>0.68678946546651831</v>
      </c>
      <c r="R257" s="26">
        <f t="shared" si="88"/>
        <v>0.70047043978141099</v>
      </c>
      <c r="S257" s="9">
        <f t="shared" si="78"/>
        <v>0.18352540716077503</v>
      </c>
      <c r="T257" s="9">
        <f>K257/((COUNT($K$232:K257))*24*$Q$1)</f>
        <v>0.18352540716077503</v>
      </c>
      <c r="U257" s="28">
        <f>L257/((COUNT($L$18:L257))*24*$Q$1)</f>
        <v>0.16084633546448177</v>
      </c>
      <c r="V257" s="134">
        <v>11.5031</v>
      </c>
      <c r="Y257" s="27">
        <f t="shared" si="85"/>
        <v>45256</v>
      </c>
      <c r="Z257" s="5">
        <f>MONTH(Modelling_new[[#This Row],[Date]])</f>
        <v>11</v>
      </c>
      <c r="AA257" s="25">
        <f>YEAR(Y257)+IF(MONTH(Modelling_new[[#This Row],[Date]])&gt;=4,1,0)</f>
        <v>2024</v>
      </c>
      <c r="AB257" s="3">
        <f t="shared" si="79"/>
        <v>2023</v>
      </c>
      <c r="AC257" s="3" t="s">
        <v>626</v>
      </c>
      <c r="AD257" s="5" t="s">
        <v>626</v>
      </c>
      <c r="AE257" s="102">
        <v>45231</v>
      </c>
      <c r="AF257" s="5">
        <f t="shared" si="80"/>
        <v>30</v>
      </c>
      <c r="AG257" s="5">
        <f t="shared" si="81"/>
        <v>11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BD257" s="27">
        <f t="shared" si="86"/>
        <v>45256</v>
      </c>
      <c r="BE257" s="5">
        <f>MONTH(Modelling[[#This Row],[Date]])</f>
        <v>11</v>
      </c>
      <c r="BF257" s="25">
        <f>YEAR(BD257)+IF(MONTH(Modelling[[#This Row],[Date]])&gt;=4,1,0)</f>
        <v>2024</v>
      </c>
      <c r="BG257" s="3">
        <f t="shared" si="82"/>
        <v>2023</v>
      </c>
      <c r="BH257" s="3" t="s">
        <v>626</v>
      </c>
      <c r="BI257" s="5" t="s">
        <v>626</v>
      </c>
      <c r="BJ257" s="102">
        <v>45231</v>
      </c>
      <c r="BK257" s="5">
        <f t="shared" si="83"/>
        <v>30</v>
      </c>
      <c r="BL257" s="5">
        <f t="shared" si="84"/>
        <v>11</v>
      </c>
      <c r="BM257" s="4">
        <f>Modelling_old[[#This Row],[Target E_Grid daily
MWh]]+Modelling_new[[#This Row],[Target E_Grid daily
MWh]]</f>
        <v>50.666666666666664</v>
      </c>
      <c r="BN257" s="4">
        <f>Modelling_old[[#This Row],[Target E_Grid MTD
MWh]]+Modelling_new[[#This Row],[Target E_Grid MTD
MWh]]</f>
        <v>1317.3333333333335</v>
      </c>
      <c r="BO257" s="4">
        <f>Modelling_old[[#This Row],[Target E_Grid YTD
MWh]]+Modelling_new[[#This Row],[Target E_Grid YTD
MWh]]</f>
        <v>10657.333333333327</v>
      </c>
      <c r="BP25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57" s="4">
        <f>SUMIFS(Modelling[Target POA Daily (KWh/m2)],Modelling[Date],"&lt;="&amp;Modelling[[#This Row],[Date]],Modelling[Month Year],Modelling[[#This Row],[Month Year]])</f>
        <v>166.74666666666656</v>
      </c>
      <c r="BR257" s="4">
        <f>SUMIFS(Modelling[Target POA Daily (KWh/m2)],Modelling[Date],"&lt;="&amp;Modelling[[#This Row],[Date]],Modelling[Finacial Year],Modelling[[#This Row],[Finacial Year]])</f>
        <v>1322.6466666666634</v>
      </c>
      <c r="BS257" s="9">
        <f>BM257/Modelling[[#This Row],[Comisined DC ]]/BP257</f>
        <v>0.68678946546651765</v>
      </c>
      <c r="BT257" s="9">
        <f>BN257/BQ257/Modelling[[#This Row],[Comisined DC ]]</f>
        <v>0.68678946546651831</v>
      </c>
      <c r="BU257" s="9">
        <f>BO257/BR257/Modelling[[#This Row],[Comisined DC ]]</f>
        <v>0.70047043978141099</v>
      </c>
      <c r="BV257" s="9">
        <f>BM257/(24*Modelling[[#This Row],[Comisined DC ]])</f>
        <v>0.18352540716077503</v>
      </c>
      <c r="BW257" s="9">
        <f>BN257/((COUNTIFS(Modelling[Date],"&lt;="&amp;Modelling[[#This Row],[Date]],Modelling[Month Year],Modelling[[#This Row],[Month Year]])*24*Modelling[[#This Row],[MTD DC Capcity]]))</f>
        <v>0.18352540716077506</v>
      </c>
      <c r="BX257" s="28">
        <f>BO257/((COUNTIFS(Modelling[Date],"&lt;="&amp;Modelling[[#This Row],[Date]],Modelling[Finacial Year],Modelling[[#This Row],[Finacial Year]])*24*Modelling[[#This Row],[MTD DC Capcity]]))</f>
        <v>0.16084633546448182</v>
      </c>
      <c r="BY257" s="4">
        <f>Modelling_old[[#This Row],[DC Capcity]]+Modelling_new[[#This Row],[Comisined DC ]]</f>
        <v>11.5031</v>
      </c>
      <c r="BZ257" s="4">
        <v>0</v>
      </c>
      <c r="CA257" s="4">
        <f>AVERAGEIFS(Modelling[[Comisined DC ]],Modelling[Date],"&lt;="&amp;Modelling[[#This Row],[Date]],Modelling[Month Year],Modelling[[#This Row],[Month Year]])</f>
        <v>11.503099999999998</v>
      </c>
      <c r="CB257" s="4">
        <f>AVERAGEIFS(Modelling[[Comisined DC ]],Modelling[Date],"&lt;="&amp;Modelling[[#This Row],[Date]],Modelling[Finacial Year],Modelling[[#This Row],[Finacial Year]])</f>
        <v>11.503099999999943</v>
      </c>
      <c r="CG257">
        <f t="shared" si="70"/>
        <v>26</v>
      </c>
      <c r="CH257">
        <f t="shared" si="87"/>
        <v>240</v>
      </c>
    </row>
    <row r="258" spans="1:86" x14ac:dyDescent="0.35">
      <c r="A258" s="27">
        <v>45257</v>
      </c>
      <c r="B258" s="5">
        <f>MONTH(Modelling_old[[#This Row],[Date]])</f>
        <v>11</v>
      </c>
      <c r="C258" s="25">
        <f t="shared" si="71"/>
        <v>2024</v>
      </c>
      <c r="D258" s="3">
        <f t="shared" si="72"/>
        <v>2023</v>
      </c>
      <c r="E258" s="3" t="s">
        <v>626</v>
      </c>
      <c r="F258" s="5" t="s">
        <v>626</v>
      </c>
      <c r="G258" s="102">
        <v>45231</v>
      </c>
      <c r="H258" s="5">
        <f t="shared" si="73"/>
        <v>30</v>
      </c>
      <c r="I258" s="5">
        <f t="shared" si="74"/>
        <v>11</v>
      </c>
      <c r="J258" s="4">
        <f t="shared" si="75"/>
        <v>50.666666666666664</v>
      </c>
      <c r="K258" s="4">
        <f>SUM($J$232:J258)</f>
        <v>1368.0000000000002</v>
      </c>
      <c r="L258" s="4">
        <f>SUM($J$18:J258)</f>
        <v>10707.999999999993</v>
      </c>
      <c r="M258" s="4">
        <f t="shared" si="76"/>
        <v>6.4133333333333331</v>
      </c>
      <c r="N258" s="4">
        <f>SUM($M$232:M258)</f>
        <v>173.15999999999988</v>
      </c>
      <c r="O258" s="4">
        <f>SUM($M$18:M258)</f>
        <v>1329.0599999999968</v>
      </c>
      <c r="P258" s="9">
        <f t="shared" si="77"/>
        <v>0.68678946546651765</v>
      </c>
      <c r="Q258" s="26">
        <f t="shared" si="88"/>
        <v>0.68678946546651831</v>
      </c>
      <c r="R258" s="26">
        <f t="shared" si="88"/>
        <v>0.70040442271024317</v>
      </c>
      <c r="S258" s="9">
        <f t="shared" si="78"/>
        <v>0.18352540716077503</v>
      </c>
      <c r="T258" s="9">
        <f>K258/((COUNT($K$232:K258))*24*$Q$1)</f>
        <v>0.18352540716077506</v>
      </c>
      <c r="U258" s="28">
        <f>L258/((COUNT($L$18:L258))*24*$Q$1)</f>
        <v>0.16094043949641659</v>
      </c>
      <c r="V258" s="134">
        <v>11.5031</v>
      </c>
      <c r="Y258" s="27">
        <f t="shared" si="85"/>
        <v>45257</v>
      </c>
      <c r="Z258" s="5">
        <f>MONTH(Modelling_new[[#This Row],[Date]])</f>
        <v>11</v>
      </c>
      <c r="AA258" s="25">
        <f>YEAR(Y258)+IF(MONTH(Modelling_new[[#This Row],[Date]])&gt;=4,1,0)</f>
        <v>2024</v>
      </c>
      <c r="AB258" s="3">
        <f t="shared" si="79"/>
        <v>2023</v>
      </c>
      <c r="AC258" s="3" t="s">
        <v>626</v>
      </c>
      <c r="AD258" s="5" t="s">
        <v>626</v>
      </c>
      <c r="AE258" s="102">
        <v>45231</v>
      </c>
      <c r="AF258" s="5">
        <f t="shared" si="80"/>
        <v>30</v>
      </c>
      <c r="AG258" s="5">
        <f t="shared" si="81"/>
        <v>11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BD258" s="27">
        <f t="shared" si="86"/>
        <v>45257</v>
      </c>
      <c r="BE258" s="5">
        <f>MONTH(Modelling[[#This Row],[Date]])</f>
        <v>11</v>
      </c>
      <c r="BF258" s="25">
        <f>YEAR(BD258)+IF(MONTH(Modelling[[#This Row],[Date]])&gt;=4,1,0)</f>
        <v>2024</v>
      </c>
      <c r="BG258" s="3">
        <f t="shared" si="82"/>
        <v>2023</v>
      </c>
      <c r="BH258" s="3" t="s">
        <v>626</v>
      </c>
      <c r="BI258" s="5" t="s">
        <v>626</v>
      </c>
      <c r="BJ258" s="102">
        <v>45231</v>
      </c>
      <c r="BK258" s="5">
        <f t="shared" si="83"/>
        <v>30</v>
      </c>
      <c r="BL258" s="5">
        <f t="shared" si="84"/>
        <v>11</v>
      </c>
      <c r="BM258" s="4">
        <f>Modelling_old[[#This Row],[Target E_Grid daily
MWh]]+Modelling_new[[#This Row],[Target E_Grid daily
MWh]]</f>
        <v>50.666666666666664</v>
      </c>
      <c r="BN258" s="4">
        <f>Modelling_old[[#This Row],[Target E_Grid MTD
MWh]]+Modelling_new[[#This Row],[Target E_Grid MTD
MWh]]</f>
        <v>1368.0000000000002</v>
      </c>
      <c r="BO258" s="4">
        <f>Modelling_old[[#This Row],[Target E_Grid YTD
MWh]]+Modelling_new[[#This Row],[Target E_Grid YTD
MWh]]</f>
        <v>10707.999999999993</v>
      </c>
      <c r="BP25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58" s="4">
        <f>SUMIFS(Modelling[Target POA Daily (KWh/m2)],Modelling[Date],"&lt;="&amp;Modelling[[#This Row],[Date]],Modelling[Month Year],Modelling[[#This Row],[Month Year]])</f>
        <v>173.15999999999988</v>
      </c>
      <c r="BR258" s="4">
        <f>SUMIFS(Modelling[Target POA Daily (KWh/m2)],Modelling[Date],"&lt;="&amp;Modelling[[#This Row],[Date]],Modelling[Finacial Year],Modelling[[#This Row],[Finacial Year]])</f>
        <v>1329.0599999999968</v>
      </c>
      <c r="BS258" s="9">
        <f>BM258/Modelling[[#This Row],[Comisined DC ]]/BP258</f>
        <v>0.68678946546651765</v>
      </c>
      <c r="BT258" s="9">
        <f>BN258/BQ258/Modelling[[#This Row],[Comisined DC ]]</f>
        <v>0.68678946546651831</v>
      </c>
      <c r="BU258" s="9">
        <f>BO258/BR258/Modelling[[#This Row],[Comisined DC ]]</f>
        <v>0.70040442271024317</v>
      </c>
      <c r="BV258" s="9">
        <f>BM258/(24*Modelling[[#This Row],[Comisined DC ]])</f>
        <v>0.18352540716077503</v>
      </c>
      <c r="BW258" s="9">
        <f>BN258/((COUNTIFS(Modelling[Date],"&lt;="&amp;Modelling[[#This Row],[Date]],Modelling[Month Year],Modelling[[#This Row],[Month Year]])*24*Modelling[[#This Row],[MTD DC Capcity]]))</f>
        <v>0.18352540716077509</v>
      </c>
      <c r="BX258" s="28">
        <f>BO258/((COUNTIFS(Modelling[Date],"&lt;="&amp;Modelling[[#This Row],[Date]],Modelling[Finacial Year],Modelling[[#This Row],[Finacial Year]])*24*Modelling[[#This Row],[MTD DC Capcity]]))</f>
        <v>0.16094043949641665</v>
      </c>
      <c r="BY258" s="4">
        <f>Modelling_old[[#This Row],[DC Capcity]]+Modelling_new[[#This Row],[Comisined DC ]]</f>
        <v>11.5031</v>
      </c>
      <c r="BZ258" s="4">
        <v>0</v>
      </c>
      <c r="CA258" s="4">
        <f>AVERAGEIFS(Modelling[[Comisined DC ]],Modelling[Date],"&lt;="&amp;Modelling[[#This Row],[Date]],Modelling[Month Year],Modelling[[#This Row],[Month Year]])</f>
        <v>11.503099999999998</v>
      </c>
      <c r="CB258" s="4">
        <f>AVERAGEIFS(Modelling[[Comisined DC ]],Modelling[Date],"&lt;="&amp;Modelling[[#This Row],[Date]],Modelling[Finacial Year],Modelling[[#This Row],[Finacial Year]])</f>
        <v>11.503099999999943</v>
      </c>
      <c r="CG258">
        <f t="shared" si="70"/>
        <v>27</v>
      </c>
      <c r="CH258">
        <f t="shared" si="87"/>
        <v>241</v>
      </c>
    </row>
    <row r="259" spans="1:86" x14ac:dyDescent="0.35">
      <c r="A259" s="27">
        <v>45258</v>
      </c>
      <c r="B259" s="5">
        <f>MONTH(Modelling_old[[#This Row],[Date]])</f>
        <v>11</v>
      </c>
      <c r="C259" s="25">
        <f t="shared" si="71"/>
        <v>2024</v>
      </c>
      <c r="D259" s="3">
        <f t="shared" si="72"/>
        <v>2023</v>
      </c>
      <c r="E259" s="3" t="s">
        <v>626</v>
      </c>
      <c r="F259" s="5" t="s">
        <v>626</v>
      </c>
      <c r="G259" s="102">
        <v>45231</v>
      </c>
      <c r="H259" s="5">
        <f t="shared" si="73"/>
        <v>30</v>
      </c>
      <c r="I259" s="5">
        <f t="shared" si="74"/>
        <v>11</v>
      </c>
      <c r="J259" s="4">
        <f t="shared" si="75"/>
        <v>50.666666666666664</v>
      </c>
      <c r="K259" s="4">
        <f>SUM($J$232:J259)</f>
        <v>1418.666666666667</v>
      </c>
      <c r="L259" s="4">
        <f>SUM($J$18:J259)</f>
        <v>10758.666666666659</v>
      </c>
      <c r="M259" s="4">
        <f t="shared" si="76"/>
        <v>6.4133333333333331</v>
      </c>
      <c r="N259" s="4">
        <f>SUM($M$232:M259)</f>
        <v>179.57333333333321</v>
      </c>
      <c r="O259" s="4">
        <f>SUM($M$18:M259)</f>
        <v>1335.4733333333302</v>
      </c>
      <c r="P259" s="9">
        <f t="shared" si="77"/>
        <v>0.68678946546651765</v>
      </c>
      <c r="Q259" s="26">
        <f t="shared" si="88"/>
        <v>0.68678946546651831</v>
      </c>
      <c r="R259" s="26">
        <f t="shared" si="88"/>
        <v>0.70033903970562328</v>
      </c>
      <c r="S259" s="9">
        <f t="shared" si="78"/>
        <v>0.18352540716077503</v>
      </c>
      <c r="T259" s="9">
        <f>K259/((COUNT($K$232:K259))*24*$Q$1)</f>
        <v>0.18352540716077506</v>
      </c>
      <c r="U259" s="28">
        <f>L259/((COUNT($L$18:L259))*24*$Q$1)</f>
        <v>0.16103376580907924</v>
      </c>
      <c r="V259" s="134">
        <v>11.5031</v>
      </c>
      <c r="Y259" s="27">
        <f t="shared" si="85"/>
        <v>45258</v>
      </c>
      <c r="Z259" s="5">
        <f>MONTH(Modelling_new[[#This Row],[Date]])</f>
        <v>11</v>
      </c>
      <c r="AA259" s="25">
        <f>YEAR(Y259)+IF(MONTH(Modelling_new[[#This Row],[Date]])&gt;=4,1,0)</f>
        <v>2024</v>
      </c>
      <c r="AB259" s="3">
        <f t="shared" si="79"/>
        <v>2023</v>
      </c>
      <c r="AC259" s="3" t="s">
        <v>626</v>
      </c>
      <c r="AD259" s="5" t="s">
        <v>626</v>
      </c>
      <c r="AE259" s="102">
        <v>45231</v>
      </c>
      <c r="AF259" s="5">
        <f t="shared" si="80"/>
        <v>30</v>
      </c>
      <c r="AG259" s="5">
        <f t="shared" si="81"/>
        <v>11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BD259" s="27">
        <f t="shared" si="86"/>
        <v>45258</v>
      </c>
      <c r="BE259" s="5">
        <f>MONTH(Modelling[[#This Row],[Date]])</f>
        <v>11</v>
      </c>
      <c r="BF259" s="25">
        <f>YEAR(BD259)+IF(MONTH(Modelling[[#This Row],[Date]])&gt;=4,1,0)</f>
        <v>2024</v>
      </c>
      <c r="BG259" s="3">
        <f t="shared" si="82"/>
        <v>2023</v>
      </c>
      <c r="BH259" s="3" t="s">
        <v>626</v>
      </c>
      <c r="BI259" s="5" t="s">
        <v>626</v>
      </c>
      <c r="BJ259" s="102">
        <v>45231</v>
      </c>
      <c r="BK259" s="5">
        <f t="shared" si="83"/>
        <v>30</v>
      </c>
      <c r="BL259" s="5">
        <f t="shared" si="84"/>
        <v>11</v>
      </c>
      <c r="BM259" s="4">
        <f>Modelling_old[[#This Row],[Target E_Grid daily
MWh]]+Modelling_new[[#This Row],[Target E_Grid daily
MWh]]</f>
        <v>50.666666666666664</v>
      </c>
      <c r="BN259" s="4">
        <f>Modelling_old[[#This Row],[Target E_Grid MTD
MWh]]+Modelling_new[[#This Row],[Target E_Grid MTD
MWh]]</f>
        <v>1418.666666666667</v>
      </c>
      <c r="BO259" s="4">
        <f>Modelling_old[[#This Row],[Target E_Grid YTD
MWh]]+Modelling_new[[#This Row],[Target E_Grid YTD
MWh]]</f>
        <v>10758.666666666659</v>
      </c>
      <c r="BP25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59" s="4">
        <f>SUMIFS(Modelling[Target POA Daily (KWh/m2)],Modelling[Date],"&lt;="&amp;Modelling[[#This Row],[Date]],Modelling[Month Year],Modelling[[#This Row],[Month Year]])</f>
        <v>179.57333333333321</v>
      </c>
      <c r="BR259" s="4">
        <f>SUMIFS(Modelling[Target POA Daily (KWh/m2)],Modelling[Date],"&lt;="&amp;Modelling[[#This Row],[Date]],Modelling[Finacial Year],Modelling[[#This Row],[Finacial Year]])</f>
        <v>1335.4733333333302</v>
      </c>
      <c r="BS259" s="9">
        <f>BM259/Modelling[[#This Row],[Comisined DC ]]/BP259</f>
        <v>0.68678946546651765</v>
      </c>
      <c r="BT259" s="9">
        <f>BN259/BQ259/Modelling[[#This Row],[Comisined DC ]]</f>
        <v>0.68678946546651831</v>
      </c>
      <c r="BU259" s="9">
        <f>BO259/BR259/Modelling[[#This Row],[Comisined DC ]]</f>
        <v>0.70033903970562328</v>
      </c>
      <c r="BV259" s="9">
        <f>BM259/(24*Modelling[[#This Row],[Comisined DC ]])</f>
        <v>0.18352540716077503</v>
      </c>
      <c r="BW259" s="9">
        <f>BN259/((COUNTIFS(Modelling[Date],"&lt;="&amp;Modelling[[#This Row],[Date]],Modelling[Month Year],Modelling[[#This Row],[Month Year]])*24*Modelling[[#This Row],[MTD DC Capcity]]))</f>
        <v>0.18352540716077506</v>
      </c>
      <c r="BX259" s="28">
        <f>BO259/((COUNTIFS(Modelling[Date],"&lt;="&amp;Modelling[[#This Row],[Date]],Modelling[Finacial Year],Modelling[[#This Row],[Finacial Year]])*24*Modelling[[#This Row],[MTD DC Capcity]]))</f>
        <v>0.16103376580907924</v>
      </c>
      <c r="BY259" s="4">
        <f>Modelling_old[[#This Row],[DC Capcity]]+Modelling_new[[#This Row],[Comisined DC ]]</f>
        <v>11.5031</v>
      </c>
      <c r="BZ259" s="4">
        <v>0</v>
      </c>
      <c r="CA259" s="4">
        <f>AVERAGEIFS(Modelling[[Comisined DC ]],Modelling[Date],"&lt;="&amp;Modelling[[#This Row],[Date]],Modelling[Month Year],Modelling[[#This Row],[Month Year]])</f>
        <v>11.5031</v>
      </c>
      <c r="CB259" s="4">
        <f>AVERAGEIFS(Modelling[[Comisined DC ]],Modelling[Date],"&lt;="&amp;Modelling[[#This Row],[Date]],Modelling[Finacial Year],Modelling[[#This Row],[Finacial Year]])</f>
        <v>11.503099999999943</v>
      </c>
      <c r="CG259">
        <f t="shared" si="70"/>
        <v>28</v>
      </c>
      <c r="CH259">
        <f t="shared" si="87"/>
        <v>242</v>
      </c>
    </row>
    <row r="260" spans="1:86" x14ac:dyDescent="0.35">
      <c r="A260" s="27">
        <v>45259</v>
      </c>
      <c r="B260" s="5">
        <f>MONTH(Modelling_old[[#This Row],[Date]])</f>
        <v>11</v>
      </c>
      <c r="C260" s="25">
        <f t="shared" si="71"/>
        <v>2024</v>
      </c>
      <c r="D260" s="3">
        <f t="shared" si="72"/>
        <v>2023</v>
      </c>
      <c r="E260" s="3" t="s">
        <v>626</v>
      </c>
      <c r="F260" s="5" t="s">
        <v>626</v>
      </c>
      <c r="G260" s="102">
        <v>45231</v>
      </c>
      <c r="H260" s="5">
        <f t="shared" si="73"/>
        <v>30</v>
      </c>
      <c r="I260" s="5">
        <f t="shared" si="74"/>
        <v>11</v>
      </c>
      <c r="J260" s="4">
        <f t="shared" si="75"/>
        <v>50.666666666666664</v>
      </c>
      <c r="K260" s="4">
        <f>SUM($J$232:J260)</f>
        <v>1469.3333333333337</v>
      </c>
      <c r="L260" s="4">
        <f>SUM($J$18:J260)</f>
        <v>10809.333333333325</v>
      </c>
      <c r="M260" s="4">
        <f t="shared" si="76"/>
        <v>6.4133333333333331</v>
      </c>
      <c r="N260" s="4">
        <f>SUM($M$232:M260)</f>
        <v>185.98666666666654</v>
      </c>
      <c r="O260" s="4">
        <f>SUM($M$18:M260)</f>
        <v>1341.8866666666636</v>
      </c>
      <c r="P260" s="9">
        <f t="shared" si="77"/>
        <v>0.68678946546651765</v>
      </c>
      <c r="Q260" s="26">
        <f t="shared" si="88"/>
        <v>0.68678946546651842</v>
      </c>
      <c r="R260" s="26">
        <f t="shared" si="88"/>
        <v>0.70027428167629135</v>
      </c>
      <c r="S260" s="9">
        <f t="shared" si="78"/>
        <v>0.18352540716077503</v>
      </c>
      <c r="T260" s="9">
        <f>K260/((COUNT($K$232:K260))*24*$Q$1)</f>
        <v>0.18352540716077509</v>
      </c>
      <c r="U260" s="28">
        <f>L260/((COUNT($L$18:L260))*24*$Q$1)</f>
        <v>0.16112632400394217</v>
      </c>
      <c r="V260" s="134">
        <v>11.5031</v>
      </c>
      <c r="Y260" s="27">
        <f t="shared" si="85"/>
        <v>45259</v>
      </c>
      <c r="Z260" s="5">
        <f>MONTH(Modelling_new[[#This Row],[Date]])</f>
        <v>11</v>
      </c>
      <c r="AA260" s="25">
        <f>YEAR(Y260)+IF(MONTH(Modelling_new[[#This Row],[Date]])&gt;=4,1,0)</f>
        <v>2024</v>
      </c>
      <c r="AB260" s="3">
        <f t="shared" si="79"/>
        <v>2023</v>
      </c>
      <c r="AC260" s="3" t="s">
        <v>626</v>
      </c>
      <c r="AD260" s="5" t="s">
        <v>626</v>
      </c>
      <c r="AE260" s="102">
        <v>45231</v>
      </c>
      <c r="AF260" s="5">
        <f t="shared" si="80"/>
        <v>30</v>
      </c>
      <c r="AG260" s="5">
        <f t="shared" si="81"/>
        <v>11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BD260" s="27">
        <f t="shared" si="86"/>
        <v>45259</v>
      </c>
      <c r="BE260" s="5">
        <f>MONTH(Modelling[[#This Row],[Date]])</f>
        <v>11</v>
      </c>
      <c r="BF260" s="25">
        <f>YEAR(BD260)+IF(MONTH(Modelling[[#This Row],[Date]])&gt;=4,1,0)</f>
        <v>2024</v>
      </c>
      <c r="BG260" s="3">
        <f t="shared" si="82"/>
        <v>2023</v>
      </c>
      <c r="BH260" s="3" t="s">
        <v>626</v>
      </c>
      <c r="BI260" s="5" t="s">
        <v>626</v>
      </c>
      <c r="BJ260" s="102">
        <v>45231</v>
      </c>
      <c r="BK260" s="5">
        <f t="shared" si="83"/>
        <v>30</v>
      </c>
      <c r="BL260" s="5">
        <f t="shared" si="84"/>
        <v>11</v>
      </c>
      <c r="BM260" s="4">
        <f>Modelling_old[[#This Row],[Target E_Grid daily
MWh]]+Modelling_new[[#This Row],[Target E_Grid daily
MWh]]</f>
        <v>50.666666666666664</v>
      </c>
      <c r="BN260" s="4">
        <f>Modelling_old[[#This Row],[Target E_Grid MTD
MWh]]+Modelling_new[[#This Row],[Target E_Grid MTD
MWh]]</f>
        <v>1469.3333333333337</v>
      </c>
      <c r="BO260" s="4">
        <f>Modelling_old[[#This Row],[Target E_Grid YTD
MWh]]+Modelling_new[[#This Row],[Target E_Grid YTD
MWh]]</f>
        <v>10809.333333333325</v>
      </c>
      <c r="BP26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60" s="4">
        <f>SUMIFS(Modelling[Target POA Daily (KWh/m2)],Modelling[Date],"&lt;="&amp;Modelling[[#This Row],[Date]],Modelling[Month Year],Modelling[[#This Row],[Month Year]])</f>
        <v>185.98666666666654</v>
      </c>
      <c r="BR260" s="4">
        <f>SUMIFS(Modelling[Target POA Daily (KWh/m2)],Modelling[Date],"&lt;="&amp;Modelling[[#This Row],[Date]],Modelling[Finacial Year],Modelling[[#This Row],[Finacial Year]])</f>
        <v>1341.8866666666636</v>
      </c>
      <c r="BS260" s="9">
        <f>BM260/Modelling[[#This Row],[Comisined DC ]]/BP260</f>
        <v>0.68678946546651765</v>
      </c>
      <c r="BT260" s="9">
        <f>BN260/BQ260/Modelling[[#This Row],[Comisined DC ]]</f>
        <v>0.68678946546651842</v>
      </c>
      <c r="BU260" s="9">
        <f>BO260/BR260/Modelling[[#This Row],[Comisined DC ]]</f>
        <v>0.70027428167629135</v>
      </c>
      <c r="BV260" s="9">
        <f>BM260/(24*Modelling[[#This Row],[Comisined DC ]])</f>
        <v>0.18352540716077503</v>
      </c>
      <c r="BW260" s="9">
        <f>BN260/((COUNTIFS(Modelling[Date],"&lt;="&amp;Modelling[[#This Row],[Date]],Modelling[Month Year],Modelling[[#This Row],[Month Year]])*24*Modelling[[#This Row],[MTD DC Capcity]]))</f>
        <v>0.18352540716077509</v>
      </c>
      <c r="BX260" s="28">
        <f>BO260/((COUNTIFS(Modelling[Date],"&lt;="&amp;Modelling[[#This Row],[Date]],Modelling[Finacial Year],Modelling[[#This Row],[Finacial Year]])*24*Modelling[[#This Row],[MTD DC Capcity]]))</f>
        <v>0.16112632400394217</v>
      </c>
      <c r="BY260" s="4">
        <f>Modelling_old[[#This Row],[DC Capcity]]+Modelling_new[[#This Row],[Comisined DC ]]</f>
        <v>11.5031</v>
      </c>
      <c r="BZ260" s="4">
        <v>0</v>
      </c>
      <c r="CA260" s="4">
        <f>AVERAGEIFS(Modelling[[Comisined DC ]],Modelling[Date],"&lt;="&amp;Modelling[[#This Row],[Date]],Modelling[Month Year],Modelling[[#This Row],[Month Year]])</f>
        <v>11.5031</v>
      </c>
      <c r="CB260" s="4">
        <f>AVERAGEIFS(Modelling[[Comisined DC ]],Modelling[Date],"&lt;="&amp;Modelling[[#This Row],[Date]],Modelling[Finacial Year],Modelling[[#This Row],[Finacial Year]])</f>
        <v>11.503099999999943</v>
      </c>
      <c r="CG260">
        <f t="shared" si="70"/>
        <v>29</v>
      </c>
      <c r="CH260">
        <f t="shared" si="87"/>
        <v>243</v>
      </c>
    </row>
    <row r="261" spans="1:86" x14ac:dyDescent="0.35">
      <c r="A261" s="27">
        <v>45260</v>
      </c>
      <c r="B261" s="5">
        <f>MONTH(Modelling_old[[#This Row],[Date]])</f>
        <v>11</v>
      </c>
      <c r="C261" s="25">
        <f t="shared" si="71"/>
        <v>2024</v>
      </c>
      <c r="D261" s="3">
        <f t="shared" si="72"/>
        <v>2023</v>
      </c>
      <c r="E261" s="3" t="s">
        <v>626</v>
      </c>
      <c r="F261" s="5" t="s">
        <v>626</v>
      </c>
      <c r="G261" s="102">
        <v>45231</v>
      </c>
      <c r="H261" s="5">
        <f t="shared" si="73"/>
        <v>30</v>
      </c>
      <c r="I261" s="5">
        <f t="shared" si="74"/>
        <v>11</v>
      </c>
      <c r="J261" s="4">
        <f t="shared" si="75"/>
        <v>50.666666666666664</v>
      </c>
      <c r="K261" s="4">
        <f>SUM($J$232:J261)</f>
        <v>1520.0000000000005</v>
      </c>
      <c r="L261" s="4">
        <f>SUM($J$18:J261)</f>
        <v>10859.999999999991</v>
      </c>
      <c r="M261" s="4">
        <f t="shared" si="76"/>
        <v>6.4133333333333331</v>
      </c>
      <c r="N261" s="4">
        <f>SUM($M$232:M261)</f>
        <v>192.39999999999986</v>
      </c>
      <c r="O261" s="4">
        <f>SUM($M$18:M261)</f>
        <v>1348.299999999997</v>
      </c>
      <c r="P261" s="9">
        <f t="shared" si="77"/>
        <v>0.68678946546651765</v>
      </c>
      <c r="Q261" s="26">
        <f t="shared" si="88"/>
        <v>0.68678946546651842</v>
      </c>
      <c r="R261" s="26">
        <f t="shared" si="88"/>
        <v>0.70021013970396151</v>
      </c>
      <c r="S261" s="9">
        <f t="shared" si="78"/>
        <v>0.18352540716077503</v>
      </c>
      <c r="T261" s="9">
        <f>K261/((COUNT($K$232:K261))*24*$Q$1)</f>
        <v>0.18352540716077506</v>
      </c>
      <c r="U261" s="28">
        <f>L261/((COUNT($L$18:L261))*24*$Q$1)</f>
        <v>0.1612181235250767</v>
      </c>
      <c r="V261" s="134">
        <v>11.5031</v>
      </c>
      <c r="Y261" s="27">
        <f t="shared" si="85"/>
        <v>45260</v>
      </c>
      <c r="Z261" s="5">
        <f>MONTH(Modelling_new[[#This Row],[Date]])</f>
        <v>11</v>
      </c>
      <c r="AA261" s="25">
        <f>YEAR(Y261)+IF(MONTH(Modelling_new[[#This Row],[Date]])&gt;=4,1,0)</f>
        <v>2024</v>
      </c>
      <c r="AB261" s="3">
        <f t="shared" si="79"/>
        <v>2023</v>
      </c>
      <c r="AC261" s="3" t="s">
        <v>626</v>
      </c>
      <c r="AD261" s="5" t="s">
        <v>626</v>
      </c>
      <c r="AE261" s="102">
        <v>45231</v>
      </c>
      <c r="AF261" s="5">
        <f t="shared" si="80"/>
        <v>30</v>
      </c>
      <c r="AG261" s="5">
        <f t="shared" si="81"/>
        <v>11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BD261" s="27">
        <f t="shared" si="86"/>
        <v>45260</v>
      </c>
      <c r="BE261" s="5">
        <f>MONTH(Modelling[[#This Row],[Date]])</f>
        <v>11</v>
      </c>
      <c r="BF261" s="25">
        <f>YEAR(BD261)+IF(MONTH(Modelling[[#This Row],[Date]])&gt;=4,1,0)</f>
        <v>2024</v>
      </c>
      <c r="BG261" s="3">
        <f t="shared" si="82"/>
        <v>2023</v>
      </c>
      <c r="BH261" s="3" t="s">
        <v>626</v>
      </c>
      <c r="BI261" s="5" t="s">
        <v>626</v>
      </c>
      <c r="BJ261" s="102">
        <v>45231</v>
      </c>
      <c r="BK261" s="5">
        <f t="shared" si="83"/>
        <v>30</v>
      </c>
      <c r="BL261" s="5">
        <f t="shared" si="84"/>
        <v>11</v>
      </c>
      <c r="BM261" s="4">
        <f>Modelling_old[[#This Row],[Target E_Grid daily
MWh]]+Modelling_new[[#This Row],[Target E_Grid daily
MWh]]</f>
        <v>50.666666666666664</v>
      </c>
      <c r="BN261" s="4">
        <f>Modelling_old[[#This Row],[Target E_Grid MTD
MWh]]+Modelling_new[[#This Row],[Target E_Grid MTD
MWh]]</f>
        <v>1520.0000000000005</v>
      </c>
      <c r="BO261" s="4">
        <f>Modelling_old[[#This Row],[Target E_Grid YTD
MWh]]+Modelling_new[[#This Row],[Target E_Grid YTD
MWh]]</f>
        <v>10859.999999999991</v>
      </c>
      <c r="BP26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6.4133333333333331</v>
      </c>
      <c r="BQ261" s="4">
        <f>SUMIFS(Modelling[Target POA Daily (KWh/m2)],Modelling[Date],"&lt;="&amp;Modelling[[#This Row],[Date]],Modelling[Month Year],Modelling[[#This Row],[Month Year]])</f>
        <v>192.39999999999986</v>
      </c>
      <c r="BR261" s="4">
        <f>SUMIFS(Modelling[Target POA Daily (KWh/m2)],Modelling[Date],"&lt;="&amp;Modelling[[#This Row],[Date]],Modelling[Finacial Year],Modelling[[#This Row],[Finacial Year]])</f>
        <v>1348.299999999997</v>
      </c>
      <c r="BS261" s="9">
        <f>BM261/Modelling[[#This Row],[Comisined DC ]]/BP261</f>
        <v>0.68678946546651765</v>
      </c>
      <c r="BT261" s="9">
        <f>BN261/BQ261/Modelling[[#This Row],[Comisined DC ]]</f>
        <v>0.68678946546651842</v>
      </c>
      <c r="BU261" s="9">
        <f>BO261/BR261/Modelling[[#This Row],[Comisined DC ]]</f>
        <v>0.70021013970396151</v>
      </c>
      <c r="BV261" s="9">
        <f>BM261/(24*Modelling[[#This Row],[Comisined DC ]])</f>
        <v>0.18352540716077503</v>
      </c>
      <c r="BW261" s="9">
        <f>BN261/((COUNTIFS(Modelling[Date],"&lt;="&amp;Modelling[[#This Row],[Date]],Modelling[Month Year],Modelling[[#This Row],[Month Year]])*24*Modelling[[#This Row],[MTD DC Capcity]]))</f>
        <v>0.18352540716077506</v>
      </c>
      <c r="BX261" s="28">
        <f>BO261/((COUNTIFS(Modelling[Date],"&lt;="&amp;Modelling[[#This Row],[Date]],Modelling[Finacial Year],Modelling[[#This Row],[Finacial Year]])*24*Modelling[[#This Row],[MTD DC Capcity]]))</f>
        <v>0.1612181235250767</v>
      </c>
      <c r="BY261" s="4">
        <f>Modelling_old[[#This Row],[DC Capcity]]+Modelling_new[[#This Row],[Comisined DC ]]</f>
        <v>11.5031</v>
      </c>
      <c r="BZ261" s="4">
        <v>0</v>
      </c>
      <c r="CA261" s="4">
        <f>AVERAGEIFS(Modelling[[Comisined DC ]],Modelling[Date],"&lt;="&amp;Modelling[[#This Row],[Date]],Modelling[Month Year],Modelling[[#This Row],[Month Year]])</f>
        <v>11.5031</v>
      </c>
      <c r="CB261" s="4">
        <f>AVERAGEIFS(Modelling[[Comisined DC ]],Modelling[Date],"&lt;="&amp;Modelling[[#This Row],[Date]],Modelling[Finacial Year],Modelling[[#This Row],[Finacial Year]])</f>
        <v>11.503099999999943</v>
      </c>
      <c r="CG261">
        <f t="shared" si="70"/>
        <v>30</v>
      </c>
      <c r="CH261">
        <f t="shared" si="87"/>
        <v>244</v>
      </c>
    </row>
    <row r="262" spans="1:86" x14ac:dyDescent="0.35">
      <c r="A262" s="27">
        <v>45261</v>
      </c>
      <c r="B262" s="5">
        <f>MONTH(Modelling_old[[#This Row],[Date]])</f>
        <v>12</v>
      </c>
      <c r="C262" s="25">
        <f t="shared" si="71"/>
        <v>2024</v>
      </c>
      <c r="D262" s="3">
        <f t="shared" si="72"/>
        <v>2023</v>
      </c>
      <c r="E262" s="3" t="s">
        <v>626</v>
      </c>
      <c r="F262" s="5" t="s">
        <v>626</v>
      </c>
      <c r="G262" s="102">
        <v>45261</v>
      </c>
      <c r="H262" s="5">
        <f t="shared" si="73"/>
        <v>31</v>
      </c>
      <c r="I262" s="5">
        <f t="shared" si="74"/>
        <v>12</v>
      </c>
      <c r="J262" s="4">
        <f t="shared" si="75"/>
        <v>53.548387096774192</v>
      </c>
      <c r="K262" s="4">
        <f>SUM($J$262:J262)</f>
        <v>53.548387096774192</v>
      </c>
      <c r="L262" s="4">
        <f>SUM($J$18:J262)</f>
        <v>10913.548387096766</v>
      </c>
      <c r="M262" s="4">
        <f t="shared" si="76"/>
        <v>6.4806451612903224</v>
      </c>
      <c r="N262" s="4">
        <f>SUM($M$262:M262)</f>
        <v>6.4806451612903224</v>
      </c>
      <c r="O262" s="4">
        <f>SUM($M$18:M262)</f>
        <v>1354.7806451612873</v>
      </c>
      <c r="P262" s="9">
        <f t="shared" si="77"/>
        <v>0.71831222210106593</v>
      </c>
      <c r="Q262" s="26">
        <f t="shared" si="88"/>
        <v>0.71831222210106593</v>
      </c>
      <c r="R262" s="26">
        <f t="shared" si="88"/>
        <v>0.70029673170918028</v>
      </c>
      <c r="S262" s="9">
        <f t="shared" si="78"/>
        <v>0.19396360943562388</v>
      </c>
      <c r="T262" s="9">
        <f>K262/((COUNT($K$262:K262))*24*$Q$1)</f>
        <v>0.19396360943562388</v>
      </c>
      <c r="U262" s="28">
        <f>L262/((COUNT($L$18:L262))*24*$Q$1)</f>
        <v>0.16135177856960956</v>
      </c>
      <c r="V262" s="134">
        <v>11.5031</v>
      </c>
      <c r="Y262" s="27">
        <f t="shared" si="85"/>
        <v>45261</v>
      </c>
      <c r="Z262" s="5">
        <f>MONTH(Modelling_new[[#This Row],[Date]])</f>
        <v>12</v>
      </c>
      <c r="AA262" s="25">
        <f>YEAR(Y262)+IF(MONTH(Modelling_new[[#This Row],[Date]])&gt;=4,1,0)</f>
        <v>2024</v>
      </c>
      <c r="AB262" s="3">
        <f t="shared" si="79"/>
        <v>2023</v>
      </c>
      <c r="AC262" s="3" t="s">
        <v>626</v>
      </c>
      <c r="AD262" s="5" t="s">
        <v>626</v>
      </c>
      <c r="AE262" s="102">
        <v>45261</v>
      </c>
      <c r="AF262" s="5">
        <f t="shared" si="80"/>
        <v>31</v>
      </c>
      <c r="AG262" s="5">
        <f t="shared" si="81"/>
        <v>12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BD262" s="27">
        <f t="shared" si="86"/>
        <v>45261</v>
      </c>
      <c r="BE262" s="5">
        <f>MONTH(Modelling[[#This Row],[Date]])</f>
        <v>12</v>
      </c>
      <c r="BF262" s="25">
        <f>YEAR(BD262)+IF(MONTH(Modelling[[#This Row],[Date]])&gt;=4,1,0)</f>
        <v>2024</v>
      </c>
      <c r="BG262" s="3">
        <f t="shared" si="82"/>
        <v>2023</v>
      </c>
      <c r="BH262" s="3" t="s">
        <v>626</v>
      </c>
      <c r="BI262" s="5" t="s">
        <v>626</v>
      </c>
      <c r="BJ262" s="102">
        <v>45261</v>
      </c>
      <c r="BK262" s="5">
        <f t="shared" si="83"/>
        <v>31</v>
      </c>
      <c r="BL262" s="5">
        <f t="shared" si="84"/>
        <v>12</v>
      </c>
      <c r="BM262" s="4">
        <f>Modelling_old[[#This Row],[Target E_Grid daily
MWh]]+Modelling_new[[#This Row],[Target E_Grid daily
MWh]]</f>
        <v>53.548387096774192</v>
      </c>
      <c r="BN262" s="4">
        <f>Modelling_old[[#This Row],[Target E_Grid MTD
MWh]]+Modelling_new[[#This Row],[Target E_Grid MTD
MWh]]</f>
        <v>53.548387096774192</v>
      </c>
      <c r="BO262" s="4">
        <f>Modelling_old[[#This Row],[Target E_Grid YTD
MWh]]+Modelling_new[[#This Row],[Target E_Grid YTD
MWh]]</f>
        <v>10913.548387096766</v>
      </c>
      <c r="BP26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62" s="4">
        <f>SUMIFS(Modelling[Target POA Daily (KWh/m2)],Modelling[Date],"&lt;="&amp;Modelling[[#This Row],[Date]],Modelling[Month Year],Modelling[[#This Row],[Month Year]])</f>
        <v>6.4806451612903224</v>
      </c>
      <c r="BR262" s="4">
        <f>SUMIFS(Modelling[Target POA Daily (KWh/m2)],Modelling[Date],"&lt;="&amp;Modelling[[#This Row],[Date]],Modelling[Finacial Year],Modelling[[#This Row],[Finacial Year]])</f>
        <v>1354.7806451612873</v>
      </c>
      <c r="BS262" s="9">
        <f>BM262/Modelling[[#This Row],[Comisined DC ]]/BP262</f>
        <v>0.71831222210106593</v>
      </c>
      <c r="BT262" s="9">
        <f>BN262/BQ262/Modelling[[#This Row],[Comisined DC ]]</f>
        <v>0.71831222210106593</v>
      </c>
      <c r="BU262" s="9">
        <f>BO262/BR262/Modelling[[#This Row],[Comisined DC ]]</f>
        <v>0.70029673170918028</v>
      </c>
      <c r="BV262" s="9">
        <f>BM262/(24*Modelling[[#This Row],[Comisined DC ]])</f>
        <v>0.19396360943562388</v>
      </c>
      <c r="BW262" s="9">
        <f>BN262/((COUNTIFS(Modelling[Date],"&lt;="&amp;Modelling[[#This Row],[Date]],Modelling[Month Year],Modelling[[#This Row],[Month Year]])*24*Modelling[[#This Row],[MTD DC Capcity]]))</f>
        <v>0.19396360943562388</v>
      </c>
      <c r="BX262" s="28">
        <f>BO262/((COUNTIFS(Modelling[Date],"&lt;="&amp;Modelling[[#This Row],[Date]],Modelling[Finacial Year],Modelling[[#This Row],[Finacial Year]])*24*Modelling[[#This Row],[MTD DC Capcity]]))</f>
        <v>0.16135177856960956</v>
      </c>
      <c r="BY262" s="4">
        <f>Modelling_old[[#This Row],[DC Capcity]]+Modelling_new[[#This Row],[Comisined DC ]]</f>
        <v>11.5031</v>
      </c>
      <c r="BZ262" s="4">
        <v>0</v>
      </c>
      <c r="CA262" s="4">
        <f>AVERAGEIFS(Modelling[[Comisined DC ]],Modelling[Date],"&lt;="&amp;Modelling[[#This Row],[Date]],Modelling[Month Year],Modelling[[#This Row],[Month Year]])</f>
        <v>11.5031</v>
      </c>
      <c r="CB262" s="4">
        <f>AVERAGEIFS(Modelling[[Comisined DC ]],Modelling[Date],"&lt;="&amp;Modelling[[#This Row],[Date]],Modelling[Finacial Year],Modelling[[#This Row],[Finacial Year]])</f>
        <v>11.503099999999943</v>
      </c>
      <c r="CG262">
        <v>1</v>
      </c>
      <c r="CH262">
        <f t="shared" si="87"/>
        <v>245</v>
      </c>
    </row>
    <row r="263" spans="1:86" x14ac:dyDescent="0.35">
      <c r="A263" s="27">
        <v>45262</v>
      </c>
      <c r="B263" s="5">
        <f>MONTH(Modelling_old[[#This Row],[Date]])</f>
        <v>12</v>
      </c>
      <c r="C263" s="25">
        <f t="shared" si="71"/>
        <v>2024</v>
      </c>
      <c r="D263" s="3">
        <f t="shared" si="72"/>
        <v>2023</v>
      </c>
      <c r="E263" s="3" t="s">
        <v>626</v>
      </c>
      <c r="F263" s="5" t="s">
        <v>626</v>
      </c>
      <c r="G263" s="102">
        <v>45261</v>
      </c>
      <c r="H263" s="5">
        <f t="shared" si="73"/>
        <v>31</v>
      </c>
      <c r="I263" s="5">
        <f t="shared" si="74"/>
        <v>12</v>
      </c>
      <c r="J263" s="4">
        <f t="shared" si="75"/>
        <v>53.548387096774192</v>
      </c>
      <c r="K263" s="4">
        <f>SUM($J$262:J263)</f>
        <v>107.09677419354838</v>
      </c>
      <c r="L263" s="4">
        <f>SUM($J$18:J263)</f>
        <v>10967.09677419354</v>
      </c>
      <c r="M263" s="4">
        <f t="shared" si="76"/>
        <v>6.4806451612903224</v>
      </c>
      <c r="N263" s="4">
        <f>SUM($M$262:M263)</f>
        <v>12.961290322580645</v>
      </c>
      <c r="O263" s="4">
        <f>SUM($M$18:M263)</f>
        <v>1361.2612903225777</v>
      </c>
      <c r="P263" s="9">
        <f t="shared" si="77"/>
        <v>0.71831222210106593</v>
      </c>
      <c r="Q263" s="26">
        <f t="shared" si="88"/>
        <v>0.71831222210106593</v>
      </c>
      <c r="R263" s="26">
        <f t="shared" si="88"/>
        <v>0.7003824992260167</v>
      </c>
      <c r="S263" s="9">
        <f t="shared" si="78"/>
        <v>0.19396360943562388</v>
      </c>
      <c r="T263" s="9">
        <f>K263/((COUNT($K$262:K263))*24*$Q$1)</f>
        <v>0.19396360943562388</v>
      </c>
      <c r="U263" s="28">
        <f>L263/((COUNT($L$18:L263))*24*$Q$1)</f>
        <v>0.16148434698776409</v>
      </c>
      <c r="V263" s="134">
        <v>11.5031</v>
      </c>
      <c r="Y263" s="27">
        <f t="shared" si="85"/>
        <v>45262</v>
      </c>
      <c r="Z263" s="5">
        <f>MONTH(Modelling_new[[#This Row],[Date]])</f>
        <v>12</v>
      </c>
      <c r="AA263" s="25">
        <f>YEAR(Y263)+IF(MONTH(Modelling_new[[#This Row],[Date]])&gt;=4,1,0)</f>
        <v>2024</v>
      </c>
      <c r="AB263" s="3">
        <f t="shared" si="79"/>
        <v>2023</v>
      </c>
      <c r="AC263" s="3" t="s">
        <v>626</v>
      </c>
      <c r="AD263" s="5" t="s">
        <v>626</v>
      </c>
      <c r="AE263" s="102">
        <v>45261</v>
      </c>
      <c r="AF263" s="5">
        <f t="shared" si="80"/>
        <v>31</v>
      </c>
      <c r="AG263" s="5">
        <f t="shared" si="81"/>
        <v>12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BD263" s="27">
        <f t="shared" si="86"/>
        <v>45262</v>
      </c>
      <c r="BE263" s="5">
        <f>MONTH(Modelling[[#This Row],[Date]])</f>
        <v>12</v>
      </c>
      <c r="BF263" s="25">
        <f>YEAR(BD263)+IF(MONTH(Modelling[[#This Row],[Date]])&gt;=4,1,0)</f>
        <v>2024</v>
      </c>
      <c r="BG263" s="3">
        <f t="shared" si="82"/>
        <v>2023</v>
      </c>
      <c r="BH263" s="3" t="s">
        <v>626</v>
      </c>
      <c r="BI263" s="5" t="s">
        <v>626</v>
      </c>
      <c r="BJ263" s="102">
        <v>45261</v>
      </c>
      <c r="BK263" s="5">
        <f t="shared" si="83"/>
        <v>31</v>
      </c>
      <c r="BL263" s="5">
        <f t="shared" si="84"/>
        <v>12</v>
      </c>
      <c r="BM263" s="4">
        <f>Modelling_old[[#This Row],[Target E_Grid daily
MWh]]+Modelling_new[[#This Row],[Target E_Grid daily
MWh]]</f>
        <v>53.548387096774192</v>
      </c>
      <c r="BN263" s="4">
        <f>Modelling_old[[#This Row],[Target E_Grid MTD
MWh]]+Modelling_new[[#This Row],[Target E_Grid MTD
MWh]]</f>
        <v>107.09677419354838</v>
      </c>
      <c r="BO263" s="4">
        <f>Modelling_old[[#This Row],[Target E_Grid YTD
MWh]]+Modelling_new[[#This Row],[Target E_Grid YTD
MWh]]</f>
        <v>10967.09677419354</v>
      </c>
      <c r="BP26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63" s="4">
        <f>SUMIFS(Modelling[Target POA Daily (KWh/m2)],Modelling[Date],"&lt;="&amp;Modelling[[#This Row],[Date]],Modelling[Month Year],Modelling[[#This Row],[Month Year]])</f>
        <v>12.961290322580645</v>
      </c>
      <c r="BR263" s="4">
        <f>SUMIFS(Modelling[Target POA Daily (KWh/m2)],Modelling[Date],"&lt;="&amp;Modelling[[#This Row],[Date]],Modelling[Finacial Year],Modelling[[#This Row],[Finacial Year]])</f>
        <v>1361.2612903225777</v>
      </c>
      <c r="BS263" s="9">
        <f>BM263/Modelling[[#This Row],[Comisined DC ]]/BP263</f>
        <v>0.71831222210106593</v>
      </c>
      <c r="BT263" s="9">
        <f>BN263/BQ263/Modelling[[#This Row],[Comisined DC ]]</f>
        <v>0.71831222210106593</v>
      </c>
      <c r="BU263" s="9">
        <f>BO263/BR263/Modelling[[#This Row],[Comisined DC ]]</f>
        <v>0.7003824992260167</v>
      </c>
      <c r="BV263" s="9">
        <f>BM263/(24*Modelling[[#This Row],[Comisined DC ]])</f>
        <v>0.19396360943562388</v>
      </c>
      <c r="BW263" s="9">
        <f>BN263/((COUNTIFS(Modelling[Date],"&lt;="&amp;Modelling[[#This Row],[Date]],Modelling[Month Year],Modelling[[#This Row],[Month Year]])*24*Modelling[[#This Row],[MTD DC Capcity]]))</f>
        <v>0.19396360943562388</v>
      </c>
      <c r="BX263" s="28">
        <f>BO263/((COUNTIFS(Modelling[Date],"&lt;="&amp;Modelling[[#This Row],[Date]],Modelling[Finacial Year],Modelling[[#This Row],[Finacial Year]])*24*Modelling[[#This Row],[MTD DC Capcity]]))</f>
        <v>0.16148434698776409</v>
      </c>
      <c r="BY263" s="4">
        <f>Modelling_old[[#This Row],[DC Capcity]]+Modelling_new[[#This Row],[Comisined DC ]]</f>
        <v>11.5031</v>
      </c>
      <c r="BZ263" s="4">
        <v>0</v>
      </c>
      <c r="CA263" s="4">
        <f>AVERAGEIFS(Modelling[[Comisined DC ]],Modelling[Date],"&lt;="&amp;Modelling[[#This Row],[Date]],Modelling[Month Year],Modelling[[#This Row],[Month Year]])</f>
        <v>11.5031</v>
      </c>
      <c r="CB263" s="4">
        <f>AVERAGEIFS(Modelling[[Comisined DC ]],Modelling[Date],"&lt;="&amp;Modelling[[#This Row],[Date]],Modelling[Finacial Year],Modelling[[#This Row],[Finacial Year]])</f>
        <v>11.503099999999943</v>
      </c>
      <c r="CG263">
        <f t="shared" si="70"/>
        <v>2</v>
      </c>
      <c r="CH263">
        <f t="shared" si="87"/>
        <v>246</v>
      </c>
    </row>
    <row r="264" spans="1:86" x14ac:dyDescent="0.35">
      <c r="A264" s="27">
        <v>45263</v>
      </c>
      <c r="B264" s="5">
        <f>MONTH(Modelling_old[[#This Row],[Date]])</f>
        <v>12</v>
      </c>
      <c r="C264" s="25">
        <f t="shared" si="71"/>
        <v>2024</v>
      </c>
      <c r="D264" s="3">
        <f t="shared" si="72"/>
        <v>2023</v>
      </c>
      <c r="E264" s="3" t="s">
        <v>626</v>
      </c>
      <c r="F264" s="5" t="s">
        <v>626</v>
      </c>
      <c r="G264" s="102">
        <v>45261</v>
      </c>
      <c r="H264" s="5">
        <f t="shared" si="73"/>
        <v>31</v>
      </c>
      <c r="I264" s="5">
        <f t="shared" si="74"/>
        <v>12</v>
      </c>
      <c r="J264" s="4">
        <f t="shared" si="75"/>
        <v>53.548387096774192</v>
      </c>
      <c r="K264" s="4">
        <f>SUM($J$262:J264)</f>
        <v>160.64516129032256</v>
      </c>
      <c r="L264" s="4">
        <f>SUM($J$18:J264)</f>
        <v>11020.645161290315</v>
      </c>
      <c r="M264" s="4">
        <f t="shared" si="76"/>
        <v>6.4806451612903224</v>
      </c>
      <c r="N264" s="4">
        <f>SUM($M$262:M264)</f>
        <v>19.441935483870967</v>
      </c>
      <c r="O264" s="4">
        <f>SUM($M$18:M264)</f>
        <v>1367.741935483868</v>
      </c>
      <c r="P264" s="9">
        <f t="shared" si="77"/>
        <v>0.71831222210106593</v>
      </c>
      <c r="Q264" s="26">
        <f t="shared" si="88"/>
        <v>0.71831222210106582</v>
      </c>
      <c r="R264" s="26">
        <f t="shared" si="88"/>
        <v>0.70046745397426191</v>
      </c>
      <c r="S264" s="9">
        <f t="shared" si="78"/>
        <v>0.19396360943562388</v>
      </c>
      <c r="T264" s="9">
        <f>K264/((COUNT($K$262:K264))*24*$Q$1)</f>
        <v>0.19396360943562382</v>
      </c>
      <c r="U264" s="28">
        <f>L264/((COUNT($L$18:L264))*24*$Q$1)</f>
        <v>0.16161584197743156</v>
      </c>
      <c r="V264" s="134">
        <v>11.5031</v>
      </c>
      <c r="Y264" s="27">
        <f t="shared" si="85"/>
        <v>45263</v>
      </c>
      <c r="Z264" s="5">
        <f>MONTH(Modelling_new[[#This Row],[Date]])</f>
        <v>12</v>
      </c>
      <c r="AA264" s="25">
        <f>YEAR(Y264)+IF(MONTH(Modelling_new[[#This Row],[Date]])&gt;=4,1,0)</f>
        <v>2024</v>
      </c>
      <c r="AB264" s="3">
        <f t="shared" si="79"/>
        <v>2023</v>
      </c>
      <c r="AC264" s="3" t="s">
        <v>626</v>
      </c>
      <c r="AD264" s="5" t="s">
        <v>626</v>
      </c>
      <c r="AE264" s="102">
        <v>45261</v>
      </c>
      <c r="AF264" s="5">
        <f t="shared" si="80"/>
        <v>31</v>
      </c>
      <c r="AG264" s="5">
        <f t="shared" si="81"/>
        <v>12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BD264" s="27">
        <f t="shared" si="86"/>
        <v>45263</v>
      </c>
      <c r="BE264" s="5">
        <f>MONTH(Modelling[[#This Row],[Date]])</f>
        <v>12</v>
      </c>
      <c r="BF264" s="25">
        <f>YEAR(BD264)+IF(MONTH(Modelling[[#This Row],[Date]])&gt;=4,1,0)</f>
        <v>2024</v>
      </c>
      <c r="BG264" s="3">
        <f t="shared" si="82"/>
        <v>2023</v>
      </c>
      <c r="BH264" s="3" t="s">
        <v>626</v>
      </c>
      <c r="BI264" s="5" t="s">
        <v>626</v>
      </c>
      <c r="BJ264" s="102">
        <v>45261</v>
      </c>
      <c r="BK264" s="5">
        <f t="shared" si="83"/>
        <v>31</v>
      </c>
      <c r="BL264" s="5">
        <f t="shared" si="84"/>
        <v>12</v>
      </c>
      <c r="BM264" s="4">
        <f>Modelling_old[[#This Row],[Target E_Grid daily
MWh]]+Modelling_new[[#This Row],[Target E_Grid daily
MWh]]</f>
        <v>53.548387096774192</v>
      </c>
      <c r="BN264" s="4">
        <f>Modelling_old[[#This Row],[Target E_Grid MTD
MWh]]+Modelling_new[[#This Row],[Target E_Grid MTD
MWh]]</f>
        <v>160.64516129032256</v>
      </c>
      <c r="BO264" s="4">
        <f>Modelling_old[[#This Row],[Target E_Grid YTD
MWh]]+Modelling_new[[#This Row],[Target E_Grid YTD
MWh]]</f>
        <v>11020.645161290315</v>
      </c>
      <c r="BP26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64" s="4">
        <f>SUMIFS(Modelling[Target POA Daily (KWh/m2)],Modelling[Date],"&lt;="&amp;Modelling[[#This Row],[Date]],Modelling[Month Year],Modelling[[#This Row],[Month Year]])</f>
        <v>19.441935483870967</v>
      </c>
      <c r="BR264" s="4">
        <f>SUMIFS(Modelling[Target POA Daily (KWh/m2)],Modelling[Date],"&lt;="&amp;Modelling[[#This Row],[Date]],Modelling[Finacial Year],Modelling[[#This Row],[Finacial Year]])</f>
        <v>1367.741935483868</v>
      </c>
      <c r="BS264" s="9">
        <f>BM264/Modelling[[#This Row],[Comisined DC ]]/BP264</f>
        <v>0.71831222210106593</v>
      </c>
      <c r="BT264" s="9">
        <f>BN264/BQ264/Modelling[[#This Row],[Comisined DC ]]</f>
        <v>0.71831222210106582</v>
      </c>
      <c r="BU264" s="9">
        <f>BO264/BR264/Modelling[[#This Row],[Comisined DC ]]</f>
        <v>0.70046745397426191</v>
      </c>
      <c r="BV264" s="9">
        <f>BM264/(24*Modelling[[#This Row],[Comisined DC ]])</f>
        <v>0.19396360943562388</v>
      </c>
      <c r="BW264" s="9">
        <f>BN264/((COUNTIFS(Modelling[Date],"&lt;="&amp;Modelling[[#This Row],[Date]],Modelling[Month Year],Modelling[[#This Row],[Month Year]])*24*Modelling[[#This Row],[MTD DC Capcity]]))</f>
        <v>0.19396360943562385</v>
      </c>
      <c r="BX264" s="28">
        <f>BO264/((COUNTIFS(Modelling[Date],"&lt;="&amp;Modelling[[#This Row],[Date]],Modelling[Finacial Year],Modelling[[#This Row],[Finacial Year]])*24*Modelling[[#This Row],[MTD DC Capcity]]))</f>
        <v>0.16161584197743159</v>
      </c>
      <c r="BY264" s="4">
        <f>Modelling_old[[#This Row],[DC Capcity]]+Modelling_new[[#This Row],[Comisined DC ]]</f>
        <v>11.5031</v>
      </c>
      <c r="BZ264" s="4">
        <v>0</v>
      </c>
      <c r="CA264" s="4">
        <f>AVERAGEIFS(Modelling[[Comisined DC ]],Modelling[Date],"&lt;="&amp;Modelling[[#This Row],[Date]],Modelling[Month Year],Modelling[[#This Row],[Month Year]])</f>
        <v>11.503099999999998</v>
      </c>
      <c r="CB264" s="4">
        <f>AVERAGEIFS(Modelling[[Comisined DC ]],Modelling[Date],"&lt;="&amp;Modelling[[#This Row],[Date]],Modelling[Finacial Year],Modelling[[#This Row],[Finacial Year]])</f>
        <v>11.503099999999943</v>
      </c>
      <c r="CG264">
        <f t="shared" si="70"/>
        <v>3</v>
      </c>
      <c r="CH264">
        <f t="shared" si="87"/>
        <v>247</v>
      </c>
    </row>
    <row r="265" spans="1:86" x14ac:dyDescent="0.35">
      <c r="A265" s="27">
        <v>45264</v>
      </c>
      <c r="B265" s="5">
        <f>MONTH(Modelling_old[[#This Row],[Date]])</f>
        <v>12</v>
      </c>
      <c r="C265" s="25">
        <f t="shared" si="71"/>
        <v>2024</v>
      </c>
      <c r="D265" s="3">
        <f t="shared" si="72"/>
        <v>2023</v>
      </c>
      <c r="E265" s="3" t="s">
        <v>626</v>
      </c>
      <c r="F265" s="5" t="s">
        <v>626</v>
      </c>
      <c r="G265" s="102">
        <v>45261</v>
      </c>
      <c r="H265" s="5">
        <f t="shared" si="73"/>
        <v>31</v>
      </c>
      <c r="I265" s="5">
        <f t="shared" si="74"/>
        <v>12</v>
      </c>
      <c r="J265" s="4">
        <f t="shared" si="75"/>
        <v>53.548387096774192</v>
      </c>
      <c r="K265" s="4">
        <f>SUM($J$262:J265)</f>
        <v>214.19354838709677</v>
      </c>
      <c r="L265" s="4">
        <f>SUM($J$18:J265)</f>
        <v>11074.193548387089</v>
      </c>
      <c r="M265" s="4">
        <f t="shared" si="76"/>
        <v>6.4806451612903224</v>
      </c>
      <c r="N265" s="4">
        <f>SUM($M$262:M265)</f>
        <v>25.92258064516129</v>
      </c>
      <c r="O265" s="4">
        <f>SUM($M$18:M265)</f>
        <v>1374.2225806451584</v>
      </c>
      <c r="P265" s="9">
        <f t="shared" si="77"/>
        <v>0.71831222210106593</v>
      </c>
      <c r="Q265" s="26">
        <f t="shared" si="88"/>
        <v>0.71831222210106593</v>
      </c>
      <c r="R265" s="26">
        <f t="shared" si="88"/>
        <v>0.70055160745263145</v>
      </c>
      <c r="S265" s="9">
        <f t="shared" si="78"/>
        <v>0.19396360943562388</v>
      </c>
      <c r="T265" s="9">
        <f>K265/((COUNT($K$262:K265))*24*$Q$1)</f>
        <v>0.19396360943562388</v>
      </c>
      <c r="U265" s="28">
        <f>L265/((COUNT($L$18:L265))*24*$Q$1)</f>
        <v>0.16174627652363396</v>
      </c>
      <c r="V265" s="134">
        <v>11.5031</v>
      </c>
      <c r="Y265" s="27">
        <f t="shared" si="85"/>
        <v>45264</v>
      </c>
      <c r="Z265" s="5">
        <f>MONTH(Modelling_new[[#This Row],[Date]])</f>
        <v>12</v>
      </c>
      <c r="AA265" s="25">
        <f>YEAR(Y265)+IF(MONTH(Modelling_new[[#This Row],[Date]])&gt;=4,1,0)</f>
        <v>2024</v>
      </c>
      <c r="AB265" s="3">
        <f t="shared" si="79"/>
        <v>2023</v>
      </c>
      <c r="AC265" s="3" t="s">
        <v>626</v>
      </c>
      <c r="AD265" s="5" t="s">
        <v>626</v>
      </c>
      <c r="AE265" s="102">
        <v>45261</v>
      </c>
      <c r="AF265" s="5">
        <f t="shared" si="80"/>
        <v>31</v>
      </c>
      <c r="AG265" s="5">
        <f t="shared" si="81"/>
        <v>12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BD265" s="27">
        <f t="shared" si="86"/>
        <v>45264</v>
      </c>
      <c r="BE265" s="5">
        <f>MONTH(Modelling[[#This Row],[Date]])</f>
        <v>12</v>
      </c>
      <c r="BF265" s="25">
        <f>YEAR(BD265)+IF(MONTH(Modelling[[#This Row],[Date]])&gt;=4,1,0)</f>
        <v>2024</v>
      </c>
      <c r="BG265" s="3">
        <f t="shared" si="82"/>
        <v>2023</v>
      </c>
      <c r="BH265" s="3" t="s">
        <v>626</v>
      </c>
      <c r="BI265" s="5" t="s">
        <v>626</v>
      </c>
      <c r="BJ265" s="102">
        <v>45261</v>
      </c>
      <c r="BK265" s="5">
        <f t="shared" si="83"/>
        <v>31</v>
      </c>
      <c r="BL265" s="5">
        <f t="shared" si="84"/>
        <v>12</v>
      </c>
      <c r="BM265" s="4">
        <f>Modelling_old[[#This Row],[Target E_Grid daily
MWh]]+Modelling_new[[#This Row],[Target E_Grid daily
MWh]]</f>
        <v>53.548387096774192</v>
      </c>
      <c r="BN265" s="4">
        <f>Modelling_old[[#This Row],[Target E_Grid MTD
MWh]]+Modelling_new[[#This Row],[Target E_Grid MTD
MWh]]</f>
        <v>214.19354838709677</v>
      </c>
      <c r="BO265" s="4">
        <f>Modelling_old[[#This Row],[Target E_Grid YTD
MWh]]+Modelling_new[[#This Row],[Target E_Grid YTD
MWh]]</f>
        <v>11074.193548387089</v>
      </c>
      <c r="BP26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65" s="4">
        <f>SUMIFS(Modelling[Target POA Daily (KWh/m2)],Modelling[Date],"&lt;="&amp;Modelling[[#This Row],[Date]],Modelling[Month Year],Modelling[[#This Row],[Month Year]])</f>
        <v>25.92258064516129</v>
      </c>
      <c r="BR265" s="4">
        <f>SUMIFS(Modelling[Target POA Daily (KWh/m2)],Modelling[Date],"&lt;="&amp;Modelling[[#This Row],[Date]],Modelling[Finacial Year],Modelling[[#This Row],[Finacial Year]])</f>
        <v>1374.2225806451584</v>
      </c>
      <c r="BS265" s="9">
        <f>BM265/Modelling[[#This Row],[Comisined DC ]]/BP265</f>
        <v>0.71831222210106593</v>
      </c>
      <c r="BT265" s="9">
        <f>BN265/BQ265/Modelling[[#This Row],[Comisined DC ]]</f>
        <v>0.71831222210106593</v>
      </c>
      <c r="BU265" s="9">
        <f>BO265/BR265/Modelling[[#This Row],[Comisined DC ]]</f>
        <v>0.70055160745263145</v>
      </c>
      <c r="BV265" s="9">
        <f>BM265/(24*Modelling[[#This Row],[Comisined DC ]])</f>
        <v>0.19396360943562388</v>
      </c>
      <c r="BW265" s="9">
        <f>BN265/((COUNTIFS(Modelling[Date],"&lt;="&amp;Modelling[[#This Row],[Date]],Modelling[Month Year],Modelling[[#This Row],[Month Year]])*24*Modelling[[#This Row],[MTD DC Capcity]]))</f>
        <v>0.19396360943562388</v>
      </c>
      <c r="BX265" s="28">
        <f>BO265/((COUNTIFS(Modelling[Date],"&lt;="&amp;Modelling[[#This Row],[Date]],Modelling[Finacial Year],Modelling[[#This Row],[Finacial Year]])*24*Modelling[[#This Row],[MTD DC Capcity]]))</f>
        <v>0.16174627652363396</v>
      </c>
      <c r="BY265" s="4">
        <f>Modelling_old[[#This Row],[DC Capcity]]+Modelling_new[[#This Row],[Comisined DC ]]</f>
        <v>11.5031</v>
      </c>
      <c r="BZ265" s="4">
        <v>0</v>
      </c>
      <c r="CA265" s="4">
        <f>AVERAGEIFS(Modelling[[Comisined DC ]],Modelling[Date],"&lt;="&amp;Modelling[[#This Row],[Date]],Modelling[Month Year],Modelling[[#This Row],[Month Year]])</f>
        <v>11.5031</v>
      </c>
      <c r="CB265" s="4">
        <f>AVERAGEIFS(Modelling[[Comisined DC ]],Modelling[Date],"&lt;="&amp;Modelling[[#This Row],[Date]],Modelling[Finacial Year],Modelling[[#This Row],[Finacial Year]])</f>
        <v>11.503099999999943</v>
      </c>
      <c r="CG265">
        <f t="shared" si="70"/>
        <v>4</v>
      </c>
      <c r="CH265">
        <f t="shared" si="87"/>
        <v>248</v>
      </c>
    </row>
    <row r="266" spans="1:86" x14ac:dyDescent="0.35">
      <c r="A266" s="27">
        <v>45265</v>
      </c>
      <c r="B266" s="5">
        <f>MONTH(Modelling_old[[#This Row],[Date]])</f>
        <v>12</v>
      </c>
      <c r="C266" s="25">
        <f t="shared" si="71"/>
        <v>2024</v>
      </c>
      <c r="D266" s="3">
        <f t="shared" si="72"/>
        <v>2023</v>
      </c>
      <c r="E266" s="3" t="s">
        <v>626</v>
      </c>
      <c r="F266" s="5" t="s">
        <v>626</v>
      </c>
      <c r="G266" s="102">
        <v>45261</v>
      </c>
      <c r="H266" s="5">
        <f t="shared" si="73"/>
        <v>31</v>
      </c>
      <c r="I266" s="5">
        <f t="shared" si="74"/>
        <v>12</v>
      </c>
      <c r="J266" s="4">
        <f t="shared" si="75"/>
        <v>53.548387096774192</v>
      </c>
      <c r="K266" s="4">
        <f>SUM($J$262:J266)</f>
        <v>267.74193548387098</v>
      </c>
      <c r="L266" s="4">
        <f>SUM($J$18:J266)</f>
        <v>11127.741935483864</v>
      </c>
      <c r="M266" s="4">
        <f t="shared" si="76"/>
        <v>6.4806451612903224</v>
      </c>
      <c r="N266" s="4">
        <f>SUM($M$262:M266)</f>
        <v>32.403225806451616</v>
      </c>
      <c r="O266" s="4">
        <f>SUM($M$18:M266)</f>
        <v>1380.7032258064487</v>
      </c>
      <c r="P266" s="9">
        <f t="shared" si="77"/>
        <v>0.71831222210106593</v>
      </c>
      <c r="Q266" s="26">
        <f t="shared" si="88"/>
        <v>0.71831222210106593</v>
      </c>
      <c r="R266" s="26">
        <f t="shared" si="88"/>
        <v>0.70063497094395366</v>
      </c>
      <c r="S266" s="9">
        <f t="shared" si="78"/>
        <v>0.19396360943562388</v>
      </c>
      <c r="T266" s="9">
        <f>K266/((COUNT($K$262:K266))*24*$Q$1)</f>
        <v>0.19396360943562385</v>
      </c>
      <c r="U266" s="28">
        <f>L266/((COUNT($L$18:L266))*24*$Q$1)</f>
        <v>0.16187566340279858</v>
      </c>
      <c r="V266" s="134">
        <v>11.5031</v>
      </c>
      <c r="Y266" s="27">
        <f t="shared" si="85"/>
        <v>45265</v>
      </c>
      <c r="Z266" s="5">
        <f>MONTH(Modelling_new[[#This Row],[Date]])</f>
        <v>12</v>
      </c>
      <c r="AA266" s="25">
        <f>YEAR(Y266)+IF(MONTH(Modelling_new[[#This Row],[Date]])&gt;=4,1,0)</f>
        <v>2024</v>
      </c>
      <c r="AB266" s="3">
        <f t="shared" si="79"/>
        <v>2023</v>
      </c>
      <c r="AC266" s="3" t="s">
        <v>626</v>
      </c>
      <c r="AD266" s="5" t="s">
        <v>626</v>
      </c>
      <c r="AE266" s="102">
        <v>45261</v>
      </c>
      <c r="AF266" s="5">
        <f t="shared" si="80"/>
        <v>31</v>
      </c>
      <c r="AG266" s="5">
        <f t="shared" si="81"/>
        <v>12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BD266" s="27">
        <f t="shared" si="86"/>
        <v>45265</v>
      </c>
      <c r="BE266" s="5">
        <f>MONTH(Modelling[[#This Row],[Date]])</f>
        <v>12</v>
      </c>
      <c r="BF266" s="25">
        <f>YEAR(BD266)+IF(MONTH(Modelling[[#This Row],[Date]])&gt;=4,1,0)</f>
        <v>2024</v>
      </c>
      <c r="BG266" s="3">
        <f t="shared" si="82"/>
        <v>2023</v>
      </c>
      <c r="BH266" s="3" t="s">
        <v>626</v>
      </c>
      <c r="BI266" s="5" t="s">
        <v>626</v>
      </c>
      <c r="BJ266" s="102">
        <v>45261</v>
      </c>
      <c r="BK266" s="5">
        <f t="shared" si="83"/>
        <v>31</v>
      </c>
      <c r="BL266" s="5">
        <f t="shared" si="84"/>
        <v>12</v>
      </c>
      <c r="BM266" s="4">
        <f>Modelling_old[[#This Row],[Target E_Grid daily
MWh]]+Modelling_new[[#This Row],[Target E_Grid daily
MWh]]</f>
        <v>53.548387096774192</v>
      </c>
      <c r="BN266" s="4">
        <f>Modelling_old[[#This Row],[Target E_Grid MTD
MWh]]+Modelling_new[[#This Row],[Target E_Grid MTD
MWh]]</f>
        <v>267.74193548387098</v>
      </c>
      <c r="BO266" s="4">
        <f>Modelling_old[[#This Row],[Target E_Grid YTD
MWh]]+Modelling_new[[#This Row],[Target E_Grid YTD
MWh]]</f>
        <v>11127.741935483864</v>
      </c>
      <c r="BP26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66" s="4">
        <f>SUMIFS(Modelling[Target POA Daily (KWh/m2)],Modelling[Date],"&lt;="&amp;Modelling[[#This Row],[Date]],Modelling[Month Year],Modelling[[#This Row],[Month Year]])</f>
        <v>32.403225806451616</v>
      </c>
      <c r="BR266" s="4">
        <f>SUMIFS(Modelling[Target POA Daily (KWh/m2)],Modelling[Date],"&lt;="&amp;Modelling[[#This Row],[Date]],Modelling[Finacial Year],Modelling[[#This Row],[Finacial Year]])</f>
        <v>1380.7032258064487</v>
      </c>
      <c r="BS266" s="9">
        <f>BM266/Modelling[[#This Row],[Comisined DC ]]/BP266</f>
        <v>0.71831222210106593</v>
      </c>
      <c r="BT266" s="9">
        <f>BN266/BQ266/Modelling[[#This Row],[Comisined DC ]]</f>
        <v>0.71831222210106593</v>
      </c>
      <c r="BU266" s="9">
        <f>BO266/BR266/Modelling[[#This Row],[Comisined DC ]]</f>
        <v>0.70063497094395366</v>
      </c>
      <c r="BV266" s="9">
        <f>BM266/(24*Modelling[[#This Row],[Comisined DC ]])</f>
        <v>0.19396360943562388</v>
      </c>
      <c r="BW266" s="9">
        <f>BN266/((COUNTIFS(Modelling[Date],"&lt;="&amp;Modelling[[#This Row],[Date]],Modelling[Month Year],Modelling[[#This Row],[Month Year]])*24*Modelling[[#This Row],[MTD DC Capcity]]))</f>
        <v>0.19396360943562385</v>
      </c>
      <c r="BX266" s="28">
        <f>BO266/((COUNTIFS(Modelling[Date],"&lt;="&amp;Modelling[[#This Row],[Date]],Modelling[Finacial Year],Modelling[[#This Row],[Finacial Year]])*24*Modelling[[#This Row],[MTD DC Capcity]]))</f>
        <v>0.16187566340279858</v>
      </c>
      <c r="BY266" s="4">
        <f>Modelling_old[[#This Row],[DC Capcity]]+Modelling_new[[#This Row],[Comisined DC ]]</f>
        <v>11.5031</v>
      </c>
      <c r="BZ266" s="4">
        <v>0</v>
      </c>
      <c r="CA266" s="4">
        <f>AVERAGEIFS(Modelling[[Comisined DC ]],Modelling[Date],"&lt;="&amp;Modelling[[#This Row],[Date]],Modelling[Month Year],Modelling[[#This Row],[Month Year]])</f>
        <v>11.5031</v>
      </c>
      <c r="CB266" s="4">
        <f>AVERAGEIFS(Modelling[[Comisined DC ]],Modelling[Date],"&lt;="&amp;Modelling[[#This Row],[Date]],Modelling[Finacial Year],Modelling[[#This Row],[Finacial Year]])</f>
        <v>11.503099999999943</v>
      </c>
      <c r="CG266">
        <f t="shared" ref="CG266:CG292" si="89">CG265+1</f>
        <v>5</v>
      </c>
      <c r="CH266">
        <f t="shared" si="87"/>
        <v>249</v>
      </c>
    </row>
    <row r="267" spans="1:86" x14ac:dyDescent="0.35">
      <c r="A267" s="27">
        <v>45266</v>
      </c>
      <c r="B267" s="5">
        <f>MONTH(Modelling_old[[#This Row],[Date]])</f>
        <v>12</v>
      </c>
      <c r="C267" s="25">
        <f t="shared" si="71"/>
        <v>2024</v>
      </c>
      <c r="D267" s="3">
        <f t="shared" si="72"/>
        <v>2023</v>
      </c>
      <c r="E267" s="3" t="s">
        <v>626</v>
      </c>
      <c r="F267" s="5" t="s">
        <v>626</v>
      </c>
      <c r="G267" s="102">
        <v>45261</v>
      </c>
      <c r="H267" s="5">
        <f t="shared" si="73"/>
        <v>31</v>
      </c>
      <c r="I267" s="5">
        <f t="shared" si="74"/>
        <v>12</v>
      </c>
      <c r="J267" s="4">
        <f t="shared" si="75"/>
        <v>53.548387096774192</v>
      </c>
      <c r="K267" s="4">
        <f>SUM($J$262:J267)</f>
        <v>321.29032258064518</v>
      </c>
      <c r="L267" s="4">
        <f>SUM($J$18:J267)</f>
        <v>11181.290322580639</v>
      </c>
      <c r="M267" s="4">
        <f t="shared" si="76"/>
        <v>6.4806451612903224</v>
      </c>
      <c r="N267" s="4">
        <f>SUM($M$262:M267)</f>
        <v>38.883870967741942</v>
      </c>
      <c r="O267" s="4">
        <f>SUM($M$18:M267)</f>
        <v>1387.183870967739</v>
      </c>
      <c r="P267" s="9">
        <f t="shared" si="77"/>
        <v>0.71831222210106593</v>
      </c>
      <c r="Q267" s="26">
        <f t="shared" si="88"/>
        <v>0.71831222210106582</v>
      </c>
      <c r="R267" s="26">
        <f t="shared" si="88"/>
        <v>0.70071755552021198</v>
      </c>
      <c r="S267" s="9">
        <f t="shared" si="78"/>
        <v>0.19396360943562388</v>
      </c>
      <c r="T267" s="9">
        <f>K267/((COUNT($K$262:K267))*24*$Q$1)</f>
        <v>0.19396360943562385</v>
      </c>
      <c r="U267" s="28">
        <f>L267/((COUNT($L$18:L267))*24*$Q$1)</f>
        <v>0.16200401518692986</v>
      </c>
      <c r="V267" s="134">
        <v>11.5031</v>
      </c>
      <c r="Y267" s="27">
        <f t="shared" si="85"/>
        <v>45266</v>
      </c>
      <c r="Z267" s="5">
        <f>MONTH(Modelling_new[[#This Row],[Date]])</f>
        <v>12</v>
      </c>
      <c r="AA267" s="25">
        <f>YEAR(Y267)+IF(MONTH(Modelling_new[[#This Row],[Date]])&gt;=4,1,0)</f>
        <v>2024</v>
      </c>
      <c r="AB267" s="3">
        <f t="shared" si="79"/>
        <v>2023</v>
      </c>
      <c r="AC267" s="3" t="s">
        <v>626</v>
      </c>
      <c r="AD267" s="5" t="s">
        <v>626</v>
      </c>
      <c r="AE267" s="102">
        <v>45261</v>
      </c>
      <c r="AF267" s="5">
        <f t="shared" si="80"/>
        <v>31</v>
      </c>
      <c r="AG267" s="5">
        <f t="shared" si="81"/>
        <v>12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BD267" s="27">
        <f t="shared" si="86"/>
        <v>45266</v>
      </c>
      <c r="BE267" s="5">
        <f>MONTH(Modelling[[#This Row],[Date]])</f>
        <v>12</v>
      </c>
      <c r="BF267" s="25">
        <f>YEAR(BD267)+IF(MONTH(Modelling[[#This Row],[Date]])&gt;=4,1,0)</f>
        <v>2024</v>
      </c>
      <c r="BG267" s="3">
        <f t="shared" si="82"/>
        <v>2023</v>
      </c>
      <c r="BH267" s="3" t="s">
        <v>626</v>
      </c>
      <c r="BI267" s="5" t="s">
        <v>626</v>
      </c>
      <c r="BJ267" s="102">
        <v>45261</v>
      </c>
      <c r="BK267" s="5">
        <f t="shared" si="83"/>
        <v>31</v>
      </c>
      <c r="BL267" s="5">
        <f t="shared" si="84"/>
        <v>12</v>
      </c>
      <c r="BM267" s="4">
        <f>Modelling_old[[#This Row],[Target E_Grid daily
MWh]]+Modelling_new[[#This Row],[Target E_Grid daily
MWh]]</f>
        <v>53.548387096774192</v>
      </c>
      <c r="BN267" s="4">
        <f>Modelling_old[[#This Row],[Target E_Grid MTD
MWh]]+Modelling_new[[#This Row],[Target E_Grid MTD
MWh]]</f>
        <v>321.29032258064518</v>
      </c>
      <c r="BO267" s="4">
        <f>Modelling_old[[#This Row],[Target E_Grid YTD
MWh]]+Modelling_new[[#This Row],[Target E_Grid YTD
MWh]]</f>
        <v>11181.290322580639</v>
      </c>
      <c r="BP26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67" s="4">
        <f>SUMIFS(Modelling[Target POA Daily (KWh/m2)],Modelling[Date],"&lt;="&amp;Modelling[[#This Row],[Date]],Modelling[Month Year],Modelling[[#This Row],[Month Year]])</f>
        <v>38.883870967741942</v>
      </c>
      <c r="BR267" s="4">
        <f>SUMIFS(Modelling[Target POA Daily (KWh/m2)],Modelling[Date],"&lt;="&amp;Modelling[[#This Row],[Date]],Modelling[Finacial Year],Modelling[[#This Row],[Finacial Year]])</f>
        <v>1387.183870967739</v>
      </c>
      <c r="BS267" s="9">
        <f>BM267/Modelling[[#This Row],[Comisined DC ]]/BP267</f>
        <v>0.71831222210106593</v>
      </c>
      <c r="BT267" s="9">
        <f>BN267/BQ267/Modelling[[#This Row],[Comisined DC ]]</f>
        <v>0.71831222210106582</v>
      </c>
      <c r="BU267" s="9">
        <f>BO267/BR267/Modelling[[#This Row],[Comisined DC ]]</f>
        <v>0.70071755552021198</v>
      </c>
      <c r="BV267" s="9">
        <f>BM267/(24*Modelling[[#This Row],[Comisined DC ]])</f>
        <v>0.19396360943562388</v>
      </c>
      <c r="BW267" s="9">
        <f>BN267/((COUNTIFS(Modelling[Date],"&lt;="&amp;Modelling[[#This Row],[Date]],Modelling[Month Year],Modelling[[#This Row],[Month Year]])*24*Modelling[[#This Row],[MTD DC Capcity]]))</f>
        <v>0.19396360943562382</v>
      </c>
      <c r="BX267" s="28">
        <f>BO267/((COUNTIFS(Modelling[Date],"&lt;="&amp;Modelling[[#This Row],[Date]],Modelling[Finacial Year],Modelling[[#This Row],[Finacial Year]])*24*Modelling[[#This Row],[MTD DC Capcity]]))</f>
        <v>0.16200401518692986</v>
      </c>
      <c r="BY267" s="4">
        <f>Modelling_old[[#This Row],[DC Capcity]]+Modelling_new[[#This Row],[Comisined DC ]]</f>
        <v>11.5031</v>
      </c>
      <c r="BZ267" s="4">
        <v>0</v>
      </c>
      <c r="CA267" s="4">
        <f>AVERAGEIFS(Modelling[[Comisined DC ]],Modelling[Date],"&lt;="&amp;Modelling[[#This Row],[Date]],Modelling[Month Year],Modelling[[#This Row],[Month Year]])</f>
        <v>11.503100000000002</v>
      </c>
      <c r="CB267" s="4">
        <f>AVERAGEIFS(Modelling[[Comisined DC ]],Modelling[Date],"&lt;="&amp;Modelling[[#This Row],[Date]],Modelling[Finacial Year],Modelling[[#This Row],[Finacial Year]])</f>
        <v>11.503099999999943</v>
      </c>
      <c r="CG267">
        <f t="shared" si="89"/>
        <v>6</v>
      </c>
      <c r="CH267">
        <f t="shared" si="87"/>
        <v>250</v>
      </c>
    </row>
    <row r="268" spans="1:86" x14ac:dyDescent="0.35">
      <c r="A268" s="27">
        <v>45267</v>
      </c>
      <c r="B268" s="5">
        <f>MONTH(Modelling_old[[#This Row],[Date]])</f>
        <v>12</v>
      </c>
      <c r="C268" s="25">
        <f t="shared" si="71"/>
        <v>2024</v>
      </c>
      <c r="D268" s="3">
        <f t="shared" si="72"/>
        <v>2023</v>
      </c>
      <c r="E268" s="3" t="s">
        <v>626</v>
      </c>
      <c r="F268" s="5" t="s">
        <v>626</v>
      </c>
      <c r="G268" s="102">
        <v>45261</v>
      </c>
      <c r="H268" s="5">
        <f t="shared" si="73"/>
        <v>31</v>
      </c>
      <c r="I268" s="5">
        <f t="shared" si="74"/>
        <v>12</v>
      </c>
      <c r="J268" s="4">
        <f t="shared" si="75"/>
        <v>53.548387096774192</v>
      </c>
      <c r="K268" s="4">
        <f>SUM($J$262:J268)</f>
        <v>374.83870967741939</v>
      </c>
      <c r="L268" s="4">
        <f>SUM($J$18:J268)</f>
        <v>11234.838709677413</v>
      </c>
      <c r="M268" s="4">
        <f t="shared" si="76"/>
        <v>6.4806451612903224</v>
      </c>
      <c r="N268" s="4">
        <f>SUM($M$262:M268)</f>
        <v>45.364516129032268</v>
      </c>
      <c r="O268" s="4">
        <f>SUM($M$18:M268)</f>
        <v>1393.6645161290294</v>
      </c>
      <c r="P268" s="9">
        <f t="shared" si="77"/>
        <v>0.71831222210106593</v>
      </c>
      <c r="Q268" s="26">
        <f t="shared" si="88"/>
        <v>0.71831222210106582</v>
      </c>
      <c r="R268" s="26">
        <f t="shared" si="88"/>
        <v>0.70079937204744813</v>
      </c>
      <c r="S268" s="9">
        <f t="shared" si="78"/>
        <v>0.19396360943562388</v>
      </c>
      <c r="T268" s="9">
        <f>K268/((COUNT($K$262:K268))*24*$Q$1)</f>
        <v>0.19396360943562388</v>
      </c>
      <c r="U268" s="28">
        <f>L268/((COUNT($L$18:L268))*24*$Q$1)</f>
        <v>0.16213134424768164</v>
      </c>
      <c r="V268" s="134">
        <v>11.5031</v>
      </c>
      <c r="Y268" s="27">
        <f t="shared" si="85"/>
        <v>45267</v>
      </c>
      <c r="Z268" s="5">
        <f>MONTH(Modelling_new[[#This Row],[Date]])</f>
        <v>12</v>
      </c>
      <c r="AA268" s="25">
        <f>YEAR(Y268)+IF(MONTH(Modelling_new[[#This Row],[Date]])&gt;=4,1,0)</f>
        <v>2024</v>
      </c>
      <c r="AB268" s="3">
        <f t="shared" si="79"/>
        <v>2023</v>
      </c>
      <c r="AC268" s="3" t="s">
        <v>626</v>
      </c>
      <c r="AD268" s="5" t="s">
        <v>626</v>
      </c>
      <c r="AE268" s="102">
        <v>45261</v>
      </c>
      <c r="AF268" s="5">
        <f t="shared" si="80"/>
        <v>31</v>
      </c>
      <c r="AG268" s="5">
        <f t="shared" si="81"/>
        <v>12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BD268" s="27">
        <f t="shared" si="86"/>
        <v>45267</v>
      </c>
      <c r="BE268" s="5">
        <f>MONTH(Modelling[[#This Row],[Date]])</f>
        <v>12</v>
      </c>
      <c r="BF268" s="25">
        <f>YEAR(BD268)+IF(MONTH(Modelling[[#This Row],[Date]])&gt;=4,1,0)</f>
        <v>2024</v>
      </c>
      <c r="BG268" s="3">
        <f t="shared" si="82"/>
        <v>2023</v>
      </c>
      <c r="BH268" s="3" t="s">
        <v>626</v>
      </c>
      <c r="BI268" s="5" t="s">
        <v>626</v>
      </c>
      <c r="BJ268" s="102">
        <v>45261</v>
      </c>
      <c r="BK268" s="5">
        <f t="shared" si="83"/>
        <v>31</v>
      </c>
      <c r="BL268" s="5">
        <f t="shared" si="84"/>
        <v>12</v>
      </c>
      <c r="BM268" s="4">
        <f>Modelling_old[[#This Row],[Target E_Grid daily
MWh]]+Modelling_new[[#This Row],[Target E_Grid daily
MWh]]</f>
        <v>53.548387096774192</v>
      </c>
      <c r="BN268" s="4">
        <f>Modelling_old[[#This Row],[Target E_Grid MTD
MWh]]+Modelling_new[[#This Row],[Target E_Grid MTD
MWh]]</f>
        <v>374.83870967741939</v>
      </c>
      <c r="BO268" s="4">
        <f>Modelling_old[[#This Row],[Target E_Grid YTD
MWh]]+Modelling_new[[#This Row],[Target E_Grid YTD
MWh]]</f>
        <v>11234.838709677413</v>
      </c>
      <c r="BP26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68" s="4">
        <f>SUMIFS(Modelling[Target POA Daily (KWh/m2)],Modelling[Date],"&lt;="&amp;Modelling[[#This Row],[Date]],Modelling[Month Year],Modelling[[#This Row],[Month Year]])</f>
        <v>45.364516129032268</v>
      </c>
      <c r="BR268" s="4">
        <f>SUMIFS(Modelling[Target POA Daily (KWh/m2)],Modelling[Date],"&lt;="&amp;Modelling[[#This Row],[Date]],Modelling[Finacial Year],Modelling[[#This Row],[Finacial Year]])</f>
        <v>1393.6645161290294</v>
      </c>
      <c r="BS268" s="9">
        <f>BM268/Modelling[[#This Row],[Comisined DC ]]/BP268</f>
        <v>0.71831222210106593</v>
      </c>
      <c r="BT268" s="9">
        <f>BN268/BQ268/Modelling[[#This Row],[Comisined DC ]]</f>
        <v>0.71831222210106582</v>
      </c>
      <c r="BU268" s="9">
        <f>BO268/BR268/Modelling[[#This Row],[Comisined DC ]]</f>
        <v>0.70079937204744813</v>
      </c>
      <c r="BV268" s="9">
        <f>BM268/(24*Modelling[[#This Row],[Comisined DC ]])</f>
        <v>0.19396360943562388</v>
      </c>
      <c r="BW268" s="9">
        <f>BN268/((COUNTIFS(Modelling[Date],"&lt;="&amp;Modelling[[#This Row],[Date]],Modelling[Month Year],Modelling[[#This Row],[Month Year]])*24*Modelling[[#This Row],[MTD DC Capcity]]))</f>
        <v>0.19396360943562385</v>
      </c>
      <c r="BX268" s="28">
        <f>BO268/((COUNTIFS(Modelling[Date],"&lt;="&amp;Modelling[[#This Row],[Date]],Modelling[Finacial Year],Modelling[[#This Row],[Finacial Year]])*24*Modelling[[#This Row],[MTD DC Capcity]]))</f>
        <v>0.16213134424768164</v>
      </c>
      <c r="BY268" s="4">
        <f>Modelling_old[[#This Row],[DC Capcity]]+Modelling_new[[#This Row],[Comisined DC ]]</f>
        <v>11.5031</v>
      </c>
      <c r="BZ268" s="4">
        <v>0</v>
      </c>
      <c r="CA268" s="4">
        <f>AVERAGEIFS(Modelling[[Comisined DC ]],Modelling[Date],"&lt;="&amp;Modelling[[#This Row],[Date]],Modelling[Month Year],Modelling[[#This Row],[Month Year]])</f>
        <v>11.503100000000002</v>
      </c>
      <c r="CB268" s="4">
        <f>AVERAGEIFS(Modelling[[Comisined DC ]],Modelling[Date],"&lt;="&amp;Modelling[[#This Row],[Date]],Modelling[Finacial Year],Modelling[[#This Row],[Finacial Year]])</f>
        <v>11.503099999999941</v>
      </c>
      <c r="CG268">
        <f t="shared" si="89"/>
        <v>7</v>
      </c>
      <c r="CH268">
        <f t="shared" si="87"/>
        <v>251</v>
      </c>
    </row>
    <row r="269" spans="1:86" x14ac:dyDescent="0.35">
      <c r="A269" s="27">
        <v>45268</v>
      </c>
      <c r="B269" s="5">
        <f>MONTH(Modelling_old[[#This Row],[Date]])</f>
        <v>12</v>
      </c>
      <c r="C269" s="25">
        <f t="shared" si="71"/>
        <v>2024</v>
      </c>
      <c r="D269" s="3">
        <f t="shared" si="72"/>
        <v>2023</v>
      </c>
      <c r="E269" s="3" t="s">
        <v>626</v>
      </c>
      <c r="F269" s="5" t="s">
        <v>626</v>
      </c>
      <c r="G269" s="102">
        <v>45261</v>
      </c>
      <c r="H269" s="5">
        <f t="shared" si="73"/>
        <v>31</v>
      </c>
      <c r="I269" s="5">
        <f t="shared" si="74"/>
        <v>12</v>
      </c>
      <c r="J269" s="4">
        <f t="shared" si="75"/>
        <v>53.548387096774192</v>
      </c>
      <c r="K269" s="4">
        <f>SUM($J$262:J269)</f>
        <v>428.38709677419359</v>
      </c>
      <c r="L269" s="4">
        <f>SUM($J$18:J269)</f>
        <v>11288.387096774188</v>
      </c>
      <c r="M269" s="4">
        <f t="shared" si="76"/>
        <v>6.4806451612903224</v>
      </c>
      <c r="N269" s="4">
        <f>SUM($M$262:M269)</f>
        <v>51.845161290322594</v>
      </c>
      <c r="O269" s="4">
        <f>SUM($M$18:M269)</f>
        <v>1400.1451612903197</v>
      </c>
      <c r="P269" s="9">
        <f t="shared" si="77"/>
        <v>0.71831222210106593</v>
      </c>
      <c r="Q269" s="26">
        <f t="shared" si="88"/>
        <v>0.71831222210106582</v>
      </c>
      <c r="R269" s="26">
        <f t="shared" si="88"/>
        <v>0.70088043119052701</v>
      </c>
      <c r="S269" s="9">
        <f t="shared" si="78"/>
        <v>0.19396360943562388</v>
      </c>
      <c r="T269" s="9">
        <f>K269/((COUNT($K$262:K269))*24*$Q$1)</f>
        <v>0.19396360943562391</v>
      </c>
      <c r="U269" s="28">
        <f>L269/((COUNT($L$18:L269))*24*$Q$1)</f>
        <v>0.16225766276033221</v>
      </c>
      <c r="V269" s="134">
        <v>11.5031</v>
      </c>
      <c r="Y269" s="27">
        <f t="shared" si="85"/>
        <v>45268</v>
      </c>
      <c r="Z269" s="5">
        <f>MONTH(Modelling_new[[#This Row],[Date]])</f>
        <v>12</v>
      </c>
      <c r="AA269" s="25">
        <f>YEAR(Y269)+IF(MONTH(Modelling_new[[#This Row],[Date]])&gt;=4,1,0)</f>
        <v>2024</v>
      </c>
      <c r="AB269" s="3">
        <f t="shared" si="79"/>
        <v>2023</v>
      </c>
      <c r="AC269" s="3" t="s">
        <v>626</v>
      </c>
      <c r="AD269" s="5" t="s">
        <v>626</v>
      </c>
      <c r="AE269" s="102">
        <v>45261</v>
      </c>
      <c r="AF269" s="5">
        <f t="shared" si="80"/>
        <v>31</v>
      </c>
      <c r="AG269" s="5">
        <f t="shared" si="81"/>
        <v>12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BD269" s="27">
        <f t="shared" si="86"/>
        <v>45268</v>
      </c>
      <c r="BE269" s="5">
        <f>MONTH(Modelling[[#This Row],[Date]])</f>
        <v>12</v>
      </c>
      <c r="BF269" s="25">
        <f>YEAR(BD269)+IF(MONTH(Modelling[[#This Row],[Date]])&gt;=4,1,0)</f>
        <v>2024</v>
      </c>
      <c r="BG269" s="3">
        <f t="shared" si="82"/>
        <v>2023</v>
      </c>
      <c r="BH269" s="3" t="s">
        <v>626</v>
      </c>
      <c r="BI269" s="5" t="s">
        <v>626</v>
      </c>
      <c r="BJ269" s="102">
        <v>45261</v>
      </c>
      <c r="BK269" s="5">
        <f t="shared" si="83"/>
        <v>31</v>
      </c>
      <c r="BL269" s="5">
        <f t="shared" si="84"/>
        <v>12</v>
      </c>
      <c r="BM269" s="4">
        <f>Modelling_old[[#This Row],[Target E_Grid daily
MWh]]+Modelling_new[[#This Row],[Target E_Grid daily
MWh]]</f>
        <v>53.548387096774192</v>
      </c>
      <c r="BN269" s="4">
        <f>Modelling_old[[#This Row],[Target E_Grid MTD
MWh]]+Modelling_new[[#This Row],[Target E_Grid MTD
MWh]]</f>
        <v>428.38709677419359</v>
      </c>
      <c r="BO269" s="4">
        <f>Modelling_old[[#This Row],[Target E_Grid YTD
MWh]]+Modelling_new[[#This Row],[Target E_Grid YTD
MWh]]</f>
        <v>11288.387096774188</v>
      </c>
      <c r="BP26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69" s="4">
        <f>SUMIFS(Modelling[Target POA Daily (KWh/m2)],Modelling[Date],"&lt;="&amp;Modelling[[#This Row],[Date]],Modelling[Month Year],Modelling[[#This Row],[Month Year]])</f>
        <v>51.845161290322594</v>
      </c>
      <c r="BR269" s="4">
        <f>SUMIFS(Modelling[Target POA Daily (KWh/m2)],Modelling[Date],"&lt;="&amp;Modelling[[#This Row],[Date]],Modelling[Finacial Year],Modelling[[#This Row],[Finacial Year]])</f>
        <v>1400.1451612903197</v>
      </c>
      <c r="BS269" s="9">
        <f>BM269/Modelling[[#This Row],[Comisined DC ]]/BP269</f>
        <v>0.71831222210106593</v>
      </c>
      <c r="BT269" s="9">
        <f>BN269/BQ269/Modelling[[#This Row],[Comisined DC ]]</f>
        <v>0.71831222210106582</v>
      </c>
      <c r="BU269" s="9">
        <f>BO269/BR269/Modelling[[#This Row],[Comisined DC ]]</f>
        <v>0.70088043119052701</v>
      </c>
      <c r="BV269" s="9">
        <f>BM269/(24*Modelling[[#This Row],[Comisined DC ]])</f>
        <v>0.19396360943562388</v>
      </c>
      <c r="BW269" s="9">
        <f>BN269/((COUNTIFS(Modelling[Date],"&lt;="&amp;Modelling[[#This Row],[Date]],Modelling[Month Year],Modelling[[#This Row],[Month Year]])*24*Modelling[[#This Row],[MTD DC Capcity]]))</f>
        <v>0.19396360943562385</v>
      </c>
      <c r="BX269" s="28">
        <f>BO269/((COUNTIFS(Modelling[Date],"&lt;="&amp;Modelling[[#This Row],[Date]],Modelling[Finacial Year],Modelling[[#This Row],[Finacial Year]])*24*Modelling[[#This Row],[MTD DC Capcity]]))</f>
        <v>0.16225766276033218</v>
      </c>
      <c r="BY269" s="4">
        <f>Modelling_old[[#This Row],[DC Capcity]]+Modelling_new[[#This Row],[Comisined DC ]]</f>
        <v>11.5031</v>
      </c>
      <c r="BZ269" s="4">
        <v>0</v>
      </c>
      <c r="CA269" s="4">
        <f>AVERAGEIFS(Modelling[[Comisined DC ]],Modelling[Date],"&lt;="&amp;Modelling[[#This Row],[Date]],Modelling[Month Year],Modelling[[#This Row],[Month Year]])</f>
        <v>11.503100000000002</v>
      </c>
      <c r="CB269" s="4">
        <f>AVERAGEIFS(Modelling[[Comisined DC ]],Modelling[Date],"&lt;="&amp;Modelling[[#This Row],[Date]],Modelling[Finacial Year],Modelling[[#This Row],[Finacial Year]])</f>
        <v>11.503099999999941</v>
      </c>
      <c r="CG269">
        <f t="shared" si="89"/>
        <v>8</v>
      </c>
      <c r="CH269">
        <f t="shared" si="87"/>
        <v>252</v>
      </c>
    </row>
    <row r="270" spans="1:86" x14ac:dyDescent="0.35">
      <c r="A270" s="27">
        <v>45269</v>
      </c>
      <c r="B270" s="5">
        <f>MONTH(Modelling_old[[#This Row],[Date]])</f>
        <v>12</v>
      </c>
      <c r="C270" s="25">
        <f t="shared" si="71"/>
        <v>2024</v>
      </c>
      <c r="D270" s="3">
        <f t="shared" si="72"/>
        <v>2023</v>
      </c>
      <c r="E270" s="3" t="s">
        <v>626</v>
      </c>
      <c r="F270" s="5" t="s">
        <v>626</v>
      </c>
      <c r="G270" s="102">
        <v>45261</v>
      </c>
      <c r="H270" s="5">
        <f t="shared" si="73"/>
        <v>31</v>
      </c>
      <c r="I270" s="5">
        <f t="shared" si="74"/>
        <v>12</v>
      </c>
      <c r="J270" s="4">
        <f t="shared" si="75"/>
        <v>53.548387096774192</v>
      </c>
      <c r="K270" s="4">
        <f>SUM($J$262:J270)</f>
        <v>481.9354838709678</v>
      </c>
      <c r="L270" s="4">
        <f>SUM($J$18:J270)</f>
        <v>11341.935483870962</v>
      </c>
      <c r="M270" s="4">
        <f t="shared" si="76"/>
        <v>6.4806451612903224</v>
      </c>
      <c r="N270" s="4">
        <f>SUM($M$262:M270)</f>
        <v>58.32580645161292</v>
      </c>
      <c r="O270" s="4">
        <f>SUM($M$18:M270)</f>
        <v>1406.6258064516101</v>
      </c>
      <c r="P270" s="9">
        <f t="shared" si="77"/>
        <v>0.71831222210106593</v>
      </c>
      <c r="Q270" s="26">
        <f t="shared" si="88"/>
        <v>0.71831222210106582</v>
      </c>
      <c r="R270" s="26">
        <f t="shared" si="88"/>
        <v>0.70096074341777248</v>
      </c>
      <c r="S270" s="9">
        <f t="shared" si="78"/>
        <v>0.19396360943562388</v>
      </c>
      <c r="T270" s="9">
        <f>K270/((COUNT($K$262:K270))*24*$Q$1)</f>
        <v>0.19396360943562385</v>
      </c>
      <c r="U270" s="28">
        <f>L270/((COUNT($L$18:L270))*24*$Q$1)</f>
        <v>0.16238298270766541</v>
      </c>
      <c r="V270" s="134">
        <v>11.5031</v>
      </c>
      <c r="Y270" s="27">
        <f t="shared" si="85"/>
        <v>45269</v>
      </c>
      <c r="Z270" s="5">
        <f>MONTH(Modelling_new[[#This Row],[Date]])</f>
        <v>12</v>
      </c>
      <c r="AA270" s="25">
        <f>YEAR(Y270)+IF(MONTH(Modelling_new[[#This Row],[Date]])&gt;=4,1,0)</f>
        <v>2024</v>
      </c>
      <c r="AB270" s="3">
        <f t="shared" si="79"/>
        <v>2023</v>
      </c>
      <c r="AC270" s="3" t="s">
        <v>626</v>
      </c>
      <c r="AD270" s="5" t="s">
        <v>626</v>
      </c>
      <c r="AE270" s="102">
        <v>45261</v>
      </c>
      <c r="AF270" s="5">
        <f t="shared" si="80"/>
        <v>31</v>
      </c>
      <c r="AG270" s="5">
        <f t="shared" si="81"/>
        <v>12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BD270" s="27">
        <f t="shared" si="86"/>
        <v>45269</v>
      </c>
      <c r="BE270" s="5">
        <f>MONTH(Modelling[[#This Row],[Date]])</f>
        <v>12</v>
      </c>
      <c r="BF270" s="25">
        <f>YEAR(BD270)+IF(MONTH(Modelling[[#This Row],[Date]])&gt;=4,1,0)</f>
        <v>2024</v>
      </c>
      <c r="BG270" s="3">
        <f t="shared" si="82"/>
        <v>2023</v>
      </c>
      <c r="BH270" s="3" t="s">
        <v>626</v>
      </c>
      <c r="BI270" s="5" t="s">
        <v>626</v>
      </c>
      <c r="BJ270" s="102">
        <v>45261</v>
      </c>
      <c r="BK270" s="5">
        <f t="shared" si="83"/>
        <v>31</v>
      </c>
      <c r="BL270" s="5">
        <f t="shared" si="84"/>
        <v>12</v>
      </c>
      <c r="BM270" s="4">
        <f>Modelling_old[[#This Row],[Target E_Grid daily
MWh]]+Modelling_new[[#This Row],[Target E_Grid daily
MWh]]</f>
        <v>53.548387096774192</v>
      </c>
      <c r="BN270" s="4">
        <f>Modelling_old[[#This Row],[Target E_Grid MTD
MWh]]+Modelling_new[[#This Row],[Target E_Grid MTD
MWh]]</f>
        <v>481.9354838709678</v>
      </c>
      <c r="BO270" s="4">
        <f>Modelling_old[[#This Row],[Target E_Grid YTD
MWh]]+Modelling_new[[#This Row],[Target E_Grid YTD
MWh]]</f>
        <v>11341.935483870962</v>
      </c>
      <c r="BP27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70" s="4">
        <f>SUMIFS(Modelling[Target POA Daily (KWh/m2)],Modelling[Date],"&lt;="&amp;Modelling[[#This Row],[Date]],Modelling[Month Year],Modelling[[#This Row],[Month Year]])</f>
        <v>58.32580645161292</v>
      </c>
      <c r="BR270" s="4">
        <f>SUMIFS(Modelling[Target POA Daily (KWh/m2)],Modelling[Date],"&lt;="&amp;Modelling[[#This Row],[Date]],Modelling[Finacial Year],Modelling[[#This Row],[Finacial Year]])</f>
        <v>1406.6258064516101</v>
      </c>
      <c r="BS270" s="9">
        <f>BM270/Modelling[[#This Row],[Comisined DC ]]/BP270</f>
        <v>0.71831222210106593</v>
      </c>
      <c r="BT270" s="9">
        <f>BN270/BQ270/Modelling[[#This Row],[Comisined DC ]]</f>
        <v>0.71831222210106582</v>
      </c>
      <c r="BU270" s="9">
        <f>BO270/BR270/Modelling[[#This Row],[Comisined DC ]]</f>
        <v>0.70096074341777248</v>
      </c>
      <c r="BV270" s="9">
        <f>BM270/(24*Modelling[[#This Row],[Comisined DC ]])</f>
        <v>0.19396360943562388</v>
      </c>
      <c r="BW270" s="9">
        <f>BN270/((COUNTIFS(Modelling[Date],"&lt;="&amp;Modelling[[#This Row],[Date]],Modelling[Month Year],Modelling[[#This Row],[Month Year]])*24*Modelling[[#This Row],[MTD DC Capcity]]))</f>
        <v>0.19396360943562385</v>
      </c>
      <c r="BX270" s="28">
        <f>BO270/((COUNTIFS(Modelling[Date],"&lt;="&amp;Modelling[[#This Row],[Date]],Modelling[Finacial Year],Modelling[[#This Row],[Finacial Year]])*24*Modelling[[#This Row],[MTD DC Capcity]]))</f>
        <v>0.16238298270766538</v>
      </c>
      <c r="BY270" s="4">
        <f>Modelling_old[[#This Row],[DC Capcity]]+Modelling_new[[#This Row],[Comisined DC ]]</f>
        <v>11.5031</v>
      </c>
      <c r="BZ270" s="4">
        <v>0</v>
      </c>
      <c r="CA270" s="4">
        <f>AVERAGEIFS(Modelling[[Comisined DC ]],Modelling[Date],"&lt;="&amp;Modelling[[#This Row],[Date]],Modelling[Month Year],Modelling[[#This Row],[Month Year]])</f>
        <v>11.503100000000002</v>
      </c>
      <c r="CB270" s="4">
        <f>AVERAGEIFS(Modelling[[Comisined DC ]],Modelling[Date],"&lt;="&amp;Modelling[[#This Row],[Date]],Modelling[Finacial Year],Modelling[[#This Row],[Finacial Year]])</f>
        <v>11.503099999999941</v>
      </c>
      <c r="CG270">
        <f t="shared" si="89"/>
        <v>9</v>
      </c>
      <c r="CH270">
        <f t="shared" si="87"/>
        <v>253</v>
      </c>
    </row>
    <row r="271" spans="1:86" x14ac:dyDescent="0.35">
      <c r="A271" s="27">
        <v>45270</v>
      </c>
      <c r="B271" s="5">
        <f>MONTH(Modelling_old[[#This Row],[Date]])</f>
        <v>12</v>
      </c>
      <c r="C271" s="25">
        <f t="shared" si="71"/>
        <v>2024</v>
      </c>
      <c r="D271" s="3">
        <f t="shared" si="72"/>
        <v>2023</v>
      </c>
      <c r="E271" s="3" t="s">
        <v>626</v>
      </c>
      <c r="F271" s="5" t="s">
        <v>626</v>
      </c>
      <c r="G271" s="102">
        <v>45261</v>
      </c>
      <c r="H271" s="5">
        <f t="shared" si="73"/>
        <v>31</v>
      </c>
      <c r="I271" s="5">
        <f t="shared" si="74"/>
        <v>12</v>
      </c>
      <c r="J271" s="4">
        <f t="shared" si="75"/>
        <v>53.548387096774192</v>
      </c>
      <c r="K271" s="4">
        <f>SUM($J$262:J271)</f>
        <v>535.48387096774195</v>
      </c>
      <c r="L271" s="4">
        <f>SUM($J$18:J271)</f>
        <v>11395.483870967737</v>
      </c>
      <c r="M271" s="4">
        <f t="shared" si="76"/>
        <v>6.4806451612903224</v>
      </c>
      <c r="N271" s="4">
        <f>SUM($M$262:M271)</f>
        <v>64.806451612903246</v>
      </c>
      <c r="O271" s="4">
        <f>SUM($M$18:M271)</f>
        <v>1413.1064516129004</v>
      </c>
      <c r="P271" s="9">
        <f t="shared" si="77"/>
        <v>0.71831222210106593</v>
      </c>
      <c r="Q271" s="26">
        <f t="shared" si="88"/>
        <v>0.71831222210106571</v>
      </c>
      <c r="R271" s="26">
        <f t="shared" si="88"/>
        <v>0.7010403190054727</v>
      </c>
      <c r="S271" s="9">
        <f t="shared" si="78"/>
        <v>0.19396360943562388</v>
      </c>
      <c r="T271" s="9">
        <f>K271/((COUNT($K$262:K271))*24*$Q$1)</f>
        <v>0.19396360943562385</v>
      </c>
      <c r="U271" s="28">
        <f>L271/((COUNT($L$18:L271))*24*$Q$1)</f>
        <v>0.16250731588375975</v>
      </c>
      <c r="V271" s="134">
        <v>11.5031</v>
      </c>
      <c r="Y271" s="27">
        <f t="shared" si="85"/>
        <v>45270</v>
      </c>
      <c r="Z271" s="5">
        <f>MONTH(Modelling_new[[#This Row],[Date]])</f>
        <v>12</v>
      </c>
      <c r="AA271" s="25">
        <f>YEAR(Y271)+IF(MONTH(Modelling_new[[#This Row],[Date]])&gt;=4,1,0)</f>
        <v>2024</v>
      </c>
      <c r="AB271" s="3">
        <f t="shared" si="79"/>
        <v>2023</v>
      </c>
      <c r="AC271" s="3" t="s">
        <v>626</v>
      </c>
      <c r="AD271" s="5" t="s">
        <v>626</v>
      </c>
      <c r="AE271" s="102">
        <v>45261</v>
      </c>
      <c r="AF271" s="5">
        <f t="shared" si="80"/>
        <v>31</v>
      </c>
      <c r="AG271" s="5">
        <f t="shared" si="81"/>
        <v>12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BD271" s="27">
        <f t="shared" si="86"/>
        <v>45270</v>
      </c>
      <c r="BE271" s="5">
        <f>MONTH(Modelling[[#This Row],[Date]])</f>
        <v>12</v>
      </c>
      <c r="BF271" s="25">
        <f>YEAR(BD271)+IF(MONTH(Modelling[[#This Row],[Date]])&gt;=4,1,0)</f>
        <v>2024</v>
      </c>
      <c r="BG271" s="3">
        <f t="shared" si="82"/>
        <v>2023</v>
      </c>
      <c r="BH271" s="3" t="s">
        <v>626</v>
      </c>
      <c r="BI271" s="5" t="s">
        <v>626</v>
      </c>
      <c r="BJ271" s="102">
        <v>45261</v>
      </c>
      <c r="BK271" s="5">
        <f t="shared" si="83"/>
        <v>31</v>
      </c>
      <c r="BL271" s="5">
        <f t="shared" si="84"/>
        <v>12</v>
      </c>
      <c r="BM271" s="4">
        <f>Modelling_old[[#This Row],[Target E_Grid daily
MWh]]+Modelling_new[[#This Row],[Target E_Grid daily
MWh]]</f>
        <v>53.548387096774192</v>
      </c>
      <c r="BN271" s="4">
        <f>Modelling_old[[#This Row],[Target E_Grid MTD
MWh]]+Modelling_new[[#This Row],[Target E_Grid MTD
MWh]]</f>
        <v>535.48387096774195</v>
      </c>
      <c r="BO271" s="4">
        <f>Modelling_old[[#This Row],[Target E_Grid YTD
MWh]]+Modelling_new[[#This Row],[Target E_Grid YTD
MWh]]</f>
        <v>11395.483870967737</v>
      </c>
      <c r="BP27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71" s="4">
        <f>SUMIFS(Modelling[Target POA Daily (KWh/m2)],Modelling[Date],"&lt;="&amp;Modelling[[#This Row],[Date]],Modelling[Month Year],Modelling[[#This Row],[Month Year]])</f>
        <v>64.806451612903246</v>
      </c>
      <c r="BR271" s="4">
        <f>SUMIFS(Modelling[Target POA Daily (KWh/m2)],Modelling[Date],"&lt;="&amp;Modelling[[#This Row],[Date]],Modelling[Finacial Year],Modelling[[#This Row],[Finacial Year]])</f>
        <v>1413.1064516129004</v>
      </c>
      <c r="BS271" s="9">
        <f>BM271/Modelling[[#This Row],[Comisined DC ]]/BP271</f>
        <v>0.71831222210106593</v>
      </c>
      <c r="BT271" s="9">
        <f>BN271/BQ271/Modelling[[#This Row],[Comisined DC ]]</f>
        <v>0.71831222210106571</v>
      </c>
      <c r="BU271" s="9">
        <f>BO271/BR271/Modelling[[#This Row],[Comisined DC ]]</f>
        <v>0.7010403190054727</v>
      </c>
      <c r="BV271" s="9">
        <f>BM271/(24*Modelling[[#This Row],[Comisined DC ]])</f>
        <v>0.19396360943562388</v>
      </c>
      <c r="BW271" s="9">
        <f>BN271/((COUNTIFS(Modelling[Date],"&lt;="&amp;Modelling[[#This Row],[Date]],Modelling[Month Year],Modelling[[#This Row],[Month Year]])*24*Modelling[[#This Row],[MTD DC Capcity]]))</f>
        <v>0.19396360943562382</v>
      </c>
      <c r="BX271" s="28">
        <f>BO271/((COUNTIFS(Modelling[Date],"&lt;="&amp;Modelling[[#This Row],[Date]],Modelling[Finacial Year],Modelling[[#This Row],[Finacial Year]])*24*Modelling[[#This Row],[MTD DC Capcity]]))</f>
        <v>0.16250731588375969</v>
      </c>
      <c r="BY271" s="4">
        <f>Modelling_old[[#This Row],[DC Capcity]]+Modelling_new[[#This Row],[Comisined DC ]]</f>
        <v>11.5031</v>
      </c>
      <c r="BZ271" s="4">
        <v>0</v>
      </c>
      <c r="CA271" s="4">
        <f>AVERAGEIFS(Modelling[[Comisined DC ]],Modelling[Date],"&lt;="&amp;Modelling[[#This Row],[Date]],Modelling[Month Year],Modelling[[#This Row],[Month Year]])</f>
        <v>11.503100000000002</v>
      </c>
      <c r="CB271" s="4">
        <f>AVERAGEIFS(Modelling[[Comisined DC ]],Modelling[Date],"&lt;="&amp;Modelling[[#This Row],[Date]],Modelling[Finacial Year],Modelling[[#This Row],[Finacial Year]])</f>
        <v>11.503099999999941</v>
      </c>
      <c r="CG271">
        <f t="shared" si="89"/>
        <v>10</v>
      </c>
      <c r="CH271">
        <f t="shared" si="87"/>
        <v>254</v>
      </c>
    </row>
    <row r="272" spans="1:86" x14ac:dyDescent="0.35">
      <c r="A272" s="27">
        <v>45271</v>
      </c>
      <c r="B272" s="5">
        <f>MONTH(Modelling_old[[#This Row],[Date]])</f>
        <v>12</v>
      </c>
      <c r="C272" s="25">
        <f t="shared" si="71"/>
        <v>2024</v>
      </c>
      <c r="D272" s="3">
        <f t="shared" si="72"/>
        <v>2023</v>
      </c>
      <c r="E272" s="3" t="s">
        <v>626</v>
      </c>
      <c r="F272" s="5" t="s">
        <v>626</v>
      </c>
      <c r="G272" s="102">
        <v>45261</v>
      </c>
      <c r="H272" s="5">
        <f t="shared" si="73"/>
        <v>31</v>
      </c>
      <c r="I272" s="5">
        <f t="shared" si="74"/>
        <v>12</v>
      </c>
      <c r="J272" s="4">
        <f t="shared" si="75"/>
        <v>53.548387096774192</v>
      </c>
      <c r="K272" s="4">
        <f>SUM($J$262:J272)</f>
        <v>589.0322580645161</v>
      </c>
      <c r="L272" s="4">
        <f>SUM($J$18:J272)</f>
        <v>11449.032258064512</v>
      </c>
      <c r="M272" s="4">
        <f t="shared" si="76"/>
        <v>6.4806451612903224</v>
      </c>
      <c r="N272" s="4">
        <f>SUM($M$262:M272)</f>
        <v>71.287096774193571</v>
      </c>
      <c r="O272" s="4">
        <f>SUM($M$18:M272)</f>
        <v>1419.5870967741907</v>
      </c>
      <c r="P272" s="9">
        <f t="shared" si="77"/>
        <v>0.71831222210106593</v>
      </c>
      <c r="Q272" s="26">
        <f t="shared" si="88"/>
        <v>0.71831222210106571</v>
      </c>
      <c r="R272" s="26">
        <f t="shared" si="88"/>
        <v>0.7011191680422646</v>
      </c>
      <c r="S272" s="9">
        <f t="shared" si="78"/>
        <v>0.19396360943562388</v>
      </c>
      <c r="T272" s="9">
        <f>K272/((COUNT($K$262:K272))*24*$Q$1)</f>
        <v>0.19396360943562382</v>
      </c>
      <c r="U272" s="28">
        <f>L272/((COUNT($L$18:L272))*24*$Q$1)</f>
        <v>0.16263067389768862</v>
      </c>
      <c r="V272" s="134">
        <v>11.5031</v>
      </c>
      <c r="Y272" s="27">
        <f t="shared" si="85"/>
        <v>45271</v>
      </c>
      <c r="Z272" s="5">
        <f>MONTH(Modelling_new[[#This Row],[Date]])</f>
        <v>12</v>
      </c>
      <c r="AA272" s="25">
        <f>YEAR(Y272)+IF(MONTH(Modelling_new[[#This Row],[Date]])&gt;=4,1,0)</f>
        <v>2024</v>
      </c>
      <c r="AB272" s="3">
        <f t="shared" si="79"/>
        <v>2023</v>
      </c>
      <c r="AC272" s="3" t="s">
        <v>626</v>
      </c>
      <c r="AD272" s="5" t="s">
        <v>626</v>
      </c>
      <c r="AE272" s="102">
        <v>45261</v>
      </c>
      <c r="AF272" s="5">
        <f t="shared" si="80"/>
        <v>31</v>
      </c>
      <c r="AG272" s="5">
        <f t="shared" si="81"/>
        <v>12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BD272" s="27">
        <f t="shared" si="86"/>
        <v>45271</v>
      </c>
      <c r="BE272" s="5">
        <f>MONTH(Modelling[[#This Row],[Date]])</f>
        <v>12</v>
      </c>
      <c r="BF272" s="25">
        <f>YEAR(BD272)+IF(MONTH(Modelling[[#This Row],[Date]])&gt;=4,1,0)</f>
        <v>2024</v>
      </c>
      <c r="BG272" s="3">
        <f t="shared" si="82"/>
        <v>2023</v>
      </c>
      <c r="BH272" s="3" t="s">
        <v>626</v>
      </c>
      <c r="BI272" s="5" t="s">
        <v>626</v>
      </c>
      <c r="BJ272" s="102">
        <v>45261</v>
      </c>
      <c r="BK272" s="5">
        <f t="shared" si="83"/>
        <v>31</v>
      </c>
      <c r="BL272" s="5">
        <f t="shared" si="84"/>
        <v>12</v>
      </c>
      <c r="BM272" s="4">
        <f>Modelling_old[[#This Row],[Target E_Grid daily
MWh]]+Modelling_new[[#This Row],[Target E_Grid daily
MWh]]</f>
        <v>53.548387096774192</v>
      </c>
      <c r="BN272" s="4">
        <f>Modelling_old[[#This Row],[Target E_Grid MTD
MWh]]+Modelling_new[[#This Row],[Target E_Grid MTD
MWh]]</f>
        <v>589.0322580645161</v>
      </c>
      <c r="BO272" s="4">
        <f>Modelling_old[[#This Row],[Target E_Grid YTD
MWh]]+Modelling_new[[#This Row],[Target E_Grid YTD
MWh]]</f>
        <v>11449.032258064512</v>
      </c>
      <c r="BP27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72" s="4">
        <f>SUMIFS(Modelling[Target POA Daily (KWh/m2)],Modelling[Date],"&lt;="&amp;Modelling[[#This Row],[Date]],Modelling[Month Year],Modelling[[#This Row],[Month Year]])</f>
        <v>71.287096774193571</v>
      </c>
      <c r="BR272" s="4">
        <f>SUMIFS(Modelling[Target POA Daily (KWh/m2)],Modelling[Date],"&lt;="&amp;Modelling[[#This Row],[Date]],Modelling[Finacial Year],Modelling[[#This Row],[Finacial Year]])</f>
        <v>1419.5870967741907</v>
      </c>
      <c r="BS272" s="9">
        <f>BM272/Modelling[[#This Row],[Comisined DC ]]/BP272</f>
        <v>0.71831222210106593</v>
      </c>
      <c r="BT272" s="9">
        <f>BN272/BQ272/Modelling[[#This Row],[Comisined DC ]]</f>
        <v>0.71831222210106571</v>
      </c>
      <c r="BU272" s="9">
        <f>BO272/BR272/Modelling[[#This Row],[Comisined DC ]]</f>
        <v>0.7011191680422646</v>
      </c>
      <c r="BV272" s="9">
        <f>BM272/(24*Modelling[[#This Row],[Comisined DC ]])</f>
        <v>0.19396360943562388</v>
      </c>
      <c r="BW272" s="9">
        <f>BN272/((COUNTIFS(Modelling[Date],"&lt;="&amp;Modelling[[#This Row],[Date]],Modelling[Month Year],Modelling[[#This Row],[Month Year]])*24*Modelling[[#This Row],[MTD DC Capcity]]))</f>
        <v>0.1939636094356238</v>
      </c>
      <c r="BX272" s="28">
        <f>BO272/((COUNTIFS(Modelling[Date],"&lt;="&amp;Modelling[[#This Row],[Date]],Modelling[Finacial Year],Modelling[[#This Row],[Finacial Year]])*24*Modelling[[#This Row],[MTD DC Capcity]]))</f>
        <v>0.16263067389768859</v>
      </c>
      <c r="BY272" s="4">
        <f>Modelling_old[[#This Row],[DC Capcity]]+Modelling_new[[#This Row],[Comisined DC ]]</f>
        <v>11.5031</v>
      </c>
      <c r="BZ272" s="4">
        <v>0</v>
      </c>
      <c r="CA272" s="4">
        <f>AVERAGEIFS(Modelling[[Comisined DC ]],Modelling[Date],"&lt;="&amp;Modelling[[#This Row],[Date]],Modelling[Month Year],Modelling[[#This Row],[Month Year]])</f>
        <v>11.503100000000002</v>
      </c>
      <c r="CB272" s="4">
        <f>AVERAGEIFS(Modelling[[Comisined DC ]],Modelling[Date],"&lt;="&amp;Modelling[[#This Row],[Date]],Modelling[Finacial Year],Modelling[[#This Row],[Finacial Year]])</f>
        <v>11.503099999999941</v>
      </c>
      <c r="CG272">
        <f t="shared" si="89"/>
        <v>11</v>
      </c>
      <c r="CH272">
        <f t="shared" si="87"/>
        <v>255</v>
      </c>
    </row>
    <row r="273" spans="1:86" x14ac:dyDescent="0.35">
      <c r="A273" s="27">
        <v>45272</v>
      </c>
      <c r="B273" s="5">
        <f>MONTH(Modelling_old[[#This Row],[Date]])</f>
        <v>12</v>
      </c>
      <c r="C273" s="25">
        <f t="shared" si="71"/>
        <v>2024</v>
      </c>
      <c r="D273" s="3">
        <f t="shared" si="72"/>
        <v>2023</v>
      </c>
      <c r="E273" s="3" t="s">
        <v>626</v>
      </c>
      <c r="F273" s="5" t="s">
        <v>626</v>
      </c>
      <c r="G273" s="102">
        <v>45261</v>
      </c>
      <c r="H273" s="5">
        <f t="shared" si="73"/>
        <v>31</v>
      </c>
      <c r="I273" s="5">
        <f t="shared" si="74"/>
        <v>12</v>
      </c>
      <c r="J273" s="4">
        <f t="shared" si="75"/>
        <v>53.548387096774192</v>
      </c>
      <c r="K273" s="4">
        <f>SUM($J$262:J273)</f>
        <v>642.58064516129025</v>
      </c>
      <c r="L273" s="4">
        <f>SUM($J$18:J273)</f>
        <v>11502.580645161286</v>
      </c>
      <c r="M273" s="4">
        <f t="shared" si="76"/>
        <v>6.4806451612903224</v>
      </c>
      <c r="N273" s="4">
        <f>SUM($M$262:M273)</f>
        <v>77.767741935483897</v>
      </c>
      <c r="O273" s="4">
        <f>SUM($M$18:M273)</f>
        <v>1426.0677419354811</v>
      </c>
      <c r="P273" s="9">
        <f t="shared" si="77"/>
        <v>0.71831222210106593</v>
      </c>
      <c r="Q273" s="26">
        <f t="shared" si="88"/>
        <v>0.71831222210106571</v>
      </c>
      <c r="R273" s="26">
        <f t="shared" si="88"/>
        <v>0.70119730043339679</v>
      </c>
      <c r="S273" s="9">
        <f t="shared" si="78"/>
        <v>0.19396360943562388</v>
      </c>
      <c r="T273" s="9">
        <f>K273/((COUNT($K$262:K273))*24*$Q$1)</f>
        <v>0.19396360943562382</v>
      </c>
      <c r="U273" s="28">
        <f>L273/((COUNT($L$18:L273))*24*$Q$1)</f>
        <v>0.1627530681771337</v>
      </c>
      <c r="V273" s="134">
        <v>11.5031</v>
      </c>
      <c r="Y273" s="27">
        <f t="shared" si="85"/>
        <v>45272</v>
      </c>
      <c r="Z273" s="5">
        <f>MONTH(Modelling_new[[#This Row],[Date]])</f>
        <v>12</v>
      </c>
      <c r="AA273" s="25">
        <f>YEAR(Y273)+IF(MONTH(Modelling_new[[#This Row],[Date]])&gt;=4,1,0)</f>
        <v>2024</v>
      </c>
      <c r="AB273" s="3">
        <f t="shared" si="79"/>
        <v>2023</v>
      </c>
      <c r="AC273" s="3" t="s">
        <v>626</v>
      </c>
      <c r="AD273" s="5" t="s">
        <v>626</v>
      </c>
      <c r="AE273" s="102">
        <v>45261</v>
      </c>
      <c r="AF273" s="5">
        <f t="shared" si="80"/>
        <v>31</v>
      </c>
      <c r="AG273" s="5">
        <f t="shared" si="81"/>
        <v>12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BD273" s="27">
        <f t="shared" si="86"/>
        <v>45272</v>
      </c>
      <c r="BE273" s="5">
        <f>MONTH(Modelling[[#This Row],[Date]])</f>
        <v>12</v>
      </c>
      <c r="BF273" s="25">
        <f>YEAR(BD273)+IF(MONTH(Modelling[[#This Row],[Date]])&gt;=4,1,0)</f>
        <v>2024</v>
      </c>
      <c r="BG273" s="3">
        <f t="shared" si="82"/>
        <v>2023</v>
      </c>
      <c r="BH273" s="3" t="s">
        <v>626</v>
      </c>
      <c r="BI273" s="5" t="s">
        <v>626</v>
      </c>
      <c r="BJ273" s="102">
        <v>45261</v>
      </c>
      <c r="BK273" s="5">
        <f t="shared" si="83"/>
        <v>31</v>
      </c>
      <c r="BL273" s="5">
        <f t="shared" si="84"/>
        <v>12</v>
      </c>
      <c r="BM273" s="4">
        <f>Modelling_old[[#This Row],[Target E_Grid daily
MWh]]+Modelling_new[[#This Row],[Target E_Grid daily
MWh]]</f>
        <v>53.548387096774192</v>
      </c>
      <c r="BN273" s="4">
        <f>Modelling_old[[#This Row],[Target E_Grid MTD
MWh]]+Modelling_new[[#This Row],[Target E_Grid MTD
MWh]]</f>
        <v>642.58064516129025</v>
      </c>
      <c r="BO273" s="4">
        <f>Modelling_old[[#This Row],[Target E_Grid YTD
MWh]]+Modelling_new[[#This Row],[Target E_Grid YTD
MWh]]</f>
        <v>11502.580645161286</v>
      </c>
      <c r="BP27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73" s="4">
        <f>SUMIFS(Modelling[Target POA Daily (KWh/m2)],Modelling[Date],"&lt;="&amp;Modelling[[#This Row],[Date]],Modelling[Month Year],Modelling[[#This Row],[Month Year]])</f>
        <v>77.767741935483897</v>
      </c>
      <c r="BR273" s="4">
        <f>SUMIFS(Modelling[Target POA Daily (KWh/m2)],Modelling[Date],"&lt;="&amp;Modelling[[#This Row],[Date]],Modelling[Finacial Year],Modelling[[#This Row],[Finacial Year]])</f>
        <v>1426.0677419354811</v>
      </c>
      <c r="BS273" s="9">
        <f>BM273/Modelling[[#This Row],[Comisined DC ]]/BP273</f>
        <v>0.71831222210106593</v>
      </c>
      <c r="BT273" s="9">
        <f>BN273/BQ273/Modelling[[#This Row],[Comisined DC ]]</f>
        <v>0.71831222210106571</v>
      </c>
      <c r="BU273" s="9">
        <f>BO273/BR273/Modelling[[#This Row],[Comisined DC ]]</f>
        <v>0.70119730043339679</v>
      </c>
      <c r="BV273" s="9">
        <f>BM273/(24*Modelling[[#This Row],[Comisined DC ]])</f>
        <v>0.19396360943562388</v>
      </c>
      <c r="BW273" s="9">
        <f>BN273/((COUNTIFS(Modelling[Date],"&lt;="&amp;Modelling[[#This Row],[Date]],Modelling[Month Year],Modelling[[#This Row],[Month Year]])*24*Modelling[[#This Row],[MTD DC Capcity]]))</f>
        <v>0.1939636094356238</v>
      </c>
      <c r="BX273" s="28">
        <f>BO273/((COUNTIFS(Modelling[Date],"&lt;="&amp;Modelling[[#This Row],[Date]],Modelling[Finacial Year],Modelling[[#This Row],[Finacial Year]])*24*Modelling[[#This Row],[MTD DC Capcity]]))</f>
        <v>0.16275306817713367</v>
      </c>
      <c r="BY273" s="4">
        <f>Modelling_old[[#This Row],[DC Capcity]]+Modelling_new[[#This Row],[Comisined DC ]]</f>
        <v>11.5031</v>
      </c>
      <c r="BZ273" s="4">
        <v>0</v>
      </c>
      <c r="CA273" s="4">
        <f>AVERAGEIFS(Modelling[[Comisined DC ]],Modelling[Date],"&lt;="&amp;Modelling[[#This Row],[Date]],Modelling[Month Year],Modelling[[#This Row],[Month Year]])</f>
        <v>11.503100000000002</v>
      </c>
      <c r="CB273" s="4">
        <f>AVERAGEIFS(Modelling[[Comisined DC ]],Modelling[Date],"&lt;="&amp;Modelling[[#This Row],[Date]],Modelling[Finacial Year],Modelling[[#This Row],[Finacial Year]])</f>
        <v>11.503099999999941</v>
      </c>
      <c r="CG273">
        <f t="shared" si="89"/>
        <v>12</v>
      </c>
      <c r="CH273">
        <f t="shared" si="87"/>
        <v>256</v>
      </c>
    </row>
    <row r="274" spans="1:86" x14ac:dyDescent="0.35">
      <c r="A274" s="27">
        <v>45273</v>
      </c>
      <c r="B274" s="5">
        <f>MONTH(Modelling_old[[#This Row],[Date]])</f>
        <v>12</v>
      </c>
      <c r="C274" s="25">
        <f t="shared" ref="C274:C291" si="90">YEAR(A274)+(MONTH(A274)&gt;=B274)</f>
        <v>2024</v>
      </c>
      <c r="D274" s="3">
        <f t="shared" ref="D274:D321" si="91">YEAR(A274)</f>
        <v>2023</v>
      </c>
      <c r="E274" s="3" t="s">
        <v>626</v>
      </c>
      <c r="F274" s="5" t="s">
        <v>626</v>
      </c>
      <c r="G274" s="102">
        <v>45261</v>
      </c>
      <c r="H274" s="5">
        <f t="shared" ref="H274:H321" si="92">DAY(EOMONTH(G274,0))</f>
        <v>31</v>
      </c>
      <c r="I274" s="5">
        <f t="shared" ref="I274:I321" si="93">MONTH(A274)</f>
        <v>12</v>
      </c>
      <c r="J274" s="4">
        <f t="shared" ref="J274:J321" si="94">VLOOKUP(I274,$C$2:$L$13,10,0)/H274</f>
        <v>53.548387096774192</v>
      </c>
      <c r="K274" s="4">
        <f>SUM($J$262:J274)</f>
        <v>696.1290322580644</v>
      </c>
      <c r="L274" s="4">
        <f>SUM($J$18:J274)</f>
        <v>11556.129032258061</v>
      </c>
      <c r="M274" s="4">
        <f t="shared" ref="M274:M321" si="95">VLOOKUP(I274,$C$2:$M$13,11,0)</f>
        <v>6.4806451612903224</v>
      </c>
      <c r="N274" s="4">
        <f>SUM($M$262:M274)</f>
        <v>84.248387096774223</v>
      </c>
      <c r="O274" s="4">
        <f>SUM($M$18:M274)</f>
        <v>1432.5483870967714</v>
      </c>
      <c r="P274" s="9">
        <f t="shared" ref="P274:P321" si="96">J274/$Q$1/M274</f>
        <v>0.71831222210106593</v>
      </c>
      <c r="Q274" s="26">
        <f t="shared" si="88"/>
        <v>0.71831222210106549</v>
      </c>
      <c r="R274" s="26">
        <f t="shared" si="88"/>
        <v>0.7012747259048786</v>
      </c>
      <c r="S274" s="9">
        <f t="shared" ref="S274:S321" si="97">J274/(24*$Q$1)</f>
        <v>0.19396360943562388</v>
      </c>
      <c r="T274" s="9">
        <f>K274/((COUNT($K$262:K274))*24*$Q$1)</f>
        <v>0.19396360943562382</v>
      </c>
      <c r="U274" s="28">
        <f>L274/((COUNT($L$18:L274))*24*$Q$1)</f>
        <v>0.1628745099719138</v>
      </c>
      <c r="V274" s="134">
        <v>11.5031</v>
      </c>
      <c r="Y274" s="27">
        <f t="shared" si="85"/>
        <v>45273</v>
      </c>
      <c r="Z274" s="5">
        <f>MONTH(Modelling_new[[#This Row],[Date]])</f>
        <v>12</v>
      </c>
      <c r="AA274" s="25">
        <f>YEAR(Y274)+IF(MONTH(Modelling_new[[#This Row],[Date]])&gt;=4,1,0)</f>
        <v>2024</v>
      </c>
      <c r="AB274" s="3">
        <f t="shared" ref="AB274:AB337" si="98">YEAR(Y274)</f>
        <v>2023</v>
      </c>
      <c r="AC274" s="3" t="s">
        <v>626</v>
      </c>
      <c r="AD274" s="5" t="s">
        <v>626</v>
      </c>
      <c r="AE274" s="102">
        <v>45261</v>
      </c>
      <c r="AF274" s="5">
        <f t="shared" ref="AF274:AF337" si="99">DAY(EOMONTH(AE274,0))</f>
        <v>31</v>
      </c>
      <c r="AG274" s="5">
        <f t="shared" ref="AG274:AG337" si="100">MONTH(Y274)</f>
        <v>12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BD274" s="27">
        <f t="shared" si="86"/>
        <v>45273</v>
      </c>
      <c r="BE274" s="5">
        <f>MONTH(Modelling[[#This Row],[Date]])</f>
        <v>12</v>
      </c>
      <c r="BF274" s="25">
        <f>YEAR(BD274)+IF(MONTH(Modelling[[#This Row],[Date]])&gt;=4,1,0)</f>
        <v>2024</v>
      </c>
      <c r="BG274" s="3">
        <f t="shared" ref="BG274:BG337" si="101">YEAR(BD274)</f>
        <v>2023</v>
      </c>
      <c r="BH274" s="3" t="s">
        <v>626</v>
      </c>
      <c r="BI274" s="5" t="s">
        <v>626</v>
      </c>
      <c r="BJ274" s="102">
        <v>45261</v>
      </c>
      <c r="BK274" s="5">
        <f t="shared" ref="BK274:BK337" si="102">DAY(EOMONTH(BJ274,0))</f>
        <v>31</v>
      </c>
      <c r="BL274" s="5">
        <f t="shared" ref="BL274:BL337" si="103">MONTH(BD274)</f>
        <v>12</v>
      </c>
      <c r="BM274" s="4">
        <f>Modelling_old[[#This Row],[Target E_Grid daily
MWh]]+Modelling_new[[#This Row],[Target E_Grid daily
MWh]]</f>
        <v>53.548387096774192</v>
      </c>
      <c r="BN274" s="4">
        <f>Modelling_old[[#This Row],[Target E_Grid MTD
MWh]]+Modelling_new[[#This Row],[Target E_Grid MTD
MWh]]</f>
        <v>696.1290322580644</v>
      </c>
      <c r="BO274" s="4">
        <f>Modelling_old[[#This Row],[Target E_Grid YTD
MWh]]+Modelling_new[[#This Row],[Target E_Grid YTD
MWh]]</f>
        <v>11556.129032258061</v>
      </c>
      <c r="BP27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74" s="4">
        <f>SUMIFS(Modelling[Target POA Daily (KWh/m2)],Modelling[Date],"&lt;="&amp;Modelling[[#This Row],[Date]],Modelling[Month Year],Modelling[[#This Row],[Month Year]])</f>
        <v>84.248387096774223</v>
      </c>
      <c r="BR274" s="4">
        <f>SUMIFS(Modelling[Target POA Daily (KWh/m2)],Modelling[Date],"&lt;="&amp;Modelling[[#This Row],[Date]],Modelling[Finacial Year],Modelling[[#This Row],[Finacial Year]])</f>
        <v>1432.5483870967714</v>
      </c>
      <c r="BS274" s="9">
        <f>BM274/Modelling[[#This Row],[Comisined DC ]]/BP274</f>
        <v>0.71831222210106593</v>
      </c>
      <c r="BT274" s="9">
        <f>BN274/BQ274/Modelling[[#This Row],[Comisined DC ]]</f>
        <v>0.71831222210106549</v>
      </c>
      <c r="BU274" s="9">
        <f>BO274/BR274/Modelling[[#This Row],[Comisined DC ]]</f>
        <v>0.7012747259048786</v>
      </c>
      <c r="BV274" s="9">
        <f>BM274/(24*Modelling[[#This Row],[Comisined DC ]])</f>
        <v>0.19396360943562388</v>
      </c>
      <c r="BW274" s="9">
        <f>BN274/((COUNTIFS(Modelling[Date],"&lt;="&amp;Modelling[[#This Row],[Date]],Modelling[Month Year],Modelling[[#This Row],[Month Year]])*24*Modelling[[#This Row],[MTD DC Capcity]]))</f>
        <v>0.19396360943562382</v>
      </c>
      <c r="BX274" s="28">
        <f>BO274/((COUNTIFS(Modelling[Date],"&lt;="&amp;Modelling[[#This Row],[Date]],Modelling[Finacial Year],Modelling[[#This Row],[Finacial Year]])*24*Modelling[[#This Row],[MTD DC Capcity]]))</f>
        <v>0.1628745099719138</v>
      </c>
      <c r="BY274" s="4">
        <f>Modelling_old[[#This Row],[DC Capcity]]+Modelling_new[[#This Row],[Comisined DC ]]</f>
        <v>11.5031</v>
      </c>
      <c r="BZ274" s="4">
        <v>0</v>
      </c>
      <c r="CA274" s="4">
        <f>AVERAGEIFS(Modelling[[Comisined DC ]],Modelling[Date],"&lt;="&amp;Modelling[[#This Row],[Date]],Modelling[Month Year],Modelling[[#This Row],[Month Year]])</f>
        <v>11.5031</v>
      </c>
      <c r="CB274" s="4">
        <f>AVERAGEIFS(Modelling[[Comisined DC ]],Modelling[Date],"&lt;="&amp;Modelling[[#This Row],[Date]],Modelling[Finacial Year],Modelling[[#This Row],[Finacial Year]])</f>
        <v>11.503099999999941</v>
      </c>
      <c r="CG274">
        <f t="shared" si="89"/>
        <v>13</v>
      </c>
      <c r="CH274">
        <f t="shared" si="87"/>
        <v>257</v>
      </c>
    </row>
    <row r="275" spans="1:86" x14ac:dyDescent="0.35">
      <c r="A275" s="27">
        <v>45274</v>
      </c>
      <c r="B275" s="5">
        <f>MONTH(Modelling_old[[#This Row],[Date]])</f>
        <v>12</v>
      </c>
      <c r="C275" s="25">
        <f t="shared" si="90"/>
        <v>2024</v>
      </c>
      <c r="D275" s="3">
        <f t="shared" si="91"/>
        <v>2023</v>
      </c>
      <c r="E275" s="3" t="s">
        <v>626</v>
      </c>
      <c r="F275" s="5" t="s">
        <v>626</v>
      </c>
      <c r="G275" s="102">
        <v>45261</v>
      </c>
      <c r="H275" s="5">
        <f t="shared" si="92"/>
        <v>31</v>
      </c>
      <c r="I275" s="5">
        <f t="shared" si="93"/>
        <v>12</v>
      </c>
      <c r="J275" s="4">
        <f t="shared" si="94"/>
        <v>53.548387096774192</v>
      </c>
      <c r="K275" s="4">
        <f>SUM($J$262:J275)</f>
        <v>749.67741935483855</v>
      </c>
      <c r="L275" s="4">
        <f>SUM($J$18:J275)</f>
        <v>11609.677419354835</v>
      </c>
      <c r="M275" s="4">
        <f t="shared" si="95"/>
        <v>6.4806451612903224</v>
      </c>
      <c r="N275" s="4">
        <f>SUM($M$262:M275)</f>
        <v>90.729032258064549</v>
      </c>
      <c r="O275" s="4">
        <f>SUM($M$18:M275)</f>
        <v>1439.0290322580618</v>
      </c>
      <c r="P275" s="9">
        <f t="shared" si="96"/>
        <v>0.71831222210106593</v>
      </c>
      <c r="Q275" s="26">
        <f t="shared" si="88"/>
        <v>0.71831222210106549</v>
      </c>
      <c r="R275" s="26">
        <f t="shared" si="88"/>
        <v>0.70135145400751542</v>
      </c>
      <c r="S275" s="9">
        <f t="shared" si="97"/>
        <v>0.19396360943562388</v>
      </c>
      <c r="T275" s="9">
        <f>K275/((COUNT($K$262:K275))*24*$Q$1)</f>
        <v>0.1939636094356238</v>
      </c>
      <c r="U275" s="28">
        <f>L275/((COUNT($L$18:L275))*24*$Q$1)</f>
        <v>0.16299501035743205</v>
      </c>
      <c r="V275" s="134">
        <v>11.5031</v>
      </c>
      <c r="Y275" s="27">
        <f t="shared" si="85"/>
        <v>45274</v>
      </c>
      <c r="Z275" s="5">
        <f>MONTH(Modelling_new[[#This Row],[Date]])</f>
        <v>12</v>
      </c>
      <c r="AA275" s="25">
        <f>YEAR(Y275)+IF(MONTH(Modelling_new[[#This Row],[Date]])&gt;=4,1,0)</f>
        <v>2024</v>
      </c>
      <c r="AB275" s="3">
        <f t="shared" si="98"/>
        <v>2023</v>
      </c>
      <c r="AC275" s="3" t="s">
        <v>626</v>
      </c>
      <c r="AD275" s="5" t="s">
        <v>626</v>
      </c>
      <c r="AE275" s="102">
        <v>45261</v>
      </c>
      <c r="AF275" s="5">
        <f t="shared" si="99"/>
        <v>31</v>
      </c>
      <c r="AG275" s="5">
        <f t="shared" si="100"/>
        <v>12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BD275" s="27">
        <f t="shared" si="86"/>
        <v>45274</v>
      </c>
      <c r="BE275" s="5">
        <f>MONTH(Modelling[[#This Row],[Date]])</f>
        <v>12</v>
      </c>
      <c r="BF275" s="25">
        <f>YEAR(BD275)+IF(MONTH(Modelling[[#This Row],[Date]])&gt;=4,1,0)</f>
        <v>2024</v>
      </c>
      <c r="BG275" s="3">
        <f t="shared" si="101"/>
        <v>2023</v>
      </c>
      <c r="BH275" s="3" t="s">
        <v>626</v>
      </c>
      <c r="BI275" s="5" t="s">
        <v>626</v>
      </c>
      <c r="BJ275" s="102">
        <v>45261</v>
      </c>
      <c r="BK275" s="5">
        <f t="shared" si="102"/>
        <v>31</v>
      </c>
      <c r="BL275" s="5">
        <f t="shared" si="103"/>
        <v>12</v>
      </c>
      <c r="BM275" s="4">
        <f>Modelling_old[[#This Row],[Target E_Grid daily
MWh]]+Modelling_new[[#This Row],[Target E_Grid daily
MWh]]</f>
        <v>53.548387096774192</v>
      </c>
      <c r="BN275" s="4">
        <f>Modelling_old[[#This Row],[Target E_Grid MTD
MWh]]+Modelling_new[[#This Row],[Target E_Grid MTD
MWh]]</f>
        <v>749.67741935483855</v>
      </c>
      <c r="BO275" s="4">
        <f>Modelling_old[[#This Row],[Target E_Grid YTD
MWh]]+Modelling_new[[#This Row],[Target E_Grid YTD
MWh]]</f>
        <v>11609.677419354835</v>
      </c>
      <c r="BP27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75" s="4">
        <f>SUMIFS(Modelling[Target POA Daily (KWh/m2)],Modelling[Date],"&lt;="&amp;Modelling[[#This Row],[Date]],Modelling[Month Year],Modelling[[#This Row],[Month Year]])</f>
        <v>90.729032258064549</v>
      </c>
      <c r="BR275" s="4">
        <f>SUMIFS(Modelling[Target POA Daily (KWh/m2)],Modelling[Date],"&lt;="&amp;Modelling[[#This Row],[Date]],Modelling[Finacial Year],Modelling[[#This Row],[Finacial Year]])</f>
        <v>1439.0290322580618</v>
      </c>
      <c r="BS275" s="9">
        <f>BM275/Modelling[[#This Row],[Comisined DC ]]/BP275</f>
        <v>0.71831222210106593</v>
      </c>
      <c r="BT275" s="9">
        <f>BN275/BQ275/Modelling[[#This Row],[Comisined DC ]]</f>
        <v>0.71831222210106549</v>
      </c>
      <c r="BU275" s="9">
        <f>BO275/BR275/Modelling[[#This Row],[Comisined DC ]]</f>
        <v>0.70135145400751542</v>
      </c>
      <c r="BV275" s="9">
        <f>BM275/(24*Modelling[[#This Row],[Comisined DC ]])</f>
        <v>0.19396360943562388</v>
      </c>
      <c r="BW275" s="9">
        <f>BN275/((COUNTIFS(Modelling[Date],"&lt;="&amp;Modelling[[#This Row],[Date]],Modelling[Month Year],Modelling[[#This Row],[Month Year]])*24*Modelling[[#This Row],[MTD DC Capcity]]))</f>
        <v>0.1939636094356238</v>
      </c>
      <c r="BX275" s="28">
        <f>BO275/((COUNTIFS(Modelling[Date],"&lt;="&amp;Modelling[[#This Row],[Date]],Modelling[Finacial Year],Modelling[[#This Row],[Finacial Year]])*24*Modelling[[#This Row],[MTD DC Capcity]]))</f>
        <v>0.16299501035743205</v>
      </c>
      <c r="BY275" s="4">
        <f>Modelling_old[[#This Row],[DC Capcity]]+Modelling_new[[#This Row],[Comisined DC ]]</f>
        <v>11.5031</v>
      </c>
      <c r="BZ275" s="4">
        <v>0</v>
      </c>
      <c r="CA275" s="4">
        <f>AVERAGEIFS(Modelling[[Comisined DC ]],Modelling[Date],"&lt;="&amp;Modelling[[#This Row],[Date]],Modelling[Month Year],Modelling[[#This Row],[Month Year]])</f>
        <v>11.5031</v>
      </c>
      <c r="CB275" s="4">
        <f>AVERAGEIFS(Modelling[[Comisined DC ]],Modelling[Date],"&lt;="&amp;Modelling[[#This Row],[Date]],Modelling[Finacial Year],Modelling[[#This Row],[Finacial Year]])</f>
        <v>11.503099999999941</v>
      </c>
      <c r="CG275">
        <f t="shared" si="89"/>
        <v>14</v>
      </c>
      <c r="CH275">
        <f t="shared" si="87"/>
        <v>258</v>
      </c>
    </row>
    <row r="276" spans="1:86" x14ac:dyDescent="0.35">
      <c r="A276" s="27">
        <v>45275</v>
      </c>
      <c r="B276" s="5">
        <f>MONTH(Modelling_old[[#This Row],[Date]])</f>
        <v>12</v>
      </c>
      <c r="C276" s="25">
        <f t="shared" si="90"/>
        <v>2024</v>
      </c>
      <c r="D276" s="3">
        <f t="shared" si="91"/>
        <v>2023</v>
      </c>
      <c r="E276" s="3" t="s">
        <v>626</v>
      </c>
      <c r="F276" s="5" t="s">
        <v>626</v>
      </c>
      <c r="G276" s="102">
        <v>45261</v>
      </c>
      <c r="H276" s="5">
        <f t="shared" si="92"/>
        <v>31</v>
      </c>
      <c r="I276" s="5">
        <f t="shared" si="93"/>
        <v>12</v>
      </c>
      <c r="J276" s="4">
        <f t="shared" si="94"/>
        <v>53.548387096774192</v>
      </c>
      <c r="K276" s="4">
        <f>SUM($J$262:J276)</f>
        <v>803.2258064516127</v>
      </c>
      <c r="L276" s="4">
        <f>SUM($J$18:J276)</f>
        <v>11663.22580645161</v>
      </c>
      <c r="M276" s="4">
        <f t="shared" si="95"/>
        <v>6.4806451612903224</v>
      </c>
      <c r="N276" s="4">
        <f>SUM($M$262:M276)</f>
        <v>97.209677419354875</v>
      </c>
      <c r="O276" s="4">
        <f>SUM($M$18:M276)</f>
        <v>1445.5096774193521</v>
      </c>
      <c r="P276" s="9">
        <f t="shared" si="96"/>
        <v>0.71831222210106593</v>
      </c>
      <c r="Q276" s="26">
        <f t="shared" si="88"/>
        <v>0.71831222210106549</v>
      </c>
      <c r="R276" s="26">
        <f t="shared" si="88"/>
        <v>0.70142749412083616</v>
      </c>
      <c r="S276" s="9">
        <f t="shared" si="97"/>
        <v>0.19396360943562388</v>
      </c>
      <c r="T276" s="9">
        <f>K276/((COUNT($K$262:K276))*24*$Q$1)</f>
        <v>0.1939636094356238</v>
      </c>
      <c r="U276" s="28">
        <f>L276/((COUNT($L$18:L276))*24*$Q$1)</f>
        <v>0.16311458023804284</v>
      </c>
      <c r="V276" s="134">
        <v>11.5031</v>
      </c>
      <c r="Y276" s="27">
        <f t="shared" ref="Y276:Y339" si="104">Y275+1</f>
        <v>45275</v>
      </c>
      <c r="Z276" s="5">
        <f>MONTH(Modelling_new[[#This Row],[Date]])</f>
        <v>12</v>
      </c>
      <c r="AA276" s="25">
        <f>YEAR(Y276)+IF(MONTH(Modelling_new[[#This Row],[Date]])&gt;=4,1,0)</f>
        <v>2024</v>
      </c>
      <c r="AB276" s="3">
        <f t="shared" si="98"/>
        <v>2023</v>
      </c>
      <c r="AC276" s="3" t="s">
        <v>626</v>
      </c>
      <c r="AD276" s="5" t="s">
        <v>626</v>
      </c>
      <c r="AE276" s="102">
        <v>45261</v>
      </c>
      <c r="AF276" s="5">
        <f t="shared" si="99"/>
        <v>31</v>
      </c>
      <c r="AG276" s="5">
        <f t="shared" si="100"/>
        <v>12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BD276" s="27">
        <f t="shared" ref="BD276:BD339" si="105">BD275+1</f>
        <v>45275</v>
      </c>
      <c r="BE276" s="5">
        <f>MONTH(Modelling[[#This Row],[Date]])</f>
        <v>12</v>
      </c>
      <c r="BF276" s="25">
        <f>YEAR(BD276)+IF(MONTH(Modelling[[#This Row],[Date]])&gt;=4,1,0)</f>
        <v>2024</v>
      </c>
      <c r="BG276" s="3">
        <f t="shared" si="101"/>
        <v>2023</v>
      </c>
      <c r="BH276" s="3" t="s">
        <v>626</v>
      </c>
      <c r="BI276" s="5" t="s">
        <v>626</v>
      </c>
      <c r="BJ276" s="102">
        <v>45261</v>
      </c>
      <c r="BK276" s="5">
        <f t="shared" si="102"/>
        <v>31</v>
      </c>
      <c r="BL276" s="5">
        <f t="shared" si="103"/>
        <v>12</v>
      </c>
      <c r="BM276" s="4">
        <f>Modelling_old[[#This Row],[Target E_Grid daily
MWh]]+Modelling_new[[#This Row],[Target E_Grid daily
MWh]]</f>
        <v>53.548387096774192</v>
      </c>
      <c r="BN276" s="4">
        <f>Modelling_old[[#This Row],[Target E_Grid MTD
MWh]]+Modelling_new[[#This Row],[Target E_Grid MTD
MWh]]</f>
        <v>803.2258064516127</v>
      </c>
      <c r="BO276" s="4">
        <f>Modelling_old[[#This Row],[Target E_Grid YTD
MWh]]+Modelling_new[[#This Row],[Target E_Grid YTD
MWh]]</f>
        <v>11663.22580645161</v>
      </c>
      <c r="BP27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76" s="4">
        <f>SUMIFS(Modelling[Target POA Daily (KWh/m2)],Modelling[Date],"&lt;="&amp;Modelling[[#This Row],[Date]],Modelling[Month Year],Modelling[[#This Row],[Month Year]])</f>
        <v>97.209677419354875</v>
      </c>
      <c r="BR276" s="4">
        <f>SUMIFS(Modelling[Target POA Daily (KWh/m2)],Modelling[Date],"&lt;="&amp;Modelling[[#This Row],[Date]],Modelling[Finacial Year],Modelling[[#This Row],[Finacial Year]])</f>
        <v>1445.5096774193521</v>
      </c>
      <c r="BS276" s="9">
        <f>BM276/Modelling[[#This Row],[Comisined DC ]]/BP276</f>
        <v>0.71831222210106593</v>
      </c>
      <c r="BT276" s="9">
        <f>BN276/BQ276/Modelling[[#This Row],[Comisined DC ]]</f>
        <v>0.71831222210106549</v>
      </c>
      <c r="BU276" s="9">
        <f>BO276/BR276/Modelling[[#This Row],[Comisined DC ]]</f>
        <v>0.70142749412083616</v>
      </c>
      <c r="BV276" s="9">
        <f>BM276/(24*Modelling[[#This Row],[Comisined DC ]])</f>
        <v>0.19396360943562388</v>
      </c>
      <c r="BW276" s="9">
        <f>BN276/((COUNTIFS(Modelling[Date],"&lt;="&amp;Modelling[[#This Row],[Date]],Modelling[Month Year],Modelling[[#This Row],[Month Year]])*24*Modelling[[#This Row],[MTD DC Capcity]]))</f>
        <v>0.19396360943562385</v>
      </c>
      <c r="BX276" s="28">
        <f>BO276/((COUNTIFS(Modelling[Date],"&lt;="&amp;Modelling[[#This Row],[Date]],Modelling[Finacial Year],Modelling[[#This Row],[Finacial Year]])*24*Modelling[[#This Row],[MTD DC Capcity]]))</f>
        <v>0.16311458023804287</v>
      </c>
      <c r="BY276" s="4">
        <f>Modelling_old[[#This Row],[DC Capcity]]+Modelling_new[[#This Row],[Comisined DC ]]</f>
        <v>11.5031</v>
      </c>
      <c r="BZ276" s="4">
        <v>0</v>
      </c>
      <c r="CA276" s="4">
        <f>AVERAGEIFS(Modelling[[Comisined DC ]],Modelling[Date],"&lt;="&amp;Modelling[[#This Row],[Date]],Modelling[Month Year],Modelling[[#This Row],[Month Year]])</f>
        <v>11.503099999999998</v>
      </c>
      <c r="CB276" s="4">
        <f>AVERAGEIFS(Modelling[[Comisined DC ]],Modelling[Date],"&lt;="&amp;Modelling[[#This Row],[Date]],Modelling[Finacial Year],Modelling[[#This Row],[Finacial Year]])</f>
        <v>11.503099999999941</v>
      </c>
      <c r="CG276">
        <f t="shared" si="89"/>
        <v>15</v>
      </c>
      <c r="CH276">
        <f t="shared" ref="CH276:CH339" si="106">CH275+1</f>
        <v>259</v>
      </c>
    </row>
    <row r="277" spans="1:86" x14ac:dyDescent="0.35">
      <c r="A277" s="27">
        <v>45276</v>
      </c>
      <c r="B277" s="5">
        <f>MONTH(Modelling_old[[#This Row],[Date]])</f>
        <v>12</v>
      </c>
      <c r="C277" s="25">
        <f t="shared" si="90"/>
        <v>2024</v>
      </c>
      <c r="D277" s="3">
        <f t="shared" si="91"/>
        <v>2023</v>
      </c>
      <c r="E277" s="3" t="s">
        <v>626</v>
      </c>
      <c r="F277" s="5" t="s">
        <v>626</v>
      </c>
      <c r="G277" s="102">
        <v>45261</v>
      </c>
      <c r="H277" s="5">
        <f t="shared" si="92"/>
        <v>31</v>
      </c>
      <c r="I277" s="5">
        <f t="shared" si="93"/>
        <v>12</v>
      </c>
      <c r="J277" s="4">
        <f t="shared" si="94"/>
        <v>53.548387096774192</v>
      </c>
      <c r="K277" s="4">
        <f>SUM($J$262:J277)</f>
        <v>856.77419354838685</v>
      </c>
      <c r="L277" s="4">
        <f>SUM($J$18:J277)</f>
        <v>11716.774193548385</v>
      </c>
      <c r="M277" s="4">
        <f t="shared" si="95"/>
        <v>6.4806451612903224</v>
      </c>
      <c r="N277" s="4">
        <f>SUM($M$262:M277)</f>
        <v>103.6903225806452</v>
      </c>
      <c r="O277" s="4">
        <f>SUM($M$18:M277)</f>
        <v>1451.9903225806424</v>
      </c>
      <c r="P277" s="9">
        <f t="shared" si="96"/>
        <v>0.71831222210106593</v>
      </c>
      <c r="Q277" s="26">
        <f t="shared" si="88"/>
        <v>0.71831222210106549</v>
      </c>
      <c r="R277" s="26">
        <f t="shared" si="88"/>
        <v>0.70150285545691615</v>
      </c>
      <c r="S277" s="9">
        <f t="shared" si="97"/>
        <v>0.19396360943562388</v>
      </c>
      <c r="T277" s="9">
        <f>K277/((COUNT($K$262:K277))*24*$Q$1)</f>
        <v>0.19396360943562382</v>
      </c>
      <c r="U277" s="28">
        <f>L277/((COUNT($L$18:L277))*24*$Q$1)</f>
        <v>0.16323323035034124</v>
      </c>
      <c r="V277" s="134">
        <v>11.5031</v>
      </c>
      <c r="Y277" s="27">
        <f t="shared" si="104"/>
        <v>45276</v>
      </c>
      <c r="Z277" s="5">
        <f>MONTH(Modelling_new[[#This Row],[Date]])</f>
        <v>12</v>
      </c>
      <c r="AA277" s="25">
        <f>YEAR(Y277)+IF(MONTH(Modelling_new[[#This Row],[Date]])&gt;=4,1,0)</f>
        <v>2024</v>
      </c>
      <c r="AB277" s="3">
        <f t="shared" si="98"/>
        <v>2023</v>
      </c>
      <c r="AC277" s="3" t="s">
        <v>626</v>
      </c>
      <c r="AD277" s="5" t="s">
        <v>626</v>
      </c>
      <c r="AE277" s="102">
        <v>45261</v>
      </c>
      <c r="AF277" s="5">
        <f t="shared" si="99"/>
        <v>31</v>
      </c>
      <c r="AG277" s="5">
        <f t="shared" si="100"/>
        <v>12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BD277" s="27">
        <f t="shared" si="105"/>
        <v>45276</v>
      </c>
      <c r="BE277" s="5">
        <f>MONTH(Modelling[[#This Row],[Date]])</f>
        <v>12</v>
      </c>
      <c r="BF277" s="25">
        <f>YEAR(BD277)+IF(MONTH(Modelling[[#This Row],[Date]])&gt;=4,1,0)</f>
        <v>2024</v>
      </c>
      <c r="BG277" s="3">
        <f t="shared" si="101"/>
        <v>2023</v>
      </c>
      <c r="BH277" s="3" t="s">
        <v>626</v>
      </c>
      <c r="BI277" s="5" t="s">
        <v>626</v>
      </c>
      <c r="BJ277" s="102">
        <v>45261</v>
      </c>
      <c r="BK277" s="5">
        <f t="shared" si="102"/>
        <v>31</v>
      </c>
      <c r="BL277" s="5">
        <f t="shared" si="103"/>
        <v>12</v>
      </c>
      <c r="BM277" s="4">
        <f>Modelling_old[[#This Row],[Target E_Grid daily
MWh]]+Modelling_new[[#This Row],[Target E_Grid daily
MWh]]</f>
        <v>53.548387096774192</v>
      </c>
      <c r="BN277" s="4">
        <f>Modelling_old[[#This Row],[Target E_Grid MTD
MWh]]+Modelling_new[[#This Row],[Target E_Grid MTD
MWh]]</f>
        <v>856.77419354838685</v>
      </c>
      <c r="BO277" s="4">
        <f>Modelling_old[[#This Row],[Target E_Grid YTD
MWh]]+Modelling_new[[#This Row],[Target E_Grid YTD
MWh]]</f>
        <v>11716.774193548385</v>
      </c>
      <c r="BP27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77" s="4">
        <f>SUMIFS(Modelling[Target POA Daily (KWh/m2)],Modelling[Date],"&lt;="&amp;Modelling[[#This Row],[Date]],Modelling[Month Year],Modelling[[#This Row],[Month Year]])</f>
        <v>103.6903225806452</v>
      </c>
      <c r="BR277" s="4">
        <f>SUMIFS(Modelling[Target POA Daily (KWh/m2)],Modelling[Date],"&lt;="&amp;Modelling[[#This Row],[Date]],Modelling[Finacial Year],Modelling[[#This Row],[Finacial Year]])</f>
        <v>1451.9903225806424</v>
      </c>
      <c r="BS277" s="9">
        <f>BM277/Modelling[[#This Row],[Comisined DC ]]/BP277</f>
        <v>0.71831222210106593</v>
      </c>
      <c r="BT277" s="9">
        <f>BN277/BQ277/Modelling[[#This Row],[Comisined DC ]]</f>
        <v>0.71831222210106549</v>
      </c>
      <c r="BU277" s="9">
        <f>BO277/BR277/Modelling[[#This Row],[Comisined DC ]]</f>
        <v>0.70150285545691615</v>
      </c>
      <c r="BV277" s="9">
        <f>BM277/(24*Modelling[[#This Row],[Comisined DC ]])</f>
        <v>0.19396360943562388</v>
      </c>
      <c r="BW277" s="9">
        <f>BN277/((COUNTIFS(Modelling[Date],"&lt;="&amp;Modelling[[#This Row],[Date]],Modelling[Month Year],Modelling[[#This Row],[Month Year]])*24*Modelling[[#This Row],[MTD DC Capcity]]))</f>
        <v>0.19396360943562382</v>
      </c>
      <c r="BX277" s="28">
        <f>BO277/((COUNTIFS(Modelling[Date],"&lt;="&amp;Modelling[[#This Row],[Date]],Modelling[Finacial Year],Modelling[[#This Row],[Finacial Year]])*24*Modelling[[#This Row],[MTD DC Capcity]]))</f>
        <v>0.16323323035034129</v>
      </c>
      <c r="BY277" s="4">
        <f>Modelling_old[[#This Row],[DC Capcity]]+Modelling_new[[#This Row],[Comisined DC ]]</f>
        <v>11.5031</v>
      </c>
      <c r="BZ277" s="4">
        <v>0</v>
      </c>
      <c r="CA277" s="4">
        <f>AVERAGEIFS(Modelling[[Comisined DC ]],Modelling[Date],"&lt;="&amp;Modelling[[#This Row],[Date]],Modelling[Month Year],Modelling[[#This Row],[Month Year]])</f>
        <v>11.503099999999998</v>
      </c>
      <c r="CB277" s="4">
        <f>AVERAGEIFS(Modelling[[Comisined DC ]],Modelling[Date],"&lt;="&amp;Modelling[[#This Row],[Date]],Modelling[Finacial Year],Modelling[[#This Row],[Finacial Year]])</f>
        <v>11.503099999999941</v>
      </c>
      <c r="CG277">
        <f t="shared" si="89"/>
        <v>16</v>
      </c>
      <c r="CH277">
        <f t="shared" si="106"/>
        <v>260</v>
      </c>
    </row>
    <row r="278" spans="1:86" x14ac:dyDescent="0.35">
      <c r="A278" s="27">
        <v>45277</v>
      </c>
      <c r="B278" s="5">
        <f>MONTH(Modelling_old[[#This Row],[Date]])</f>
        <v>12</v>
      </c>
      <c r="C278" s="25">
        <f t="shared" si="90"/>
        <v>2024</v>
      </c>
      <c r="D278" s="3">
        <f t="shared" si="91"/>
        <v>2023</v>
      </c>
      <c r="E278" s="3" t="s">
        <v>626</v>
      </c>
      <c r="F278" s="5" t="s">
        <v>626</v>
      </c>
      <c r="G278" s="102">
        <v>45261</v>
      </c>
      <c r="H278" s="5">
        <f t="shared" si="92"/>
        <v>31</v>
      </c>
      <c r="I278" s="5">
        <f t="shared" si="93"/>
        <v>12</v>
      </c>
      <c r="J278" s="4">
        <f t="shared" si="94"/>
        <v>53.548387096774192</v>
      </c>
      <c r="K278" s="4">
        <f>SUM($J$262:J278)</f>
        <v>910.322580645161</v>
      </c>
      <c r="L278" s="4">
        <f>SUM($J$18:J278)</f>
        <v>11770.322580645159</v>
      </c>
      <c r="M278" s="4">
        <f t="shared" si="95"/>
        <v>6.4806451612903224</v>
      </c>
      <c r="N278" s="4">
        <f>SUM($M$262:M278)</f>
        <v>110.17096774193553</v>
      </c>
      <c r="O278" s="4">
        <f>SUM($M$18:M278)</f>
        <v>1458.4709677419328</v>
      </c>
      <c r="P278" s="9">
        <f t="shared" si="96"/>
        <v>0.71831222210106593</v>
      </c>
      <c r="Q278" s="26">
        <f t="shared" si="88"/>
        <v>0.71831222210106538</v>
      </c>
      <c r="R278" s="26">
        <f t="shared" si="88"/>
        <v>0.70157754706409658</v>
      </c>
      <c r="S278" s="9">
        <f t="shared" si="97"/>
        <v>0.19396360943562388</v>
      </c>
      <c r="T278" s="9">
        <f>K278/((COUNT($K$262:K278))*24*$Q$1)</f>
        <v>0.1939636094356238</v>
      </c>
      <c r="U278" s="28">
        <f>L278/((COUNT($L$18:L278))*24*$Q$1)</f>
        <v>0.16335097126637682</v>
      </c>
      <c r="V278" s="134">
        <v>11.5031</v>
      </c>
      <c r="Y278" s="27">
        <f t="shared" si="104"/>
        <v>45277</v>
      </c>
      <c r="Z278" s="5">
        <f>MONTH(Modelling_new[[#This Row],[Date]])</f>
        <v>12</v>
      </c>
      <c r="AA278" s="25">
        <f>YEAR(Y278)+IF(MONTH(Modelling_new[[#This Row],[Date]])&gt;=4,1,0)</f>
        <v>2024</v>
      </c>
      <c r="AB278" s="3">
        <f t="shared" si="98"/>
        <v>2023</v>
      </c>
      <c r="AC278" s="3" t="s">
        <v>626</v>
      </c>
      <c r="AD278" s="5" t="s">
        <v>626</v>
      </c>
      <c r="AE278" s="102">
        <v>45261</v>
      </c>
      <c r="AF278" s="5">
        <f t="shared" si="99"/>
        <v>31</v>
      </c>
      <c r="AG278" s="5">
        <f t="shared" si="100"/>
        <v>12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BD278" s="27">
        <f t="shared" si="105"/>
        <v>45277</v>
      </c>
      <c r="BE278" s="5">
        <f>MONTH(Modelling[[#This Row],[Date]])</f>
        <v>12</v>
      </c>
      <c r="BF278" s="25">
        <f>YEAR(BD278)+IF(MONTH(Modelling[[#This Row],[Date]])&gt;=4,1,0)</f>
        <v>2024</v>
      </c>
      <c r="BG278" s="3">
        <f t="shared" si="101"/>
        <v>2023</v>
      </c>
      <c r="BH278" s="3" t="s">
        <v>626</v>
      </c>
      <c r="BI278" s="5" t="s">
        <v>626</v>
      </c>
      <c r="BJ278" s="102">
        <v>45261</v>
      </c>
      <c r="BK278" s="5">
        <f t="shared" si="102"/>
        <v>31</v>
      </c>
      <c r="BL278" s="5">
        <f t="shared" si="103"/>
        <v>12</v>
      </c>
      <c r="BM278" s="4">
        <f>Modelling_old[[#This Row],[Target E_Grid daily
MWh]]+Modelling_new[[#This Row],[Target E_Grid daily
MWh]]</f>
        <v>53.548387096774192</v>
      </c>
      <c r="BN278" s="4">
        <f>Modelling_old[[#This Row],[Target E_Grid MTD
MWh]]+Modelling_new[[#This Row],[Target E_Grid MTD
MWh]]</f>
        <v>910.322580645161</v>
      </c>
      <c r="BO278" s="4">
        <f>Modelling_old[[#This Row],[Target E_Grid YTD
MWh]]+Modelling_new[[#This Row],[Target E_Grid YTD
MWh]]</f>
        <v>11770.322580645159</v>
      </c>
      <c r="BP27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78" s="4">
        <f>SUMIFS(Modelling[Target POA Daily (KWh/m2)],Modelling[Date],"&lt;="&amp;Modelling[[#This Row],[Date]],Modelling[Month Year],Modelling[[#This Row],[Month Year]])</f>
        <v>110.17096774193553</v>
      </c>
      <c r="BR278" s="4">
        <f>SUMIFS(Modelling[Target POA Daily (KWh/m2)],Modelling[Date],"&lt;="&amp;Modelling[[#This Row],[Date]],Modelling[Finacial Year],Modelling[[#This Row],[Finacial Year]])</f>
        <v>1458.4709677419328</v>
      </c>
      <c r="BS278" s="9">
        <f>BM278/Modelling[[#This Row],[Comisined DC ]]/BP278</f>
        <v>0.71831222210106593</v>
      </c>
      <c r="BT278" s="9">
        <f>BN278/BQ278/Modelling[[#This Row],[Comisined DC ]]</f>
        <v>0.71831222210106538</v>
      </c>
      <c r="BU278" s="9">
        <f>BO278/BR278/Modelling[[#This Row],[Comisined DC ]]</f>
        <v>0.70157754706409658</v>
      </c>
      <c r="BV278" s="9">
        <f>BM278/(24*Modelling[[#This Row],[Comisined DC ]])</f>
        <v>0.19396360943562388</v>
      </c>
      <c r="BW278" s="9">
        <f>BN278/((COUNTIFS(Modelling[Date],"&lt;="&amp;Modelling[[#This Row],[Date]],Modelling[Month Year],Modelling[[#This Row],[Month Year]])*24*Modelling[[#This Row],[MTD DC Capcity]]))</f>
        <v>0.19396360943562382</v>
      </c>
      <c r="BX278" s="28">
        <f>BO278/((COUNTIFS(Modelling[Date],"&lt;="&amp;Modelling[[#This Row],[Date]],Modelling[Finacial Year],Modelling[[#This Row],[Finacial Year]])*24*Modelling[[#This Row],[MTD DC Capcity]]))</f>
        <v>0.16335097126637682</v>
      </c>
      <c r="BY278" s="4">
        <f>Modelling_old[[#This Row],[DC Capcity]]+Modelling_new[[#This Row],[Comisined DC ]]</f>
        <v>11.5031</v>
      </c>
      <c r="BZ278" s="4">
        <v>0</v>
      </c>
      <c r="CA278" s="4">
        <f>AVERAGEIFS(Modelling[[Comisined DC ]],Modelling[Date],"&lt;="&amp;Modelling[[#This Row],[Date]],Modelling[Month Year],Modelling[[#This Row],[Month Year]])</f>
        <v>11.503099999999998</v>
      </c>
      <c r="CB278" s="4">
        <f>AVERAGEIFS(Modelling[[Comisined DC ]],Modelling[Date],"&lt;="&amp;Modelling[[#This Row],[Date]],Modelling[Finacial Year],Modelling[[#This Row],[Finacial Year]])</f>
        <v>11.503099999999941</v>
      </c>
      <c r="CG278">
        <f t="shared" si="89"/>
        <v>17</v>
      </c>
      <c r="CH278">
        <f t="shared" si="106"/>
        <v>261</v>
      </c>
    </row>
    <row r="279" spans="1:86" x14ac:dyDescent="0.35">
      <c r="A279" s="27">
        <v>45278</v>
      </c>
      <c r="B279" s="5">
        <f>MONTH(Modelling_old[[#This Row],[Date]])</f>
        <v>12</v>
      </c>
      <c r="C279" s="25">
        <f t="shared" si="90"/>
        <v>2024</v>
      </c>
      <c r="D279" s="3">
        <f t="shared" si="91"/>
        <v>2023</v>
      </c>
      <c r="E279" s="3" t="s">
        <v>626</v>
      </c>
      <c r="F279" s="5" t="s">
        <v>626</v>
      </c>
      <c r="G279" s="102">
        <v>45261</v>
      </c>
      <c r="H279" s="5">
        <f t="shared" si="92"/>
        <v>31</v>
      </c>
      <c r="I279" s="5">
        <f t="shared" si="93"/>
        <v>12</v>
      </c>
      <c r="J279" s="4">
        <f t="shared" si="94"/>
        <v>53.548387096774192</v>
      </c>
      <c r="K279" s="4">
        <f>SUM($J$262:J279)</f>
        <v>963.87096774193515</v>
      </c>
      <c r="L279" s="4">
        <f>SUM($J$18:J279)</f>
        <v>11823.870967741934</v>
      </c>
      <c r="M279" s="4">
        <f t="shared" si="95"/>
        <v>6.4806451612903224</v>
      </c>
      <c r="N279" s="4">
        <f>SUM($M$262:M279)</f>
        <v>116.65161290322585</v>
      </c>
      <c r="O279" s="4">
        <f>SUM($M$18:M279)</f>
        <v>1464.9516129032231</v>
      </c>
      <c r="P279" s="9">
        <f t="shared" si="96"/>
        <v>0.71831222210106593</v>
      </c>
      <c r="Q279" s="26">
        <f t="shared" si="88"/>
        <v>0.71831222210106538</v>
      </c>
      <c r="R279" s="26">
        <f t="shared" si="88"/>
        <v>0.70165157783060716</v>
      </c>
      <c r="S279" s="9">
        <f t="shared" si="97"/>
        <v>0.19396360943562388</v>
      </c>
      <c r="T279" s="9">
        <f>K279/((COUNT($K$262:K279))*24*$Q$1)</f>
        <v>0.19396360943562377</v>
      </c>
      <c r="U279" s="28">
        <f>L279/((COUNT($L$18:L279))*24*$Q$1)</f>
        <v>0.16346781339679381</v>
      </c>
      <c r="V279" s="134">
        <v>11.5031</v>
      </c>
      <c r="Y279" s="27">
        <f t="shared" si="104"/>
        <v>45278</v>
      </c>
      <c r="Z279" s="5">
        <f>MONTH(Modelling_new[[#This Row],[Date]])</f>
        <v>12</v>
      </c>
      <c r="AA279" s="25">
        <f>YEAR(Y279)+IF(MONTH(Modelling_new[[#This Row],[Date]])&gt;=4,1,0)</f>
        <v>2024</v>
      </c>
      <c r="AB279" s="3">
        <f t="shared" si="98"/>
        <v>2023</v>
      </c>
      <c r="AC279" s="3" t="s">
        <v>626</v>
      </c>
      <c r="AD279" s="5" t="s">
        <v>626</v>
      </c>
      <c r="AE279" s="102">
        <v>45261</v>
      </c>
      <c r="AF279" s="5">
        <f t="shared" si="99"/>
        <v>31</v>
      </c>
      <c r="AG279" s="5">
        <f t="shared" si="100"/>
        <v>12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BD279" s="27">
        <f t="shared" si="105"/>
        <v>45278</v>
      </c>
      <c r="BE279" s="5">
        <f>MONTH(Modelling[[#This Row],[Date]])</f>
        <v>12</v>
      </c>
      <c r="BF279" s="25">
        <f>YEAR(BD279)+IF(MONTH(Modelling[[#This Row],[Date]])&gt;=4,1,0)</f>
        <v>2024</v>
      </c>
      <c r="BG279" s="3">
        <f t="shared" si="101"/>
        <v>2023</v>
      </c>
      <c r="BH279" s="3" t="s">
        <v>626</v>
      </c>
      <c r="BI279" s="5" t="s">
        <v>626</v>
      </c>
      <c r="BJ279" s="102">
        <v>45261</v>
      </c>
      <c r="BK279" s="5">
        <f t="shared" si="102"/>
        <v>31</v>
      </c>
      <c r="BL279" s="5">
        <f t="shared" si="103"/>
        <v>12</v>
      </c>
      <c r="BM279" s="4">
        <f>Modelling_old[[#This Row],[Target E_Grid daily
MWh]]+Modelling_new[[#This Row],[Target E_Grid daily
MWh]]</f>
        <v>53.548387096774192</v>
      </c>
      <c r="BN279" s="4">
        <f>Modelling_old[[#This Row],[Target E_Grid MTD
MWh]]+Modelling_new[[#This Row],[Target E_Grid MTD
MWh]]</f>
        <v>963.87096774193515</v>
      </c>
      <c r="BO279" s="4">
        <f>Modelling_old[[#This Row],[Target E_Grid YTD
MWh]]+Modelling_new[[#This Row],[Target E_Grid YTD
MWh]]</f>
        <v>11823.870967741934</v>
      </c>
      <c r="BP27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79" s="4">
        <f>SUMIFS(Modelling[Target POA Daily (KWh/m2)],Modelling[Date],"&lt;="&amp;Modelling[[#This Row],[Date]],Modelling[Month Year],Modelling[[#This Row],[Month Year]])</f>
        <v>116.65161290322585</v>
      </c>
      <c r="BR279" s="4">
        <f>SUMIFS(Modelling[Target POA Daily (KWh/m2)],Modelling[Date],"&lt;="&amp;Modelling[[#This Row],[Date]],Modelling[Finacial Year],Modelling[[#This Row],[Finacial Year]])</f>
        <v>1464.9516129032231</v>
      </c>
      <c r="BS279" s="9">
        <f>BM279/Modelling[[#This Row],[Comisined DC ]]/BP279</f>
        <v>0.71831222210106593</v>
      </c>
      <c r="BT279" s="9">
        <f>BN279/BQ279/Modelling[[#This Row],[Comisined DC ]]</f>
        <v>0.71831222210106538</v>
      </c>
      <c r="BU279" s="9">
        <f>BO279/BR279/Modelling[[#This Row],[Comisined DC ]]</f>
        <v>0.70165157783060716</v>
      </c>
      <c r="BV279" s="9">
        <f>BM279/(24*Modelling[[#This Row],[Comisined DC ]])</f>
        <v>0.19396360943562388</v>
      </c>
      <c r="BW279" s="9">
        <f>BN279/((COUNTIFS(Modelling[Date],"&lt;="&amp;Modelling[[#This Row],[Date]],Modelling[Month Year],Modelling[[#This Row],[Month Year]])*24*Modelling[[#This Row],[MTD DC Capcity]]))</f>
        <v>0.19396360943562385</v>
      </c>
      <c r="BX279" s="28">
        <f>BO279/((COUNTIFS(Modelling[Date],"&lt;="&amp;Modelling[[#This Row],[Date]],Modelling[Finacial Year],Modelling[[#This Row],[Finacial Year]])*24*Modelling[[#This Row],[MTD DC Capcity]]))</f>
        <v>0.16346781339679384</v>
      </c>
      <c r="BY279" s="4">
        <f>Modelling_old[[#This Row],[DC Capcity]]+Modelling_new[[#This Row],[Comisined DC ]]</f>
        <v>11.5031</v>
      </c>
      <c r="BZ279" s="4">
        <v>0</v>
      </c>
      <c r="CA279" s="4">
        <f>AVERAGEIFS(Modelling[[Comisined DC ]],Modelling[Date],"&lt;="&amp;Modelling[[#This Row],[Date]],Modelling[Month Year],Modelling[[#This Row],[Month Year]])</f>
        <v>11.503099999999996</v>
      </c>
      <c r="CB279" s="4">
        <f>AVERAGEIFS(Modelling[[Comisined DC ]],Modelling[Date],"&lt;="&amp;Modelling[[#This Row],[Date]],Modelling[Finacial Year],Modelling[[#This Row],[Finacial Year]])</f>
        <v>11.503099999999941</v>
      </c>
      <c r="CG279">
        <f t="shared" si="89"/>
        <v>18</v>
      </c>
      <c r="CH279">
        <f t="shared" si="106"/>
        <v>262</v>
      </c>
    </row>
    <row r="280" spans="1:86" x14ac:dyDescent="0.35">
      <c r="A280" s="27">
        <v>45279</v>
      </c>
      <c r="B280" s="5">
        <f>MONTH(Modelling_old[[#This Row],[Date]])</f>
        <v>12</v>
      </c>
      <c r="C280" s="25">
        <f t="shared" si="90"/>
        <v>2024</v>
      </c>
      <c r="D280" s="3">
        <f t="shared" si="91"/>
        <v>2023</v>
      </c>
      <c r="E280" s="3" t="s">
        <v>626</v>
      </c>
      <c r="F280" s="5" t="s">
        <v>626</v>
      </c>
      <c r="G280" s="102">
        <v>45261</v>
      </c>
      <c r="H280" s="5">
        <f t="shared" si="92"/>
        <v>31</v>
      </c>
      <c r="I280" s="5">
        <f t="shared" si="93"/>
        <v>12</v>
      </c>
      <c r="J280" s="4">
        <f t="shared" si="94"/>
        <v>53.548387096774192</v>
      </c>
      <c r="K280" s="4">
        <f>SUM($J$262:J280)</f>
        <v>1017.4193548387093</v>
      </c>
      <c r="L280" s="4">
        <f>SUM($J$18:J280)</f>
        <v>11877.419354838708</v>
      </c>
      <c r="M280" s="4">
        <f t="shared" si="95"/>
        <v>6.4806451612903224</v>
      </c>
      <c r="N280" s="4">
        <f>SUM($M$262:M280)</f>
        <v>123.13225806451618</v>
      </c>
      <c r="O280" s="4">
        <f>SUM($M$18:M280)</f>
        <v>1471.4322580645135</v>
      </c>
      <c r="P280" s="9">
        <f t="shared" si="96"/>
        <v>0.71831222210106593</v>
      </c>
      <c r="Q280" s="26">
        <f t="shared" si="88"/>
        <v>0.71831222210106538</v>
      </c>
      <c r="R280" s="26">
        <f t="shared" si="88"/>
        <v>0.70172495648809108</v>
      </c>
      <c r="S280" s="9">
        <f t="shared" si="97"/>
        <v>0.19396360943562388</v>
      </c>
      <c r="T280" s="9">
        <f>K280/((COUNT($K$262:K280))*24*$Q$1)</f>
        <v>0.1939636094356238</v>
      </c>
      <c r="U280" s="28">
        <f>L280/((COUNT($L$18:L280))*24*$Q$1)</f>
        <v>0.16358376699389959</v>
      </c>
      <c r="V280" s="134">
        <v>11.5031</v>
      </c>
      <c r="Y280" s="27">
        <f t="shared" si="104"/>
        <v>45279</v>
      </c>
      <c r="Z280" s="5">
        <f>MONTH(Modelling_new[[#This Row],[Date]])</f>
        <v>12</v>
      </c>
      <c r="AA280" s="25">
        <f>YEAR(Y280)+IF(MONTH(Modelling_new[[#This Row],[Date]])&gt;=4,1,0)</f>
        <v>2024</v>
      </c>
      <c r="AB280" s="3">
        <f t="shared" si="98"/>
        <v>2023</v>
      </c>
      <c r="AC280" s="3" t="s">
        <v>626</v>
      </c>
      <c r="AD280" s="5" t="s">
        <v>626</v>
      </c>
      <c r="AE280" s="102">
        <v>45261</v>
      </c>
      <c r="AF280" s="5">
        <f t="shared" si="99"/>
        <v>31</v>
      </c>
      <c r="AG280" s="5">
        <f t="shared" si="100"/>
        <v>12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BD280" s="27">
        <f t="shared" si="105"/>
        <v>45279</v>
      </c>
      <c r="BE280" s="5">
        <f>MONTH(Modelling[[#This Row],[Date]])</f>
        <v>12</v>
      </c>
      <c r="BF280" s="25">
        <f>YEAR(BD280)+IF(MONTH(Modelling[[#This Row],[Date]])&gt;=4,1,0)</f>
        <v>2024</v>
      </c>
      <c r="BG280" s="3">
        <f t="shared" si="101"/>
        <v>2023</v>
      </c>
      <c r="BH280" s="3" t="s">
        <v>626</v>
      </c>
      <c r="BI280" s="5" t="s">
        <v>626</v>
      </c>
      <c r="BJ280" s="102">
        <v>45261</v>
      </c>
      <c r="BK280" s="5">
        <f t="shared" si="102"/>
        <v>31</v>
      </c>
      <c r="BL280" s="5">
        <f t="shared" si="103"/>
        <v>12</v>
      </c>
      <c r="BM280" s="4">
        <f>Modelling_old[[#This Row],[Target E_Grid daily
MWh]]+Modelling_new[[#This Row],[Target E_Grid daily
MWh]]</f>
        <v>53.548387096774192</v>
      </c>
      <c r="BN280" s="4">
        <f>Modelling_old[[#This Row],[Target E_Grid MTD
MWh]]+Modelling_new[[#This Row],[Target E_Grid MTD
MWh]]</f>
        <v>1017.4193548387093</v>
      </c>
      <c r="BO280" s="4">
        <f>Modelling_old[[#This Row],[Target E_Grid YTD
MWh]]+Modelling_new[[#This Row],[Target E_Grid YTD
MWh]]</f>
        <v>11877.419354838708</v>
      </c>
      <c r="BP28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80" s="4">
        <f>SUMIFS(Modelling[Target POA Daily (KWh/m2)],Modelling[Date],"&lt;="&amp;Modelling[[#This Row],[Date]],Modelling[Month Year],Modelling[[#This Row],[Month Year]])</f>
        <v>123.13225806451618</v>
      </c>
      <c r="BR280" s="4">
        <f>SUMIFS(Modelling[Target POA Daily (KWh/m2)],Modelling[Date],"&lt;="&amp;Modelling[[#This Row],[Date]],Modelling[Finacial Year],Modelling[[#This Row],[Finacial Year]])</f>
        <v>1471.4322580645135</v>
      </c>
      <c r="BS280" s="9">
        <f>BM280/Modelling[[#This Row],[Comisined DC ]]/BP280</f>
        <v>0.71831222210106593</v>
      </c>
      <c r="BT280" s="9">
        <f>BN280/BQ280/Modelling[[#This Row],[Comisined DC ]]</f>
        <v>0.71831222210106538</v>
      </c>
      <c r="BU280" s="9">
        <f>BO280/BR280/Modelling[[#This Row],[Comisined DC ]]</f>
        <v>0.70172495648809108</v>
      </c>
      <c r="BV280" s="9">
        <f>BM280/(24*Modelling[[#This Row],[Comisined DC ]])</f>
        <v>0.19396360943562388</v>
      </c>
      <c r="BW280" s="9">
        <f>BN280/((COUNTIFS(Modelling[Date],"&lt;="&amp;Modelling[[#This Row],[Date]],Modelling[Month Year],Modelling[[#This Row],[Month Year]])*24*Modelling[[#This Row],[MTD DC Capcity]]))</f>
        <v>0.19396360943562385</v>
      </c>
      <c r="BX280" s="28">
        <f>BO280/((COUNTIFS(Modelling[Date],"&lt;="&amp;Modelling[[#This Row],[Date]],Modelling[Finacial Year],Modelling[[#This Row],[Finacial Year]])*24*Modelling[[#This Row],[MTD DC Capcity]]))</f>
        <v>0.16358376699389968</v>
      </c>
      <c r="BY280" s="4">
        <f>Modelling_old[[#This Row],[DC Capcity]]+Modelling_new[[#This Row],[Comisined DC ]]</f>
        <v>11.5031</v>
      </c>
      <c r="BZ280" s="4">
        <v>0</v>
      </c>
      <c r="CA280" s="4">
        <f>AVERAGEIFS(Modelling[[Comisined DC ]],Modelling[Date],"&lt;="&amp;Modelling[[#This Row],[Date]],Modelling[Month Year],Modelling[[#This Row],[Month Year]])</f>
        <v>11.503099999999996</v>
      </c>
      <c r="CB280" s="4">
        <f>AVERAGEIFS(Modelling[[Comisined DC ]],Modelling[Date],"&lt;="&amp;Modelling[[#This Row],[Date]],Modelling[Finacial Year],Modelling[[#This Row],[Finacial Year]])</f>
        <v>11.503099999999939</v>
      </c>
      <c r="CG280">
        <f t="shared" si="89"/>
        <v>19</v>
      </c>
      <c r="CH280">
        <f t="shared" si="106"/>
        <v>263</v>
      </c>
    </row>
    <row r="281" spans="1:86" x14ac:dyDescent="0.35">
      <c r="A281" s="27">
        <v>45280</v>
      </c>
      <c r="B281" s="5">
        <f>MONTH(Modelling_old[[#This Row],[Date]])</f>
        <v>12</v>
      </c>
      <c r="C281" s="25">
        <f t="shared" si="90"/>
        <v>2024</v>
      </c>
      <c r="D281" s="3">
        <f t="shared" si="91"/>
        <v>2023</v>
      </c>
      <c r="E281" s="3" t="s">
        <v>626</v>
      </c>
      <c r="F281" s="5" t="s">
        <v>626</v>
      </c>
      <c r="G281" s="102">
        <v>45261</v>
      </c>
      <c r="H281" s="5">
        <f t="shared" si="92"/>
        <v>31</v>
      </c>
      <c r="I281" s="5">
        <f t="shared" si="93"/>
        <v>12</v>
      </c>
      <c r="J281" s="4">
        <f t="shared" si="94"/>
        <v>53.548387096774192</v>
      </c>
      <c r="K281" s="4">
        <f>SUM($J$262:J281)</f>
        <v>1070.9677419354834</v>
      </c>
      <c r="L281" s="4">
        <f>SUM($J$18:J281)</f>
        <v>11930.967741935483</v>
      </c>
      <c r="M281" s="4">
        <f t="shared" si="95"/>
        <v>6.4806451612903224</v>
      </c>
      <c r="N281" s="4">
        <f>SUM($M$262:M281)</f>
        <v>129.61290322580649</v>
      </c>
      <c r="O281" s="4">
        <f>SUM($M$18:M281)</f>
        <v>1477.9129032258038</v>
      </c>
      <c r="P281" s="9">
        <f t="shared" si="96"/>
        <v>0.71831222210106593</v>
      </c>
      <c r="Q281" s="26">
        <f t="shared" si="88"/>
        <v>0.71831222210106549</v>
      </c>
      <c r="R281" s="26">
        <f t="shared" si="88"/>
        <v>0.70179769161503891</v>
      </c>
      <c r="S281" s="9">
        <f t="shared" si="97"/>
        <v>0.19396360943562388</v>
      </c>
      <c r="T281" s="9">
        <f>K281/((COUNT($K$262:K281))*24*$Q$1)</f>
        <v>0.19396360943562377</v>
      </c>
      <c r="U281" s="28">
        <f>L281/((COUNT($L$18:L281))*24*$Q$1)</f>
        <v>0.16369884215466371</v>
      </c>
      <c r="V281" s="134">
        <v>11.5031</v>
      </c>
      <c r="Y281" s="27">
        <f t="shared" si="104"/>
        <v>45280</v>
      </c>
      <c r="Z281" s="5">
        <f>MONTH(Modelling_new[[#This Row],[Date]])</f>
        <v>12</v>
      </c>
      <c r="AA281" s="25">
        <f>YEAR(Y281)+IF(MONTH(Modelling_new[[#This Row],[Date]])&gt;=4,1,0)</f>
        <v>2024</v>
      </c>
      <c r="AB281" s="3">
        <f t="shared" si="98"/>
        <v>2023</v>
      </c>
      <c r="AC281" s="3" t="s">
        <v>626</v>
      </c>
      <c r="AD281" s="5" t="s">
        <v>626</v>
      </c>
      <c r="AE281" s="102">
        <v>45261</v>
      </c>
      <c r="AF281" s="5">
        <f t="shared" si="99"/>
        <v>31</v>
      </c>
      <c r="AG281" s="5">
        <f t="shared" si="100"/>
        <v>12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BD281" s="27">
        <f t="shared" si="105"/>
        <v>45280</v>
      </c>
      <c r="BE281" s="5">
        <f>MONTH(Modelling[[#This Row],[Date]])</f>
        <v>12</v>
      </c>
      <c r="BF281" s="25">
        <f>YEAR(BD281)+IF(MONTH(Modelling[[#This Row],[Date]])&gt;=4,1,0)</f>
        <v>2024</v>
      </c>
      <c r="BG281" s="3">
        <f t="shared" si="101"/>
        <v>2023</v>
      </c>
      <c r="BH281" s="3" t="s">
        <v>626</v>
      </c>
      <c r="BI281" s="5" t="s">
        <v>626</v>
      </c>
      <c r="BJ281" s="102">
        <v>45261</v>
      </c>
      <c r="BK281" s="5">
        <f t="shared" si="102"/>
        <v>31</v>
      </c>
      <c r="BL281" s="5">
        <f t="shared" si="103"/>
        <v>12</v>
      </c>
      <c r="BM281" s="4">
        <f>Modelling_old[[#This Row],[Target E_Grid daily
MWh]]+Modelling_new[[#This Row],[Target E_Grid daily
MWh]]</f>
        <v>53.548387096774192</v>
      </c>
      <c r="BN281" s="4">
        <f>Modelling_old[[#This Row],[Target E_Grid MTD
MWh]]+Modelling_new[[#This Row],[Target E_Grid MTD
MWh]]</f>
        <v>1070.9677419354834</v>
      </c>
      <c r="BO281" s="4">
        <f>Modelling_old[[#This Row],[Target E_Grid YTD
MWh]]+Modelling_new[[#This Row],[Target E_Grid YTD
MWh]]</f>
        <v>11930.967741935483</v>
      </c>
      <c r="BP28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81" s="4">
        <f>SUMIFS(Modelling[Target POA Daily (KWh/m2)],Modelling[Date],"&lt;="&amp;Modelling[[#This Row],[Date]],Modelling[Month Year],Modelling[[#This Row],[Month Year]])</f>
        <v>129.61290322580649</v>
      </c>
      <c r="BR281" s="4">
        <f>SUMIFS(Modelling[Target POA Daily (KWh/m2)],Modelling[Date],"&lt;="&amp;Modelling[[#This Row],[Date]],Modelling[Finacial Year],Modelling[[#This Row],[Finacial Year]])</f>
        <v>1477.9129032258038</v>
      </c>
      <c r="BS281" s="9">
        <f>BM281/Modelling[[#This Row],[Comisined DC ]]/BP281</f>
        <v>0.71831222210106593</v>
      </c>
      <c r="BT281" s="9">
        <f>BN281/BQ281/Modelling[[#This Row],[Comisined DC ]]</f>
        <v>0.71831222210106549</v>
      </c>
      <c r="BU281" s="9">
        <f>BO281/BR281/Modelling[[#This Row],[Comisined DC ]]</f>
        <v>0.70179769161503891</v>
      </c>
      <c r="BV281" s="9">
        <f>BM281/(24*Modelling[[#This Row],[Comisined DC ]])</f>
        <v>0.19396360943562388</v>
      </c>
      <c r="BW281" s="9">
        <f>BN281/((COUNTIFS(Modelling[Date],"&lt;="&amp;Modelling[[#This Row],[Date]],Modelling[Month Year],Modelling[[#This Row],[Month Year]])*24*Modelling[[#This Row],[MTD DC Capcity]]))</f>
        <v>0.19396360943562382</v>
      </c>
      <c r="BX281" s="28">
        <f>BO281/((COUNTIFS(Modelling[Date],"&lt;="&amp;Modelling[[#This Row],[Date]],Modelling[Finacial Year],Modelling[[#This Row],[Finacial Year]])*24*Modelling[[#This Row],[MTD DC Capcity]]))</f>
        <v>0.16369884215466379</v>
      </c>
      <c r="BY281" s="4">
        <f>Modelling_old[[#This Row],[DC Capcity]]+Modelling_new[[#This Row],[Comisined DC ]]</f>
        <v>11.5031</v>
      </c>
      <c r="BZ281" s="4">
        <v>0</v>
      </c>
      <c r="CA281" s="4">
        <f>AVERAGEIFS(Modelling[[Comisined DC ]],Modelling[Date],"&lt;="&amp;Modelling[[#This Row],[Date]],Modelling[Month Year],Modelling[[#This Row],[Month Year]])</f>
        <v>11.503099999999996</v>
      </c>
      <c r="CB281" s="4">
        <f>AVERAGEIFS(Modelling[[Comisined DC ]],Modelling[Date],"&lt;="&amp;Modelling[[#This Row],[Date]],Modelling[Finacial Year],Modelling[[#This Row],[Finacial Year]])</f>
        <v>11.503099999999939</v>
      </c>
      <c r="CG281">
        <f t="shared" si="89"/>
        <v>20</v>
      </c>
      <c r="CH281">
        <f t="shared" si="106"/>
        <v>264</v>
      </c>
    </row>
    <row r="282" spans="1:86" x14ac:dyDescent="0.35">
      <c r="A282" s="27">
        <v>45281</v>
      </c>
      <c r="B282" s="5">
        <f>MONTH(Modelling_old[[#This Row],[Date]])</f>
        <v>12</v>
      </c>
      <c r="C282" s="25">
        <f t="shared" si="90"/>
        <v>2024</v>
      </c>
      <c r="D282" s="3">
        <f t="shared" si="91"/>
        <v>2023</v>
      </c>
      <c r="E282" s="3" t="s">
        <v>626</v>
      </c>
      <c r="F282" s="5" t="s">
        <v>626</v>
      </c>
      <c r="G282" s="102">
        <v>45261</v>
      </c>
      <c r="H282" s="5">
        <f t="shared" si="92"/>
        <v>31</v>
      </c>
      <c r="I282" s="5">
        <f t="shared" si="93"/>
        <v>12</v>
      </c>
      <c r="J282" s="4">
        <f t="shared" si="94"/>
        <v>53.548387096774192</v>
      </c>
      <c r="K282" s="4">
        <f>SUM($J$262:J282)</f>
        <v>1124.5161290322576</v>
      </c>
      <c r="L282" s="4">
        <f>SUM($J$18:J282)</f>
        <v>11984.516129032258</v>
      </c>
      <c r="M282" s="4">
        <f t="shared" si="95"/>
        <v>6.4806451612903224</v>
      </c>
      <c r="N282" s="4">
        <f>SUM($M$262:M282)</f>
        <v>136.0935483870968</v>
      </c>
      <c r="O282" s="4">
        <f>SUM($M$18:M282)</f>
        <v>1484.3935483870941</v>
      </c>
      <c r="P282" s="9">
        <f t="shared" si="96"/>
        <v>0.71831222210106593</v>
      </c>
      <c r="Q282" s="26">
        <f t="shared" si="88"/>
        <v>0.71831222210106549</v>
      </c>
      <c r="R282" s="26">
        <f t="shared" si="88"/>
        <v>0.70186979164013086</v>
      </c>
      <c r="S282" s="9">
        <f t="shared" si="97"/>
        <v>0.19396360943562388</v>
      </c>
      <c r="T282" s="9">
        <f>K282/((COUNT($K$262:K282))*24*$Q$1)</f>
        <v>0.19396360943562377</v>
      </c>
      <c r="U282" s="28">
        <f>L282/((COUNT($L$18:L282))*24*$Q$1)</f>
        <v>0.1638130488236485</v>
      </c>
      <c r="V282" s="134">
        <v>11.5031</v>
      </c>
      <c r="Y282" s="27">
        <f t="shared" si="104"/>
        <v>45281</v>
      </c>
      <c r="Z282" s="5">
        <f>MONTH(Modelling_new[[#This Row],[Date]])</f>
        <v>12</v>
      </c>
      <c r="AA282" s="25">
        <f>YEAR(Y282)+IF(MONTH(Modelling_new[[#This Row],[Date]])&gt;=4,1,0)</f>
        <v>2024</v>
      </c>
      <c r="AB282" s="3">
        <f t="shared" si="98"/>
        <v>2023</v>
      </c>
      <c r="AC282" s="3" t="s">
        <v>626</v>
      </c>
      <c r="AD282" s="5" t="s">
        <v>626</v>
      </c>
      <c r="AE282" s="102">
        <v>45261</v>
      </c>
      <c r="AF282" s="5">
        <f t="shared" si="99"/>
        <v>31</v>
      </c>
      <c r="AG282" s="5">
        <f t="shared" si="100"/>
        <v>12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BD282" s="27">
        <f t="shared" si="105"/>
        <v>45281</v>
      </c>
      <c r="BE282" s="5">
        <f>MONTH(Modelling[[#This Row],[Date]])</f>
        <v>12</v>
      </c>
      <c r="BF282" s="25">
        <f>YEAR(BD282)+IF(MONTH(Modelling[[#This Row],[Date]])&gt;=4,1,0)</f>
        <v>2024</v>
      </c>
      <c r="BG282" s="3">
        <f t="shared" si="101"/>
        <v>2023</v>
      </c>
      <c r="BH282" s="3" t="s">
        <v>626</v>
      </c>
      <c r="BI282" s="5" t="s">
        <v>626</v>
      </c>
      <c r="BJ282" s="102">
        <v>45261</v>
      </c>
      <c r="BK282" s="5">
        <f t="shared" si="102"/>
        <v>31</v>
      </c>
      <c r="BL282" s="5">
        <f t="shared" si="103"/>
        <v>12</v>
      </c>
      <c r="BM282" s="4">
        <f>Modelling_old[[#This Row],[Target E_Grid daily
MWh]]+Modelling_new[[#This Row],[Target E_Grid daily
MWh]]</f>
        <v>53.548387096774192</v>
      </c>
      <c r="BN282" s="4">
        <f>Modelling_old[[#This Row],[Target E_Grid MTD
MWh]]+Modelling_new[[#This Row],[Target E_Grid MTD
MWh]]</f>
        <v>1124.5161290322576</v>
      </c>
      <c r="BO282" s="4">
        <f>Modelling_old[[#This Row],[Target E_Grid YTD
MWh]]+Modelling_new[[#This Row],[Target E_Grid YTD
MWh]]</f>
        <v>11984.516129032258</v>
      </c>
      <c r="BP28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82" s="4">
        <f>SUMIFS(Modelling[Target POA Daily (KWh/m2)],Modelling[Date],"&lt;="&amp;Modelling[[#This Row],[Date]],Modelling[Month Year],Modelling[[#This Row],[Month Year]])</f>
        <v>136.0935483870968</v>
      </c>
      <c r="BR282" s="4">
        <f>SUMIFS(Modelling[Target POA Daily (KWh/m2)],Modelling[Date],"&lt;="&amp;Modelling[[#This Row],[Date]],Modelling[Finacial Year],Modelling[[#This Row],[Finacial Year]])</f>
        <v>1484.3935483870941</v>
      </c>
      <c r="BS282" s="9">
        <f>BM282/Modelling[[#This Row],[Comisined DC ]]/BP282</f>
        <v>0.71831222210106593</v>
      </c>
      <c r="BT282" s="9">
        <f>BN282/BQ282/Modelling[[#This Row],[Comisined DC ]]</f>
        <v>0.71831222210106549</v>
      </c>
      <c r="BU282" s="9">
        <f>BO282/BR282/Modelling[[#This Row],[Comisined DC ]]</f>
        <v>0.70186979164013086</v>
      </c>
      <c r="BV282" s="9">
        <f>BM282/(24*Modelling[[#This Row],[Comisined DC ]])</f>
        <v>0.19396360943562388</v>
      </c>
      <c r="BW282" s="9">
        <f>BN282/((COUNTIFS(Modelling[Date],"&lt;="&amp;Modelling[[#This Row],[Date]],Modelling[Month Year],Modelling[[#This Row],[Month Year]])*24*Modelling[[#This Row],[MTD DC Capcity]]))</f>
        <v>0.19396360943562385</v>
      </c>
      <c r="BX282" s="28">
        <f>BO282/((COUNTIFS(Modelling[Date],"&lt;="&amp;Modelling[[#This Row],[Date]],Modelling[Finacial Year],Modelling[[#This Row],[Finacial Year]])*24*Modelling[[#This Row],[MTD DC Capcity]]))</f>
        <v>0.16381304882364855</v>
      </c>
      <c r="BY282" s="4">
        <f>Modelling_old[[#This Row],[DC Capcity]]+Modelling_new[[#This Row],[Comisined DC ]]</f>
        <v>11.5031</v>
      </c>
      <c r="BZ282" s="4">
        <v>0</v>
      </c>
      <c r="CA282" s="4">
        <f>AVERAGEIFS(Modelling[[Comisined DC ]],Modelling[Date],"&lt;="&amp;Modelling[[#This Row],[Date]],Modelling[Month Year],Modelling[[#This Row],[Month Year]])</f>
        <v>11.503099999999996</v>
      </c>
      <c r="CB282" s="4">
        <f>AVERAGEIFS(Modelling[[Comisined DC ]],Modelling[Date],"&lt;="&amp;Modelling[[#This Row],[Date]],Modelling[Finacial Year],Modelling[[#This Row],[Finacial Year]])</f>
        <v>11.503099999999939</v>
      </c>
      <c r="CG282">
        <f t="shared" si="89"/>
        <v>21</v>
      </c>
      <c r="CH282">
        <f t="shared" si="106"/>
        <v>265</v>
      </c>
    </row>
    <row r="283" spans="1:86" x14ac:dyDescent="0.35">
      <c r="A283" s="27">
        <v>45282</v>
      </c>
      <c r="B283" s="5">
        <f>MONTH(Modelling_old[[#This Row],[Date]])</f>
        <v>12</v>
      </c>
      <c r="C283" s="25">
        <f t="shared" si="90"/>
        <v>2024</v>
      </c>
      <c r="D283" s="3">
        <f t="shared" si="91"/>
        <v>2023</v>
      </c>
      <c r="E283" s="3" t="s">
        <v>626</v>
      </c>
      <c r="F283" s="5" t="s">
        <v>626</v>
      </c>
      <c r="G283" s="102">
        <v>45261</v>
      </c>
      <c r="H283" s="5">
        <f t="shared" si="92"/>
        <v>31</v>
      </c>
      <c r="I283" s="5">
        <f t="shared" si="93"/>
        <v>12</v>
      </c>
      <c r="J283" s="4">
        <f t="shared" si="94"/>
        <v>53.548387096774192</v>
      </c>
      <c r="K283" s="4">
        <f>SUM($J$262:J283)</f>
        <v>1178.0645161290317</v>
      </c>
      <c r="L283" s="4">
        <f>SUM($J$18:J283)</f>
        <v>12038.064516129032</v>
      </c>
      <c r="M283" s="4">
        <f t="shared" si="95"/>
        <v>6.4806451612903224</v>
      </c>
      <c r="N283" s="4">
        <f>SUM($M$262:M283)</f>
        <v>142.57419354838711</v>
      </c>
      <c r="O283" s="4">
        <f>SUM($M$18:M283)</f>
        <v>1490.8741935483845</v>
      </c>
      <c r="P283" s="9">
        <f t="shared" si="96"/>
        <v>0.71831222210106593</v>
      </c>
      <c r="Q283" s="26">
        <f t="shared" si="88"/>
        <v>0.71831222210106549</v>
      </c>
      <c r="R283" s="26">
        <f t="shared" si="88"/>
        <v>0.70194126484549435</v>
      </c>
      <c r="S283" s="9">
        <f t="shared" si="97"/>
        <v>0.19396360943562388</v>
      </c>
      <c r="T283" s="9">
        <f>K283/((COUNT($K$262:K283))*24*$Q$1)</f>
        <v>0.19396360943562377</v>
      </c>
      <c r="U283" s="28">
        <f>L283/((COUNT($L$18:L283))*24*$Q$1)</f>
        <v>0.16392639679587398</v>
      </c>
      <c r="V283" s="134">
        <v>11.5031</v>
      </c>
      <c r="Y283" s="27">
        <f t="shared" si="104"/>
        <v>45282</v>
      </c>
      <c r="Z283" s="5">
        <f>MONTH(Modelling_new[[#This Row],[Date]])</f>
        <v>12</v>
      </c>
      <c r="AA283" s="25">
        <f>YEAR(Y283)+IF(MONTH(Modelling_new[[#This Row],[Date]])&gt;=4,1,0)</f>
        <v>2024</v>
      </c>
      <c r="AB283" s="3">
        <f t="shared" si="98"/>
        <v>2023</v>
      </c>
      <c r="AC283" s="3" t="s">
        <v>626</v>
      </c>
      <c r="AD283" s="5" t="s">
        <v>626</v>
      </c>
      <c r="AE283" s="102">
        <v>45261</v>
      </c>
      <c r="AF283" s="5">
        <f t="shared" si="99"/>
        <v>31</v>
      </c>
      <c r="AG283" s="5">
        <f t="shared" si="100"/>
        <v>12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BD283" s="27">
        <f t="shared" si="105"/>
        <v>45282</v>
      </c>
      <c r="BE283" s="5">
        <f>MONTH(Modelling[[#This Row],[Date]])</f>
        <v>12</v>
      </c>
      <c r="BF283" s="25">
        <f>YEAR(BD283)+IF(MONTH(Modelling[[#This Row],[Date]])&gt;=4,1,0)</f>
        <v>2024</v>
      </c>
      <c r="BG283" s="3">
        <f t="shared" si="101"/>
        <v>2023</v>
      </c>
      <c r="BH283" s="3" t="s">
        <v>626</v>
      </c>
      <c r="BI283" s="5" t="s">
        <v>626</v>
      </c>
      <c r="BJ283" s="102">
        <v>45261</v>
      </c>
      <c r="BK283" s="5">
        <f t="shared" si="102"/>
        <v>31</v>
      </c>
      <c r="BL283" s="5">
        <f t="shared" si="103"/>
        <v>12</v>
      </c>
      <c r="BM283" s="4">
        <f>Modelling_old[[#This Row],[Target E_Grid daily
MWh]]+Modelling_new[[#This Row],[Target E_Grid daily
MWh]]</f>
        <v>53.548387096774192</v>
      </c>
      <c r="BN283" s="4">
        <f>Modelling_old[[#This Row],[Target E_Grid MTD
MWh]]+Modelling_new[[#This Row],[Target E_Grid MTD
MWh]]</f>
        <v>1178.0645161290317</v>
      </c>
      <c r="BO283" s="4">
        <f>Modelling_old[[#This Row],[Target E_Grid YTD
MWh]]+Modelling_new[[#This Row],[Target E_Grid YTD
MWh]]</f>
        <v>12038.064516129032</v>
      </c>
      <c r="BP28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83" s="4">
        <f>SUMIFS(Modelling[Target POA Daily (KWh/m2)],Modelling[Date],"&lt;="&amp;Modelling[[#This Row],[Date]],Modelling[Month Year],Modelling[[#This Row],[Month Year]])</f>
        <v>142.57419354838711</v>
      </c>
      <c r="BR283" s="4">
        <f>SUMIFS(Modelling[Target POA Daily (KWh/m2)],Modelling[Date],"&lt;="&amp;Modelling[[#This Row],[Date]],Modelling[Finacial Year],Modelling[[#This Row],[Finacial Year]])</f>
        <v>1490.8741935483845</v>
      </c>
      <c r="BS283" s="9">
        <f>BM283/Modelling[[#This Row],[Comisined DC ]]/BP283</f>
        <v>0.71831222210106593</v>
      </c>
      <c r="BT283" s="9">
        <f>BN283/BQ283/Modelling[[#This Row],[Comisined DC ]]</f>
        <v>0.71831222210106549</v>
      </c>
      <c r="BU283" s="9">
        <f>BO283/BR283/Modelling[[#This Row],[Comisined DC ]]</f>
        <v>0.70194126484549435</v>
      </c>
      <c r="BV283" s="9">
        <f>BM283/(24*Modelling[[#This Row],[Comisined DC ]])</f>
        <v>0.19396360943562388</v>
      </c>
      <c r="BW283" s="9">
        <f>BN283/((COUNTIFS(Modelling[Date],"&lt;="&amp;Modelling[[#This Row],[Date]],Modelling[Month Year],Modelling[[#This Row],[Month Year]])*24*Modelling[[#This Row],[MTD DC Capcity]]))</f>
        <v>0.19396360943562382</v>
      </c>
      <c r="BX283" s="28">
        <f>BO283/((COUNTIFS(Modelling[Date],"&lt;="&amp;Modelling[[#This Row],[Date]],Modelling[Finacial Year],Modelling[[#This Row],[Finacial Year]])*24*Modelling[[#This Row],[MTD DC Capcity]]))</f>
        <v>0.16392639679587401</v>
      </c>
      <c r="BY283" s="4">
        <f>Modelling_old[[#This Row],[DC Capcity]]+Modelling_new[[#This Row],[Comisined DC ]]</f>
        <v>11.5031</v>
      </c>
      <c r="BZ283" s="4">
        <v>0</v>
      </c>
      <c r="CA283" s="4">
        <f>AVERAGEIFS(Modelling[[Comisined DC ]],Modelling[Date],"&lt;="&amp;Modelling[[#This Row],[Date]],Modelling[Month Year],Modelling[[#This Row],[Month Year]])</f>
        <v>11.503099999999996</v>
      </c>
      <c r="CB283" s="4">
        <f>AVERAGEIFS(Modelling[[Comisined DC ]],Modelling[Date],"&lt;="&amp;Modelling[[#This Row],[Date]],Modelling[Finacial Year],Modelling[[#This Row],[Finacial Year]])</f>
        <v>11.503099999999939</v>
      </c>
      <c r="CG283">
        <f t="shared" si="89"/>
        <v>22</v>
      </c>
      <c r="CH283">
        <f t="shared" si="106"/>
        <v>266</v>
      </c>
    </row>
    <row r="284" spans="1:86" x14ac:dyDescent="0.35">
      <c r="A284" s="27">
        <v>45283</v>
      </c>
      <c r="B284" s="5">
        <f>MONTH(Modelling_old[[#This Row],[Date]])</f>
        <v>12</v>
      </c>
      <c r="C284" s="25">
        <f t="shared" si="90"/>
        <v>2024</v>
      </c>
      <c r="D284" s="3">
        <f t="shared" si="91"/>
        <v>2023</v>
      </c>
      <c r="E284" s="3" t="s">
        <v>626</v>
      </c>
      <c r="F284" s="5" t="s">
        <v>626</v>
      </c>
      <c r="G284" s="102">
        <v>45261</v>
      </c>
      <c r="H284" s="5">
        <f t="shared" si="92"/>
        <v>31</v>
      </c>
      <c r="I284" s="5">
        <f t="shared" si="93"/>
        <v>12</v>
      </c>
      <c r="J284" s="4">
        <f t="shared" si="94"/>
        <v>53.548387096774192</v>
      </c>
      <c r="K284" s="4">
        <f>SUM($J$262:J284)</f>
        <v>1231.6129032258059</v>
      </c>
      <c r="L284" s="4">
        <f>SUM($J$18:J284)</f>
        <v>12091.612903225807</v>
      </c>
      <c r="M284" s="4">
        <f t="shared" si="95"/>
        <v>6.4806451612903224</v>
      </c>
      <c r="N284" s="4">
        <f>SUM($M$262:M284)</f>
        <v>149.05483870967743</v>
      </c>
      <c r="O284" s="4">
        <f>SUM($M$18:M284)</f>
        <v>1497.3548387096748</v>
      </c>
      <c r="P284" s="9">
        <f t="shared" si="96"/>
        <v>0.71831222210106593</v>
      </c>
      <c r="Q284" s="26">
        <f t="shared" si="88"/>
        <v>0.71831222210106549</v>
      </c>
      <c r="R284" s="26">
        <f t="shared" si="88"/>
        <v>0.70201211936987384</v>
      </c>
      <c r="S284" s="9">
        <f t="shared" si="97"/>
        <v>0.19396360943562388</v>
      </c>
      <c r="T284" s="9">
        <f>K284/((COUNT($K$262:K284))*24*$Q$1)</f>
        <v>0.19396360943562377</v>
      </c>
      <c r="U284" s="28">
        <f>L284/((COUNT($L$18:L284))*24*$Q$1)</f>
        <v>0.16403889571961836</v>
      </c>
      <c r="V284" s="134">
        <v>11.5031</v>
      </c>
      <c r="Y284" s="27">
        <f t="shared" si="104"/>
        <v>45283</v>
      </c>
      <c r="Z284" s="5">
        <f>MONTH(Modelling_new[[#This Row],[Date]])</f>
        <v>12</v>
      </c>
      <c r="AA284" s="25">
        <f>YEAR(Y284)+IF(MONTH(Modelling_new[[#This Row],[Date]])&gt;=4,1,0)</f>
        <v>2024</v>
      </c>
      <c r="AB284" s="3">
        <f t="shared" si="98"/>
        <v>2023</v>
      </c>
      <c r="AC284" s="3" t="s">
        <v>626</v>
      </c>
      <c r="AD284" s="5" t="s">
        <v>626</v>
      </c>
      <c r="AE284" s="102">
        <v>45261</v>
      </c>
      <c r="AF284" s="5">
        <f t="shared" si="99"/>
        <v>31</v>
      </c>
      <c r="AG284" s="5">
        <f t="shared" si="100"/>
        <v>12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BD284" s="27">
        <f t="shared" si="105"/>
        <v>45283</v>
      </c>
      <c r="BE284" s="5">
        <f>MONTH(Modelling[[#This Row],[Date]])</f>
        <v>12</v>
      </c>
      <c r="BF284" s="25">
        <f>YEAR(BD284)+IF(MONTH(Modelling[[#This Row],[Date]])&gt;=4,1,0)</f>
        <v>2024</v>
      </c>
      <c r="BG284" s="3">
        <f t="shared" si="101"/>
        <v>2023</v>
      </c>
      <c r="BH284" s="3" t="s">
        <v>626</v>
      </c>
      <c r="BI284" s="5" t="s">
        <v>626</v>
      </c>
      <c r="BJ284" s="102">
        <v>45261</v>
      </c>
      <c r="BK284" s="5">
        <f t="shared" si="102"/>
        <v>31</v>
      </c>
      <c r="BL284" s="5">
        <f t="shared" si="103"/>
        <v>12</v>
      </c>
      <c r="BM284" s="4">
        <f>Modelling_old[[#This Row],[Target E_Grid daily
MWh]]+Modelling_new[[#This Row],[Target E_Grid daily
MWh]]</f>
        <v>53.548387096774192</v>
      </c>
      <c r="BN284" s="4">
        <f>Modelling_old[[#This Row],[Target E_Grid MTD
MWh]]+Modelling_new[[#This Row],[Target E_Grid MTD
MWh]]</f>
        <v>1231.6129032258059</v>
      </c>
      <c r="BO284" s="4">
        <f>Modelling_old[[#This Row],[Target E_Grid YTD
MWh]]+Modelling_new[[#This Row],[Target E_Grid YTD
MWh]]</f>
        <v>12091.612903225807</v>
      </c>
      <c r="BP28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84" s="4">
        <f>SUMIFS(Modelling[Target POA Daily (KWh/m2)],Modelling[Date],"&lt;="&amp;Modelling[[#This Row],[Date]],Modelling[Month Year],Modelling[[#This Row],[Month Year]])</f>
        <v>149.05483870967743</v>
      </c>
      <c r="BR284" s="4">
        <f>SUMIFS(Modelling[Target POA Daily (KWh/m2)],Modelling[Date],"&lt;="&amp;Modelling[[#This Row],[Date]],Modelling[Finacial Year],Modelling[[#This Row],[Finacial Year]])</f>
        <v>1497.3548387096748</v>
      </c>
      <c r="BS284" s="9">
        <f>BM284/Modelling[[#This Row],[Comisined DC ]]/BP284</f>
        <v>0.71831222210106593</v>
      </c>
      <c r="BT284" s="9">
        <f>BN284/BQ284/Modelling[[#This Row],[Comisined DC ]]</f>
        <v>0.71831222210106549</v>
      </c>
      <c r="BU284" s="9">
        <f>BO284/BR284/Modelling[[#This Row],[Comisined DC ]]</f>
        <v>0.70201211936987384</v>
      </c>
      <c r="BV284" s="9">
        <f>BM284/(24*Modelling[[#This Row],[Comisined DC ]])</f>
        <v>0.19396360943562388</v>
      </c>
      <c r="BW284" s="9">
        <f>BN284/((COUNTIFS(Modelling[Date],"&lt;="&amp;Modelling[[#This Row],[Date]],Modelling[Month Year],Modelling[[#This Row],[Month Year]])*24*Modelling[[#This Row],[MTD DC Capcity]]))</f>
        <v>0.19396360943562385</v>
      </c>
      <c r="BX284" s="28">
        <f>BO284/((COUNTIFS(Modelling[Date],"&lt;="&amp;Modelling[[#This Row],[Date]],Modelling[Finacial Year],Modelling[[#This Row],[Finacial Year]])*24*Modelling[[#This Row],[MTD DC Capcity]]))</f>
        <v>0.16403889571961844</v>
      </c>
      <c r="BY284" s="4">
        <f>Modelling_old[[#This Row],[DC Capcity]]+Modelling_new[[#This Row],[Comisined DC ]]</f>
        <v>11.5031</v>
      </c>
      <c r="BZ284" s="4">
        <v>0</v>
      </c>
      <c r="CA284" s="4">
        <f>AVERAGEIFS(Modelling[[Comisined DC ]],Modelling[Date],"&lt;="&amp;Modelling[[#This Row],[Date]],Modelling[Month Year],Modelling[[#This Row],[Month Year]])</f>
        <v>11.503099999999995</v>
      </c>
      <c r="CB284" s="4">
        <f>AVERAGEIFS(Modelling[[Comisined DC ]],Modelling[Date],"&lt;="&amp;Modelling[[#This Row],[Date]],Modelling[Finacial Year],Modelling[[#This Row],[Finacial Year]])</f>
        <v>11.503099999999939</v>
      </c>
      <c r="CG284">
        <f t="shared" si="89"/>
        <v>23</v>
      </c>
      <c r="CH284">
        <f t="shared" si="106"/>
        <v>267</v>
      </c>
    </row>
    <row r="285" spans="1:86" x14ac:dyDescent="0.35">
      <c r="A285" s="27">
        <v>45284</v>
      </c>
      <c r="B285" s="5">
        <f>MONTH(Modelling_old[[#This Row],[Date]])</f>
        <v>12</v>
      </c>
      <c r="C285" s="25">
        <f t="shared" si="90"/>
        <v>2024</v>
      </c>
      <c r="D285" s="3">
        <f t="shared" si="91"/>
        <v>2023</v>
      </c>
      <c r="E285" s="3" t="s">
        <v>626</v>
      </c>
      <c r="F285" s="5" t="s">
        <v>626</v>
      </c>
      <c r="G285" s="102">
        <v>45261</v>
      </c>
      <c r="H285" s="5">
        <f t="shared" si="92"/>
        <v>31</v>
      </c>
      <c r="I285" s="5">
        <f t="shared" si="93"/>
        <v>12</v>
      </c>
      <c r="J285" s="4">
        <f t="shared" si="94"/>
        <v>53.548387096774192</v>
      </c>
      <c r="K285" s="4">
        <f>SUM($J$262:J285)</f>
        <v>1285.16129032258</v>
      </c>
      <c r="L285" s="4">
        <f>SUM($J$18:J285)</f>
        <v>12145.161290322581</v>
      </c>
      <c r="M285" s="4">
        <f t="shared" si="95"/>
        <v>6.4806451612903224</v>
      </c>
      <c r="N285" s="4">
        <f>SUM($M$262:M285)</f>
        <v>155.53548387096774</v>
      </c>
      <c r="O285" s="4">
        <f>SUM($M$18:M285)</f>
        <v>1503.8354838709652</v>
      </c>
      <c r="P285" s="9">
        <f t="shared" si="96"/>
        <v>0.71831222210106593</v>
      </c>
      <c r="Q285" s="26">
        <f t="shared" si="88"/>
        <v>0.71831222210106571</v>
      </c>
      <c r="R285" s="26">
        <f t="shared" si="88"/>
        <v>0.70208236321172113</v>
      </c>
      <c r="S285" s="9">
        <f t="shared" si="97"/>
        <v>0.19396360943562388</v>
      </c>
      <c r="T285" s="9">
        <f>K285/((COUNT($K$262:K285))*24*$Q$1)</f>
        <v>0.19396360943562377</v>
      </c>
      <c r="U285" s="28">
        <f>L285/((COUNT($L$18:L285))*24*$Q$1)</f>
        <v>0.16415055509915571</v>
      </c>
      <c r="V285" s="134">
        <v>11.5031</v>
      </c>
      <c r="Y285" s="27">
        <f t="shared" si="104"/>
        <v>45284</v>
      </c>
      <c r="Z285" s="5">
        <f>MONTH(Modelling_new[[#This Row],[Date]])</f>
        <v>12</v>
      </c>
      <c r="AA285" s="25">
        <f>YEAR(Y285)+IF(MONTH(Modelling_new[[#This Row],[Date]])&gt;=4,1,0)</f>
        <v>2024</v>
      </c>
      <c r="AB285" s="3">
        <f t="shared" si="98"/>
        <v>2023</v>
      </c>
      <c r="AC285" s="3" t="s">
        <v>626</v>
      </c>
      <c r="AD285" s="5" t="s">
        <v>626</v>
      </c>
      <c r="AE285" s="102">
        <v>45261</v>
      </c>
      <c r="AF285" s="5">
        <f t="shared" si="99"/>
        <v>31</v>
      </c>
      <c r="AG285" s="5">
        <f t="shared" si="100"/>
        <v>12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BD285" s="27">
        <f t="shared" si="105"/>
        <v>45284</v>
      </c>
      <c r="BE285" s="5">
        <f>MONTH(Modelling[[#This Row],[Date]])</f>
        <v>12</v>
      </c>
      <c r="BF285" s="25">
        <f>YEAR(BD285)+IF(MONTH(Modelling[[#This Row],[Date]])&gt;=4,1,0)</f>
        <v>2024</v>
      </c>
      <c r="BG285" s="3">
        <f t="shared" si="101"/>
        <v>2023</v>
      </c>
      <c r="BH285" s="3" t="s">
        <v>626</v>
      </c>
      <c r="BI285" s="5" t="s">
        <v>626</v>
      </c>
      <c r="BJ285" s="102">
        <v>45261</v>
      </c>
      <c r="BK285" s="5">
        <f t="shared" si="102"/>
        <v>31</v>
      </c>
      <c r="BL285" s="5">
        <f t="shared" si="103"/>
        <v>12</v>
      </c>
      <c r="BM285" s="4">
        <f>Modelling_old[[#This Row],[Target E_Grid daily
MWh]]+Modelling_new[[#This Row],[Target E_Grid daily
MWh]]</f>
        <v>53.548387096774192</v>
      </c>
      <c r="BN285" s="4">
        <f>Modelling_old[[#This Row],[Target E_Grid MTD
MWh]]+Modelling_new[[#This Row],[Target E_Grid MTD
MWh]]</f>
        <v>1285.16129032258</v>
      </c>
      <c r="BO285" s="4">
        <f>Modelling_old[[#This Row],[Target E_Grid YTD
MWh]]+Modelling_new[[#This Row],[Target E_Grid YTD
MWh]]</f>
        <v>12145.161290322581</v>
      </c>
      <c r="BP28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85" s="4">
        <f>SUMIFS(Modelling[Target POA Daily (KWh/m2)],Modelling[Date],"&lt;="&amp;Modelling[[#This Row],[Date]],Modelling[Month Year],Modelling[[#This Row],[Month Year]])</f>
        <v>155.53548387096774</v>
      </c>
      <c r="BR285" s="4">
        <f>SUMIFS(Modelling[Target POA Daily (KWh/m2)],Modelling[Date],"&lt;="&amp;Modelling[[#This Row],[Date]],Modelling[Finacial Year],Modelling[[#This Row],[Finacial Year]])</f>
        <v>1503.8354838709652</v>
      </c>
      <c r="BS285" s="9">
        <f>BM285/Modelling[[#This Row],[Comisined DC ]]/BP285</f>
        <v>0.71831222210106593</v>
      </c>
      <c r="BT285" s="9">
        <f>BN285/BQ285/Modelling[[#This Row],[Comisined DC ]]</f>
        <v>0.71831222210106571</v>
      </c>
      <c r="BU285" s="9">
        <f>BO285/BR285/Modelling[[#This Row],[Comisined DC ]]</f>
        <v>0.70208236321172113</v>
      </c>
      <c r="BV285" s="9">
        <f>BM285/(24*Modelling[[#This Row],[Comisined DC ]])</f>
        <v>0.19396360943562388</v>
      </c>
      <c r="BW285" s="9">
        <f>BN285/((COUNTIFS(Modelling[Date],"&lt;="&amp;Modelling[[#This Row],[Date]],Modelling[Month Year],Modelling[[#This Row],[Month Year]])*24*Modelling[[#This Row],[MTD DC Capcity]]))</f>
        <v>0.19396360943562382</v>
      </c>
      <c r="BX285" s="28">
        <f>BO285/((COUNTIFS(Modelling[Date],"&lt;="&amp;Modelling[[#This Row],[Date]],Modelling[Finacial Year],Modelling[[#This Row],[Finacial Year]])*24*Modelling[[#This Row],[MTD DC Capcity]]))</f>
        <v>0.16415055509915574</v>
      </c>
      <c r="BY285" s="4">
        <f>Modelling_old[[#This Row],[DC Capcity]]+Modelling_new[[#This Row],[Comisined DC ]]</f>
        <v>11.5031</v>
      </c>
      <c r="BZ285" s="4">
        <v>0</v>
      </c>
      <c r="CA285" s="4">
        <f>AVERAGEIFS(Modelling[[Comisined DC ]],Modelling[Date],"&lt;="&amp;Modelling[[#This Row],[Date]],Modelling[Month Year],Modelling[[#This Row],[Month Year]])</f>
        <v>11.503099999999996</v>
      </c>
      <c r="CB285" s="4">
        <f>AVERAGEIFS(Modelling[[Comisined DC ]],Modelling[Date],"&lt;="&amp;Modelling[[#This Row],[Date]],Modelling[Finacial Year],Modelling[[#This Row],[Finacial Year]])</f>
        <v>11.503099999999939</v>
      </c>
      <c r="CG285">
        <f t="shared" si="89"/>
        <v>24</v>
      </c>
      <c r="CH285">
        <f t="shared" si="106"/>
        <v>268</v>
      </c>
    </row>
    <row r="286" spans="1:86" x14ac:dyDescent="0.35">
      <c r="A286" s="27">
        <v>45285</v>
      </c>
      <c r="B286" s="5">
        <f>MONTH(Modelling_old[[#This Row],[Date]])</f>
        <v>12</v>
      </c>
      <c r="C286" s="25">
        <f t="shared" si="90"/>
        <v>2024</v>
      </c>
      <c r="D286" s="3">
        <f t="shared" si="91"/>
        <v>2023</v>
      </c>
      <c r="E286" s="3" t="s">
        <v>626</v>
      </c>
      <c r="F286" s="5" t="s">
        <v>626</v>
      </c>
      <c r="G286" s="102">
        <v>45261</v>
      </c>
      <c r="H286" s="5">
        <f t="shared" si="92"/>
        <v>31</v>
      </c>
      <c r="I286" s="5">
        <f t="shared" si="93"/>
        <v>12</v>
      </c>
      <c r="J286" s="4">
        <f t="shared" si="94"/>
        <v>53.548387096774192</v>
      </c>
      <c r="K286" s="4">
        <f>SUM($J$262:J286)</f>
        <v>1338.7096774193542</v>
      </c>
      <c r="L286" s="4">
        <f>SUM($J$18:J286)</f>
        <v>12198.709677419356</v>
      </c>
      <c r="M286" s="4">
        <f t="shared" si="95"/>
        <v>6.4806451612903224</v>
      </c>
      <c r="N286" s="4">
        <f>SUM($M$262:M286)</f>
        <v>162.01612903225805</v>
      </c>
      <c r="O286" s="4">
        <f>SUM($M$18:M286)</f>
        <v>1510.3161290322555</v>
      </c>
      <c r="P286" s="9">
        <f t="shared" si="96"/>
        <v>0.71831222210106593</v>
      </c>
      <c r="Q286" s="26">
        <f t="shared" si="88"/>
        <v>0.71831222210106571</v>
      </c>
      <c r="R286" s="26">
        <f t="shared" si="88"/>
        <v>0.70215200423220547</v>
      </c>
      <c r="S286" s="9">
        <f t="shared" si="97"/>
        <v>0.19396360943562388</v>
      </c>
      <c r="T286" s="9">
        <f>K286/((COUNT($K$262:K286))*24*$Q$1)</f>
        <v>0.19396360943562377</v>
      </c>
      <c r="U286" s="28">
        <f>L286/((COUNT($L$18:L286))*24*$Q$1)</f>
        <v>0.16426138429743253</v>
      </c>
      <c r="V286" s="134">
        <v>11.5031</v>
      </c>
      <c r="Y286" s="27">
        <f t="shared" si="104"/>
        <v>45285</v>
      </c>
      <c r="Z286" s="5">
        <f>MONTH(Modelling_new[[#This Row],[Date]])</f>
        <v>12</v>
      </c>
      <c r="AA286" s="25">
        <f>YEAR(Y286)+IF(MONTH(Modelling_new[[#This Row],[Date]])&gt;=4,1,0)</f>
        <v>2024</v>
      </c>
      <c r="AB286" s="3">
        <f t="shared" si="98"/>
        <v>2023</v>
      </c>
      <c r="AC286" s="3" t="s">
        <v>626</v>
      </c>
      <c r="AD286" s="5" t="s">
        <v>626</v>
      </c>
      <c r="AE286" s="102">
        <v>45261</v>
      </c>
      <c r="AF286" s="5">
        <f t="shared" si="99"/>
        <v>31</v>
      </c>
      <c r="AG286" s="5">
        <f t="shared" si="100"/>
        <v>12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BD286" s="27">
        <f t="shared" si="105"/>
        <v>45285</v>
      </c>
      <c r="BE286" s="5">
        <f>MONTH(Modelling[[#This Row],[Date]])</f>
        <v>12</v>
      </c>
      <c r="BF286" s="25">
        <f>YEAR(BD286)+IF(MONTH(Modelling[[#This Row],[Date]])&gt;=4,1,0)</f>
        <v>2024</v>
      </c>
      <c r="BG286" s="3">
        <f t="shared" si="101"/>
        <v>2023</v>
      </c>
      <c r="BH286" s="3" t="s">
        <v>626</v>
      </c>
      <c r="BI286" s="5" t="s">
        <v>626</v>
      </c>
      <c r="BJ286" s="102">
        <v>45261</v>
      </c>
      <c r="BK286" s="5">
        <f t="shared" si="102"/>
        <v>31</v>
      </c>
      <c r="BL286" s="5">
        <f t="shared" si="103"/>
        <v>12</v>
      </c>
      <c r="BM286" s="4">
        <f>Modelling_old[[#This Row],[Target E_Grid daily
MWh]]+Modelling_new[[#This Row],[Target E_Grid daily
MWh]]</f>
        <v>53.548387096774192</v>
      </c>
      <c r="BN286" s="4">
        <f>Modelling_old[[#This Row],[Target E_Grid MTD
MWh]]+Modelling_new[[#This Row],[Target E_Grid MTD
MWh]]</f>
        <v>1338.7096774193542</v>
      </c>
      <c r="BO286" s="4">
        <f>Modelling_old[[#This Row],[Target E_Grid YTD
MWh]]+Modelling_new[[#This Row],[Target E_Grid YTD
MWh]]</f>
        <v>12198.709677419356</v>
      </c>
      <c r="BP28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86" s="4">
        <f>SUMIFS(Modelling[Target POA Daily (KWh/m2)],Modelling[Date],"&lt;="&amp;Modelling[[#This Row],[Date]],Modelling[Month Year],Modelling[[#This Row],[Month Year]])</f>
        <v>162.01612903225805</v>
      </c>
      <c r="BR286" s="4">
        <f>SUMIFS(Modelling[Target POA Daily (KWh/m2)],Modelling[Date],"&lt;="&amp;Modelling[[#This Row],[Date]],Modelling[Finacial Year],Modelling[[#This Row],[Finacial Year]])</f>
        <v>1510.3161290322555</v>
      </c>
      <c r="BS286" s="9">
        <f>BM286/Modelling[[#This Row],[Comisined DC ]]/BP286</f>
        <v>0.71831222210106593</v>
      </c>
      <c r="BT286" s="9">
        <f>BN286/BQ286/Modelling[[#This Row],[Comisined DC ]]</f>
        <v>0.71831222210106571</v>
      </c>
      <c r="BU286" s="9">
        <f>BO286/BR286/Modelling[[#This Row],[Comisined DC ]]</f>
        <v>0.70215200423220547</v>
      </c>
      <c r="BV286" s="9">
        <f>BM286/(24*Modelling[[#This Row],[Comisined DC ]])</f>
        <v>0.19396360943562388</v>
      </c>
      <c r="BW286" s="9">
        <f>BN286/((COUNTIFS(Modelling[Date],"&lt;="&amp;Modelling[[#This Row],[Date]],Modelling[Month Year],Modelling[[#This Row],[Month Year]])*24*Modelling[[#This Row],[MTD DC Capcity]]))</f>
        <v>0.19396360943562382</v>
      </c>
      <c r="BX286" s="28">
        <f>BO286/((COUNTIFS(Modelling[Date],"&lt;="&amp;Modelling[[#This Row],[Date]],Modelling[Finacial Year],Modelling[[#This Row],[Finacial Year]])*24*Modelling[[#This Row],[MTD DC Capcity]]))</f>
        <v>0.16426138429743259</v>
      </c>
      <c r="BY286" s="4">
        <f>Modelling_old[[#This Row],[DC Capcity]]+Modelling_new[[#This Row],[Comisined DC ]]</f>
        <v>11.5031</v>
      </c>
      <c r="BZ286" s="4">
        <v>0</v>
      </c>
      <c r="CA286" s="4">
        <f>AVERAGEIFS(Modelling[[Comisined DC ]],Modelling[Date],"&lt;="&amp;Modelling[[#This Row],[Date]],Modelling[Month Year],Modelling[[#This Row],[Month Year]])</f>
        <v>11.503099999999996</v>
      </c>
      <c r="CB286" s="4">
        <f>AVERAGEIFS(Modelling[[Comisined DC ]],Modelling[Date],"&lt;="&amp;Modelling[[#This Row],[Date]],Modelling[Finacial Year],Modelling[[#This Row],[Finacial Year]])</f>
        <v>11.503099999999939</v>
      </c>
      <c r="CG286">
        <f t="shared" si="89"/>
        <v>25</v>
      </c>
      <c r="CH286">
        <f t="shared" si="106"/>
        <v>269</v>
      </c>
    </row>
    <row r="287" spans="1:86" x14ac:dyDescent="0.35">
      <c r="A287" s="27">
        <v>45286</v>
      </c>
      <c r="B287" s="5">
        <f>MONTH(Modelling_old[[#This Row],[Date]])</f>
        <v>12</v>
      </c>
      <c r="C287" s="25">
        <f t="shared" si="90"/>
        <v>2024</v>
      </c>
      <c r="D287" s="3">
        <f t="shared" si="91"/>
        <v>2023</v>
      </c>
      <c r="E287" s="3" t="s">
        <v>626</v>
      </c>
      <c r="F287" s="5" t="s">
        <v>626</v>
      </c>
      <c r="G287" s="102">
        <v>45261</v>
      </c>
      <c r="H287" s="5">
        <f t="shared" si="92"/>
        <v>31</v>
      </c>
      <c r="I287" s="5">
        <f t="shared" si="93"/>
        <v>12</v>
      </c>
      <c r="J287" s="4">
        <f t="shared" si="94"/>
        <v>53.548387096774192</v>
      </c>
      <c r="K287" s="4">
        <f>SUM($J$262:J287)</f>
        <v>1392.2580645161283</v>
      </c>
      <c r="L287" s="4">
        <f>SUM($J$18:J287)</f>
        <v>12252.258064516131</v>
      </c>
      <c r="M287" s="4">
        <f t="shared" si="95"/>
        <v>6.4806451612903224</v>
      </c>
      <c r="N287" s="4">
        <f>SUM($M$262:M287)</f>
        <v>168.49677419354836</v>
      </c>
      <c r="O287" s="4">
        <f>SUM($M$18:M287)</f>
        <v>1516.7967741935458</v>
      </c>
      <c r="P287" s="9">
        <f t="shared" si="96"/>
        <v>0.71831222210106593</v>
      </c>
      <c r="Q287" s="26">
        <f t="shared" si="88"/>
        <v>0.71831222210106571</v>
      </c>
      <c r="R287" s="26">
        <f t="shared" si="88"/>
        <v>0.70222105015814562</v>
      </c>
      <c r="S287" s="9">
        <f t="shared" si="97"/>
        <v>0.19396360943562388</v>
      </c>
      <c r="T287" s="9">
        <f>K287/((COUNT($K$262:K287))*24*$Q$1)</f>
        <v>0.19396360943562374</v>
      </c>
      <c r="U287" s="28">
        <f>L287/((COUNT($L$18:L287))*24*$Q$1)</f>
        <v>0.1643713925386851</v>
      </c>
      <c r="V287" s="134">
        <v>11.5031</v>
      </c>
      <c r="Y287" s="27">
        <f t="shared" si="104"/>
        <v>45286</v>
      </c>
      <c r="Z287" s="5">
        <f>MONTH(Modelling_new[[#This Row],[Date]])</f>
        <v>12</v>
      </c>
      <c r="AA287" s="25">
        <f>YEAR(Y287)+IF(MONTH(Modelling_new[[#This Row],[Date]])&gt;=4,1,0)</f>
        <v>2024</v>
      </c>
      <c r="AB287" s="3">
        <f t="shared" si="98"/>
        <v>2023</v>
      </c>
      <c r="AC287" s="3" t="s">
        <v>626</v>
      </c>
      <c r="AD287" s="5" t="s">
        <v>626</v>
      </c>
      <c r="AE287" s="102">
        <v>45261</v>
      </c>
      <c r="AF287" s="5">
        <f t="shared" si="99"/>
        <v>31</v>
      </c>
      <c r="AG287" s="5">
        <f t="shared" si="100"/>
        <v>12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BD287" s="27">
        <f t="shared" si="105"/>
        <v>45286</v>
      </c>
      <c r="BE287" s="5">
        <f>MONTH(Modelling[[#This Row],[Date]])</f>
        <v>12</v>
      </c>
      <c r="BF287" s="25">
        <f>YEAR(BD287)+IF(MONTH(Modelling[[#This Row],[Date]])&gt;=4,1,0)</f>
        <v>2024</v>
      </c>
      <c r="BG287" s="3">
        <f t="shared" si="101"/>
        <v>2023</v>
      </c>
      <c r="BH287" s="3" t="s">
        <v>626</v>
      </c>
      <c r="BI287" s="5" t="s">
        <v>626</v>
      </c>
      <c r="BJ287" s="102">
        <v>45261</v>
      </c>
      <c r="BK287" s="5">
        <f t="shared" si="102"/>
        <v>31</v>
      </c>
      <c r="BL287" s="5">
        <f t="shared" si="103"/>
        <v>12</v>
      </c>
      <c r="BM287" s="4">
        <f>Modelling_old[[#This Row],[Target E_Grid daily
MWh]]+Modelling_new[[#This Row],[Target E_Grid daily
MWh]]</f>
        <v>53.548387096774192</v>
      </c>
      <c r="BN287" s="4">
        <f>Modelling_old[[#This Row],[Target E_Grid MTD
MWh]]+Modelling_new[[#This Row],[Target E_Grid MTD
MWh]]</f>
        <v>1392.2580645161283</v>
      </c>
      <c r="BO287" s="4">
        <f>Modelling_old[[#This Row],[Target E_Grid YTD
MWh]]+Modelling_new[[#This Row],[Target E_Grid YTD
MWh]]</f>
        <v>12252.258064516131</v>
      </c>
      <c r="BP28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87" s="4">
        <f>SUMIFS(Modelling[Target POA Daily (KWh/m2)],Modelling[Date],"&lt;="&amp;Modelling[[#This Row],[Date]],Modelling[Month Year],Modelling[[#This Row],[Month Year]])</f>
        <v>168.49677419354836</v>
      </c>
      <c r="BR287" s="4">
        <f>SUMIFS(Modelling[Target POA Daily (KWh/m2)],Modelling[Date],"&lt;="&amp;Modelling[[#This Row],[Date]],Modelling[Finacial Year],Modelling[[#This Row],[Finacial Year]])</f>
        <v>1516.7967741935458</v>
      </c>
      <c r="BS287" s="9">
        <f>BM287/Modelling[[#This Row],[Comisined DC ]]/BP287</f>
        <v>0.71831222210106593</v>
      </c>
      <c r="BT287" s="9">
        <f>BN287/BQ287/Modelling[[#This Row],[Comisined DC ]]</f>
        <v>0.71831222210106571</v>
      </c>
      <c r="BU287" s="9">
        <f>BO287/BR287/Modelling[[#This Row],[Comisined DC ]]</f>
        <v>0.70222105015814562</v>
      </c>
      <c r="BV287" s="9">
        <f>BM287/(24*Modelling[[#This Row],[Comisined DC ]])</f>
        <v>0.19396360943562388</v>
      </c>
      <c r="BW287" s="9">
        <f>BN287/((COUNTIFS(Modelling[Date],"&lt;="&amp;Modelling[[#This Row],[Date]],Modelling[Month Year],Modelling[[#This Row],[Month Year]])*24*Modelling[[#This Row],[MTD DC Capcity]]))</f>
        <v>0.19396360943562377</v>
      </c>
      <c r="BX287" s="28">
        <f>BO287/((COUNTIFS(Modelling[Date],"&lt;="&amp;Modelling[[#This Row],[Date]],Modelling[Finacial Year],Modelling[[#This Row],[Finacial Year]])*24*Modelling[[#This Row],[MTD DC Capcity]]))</f>
        <v>0.16437139253868513</v>
      </c>
      <c r="BY287" s="4">
        <f>Modelling_old[[#This Row],[DC Capcity]]+Modelling_new[[#This Row],[Comisined DC ]]</f>
        <v>11.5031</v>
      </c>
      <c r="BZ287" s="4">
        <v>0</v>
      </c>
      <c r="CA287" s="4">
        <f>AVERAGEIFS(Modelling[[Comisined DC ]],Modelling[Date],"&lt;="&amp;Modelling[[#This Row],[Date]],Modelling[Month Year],Modelling[[#This Row],[Month Year]])</f>
        <v>11.503099999999998</v>
      </c>
      <c r="CB287" s="4">
        <f>AVERAGEIFS(Modelling[[Comisined DC ]],Modelling[Date],"&lt;="&amp;Modelling[[#This Row],[Date]],Modelling[Finacial Year],Modelling[[#This Row],[Finacial Year]])</f>
        <v>11.503099999999939</v>
      </c>
      <c r="CG287">
        <f t="shared" si="89"/>
        <v>26</v>
      </c>
      <c r="CH287">
        <f t="shared" si="106"/>
        <v>270</v>
      </c>
    </row>
    <row r="288" spans="1:86" x14ac:dyDescent="0.35">
      <c r="A288" s="27">
        <v>45287</v>
      </c>
      <c r="B288" s="5">
        <f>MONTH(Modelling_old[[#This Row],[Date]])</f>
        <v>12</v>
      </c>
      <c r="C288" s="25">
        <f t="shared" si="90"/>
        <v>2024</v>
      </c>
      <c r="D288" s="3">
        <f t="shared" si="91"/>
        <v>2023</v>
      </c>
      <c r="E288" s="3" t="s">
        <v>626</v>
      </c>
      <c r="F288" s="5" t="s">
        <v>626</v>
      </c>
      <c r="G288" s="102">
        <v>45261</v>
      </c>
      <c r="H288" s="5">
        <f t="shared" si="92"/>
        <v>31</v>
      </c>
      <c r="I288" s="5">
        <f t="shared" si="93"/>
        <v>12</v>
      </c>
      <c r="J288" s="4">
        <f t="shared" si="94"/>
        <v>53.548387096774192</v>
      </c>
      <c r="K288" s="4">
        <f>SUM($J$262:J288)</f>
        <v>1445.8064516129025</v>
      </c>
      <c r="L288" s="4">
        <f>SUM($J$18:J288)</f>
        <v>12305.806451612905</v>
      </c>
      <c r="M288" s="4">
        <f t="shared" si="95"/>
        <v>6.4806451612903224</v>
      </c>
      <c r="N288" s="4">
        <f>SUM($M$262:M288)</f>
        <v>174.97741935483867</v>
      </c>
      <c r="O288" s="4">
        <f>SUM($M$18:M288)</f>
        <v>1523.2774193548362</v>
      </c>
      <c r="P288" s="9">
        <f t="shared" si="96"/>
        <v>0.71831222210106593</v>
      </c>
      <c r="Q288" s="26">
        <f t="shared" si="88"/>
        <v>0.71831222210106571</v>
      </c>
      <c r="R288" s="26">
        <f t="shared" si="88"/>
        <v>0.70228950858486838</v>
      </c>
      <c r="S288" s="9">
        <f t="shared" si="97"/>
        <v>0.19396360943562388</v>
      </c>
      <c r="T288" s="9">
        <f>K288/((COUNT($K$262:K288))*24*$Q$1)</f>
        <v>0.19396360943562377</v>
      </c>
      <c r="U288" s="28">
        <f>L288/((COUNT($L$18:L288))*24*$Q$1)</f>
        <v>0.16448058891099854</v>
      </c>
      <c r="V288" s="134">
        <v>11.5031</v>
      </c>
      <c r="Y288" s="27">
        <f t="shared" si="104"/>
        <v>45287</v>
      </c>
      <c r="Z288" s="5">
        <f>MONTH(Modelling_new[[#This Row],[Date]])</f>
        <v>12</v>
      </c>
      <c r="AA288" s="25">
        <f>YEAR(Y288)+IF(MONTH(Modelling_new[[#This Row],[Date]])&gt;=4,1,0)</f>
        <v>2024</v>
      </c>
      <c r="AB288" s="3">
        <f t="shared" si="98"/>
        <v>2023</v>
      </c>
      <c r="AC288" s="3" t="s">
        <v>626</v>
      </c>
      <c r="AD288" s="5" t="s">
        <v>626</v>
      </c>
      <c r="AE288" s="102">
        <v>45261</v>
      </c>
      <c r="AF288" s="5">
        <f t="shared" si="99"/>
        <v>31</v>
      </c>
      <c r="AG288" s="5">
        <f t="shared" si="100"/>
        <v>12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BD288" s="27">
        <f t="shared" si="105"/>
        <v>45287</v>
      </c>
      <c r="BE288" s="5">
        <f>MONTH(Modelling[[#This Row],[Date]])</f>
        <v>12</v>
      </c>
      <c r="BF288" s="25">
        <f>YEAR(BD288)+IF(MONTH(Modelling[[#This Row],[Date]])&gt;=4,1,0)</f>
        <v>2024</v>
      </c>
      <c r="BG288" s="3">
        <f t="shared" si="101"/>
        <v>2023</v>
      </c>
      <c r="BH288" s="3" t="s">
        <v>626</v>
      </c>
      <c r="BI288" s="5" t="s">
        <v>626</v>
      </c>
      <c r="BJ288" s="102">
        <v>45261</v>
      </c>
      <c r="BK288" s="5">
        <f t="shared" si="102"/>
        <v>31</v>
      </c>
      <c r="BL288" s="5">
        <f t="shared" si="103"/>
        <v>12</v>
      </c>
      <c r="BM288" s="4">
        <f>Modelling_old[[#This Row],[Target E_Grid daily
MWh]]+Modelling_new[[#This Row],[Target E_Grid daily
MWh]]</f>
        <v>53.548387096774192</v>
      </c>
      <c r="BN288" s="4">
        <f>Modelling_old[[#This Row],[Target E_Grid MTD
MWh]]+Modelling_new[[#This Row],[Target E_Grid MTD
MWh]]</f>
        <v>1445.8064516129025</v>
      </c>
      <c r="BO288" s="4">
        <f>Modelling_old[[#This Row],[Target E_Grid YTD
MWh]]+Modelling_new[[#This Row],[Target E_Grid YTD
MWh]]</f>
        <v>12305.806451612905</v>
      </c>
      <c r="BP28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88" s="4">
        <f>SUMIFS(Modelling[Target POA Daily (KWh/m2)],Modelling[Date],"&lt;="&amp;Modelling[[#This Row],[Date]],Modelling[Month Year],Modelling[[#This Row],[Month Year]])</f>
        <v>174.97741935483867</v>
      </c>
      <c r="BR288" s="4">
        <f>SUMIFS(Modelling[Target POA Daily (KWh/m2)],Modelling[Date],"&lt;="&amp;Modelling[[#This Row],[Date]],Modelling[Finacial Year],Modelling[[#This Row],[Finacial Year]])</f>
        <v>1523.2774193548362</v>
      </c>
      <c r="BS288" s="9">
        <f>BM288/Modelling[[#This Row],[Comisined DC ]]/BP288</f>
        <v>0.71831222210106593</v>
      </c>
      <c r="BT288" s="9">
        <f>BN288/BQ288/Modelling[[#This Row],[Comisined DC ]]</f>
        <v>0.71831222210106571</v>
      </c>
      <c r="BU288" s="9">
        <f>BO288/BR288/Modelling[[#This Row],[Comisined DC ]]</f>
        <v>0.70228950858486838</v>
      </c>
      <c r="BV288" s="9">
        <f>BM288/(24*Modelling[[#This Row],[Comisined DC ]])</f>
        <v>0.19396360943562388</v>
      </c>
      <c r="BW288" s="9">
        <f>BN288/((COUNTIFS(Modelling[Date],"&lt;="&amp;Modelling[[#This Row],[Date]],Modelling[Month Year],Modelling[[#This Row],[Month Year]])*24*Modelling[[#This Row],[MTD DC Capcity]]))</f>
        <v>0.1939636094356238</v>
      </c>
      <c r="BX288" s="28">
        <f>BO288/((COUNTIFS(Modelling[Date],"&lt;="&amp;Modelling[[#This Row],[Date]],Modelling[Finacial Year],Modelling[[#This Row],[Finacial Year]])*24*Modelling[[#This Row],[MTD DC Capcity]]))</f>
        <v>0.16448058891099857</v>
      </c>
      <c r="BY288" s="4">
        <f>Modelling_old[[#This Row],[DC Capcity]]+Modelling_new[[#This Row],[Comisined DC ]]</f>
        <v>11.5031</v>
      </c>
      <c r="BZ288" s="4">
        <v>0</v>
      </c>
      <c r="CA288" s="4">
        <f>AVERAGEIFS(Modelling[[Comisined DC ]],Modelling[Date],"&lt;="&amp;Modelling[[#This Row],[Date]],Modelling[Month Year],Modelling[[#This Row],[Month Year]])</f>
        <v>11.503099999999998</v>
      </c>
      <c r="CB288" s="4">
        <f>AVERAGEIFS(Modelling[[Comisined DC ]],Modelling[Date],"&lt;="&amp;Modelling[[#This Row],[Date]],Modelling[Finacial Year],Modelling[[#This Row],[Finacial Year]])</f>
        <v>11.503099999999939</v>
      </c>
      <c r="CG288">
        <f t="shared" si="89"/>
        <v>27</v>
      </c>
      <c r="CH288">
        <f t="shared" si="106"/>
        <v>271</v>
      </c>
    </row>
    <row r="289" spans="1:86" x14ac:dyDescent="0.35">
      <c r="A289" s="27">
        <v>45288</v>
      </c>
      <c r="B289" s="5">
        <f>MONTH(Modelling_old[[#This Row],[Date]])</f>
        <v>12</v>
      </c>
      <c r="C289" s="25">
        <f t="shared" si="90"/>
        <v>2024</v>
      </c>
      <c r="D289" s="3">
        <f t="shared" si="91"/>
        <v>2023</v>
      </c>
      <c r="E289" s="3" t="s">
        <v>626</v>
      </c>
      <c r="F289" s="5" t="s">
        <v>626</v>
      </c>
      <c r="G289" s="102">
        <v>45261</v>
      </c>
      <c r="H289" s="5">
        <f t="shared" si="92"/>
        <v>31</v>
      </c>
      <c r="I289" s="5">
        <f t="shared" si="93"/>
        <v>12</v>
      </c>
      <c r="J289" s="4">
        <f t="shared" si="94"/>
        <v>53.548387096774192</v>
      </c>
      <c r="K289" s="4">
        <f>SUM($J$262:J289)</f>
        <v>1499.3548387096766</v>
      </c>
      <c r="L289" s="4">
        <f>SUM($J$18:J289)</f>
        <v>12359.35483870968</v>
      </c>
      <c r="M289" s="4">
        <f t="shared" si="95"/>
        <v>6.4806451612903224</v>
      </c>
      <c r="N289" s="4">
        <f>SUM($M$262:M289)</f>
        <v>181.45806451612899</v>
      </c>
      <c r="O289" s="4">
        <f>SUM($M$18:M289)</f>
        <v>1529.7580645161265</v>
      </c>
      <c r="P289" s="9">
        <f t="shared" si="96"/>
        <v>0.71831222210106593</v>
      </c>
      <c r="Q289" s="26">
        <f t="shared" si="88"/>
        <v>0.71831222210106582</v>
      </c>
      <c r="R289" s="26">
        <f t="shared" si="88"/>
        <v>0.70235738697899375</v>
      </c>
      <c r="S289" s="9">
        <f t="shared" si="97"/>
        <v>0.19396360943562388</v>
      </c>
      <c r="T289" s="9">
        <f>K289/((COUNT($K$262:K289))*24*$Q$1)</f>
        <v>0.19396360943562374</v>
      </c>
      <c r="U289" s="28">
        <f>L289/((COUNT($L$18:L289))*24*$Q$1)</f>
        <v>0.16458898236880967</v>
      </c>
      <c r="V289" s="134">
        <v>11.5031</v>
      </c>
      <c r="Y289" s="27">
        <f t="shared" si="104"/>
        <v>45288</v>
      </c>
      <c r="Z289" s="5">
        <f>MONTH(Modelling_new[[#This Row],[Date]])</f>
        <v>12</v>
      </c>
      <c r="AA289" s="25">
        <f>YEAR(Y289)+IF(MONTH(Modelling_new[[#This Row],[Date]])&gt;=4,1,0)</f>
        <v>2024</v>
      </c>
      <c r="AB289" s="3">
        <f t="shared" si="98"/>
        <v>2023</v>
      </c>
      <c r="AC289" s="3" t="s">
        <v>626</v>
      </c>
      <c r="AD289" s="5" t="s">
        <v>626</v>
      </c>
      <c r="AE289" s="102">
        <v>45261</v>
      </c>
      <c r="AF289" s="5">
        <f t="shared" si="99"/>
        <v>31</v>
      </c>
      <c r="AG289" s="5">
        <f t="shared" si="100"/>
        <v>12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BD289" s="27">
        <f t="shared" si="105"/>
        <v>45288</v>
      </c>
      <c r="BE289" s="5">
        <f>MONTH(Modelling[[#This Row],[Date]])</f>
        <v>12</v>
      </c>
      <c r="BF289" s="25">
        <f>YEAR(BD289)+IF(MONTH(Modelling[[#This Row],[Date]])&gt;=4,1,0)</f>
        <v>2024</v>
      </c>
      <c r="BG289" s="3">
        <f t="shared" si="101"/>
        <v>2023</v>
      </c>
      <c r="BH289" s="3" t="s">
        <v>626</v>
      </c>
      <c r="BI289" s="5" t="s">
        <v>626</v>
      </c>
      <c r="BJ289" s="102">
        <v>45261</v>
      </c>
      <c r="BK289" s="5">
        <f t="shared" si="102"/>
        <v>31</v>
      </c>
      <c r="BL289" s="5">
        <f t="shared" si="103"/>
        <v>12</v>
      </c>
      <c r="BM289" s="4">
        <f>Modelling_old[[#This Row],[Target E_Grid daily
MWh]]+Modelling_new[[#This Row],[Target E_Grid daily
MWh]]</f>
        <v>53.548387096774192</v>
      </c>
      <c r="BN289" s="4">
        <f>Modelling_old[[#This Row],[Target E_Grid MTD
MWh]]+Modelling_new[[#This Row],[Target E_Grid MTD
MWh]]</f>
        <v>1499.3548387096766</v>
      </c>
      <c r="BO289" s="4">
        <f>Modelling_old[[#This Row],[Target E_Grid YTD
MWh]]+Modelling_new[[#This Row],[Target E_Grid YTD
MWh]]</f>
        <v>12359.35483870968</v>
      </c>
      <c r="BP28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89" s="4">
        <f>SUMIFS(Modelling[Target POA Daily (KWh/m2)],Modelling[Date],"&lt;="&amp;Modelling[[#This Row],[Date]],Modelling[Month Year],Modelling[[#This Row],[Month Year]])</f>
        <v>181.45806451612899</v>
      </c>
      <c r="BR289" s="4">
        <f>SUMIFS(Modelling[Target POA Daily (KWh/m2)],Modelling[Date],"&lt;="&amp;Modelling[[#This Row],[Date]],Modelling[Finacial Year],Modelling[[#This Row],[Finacial Year]])</f>
        <v>1529.7580645161265</v>
      </c>
      <c r="BS289" s="9">
        <f>BM289/Modelling[[#This Row],[Comisined DC ]]/BP289</f>
        <v>0.71831222210106593</v>
      </c>
      <c r="BT289" s="9">
        <f>BN289/BQ289/Modelling[[#This Row],[Comisined DC ]]</f>
        <v>0.71831222210106582</v>
      </c>
      <c r="BU289" s="9">
        <f>BO289/BR289/Modelling[[#This Row],[Comisined DC ]]</f>
        <v>0.70235738697899375</v>
      </c>
      <c r="BV289" s="9">
        <f>BM289/(24*Modelling[[#This Row],[Comisined DC ]])</f>
        <v>0.19396360943562388</v>
      </c>
      <c r="BW289" s="9">
        <f>BN289/((COUNTIFS(Modelling[Date],"&lt;="&amp;Modelling[[#This Row],[Date]],Modelling[Month Year],Modelling[[#This Row],[Month Year]])*24*Modelling[[#This Row],[MTD DC Capcity]]))</f>
        <v>0.19396360943562374</v>
      </c>
      <c r="BX289" s="28">
        <f>BO289/((COUNTIFS(Modelling[Date],"&lt;="&amp;Modelling[[#This Row],[Date]],Modelling[Finacial Year],Modelling[[#This Row],[Finacial Year]])*24*Modelling[[#This Row],[MTD DC Capcity]]))</f>
        <v>0.16458898236880967</v>
      </c>
      <c r="BY289" s="4">
        <f>Modelling_old[[#This Row],[DC Capcity]]+Modelling_new[[#This Row],[Comisined DC ]]</f>
        <v>11.5031</v>
      </c>
      <c r="BZ289" s="4">
        <v>0</v>
      </c>
      <c r="CA289" s="4">
        <f>AVERAGEIFS(Modelling[[Comisined DC ]],Modelling[Date],"&lt;="&amp;Modelling[[#This Row],[Date]],Modelling[Month Year],Modelling[[#This Row],[Month Year]])</f>
        <v>11.5031</v>
      </c>
      <c r="CB289" s="4">
        <f>AVERAGEIFS(Modelling[[Comisined DC ]],Modelling[Date],"&lt;="&amp;Modelling[[#This Row],[Date]],Modelling[Finacial Year],Modelling[[#This Row],[Finacial Year]])</f>
        <v>11.503099999999939</v>
      </c>
      <c r="CG289">
        <f t="shared" si="89"/>
        <v>28</v>
      </c>
      <c r="CH289">
        <f t="shared" si="106"/>
        <v>272</v>
      </c>
    </row>
    <row r="290" spans="1:86" x14ac:dyDescent="0.35">
      <c r="A290" s="27">
        <v>45289</v>
      </c>
      <c r="B290" s="5">
        <f>MONTH(Modelling_old[[#This Row],[Date]])</f>
        <v>12</v>
      </c>
      <c r="C290" s="25">
        <f t="shared" si="90"/>
        <v>2024</v>
      </c>
      <c r="D290" s="3">
        <f t="shared" si="91"/>
        <v>2023</v>
      </c>
      <c r="E290" s="3" t="s">
        <v>626</v>
      </c>
      <c r="F290" s="5" t="s">
        <v>626</v>
      </c>
      <c r="G290" s="102">
        <v>45261</v>
      </c>
      <c r="H290" s="5">
        <f t="shared" si="92"/>
        <v>31</v>
      </c>
      <c r="I290" s="5">
        <f t="shared" si="93"/>
        <v>12</v>
      </c>
      <c r="J290" s="4">
        <f t="shared" si="94"/>
        <v>53.548387096774192</v>
      </c>
      <c r="K290" s="4">
        <f>SUM($J$262:J290)</f>
        <v>1552.9032258064508</v>
      </c>
      <c r="L290" s="4">
        <f>SUM($J$18:J290)</f>
        <v>12412.903225806454</v>
      </c>
      <c r="M290" s="4">
        <f t="shared" si="95"/>
        <v>6.4806451612903224</v>
      </c>
      <c r="N290" s="4">
        <f>SUM($M$262:M290)</f>
        <v>187.9387096774193</v>
      </c>
      <c r="O290" s="4">
        <f>SUM($M$18:M290)</f>
        <v>1536.2387096774169</v>
      </c>
      <c r="P290" s="9">
        <f t="shared" si="96"/>
        <v>0.71831222210106593</v>
      </c>
      <c r="Q290" s="26">
        <f t="shared" ref="Q290:R321" si="107">K290/N290/$Q$1</f>
        <v>0.71831222210106582</v>
      </c>
      <c r="R290" s="26">
        <f t="shared" si="107"/>
        <v>0.70242469268114904</v>
      </c>
      <c r="S290" s="9">
        <f t="shared" si="97"/>
        <v>0.19396360943562388</v>
      </c>
      <c r="T290" s="9">
        <f>K290/((COUNT($K$262:K290))*24*$Q$1)</f>
        <v>0.19396360943562377</v>
      </c>
      <c r="U290" s="28">
        <f>L290/((COUNT($L$18:L290))*24*$Q$1)</f>
        <v>0.16469658173535479</v>
      </c>
      <c r="V290" s="134">
        <v>11.5031</v>
      </c>
      <c r="Y290" s="27">
        <f t="shared" si="104"/>
        <v>45289</v>
      </c>
      <c r="Z290" s="5">
        <f>MONTH(Modelling_new[[#This Row],[Date]])</f>
        <v>12</v>
      </c>
      <c r="AA290" s="25">
        <f>YEAR(Y290)+IF(MONTH(Modelling_new[[#This Row],[Date]])&gt;=4,1,0)</f>
        <v>2024</v>
      </c>
      <c r="AB290" s="3">
        <f t="shared" si="98"/>
        <v>2023</v>
      </c>
      <c r="AC290" s="3" t="s">
        <v>626</v>
      </c>
      <c r="AD290" s="5" t="s">
        <v>626</v>
      </c>
      <c r="AE290" s="102">
        <v>45261</v>
      </c>
      <c r="AF290" s="5">
        <f t="shared" si="99"/>
        <v>31</v>
      </c>
      <c r="AG290" s="5">
        <f t="shared" si="100"/>
        <v>12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BD290" s="27">
        <f t="shared" si="105"/>
        <v>45289</v>
      </c>
      <c r="BE290" s="5">
        <f>MONTH(Modelling[[#This Row],[Date]])</f>
        <v>12</v>
      </c>
      <c r="BF290" s="25">
        <f>YEAR(BD290)+IF(MONTH(Modelling[[#This Row],[Date]])&gt;=4,1,0)</f>
        <v>2024</v>
      </c>
      <c r="BG290" s="3">
        <f t="shared" si="101"/>
        <v>2023</v>
      </c>
      <c r="BH290" s="3" t="s">
        <v>626</v>
      </c>
      <c r="BI290" s="5" t="s">
        <v>626</v>
      </c>
      <c r="BJ290" s="102">
        <v>45261</v>
      </c>
      <c r="BK290" s="5">
        <f t="shared" si="102"/>
        <v>31</v>
      </c>
      <c r="BL290" s="5">
        <f t="shared" si="103"/>
        <v>12</v>
      </c>
      <c r="BM290" s="4">
        <f>Modelling_old[[#This Row],[Target E_Grid daily
MWh]]+Modelling_new[[#This Row],[Target E_Grid daily
MWh]]</f>
        <v>53.548387096774192</v>
      </c>
      <c r="BN290" s="4">
        <f>Modelling_old[[#This Row],[Target E_Grid MTD
MWh]]+Modelling_new[[#This Row],[Target E_Grid MTD
MWh]]</f>
        <v>1552.9032258064508</v>
      </c>
      <c r="BO290" s="4">
        <f>Modelling_old[[#This Row],[Target E_Grid YTD
MWh]]+Modelling_new[[#This Row],[Target E_Grid YTD
MWh]]</f>
        <v>12412.903225806454</v>
      </c>
      <c r="BP29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90" s="4">
        <f>SUMIFS(Modelling[Target POA Daily (KWh/m2)],Modelling[Date],"&lt;="&amp;Modelling[[#This Row],[Date]],Modelling[Month Year],Modelling[[#This Row],[Month Year]])</f>
        <v>187.9387096774193</v>
      </c>
      <c r="BR290" s="4">
        <f>SUMIFS(Modelling[Target POA Daily (KWh/m2)],Modelling[Date],"&lt;="&amp;Modelling[[#This Row],[Date]],Modelling[Finacial Year],Modelling[[#This Row],[Finacial Year]])</f>
        <v>1536.2387096774169</v>
      </c>
      <c r="BS290" s="9">
        <f>BM290/Modelling[[#This Row],[Comisined DC ]]/BP290</f>
        <v>0.71831222210106593</v>
      </c>
      <c r="BT290" s="9">
        <f>BN290/BQ290/Modelling[[#This Row],[Comisined DC ]]</f>
        <v>0.71831222210106582</v>
      </c>
      <c r="BU290" s="9">
        <f>BO290/BR290/Modelling[[#This Row],[Comisined DC ]]</f>
        <v>0.70242469268114904</v>
      </c>
      <c r="BV290" s="9">
        <f>BM290/(24*Modelling[[#This Row],[Comisined DC ]])</f>
        <v>0.19396360943562388</v>
      </c>
      <c r="BW290" s="9">
        <f>BN290/((COUNTIFS(Modelling[Date],"&lt;="&amp;Modelling[[#This Row],[Date]],Modelling[Month Year],Modelling[[#This Row],[Month Year]])*24*Modelling[[#This Row],[MTD DC Capcity]]))</f>
        <v>0.19396360943562377</v>
      </c>
      <c r="BX290" s="28">
        <f>BO290/((COUNTIFS(Modelling[Date],"&lt;="&amp;Modelling[[#This Row],[Date]],Modelling[Finacial Year],Modelling[[#This Row],[Finacial Year]])*24*Modelling[[#This Row],[MTD DC Capcity]]))</f>
        <v>0.16469658173535479</v>
      </c>
      <c r="BY290" s="4">
        <f>Modelling_old[[#This Row],[DC Capcity]]+Modelling_new[[#This Row],[Comisined DC ]]</f>
        <v>11.5031</v>
      </c>
      <c r="BZ290" s="4">
        <v>0</v>
      </c>
      <c r="CA290" s="4">
        <f>AVERAGEIFS(Modelling[[Comisined DC ]],Modelling[Date],"&lt;="&amp;Modelling[[#This Row],[Date]],Modelling[Month Year],Modelling[[#This Row],[Month Year]])</f>
        <v>11.5031</v>
      </c>
      <c r="CB290" s="4">
        <f>AVERAGEIFS(Modelling[[Comisined DC ]],Modelling[Date],"&lt;="&amp;Modelling[[#This Row],[Date]],Modelling[Finacial Year],Modelling[[#This Row],[Finacial Year]])</f>
        <v>11.503099999999939</v>
      </c>
      <c r="CG290">
        <f t="shared" si="89"/>
        <v>29</v>
      </c>
      <c r="CH290">
        <f t="shared" si="106"/>
        <v>273</v>
      </c>
    </row>
    <row r="291" spans="1:86" x14ac:dyDescent="0.35">
      <c r="A291" s="27">
        <v>45290</v>
      </c>
      <c r="B291" s="5">
        <f>MONTH(Modelling_old[[#This Row],[Date]])</f>
        <v>12</v>
      </c>
      <c r="C291" s="25">
        <f t="shared" si="90"/>
        <v>2024</v>
      </c>
      <c r="D291" s="3">
        <f t="shared" si="91"/>
        <v>2023</v>
      </c>
      <c r="E291" s="3" t="s">
        <v>626</v>
      </c>
      <c r="F291" s="5" t="s">
        <v>626</v>
      </c>
      <c r="G291" s="102">
        <v>45261</v>
      </c>
      <c r="H291" s="5">
        <f t="shared" si="92"/>
        <v>31</v>
      </c>
      <c r="I291" s="5">
        <f t="shared" si="93"/>
        <v>12</v>
      </c>
      <c r="J291" s="4">
        <f t="shared" si="94"/>
        <v>53.548387096774192</v>
      </c>
      <c r="K291" s="4">
        <f>SUM($J$262:J291)</f>
        <v>1606.4516129032249</v>
      </c>
      <c r="L291" s="4">
        <f>SUM($J$18:J291)</f>
        <v>12466.451612903229</v>
      </c>
      <c r="M291" s="4">
        <f t="shared" si="95"/>
        <v>6.4806451612903224</v>
      </c>
      <c r="N291" s="4">
        <f>SUM($M$262:M291)</f>
        <v>194.41935483870961</v>
      </c>
      <c r="O291" s="4">
        <f>SUM($M$18:M291)</f>
        <v>1542.7193548387072</v>
      </c>
      <c r="P291" s="9">
        <f t="shared" si="96"/>
        <v>0.71831222210106593</v>
      </c>
      <c r="Q291" s="26">
        <f t="shared" si="107"/>
        <v>0.71831222210106582</v>
      </c>
      <c r="R291" s="26">
        <f t="shared" si="107"/>
        <v>0.70249143290861638</v>
      </c>
      <c r="S291" s="9">
        <f t="shared" si="97"/>
        <v>0.19396360943562388</v>
      </c>
      <c r="T291" s="9">
        <f>K291/((COUNT($K$262:K291))*24*$Q$1)</f>
        <v>0.19396360943562374</v>
      </c>
      <c r="U291" s="28">
        <f>L291/((COUNT($L$18:L291))*24*$Q$1)</f>
        <v>0.1648033957050638</v>
      </c>
      <c r="V291" s="134">
        <v>11.5031</v>
      </c>
      <c r="Y291" s="27">
        <f t="shared" si="104"/>
        <v>45290</v>
      </c>
      <c r="Z291" s="5">
        <f>MONTH(Modelling_new[[#This Row],[Date]])</f>
        <v>12</v>
      </c>
      <c r="AA291" s="25">
        <f>YEAR(Y291)+IF(MONTH(Modelling_new[[#This Row],[Date]])&gt;=4,1,0)</f>
        <v>2024</v>
      </c>
      <c r="AB291" s="3">
        <f t="shared" si="98"/>
        <v>2023</v>
      </c>
      <c r="AC291" s="3" t="s">
        <v>626</v>
      </c>
      <c r="AD291" s="5" t="s">
        <v>626</v>
      </c>
      <c r="AE291" s="102">
        <v>45261</v>
      </c>
      <c r="AF291" s="5">
        <f t="shared" si="99"/>
        <v>31</v>
      </c>
      <c r="AG291" s="5">
        <f t="shared" si="100"/>
        <v>12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BD291" s="27">
        <f t="shared" si="105"/>
        <v>45290</v>
      </c>
      <c r="BE291" s="5">
        <f>MONTH(Modelling[[#This Row],[Date]])</f>
        <v>12</v>
      </c>
      <c r="BF291" s="25">
        <f>YEAR(BD291)+IF(MONTH(Modelling[[#This Row],[Date]])&gt;=4,1,0)</f>
        <v>2024</v>
      </c>
      <c r="BG291" s="3">
        <f t="shared" si="101"/>
        <v>2023</v>
      </c>
      <c r="BH291" s="3" t="s">
        <v>626</v>
      </c>
      <c r="BI291" s="5" t="s">
        <v>626</v>
      </c>
      <c r="BJ291" s="102">
        <v>45261</v>
      </c>
      <c r="BK291" s="5">
        <f t="shared" si="102"/>
        <v>31</v>
      </c>
      <c r="BL291" s="5">
        <f t="shared" si="103"/>
        <v>12</v>
      </c>
      <c r="BM291" s="4">
        <f>Modelling_old[[#This Row],[Target E_Grid daily
MWh]]+Modelling_new[[#This Row],[Target E_Grid daily
MWh]]</f>
        <v>53.548387096774192</v>
      </c>
      <c r="BN291" s="4">
        <f>Modelling_old[[#This Row],[Target E_Grid MTD
MWh]]+Modelling_new[[#This Row],[Target E_Grid MTD
MWh]]</f>
        <v>1606.4516129032249</v>
      </c>
      <c r="BO291" s="4">
        <f>Modelling_old[[#This Row],[Target E_Grid YTD
MWh]]+Modelling_new[[#This Row],[Target E_Grid YTD
MWh]]</f>
        <v>12466.451612903229</v>
      </c>
      <c r="BP29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91" s="4">
        <f>SUMIFS(Modelling[Target POA Daily (KWh/m2)],Modelling[Date],"&lt;="&amp;Modelling[[#This Row],[Date]],Modelling[Month Year],Modelling[[#This Row],[Month Year]])</f>
        <v>194.41935483870961</v>
      </c>
      <c r="BR291" s="4">
        <f>SUMIFS(Modelling[Target POA Daily (KWh/m2)],Modelling[Date],"&lt;="&amp;Modelling[[#This Row],[Date]],Modelling[Finacial Year],Modelling[[#This Row],[Finacial Year]])</f>
        <v>1542.7193548387072</v>
      </c>
      <c r="BS291" s="9">
        <f>BM291/Modelling[[#This Row],[Comisined DC ]]/BP291</f>
        <v>0.71831222210106593</v>
      </c>
      <c r="BT291" s="9">
        <f>BN291/BQ291/Modelling[[#This Row],[Comisined DC ]]</f>
        <v>0.71831222210106582</v>
      </c>
      <c r="BU291" s="9">
        <f>BO291/BR291/Modelling[[#This Row],[Comisined DC ]]</f>
        <v>0.70249143290861638</v>
      </c>
      <c r="BV291" s="9">
        <f>BM291/(24*Modelling[[#This Row],[Comisined DC ]])</f>
        <v>0.19396360943562388</v>
      </c>
      <c r="BW291" s="9">
        <f>BN291/((COUNTIFS(Modelling[Date],"&lt;="&amp;Modelling[[#This Row],[Date]],Modelling[Month Year],Modelling[[#This Row],[Month Year]])*24*Modelling[[#This Row],[MTD DC Capcity]]))</f>
        <v>0.19396360943562374</v>
      </c>
      <c r="BX291" s="28">
        <f>BO291/((COUNTIFS(Modelling[Date],"&lt;="&amp;Modelling[[#This Row],[Date]],Modelling[Finacial Year],Modelling[[#This Row],[Finacial Year]])*24*Modelling[[#This Row],[MTD DC Capcity]]))</f>
        <v>0.1648033957050638</v>
      </c>
      <c r="BY291" s="4">
        <f>Modelling_old[[#This Row],[DC Capcity]]+Modelling_new[[#This Row],[Comisined DC ]]</f>
        <v>11.5031</v>
      </c>
      <c r="BZ291" s="4">
        <v>0</v>
      </c>
      <c r="CA291" s="4">
        <f>AVERAGEIFS(Modelling[[Comisined DC ]],Modelling[Date],"&lt;="&amp;Modelling[[#This Row],[Date]],Modelling[Month Year],Modelling[[#This Row],[Month Year]])</f>
        <v>11.5031</v>
      </c>
      <c r="CB291" s="4">
        <f>AVERAGEIFS(Modelling[[Comisined DC ]],Modelling[Date],"&lt;="&amp;Modelling[[#This Row],[Date]],Modelling[Finacial Year],Modelling[[#This Row],[Finacial Year]])</f>
        <v>11.503099999999939</v>
      </c>
      <c r="CG291">
        <f t="shared" si="89"/>
        <v>30</v>
      </c>
      <c r="CH291">
        <f t="shared" si="106"/>
        <v>274</v>
      </c>
    </row>
    <row r="292" spans="1:86" x14ac:dyDescent="0.35">
      <c r="A292" s="27">
        <v>45291</v>
      </c>
      <c r="B292" s="5">
        <f>MONTH(Modelling_old[[#This Row],[Date]])</f>
        <v>12</v>
      </c>
      <c r="C292" s="25">
        <v>2024</v>
      </c>
      <c r="D292" s="3">
        <f t="shared" si="91"/>
        <v>2023</v>
      </c>
      <c r="E292" s="3" t="s">
        <v>626</v>
      </c>
      <c r="F292" s="5" t="s">
        <v>626</v>
      </c>
      <c r="G292" s="102">
        <v>45261</v>
      </c>
      <c r="H292" s="5">
        <f t="shared" si="92"/>
        <v>31</v>
      </c>
      <c r="I292" s="5">
        <f t="shared" si="93"/>
        <v>12</v>
      </c>
      <c r="J292" s="4">
        <f t="shared" si="94"/>
        <v>53.548387096774192</v>
      </c>
      <c r="K292" s="4">
        <f>SUM($J$262:J292)</f>
        <v>1659.9999999999991</v>
      </c>
      <c r="L292" s="4">
        <f>SUM($J$18:J292)</f>
        <v>12520.000000000004</v>
      </c>
      <c r="M292" s="4">
        <f t="shared" si="95"/>
        <v>6.4806451612903224</v>
      </c>
      <c r="N292" s="4">
        <f>SUM($M$262:M292)</f>
        <v>200.89999999999992</v>
      </c>
      <c r="O292" s="4">
        <f>SUM($M$18:M292)</f>
        <v>1549.1999999999975</v>
      </c>
      <c r="P292" s="9">
        <f t="shared" si="96"/>
        <v>0.71831222210106593</v>
      </c>
      <c r="Q292" s="26">
        <f t="shared" si="107"/>
        <v>0.71831222210106582</v>
      </c>
      <c r="R292" s="26">
        <f t="shared" si="107"/>
        <v>0.70255761475791123</v>
      </c>
      <c r="S292" s="9">
        <f t="shared" si="97"/>
        <v>0.19396360943562388</v>
      </c>
      <c r="T292" s="9">
        <f>K292/((COUNT($K$262:K292))*24*$Q$1)</f>
        <v>0.19396360943562377</v>
      </c>
      <c r="U292" s="28">
        <f>L292/((COUNT($L$18:L292))*24*$Q$1)</f>
        <v>0.16490943284590218</v>
      </c>
      <c r="V292" s="134">
        <v>11.5031</v>
      </c>
      <c r="Y292" s="27">
        <f t="shared" si="104"/>
        <v>45291</v>
      </c>
      <c r="Z292" s="5">
        <f>MONTH(Modelling_new[[#This Row],[Date]])</f>
        <v>12</v>
      </c>
      <c r="AA292" s="25">
        <f>YEAR(Y292)+IF(MONTH(Modelling_new[[#This Row],[Date]])&gt;=4,1,0)</f>
        <v>2024</v>
      </c>
      <c r="AB292" s="3">
        <f t="shared" si="98"/>
        <v>2023</v>
      </c>
      <c r="AC292" s="3" t="s">
        <v>626</v>
      </c>
      <c r="AD292" s="5" t="s">
        <v>626</v>
      </c>
      <c r="AE292" s="102">
        <v>45261</v>
      </c>
      <c r="AF292" s="5">
        <f t="shared" si="99"/>
        <v>31</v>
      </c>
      <c r="AG292" s="5">
        <f t="shared" si="100"/>
        <v>12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BD292" s="27">
        <f t="shared" si="105"/>
        <v>45291</v>
      </c>
      <c r="BE292" s="5">
        <f>MONTH(Modelling[[#This Row],[Date]])</f>
        <v>12</v>
      </c>
      <c r="BF292" s="25">
        <f>YEAR(BD292)+IF(MONTH(Modelling[[#This Row],[Date]])&gt;=4,1,0)</f>
        <v>2024</v>
      </c>
      <c r="BG292" s="3">
        <f t="shared" si="101"/>
        <v>2023</v>
      </c>
      <c r="BH292" s="3" t="s">
        <v>626</v>
      </c>
      <c r="BI292" s="5" t="s">
        <v>626</v>
      </c>
      <c r="BJ292" s="102">
        <v>45261</v>
      </c>
      <c r="BK292" s="5">
        <f t="shared" si="102"/>
        <v>31</v>
      </c>
      <c r="BL292" s="5">
        <f t="shared" si="103"/>
        <v>12</v>
      </c>
      <c r="BM292" s="4">
        <f>Modelling_old[[#This Row],[Target E_Grid daily
MWh]]+Modelling_new[[#This Row],[Target E_Grid daily
MWh]]</f>
        <v>53.548387096774192</v>
      </c>
      <c r="BN292" s="4">
        <f>Modelling_old[[#This Row],[Target E_Grid MTD
MWh]]+Modelling_new[[#This Row],[Target E_Grid MTD
MWh]]</f>
        <v>1659.9999999999991</v>
      </c>
      <c r="BO292" s="4">
        <f>Modelling_old[[#This Row],[Target E_Grid YTD
MWh]]+Modelling_new[[#This Row],[Target E_Grid YTD
MWh]]</f>
        <v>12520.000000000004</v>
      </c>
      <c r="BP29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6.4806451612903224</v>
      </c>
      <c r="BQ292" s="4">
        <f>SUMIFS(Modelling[Target POA Daily (KWh/m2)],Modelling[Date],"&lt;="&amp;Modelling[[#This Row],[Date]],Modelling[Month Year],Modelling[[#This Row],[Month Year]])</f>
        <v>200.89999999999992</v>
      </c>
      <c r="BR292" s="4">
        <f>SUMIFS(Modelling[Target POA Daily (KWh/m2)],Modelling[Date],"&lt;="&amp;Modelling[[#This Row],[Date]],Modelling[Finacial Year],Modelling[[#This Row],[Finacial Year]])</f>
        <v>1549.1999999999975</v>
      </c>
      <c r="BS292" s="9">
        <f>BM292/Modelling[[#This Row],[Comisined DC ]]/BP292</f>
        <v>0.71831222210106593</v>
      </c>
      <c r="BT292" s="9">
        <f>BN292/BQ292/Modelling[[#This Row],[Comisined DC ]]</f>
        <v>0.71831222210106582</v>
      </c>
      <c r="BU292" s="9">
        <f>BO292/BR292/Modelling[[#This Row],[Comisined DC ]]</f>
        <v>0.70255761475791123</v>
      </c>
      <c r="BV292" s="9">
        <f>BM292/(24*Modelling[[#This Row],[Comisined DC ]])</f>
        <v>0.19396360943562388</v>
      </c>
      <c r="BW292" s="9">
        <f>BN292/((COUNTIFS(Modelling[Date],"&lt;="&amp;Modelling[[#This Row],[Date]],Modelling[Month Year],Modelling[[#This Row],[Month Year]])*24*Modelling[[#This Row],[MTD DC Capcity]]))</f>
        <v>0.19396360943562371</v>
      </c>
      <c r="BX292" s="28">
        <f>BO292/((COUNTIFS(Modelling[Date],"&lt;="&amp;Modelling[[#This Row],[Date]],Modelling[Finacial Year],Modelling[[#This Row],[Finacial Year]])*24*Modelling[[#This Row],[MTD DC Capcity]]))</f>
        <v>0.16490943284590218</v>
      </c>
      <c r="BY292" s="4">
        <f>Modelling_old[[#This Row],[DC Capcity]]+Modelling_new[[#This Row],[Comisined DC ]]</f>
        <v>11.5031</v>
      </c>
      <c r="BZ292" s="4">
        <v>0</v>
      </c>
      <c r="CA292" s="4">
        <f>AVERAGEIFS(Modelling[[Comisined DC ]],Modelling[Date],"&lt;="&amp;Modelling[[#This Row],[Date]],Modelling[Month Year],Modelling[[#This Row],[Month Year]])</f>
        <v>11.503100000000002</v>
      </c>
      <c r="CB292" s="4">
        <f>AVERAGEIFS(Modelling[[Comisined DC ]],Modelling[Date],"&lt;="&amp;Modelling[[#This Row],[Date]],Modelling[Finacial Year],Modelling[[#This Row],[Finacial Year]])</f>
        <v>11.503099999999939</v>
      </c>
      <c r="CG292">
        <f t="shared" si="89"/>
        <v>31</v>
      </c>
      <c r="CH292">
        <f t="shared" si="106"/>
        <v>275</v>
      </c>
    </row>
    <row r="293" spans="1:86" x14ac:dyDescent="0.35">
      <c r="A293" s="27">
        <v>45292</v>
      </c>
      <c r="B293" s="5">
        <f>MONTH(Modelling_old[[#This Row],[Date]])</f>
        <v>1</v>
      </c>
      <c r="C293" s="25">
        <v>2024</v>
      </c>
      <c r="D293" s="3">
        <f t="shared" si="91"/>
        <v>2024</v>
      </c>
      <c r="E293" s="3" t="s">
        <v>626</v>
      </c>
      <c r="F293" s="5" t="s">
        <v>626</v>
      </c>
      <c r="G293" s="102">
        <v>45292</v>
      </c>
      <c r="H293" s="5">
        <f t="shared" si="92"/>
        <v>31</v>
      </c>
      <c r="I293" s="5">
        <f t="shared" si="93"/>
        <v>1</v>
      </c>
      <c r="J293" s="4">
        <f t="shared" si="94"/>
        <v>55.806451612903224</v>
      </c>
      <c r="K293" s="4">
        <f>SUM($J$293:J293)</f>
        <v>55.806451612903224</v>
      </c>
      <c r="L293" s="4">
        <f>SUM($J$18:J293)</f>
        <v>12575.806451612907</v>
      </c>
      <c r="M293" s="4">
        <f t="shared" si="95"/>
        <v>6.790322580645161</v>
      </c>
      <c r="N293" s="4">
        <f>SUM($M$293:M293)</f>
        <v>6.790322580645161</v>
      </c>
      <c r="O293" s="4">
        <f>SUM($M$18:M293)</f>
        <v>1555.9903225806427</v>
      </c>
      <c r="P293" s="9">
        <f t="shared" si="96"/>
        <v>0.71446195511770638</v>
      </c>
      <c r="Q293" s="26">
        <f t="shared" si="107"/>
        <v>0.71446195511770649</v>
      </c>
      <c r="R293" s="26">
        <f t="shared" si="107"/>
        <v>0.70260956515244766</v>
      </c>
      <c r="S293" s="9">
        <f t="shared" si="97"/>
        <v>0.20214279778531885</v>
      </c>
      <c r="T293" s="9">
        <f>K293/((COUNT($K$293:K293))*24*$Q$1)</f>
        <v>0.20214279778531885</v>
      </c>
      <c r="U293" s="28">
        <f>L293/((COUNT($L$18:L293))*24*$Q$1)</f>
        <v>0.16504433634205951</v>
      </c>
      <c r="V293" s="134">
        <v>11.5031</v>
      </c>
      <c r="Y293" s="27">
        <f t="shared" si="104"/>
        <v>45292</v>
      </c>
      <c r="Z293" s="5">
        <f>MONTH(Modelling_new[[#This Row],[Date]])</f>
        <v>1</v>
      </c>
      <c r="AA293" s="25">
        <f>YEAR(Y293)+IF(MONTH(Modelling_new[[#This Row],[Date]])&gt;=4,1,0)</f>
        <v>2024</v>
      </c>
      <c r="AB293" s="3">
        <f t="shared" si="98"/>
        <v>2024</v>
      </c>
      <c r="AC293" s="3" t="s">
        <v>626</v>
      </c>
      <c r="AD293" s="5" t="s">
        <v>626</v>
      </c>
      <c r="AE293" s="102">
        <v>45292</v>
      </c>
      <c r="AF293" s="5">
        <f t="shared" si="99"/>
        <v>31</v>
      </c>
      <c r="AG293" s="5">
        <f t="shared" si="100"/>
        <v>1</v>
      </c>
      <c r="AH293" s="4">
        <f>(VLOOKUP(AG293,$AA$2:$AK$13,10,0)/AF293)*Modelling_new[[#This Row],[Factor]]</f>
        <v>62.574735396773931</v>
      </c>
      <c r="AI293" s="4">
        <f>SUMIFS(Modelling_new[Target E_Grid daily
MWh],Modelling_new[Month Year],Modelling_new[[#This Row],[Month Year]],Modelling_new[Date],"&lt;="&amp;Modelling_new[[#This Row],[Date]])</f>
        <v>62.574735396773931</v>
      </c>
      <c r="AJ293" s="4">
        <f>SUMIFS(Modelling_new[Target E_Grid daily
MWh],Modelling_new[Finacial Year],Modelling_new[[#This Row],[Finacial Year]],Modelling_new[Date],"&lt;="&amp;Modelling_new[[#This Row],[Date]])</f>
        <v>62.574735396773931</v>
      </c>
      <c r="AK293" s="4">
        <f>VLOOKUP(AG293,$AA$2:$AK$13,11,0)</f>
        <v>5.6591249032258082</v>
      </c>
      <c r="AL293" s="4">
        <f>SUMIFS(Modelling_new[Target POA Daily (KWh/m2)],Modelling_new[Month Year],Modelling_new[[#This Row],[Month Year]],Modelling_new[Date],"&lt;="&amp;Modelling_new[[#This Row],[Date]])</f>
        <v>5.6591249032258082</v>
      </c>
      <c r="AM293" s="4">
        <f>SUMIFS(Modelling_new[Target POA Daily (KWh/m2)],Modelling_new[Finacial Year],Modelling_new[[#This Row],[Finacial Year]],Modelling_new[Date],"&lt;="&amp;Modelling_new[[#This Row],[Date]])</f>
        <v>5.6591249032258082</v>
      </c>
      <c r="AN293" s="9">
        <f>AH293/Modelling_new[[#This Row],[Comisined DC ]]/AK293</f>
        <v>0.86385285472076068</v>
      </c>
      <c r="AO293" s="9">
        <f>AI293/AL293/Modelling_new[[#This Row],[MTD DC Capcity]]</f>
        <v>0.86385285472076079</v>
      </c>
      <c r="AP293" s="9">
        <f>AJ293/AM293/Modelling_new[[#This Row],[YTD DC Capcity]]</f>
        <v>0.86385285472076079</v>
      </c>
      <c r="AQ293" s="9">
        <f>AH293/(24*Modelling_new[[#This Row],[Comisined DC ]])</f>
        <v>0.20369380011970678</v>
      </c>
      <c r="AR293" s="9">
        <f>AI293/(COUNTIFS(Modelling_new[Date],"&lt;="&amp;Modelling_new[[#This Row],[Date]],Modelling_new[Month Year],Modelling_new[[#This Row],[Month Year]])*24*Modelling_new[[#This Row],[MTD DC Capcity]])</f>
        <v>0.20369380011970678</v>
      </c>
      <c r="AS293" s="28">
        <f>AJ293/(COUNTIFS(Modelling_new[Date],"&lt;="&amp;Modelling_new[[#This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0.20369380011970678</v>
      </c>
      <c r="AT293" s="5">
        <v>12.8</v>
      </c>
      <c r="AU293" s="9">
        <f>Modelling_new[[#This Row],[Comisined DC ]]/$AO$1</f>
        <v>1</v>
      </c>
      <c r="AV293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293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293" s="27">
        <f t="shared" si="105"/>
        <v>45292</v>
      </c>
      <c r="BE293" s="5">
        <f>MONTH(Modelling[[#This Row],[Date]])</f>
        <v>1</v>
      </c>
      <c r="BF293" s="25">
        <f>YEAR(BD293)+IF(MONTH(Modelling[[#This Row],[Date]])&gt;=4,1,0)</f>
        <v>2024</v>
      </c>
      <c r="BG293" s="3">
        <f t="shared" si="101"/>
        <v>2024</v>
      </c>
      <c r="BH293" s="3" t="s">
        <v>626</v>
      </c>
      <c r="BI293" s="5" t="s">
        <v>626</v>
      </c>
      <c r="BJ293" s="102">
        <v>45292</v>
      </c>
      <c r="BK293" s="5">
        <f t="shared" si="102"/>
        <v>31</v>
      </c>
      <c r="BL293" s="5">
        <f t="shared" si="103"/>
        <v>1</v>
      </c>
      <c r="BM293" s="4">
        <f>Modelling_old[[#This Row],[Target E_Grid daily
MWh]]+Modelling_new[[#This Row],[Target E_Grid daily
MWh]]</f>
        <v>118.38118700967715</v>
      </c>
      <c r="BN293" s="4">
        <f>Modelling_old[[#This Row],[Target E_Grid MTD
MWh]]+Modelling_new[[#This Row],[Target E_Grid MTD
MWh]]</f>
        <v>118.38118700967715</v>
      </c>
      <c r="BO293" s="4">
        <f>Modelling_old[[#This Row],[Target E_Grid YTD
MWh]]+Modelling_new[[#This Row],[Target E_Grid YTD
MWh]]</f>
        <v>12638.381187009682</v>
      </c>
      <c r="BP29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293" s="4">
        <f>SUMIFS(Modelling[Target POA Daily (KWh/m2)],Modelling[Date],"&lt;="&amp;Modelling[[#This Row],[Date]],Modelling[Month Year],Modelling[[#This Row],[Month Year]])</f>
        <v>6.1945413728581826</v>
      </c>
      <c r="BR293" s="4">
        <f>SUMIFS(Modelling[Target POA Daily (KWh/m2)],Modelling[Date],"&lt;="&amp;Modelling[[#This Row],[Date]],Modelling[Finacial Year],Modelling[[#This Row],[Finacial Year]])</f>
        <v>1555.3945413728557</v>
      </c>
      <c r="BS293" s="9">
        <f>BM293/Modelling[[#This Row],[Comisined DC ]]/BP293</f>
        <v>0.78634269848069838</v>
      </c>
      <c r="BT293" s="9">
        <f>BN293/BQ293/Modelling[[#This Row],[Comisined DC ]]</f>
        <v>0.78634269848069849</v>
      </c>
      <c r="BU293" s="9">
        <f>BO293/BR293/Modelling[[#This Row],[Comisined DC ]]</f>
        <v>0.33434066786024774</v>
      </c>
      <c r="BV293" s="9">
        <f>BM293/(24*Modelling[[#This Row],[Comisined DC ]])</f>
        <v>0.20295968245765139</v>
      </c>
      <c r="BW293" s="9">
        <f>BN293/((COUNTIFS(Modelling[Date],"&lt;="&amp;Modelling[[#This Row],[Date]],Modelling[Month Year],Modelling[[#This Row],[Month Year]])*24*Modelling[[#This Row],[MTD DC Capcity]]))</f>
        <v>0.20295968245765139</v>
      </c>
      <c r="BX293" s="28">
        <f>BO293/((COUNTIFS(Modelling[Date],"&lt;="&amp;Modelling[[#This Row],[Date]],Modelling[Finacial Year],Modelling[[#This Row],[Finacial Year]])*24*Modelling[[#This Row],[MTD DC Capcity]]))</f>
        <v>7.8507193500722272E-2</v>
      </c>
      <c r="BY293" s="4">
        <f>Modelling_old[[#This Row],[DC Capcity]]+Modelling_new[[#This Row],[Comisined DC ]]</f>
        <v>24.303100000000001</v>
      </c>
      <c r="BZ293" s="4">
        <v>0</v>
      </c>
      <c r="CA293" s="4">
        <f>AVERAGEIFS(Modelling[[Comisined DC ]],Modelling[Date],"&lt;="&amp;Modelling[[#This Row],[Date]],Modelling[Month Year],Modelling[[#This Row],[Month Year]])</f>
        <v>24.303100000000001</v>
      </c>
      <c r="CB293" s="4">
        <f>AVERAGEIFS(Modelling[[Comisined DC ]],Modelling[Date],"&lt;="&amp;Modelling[[#This Row],[Date]],Modelling[Finacial Year],Modelling[[#This Row],[Finacial Year]])</f>
        <v>11.549476811594142</v>
      </c>
      <c r="CG293">
        <v>1</v>
      </c>
      <c r="CH293">
        <f t="shared" si="106"/>
        <v>276</v>
      </c>
    </row>
    <row r="294" spans="1:86" x14ac:dyDescent="0.35">
      <c r="A294" s="27">
        <v>45293</v>
      </c>
      <c r="B294" s="5">
        <f>MONTH(Modelling_old[[#This Row],[Date]])</f>
        <v>1</v>
      </c>
      <c r="C294" s="25">
        <v>2024</v>
      </c>
      <c r="D294" s="3">
        <f t="shared" si="91"/>
        <v>2024</v>
      </c>
      <c r="E294" s="3" t="s">
        <v>626</v>
      </c>
      <c r="F294" s="5" t="s">
        <v>626</v>
      </c>
      <c r="G294" s="102">
        <v>45292</v>
      </c>
      <c r="H294" s="5">
        <f t="shared" si="92"/>
        <v>31</v>
      </c>
      <c r="I294" s="5">
        <f t="shared" si="93"/>
        <v>1</v>
      </c>
      <c r="J294" s="4">
        <f t="shared" si="94"/>
        <v>55.806451612903224</v>
      </c>
      <c r="K294" s="4">
        <f>SUM($J$293:J294)</f>
        <v>111.61290322580645</v>
      </c>
      <c r="L294" s="4">
        <f>SUM($J$18:J294)</f>
        <v>12631.61290322581</v>
      </c>
      <c r="M294" s="4">
        <f t="shared" si="95"/>
        <v>6.790322580645161</v>
      </c>
      <c r="N294" s="4">
        <f>SUM($M$293:M294)</f>
        <v>13.580645161290322</v>
      </c>
      <c r="O294" s="4">
        <f>SUM($M$18:M294)</f>
        <v>1562.7806451612878</v>
      </c>
      <c r="P294" s="9">
        <f t="shared" si="96"/>
        <v>0.71446195511770638</v>
      </c>
      <c r="Q294" s="26">
        <f t="shared" si="107"/>
        <v>0.71446195511770649</v>
      </c>
      <c r="R294" s="26">
        <f t="shared" si="107"/>
        <v>0.70266106409535112</v>
      </c>
      <c r="S294" s="9">
        <f t="shared" si="97"/>
        <v>0.20214279778531885</v>
      </c>
      <c r="T294" s="9">
        <f>K294/((COUNT($K$293:K294))*24*$Q$1)</f>
        <v>0.20214279778531885</v>
      </c>
      <c r="U294" s="28">
        <f>L294/((COUNT($L$18:L294))*24*$Q$1)</f>
        <v>0.16517826580575357</v>
      </c>
      <c r="V294" s="134">
        <v>11.5031</v>
      </c>
      <c r="Y294" s="27">
        <f t="shared" si="104"/>
        <v>45293</v>
      </c>
      <c r="Z294" s="5">
        <f>MONTH(Modelling_new[[#This Row],[Date]])</f>
        <v>1</v>
      </c>
      <c r="AA294" s="25">
        <f>YEAR(Y294)+IF(MONTH(Modelling_new[[#This Row],[Date]])&gt;=4,1,0)</f>
        <v>2024</v>
      </c>
      <c r="AB294" s="3">
        <f t="shared" si="98"/>
        <v>2024</v>
      </c>
      <c r="AC294" s="3" t="s">
        <v>626</v>
      </c>
      <c r="AD294" s="5" t="s">
        <v>626</v>
      </c>
      <c r="AE294" s="102">
        <v>45292</v>
      </c>
      <c r="AF294" s="5">
        <f t="shared" si="99"/>
        <v>31</v>
      </c>
      <c r="AG294" s="5">
        <f t="shared" si="100"/>
        <v>1</v>
      </c>
      <c r="AH294" s="4">
        <f>(VLOOKUP(AG294,$AA$2:$AK$13,10,0)/AF294)*Modelling_new[[#This Row],[Factor]]</f>
        <v>62.574735396773931</v>
      </c>
      <c r="AI294" s="4">
        <f>SUMIFS(Modelling_new[Target E_Grid daily
MWh],Modelling_new[Month Year],Modelling_new[[#This Row],[Month Year]],Modelling_new[Date],"&lt;="&amp;Modelling_new[[#This Row],[Date]])</f>
        <v>125.14947079354786</v>
      </c>
      <c r="AJ294" s="4">
        <f>SUMIFS(Modelling_new[Target E_Grid daily
MWh],Modelling_new[Finacial Year],Modelling_new[[#This Row],[Finacial Year]],Modelling_new[Date],"&lt;="&amp;Modelling_new[[#This Row],[Date]])</f>
        <v>125.14947079354786</v>
      </c>
      <c r="AK294" s="4">
        <f t="shared" ref="AK294:AK357" si="108">VLOOKUP(AG294,$AA$2:$AK$13,11,0)</f>
        <v>5.6591249032258082</v>
      </c>
      <c r="AL294" s="4">
        <f>SUMIFS(Modelling_new[Target POA Daily (KWh/m2)],Modelling_new[Month Year],Modelling_new[[#This Row],[Month Year]],Modelling_new[Date],"&lt;="&amp;Modelling_new[[#This Row],[Date]])</f>
        <v>11.318249806451616</v>
      </c>
      <c r="AM294" s="4">
        <f>SUMIFS(Modelling_new[Target POA Daily (KWh/m2)],Modelling_new[Finacial Year],Modelling_new[[#This Row],[Finacial Year]],Modelling_new[Date],"&lt;="&amp;Modelling_new[[#This Row],[Date]])</f>
        <v>11.318249806451616</v>
      </c>
      <c r="AN294" s="9">
        <f>AH294/Modelling_new[[#This Row],[Comisined DC ]]/AK294</f>
        <v>0.86385285472076068</v>
      </c>
      <c r="AO294" s="9">
        <f>AI294/AL294/Modelling_new[[#This Row],[MTD DC Capcity]]</f>
        <v>0.86385285472076079</v>
      </c>
      <c r="AP294" s="9">
        <f>AJ294/AM294/Modelling_new[[#This Row],[YTD DC Capcity]]</f>
        <v>0.86385285472076079</v>
      </c>
      <c r="AQ294" s="9">
        <f>AH294/(24*Modelling_new[[#This Row],[Comisined DC ]])</f>
        <v>0.20369380011970678</v>
      </c>
      <c r="AR294" s="9">
        <f>AI294/(COUNTIFS(Modelling_new[Date],"&lt;="&amp;Modelling_new[[#This Row],[Date]],Modelling_new[Month Year],Modelling_new[[#This Row],[Month Year]])*24*Modelling_new[[#This Row],[MTD DC Capcity]])</f>
        <v>0.20369380011970678</v>
      </c>
      <c r="AS294" s="28">
        <f>AJ294/(COUNTIFS(Modelling_new[Date],"&lt;="&amp;Modelling_new[[#This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0.20369380011970678</v>
      </c>
      <c r="AT294" s="5">
        <v>12.8</v>
      </c>
      <c r="AU294" s="9">
        <f>Modelling_new[[#This Row],[Comisined DC ]]/$AO$1</f>
        <v>1</v>
      </c>
      <c r="AV294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294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294" s="27">
        <f t="shared" si="105"/>
        <v>45293</v>
      </c>
      <c r="BE294" s="5">
        <f>MONTH(Modelling[[#This Row],[Date]])</f>
        <v>1</v>
      </c>
      <c r="BF294" s="25">
        <f>YEAR(BD294)+IF(MONTH(Modelling[[#This Row],[Date]])&gt;=4,1,0)</f>
        <v>2024</v>
      </c>
      <c r="BG294" s="3">
        <f t="shared" si="101"/>
        <v>2024</v>
      </c>
      <c r="BH294" s="3" t="s">
        <v>626</v>
      </c>
      <c r="BI294" s="5" t="s">
        <v>626</v>
      </c>
      <c r="BJ294" s="102">
        <v>45292</v>
      </c>
      <c r="BK294" s="5">
        <f t="shared" si="102"/>
        <v>31</v>
      </c>
      <c r="BL294" s="5">
        <f t="shared" si="103"/>
        <v>1</v>
      </c>
      <c r="BM294" s="4">
        <f>Modelling_old[[#This Row],[Target E_Grid daily
MWh]]+Modelling_new[[#This Row],[Target E_Grid daily
MWh]]</f>
        <v>118.38118700967715</v>
      </c>
      <c r="BN294" s="4">
        <f>Modelling_old[[#This Row],[Target E_Grid MTD
MWh]]+Modelling_new[[#This Row],[Target E_Grid MTD
MWh]]</f>
        <v>236.7623740193543</v>
      </c>
      <c r="BO294" s="4">
        <f>Modelling_old[[#This Row],[Target E_Grid YTD
MWh]]+Modelling_new[[#This Row],[Target E_Grid YTD
MWh]]</f>
        <v>12756.762374019358</v>
      </c>
      <c r="BP29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294" s="4">
        <f>SUMIFS(Modelling[Target POA Daily (KWh/m2)],Modelling[Date],"&lt;="&amp;Modelling[[#This Row],[Date]],Modelling[Month Year],Modelling[[#This Row],[Month Year]])</f>
        <v>12.389082745716365</v>
      </c>
      <c r="BR294" s="4">
        <f>SUMIFS(Modelling[Target POA Daily (KWh/m2)],Modelling[Date],"&lt;="&amp;Modelling[[#This Row],[Date]],Modelling[Finacial Year],Modelling[[#This Row],[Finacial Year]])</f>
        <v>1561.5890827457138</v>
      </c>
      <c r="BS294" s="9">
        <f>BM294/Modelling[[#This Row],[Comisined DC ]]/BP294</f>
        <v>0.78634269848069838</v>
      </c>
      <c r="BT294" s="9">
        <f>BN294/BQ294/Modelling[[#This Row],[Comisined DC ]]</f>
        <v>0.78634269848069849</v>
      </c>
      <c r="BU294" s="9">
        <f>BO294/BR294/Modelling[[#This Row],[Comisined DC ]]</f>
        <v>0.33613367814075717</v>
      </c>
      <c r="BV294" s="9">
        <f>BM294/(24*Modelling[[#This Row],[Comisined DC ]])</f>
        <v>0.20295968245765139</v>
      </c>
      <c r="BW294" s="9">
        <f>BN294/((COUNTIFS(Modelling[Date],"&lt;="&amp;Modelling[[#This Row],[Date]],Modelling[Month Year],Modelling[[#This Row],[Month Year]])*24*Modelling[[#This Row],[MTD DC Capcity]]))</f>
        <v>0.20295968245765139</v>
      </c>
      <c r="BX294" s="28">
        <f>BO294/((COUNTIFS(Modelling[Date],"&lt;="&amp;Modelling[[#This Row],[Date]],Modelling[Finacial Year],Modelling[[#This Row],[Finacial Year]])*24*Modelling[[#This Row],[MTD DC Capcity]]))</f>
        <v>7.8956480464465698E-2</v>
      </c>
      <c r="BY294" s="4">
        <f>Modelling_old[[#This Row],[DC Capcity]]+Modelling_new[[#This Row],[Comisined DC ]]</f>
        <v>24.303100000000001</v>
      </c>
      <c r="BZ294" s="4">
        <v>0</v>
      </c>
      <c r="CA294" s="4">
        <f>AVERAGEIFS(Modelling[[Comisined DC ]],Modelling[Date],"&lt;="&amp;Modelling[[#This Row],[Date]],Modelling[Month Year],Modelling[[#This Row],[Month Year]])</f>
        <v>24.303100000000001</v>
      </c>
      <c r="CB294" s="4">
        <f>AVERAGEIFS(Modelling[[Comisined DC ]],Modelling[Date],"&lt;="&amp;Modelling[[#This Row],[Date]],Modelling[Finacial Year],Modelling[[#This Row],[Finacial Year]])</f>
        <v>11.595518772563116</v>
      </c>
      <c r="CG294">
        <f t="shared" ref="CG294:CG323" si="109">CG293+1</f>
        <v>2</v>
      </c>
      <c r="CH294">
        <f t="shared" si="106"/>
        <v>277</v>
      </c>
    </row>
    <row r="295" spans="1:86" x14ac:dyDescent="0.35">
      <c r="A295" s="27">
        <v>45294</v>
      </c>
      <c r="B295" s="5">
        <f>MONTH(Modelling_old[[#This Row],[Date]])</f>
        <v>1</v>
      </c>
      <c r="C295" s="25">
        <v>2024</v>
      </c>
      <c r="D295" s="3">
        <f t="shared" si="91"/>
        <v>2024</v>
      </c>
      <c r="E295" s="3" t="s">
        <v>626</v>
      </c>
      <c r="F295" s="5" t="s">
        <v>626</v>
      </c>
      <c r="G295" s="102">
        <v>45292</v>
      </c>
      <c r="H295" s="5">
        <f t="shared" si="92"/>
        <v>31</v>
      </c>
      <c r="I295" s="5">
        <f t="shared" si="93"/>
        <v>1</v>
      </c>
      <c r="J295" s="4">
        <f t="shared" si="94"/>
        <v>55.806451612903224</v>
      </c>
      <c r="K295" s="4">
        <f>SUM($J$293:J295)</f>
        <v>167.41935483870967</v>
      </c>
      <c r="L295" s="4">
        <f>SUM($J$18:J295)</f>
        <v>12687.419354838714</v>
      </c>
      <c r="M295" s="4">
        <f t="shared" si="95"/>
        <v>6.790322580645161</v>
      </c>
      <c r="N295" s="4">
        <f>SUM($M$293:M295)</f>
        <v>20.370967741935484</v>
      </c>
      <c r="O295" s="4">
        <f>SUM($M$18:M295)</f>
        <v>1569.5709677419329</v>
      </c>
      <c r="P295" s="9">
        <f t="shared" si="96"/>
        <v>0.71446195511770638</v>
      </c>
      <c r="Q295" s="26">
        <f t="shared" si="107"/>
        <v>0.71446195511770649</v>
      </c>
      <c r="R295" s="26">
        <f t="shared" si="107"/>
        <v>0.70271211744587025</v>
      </c>
      <c r="S295" s="9">
        <f t="shared" si="97"/>
        <v>0.20214279778531885</v>
      </c>
      <c r="T295" s="9">
        <f>K295/((COUNT($K$293:K295))*24*$Q$1)</f>
        <v>0.20214279778531882</v>
      </c>
      <c r="U295" s="28">
        <f>L295/((COUNT($L$18:L295))*24*$Q$1)</f>
        <v>0.16531123174812612</v>
      </c>
      <c r="V295" s="134">
        <v>11.5031</v>
      </c>
      <c r="Y295" s="27">
        <f t="shared" si="104"/>
        <v>45294</v>
      </c>
      <c r="Z295" s="5">
        <f>MONTH(Modelling_new[[#This Row],[Date]])</f>
        <v>1</v>
      </c>
      <c r="AA295" s="25">
        <f>YEAR(Y295)+IF(MONTH(Modelling_new[[#This Row],[Date]])&gt;=4,1,0)</f>
        <v>2024</v>
      </c>
      <c r="AB295" s="3">
        <f t="shared" si="98"/>
        <v>2024</v>
      </c>
      <c r="AC295" s="3" t="s">
        <v>626</v>
      </c>
      <c r="AD295" s="5" t="s">
        <v>626</v>
      </c>
      <c r="AE295" s="102">
        <v>45292</v>
      </c>
      <c r="AF295" s="5">
        <f t="shared" si="99"/>
        <v>31</v>
      </c>
      <c r="AG295" s="5">
        <f t="shared" si="100"/>
        <v>1</v>
      </c>
      <c r="AH295" s="4">
        <f>(VLOOKUP(AG295,$AA$2:$AK$13,10,0)/AF295)*Modelling_new[[#This Row],[Factor]]</f>
        <v>62.574735396773931</v>
      </c>
      <c r="AI295" s="4">
        <f>SUMIFS(Modelling_new[Target E_Grid daily
MWh],Modelling_new[Month Year],Modelling_new[[#This Row],[Month Year]],Modelling_new[Date],"&lt;="&amp;Modelling_new[[#This Row],[Date]])</f>
        <v>187.72420619032181</v>
      </c>
      <c r="AJ295" s="4">
        <f>SUMIFS(Modelling_new[Target E_Grid daily
MWh],Modelling_new[Finacial Year],Modelling_new[[#This Row],[Finacial Year]],Modelling_new[Date],"&lt;="&amp;Modelling_new[[#This Row],[Date]])</f>
        <v>187.72420619032181</v>
      </c>
      <c r="AK295" s="4">
        <f t="shared" si="108"/>
        <v>5.6591249032258082</v>
      </c>
      <c r="AL295" s="4">
        <f>SUMIFS(Modelling_new[Target POA Daily (KWh/m2)],Modelling_new[Month Year],Modelling_new[[#This Row],[Month Year]],Modelling_new[Date],"&lt;="&amp;Modelling_new[[#This Row],[Date]])</f>
        <v>16.977374709677424</v>
      </c>
      <c r="AM295" s="4">
        <f>SUMIFS(Modelling_new[Target POA Daily (KWh/m2)],Modelling_new[Finacial Year],Modelling_new[[#This Row],[Finacial Year]],Modelling_new[Date],"&lt;="&amp;Modelling_new[[#This Row],[Date]])</f>
        <v>16.977374709677424</v>
      </c>
      <c r="AN295" s="9">
        <f>AH295/Modelling_new[[#This Row],[Comisined DC ]]/AK295</f>
        <v>0.86385285472076068</v>
      </c>
      <c r="AO295" s="9">
        <f>AI295/AL295/Modelling_new[[#This Row],[MTD DC Capcity]]</f>
        <v>0.86385285472076079</v>
      </c>
      <c r="AP295" s="9">
        <f>AJ295/AM295/Modelling_new[[#This Row],[YTD DC Capcity]]</f>
        <v>0.86385285472076079</v>
      </c>
      <c r="AQ295" s="9">
        <f>AH295/(24*Modelling_new[[#This Row],[Comisined DC ]])</f>
        <v>0.20369380011970678</v>
      </c>
      <c r="AR295" s="9">
        <f>AI295/(COUNTIFS(Modelling_new[Date],"&lt;="&amp;Modelling_new[[#This Row],[Date]],Modelling_new[Month Year],Modelling_new[[#This Row],[Month Year]])*24*Modelling_new[[#This Row],[MTD DC Capcity]])</f>
        <v>0.20369380011970678</v>
      </c>
      <c r="AS295" s="28">
        <f>AJ295/(COUNTIFS(Modelling_new[Date],"&lt;="&amp;Modelling_new[[#This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0.20369380011970678</v>
      </c>
      <c r="AT295" s="5">
        <v>12.8</v>
      </c>
      <c r="AU295" s="9">
        <f>Modelling_new[[#This Row],[Comisined DC ]]/$AO$1</f>
        <v>1</v>
      </c>
      <c r="AV295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295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295" s="27">
        <f t="shared" si="105"/>
        <v>45294</v>
      </c>
      <c r="BE295" s="5">
        <f>MONTH(Modelling[[#This Row],[Date]])</f>
        <v>1</v>
      </c>
      <c r="BF295" s="25">
        <f>YEAR(BD295)+IF(MONTH(Modelling[[#This Row],[Date]])&gt;=4,1,0)</f>
        <v>2024</v>
      </c>
      <c r="BG295" s="3">
        <f t="shared" si="101"/>
        <v>2024</v>
      </c>
      <c r="BH295" s="3" t="s">
        <v>626</v>
      </c>
      <c r="BI295" s="5" t="s">
        <v>626</v>
      </c>
      <c r="BJ295" s="102">
        <v>45292</v>
      </c>
      <c r="BK295" s="5">
        <f t="shared" si="102"/>
        <v>31</v>
      </c>
      <c r="BL295" s="5">
        <f t="shared" si="103"/>
        <v>1</v>
      </c>
      <c r="BM295" s="4">
        <f>Modelling_old[[#This Row],[Target E_Grid daily
MWh]]+Modelling_new[[#This Row],[Target E_Grid daily
MWh]]</f>
        <v>118.38118700967715</v>
      </c>
      <c r="BN295" s="4">
        <f>Modelling_old[[#This Row],[Target E_Grid MTD
MWh]]+Modelling_new[[#This Row],[Target E_Grid MTD
MWh]]</f>
        <v>355.1435610290315</v>
      </c>
      <c r="BO295" s="4">
        <f>Modelling_old[[#This Row],[Target E_Grid YTD
MWh]]+Modelling_new[[#This Row],[Target E_Grid YTD
MWh]]</f>
        <v>12875.143561029035</v>
      </c>
      <c r="BP29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295" s="4">
        <f>SUMIFS(Modelling[Target POA Daily (KWh/m2)],Modelling[Date],"&lt;="&amp;Modelling[[#This Row],[Date]],Modelling[Month Year],Modelling[[#This Row],[Month Year]])</f>
        <v>18.583624118574548</v>
      </c>
      <c r="BR295" s="4">
        <f>SUMIFS(Modelling[Target POA Daily (KWh/m2)],Modelling[Date],"&lt;="&amp;Modelling[[#This Row],[Date]],Modelling[Finacial Year],Modelling[[#This Row],[Finacial Year]])</f>
        <v>1567.7836241185719</v>
      </c>
      <c r="BS295" s="9">
        <f>BM295/Modelling[[#This Row],[Comisined DC ]]/BP295</f>
        <v>0.78634269848069838</v>
      </c>
      <c r="BT295" s="9">
        <f>BN295/BQ295/Modelling[[#This Row],[Comisined DC ]]</f>
        <v>0.7863426984806986</v>
      </c>
      <c r="BU295" s="9">
        <f>BO295/BR295/Modelling[[#This Row],[Comisined DC ]]</f>
        <v>0.33791251953189472</v>
      </c>
      <c r="BV295" s="9">
        <f>BM295/(24*Modelling[[#This Row],[Comisined DC ]])</f>
        <v>0.20295968245765139</v>
      </c>
      <c r="BW295" s="9">
        <f>BN295/((COUNTIFS(Modelling[Date],"&lt;="&amp;Modelling[[#This Row],[Date]],Modelling[Month Year],Modelling[[#This Row],[Month Year]])*24*Modelling[[#This Row],[MTD DC Capcity]]))</f>
        <v>0.20295968245765142</v>
      </c>
      <c r="BX295" s="28">
        <f>BO295/((COUNTIFS(Modelling[Date],"&lt;="&amp;Modelling[[#This Row],[Date]],Modelling[Finacial Year],Modelling[[#This Row],[Finacial Year]])*24*Modelling[[#This Row],[MTD DC Capcity]]))</f>
        <v>7.9402535147894429E-2</v>
      </c>
      <c r="BY295" s="4">
        <f>Modelling_old[[#This Row],[DC Capcity]]+Modelling_new[[#This Row],[Comisined DC ]]</f>
        <v>24.303100000000001</v>
      </c>
      <c r="BZ295" s="4">
        <v>0</v>
      </c>
      <c r="CA295" s="4">
        <f>AVERAGEIFS(Modelling[[Comisined DC ]],Modelling[Date],"&lt;="&amp;Modelling[[#This Row],[Date]],Modelling[Month Year],Modelling[[#This Row],[Month Year]])</f>
        <v>24.303100000000001</v>
      </c>
      <c r="CB295" s="4">
        <f>AVERAGEIFS(Modelling[[Comisined DC ]],Modelling[Date],"&lt;="&amp;Modelling[[#This Row],[Date]],Modelling[Finacial Year],Modelling[[#This Row],[Finacial Year]])</f>
        <v>11.641229496402818</v>
      </c>
      <c r="CG295">
        <f t="shared" si="109"/>
        <v>3</v>
      </c>
      <c r="CH295">
        <f t="shared" si="106"/>
        <v>278</v>
      </c>
    </row>
    <row r="296" spans="1:86" x14ac:dyDescent="0.35">
      <c r="A296" s="27">
        <v>45295</v>
      </c>
      <c r="B296" s="5">
        <f>MONTH(Modelling_old[[#This Row],[Date]])</f>
        <v>1</v>
      </c>
      <c r="C296" s="25">
        <v>2024</v>
      </c>
      <c r="D296" s="3">
        <f t="shared" si="91"/>
        <v>2024</v>
      </c>
      <c r="E296" s="3" t="s">
        <v>626</v>
      </c>
      <c r="F296" s="5" t="s">
        <v>626</v>
      </c>
      <c r="G296" s="102">
        <v>45292</v>
      </c>
      <c r="H296" s="5">
        <f t="shared" si="92"/>
        <v>31</v>
      </c>
      <c r="I296" s="5">
        <f t="shared" si="93"/>
        <v>1</v>
      </c>
      <c r="J296" s="4">
        <f t="shared" si="94"/>
        <v>55.806451612903224</v>
      </c>
      <c r="K296" s="4">
        <f>SUM($J$293:J296)</f>
        <v>223.2258064516129</v>
      </c>
      <c r="L296" s="4">
        <f>SUM($J$18:J296)</f>
        <v>12743.225806451617</v>
      </c>
      <c r="M296" s="4">
        <f t="shared" si="95"/>
        <v>6.790322580645161</v>
      </c>
      <c r="N296" s="4">
        <f>SUM($M$293:M296)</f>
        <v>27.161290322580644</v>
      </c>
      <c r="O296" s="4">
        <f>SUM($M$18:M296)</f>
        <v>1576.361290322578</v>
      </c>
      <c r="P296" s="9">
        <f t="shared" si="96"/>
        <v>0.71446195511770638</v>
      </c>
      <c r="Q296" s="26">
        <f t="shared" si="107"/>
        <v>0.71446195511770649</v>
      </c>
      <c r="R296" s="26">
        <f t="shared" si="107"/>
        <v>0.70276273096229691</v>
      </c>
      <c r="S296" s="9">
        <f t="shared" si="97"/>
        <v>0.20214279778531885</v>
      </c>
      <c r="T296" s="9">
        <f>K296/((COUNT($K$293:K296))*24*$Q$1)</f>
        <v>0.20214279778531885</v>
      </c>
      <c r="U296" s="28">
        <f>L296/((COUNT($L$18:L296))*24*$Q$1)</f>
        <v>0.16544324452962145</v>
      </c>
      <c r="V296" s="134">
        <v>11.5031</v>
      </c>
      <c r="Y296" s="27">
        <f t="shared" si="104"/>
        <v>45295</v>
      </c>
      <c r="Z296" s="5">
        <f>MONTH(Modelling_new[[#This Row],[Date]])</f>
        <v>1</v>
      </c>
      <c r="AA296" s="25">
        <f>YEAR(Y296)+IF(MONTH(Modelling_new[[#This Row],[Date]])&gt;=4,1,0)</f>
        <v>2024</v>
      </c>
      <c r="AB296" s="3">
        <f t="shared" si="98"/>
        <v>2024</v>
      </c>
      <c r="AC296" s="3" t="s">
        <v>626</v>
      </c>
      <c r="AD296" s="5" t="s">
        <v>626</v>
      </c>
      <c r="AE296" s="102">
        <v>45292</v>
      </c>
      <c r="AF296" s="5">
        <f t="shared" si="99"/>
        <v>31</v>
      </c>
      <c r="AG296" s="5">
        <f t="shared" si="100"/>
        <v>1</v>
      </c>
      <c r="AH296" s="4">
        <f>(VLOOKUP(AG296,$AA$2:$AK$13,10,0)/AF296)*Modelling_new[[#This Row],[Factor]]</f>
        <v>62.574735396773931</v>
      </c>
      <c r="AI296" s="4">
        <f>SUMIFS(Modelling_new[Target E_Grid daily
MWh],Modelling_new[Month Year],Modelling_new[[#This Row],[Month Year]],Modelling_new[Date],"&lt;="&amp;Modelling_new[[#This Row],[Date]])</f>
        <v>250.29894158709573</v>
      </c>
      <c r="AJ296" s="4">
        <f>SUMIFS(Modelling_new[Target E_Grid daily
MWh],Modelling_new[Finacial Year],Modelling_new[[#This Row],[Finacial Year]],Modelling_new[Date],"&lt;="&amp;Modelling_new[[#This Row],[Date]])</f>
        <v>250.29894158709573</v>
      </c>
      <c r="AK296" s="4">
        <f t="shared" si="108"/>
        <v>5.6591249032258082</v>
      </c>
      <c r="AL296" s="4">
        <f>SUMIFS(Modelling_new[Target POA Daily (KWh/m2)],Modelling_new[Month Year],Modelling_new[[#This Row],[Month Year]],Modelling_new[Date],"&lt;="&amp;Modelling_new[[#This Row],[Date]])</f>
        <v>22.636499612903233</v>
      </c>
      <c r="AM296" s="4">
        <f>SUMIFS(Modelling_new[Target POA Daily (KWh/m2)],Modelling_new[Finacial Year],Modelling_new[[#This Row],[Finacial Year]],Modelling_new[Date],"&lt;="&amp;Modelling_new[[#This Row],[Date]])</f>
        <v>22.636499612903233</v>
      </c>
      <c r="AN296" s="9">
        <f>AH296/Modelling_new[[#This Row],[Comisined DC ]]/AK296</f>
        <v>0.86385285472076068</v>
      </c>
      <c r="AO296" s="9">
        <f>AI296/AL296/Modelling_new[[#This Row],[MTD DC Capcity]]</f>
        <v>0.86385285472076079</v>
      </c>
      <c r="AP296" s="9">
        <f>AJ296/AM296/Modelling_new[[#This Row],[YTD DC Capcity]]</f>
        <v>0.86385285472076079</v>
      </c>
      <c r="AQ296" s="9">
        <f>AH296/(24*Modelling_new[[#This Row],[Comisined DC ]])</f>
        <v>0.20369380011970678</v>
      </c>
      <c r="AR296" s="9">
        <f>AI296/(COUNTIFS(Modelling_new[Date],"&lt;="&amp;Modelling_new[[#This Row],[Date]],Modelling_new[Month Year],Modelling_new[[#This Row],[Month Year]])*24*Modelling_new[[#This Row],[MTD DC Capcity]])</f>
        <v>0.20369380011970678</v>
      </c>
      <c r="AS296" s="28">
        <f>AJ296/(COUNTIFS(Modelling_new[Date],"&lt;="&amp;Modelling_new[[#This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0.20369380011970678</v>
      </c>
      <c r="AT296" s="5">
        <v>12.8</v>
      </c>
      <c r="AU296" s="9">
        <f>Modelling_new[[#This Row],[Comisined DC ]]/$AO$1</f>
        <v>1</v>
      </c>
      <c r="AV296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296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296" s="27">
        <f t="shared" si="105"/>
        <v>45295</v>
      </c>
      <c r="BE296" s="5">
        <f>MONTH(Modelling[[#This Row],[Date]])</f>
        <v>1</v>
      </c>
      <c r="BF296" s="25">
        <f>YEAR(BD296)+IF(MONTH(Modelling[[#This Row],[Date]])&gt;=4,1,0)</f>
        <v>2024</v>
      </c>
      <c r="BG296" s="3">
        <f t="shared" si="101"/>
        <v>2024</v>
      </c>
      <c r="BH296" s="3" t="s">
        <v>626</v>
      </c>
      <c r="BI296" s="5" t="s">
        <v>626</v>
      </c>
      <c r="BJ296" s="102">
        <v>45292</v>
      </c>
      <c r="BK296" s="5">
        <f t="shared" si="102"/>
        <v>31</v>
      </c>
      <c r="BL296" s="5">
        <f t="shared" si="103"/>
        <v>1</v>
      </c>
      <c r="BM296" s="4">
        <f>Modelling_old[[#This Row],[Target E_Grid daily
MWh]]+Modelling_new[[#This Row],[Target E_Grid daily
MWh]]</f>
        <v>118.38118700967715</v>
      </c>
      <c r="BN296" s="4">
        <f>Modelling_old[[#This Row],[Target E_Grid MTD
MWh]]+Modelling_new[[#This Row],[Target E_Grid MTD
MWh]]</f>
        <v>473.52474803870859</v>
      </c>
      <c r="BO296" s="4">
        <f>Modelling_old[[#This Row],[Target E_Grid YTD
MWh]]+Modelling_new[[#This Row],[Target E_Grid YTD
MWh]]</f>
        <v>12993.524748038713</v>
      </c>
      <c r="BP29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296" s="4">
        <f>SUMIFS(Modelling[Target POA Daily (KWh/m2)],Modelling[Date],"&lt;="&amp;Modelling[[#This Row],[Date]],Modelling[Month Year],Modelling[[#This Row],[Month Year]])</f>
        <v>24.778165491432731</v>
      </c>
      <c r="BR296" s="4">
        <f>SUMIFS(Modelling[Target POA Daily (KWh/m2)],Modelling[Date],"&lt;="&amp;Modelling[[#This Row],[Date]],Modelling[Finacial Year],Modelling[[#This Row],[Finacial Year]])</f>
        <v>1573.97816549143</v>
      </c>
      <c r="BS296" s="9">
        <f>BM296/Modelling[[#This Row],[Comisined DC ]]/BP296</f>
        <v>0.78634269848069838</v>
      </c>
      <c r="BT296" s="9">
        <f>BN296/BQ296/Modelling[[#This Row],[Comisined DC ]]</f>
        <v>0.78634269848069849</v>
      </c>
      <c r="BU296" s="9">
        <f>BO296/BR296/Modelling[[#This Row],[Comisined DC ]]</f>
        <v>0.33967735932271187</v>
      </c>
      <c r="BV296" s="9">
        <f>BM296/(24*Modelling[[#This Row],[Comisined DC ]])</f>
        <v>0.20295968245765139</v>
      </c>
      <c r="BW296" s="9">
        <f>BN296/((COUNTIFS(Modelling[Date],"&lt;="&amp;Modelling[[#This Row],[Date]],Modelling[Month Year],Modelling[[#This Row],[Month Year]])*24*Modelling[[#This Row],[MTD DC Capcity]]))</f>
        <v>0.20295968245765139</v>
      </c>
      <c r="BX296" s="28">
        <f>BO296/((COUNTIFS(Modelling[Date],"&lt;="&amp;Modelling[[#This Row],[Date]],Modelling[Finacial Year],Modelling[[#This Row],[Finacial Year]])*24*Modelling[[#This Row],[MTD DC Capcity]]))</f>
        <v>7.9845392306710769E-2</v>
      </c>
      <c r="BY296" s="4">
        <f>Modelling_old[[#This Row],[DC Capcity]]+Modelling_new[[#This Row],[Comisined DC ]]</f>
        <v>24.303100000000001</v>
      </c>
      <c r="BZ296" s="4">
        <v>0</v>
      </c>
      <c r="CA296" s="4">
        <f>AVERAGEIFS(Modelling[[Comisined DC ]],Modelling[Date],"&lt;="&amp;Modelling[[#This Row],[Date]],Modelling[Month Year],Modelling[[#This Row],[Month Year]])</f>
        <v>24.303100000000001</v>
      </c>
      <c r="CB296" s="4">
        <f>AVERAGEIFS(Modelling[[Comisined DC ]],Modelling[Date],"&lt;="&amp;Modelling[[#This Row],[Date]],Modelling[Finacial Year],Modelling[[#This Row],[Finacial Year]])</f>
        <v>11.686612544802808</v>
      </c>
      <c r="CG296">
        <f t="shared" si="109"/>
        <v>4</v>
      </c>
      <c r="CH296">
        <f t="shared" si="106"/>
        <v>279</v>
      </c>
    </row>
    <row r="297" spans="1:86" x14ac:dyDescent="0.35">
      <c r="A297" s="27">
        <v>45296</v>
      </c>
      <c r="B297" s="5">
        <f>MONTH(Modelling_old[[#This Row],[Date]])</f>
        <v>1</v>
      </c>
      <c r="C297" s="25">
        <v>2024</v>
      </c>
      <c r="D297" s="3">
        <f t="shared" si="91"/>
        <v>2024</v>
      </c>
      <c r="E297" s="3" t="s">
        <v>626</v>
      </c>
      <c r="F297" s="5" t="s">
        <v>626</v>
      </c>
      <c r="G297" s="102">
        <v>45292</v>
      </c>
      <c r="H297" s="5">
        <f t="shared" si="92"/>
        <v>31</v>
      </c>
      <c r="I297" s="5">
        <f t="shared" si="93"/>
        <v>1</v>
      </c>
      <c r="J297" s="4">
        <f t="shared" si="94"/>
        <v>55.806451612903224</v>
      </c>
      <c r="K297" s="4">
        <f>SUM($J$293:J297)</f>
        <v>279.0322580645161</v>
      </c>
      <c r="L297" s="4">
        <f>SUM($J$18:J297)</f>
        <v>12799.032258064521</v>
      </c>
      <c r="M297" s="4">
        <f t="shared" si="95"/>
        <v>6.790322580645161</v>
      </c>
      <c r="N297" s="4">
        <f>SUM($M$293:M297)</f>
        <v>33.951612903225808</v>
      </c>
      <c r="O297" s="4">
        <f>SUM($M$18:M297)</f>
        <v>1583.1516129032232</v>
      </c>
      <c r="P297" s="9">
        <f t="shared" si="96"/>
        <v>0.71446195511770638</v>
      </c>
      <c r="Q297" s="26">
        <f t="shared" si="107"/>
        <v>0.71446195511770627</v>
      </c>
      <c r="R297" s="26">
        <f t="shared" si="107"/>
        <v>0.70281291030413062</v>
      </c>
      <c r="S297" s="9">
        <f t="shared" si="97"/>
        <v>0.20214279778531885</v>
      </c>
      <c r="T297" s="9">
        <f>K297/((COUNT($K$293:K297))*24*$Q$1)</f>
        <v>0.2021427977853188</v>
      </c>
      <c r="U297" s="28">
        <f>L297/((COUNT($L$18:L297))*24*$Q$1)</f>
        <v>0.1655743143626775</v>
      </c>
      <c r="V297" s="134">
        <v>11.5031</v>
      </c>
      <c r="Y297" s="27">
        <f t="shared" si="104"/>
        <v>45296</v>
      </c>
      <c r="Z297" s="5">
        <f>MONTH(Modelling_new[[#This Row],[Date]])</f>
        <v>1</v>
      </c>
      <c r="AA297" s="25">
        <f>YEAR(Y297)+IF(MONTH(Modelling_new[[#This Row],[Date]])&gt;=4,1,0)</f>
        <v>2024</v>
      </c>
      <c r="AB297" s="3">
        <f t="shared" si="98"/>
        <v>2024</v>
      </c>
      <c r="AC297" s="3" t="s">
        <v>626</v>
      </c>
      <c r="AD297" s="5" t="s">
        <v>626</v>
      </c>
      <c r="AE297" s="102">
        <v>45292</v>
      </c>
      <c r="AF297" s="5">
        <f t="shared" si="99"/>
        <v>31</v>
      </c>
      <c r="AG297" s="5">
        <f t="shared" si="100"/>
        <v>1</v>
      </c>
      <c r="AH297" s="4">
        <f>(VLOOKUP(AG297,$AA$2:$AK$13,10,0)/AF297)*Modelling_new[[#This Row],[Factor]]</f>
        <v>62.574735396773931</v>
      </c>
      <c r="AI297" s="4">
        <f>SUMIFS(Modelling_new[Target E_Grid daily
MWh],Modelling_new[Month Year],Modelling_new[[#This Row],[Month Year]],Modelling_new[Date],"&lt;="&amp;Modelling_new[[#This Row],[Date]])</f>
        <v>312.87367698386964</v>
      </c>
      <c r="AJ297" s="4">
        <f>SUMIFS(Modelling_new[Target E_Grid daily
MWh],Modelling_new[Finacial Year],Modelling_new[[#This Row],[Finacial Year]],Modelling_new[Date],"&lt;="&amp;Modelling_new[[#This Row],[Date]])</f>
        <v>312.87367698386964</v>
      </c>
      <c r="AK297" s="4">
        <f t="shared" si="108"/>
        <v>5.6591249032258082</v>
      </c>
      <c r="AL297" s="4">
        <f>SUMIFS(Modelling_new[Target POA Daily (KWh/m2)],Modelling_new[Month Year],Modelling_new[[#This Row],[Month Year]],Modelling_new[Date],"&lt;="&amp;Modelling_new[[#This Row],[Date]])</f>
        <v>28.295624516129042</v>
      </c>
      <c r="AM297" s="4">
        <f>SUMIFS(Modelling_new[Target POA Daily (KWh/m2)],Modelling_new[Finacial Year],Modelling_new[[#This Row],[Finacial Year]],Modelling_new[Date],"&lt;="&amp;Modelling_new[[#This Row],[Date]])</f>
        <v>28.295624516129042</v>
      </c>
      <c r="AN297" s="9">
        <f>AH297/Modelling_new[[#This Row],[Comisined DC ]]/AK297</f>
        <v>0.86385285472076068</v>
      </c>
      <c r="AO297" s="9">
        <f>AI297/AL297/Modelling_new[[#This Row],[MTD DC Capcity]]</f>
        <v>0.86385285472076057</v>
      </c>
      <c r="AP297" s="9">
        <f>AJ297/AM297/Modelling_new[[#This Row],[YTD DC Capcity]]</f>
        <v>0.86385285472076057</v>
      </c>
      <c r="AQ297" s="9">
        <f>AH297/(24*Modelling_new[[#This Row],[Comisined DC ]])</f>
        <v>0.20369380011970678</v>
      </c>
      <c r="AR297" s="9">
        <f>AI297/(COUNTIFS(Modelling_new[Date],"&lt;="&amp;Modelling_new[[#This Row],[Date]],Modelling_new[Month Year],Modelling_new[[#This Row],[Month Year]])*24*Modelling_new[[#This Row],[MTD DC Capcity]])</f>
        <v>0.20369380011970681</v>
      </c>
      <c r="AS297" s="28">
        <f>AJ297/(COUNTIFS(Modelling_new[Date],"&lt;="&amp;Modelling_new[[#This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0.20369380011970681</v>
      </c>
      <c r="AT297" s="5">
        <v>12.8</v>
      </c>
      <c r="AU297" s="9">
        <f>Modelling_new[[#This Row],[Comisined DC ]]/$AO$1</f>
        <v>1</v>
      </c>
      <c r="AV29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297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297" s="27">
        <f t="shared" si="105"/>
        <v>45296</v>
      </c>
      <c r="BE297" s="5">
        <f>MONTH(Modelling[[#This Row],[Date]])</f>
        <v>1</v>
      </c>
      <c r="BF297" s="25">
        <f>YEAR(BD297)+IF(MONTH(Modelling[[#This Row],[Date]])&gt;=4,1,0)</f>
        <v>2024</v>
      </c>
      <c r="BG297" s="3">
        <f t="shared" si="101"/>
        <v>2024</v>
      </c>
      <c r="BH297" s="3" t="s">
        <v>626</v>
      </c>
      <c r="BI297" s="5" t="s">
        <v>626</v>
      </c>
      <c r="BJ297" s="102">
        <v>45292</v>
      </c>
      <c r="BK297" s="5">
        <f t="shared" si="102"/>
        <v>31</v>
      </c>
      <c r="BL297" s="5">
        <f t="shared" si="103"/>
        <v>1</v>
      </c>
      <c r="BM297" s="4">
        <f>Modelling_old[[#This Row],[Target E_Grid daily
MWh]]+Modelling_new[[#This Row],[Target E_Grid daily
MWh]]</f>
        <v>118.38118700967715</v>
      </c>
      <c r="BN297" s="4">
        <f>Modelling_old[[#This Row],[Target E_Grid MTD
MWh]]+Modelling_new[[#This Row],[Target E_Grid MTD
MWh]]</f>
        <v>591.9059350483858</v>
      </c>
      <c r="BO297" s="4">
        <f>Modelling_old[[#This Row],[Target E_Grid YTD
MWh]]+Modelling_new[[#This Row],[Target E_Grid YTD
MWh]]</f>
        <v>13111.905935048389</v>
      </c>
      <c r="BP29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297" s="4">
        <f>SUMIFS(Modelling[Target POA Daily (KWh/m2)],Modelling[Date],"&lt;="&amp;Modelling[[#This Row],[Date]],Modelling[Month Year],Modelling[[#This Row],[Month Year]])</f>
        <v>30.972706864290913</v>
      </c>
      <c r="BR297" s="4">
        <f>SUMIFS(Modelling[Target POA Daily (KWh/m2)],Modelling[Date],"&lt;="&amp;Modelling[[#This Row],[Date]],Modelling[Finacial Year],Modelling[[#This Row],[Finacial Year]])</f>
        <v>1580.1727068642881</v>
      </c>
      <c r="BS297" s="9">
        <f>BM297/Modelling[[#This Row],[Comisined DC ]]/BP297</f>
        <v>0.78634269848069838</v>
      </c>
      <c r="BT297" s="9">
        <f>BN297/BQ297/Modelling[[#This Row],[Comisined DC ]]</f>
        <v>0.78634269848069849</v>
      </c>
      <c r="BU297" s="9">
        <f>BO297/BR297/Modelling[[#This Row],[Comisined DC ]]</f>
        <v>0.34142836217905559</v>
      </c>
      <c r="BV297" s="9">
        <f>BM297/(24*Modelling[[#This Row],[Comisined DC ]])</f>
        <v>0.20295968245765139</v>
      </c>
      <c r="BW297" s="9">
        <f>BN297/((COUNTIFS(Modelling[Date],"&lt;="&amp;Modelling[[#This Row],[Date]],Modelling[Month Year],Modelling[[#This Row],[Month Year]])*24*Modelling[[#This Row],[MTD DC Capcity]]))</f>
        <v>0.20295968245765139</v>
      </c>
      <c r="BX297" s="28">
        <f>BO297/((COUNTIFS(Modelling[Date],"&lt;="&amp;Modelling[[#This Row],[Date]],Modelling[Finacial Year],Modelling[[#This Row],[Finacial Year]])*24*Modelling[[#This Row],[MTD DC Capcity]]))</f>
        <v>8.0285086200106978E-2</v>
      </c>
      <c r="BY297" s="4">
        <f>Modelling_old[[#This Row],[DC Capcity]]+Modelling_new[[#This Row],[Comisined DC ]]</f>
        <v>24.303100000000001</v>
      </c>
      <c r="BZ297" s="4">
        <v>0</v>
      </c>
      <c r="CA297" s="4">
        <f>AVERAGEIFS(Modelling[[Comisined DC ]],Modelling[Date],"&lt;="&amp;Modelling[[#This Row],[Date]],Modelling[Month Year],Modelling[[#This Row],[Month Year]])</f>
        <v>24.303100000000001</v>
      </c>
      <c r="CB297" s="4">
        <f>AVERAGEIFS(Modelling[[Comisined DC ]],Modelling[Date],"&lt;="&amp;Modelling[[#This Row],[Date]],Modelling[Finacial Year],Modelling[[#This Row],[Finacial Year]])</f>
        <v>11.731671428571369</v>
      </c>
      <c r="CG297">
        <f t="shared" si="109"/>
        <v>5</v>
      </c>
      <c r="CH297">
        <f t="shared" si="106"/>
        <v>280</v>
      </c>
    </row>
    <row r="298" spans="1:86" x14ac:dyDescent="0.35">
      <c r="A298" s="27">
        <v>45297</v>
      </c>
      <c r="B298" s="5">
        <f>MONTH(Modelling_old[[#This Row],[Date]])</f>
        <v>1</v>
      </c>
      <c r="C298" s="25">
        <v>2024</v>
      </c>
      <c r="D298" s="3">
        <f t="shared" si="91"/>
        <v>2024</v>
      </c>
      <c r="E298" s="3" t="s">
        <v>626</v>
      </c>
      <c r="F298" s="5" t="s">
        <v>626</v>
      </c>
      <c r="G298" s="102">
        <v>45292</v>
      </c>
      <c r="H298" s="5">
        <f t="shared" si="92"/>
        <v>31</v>
      </c>
      <c r="I298" s="5">
        <f t="shared" si="93"/>
        <v>1</v>
      </c>
      <c r="J298" s="4">
        <f t="shared" si="94"/>
        <v>55.806451612903224</v>
      </c>
      <c r="K298" s="4">
        <f>SUM($J$293:J298)</f>
        <v>334.83870967741933</v>
      </c>
      <c r="L298" s="4">
        <f>SUM($J$18:J298)</f>
        <v>12854.838709677424</v>
      </c>
      <c r="M298" s="4">
        <f t="shared" si="95"/>
        <v>6.790322580645161</v>
      </c>
      <c r="N298" s="4">
        <f>SUM($M$293:M298)</f>
        <v>40.741935483870968</v>
      </c>
      <c r="O298" s="4">
        <f>SUM($M$18:M298)</f>
        <v>1589.9419354838683</v>
      </c>
      <c r="P298" s="9">
        <f t="shared" si="96"/>
        <v>0.71446195511770638</v>
      </c>
      <c r="Q298" s="26">
        <f t="shared" si="107"/>
        <v>0.71446195511770649</v>
      </c>
      <c r="R298" s="26">
        <f t="shared" si="107"/>
        <v>0.70286266103418893</v>
      </c>
      <c r="S298" s="9">
        <f t="shared" si="97"/>
        <v>0.20214279778531885</v>
      </c>
      <c r="T298" s="9">
        <f>K298/((COUNT($K$293:K298))*24*$Q$1)</f>
        <v>0.20214279778531882</v>
      </c>
      <c r="U298" s="28">
        <f>L298/((COUNT($L$18:L298))*24*$Q$1)</f>
        <v>0.16570445131435951</v>
      </c>
      <c r="V298" s="134">
        <v>11.5031</v>
      </c>
      <c r="Y298" s="27">
        <f t="shared" si="104"/>
        <v>45297</v>
      </c>
      <c r="Z298" s="5">
        <f>MONTH(Modelling_new[[#This Row],[Date]])</f>
        <v>1</v>
      </c>
      <c r="AA298" s="25">
        <f>YEAR(Y298)+IF(MONTH(Modelling_new[[#This Row],[Date]])&gt;=4,1,0)</f>
        <v>2024</v>
      </c>
      <c r="AB298" s="3">
        <f t="shared" si="98"/>
        <v>2024</v>
      </c>
      <c r="AC298" s="3" t="s">
        <v>626</v>
      </c>
      <c r="AD298" s="5" t="s">
        <v>626</v>
      </c>
      <c r="AE298" s="102">
        <v>45292</v>
      </c>
      <c r="AF298" s="5">
        <f t="shared" si="99"/>
        <v>31</v>
      </c>
      <c r="AG298" s="5">
        <f t="shared" si="100"/>
        <v>1</v>
      </c>
      <c r="AH298" s="4">
        <f>(VLOOKUP(AG298,$AA$2:$AK$13,10,0)/AF298)*Modelling_new[[#This Row],[Factor]]</f>
        <v>62.574735396773931</v>
      </c>
      <c r="AI298" s="4">
        <f>SUMIFS(Modelling_new[Target E_Grid daily
MWh],Modelling_new[Month Year],Modelling_new[[#This Row],[Month Year]],Modelling_new[Date],"&lt;="&amp;Modelling_new[[#This Row],[Date]])</f>
        <v>375.44841238064356</v>
      </c>
      <c r="AJ298" s="4">
        <f>SUMIFS(Modelling_new[Target E_Grid daily
MWh],Modelling_new[Finacial Year],Modelling_new[[#This Row],[Finacial Year]],Modelling_new[Date],"&lt;="&amp;Modelling_new[[#This Row],[Date]])</f>
        <v>375.44841238064356</v>
      </c>
      <c r="AK298" s="4">
        <f t="shared" si="108"/>
        <v>5.6591249032258082</v>
      </c>
      <c r="AL298" s="4">
        <f>SUMIFS(Modelling_new[Target POA Daily (KWh/m2)],Modelling_new[Month Year],Modelling_new[[#This Row],[Month Year]],Modelling_new[Date],"&lt;="&amp;Modelling_new[[#This Row],[Date]])</f>
        <v>33.954749419354847</v>
      </c>
      <c r="AM298" s="4">
        <f>SUMIFS(Modelling_new[Target POA Daily (KWh/m2)],Modelling_new[Finacial Year],Modelling_new[[#This Row],[Finacial Year]],Modelling_new[Date],"&lt;="&amp;Modelling_new[[#This Row],[Date]])</f>
        <v>33.954749419354847</v>
      </c>
      <c r="AN298" s="9">
        <f>AH298/Modelling_new[[#This Row],[Comisined DC ]]/AK298</f>
        <v>0.86385285472076068</v>
      </c>
      <c r="AO298" s="9">
        <f>AI298/AL298/Modelling_new[[#This Row],[MTD DC Capcity]]</f>
        <v>0.8638528547207609</v>
      </c>
      <c r="AP298" s="9">
        <f>AJ298/AM298/Modelling_new[[#This Row],[YTD DC Capcity]]</f>
        <v>0.8638528547207609</v>
      </c>
      <c r="AQ298" s="9">
        <f>AH298/(24*Modelling_new[[#This Row],[Comisined DC ]])</f>
        <v>0.20369380011970678</v>
      </c>
      <c r="AR298" s="9">
        <f>AI298/(COUNTIFS(Modelling_new[Date],"&lt;="&amp;Modelling_new[[#This Row],[Date]],Modelling_new[Month Year],Modelling_new[[#This Row],[Month Year]])*24*Modelling_new[[#This Row],[MTD DC Capcity]])</f>
        <v>0.20369380011970681</v>
      </c>
      <c r="AS298" s="28">
        <f>AJ298/(COUNTIFS(Modelling_new[Date],"&lt;="&amp;Modelling_new[[#This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0.20369380011970681</v>
      </c>
      <c r="AT298" s="5">
        <v>12.8</v>
      </c>
      <c r="AU298" s="9">
        <f>Modelling_new[[#This Row],[Comisined DC ]]/$AO$1</f>
        <v>1</v>
      </c>
      <c r="AV298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298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298" s="27">
        <f t="shared" si="105"/>
        <v>45297</v>
      </c>
      <c r="BE298" s="5">
        <f>MONTH(Modelling[[#This Row],[Date]])</f>
        <v>1</v>
      </c>
      <c r="BF298" s="25">
        <f>YEAR(BD298)+IF(MONTH(Modelling[[#This Row],[Date]])&gt;=4,1,0)</f>
        <v>2024</v>
      </c>
      <c r="BG298" s="3">
        <f t="shared" si="101"/>
        <v>2024</v>
      </c>
      <c r="BH298" s="3" t="s">
        <v>626</v>
      </c>
      <c r="BI298" s="5" t="s">
        <v>626</v>
      </c>
      <c r="BJ298" s="102">
        <v>45292</v>
      </c>
      <c r="BK298" s="5">
        <f t="shared" si="102"/>
        <v>31</v>
      </c>
      <c r="BL298" s="5">
        <f t="shared" si="103"/>
        <v>1</v>
      </c>
      <c r="BM298" s="4">
        <f>Modelling_old[[#This Row],[Target E_Grid daily
MWh]]+Modelling_new[[#This Row],[Target E_Grid daily
MWh]]</f>
        <v>118.38118700967715</v>
      </c>
      <c r="BN298" s="4">
        <f>Modelling_old[[#This Row],[Target E_Grid MTD
MWh]]+Modelling_new[[#This Row],[Target E_Grid MTD
MWh]]</f>
        <v>710.28712205806289</v>
      </c>
      <c r="BO298" s="4">
        <f>Modelling_old[[#This Row],[Target E_Grid YTD
MWh]]+Modelling_new[[#This Row],[Target E_Grid YTD
MWh]]</f>
        <v>13230.287122058067</v>
      </c>
      <c r="BP29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298" s="4">
        <f>SUMIFS(Modelling[Target POA Daily (KWh/m2)],Modelling[Date],"&lt;="&amp;Modelling[[#This Row],[Date]],Modelling[Month Year],Modelling[[#This Row],[Month Year]])</f>
        <v>37.167248237149096</v>
      </c>
      <c r="BR298" s="4">
        <f>SUMIFS(Modelling[Target POA Daily (KWh/m2)],Modelling[Date],"&lt;="&amp;Modelling[[#This Row],[Date]],Modelling[Finacial Year],Modelling[[#This Row],[Finacial Year]])</f>
        <v>1586.3672482371462</v>
      </c>
      <c r="BS298" s="9">
        <f>BM298/Modelling[[#This Row],[Comisined DC ]]/BP298</f>
        <v>0.78634269848069838</v>
      </c>
      <c r="BT298" s="9">
        <f>BN298/BQ298/Modelling[[#This Row],[Comisined DC ]]</f>
        <v>0.78634269848069849</v>
      </c>
      <c r="BU298" s="9">
        <f>BO298/BR298/Modelling[[#This Row],[Comisined DC ]]</f>
        <v>0.34316569019478527</v>
      </c>
      <c r="BV298" s="9">
        <f>BM298/(24*Modelling[[#This Row],[Comisined DC ]])</f>
        <v>0.20295968245765139</v>
      </c>
      <c r="BW298" s="9">
        <f>BN298/((COUNTIFS(Modelling[Date],"&lt;="&amp;Modelling[[#This Row],[Date]],Modelling[Month Year],Modelling[[#This Row],[Month Year]])*24*Modelling[[#This Row],[MTD DC Capcity]]))</f>
        <v>0.20295968245765139</v>
      </c>
      <c r="BX298" s="28">
        <f>BO298/((COUNTIFS(Modelling[Date],"&lt;="&amp;Modelling[[#This Row],[Date]],Modelling[Finacial Year],Modelling[[#This Row],[Finacial Year]])*24*Modelling[[#This Row],[MTD DC Capcity]]))</f>
        <v>8.0721650599600028E-2</v>
      </c>
      <c r="BY298" s="4">
        <f>Modelling_old[[#This Row],[DC Capcity]]+Modelling_new[[#This Row],[Comisined DC ]]</f>
        <v>24.303100000000001</v>
      </c>
      <c r="BZ298" s="4">
        <v>0</v>
      </c>
      <c r="CA298" s="4">
        <f>AVERAGEIFS(Modelling[[Comisined DC ]],Modelling[Date],"&lt;="&amp;Modelling[[#This Row],[Date]],Modelling[Month Year],Modelling[[#This Row],[Month Year]])</f>
        <v>24.303100000000001</v>
      </c>
      <c r="CB298" s="4">
        <f>AVERAGEIFS(Modelling[[Comisined DC ]],Modelling[Date],"&lt;="&amp;Modelling[[#This Row],[Date]],Modelling[Finacial Year],Modelling[[#This Row],[Finacial Year]])</f>
        <v>11.776409608540867</v>
      </c>
      <c r="CG298">
        <f t="shared" si="109"/>
        <v>6</v>
      </c>
      <c r="CH298">
        <f t="shared" si="106"/>
        <v>281</v>
      </c>
    </row>
    <row r="299" spans="1:86" x14ac:dyDescent="0.35">
      <c r="A299" s="27">
        <v>45298</v>
      </c>
      <c r="B299" s="5">
        <f>MONTH(Modelling_old[[#This Row],[Date]])</f>
        <v>1</v>
      </c>
      <c r="C299" s="25">
        <v>2024</v>
      </c>
      <c r="D299" s="3">
        <f t="shared" si="91"/>
        <v>2024</v>
      </c>
      <c r="E299" s="3" t="s">
        <v>626</v>
      </c>
      <c r="F299" s="5" t="s">
        <v>626</v>
      </c>
      <c r="G299" s="102">
        <v>45292</v>
      </c>
      <c r="H299" s="5">
        <f t="shared" si="92"/>
        <v>31</v>
      </c>
      <c r="I299" s="5">
        <f t="shared" si="93"/>
        <v>1</v>
      </c>
      <c r="J299" s="4">
        <f t="shared" si="94"/>
        <v>55.806451612903224</v>
      </c>
      <c r="K299" s="4">
        <f>SUM($J$293:J299)</f>
        <v>390.64516129032256</v>
      </c>
      <c r="L299" s="4">
        <f>SUM($J$18:J299)</f>
        <v>12910.645161290327</v>
      </c>
      <c r="M299" s="4">
        <f t="shared" si="95"/>
        <v>6.790322580645161</v>
      </c>
      <c r="N299" s="4">
        <f>SUM($M$293:M299)</f>
        <v>47.532258064516128</v>
      </c>
      <c r="O299" s="4">
        <f>SUM($M$18:M299)</f>
        <v>1596.7322580645134</v>
      </c>
      <c r="P299" s="9">
        <f t="shared" si="96"/>
        <v>0.71446195511770638</v>
      </c>
      <c r="Q299" s="26">
        <f t="shared" si="107"/>
        <v>0.71446195511770649</v>
      </c>
      <c r="R299" s="26">
        <f t="shared" si="107"/>
        <v>0.70291198862066262</v>
      </c>
      <c r="S299" s="9">
        <f t="shared" si="97"/>
        <v>0.20214279778531885</v>
      </c>
      <c r="T299" s="9">
        <f>K299/((COUNT($K$293:K299))*24*$Q$1)</f>
        <v>0.20214279778531882</v>
      </c>
      <c r="U299" s="28">
        <f>L299/((COUNT($L$18:L299))*24*$Q$1)</f>
        <v>0.16583366530893737</v>
      </c>
      <c r="V299" s="134">
        <v>11.5031</v>
      </c>
      <c r="Y299" s="27">
        <f t="shared" si="104"/>
        <v>45298</v>
      </c>
      <c r="Z299" s="5">
        <f>MONTH(Modelling_new[[#This Row],[Date]])</f>
        <v>1</v>
      </c>
      <c r="AA299" s="25">
        <f>YEAR(Y299)+IF(MONTH(Modelling_new[[#This Row],[Date]])&gt;=4,1,0)</f>
        <v>2024</v>
      </c>
      <c r="AB299" s="3">
        <f t="shared" si="98"/>
        <v>2024</v>
      </c>
      <c r="AC299" s="3" t="s">
        <v>626</v>
      </c>
      <c r="AD299" s="5" t="s">
        <v>626</v>
      </c>
      <c r="AE299" s="102">
        <v>45292</v>
      </c>
      <c r="AF299" s="5">
        <f t="shared" si="99"/>
        <v>31</v>
      </c>
      <c r="AG299" s="5">
        <f t="shared" si="100"/>
        <v>1</v>
      </c>
      <c r="AH299" s="4">
        <f>(VLOOKUP(AG299,$AA$2:$AK$13,10,0)/AF299)*Modelling_new[[#This Row],[Factor]]</f>
        <v>62.574735396773931</v>
      </c>
      <c r="AI299" s="4">
        <f>SUMIFS(Modelling_new[Target E_Grid daily
MWh],Modelling_new[Month Year],Modelling_new[[#This Row],[Month Year]],Modelling_new[Date],"&lt;="&amp;Modelling_new[[#This Row],[Date]])</f>
        <v>438.02314777741748</v>
      </c>
      <c r="AJ299" s="4">
        <f>SUMIFS(Modelling_new[Target E_Grid daily
MWh],Modelling_new[Finacial Year],Modelling_new[[#This Row],[Finacial Year]],Modelling_new[Date],"&lt;="&amp;Modelling_new[[#This Row],[Date]])</f>
        <v>438.02314777741748</v>
      </c>
      <c r="AK299" s="4">
        <f t="shared" si="108"/>
        <v>5.6591249032258082</v>
      </c>
      <c r="AL299" s="4">
        <f>SUMIFS(Modelling_new[Target POA Daily (KWh/m2)],Modelling_new[Month Year],Modelling_new[[#This Row],[Month Year]],Modelling_new[Date],"&lt;="&amp;Modelling_new[[#This Row],[Date]])</f>
        <v>39.613874322580656</v>
      </c>
      <c r="AM299" s="4">
        <f>SUMIFS(Modelling_new[Target POA Daily (KWh/m2)],Modelling_new[Finacial Year],Modelling_new[[#This Row],[Finacial Year]],Modelling_new[Date],"&lt;="&amp;Modelling_new[[#This Row],[Date]])</f>
        <v>39.613874322580656</v>
      </c>
      <c r="AN299" s="9">
        <f>AH299/Modelling_new[[#This Row],[Comisined DC ]]/AK299</f>
        <v>0.86385285472076068</v>
      </c>
      <c r="AO299" s="9">
        <f>AI299/AL299/Modelling_new[[#This Row],[MTD DC Capcity]]</f>
        <v>0.86385285472076068</v>
      </c>
      <c r="AP299" s="9">
        <f>AJ299/AM299/Modelling_new[[#This Row],[YTD DC Capcity]]</f>
        <v>0.86385285472076068</v>
      </c>
      <c r="AQ299" s="9">
        <f>AH299/(24*Modelling_new[[#This Row],[Comisined DC ]])</f>
        <v>0.20369380011970678</v>
      </c>
      <c r="AR299" s="9">
        <f>AI299/(COUNTIFS(Modelling_new[Date],"&lt;="&amp;Modelling_new[[#This Row],[Date]],Modelling_new[Month Year],Modelling_new[[#This Row],[Month Year]])*24*Modelling_new[[#This Row],[MTD DC Capcity]])</f>
        <v>0.20369380011970684</v>
      </c>
      <c r="AS299" s="28">
        <f>AJ299/(COUNTIFS(Modelling_new[Date],"&lt;="&amp;Modelling_new[[#This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0.20369380011970684</v>
      </c>
      <c r="AT299" s="5">
        <v>12.8</v>
      </c>
      <c r="AU299" s="9">
        <f>Modelling_new[[#This Row],[Comisined DC ]]/$AO$1</f>
        <v>1</v>
      </c>
      <c r="AV299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299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299" s="27">
        <f t="shared" si="105"/>
        <v>45298</v>
      </c>
      <c r="BE299" s="5">
        <f>MONTH(Modelling[[#This Row],[Date]])</f>
        <v>1</v>
      </c>
      <c r="BF299" s="25">
        <f>YEAR(BD299)+IF(MONTH(Modelling[[#This Row],[Date]])&gt;=4,1,0)</f>
        <v>2024</v>
      </c>
      <c r="BG299" s="3">
        <f t="shared" si="101"/>
        <v>2024</v>
      </c>
      <c r="BH299" s="3" t="s">
        <v>626</v>
      </c>
      <c r="BI299" s="5" t="s">
        <v>626</v>
      </c>
      <c r="BJ299" s="102">
        <v>45292</v>
      </c>
      <c r="BK299" s="5">
        <f t="shared" si="102"/>
        <v>31</v>
      </c>
      <c r="BL299" s="5">
        <f t="shared" si="103"/>
        <v>1</v>
      </c>
      <c r="BM299" s="4">
        <f>Modelling_old[[#This Row],[Target E_Grid daily
MWh]]+Modelling_new[[#This Row],[Target E_Grid daily
MWh]]</f>
        <v>118.38118700967715</v>
      </c>
      <c r="BN299" s="4">
        <f>Modelling_old[[#This Row],[Target E_Grid MTD
MWh]]+Modelling_new[[#This Row],[Target E_Grid MTD
MWh]]</f>
        <v>828.66830906773998</v>
      </c>
      <c r="BO299" s="4">
        <f>Modelling_old[[#This Row],[Target E_Grid YTD
MWh]]+Modelling_new[[#This Row],[Target E_Grid YTD
MWh]]</f>
        <v>13348.668309067745</v>
      </c>
      <c r="BP29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299" s="4">
        <f>SUMIFS(Modelling[Target POA Daily (KWh/m2)],Modelling[Date],"&lt;="&amp;Modelling[[#This Row],[Date]],Modelling[Month Year],Modelling[[#This Row],[Month Year]])</f>
        <v>43.361789610007278</v>
      </c>
      <c r="BR299" s="4">
        <f>SUMIFS(Modelling[Target POA Daily (KWh/m2)],Modelling[Date],"&lt;="&amp;Modelling[[#This Row],[Date]],Modelling[Finacial Year],Modelling[[#This Row],[Finacial Year]])</f>
        <v>1592.5617896100043</v>
      </c>
      <c r="BS299" s="9">
        <f>BM299/Modelling[[#This Row],[Comisined DC ]]/BP299</f>
        <v>0.78634269848069838</v>
      </c>
      <c r="BT299" s="9">
        <f>BN299/BQ299/Modelling[[#This Row],[Comisined DC ]]</f>
        <v>0.78634269848069849</v>
      </c>
      <c r="BU299" s="9">
        <f>BO299/BR299/Modelling[[#This Row],[Comisined DC ]]</f>
        <v>0.34488950294179266</v>
      </c>
      <c r="BV299" s="9">
        <f>BM299/(24*Modelling[[#This Row],[Comisined DC ]])</f>
        <v>0.20295968245765139</v>
      </c>
      <c r="BW299" s="9">
        <f>BN299/((COUNTIFS(Modelling[Date],"&lt;="&amp;Modelling[[#This Row],[Date]],Modelling[Month Year],Modelling[[#This Row],[Month Year]])*24*Modelling[[#This Row],[MTD DC Capcity]]))</f>
        <v>0.20295968245765139</v>
      </c>
      <c r="BX299" s="28">
        <f>BO299/((COUNTIFS(Modelling[Date],"&lt;="&amp;Modelling[[#This Row],[Date]],Modelling[Finacial Year],Modelling[[#This Row],[Finacial Year]])*24*Modelling[[#This Row],[MTD DC Capcity]]))</f>
        <v>8.1155118797678213E-2</v>
      </c>
      <c r="BY299" s="4">
        <f>Modelling_old[[#This Row],[DC Capcity]]+Modelling_new[[#This Row],[Comisined DC ]]</f>
        <v>24.303100000000001</v>
      </c>
      <c r="BZ299" s="4">
        <v>0</v>
      </c>
      <c r="CA299" s="4">
        <f>AVERAGEIFS(Modelling[[Comisined DC ]],Modelling[Date],"&lt;="&amp;Modelling[[#This Row],[Date]],Modelling[Month Year],Modelling[[#This Row],[Month Year]])</f>
        <v>24.303100000000001</v>
      </c>
      <c r="CB299" s="4">
        <f>AVERAGEIFS(Modelling[[Comisined DC ]],Modelling[Date],"&lt;="&amp;Modelling[[#This Row],[Date]],Modelling[Finacial Year],Modelling[[#This Row],[Finacial Year]])</f>
        <v>11.820830496453842</v>
      </c>
      <c r="CG299">
        <f t="shared" si="109"/>
        <v>7</v>
      </c>
      <c r="CH299">
        <f t="shared" si="106"/>
        <v>282</v>
      </c>
    </row>
    <row r="300" spans="1:86" x14ac:dyDescent="0.35">
      <c r="A300" s="27">
        <v>45299</v>
      </c>
      <c r="B300" s="5">
        <f>MONTH(Modelling_old[[#This Row],[Date]])</f>
        <v>1</v>
      </c>
      <c r="C300" s="25">
        <v>2024</v>
      </c>
      <c r="D300" s="3">
        <f t="shared" si="91"/>
        <v>2024</v>
      </c>
      <c r="E300" s="3" t="s">
        <v>626</v>
      </c>
      <c r="F300" s="5" t="s">
        <v>626</v>
      </c>
      <c r="G300" s="102">
        <v>45292</v>
      </c>
      <c r="H300" s="5">
        <f t="shared" si="92"/>
        <v>31</v>
      </c>
      <c r="I300" s="5">
        <f t="shared" si="93"/>
        <v>1</v>
      </c>
      <c r="J300" s="4">
        <f t="shared" si="94"/>
        <v>55.806451612903224</v>
      </c>
      <c r="K300" s="4">
        <f>SUM($J$293:J300)</f>
        <v>446.45161290322579</v>
      </c>
      <c r="L300" s="4">
        <f>SUM($J$18:J300)</f>
        <v>12966.451612903231</v>
      </c>
      <c r="M300" s="4">
        <f t="shared" si="95"/>
        <v>6.790322580645161</v>
      </c>
      <c r="N300" s="4">
        <f>SUM($M$293:M300)</f>
        <v>54.322580645161288</v>
      </c>
      <c r="O300" s="4">
        <f>SUM($M$18:M300)</f>
        <v>1603.5225806451585</v>
      </c>
      <c r="P300" s="9">
        <f t="shared" si="96"/>
        <v>0.71446195511770638</v>
      </c>
      <c r="Q300" s="26">
        <f t="shared" si="107"/>
        <v>0.71446195511770649</v>
      </c>
      <c r="R300" s="26">
        <f t="shared" si="107"/>
        <v>0.70296089843911935</v>
      </c>
      <c r="S300" s="9">
        <f t="shared" si="97"/>
        <v>0.20214279778531885</v>
      </c>
      <c r="T300" s="9">
        <f>K300/((COUNT($K$293:K300))*24*$Q$1)</f>
        <v>0.20214279778531885</v>
      </c>
      <c r="U300" s="28">
        <f>L300/((COUNT($L$18:L300))*24*$Q$1)</f>
        <v>0.16596196613040867</v>
      </c>
      <c r="V300" s="134">
        <v>11.5031</v>
      </c>
      <c r="Y300" s="27">
        <f t="shared" si="104"/>
        <v>45299</v>
      </c>
      <c r="Z300" s="5">
        <f>MONTH(Modelling_new[[#This Row],[Date]])</f>
        <v>1</v>
      </c>
      <c r="AA300" s="25">
        <f>YEAR(Y300)+IF(MONTH(Modelling_new[[#This Row],[Date]])&gt;=4,1,0)</f>
        <v>2024</v>
      </c>
      <c r="AB300" s="3">
        <f t="shared" si="98"/>
        <v>2024</v>
      </c>
      <c r="AC300" s="3" t="s">
        <v>626</v>
      </c>
      <c r="AD300" s="5" t="s">
        <v>626</v>
      </c>
      <c r="AE300" s="102">
        <v>45292</v>
      </c>
      <c r="AF300" s="5">
        <f t="shared" si="99"/>
        <v>31</v>
      </c>
      <c r="AG300" s="5">
        <f t="shared" si="100"/>
        <v>1</v>
      </c>
      <c r="AH300" s="4">
        <f>(VLOOKUP(AG300,$AA$2:$AK$13,10,0)/AF300)*Modelling_new[[#This Row],[Factor]]</f>
        <v>62.574735396773931</v>
      </c>
      <c r="AI300" s="4">
        <f>SUMIFS(Modelling_new[Target E_Grid daily
MWh],Modelling_new[Month Year],Modelling_new[[#This Row],[Month Year]],Modelling_new[Date],"&lt;="&amp;Modelling_new[[#This Row],[Date]])</f>
        <v>500.5978831741914</v>
      </c>
      <c r="AJ300" s="4">
        <f>SUMIFS(Modelling_new[Target E_Grid daily
MWh],Modelling_new[Finacial Year],Modelling_new[[#This Row],[Finacial Year]],Modelling_new[Date],"&lt;="&amp;Modelling_new[[#This Row],[Date]])</f>
        <v>500.5978831741914</v>
      </c>
      <c r="AK300" s="4">
        <f t="shared" si="108"/>
        <v>5.6591249032258082</v>
      </c>
      <c r="AL300" s="4">
        <f>SUMIFS(Modelling_new[Target POA Daily (KWh/m2)],Modelling_new[Month Year],Modelling_new[[#This Row],[Month Year]],Modelling_new[Date],"&lt;="&amp;Modelling_new[[#This Row],[Date]])</f>
        <v>45.272999225806466</v>
      </c>
      <c r="AM300" s="4">
        <f>SUMIFS(Modelling_new[Target POA Daily (KWh/m2)],Modelling_new[Finacial Year],Modelling_new[[#This Row],[Finacial Year]],Modelling_new[Date],"&lt;="&amp;Modelling_new[[#This Row],[Date]])</f>
        <v>45.272999225806466</v>
      </c>
      <c r="AN300" s="9">
        <f>AH300/Modelling_new[[#This Row],[Comisined DC ]]/AK300</f>
        <v>0.86385285472076068</v>
      </c>
      <c r="AO300" s="9">
        <f>AI300/AL300/Modelling_new[[#This Row],[MTD DC Capcity]]</f>
        <v>0.86385285472076068</v>
      </c>
      <c r="AP300" s="9">
        <f>AJ300/AM300/Modelling_new[[#This Row],[YTD DC Capcity]]</f>
        <v>0.86385285472076068</v>
      </c>
      <c r="AQ300" s="9">
        <f>AH300/(24*Modelling_new[[#This Row],[Comisined DC ]])</f>
        <v>0.20369380011970678</v>
      </c>
      <c r="AR300" s="9">
        <f>AI300/(COUNTIFS(Modelling_new[Date],"&lt;="&amp;Modelling_new[[#This Row],[Date]],Modelling_new[Month Year],Modelling_new[[#This Row],[Month Year]])*24*Modelling_new[[#This Row],[MTD DC Capcity]])</f>
        <v>0.20369380011970678</v>
      </c>
      <c r="AS300" s="28">
        <f>AJ300/(COUNTIFS(Modelling_new[Date],"&lt;="&amp;Modelling_new[[#This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0.20369380011970678</v>
      </c>
      <c r="AT300" s="5">
        <v>12.8</v>
      </c>
      <c r="AU300" s="9">
        <f>Modelling_new[[#This Row],[Comisined DC ]]/$AO$1</f>
        <v>1</v>
      </c>
      <c r="AV300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00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00" s="27">
        <f t="shared" si="105"/>
        <v>45299</v>
      </c>
      <c r="BE300" s="5">
        <f>MONTH(Modelling[[#This Row],[Date]])</f>
        <v>1</v>
      </c>
      <c r="BF300" s="25">
        <f>YEAR(BD300)+IF(MONTH(Modelling[[#This Row],[Date]])&gt;=4,1,0)</f>
        <v>2024</v>
      </c>
      <c r="BG300" s="3">
        <f t="shared" si="101"/>
        <v>2024</v>
      </c>
      <c r="BH300" s="3" t="s">
        <v>626</v>
      </c>
      <c r="BI300" s="5" t="s">
        <v>626</v>
      </c>
      <c r="BJ300" s="102">
        <v>45292</v>
      </c>
      <c r="BK300" s="5">
        <f t="shared" si="102"/>
        <v>31</v>
      </c>
      <c r="BL300" s="5">
        <f t="shared" si="103"/>
        <v>1</v>
      </c>
      <c r="BM300" s="4">
        <f>Modelling_old[[#This Row],[Target E_Grid daily
MWh]]+Modelling_new[[#This Row],[Target E_Grid daily
MWh]]</f>
        <v>118.38118700967715</v>
      </c>
      <c r="BN300" s="4">
        <f>Modelling_old[[#This Row],[Target E_Grid MTD
MWh]]+Modelling_new[[#This Row],[Target E_Grid MTD
MWh]]</f>
        <v>947.04949607741719</v>
      </c>
      <c r="BO300" s="4">
        <f>Modelling_old[[#This Row],[Target E_Grid YTD
MWh]]+Modelling_new[[#This Row],[Target E_Grid YTD
MWh]]</f>
        <v>13467.049496077423</v>
      </c>
      <c r="BP30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00" s="4">
        <f>SUMIFS(Modelling[Target POA Daily (KWh/m2)],Modelling[Date],"&lt;="&amp;Modelling[[#This Row],[Date]],Modelling[Month Year],Modelling[[#This Row],[Month Year]])</f>
        <v>49.556330982865461</v>
      </c>
      <c r="BR300" s="4">
        <f>SUMIFS(Modelling[Target POA Daily (KWh/m2)],Modelling[Date],"&lt;="&amp;Modelling[[#This Row],[Date]],Modelling[Finacial Year],Modelling[[#This Row],[Finacial Year]])</f>
        <v>1598.7563309828624</v>
      </c>
      <c r="BS300" s="9">
        <f>BM300/Modelling[[#This Row],[Comisined DC ]]/BP300</f>
        <v>0.78634269848069838</v>
      </c>
      <c r="BT300" s="9">
        <f>BN300/BQ300/Modelling[[#This Row],[Comisined DC ]]</f>
        <v>0.78634269848069849</v>
      </c>
      <c r="BU300" s="9">
        <f>BO300/BR300/Modelling[[#This Row],[Comisined DC ]]</f>
        <v>0.34659995751886075</v>
      </c>
      <c r="BV300" s="9">
        <f>BM300/(24*Modelling[[#This Row],[Comisined DC ]])</f>
        <v>0.20295968245765139</v>
      </c>
      <c r="BW300" s="9">
        <f>BN300/((COUNTIFS(Modelling[Date],"&lt;="&amp;Modelling[[#This Row],[Date]],Modelling[Month Year],Modelling[[#This Row],[Month Year]])*24*Modelling[[#This Row],[MTD DC Capcity]]))</f>
        <v>0.20295968245765139</v>
      </c>
      <c r="BX300" s="28">
        <f>BO300/((COUNTIFS(Modelling[Date],"&lt;="&amp;Modelling[[#This Row],[Date]],Modelling[Finacial Year],Modelling[[#This Row],[Finacial Year]])*24*Modelling[[#This Row],[MTD DC Capcity]]))</f>
        <v>8.1585523616264699E-2</v>
      </c>
      <c r="BY300" s="4">
        <f>Modelling_old[[#This Row],[DC Capcity]]+Modelling_new[[#This Row],[Comisined DC ]]</f>
        <v>24.303100000000001</v>
      </c>
      <c r="BZ300" s="4">
        <v>0</v>
      </c>
      <c r="CA300" s="4">
        <f>AVERAGEIFS(Modelling[[Comisined DC ]],Modelling[Date],"&lt;="&amp;Modelling[[#This Row],[Date]],Modelling[Month Year],Modelling[[#This Row],[Month Year]])</f>
        <v>24.303100000000001</v>
      </c>
      <c r="CB300" s="4">
        <f>AVERAGEIFS(Modelling[[Comisined DC ]],Modelling[Date],"&lt;="&amp;Modelling[[#This Row],[Date]],Modelling[Finacial Year],Modelling[[#This Row],[Finacial Year]])</f>
        <v>11.864937455830331</v>
      </c>
      <c r="CG300">
        <f t="shared" si="109"/>
        <v>8</v>
      </c>
      <c r="CH300">
        <f t="shared" si="106"/>
        <v>283</v>
      </c>
    </row>
    <row r="301" spans="1:86" x14ac:dyDescent="0.35">
      <c r="A301" s="27">
        <v>45300</v>
      </c>
      <c r="B301" s="5">
        <f>MONTH(Modelling_old[[#This Row],[Date]])</f>
        <v>1</v>
      </c>
      <c r="C301" s="25">
        <v>2024</v>
      </c>
      <c r="D301" s="3">
        <f t="shared" si="91"/>
        <v>2024</v>
      </c>
      <c r="E301" s="3" t="s">
        <v>626</v>
      </c>
      <c r="F301" s="5" t="s">
        <v>626</v>
      </c>
      <c r="G301" s="102">
        <v>45292</v>
      </c>
      <c r="H301" s="5">
        <f t="shared" si="92"/>
        <v>31</v>
      </c>
      <c r="I301" s="5">
        <f t="shared" si="93"/>
        <v>1</v>
      </c>
      <c r="J301" s="4">
        <f t="shared" si="94"/>
        <v>55.806451612903224</v>
      </c>
      <c r="K301" s="4">
        <f>SUM($J$293:J301)</f>
        <v>502.25806451612902</v>
      </c>
      <c r="L301" s="4">
        <f>SUM($J$18:J301)</f>
        <v>13022.258064516134</v>
      </c>
      <c r="M301" s="4">
        <f t="shared" si="95"/>
        <v>6.790322580645161</v>
      </c>
      <c r="N301" s="4">
        <f>SUM($M$293:M301)</f>
        <v>61.112903225806448</v>
      </c>
      <c r="O301" s="4">
        <f>SUM($M$18:M301)</f>
        <v>1610.3129032258037</v>
      </c>
      <c r="P301" s="9">
        <f t="shared" si="96"/>
        <v>0.71446195511770638</v>
      </c>
      <c r="Q301" s="26">
        <f t="shared" si="107"/>
        <v>0.71446195511770649</v>
      </c>
      <c r="R301" s="26">
        <f t="shared" si="107"/>
        <v>0.70300939577445665</v>
      </c>
      <c r="S301" s="9">
        <f t="shared" si="97"/>
        <v>0.20214279778531885</v>
      </c>
      <c r="T301" s="9">
        <f>K301/((COUNT($K$293:K301))*24*$Q$1)</f>
        <v>0.20214279778531882</v>
      </c>
      <c r="U301" s="28">
        <f>L301/((COUNT($L$18:L301))*24*$Q$1)</f>
        <v>0.16608936342496824</v>
      </c>
      <c r="V301" s="134">
        <v>11.5031</v>
      </c>
      <c r="Y301" s="27">
        <f t="shared" si="104"/>
        <v>45300</v>
      </c>
      <c r="Z301" s="5">
        <f>MONTH(Modelling_new[[#This Row],[Date]])</f>
        <v>1</v>
      </c>
      <c r="AA301" s="25">
        <f>YEAR(Y301)+IF(MONTH(Modelling_new[[#This Row],[Date]])&gt;=4,1,0)</f>
        <v>2024</v>
      </c>
      <c r="AB301" s="3">
        <f t="shared" si="98"/>
        <v>2024</v>
      </c>
      <c r="AC301" s="3" t="s">
        <v>626</v>
      </c>
      <c r="AD301" s="5" t="s">
        <v>626</v>
      </c>
      <c r="AE301" s="102">
        <v>45292</v>
      </c>
      <c r="AF301" s="5">
        <f t="shared" si="99"/>
        <v>31</v>
      </c>
      <c r="AG301" s="5">
        <f t="shared" si="100"/>
        <v>1</v>
      </c>
      <c r="AH301" s="4">
        <f>(VLOOKUP(AG301,$AA$2:$AK$13,10,0)/AF301)*Modelling_new[[#This Row],[Factor]]</f>
        <v>62.574735396773931</v>
      </c>
      <c r="AI301" s="4">
        <f>SUMIFS(Modelling_new[Target E_Grid daily
MWh],Modelling_new[Month Year],Modelling_new[[#This Row],[Month Year]],Modelling_new[Date],"&lt;="&amp;Modelling_new[[#This Row],[Date]])</f>
        <v>563.17261857096537</v>
      </c>
      <c r="AJ301" s="4">
        <f>SUMIFS(Modelling_new[Target E_Grid daily
MWh],Modelling_new[Finacial Year],Modelling_new[[#This Row],[Finacial Year]],Modelling_new[Date],"&lt;="&amp;Modelling_new[[#This Row],[Date]])</f>
        <v>563.17261857096537</v>
      </c>
      <c r="AK301" s="4">
        <f t="shared" si="108"/>
        <v>5.6591249032258082</v>
      </c>
      <c r="AL301" s="4">
        <f>SUMIFS(Modelling_new[Target POA Daily (KWh/m2)],Modelling_new[Month Year],Modelling_new[[#This Row],[Month Year]],Modelling_new[Date],"&lt;="&amp;Modelling_new[[#This Row],[Date]])</f>
        <v>50.932124129032275</v>
      </c>
      <c r="AM301" s="4">
        <f>SUMIFS(Modelling_new[Target POA Daily (KWh/m2)],Modelling_new[Finacial Year],Modelling_new[[#This Row],[Finacial Year]],Modelling_new[Date],"&lt;="&amp;Modelling_new[[#This Row],[Date]])</f>
        <v>50.932124129032275</v>
      </c>
      <c r="AN301" s="9">
        <f>AH301/Modelling_new[[#This Row],[Comisined DC ]]/AK301</f>
        <v>0.86385285472076068</v>
      </c>
      <c r="AO301" s="9">
        <f>AI301/AL301/Modelling_new[[#This Row],[MTD DC Capcity]]</f>
        <v>0.8638528547207609</v>
      </c>
      <c r="AP301" s="9">
        <f>AJ301/AM301/Modelling_new[[#This Row],[YTD DC Capcity]]</f>
        <v>0.8638528547207609</v>
      </c>
      <c r="AQ301" s="9">
        <f>AH301/(24*Modelling_new[[#This Row],[Comisined DC ]])</f>
        <v>0.20369380011970678</v>
      </c>
      <c r="AR301" s="9">
        <f>AI301/(COUNTIFS(Modelling_new[Date],"&lt;="&amp;Modelling_new[[#This Row],[Date]],Modelling_new[Month Year],Modelling_new[[#This Row],[Month Year]])*24*Modelling_new[[#This Row],[MTD DC Capcity]])</f>
        <v>0.20369380011970684</v>
      </c>
      <c r="AS301" s="28">
        <f>AJ301/(COUNTIFS(Modelling_new[Date],"&lt;="&amp;Modelling_new[[#This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0.20369380011970684</v>
      </c>
      <c r="AT301" s="5">
        <v>12.8</v>
      </c>
      <c r="AU301" s="9">
        <f>Modelling_new[[#This Row],[Comisined DC ]]/$AO$1</f>
        <v>1</v>
      </c>
      <c r="AV301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01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01" s="27">
        <f t="shared" si="105"/>
        <v>45300</v>
      </c>
      <c r="BE301" s="5">
        <f>MONTH(Modelling[[#This Row],[Date]])</f>
        <v>1</v>
      </c>
      <c r="BF301" s="25">
        <f>YEAR(BD301)+IF(MONTH(Modelling[[#This Row],[Date]])&gt;=4,1,0)</f>
        <v>2024</v>
      </c>
      <c r="BG301" s="3">
        <f t="shared" si="101"/>
        <v>2024</v>
      </c>
      <c r="BH301" s="3" t="s">
        <v>626</v>
      </c>
      <c r="BI301" s="5" t="s">
        <v>626</v>
      </c>
      <c r="BJ301" s="102">
        <v>45292</v>
      </c>
      <c r="BK301" s="5">
        <f t="shared" si="102"/>
        <v>31</v>
      </c>
      <c r="BL301" s="5">
        <f t="shared" si="103"/>
        <v>1</v>
      </c>
      <c r="BM301" s="4">
        <f>Modelling_old[[#This Row],[Target E_Grid daily
MWh]]+Modelling_new[[#This Row],[Target E_Grid daily
MWh]]</f>
        <v>118.38118700967715</v>
      </c>
      <c r="BN301" s="4">
        <f>Modelling_old[[#This Row],[Target E_Grid MTD
MWh]]+Modelling_new[[#This Row],[Target E_Grid MTD
MWh]]</f>
        <v>1065.4306830870944</v>
      </c>
      <c r="BO301" s="4">
        <f>Modelling_old[[#This Row],[Target E_Grid YTD
MWh]]+Modelling_new[[#This Row],[Target E_Grid YTD
MWh]]</f>
        <v>13585.430683087099</v>
      </c>
      <c r="BP30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01" s="4">
        <f>SUMIFS(Modelling[Target POA Daily (KWh/m2)],Modelling[Date],"&lt;="&amp;Modelling[[#This Row],[Date]],Modelling[Month Year],Modelling[[#This Row],[Month Year]])</f>
        <v>55.750872355723644</v>
      </c>
      <c r="BR301" s="4">
        <f>SUMIFS(Modelling[Target POA Daily (KWh/m2)],Modelling[Date],"&lt;="&amp;Modelling[[#This Row],[Date]],Modelling[Finacial Year],Modelling[[#This Row],[Finacial Year]])</f>
        <v>1604.9508723557205</v>
      </c>
      <c r="BS301" s="9">
        <f>BM301/Modelling[[#This Row],[Comisined DC ]]/BP301</f>
        <v>0.78634269848069838</v>
      </c>
      <c r="BT301" s="9">
        <f>BN301/BQ301/Modelling[[#This Row],[Comisined DC ]]</f>
        <v>0.78634269848069849</v>
      </c>
      <c r="BU301" s="9">
        <f>BO301/BR301/Modelling[[#This Row],[Comisined DC ]]</f>
        <v>0.34829720859939006</v>
      </c>
      <c r="BV301" s="9">
        <f>BM301/(24*Modelling[[#This Row],[Comisined DC ]])</f>
        <v>0.20295968245765139</v>
      </c>
      <c r="BW301" s="9">
        <f>BN301/((COUNTIFS(Modelling[Date],"&lt;="&amp;Modelling[[#This Row],[Date]],Modelling[Month Year],Modelling[[#This Row],[Month Year]])*24*Modelling[[#This Row],[MTD DC Capcity]]))</f>
        <v>0.20295968245765139</v>
      </c>
      <c r="BX301" s="28">
        <f>BO301/((COUNTIFS(Modelling[Date],"&lt;="&amp;Modelling[[#This Row],[Date]],Modelling[Finacial Year],Modelling[[#This Row],[Finacial Year]])*24*Modelling[[#This Row],[MTD DC Capcity]]))</f>
        <v>8.2012897415001978E-2</v>
      </c>
      <c r="BY301" s="4">
        <f>Modelling_old[[#This Row],[DC Capcity]]+Modelling_new[[#This Row],[Comisined DC ]]</f>
        <v>24.303100000000001</v>
      </c>
      <c r="BZ301" s="4">
        <v>0</v>
      </c>
      <c r="CA301" s="4">
        <f>AVERAGEIFS(Modelling[[Comisined DC ]],Modelling[Date],"&lt;="&amp;Modelling[[#This Row],[Date]],Modelling[Month Year],Modelling[[#This Row],[Month Year]])</f>
        <v>24.303100000000001</v>
      </c>
      <c r="CB301" s="4">
        <f>AVERAGEIFS(Modelling[[Comisined DC ]],Modelling[Date],"&lt;="&amp;Modelling[[#This Row],[Date]],Modelling[Finacial Year],Modelling[[#This Row],[Finacial Year]])</f>
        <v>11.908733802816844</v>
      </c>
      <c r="CG301">
        <f t="shared" si="109"/>
        <v>9</v>
      </c>
      <c r="CH301">
        <f t="shared" si="106"/>
        <v>284</v>
      </c>
    </row>
    <row r="302" spans="1:86" x14ac:dyDescent="0.35">
      <c r="A302" s="27">
        <v>45301</v>
      </c>
      <c r="B302" s="5">
        <f>MONTH(Modelling_old[[#This Row],[Date]])</f>
        <v>1</v>
      </c>
      <c r="C302" s="25">
        <v>2024</v>
      </c>
      <c r="D302" s="3">
        <f t="shared" si="91"/>
        <v>2024</v>
      </c>
      <c r="E302" s="3" t="s">
        <v>626</v>
      </c>
      <c r="F302" s="5" t="s">
        <v>626</v>
      </c>
      <c r="G302" s="102">
        <v>45292</v>
      </c>
      <c r="H302" s="5">
        <f t="shared" si="92"/>
        <v>31</v>
      </c>
      <c r="I302" s="5">
        <f t="shared" si="93"/>
        <v>1</v>
      </c>
      <c r="J302" s="4">
        <f t="shared" si="94"/>
        <v>55.806451612903224</v>
      </c>
      <c r="K302" s="4">
        <f>SUM($J$293:J302)</f>
        <v>558.0645161290322</v>
      </c>
      <c r="L302" s="4">
        <f>SUM($J$18:J302)</f>
        <v>13078.064516129038</v>
      </c>
      <c r="M302" s="4">
        <f t="shared" si="95"/>
        <v>6.790322580645161</v>
      </c>
      <c r="N302" s="4">
        <f>SUM($M$293:M302)</f>
        <v>67.903225806451616</v>
      </c>
      <c r="O302" s="4">
        <f>SUM($M$18:M302)</f>
        <v>1617.1032258064488</v>
      </c>
      <c r="P302" s="9">
        <f t="shared" si="96"/>
        <v>0.71446195511770638</v>
      </c>
      <c r="Q302" s="26">
        <f t="shared" si="107"/>
        <v>0.71446195511770627</v>
      </c>
      <c r="R302" s="26">
        <f t="shared" si="107"/>
        <v>0.70305748582280592</v>
      </c>
      <c r="S302" s="9">
        <f t="shared" si="97"/>
        <v>0.20214279778531885</v>
      </c>
      <c r="T302" s="9">
        <f>K302/((COUNT($K$293:K302))*24*$Q$1)</f>
        <v>0.2021427977853188</v>
      </c>
      <c r="U302" s="28">
        <f>L302/((COUNT($L$18:L302))*24*$Q$1)</f>
        <v>0.16621586670342561</v>
      </c>
      <c r="V302" s="134">
        <v>11.5031</v>
      </c>
      <c r="Y302" s="27">
        <f t="shared" si="104"/>
        <v>45301</v>
      </c>
      <c r="Z302" s="5">
        <f>MONTH(Modelling_new[[#This Row],[Date]])</f>
        <v>1</v>
      </c>
      <c r="AA302" s="25">
        <f>YEAR(Y302)+IF(MONTH(Modelling_new[[#This Row],[Date]])&gt;=4,1,0)</f>
        <v>2024</v>
      </c>
      <c r="AB302" s="3">
        <f t="shared" si="98"/>
        <v>2024</v>
      </c>
      <c r="AC302" s="3" t="s">
        <v>626</v>
      </c>
      <c r="AD302" s="5" t="s">
        <v>626</v>
      </c>
      <c r="AE302" s="102">
        <v>45292</v>
      </c>
      <c r="AF302" s="5">
        <f t="shared" si="99"/>
        <v>31</v>
      </c>
      <c r="AG302" s="5">
        <f t="shared" si="100"/>
        <v>1</v>
      </c>
      <c r="AH302" s="4">
        <f>(VLOOKUP(AG302,$AA$2:$AK$13,10,0)/AF302)*Modelling_new[[#This Row],[Factor]]</f>
        <v>62.574735396773931</v>
      </c>
      <c r="AI302" s="4">
        <f>SUMIFS(Modelling_new[Target E_Grid daily
MWh],Modelling_new[Month Year],Modelling_new[[#This Row],[Month Year]],Modelling_new[Date],"&lt;="&amp;Modelling_new[[#This Row],[Date]])</f>
        <v>625.74735396773929</v>
      </c>
      <c r="AJ302" s="4">
        <f>SUMIFS(Modelling_new[Target E_Grid daily
MWh],Modelling_new[Finacial Year],Modelling_new[[#This Row],[Finacial Year]],Modelling_new[Date],"&lt;="&amp;Modelling_new[[#This Row],[Date]])</f>
        <v>625.74735396773929</v>
      </c>
      <c r="AK302" s="4">
        <f t="shared" si="108"/>
        <v>5.6591249032258082</v>
      </c>
      <c r="AL302" s="4">
        <f>SUMIFS(Modelling_new[Target POA Daily (KWh/m2)],Modelling_new[Month Year],Modelling_new[[#This Row],[Month Year]],Modelling_new[Date],"&lt;="&amp;Modelling_new[[#This Row],[Date]])</f>
        <v>56.591249032258084</v>
      </c>
      <c r="AM302" s="4">
        <f>SUMIFS(Modelling_new[Target POA Daily (KWh/m2)],Modelling_new[Finacial Year],Modelling_new[[#This Row],[Finacial Year]],Modelling_new[Date],"&lt;="&amp;Modelling_new[[#This Row],[Date]])</f>
        <v>56.591249032258084</v>
      </c>
      <c r="AN302" s="9">
        <f>AH302/Modelling_new[[#This Row],[Comisined DC ]]/AK302</f>
        <v>0.86385285472076068</v>
      </c>
      <c r="AO302" s="9">
        <f>AI302/AL302/Modelling_new[[#This Row],[MTD DC Capcity]]</f>
        <v>0.86385285472076068</v>
      </c>
      <c r="AP302" s="9">
        <f>AJ302/AM302/Modelling_new[[#This Row],[YTD DC Capcity]]</f>
        <v>0.86385285472076068</v>
      </c>
      <c r="AQ302" s="9">
        <f>AH302/(24*Modelling_new[[#This Row],[Comisined DC ]])</f>
        <v>0.20369380011970678</v>
      </c>
      <c r="AR302" s="9">
        <f>AI302/(COUNTIFS(Modelling_new[Date],"&lt;="&amp;Modelling_new[[#This Row],[Date]],Modelling_new[Month Year],Modelling_new[[#This Row],[Month Year]])*24*Modelling_new[[#This Row],[MTD DC Capcity]])</f>
        <v>0.20369380011970684</v>
      </c>
      <c r="AS302" s="28">
        <f>AJ302/(COUNTIFS(Modelling_new[Date],"&lt;="&amp;Modelling_new[[#This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0.20369380011970684</v>
      </c>
      <c r="AT302" s="5">
        <v>12.8</v>
      </c>
      <c r="AU302" s="9">
        <f>Modelling_new[[#This Row],[Comisined DC ]]/$AO$1</f>
        <v>1</v>
      </c>
      <c r="AV302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02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02" s="27">
        <f t="shared" si="105"/>
        <v>45301</v>
      </c>
      <c r="BE302" s="5">
        <f>MONTH(Modelling[[#This Row],[Date]])</f>
        <v>1</v>
      </c>
      <c r="BF302" s="25">
        <f>YEAR(BD302)+IF(MONTH(Modelling[[#This Row],[Date]])&gt;=4,1,0)</f>
        <v>2024</v>
      </c>
      <c r="BG302" s="3">
        <f t="shared" si="101"/>
        <v>2024</v>
      </c>
      <c r="BH302" s="3" t="s">
        <v>626</v>
      </c>
      <c r="BI302" s="5" t="s">
        <v>626</v>
      </c>
      <c r="BJ302" s="102">
        <v>45292</v>
      </c>
      <c r="BK302" s="5">
        <f t="shared" si="102"/>
        <v>31</v>
      </c>
      <c r="BL302" s="5">
        <f t="shared" si="103"/>
        <v>1</v>
      </c>
      <c r="BM302" s="4">
        <f>Modelling_old[[#This Row],[Target E_Grid daily
MWh]]+Modelling_new[[#This Row],[Target E_Grid daily
MWh]]</f>
        <v>118.38118700967715</v>
      </c>
      <c r="BN302" s="4">
        <f>Modelling_old[[#This Row],[Target E_Grid MTD
MWh]]+Modelling_new[[#This Row],[Target E_Grid MTD
MWh]]</f>
        <v>1183.8118700967716</v>
      </c>
      <c r="BO302" s="4">
        <f>Modelling_old[[#This Row],[Target E_Grid YTD
MWh]]+Modelling_new[[#This Row],[Target E_Grid YTD
MWh]]</f>
        <v>13703.811870096777</v>
      </c>
      <c r="BP30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02" s="4">
        <f>SUMIFS(Modelling[Target POA Daily (KWh/m2)],Modelling[Date],"&lt;="&amp;Modelling[[#This Row],[Date]],Modelling[Month Year],Modelling[[#This Row],[Month Year]])</f>
        <v>61.945413728581826</v>
      </c>
      <c r="BR302" s="4">
        <f>SUMIFS(Modelling[Target POA Daily (KWh/m2)],Modelling[Date],"&lt;="&amp;Modelling[[#This Row],[Date]],Modelling[Finacial Year],Modelling[[#This Row],[Finacial Year]])</f>
        <v>1611.1454137285787</v>
      </c>
      <c r="BS302" s="9">
        <f>BM302/Modelling[[#This Row],[Comisined DC ]]/BP302</f>
        <v>0.78634269848069838</v>
      </c>
      <c r="BT302" s="9">
        <f>BN302/BQ302/Modelling[[#This Row],[Comisined DC ]]</f>
        <v>0.78634269848069849</v>
      </c>
      <c r="BU302" s="9">
        <f>BO302/BR302/Modelling[[#This Row],[Comisined DC ]]</f>
        <v>0.34998140847802423</v>
      </c>
      <c r="BV302" s="9">
        <f>BM302/(24*Modelling[[#This Row],[Comisined DC ]])</f>
        <v>0.20295968245765139</v>
      </c>
      <c r="BW302" s="9">
        <f>BN302/((COUNTIFS(Modelling[Date],"&lt;="&amp;Modelling[[#This Row],[Date]],Modelling[Month Year],Modelling[[#This Row],[Month Year]])*24*Modelling[[#This Row],[MTD DC Capcity]]))</f>
        <v>0.20295968245765139</v>
      </c>
      <c r="BX302" s="28">
        <f>BO302/((COUNTIFS(Modelling[Date],"&lt;="&amp;Modelling[[#This Row],[Date]],Modelling[Finacial Year],Modelling[[#This Row],[Finacial Year]])*24*Modelling[[#This Row],[MTD DC Capcity]]))</f>
        <v>8.2437272099362149E-2</v>
      </c>
      <c r="BY302" s="4">
        <f>Modelling_old[[#This Row],[DC Capcity]]+Modelling_new[[#This Row],[Comisined DC ]]</f>
        <v>24.303100000000001</v>
      </c>
      <c r="BZ302" s="4">
        <v>0</v>
      </c>
      <c r="CA302" s="4">
        <f>AVERAGEIFS(Modelling[[Comisined DC ]],Modelling[Date],"&lt;="&amp;Modelling[[#This Row],[Date]],Modelling[Month Year],Modelling[[#This Row],[Month Year]])</f>
        <v>24.303100000000001</v>
      </c>
      <c r="CB302" s="4">
        <f>AVERAGEIFS(Modelling[[Comisined DC ]],Modelling[Date],"&lt;="&amp;Modelling[[#This Row],[Date]],Modelling[Finacial Year],Modelling[[#This Row],[Finacial Year]])</f>
        <v>11.952222807017488</v>
      </c>
      <c r="CG302">
        <f t="shared" si="109"/>
        <v>10</v>
      </c>
      <c r="CH302">
        <f t="shared" si="106"/>
        <v>285</v>
      </c>
    </row>
    <row r="303" spans="1:86" x14ac:dyDescent="0.35">
      <c r="A303" s="27">
        <v>45302</v>
      </c>
      <c r="B303" s="5">
        <f>MONTH(Modelling_old[[#This Row],[Date]])</f>
        <v>1</v>
      </c>
      <c r="C303" s="25">
        <v>2024</v>
      </c>
      <c r="D303" s="3">
        <f t="shared" si="91"/>
        <v>2024</v>
      </c>
      <c r="E303" s="3" t="s">
        <v>626</v>
      </c>
      <c r="F303" s="5" t="s">
        <v>626</v>
      </c>
      <c r="G303" s="102">
        <v>45292</v>
      </c>
      <c r="H303" s="5">
        <f t="shared" si="92"/>
        <v>31</v>
      </c>
      <c r="I303" s="5">
        <f t="shared" si="93"/>
        <v>1</v>
      </c>
      <c r="J303" s="4">
        <f t="shared" si="94"/>
        <v>55.806451612903224</v>
      </c>
      <c r="K303" s="4">
        <f>SUM($J$293:J303)</f>
        <v>613.87096774193537</v>
      </c>
      <c r="L303" s="4">
        <f>SUM($J$18:J303)</f>
        <v>13133.870967741941</v>
      </c>
      <c r="M303" s="4">
        <f t="shared" si="95"/>
        <v>6.790322580645161</v>
      </c>
      <c r="N303" s="4">
        <f>SUM($M$293:M303)</f>
        <v>74.693548387096783</v>
      </c>
      <c r="O303" s="4">
        <f>SUM($M$18:M303)</f>
        <v>1623.8935483870939</v>
      </c>
      <c r="P303" s="9">
        <f t="shared" si="96"/>
        <v>0.71446195511770638</v>
      </c>
      <c r="Q303" s="26">
        <f t="shared" si="107"/>
        <v>0.71446195511770627</v>
      </c>
      <c r="R303" s="26">
        <f t="shared" si="107"/>
        <v>0.70310517369338743</v>
      </c>
      <c r="S303" s="9">
        <f t="shared" si="97"/>
        <v>0.20214279778531885</v>
      </c>
      <c r="T303" s="9">
        <f>K303/((COUNT($K$293:K303))*24*$Q$1)</f>
        <v>0.2021427977853188</v>
      </c>
      <c r="U303" s="28">
        <f>L303/((COUNT($L$18:L303))*24*$Q$1)</f>
        <v>0.1663414853435721</v>
      </c>
      <c r="V303" s="134">
        <v>11.5031</v>
      </c>
      <c r="Y303" s="27">
        <f t="shared" si="104"/>
        <v>45302</v>
      </c>
      <c r="Z303" s="5">
        <f>MONTH(Modelling_new[[#This Row],[Date]])</f>
        <v>1</v>
      </c>
      <c r="AA303" s="25">
        <f>YEAR(Y303)+IF(MONTH(Modelling_new[[#This Row],[Date]])&gt;=4,1,0)</f>
        <v>2024</v>
      </c>
      <c r="AB303" s="3">
        <f t="shared" si="98"/>
        <v>2024</v>
      </c>
      <c r="AC303" s="3" t="s">
        <v>626</v>
      </c>
      <c r="AD303" s="5" t="s">
        <v>626</v>
      </c>
      <c r="AE303" s="102">
        <v>45292</v>
      </c>
      <c r="AF303" s="5">
        <f t="shared" si="99"/>
        <v>31</v>
      </c>
      <c r="AG303" s="5">
        <f t="shared" si="100"/>
        <v>1</v>
      </c>
      <c r="AH303" s="4">
        <f>(VLOOKUP(AG303,$AA$2:$AK$13,10,0)/AF303)*Modelling_new[[#This Row],[Factor]]</f>
        <v>62.574735396773931</v>
      </c>
      <c r="AI303" s="4">
        <f>SUMIFS(Modelling_new[Target E_Grid daily
MWh],Modelling_new[Month Year],Modelling_new[[#This Row],[Month Year]],Modelling_new[Date],"&lt;="&amp;Modelling_new[[#This Row],[Date]])</f>
        <v>688.3220893645132</v>
      </c>
      <c r="AJ303" s="4">
        <f>SUMIFS(Modelling_new[Target E_Grid daily
MWh],Modelling_new[Finacial Year],Modelling_new[[#This Row],[Finacial Year]],Modelling_new[Date],"&lt;="&amp;Modelling_new[[#This Row],[Date]])</f>
        <v>688.3220893645132</v>
      </c>
      <c r="AK303" s="4">
        <f t="shared" si="108"/>
        <v>5.6591249032258082</v>
      </c>
      <c r="AL303" s="4">
        <f>SUMIFS(Modelling_new[Target POA Daily (KWh/m2)],Modelling_new[Month Year],Modelling_new[[#This Row],[Month Year]],Modelling_new[Date],"&lt;="&amp;Modelling_new[[#This Row],[Date]])</f>
        <v>62.250373935483893</v>
      </c>
      <c r="AM303" s="4">
        <f>SUMIFS(Modelling_new[Target POA Daily (KWh/m2)],Modelling_new[Finacial Year],Modelling_new[[#This Row],[Finacial Year]],Modelling_new[Date],"&lt;="&amp;Modelling_new[[#This Row],[Date]])</f>
        <v>62.250373935483893</v>
      </c>
      <c r="AN303" s="9">
        <f>AH303/Modelling_new[[#This Row],[Comisined DC ]]/AK303</f>
        <v>0.86385285472076068</v>
      </c>
      <c r="AO303" s="9">
        <f>AI303/AL303/Modelling_new[[#This Row],[MTD DC Capcity]]</f>
        <v>0.86385285472076068</v>
      </c>
      <c r="AP303" s="9">
        <f>AJ303/AM303/Modelling_new[[#This Row],[YTD DC Capcity]]</f>
        <v>0.86385285472076068</v>
      </c>
      <c r="AQ303" s="9">
        <f>AH303/(24*Modelling_new[[#This Row],[Comisined DC ]])</f>
        <v>0.20369380011970678</v>
      </c>
      <c r="AR303" s="9">
        <f>AI303/(COUNTIFS(Modelling_new[Date],"&lt;="&amp;Modelling_new[[#This Row],[Date]],Modelling_new[Month Year],Modelling_new[[#This Row],[Month Year]])*24*Modelling_new[[#This Row],[MTD DC Capcity]])</f>
        <v>0.20369380011970681</v>
      </c>
      <c r="AS303" s="28">
        <f>AJ303/(COUNTIFS(Modelling_new[Date],"&lt;="&amp;Modelling_new[[#This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0.20369380011970681</v>
      </c>
      <c r="AT303" s="5">
        <v>12.8</v>
      </c>
      <c r="AU303" s="9">
        <f>Modelling_new[[#This Row],[Comisined DC ]]/$AO$1</f>
        <v>1</v>
      </c>
      <c r="AV30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03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03" s="27">
        <f t="shared" si="105"/>
        <v>45302</v>
      </c>
      <c r="BE303" s="5">
        <f>MONTH(Modelling[[#This Row],[Date]])</f>
        <v>1</v>
      </c>
      <c r="BF303" s="25">
        <f>YEAR(BD303)+IF(MONTH(Modelling[[#This Row],[Date]])&gt;=4,1,0)</f>
        <v>2024</v>
      </c>
      <c r="BG303" s="3">
        <f t="shared" si="101"/>
        <v>2024</v>
      </c>
      <c r="BH303" s="3" t="s">
        <v>626</v>
      </c>
      <c r="BI303" s="5" t="s">
        <v>626</v>
      </c>
      <c r="BJ303" s="102">
        <v>45292</v>
      </c>
      <c r="BK303" s="5">
        <f t="shared" si="102"/>
        <v>31</v>
      </c>
      <c r="BL303" s="5">
        <f t="shared" si="103"/>
        <v>1</v>
      </c>
      <c r="BM303" s="4">
        <f>Modelling_old[[#This Row],[Target E_Grid daily
MWh]]+Modelling_new[[#This Row],[Target E_Grid daily
MWh]]</f>
        <v>118.38118700967715</v>
      </c>
      <c r="BN303" s="4">
        <f>Modelling_old[[#This Row],[Target E_Grid MTD
MWh]]+Modelling_new[[#This Row],[Target E_Grid MTD
MWh]]</f>
        <v>1302.1930571064486</v>
      </c>
      <c r="BO303" s="4">
        <f>Modelling_old[[#This Row],[Target E_Grid YTD
MWh]]+Modelling_new[[#This Row],[Target E_Grid YTD
MWh]]</f>
        <v>13822.193057106455</v>
      </c>
      <c r="BP30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03" s="4">
        <f>SUMIFS(Modelling[Target POA Daily (KWh/m2)],Modelling[Date],"&lt;="&amp;Modelling[[#This Row],[Date]],Modelling[Month Year],Modelling[[#This Row],[Month Year]])</f>
        <v>68.139955101440009</v>
      </c>
      <c r="BR303" s="4">
        <f>SUMIFS(Modelling[Target POA Daily (KWh/m2)],Modelling[Date],"&lt;="&amp;Modelling[[#This Row],[Date]],Modelling[Finacial Year],Modelling[[#This Row],[Finacial Year]])</f>
        <v>1617.3399551014368</v>
      </c>
      <c r="BS303" s="9">
        <f>BM303/Modelling[[#This Row],[Comisined DC ]]/BP303</f>
        <v>0.78634269848069838</v>
      </c>
      <c r="BT303" s="9">
        <f>BN303/BQ303/Modelling[[#This Row],[Comisined DC ]]</f>
        <v>0.78634269848069849</v>
      </c>
      <c r="BU303" s="9">
        <f>BO303/BR303/Modelling[[#This Row],[Comisined DC ]]</f>
        <v>0.35165270711620444</v>
      </c>
      <c r="BV303" s="9">
        <f>BM303/(24*Modelling[[#This Row],[Comisined DC ]])</f>
        <v>0.20295968245765139</v>
      </c>
      <c r="BW303" s="9">
        <f>BN303/((COUNTIFS(Modelling[Date],"&lt;="&amp;Modelling[[#This Row],[Date]],Modelling[Month Year],Modelling[[#This Row],[Month Year]])*24*Modelling[[#This Row],[MTD DC Capcity]]))</f>
        <v>0.20295968245765136</v>
      </c>
      <c r="BX303" s="28">
        <f>BO303/((COUNTIFS(Modelling[Date],"&lt;="&amp;Modelling[[#This Row],[Date]],Modelling[Finacial Year],Modelling[[#This Row],[Finacial Year]])*24*Modelling[[#This Row],[MTD DC Capcity]]))</f>
        <v>8.2858679128586937E-2</v>
      </c>
      <c r="BY303" s="4">
        <f>Modelling_old[[#This Row],[DC Capcity]]+Modelling_new[[#This Row],[Comisined DC ]]</f>
        <v>24.303100000000001</v>
      </c>
      <c r="BZ303" s="4">
        <v>0</v>
      </c>
      <c r="CA303" s="4">
        <f>AVERAGEIFS(Modelling[[Comisined DC ]],Modelling[Date],"&lt;="&amp;Modelling[[#This Row],[Date]],Modelling[Month Year],Modelling[[#This Row],[Month Year]])</f>
        <v>24.303100000000004</v>
      </c>
      <c r="CB303" s="4">
        <f>AVERAGEIFS(Modelling[[Comisined DC ]],Modelling[Date],"&lt;="&amp;Modelling[[#This Row],[Date]],Modelling[Finacial Year],Modelling[[#This Row],[Finacial Year]])</f>
        <v>11.995407692307637</v>
      </c>
      <c r="CG303">
        <f t="shared" si="109"/>
        <v>11</v>
      </c>
      <c r="CH303">
        <f t="shared" si="106"/>
        <v>286</v>
      </c>
    </row>
    <row r="304" spans="1:86" x14ac:dyDescent="0.35">
      <c r="A304" s="27">
        <v>45303</v>
      </c>
      <c r="B304" s="5">
        <f>MONTH(Modelling_old[[#This Row],[Date]])</f>
        <v>1</v>
      </c>
      <c r="C304" s="25">
        <v>2024</v>
      </c>
      <c r="D304" s="3">
        <f t="shared" si="91"/>
        <v>2024</v>
      </c>
      <c r="E304" s="3" t="s">
        <v>626</v>
      </c>
      <c r="F304" s="5" t="s">
        <v>626</v>
      </c>
      <c r="G304" s="102">
        <v>45292</v>
      </c>
      <c r="H304" s="5">
        <f t="shared" si="92"/>
        <v>31</v>
      </c>
      <c r="I304" s="5">
        <f t="shared" si="93"/>
        <v>1</v>
      </c>
      <c r="J304" s="4">
        <f t="shared" si="94"/>
        <v>55.806451612903224</v>
      </c>
      <c r="K304" s="4">
        <f>SUM($J$293:J304)</f>
        <v>669.67741935483855</v>
      </c>
      <c r="L304" s="4">
        <f>SUM($J$18:J304)</f>
        <v>13189.677419354844</v>
      </c>
      <c r="M304" s="4">
        <f t="shared" si="95"/>
        <v>6.790322580645161</v>
      </c>
      <c r="N304" s="4">
        <f>SUM($M$293:M304)</f>
        <v>81.48387096774195</v>
      </c>
      <c r="O304" s="4">
        <f>SUM($M$18:M304)</f>
        <v>1630.683870967739</v>
      </c>
      <c r="P304" s="9">
        <f t="shared" si="96"/>
        <v>0.71446195511770638</v>
      </c>
      <c r="Q304" s="26">
        <f t="shared" si="107"/>
        <v>0.71446195511770616</v>
      </c>
      <c r="R304" s="26">
        <f t="shared" si="107"/>
        <v>0.70315246441032031</v>
      </c>
      <c r="S304" s="9">
        <f t="shared" si="97"/>
        <v>0.20214279778531885</v>
      </c>
      <c r="T304" s="9">
        <f>K304/((COUNT($K$293:K304))*24*$Q$1)</f>
        <v>0.20214279778531877</v>
      </c>
      <c r="U304" s="28">
        <f>L304/((COUNT($L$18:L304))*24*$Q$1)</f>
        <v>0.16646622859249804</v>
      </c>
      <c r="V304" s="134">
        <v>11.5031</v>
      </c>
      <c r="Y304" s="27">
        <f t="shared" si="104"/>
        <v>45303</v>
      </c>
      <c r="Z304" s="5">
        <f>MONTH(Modelling_new[[#This Row],[Date]])</f>
        <v>1</v>
      </c>
      <c r="AA304" s="25">
        <f>YEAR(Y304)+IF(MONTH(Modelling_new[[#This Row],[Date]])&gt;=4,1,0)</f>
        <v>2024</v>
      </c>
      <c r="AB304" s="3">
        <f t="shared" si="98"/>
        <v>2024</v>
      </c>
      <c r="AC304" s="3" t="s">
        <v>626</v>
      </c>
      <c r="AD304" s="5" t="s">
        <v>626</v>
      </c>
      <c r="AE304" s="102">
        <v>45292</v>
      </c>
      <c r="AF304" s="5">
        <f t="shared" si="99"/>
        <v>31</v>
      </c>
      <c r="AG304" s="5">
        <f t="shared" si="100"/>
        <v>1</v>
      </c>
      <c r="AH304" s="4">
        <f>(VLOOKUP(AG304,$AA$2:$AK$13,10,0)/AF304)*Modelling_new[[#This Row],[Factor]]</f>
        <v>62.574735396773931</v>
      </c>
      <c r="AI304" s="4">
        <f>SUMIFS(Modelling_new[Target E_Grid daily
MWh],Modelling_new[Month Year],Modelling_new[[#This Row],[Month Year]],Modelling_new[Date],"&lt;="&amp;Modelling_new[[#This Row],[Date]])</f>
        <v>750.89682476128712</v>
      </c>
      <c r="AJ304" s="4">
        <f>SUMIFS(Modelling_new[Target E_Grid daily
MWh],Modelling_new[Finacial Year],Modelling_new[[#This Row],[Finacial Year]],Modelling_new[Date],"&lt;="&amp;Modelling_new[[#This Row],[Date]])</f>
        <v>750.89682476128712</v>
      </c>
      <c r="AK304" s="4">
        <f t="shared" si="108"/>
        <v>5.6591249032258082</v>
      </c>
      <c r="AL304" s="4">
        <f>SUMIFS(Modelling_new[Target POA Daily (KWh/m2)],Modelling_new[Month Year],Modelling_new[[#This Row],[Month Year]],Modelling_new[Date],"&lt;="&amp;Modelling_new[[#This Row],[Date]])</f>
        <v>67.909498838709695</v>
      </c>
      <c r="AM304" s="4">
        <f>SUMIFS(Modelling_new[Target POA Daily (KWh/m2)],Modelling_new[Finacial Year],Modelling_new[[#This Row],[Finacial Year]],Modelling_new[Date],"&lt;="&amp;Modelling_new[[#This Row],[Date]])</f>
        <v>67.909498838709695</v>
      </c>
      <c r="AN304" s="9">
        <f>AH304/Modelling_new[[#This Row],[Comisined DC ]]/AK304</f>
        <v>0.86385285472076068</v>
      </c>
      <c r="AO304" s="9">
        <f>AI304/AL304/Modelling_new[[#This Row],[MTD DC Capcity]]</f>
        <v>0.8638528547207609</v>
      </c>
      <c r="AP304" s="9">
        <f>AJ304/AM304/Modelling_new[[#This Row],[YTD DC Capcity]]</f>
        <v>0.8638528547207609</v>
      </c>
      <c r="AQ304" s="9">
        <f>AH304/(24*Modelling_new[[#This Row],[Comisined DC ]])</f>
        <v>0.20369380011970678</v>
      </c>
      <c r="AR304" s="9">
        <f>AI304/(COUNTIFS(Modelling_new[Date],"&lt;="&amp;Modelling_new[[#This Row],[Date]],Modelling_new[Month Year],Modelling_new[[#This Row],[Month Year]])*24*Modelling_new[[#This Row],[MTD DC Capcity]])</f>
        <v>0.20369380011970681</v>
      </c>
      <c r="AS304" s="28">
        <f>AJ304/(COUNTIFS(Modelling_new[Date],"&lt;="&amp;Modelling_new[[#This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0.20369380011970681</v>
      </c>
      <c r="AT304" s="5">
        <v>12.8</v>
      </c>
      <c r="AU304" s="9">
        <f>Modelling_new[[#This Row],[Comisined DC ]]/$AO$1</f>
        <v>1</v>
      </c>
      <c r="AV30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04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04" s="27">
        <f t="shared" si="105"/>
        <v>45303</v>
      </c>
      <c r="BE304" s="5">
        <f>MONTH(Modelling[[#This Row],[Date]])</f>
        <v>1</v>
      </c>
      <c r="BF304" s="25">
        <f>YEAR(BD304)+IF(MONTH(Modelling[[#This Row],[Date]])&gt;=4,1,0)</f>
        <v>2024</v>
      </c>
      <c r="BG304" s="3">
        <f t="shared" si="101"/>
        <v>2024</v>
      </c>
      <c r="BH304" s="3" t="s">
        <v>626</v>
      </c>
      <c r="BI304" s="5" t="s">
        <v>626</v>
      </c>
      <c r="BJ304" s="102">
        <v>45292</v>
      </c>
      <c r="BK304" s="5">
        <f t="shared" si="102"/>
        <v>31</v>
      </c>
      <c r="BL304" s="5">
        <f t="shared" si="103"/>
        <v>1</v>
      </c>
      <c r="BM304" s="4">
        <f>Modelling_old[[#This Row],[Target E_Grid daily
MWh]]+Modelling_new[[#This Row],[Target E_Grid daily
MWh]]</f>
        <v>118.38118700967715</v>
      </c>
      <c r="BN304" s="4">
        <f>Modelling_old[[#This Row],[Target E_Grid MTD
MWh]]+Modelling_new[[#This Row],[Target E_Grid MTD
MWh]]</f>
        <v>1420.5742441161256</v>
      </c>
      <c r="BO304" s="4">
        <f>Modelling_old[[#This Row],[Target E_Grid YTD
MWh]]+Modelling_new[[#This Row],[Target E_Grid YTD
MWh]]</f>
        <v>13940.574244116131</v>
      </c>
      <c r="BP30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04" s="4">
        <f>SUMIFS(Modelling[Target POA Daily (KWh/m2)],Modelling[Date],"&lt;="&amp;Modelling[[#This Row],[Date]],Modelling[Month Year],Modelling[[#This Row],[Month Year]])</f>
        <v>74.334496474298192</v>
      </c>
      <c r="BR304" s="4">
        <f>SUMIFS(Modelling[Target POA Daily (KWh/m2)],Modelling[Date],"&lt;="&amp;Modelling[[#This Row],[Date]],Modelling[Finacial Year],Modelling[[#This Row],[Finacial Year]])</f>
        <v>1623.5344964742949</v>
      </c>
      <c r="BS304" s="9">
        <f>BM304/Modelling[[#This Row],[Comisined DC ]]/BP304</f>
        <v>0.78634269848069838</v>
      </c>
      <c r="BT304" s="9">
        <f>BN304/BQ304/Modelling[[#This Row],[Comisined DC ]]</f>
        <v>0.78634269848069827</v>
      </c>
      <c r="BU304" s="9">
        <f>BO304/BR304/Modelling[[#This Row],[Comisined DC ]]</f>
        <v>0.35331125218668019</v>
      </c>
      <c r="BV304" s="9">
        <f>BM304/(24*Modelling[[#This Row],[Comisined DC ]])</f>
        <v>0.20295968245765139</v>
      </c>
      <c r="BW304" s="9">
        <f>BN304/((COUNTIFS(Modelling[Date],"&lt;="&amp;Modelling[[#This Row],[Date]],Modelling[Month Year],Modelling[[#This Row],[Month Year]])*24*Modelling[[#This Row],[MTD DC Capcity]]))</f>
        <v>0.20295968245765136</v>
      </c>
      <c r="BX304" s="28">
        <f>BO304/((COUNTIFS(Modelling[Date],"&lt;="&amp;Modelling[[#This Row],[Date]],Modelling[Finacial Year],Modelling[[#This Row],[Finacial Year]])*24*Modelling[[#This Row],[MTD DC Capcity]]))</f>
        <v>8.3277149523461713E-2</v>
      </c>
      <c r="BY304" s="4">
        <f>Modelling_old[[#This Row],[DC Capcity]]+Modelling_new[[#This Row],[Comisined DC ]]</f>
        <v>24.303100000000001</v>
      </c>
      <c r="BZ304" s="4">
        <v>0</v>
      </c>
      <c r="CA304" s="4">
        <f>AVERAGEIFS(Modelling[[Comisined DC ]],Modelling[Date],"&lt;="&amp;Modelling[[#This Row],[Date]],Modelling[Month Year],Modelling[[#This Row],[Month Year]])</f>
        <v>24.303100000000001</v>
      </c>
      <c r="CB304" s="4">
        <f>AVERAGEIFS(Modelling[[Comisined DC ]],Modelling[Date],"&lt;="&amp;Modelling[[#This Row],[Date]],Modelling[Finacial Year],Modelling[[#This Row],[Finacial Year]])</f>
        <v>12.038291637630607</v>
      </c>
      <c r="CG304">
        <f t="shared" si="109"/>
        <v>12</v>
      </c>
      <c r="CH304">
        <f t="shared" si="106"/>
        <v>287</v>
      </c>
    </row>
    <row r="305" spans="1:86" x14ac:dyDescent="0.35">
      <c r="A305" s="27">
        <v>45304</v>
      </c>
      <c r="B305" s="5">
        <f>MONTH(Modelling_old[[#This Row],[Date]])</f>
        <v>1</v>
      </c>
      <c r="C305" s="25">
        <v>2024</v>
      </c>
      <c r="D305" s="3">
        <f t="shared" si="91"/>
        <v>2024</v>
      </c>
      <c r="E305" s="3" t="s">
        <v>626</v>
      </c>
      <c r="F305" s="5" t="s">
        <v>626</v>
      </c>
      <c r="G305" s="102">
        <v>45292</v>
      </c>
      <c r="H305" s="5">
        <f t="shared" si="92"/>
        <v>31</v>
      </c>
      <c r="I305" s="5">
        <f t="shared" si="93"/>
        <v>1</v>
      </c>
      <c r="J305" s="4">
        <f t="shared" si="94"/>
        <v>55.806451612903224</v>
      </c>
      <c r="K305" s="4">
        <f>SUM($J$293:J305)</f>
        <v>725.48387096774172</v>
      </c>
      <c r="L305" s="4">
        <f>SUM($J$18:J305)</f>
        <v>13245.483870967748</v>
      </c>
      <c r="M305" s="4">
        <f t="shared" si="95"/>
        <v>6.790322580645161</v>
      </c>
      <c r="N305" s="4">
        <f>SUM($M$293:M305)</f>
        <v>88.274193548387117</v>
      </c>
      <c r="O305" s="4">
        <f>SUM($M$18:M305)</f>
        <v>1637.4741935483842</v>
      </c>
      <c r="P305" s="9">
        <f t="shared" si="96"/>
        <v>0.71446195511770638</v>
      </c>
      <c r="Q305" s="26">
        <f t="shared" si="107"/>
        <v>0.71446195511770616</v>
      </c>
      <c r="R305" s="26">
        <f t="shared" si="107"/>
        <v>0.70319936291438756</v>
      </c>
      <c r="S305" s="9">
        <f t="shared" si="97"/>
        <v>0.20214279778531885</v>
      </c>
      <c r="T305" s="9">
        <f>K305/((COUNT($K$293:K305))*24*$Q$1)</f>
        <v>0.20214279778531877</v>
      </c>
      <c r="U305" s="28">
        <f>L305/((COUNT($L$18:L305))*24*$Q$1)</f>
        <v>0.166590105568862</v>
      </c>
      <c r="V305" s="134">
        <v>11.5031</v>
      </c>
      <c r="Y305" s="27">
        <f t="shared" si="104"/>
        <v>45304</v>
      </c>
      <c r="Z305" s="5">
        <f>MONTH(Modelling_new[[#This Row],[Date]])</f>
        <v>1</v>
      </c>
      <c r="AA305" s="25">
        <f>YEAR(Y305)+IF(MONTH(Modelling_new[[#This Row],[Date]])&gt;=4,1,0)</f>
        <v>2024</v>
      </c>
      <c r="AB305" s="3">
        <f t="shared" si="98"/>
        <v>2024</v>
      </c>
      <c r="AC305" s="3" t="s">
        <v>626</v>
      </c>
      <c r="AD305" s="5" t="s">
        <v>626</v>
      </c>
      <c r="AE305" s="102">
        <v>45292</v>
      </c>
      <c r="AF305" s="5">
        <f t="shared" si="99"/>
        <v>31</v>
      </c>
      <c r="AG305" s="5">
        <f t="shared" si="100"/>
        <v>1</v>
      </c>
      <c r="AH305" s="4">
        <f>(VLOOKUP(AG305,$AA$2:$AK$13,10,0)/AF305)*Modelling_new[[#This Row],[Factor]]</f>
        <v>62.574735396773931</v>
      </c>
      <c r="AI305" s="4">
        <f>SUMIFS(Modelling_new[Target E_Grid daily
MWh],Modelling_new[Month Year],Modelling_new[[#This Row],[Month Year]],Modelling_new[Date],"&lt;="&amp;Modelling_new[[#This Row],[Date]])</f>
        <v>813.47156015806104</v>
      </c>
      <c r="AJ305" s="4">
        <f>SUMIFS(Modelling_new[Target E_Grid daily
MWh],Modelling_new[Finacial Year],Modelling_new[[#This Row],[Finacial Year]],Modelling_new[Date],"&lt;="&amp;Modelling_new[[#This Row],[Date]])</f>
        <v>813.47156015806104</v>
      </c>
      <c r="AK305" s="4">
        <f t="shared" si="108"/>
        <v>5.6591249032258082</v>
      </c>
      <c r="AL305" s="4">
        <f>SUMIFS(Modelling_new[Target POA Daily (KWh/m2)],Modelling_new[Month Year],Modelling_new[[#This Row],[Month Year]],Modelling_new[Date],"&lt;="&amp;Modelling_new[[#This Row],[Date]])</f>
        <v>73.568623741935497</v>
      </c>
      <c r="AM305" s="4">
        <f>SUMIFS(Modelling_new[Target POA Daily (KWh/m2)],Modelling_new[Finacial Year],Modelling_new[[#This Row],[Finacial Year]],Modelling_new[Date],"&lt;="&amp;Modelling_new[[#This Row],[Date]])</f>
        <v>73.568623741935497</v>
      </c>
      <c r="AN305" s="9">
        <f>AH305/Modelling_new[[#This Row],[Comisined DC ]]/AK305</f>
        <v>0.86385285472076068</v>
      </c>
      <c r="AO305" s="9">
        <f>AI305/AL305/Modelling_new[[#This Row],[MTD DC Capcity]]</f>
        <v>0.86385285472076079</v>
      </c>
      <c r="AP305" s="9">
        <f>AJ305/AM305/Modelling_new[[#This Row],[YTD DC Capcity]]</f>
        <v>0.86385285472076079</v>
      </c>
      <c r="AQ305" s="9">
        <f>AH305/(24*Modelling_new[[#This Row],[Comisined DC ]])</f>
        <v>0.20369380011970678</v>
      </c>
      <c r="AR305" s="9">
        <f>AI305/(COUNTIFS(Modelling_new[Date],"&lt;="&amp;Modelling_new[[#This Row],[Date]],Modelling_new[Month Year],Modelling_new[[#This Row],[Month Year]])*24*Modelling_new[[#This Row],[MTD DC Capcity]])</f>
        <v>0.20369380011970678</v>
      </c>
      <c r="AS305" s="28">
        <f>AJ305/(COUNTIFS(Modelling_new[Date],"&lt;="&amp;Modelling_new[[#This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0.20369380011970678</v>
      </c>
      <c r="AT305" s="5">
        <v>12.8</v>
      </c>
      <c r="AU305" s="9">
        <f>Modelling_new[[#This Row],[Comisined DC ]]/$AO$1</f>
        <v>1</v>
      </c>
      <c r="AV305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05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305" s="27">
        <f t="shared" si="105"/>
        <v>45304</v>
      </c>
      <c r="BE305" s="5">
        <f>MONTH(Modelling[[#This Row],[Date]])</f>
        <v>1</v>
      </c>
      <c r="BF305" s="25">
        <f>YEAR(BD305)+IF(MONTH(Modelling[[#This Row],[Date]])&gt;=4,1,0)</f>
        <v>2024</v>
      </c>
      <c r="BG305" s="3">
        <f t="shared" si="101"/>
        <v>2024</v>
      </c>
      <c r="BH305" s="3" t="s">
        <v>626</v>
      </c>
      <c r="BI305" s="5" t="s">
        <v>626</v>
      </c>
      <c r="BJ305" s="102">
        <v>45292</v>
      </c>
      <c r="BK305" s="5">
        <f t="shared" si="102"/>
        <v>31</v>
      </c>
      <c r="BL305" s="5">
        <f t="shared" si="103"/>
        <v>1</v>
      </c>
      <c r="BM305" s="4">
        <f>Modelling_old[[#This Row],[Target E_Grid daily
MWh]]+Modelling_new[[#This Row],[Target E_Grid daily
MWh]]</f>
        <v>118.38118700967715</v>
      </c>
      <c r="BN305" s="4">
        <f>Modelling_old[[#This Row],[Target E_Grid MTD
MWh]]+Modelling_new[[#This Row],[Target E_Grid MTD
MWh]]</f>
        <v>1538.9554311258028</v>
      </c>
      <c r="BO305" s="4">
        <f>Modelling_old[[#This Row],[Target E_Grid YTD
MWh]]+Modelling_new[[#This Row],[Target E_Grid YTD
MWh]]</f>
        <v>14058.955431125809</v>
      </c>
      <c r="BP30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05" s="4">
        <f>SUMIFS(Modelling[Target POA Daily (KWh/m2)],Modelling[Date],"&lt;="&amp;Modelling[[#This Row],[Date]],Modelling[Month Year],Modelling[[#This Row],[Month Year]])</f>
        <v>80.529037847156374</v>
      </c>
      <c r="BR305" s="4">
        <f>SUMIFS(Modelling[Target POA Daily (KWh/m2)],Modelling[Date],"&lt;="&amp;Modelling[[#This Row],[Date]],Modelling[Finacial Year],Modelling[[#This Row],[Finacial Year]])</f>
        <v>1629.729037847153</v>
      </c>
      <c r="BS305" s="9">
        <f>BM305/Modelling[[#This Row],[Comisined DC ]]/BP305</f>
        <v>0.78634269848069838</v>
      </c>
      <c r="BT305" s="9">
        <f>BN305/BQ305/Modelling[[#This Row],[Comisined DC ]]</f>
        <v>0.78634269848069827</v>
      </c>
      <c r="BU305" s="9">
        <f>BO305/BR305/Modelling[[#This Row],[Comisined DC ]]</f>
        <v>0.35495718911700597</v>
      </c>
      <c r="BV305" s="9">
        <f>BM305/(24*Modelling[[#This Row],[Comisined DC ]])</f>
        <v>0.20295968245765139</v>
      </c>
      <c r="BW305" s="9">
        <f>BN305/((COUNTIFS(Modelling[Date],"&lt;="&amp;Modelling[[#This Row],[Date]],Modelling[Month Year],Modelling[[#This Row],[Month Year]])*24*Modelling[[#This Row],[MTD DC Capcity]]))</f>
        <v>0.20295968245765139</v>
      </c>
      <c r="BX305" s="28">
        <f>BO305/((COUNTIFS(Modelling[Date],"&lt;="&amp;Modelling[[#This Row],[Date]],Modelling[Finacial Year],Modelling[[#This Row],[Finacial Year]])*24*Modelling[[#This Row],[MTD DC Capcity]]))</f>
        <v>8.3692713873927682E-2</v>
      </c>
      <c r="BY305" s="4">
        <f>Modelling_old[[#This Row],[DC Capcity]]+Modelling_new[[#This Row],[Comisined DC ]]</f>
        <v>24.303100000000001</v>
      </c>
      <c r="BZ305" s="4">
        <v>0</v>
      </c>
      <c r="CA305" s="4">
        <f>AVERAGEIFS(Modelling[[Comisined DC ]],Modelling[Date],"&lt;="&amp;Modelling[[#This Row],[Date]],Modelling[Month Year],Modelling[[#This Row],[Month Year]])</f>
        <v>24.303099999999997</v>
      </c>
      <c r="CB305" s="4">
        <f>AVERAGEIFS(Modelling[[Comisined DC ]],Modelling[Date],"&lt;="&amp;Modelling[[#This Row],[Date]],Modelling[Finacial Year],Modelling[[#This Row],[Finacial Year]])</f>
        <v>12.080877777777722</v>
      </c>
      <c r="CG305">
        <f t="shared" si="109"/>
        <v>13</v>
      </c>
      <c r="CH305">
        <f t="shared" si="106"/>
        <v>288</v>
      </c>
    </row>
    <row r="306" spans="1:86" x14ac:dyDescent="0.35">
      <c r="A306" s="27">
        <v>45305</v>
      </c>
      <c r="B306" s="5">
        <f>MONTH(Modelling_old[[#This Row],[Date]])</f>
        <v>1</v>
      </c>
      <c r="C306" s="25">
        <v>2024</v>
      </c>
      <c r="D306" s="3">
        <f t="shared" si="91"/>
        <v>2024</v>
      </c>
      <c r="E306" s="3" t="s">
        <v>626</v>
      </c>
      <c r="F306" s="5" t="s">
        <v>626</v>
      </c>
      <c r="G306" s="102">
        <v>45292</v>
      </c>
      <c r="H306" s="5">
        <f t="shared" si="92"/>
        <v>31</v>
      </c>
      <c r="I306" s="5">
        <f t="shared" si="93"/>
        <v>1</v>
      </c>
      <c r="J306" s="4">
        <f t="shared" si="94"/>
        <v>55.806451612903224</v>
      </c>
      <c r="K306" s="4">
        <f>SUM($J$293:J306)</f>
        <v>781.2903225806449</v>
      </c>
      <c r="L306" s="4">
        <f>SUM($J$18:J306)</f>
        <v>13301.290322580651</v>
      </c>
      <c r="M306" s="4">
        <f t="shared" si="95"/>
        <v>6.790322580645161</v>
      </c>
      <c r="N306" s="4">
        <f>SUM($M$293:M306)</f>
        <v>95.064516129032285</v>
      </c>
      <c r="O306" s="4">
        <f>SUM($M$18:M306)</f>
        <v>1644.2645161290293</v>
      </c>
      <c r="P306" s="9">
        <f t="shared" si="96"/>
        <v>0.71446195511770638</v>
      </c>
      <c r="Q306" s="26">
        <f t="shared" si="107"/>
        <v>0.71446195511770605</v>
      </c>
      <c r="R306" s="26">
        <f t="shared" si="107"/>
        <v>0.70324587406475569</v>
      </c>
      <c r="S306" s="9">
        <f t="shared" si="97"/>
        <v>0.20214279778531885</v>
      </c>
      <c r="T306" s="9">
        <f>K306/((COUNT($K$293:K306))*24*$Q$1)</f>
        <v>0.20214279778531877</v>
      </c>
      <c r="U306" s="28">
        <f>L306/((COUNT($L$18:L306))*24*$Q$1)</f>
        <v>0.1667131252651127</v>
      </c>
      <c r="V306" s="134">
        <v>11.5031</v>
      </c>
      <c r="Y306" s="27">
        <f t="shared" si="104"/>
        <v>45305</v>
      </c>
      <c r="Z306" s="5">
        <f>MONTH(Modelling_new[[#This Row],[Date]])</f>
        <v>1</v>
      </c>
      <c r="AA306" s="25">
        <f>YEAR(Y306)+IF(MONTH(Modelling_new[[#This Row],[Date]])&gt;=4,1,0)</f>
        <v>2024</v>
      </c>
      <c r="AB306" s="3">
        <f t="shared" si="98"/>
        <v>2024</v>
      </c>
      <c r="AC306" s="3" t="s">
        <v>626</v>
      </c>
      <c r="AD306" s="5" t="s">
        <v>626</v>
      </c>
      <c r="AE306" s="102">
        <v>45292</v>
      </c>
      <c r="AF306" s="5">
        <f t="shared" si="99"/>
        <v>31</v>
      </c>
      <c r="AG306" s="5">
        <f t="shared" si="100"/>
        <v>1</v>
      </c>
      <c r="AH306" s="4">
        <f>(VLOOKUP(AG306,$AA$2:$AK$13,10,0)/AF306)*Modelling_new[[#This Row],[Factor]]</f>
        <v>62.574735396773931</v>
      </c>
      <c r="AI306" s="4">
        <f>SUMIFS(Modelling_new[Target E_Grid daily
MWh],Modelling_new[Month Year],Modelling_new[[#This Row],[Month Year]],Modelling_new[Date],"&lt;="&amp;Modelling_new[[#This Row],[Date]])</f>
        <v>876.04629555483496</v>
      </c>
      <c r="AJ306" s="4">
        <f>SUMIFS(Modelling_new[Target E_Grid daily
MWh],Modelling_new[Finacial Year],Modelling_new[[#This Row],[Finacial Year]],Modelling_new[Date],"&lt;="&amp;Modelling_new[[#This Row],[Date]])</f>
        <v>876.04629555483496</v>
      </c>
      <c r="AK306" s="4">
        <f t="shared" si="108"/>
        <v>5.6591249032258082</v>
      </c>
      <c r="AL306" s="4">
        <f>SUMIFS(Modelling_new[Target POA Daily (KWh/m2)],Modelling_new[Month Year],Modelling_new[[#This Row],[Month Year]],Modelling_new[Date],"&lt;="&amp;Modelling_new[[#This Row],[Date]])</f>
        <v>79.227748645161299</v>
      </c>
      <c r="AM306" s="4">
        <f>SUMIFS(Modelling_new[Target POA Daily (KWh/m2)],Modelling_new[Finacial Year],Modelling_new[[#This Row],[Finacial Year]],Modelling_new[Date],"&lt;="&amp;Modelling_new[[#This Row],[Date]])</f>
        <v>79.227748645161299</v>
      </c>
      <c r="AN306" s="9">
        <f>AH306/Modelling_new[[#This Row],[Comisined DC ]]/AK306</f>
        <v>0.86385285472076068</v>
      </c>
      <c r="AO306" s="9">
        <f>AI306/AL306/Modelling_new[[#This Row],[MTD DC Capcity]]</f>
        <v>0.86385285472076079</v>
      </c>
      <c r="AP306" s="9">
        <f>AJ306/AM306/Modelling_new[[#This Row],[YTD DC Capcity]]</f>
        <v>0.86385285472076079</v>
      </c>
      <c r="AQ306" s="9">
        <f>AH306/(24*Modelling_new[[#This Row],[Comisined DC ]])</f>
        <v>0.20369380011970678</v>
      </c>
      <c r="AR306" s="9">
        <f>AI306/(COUNTIFS(Modelling_new[Date],"&lt;="&amp;Modelling_new[[#This Row],[Date]],Modelling_new[Month Year],Modelling_new[[#This Row],[Month Year]])*24*Modelling_new[[#This Row],[MTD DC Capcity]])</f>
        <v>0.20369380011970678</v>
      </c>
      <c r="AS306" s="28">
        <f>AJ306/(COUNTIFS(Modelling_new[Date],"&lt;="&amp;Modelling_new[[#This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0.20369380011970678</v>
      </c>
      <c r="AT306" s="5">
        <v>12.8</v>
      </c>
      <c r="AU306" s="9">
        <f>Modelling_new[[#This Row],[Comisined DC ]]/$AO$1</f>
        <v>1</v>
      </c>
      <c r="AV306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06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306" s="27">
        <f t="shared" si="105"/>
        <v>45305</v>
      </c>
      <c r="BE306" s="5">
        <f>MONTH(Modelling[[#This Row],[Date]])</f>
        <v>1</v>
      </c>
      <c r="BF306" s="25">
        <f>YEAR(BD306)+IF(MONTH(Modelling[[#This Row],[Date]])&gt;=4,1,0)</f>
        <v>2024</v>
      </c>
      <c r="BG306" s="3">
        <f t="shared" si="101"/>
        <v>2024</v>
      </c>
      <c r="BH306" s="3" t="s">
        <v>626</v>
      </c>
      <c r="BI306" s="5" t="s">
        <v>626</v>
      </c>
      <c r="BJ306" s="102">
        <v>45292</v>
      </c>
      <c r="BK306" s="5">
        <f t="shared" si="102"/>
        <v>31</v>
      </c>
      <c r="BL306" s="5">
        <f t="shared" si="103"/>
        <v>1</v>
      </c>
      <c r="BM306" s="4">
        <f>Modelling_old[[#This Row],[Target E_Grid daily
MWh]]+Modelling_new[[#This Row],[Target E_Grid daily
MWh]]</f>
        <v>118.38118700967715</v>
      </c>
      <c r="BN306" s="4">
        <f>Modelling_old[[#This Row],[Target E_Grid MTD
MWh]]+Modelling_new[[#This Row],[Target E_Grid MTD
MWh]]</f>
        <v>1657.33661813548</v>
      </c>
      <c r="BO306" s="4">
        <f>Modelling_old[[#This Row],[Target E_Grid YTD
MWh]]+Modelling_new[[#This Row],[Target E_Grid YTD
MWh]]</f>
        <v>14177.336618135487</v>
      </c>
      <c r="BP30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06" s="4">
        <f>SUMIFS(Modelling[Target POA Daily (KWh/m2)],Modelling[Date],"&lt;="&amp;Modelling[[#This Row],[Date]],Modelling[Month Year],Modelling[[#This Row],[Month Year]])</f>
        <v>86.723579220014557</v>
      </c>
      <c r="BR306" s="4">
        <f>SUMIFS(Modelling[Target POA Daily (KWh/m2)],Modelling[Date],"&lt;="&amp;Modelling[[#This Row],[Date]],Modelling[Finacial Year],Modelling[[#This Row],[Finacial Year]])</f>
        <v>1635.9235792200111</v>
      </c>
      <c r="BS306" s="9">
        <f>BM306/Modelling[[#This Row],[Comisined DC ]]/BP306</f>
        <v>0.78634269848069838</v>
      </c>
      <c r="BT306" s="9">
        <f>BN306/BQ306/Modelling[[#This Row],[Comisined DC ]]</f>
        <v>0.78634269848069849</v>
      </c>
      <c r="BU306" s="9">
        <f>BO306/BR306/Modelling[[#This Row],[Comisined DC ]]</f>
        <v>0.35659066113204896</v>
      </c>
      <c r="BV306" s="9">
        <f>BM306/(24*Modelling[[#This Row],[Comisined DC ]])</f>
        <v>0.20295968245765139</v>
      </c>
      <c r="BW306" s="9">
        <f>BN306/((COUNTIFS(Modelling[Date],"&lt;="&amp;Modelling[[#This Row],[Date]],Modelling[Month Year],Modelling[[#This Row],[Month Year]])*24*Modelling[[#This Row],[MTD DC Capcity]]))</f>
        <v>0.20295968245765142</v>
      </c>
      <c r="BX306" s="28">
        <f>BO306/((COUNTIFS(Modelling[Date],"&lt;="&amp;Modelling[[#This Row],[Date]],Modelling[Finacial Year],Modelling[[#This Row],[Finacial Year]])*24*Modelling[[#This Row],[MTD DC Capcity]]))</f>
        <v>8.4105402346535726E-2</v>
      </c>
      <c r="BY306" s="4">
        <f>Modelling_old[[#This Row],[DC Capcity]]+Modelling_new[[#This Row],[Comisined DC ]]</f>
        <v>24.303100000000001</v>
      </c>
      <c r="BZ306" s="4">
        <v>0</v>
      </c>
      <c r="CA306" s="4">
        <f>AVERAGEIFS(Modelling[[Comisined DC ]],Modelling[Date],"&lt;="&amp;Modelling[[#This Row],[Date]],Modelling[Month Year],Modelling[[#This Row],[Month Year]])</f>
        <v>24.303099999999997</v>
      </c>
      <c r="CB306" s="4">
        <f>AVERAGEIFS(Modelling[[Comisined DC ]],Modelling[Date],"&lt;="&amp;Modelling[[#This Row],[Date]],Modelling[Finacial Year],Modelling[[#This Row],[Finacial Year]])</f>
        <v>12.123169204152195</v>
      </c>
      <c r="CG306">
        <f t="shared" si="109"/>
        <v>14</v>
      </c>
      <c r="CH306">
        <f t="shared" si="106"/>
        <v>289</v>
      </c>
    </row>
    <row r="307" spans="1:86" x14ac:dyDescent="0.35">
      <c r="A307" s="27">
        <v>45306</v>
      </c>
      <c r="B307" s="5">
        <f>MONTH(Modelling_old[[#This Row],[Date]])</f>
        <v>1</v>
      </c>
      <c r="C307" s="25">
        <v>2024</v>
      </c>
      <c r="D307" s="3">
        <f t="shared" si="91"/>
        <v>2024</v>
      </c>
      <c r="E307" s="3" t="s">
        <v>626</v>
      </c>
      <c r="F307" s="5" t="s">
        <v>626</v>
      </c>
      <c r="G307" s="102">
        <v>45292</v>
      </c>
      <c r="H307" s="5">
        <f t="shared" si="92"/>
        <v>31</v>
      </c>
      <c r="I307" s="5">
        <f t="shared" si="93"/>
        <v>1</v>
      </c>
      <c r="J307" s="4">
        <f t="shared" si="94"/>
        <v>55.806451612903224</v>
      </c>
      <c r="K307" s="4">
        <f>SUM($J$293:J307)</f>
        <v>837.09677419354807</v>
      </c>
      <c r="L307" s="4">
        <f>SUM($J$18:J307)</f>
        <v>13357.096774193555</v>
      </c>
      <c r="M307" s="4">
        <f t="shared" si="95"/>
        <v>6.790322580645161</v>
      </c>
      <c r="N307" s="4">
        <f>SUM($M$293:M307)</f>
        <v>101.85483870967745</v>
      </c>
      <c r="O307" s="4">
        <f>SUM($M$18:M307)</f>
        <v>1651.0548387096744</v>
      </c>
      <c r="P307" s="9">
        <f t="shared" si="96"/>
        <v>0.71446195511770638</v>
      </c>
      <c r="Q307" s="26">
        <f t="shared" si="107"/>
        <v>0.71446195511770605</v>
      </c>
      <c r="R307" s="26">
        <f t="shared" si="107"/>
        <v>0.70329200264065439</v>
      </c>
      <c r="S307" s="9">
        <f t="shared" si="97"/>
        <v>0.20214279778531885</v>
      </c>
      <c r="T307" s="9">
        <f>K307/((COUNT($K$293:K307))*24*$Q$1)</f>
        <v>0.20214279778531877</v>
      </c>
      <c r="U307" s="28">
        <f>L307/((COUNT($L$18:L307))*24*$Q$1)</f>
        <v>0.16683529654966514</v>
      </c>
      <c r="V307" s="134">
        <v>11.5031</v>
      </c>
      <c r="Y307" s="27">
        <f t="shared" si="104"/>
        <v>45306</v>
      </c>
      <c r="Z307" s="5">
        <f>MONTH(Modelling_new[[#This Row],[Date]])</f>
        <v>1</v>
      </c>
      <c r="AA307" s="25">
        <f>YEAR(Y307)+IF(MONTH(Modelling_new[[#This Row],[Date]])&gt;=4,1,0)</f>
        <v>2024</v>
      </c>
      <c r="AB307" s="3">
        <f t="shared" si="98"/>
        <v>2024</v>
      </c>
      <c r="AC307" s="3" t="s">
        <v>626</v>
      </c>
      <c r="AD307" s="5" t="s">
        <v>626</v>
      </c>
      <c r="AE307" s="102">
        <v>45292</v>
      </c>
      <c r="AF307" s="5">
        <f t="shared" si="99"/>
        <v>31</v>
      </c>
      <c r="AG307" s="5">
        <f t="shared" si="100"/>
        <v>1</v>
      </c>
      <c r="AH307" s="4">
        <f>(VLOOKUP(AG307,$AA$2:$AK$13,10,0)/AF307)*Modelling_new[[#This Row],[Factor]]</f>
        <v>62.574735396773931</v>
      </c>
      <c r="AI307" s="4">
        <f>SUMIFS(Modelling_new[Target E_Grid daily
MWh],Modelling_new[Month Year],Modelling_new[[#This Row],[Month Year]],Modelling_new[Date],"&lt;="&amp;Modelling_new[[#This Row],[Date]])</f>
        <v>938.62103095160887</v>
      </c>
      <c r="AJ307" s="4">
        <f>SUMIFS(Modelling_new[Target E_Grid daily
MWh],Modelling_new[Finacial Year],Modelling_new[[#This Row],[Finacial Year]],Modelling_new[Date],"&lt;="&amp;Modelling_new[[#This Row],[Date]])</f>
        <v>938.62103095160887</v>
      </c>
      <c r="AK307" s="4">
        <f t="shared" si="108"/>
        <v>5.6591249032258082</v>
      </c>
      <c r="AL307" s="4">
        <f>SUMIFS(Modelling_new[Target POA Daily (KWh/m2)],Modelling_new[Month Year],Modelling_new[[#This Row],[Month Year]],Modelling_new[Date],"&lt;="&amp;Modelling_new[[#This Row],[Date]])</f>
        <v>84.886873548387101</v>
      </c>
      <c r="AM307" s="4">
        <f>SUMIFS(Modelling_new[Target POA Daily (KWh/m2)],Modelling_new[Finacial Year],Modelling_new[[#This Row],[Finacial Year]],Modelling_new[Date],"&lt;="&amp;Modelling_new[[#This Row],[Date]])</f>
        <v>84.886873548387101</v>
      </c>
      <c r="AN307" s="9">
        <f>AH307/Modelling_new[[#This Row],[Comisined DC ]]/AK307</f>
        <v>0.86385285472076068</v>
      </c>
      <c r="AO307" s="9">
        <f>AI307/AL307/Modelling_new[[#This Row],[MTD DC Capcity]]</f>
        <v>0.86385285472076079</v>
      </c>
      <c r="AP307" s="9">
        <f>AJ307/AM307/Modelling_new[[#This Row],[YTD DC Capcity]]</f>
        <v>0.86385285472076079</v>
      </c>
      <c r="AQ307" s="9">
        <f>AH307/(24*Modelling_new[[#This Row],[Comisined DC ]])</f>
        <v>0.20369380011970678</v>
      </c>
      <c r="AR307" s="9">
        <f>AI307/(COUNTIFS(Modelling_new[Date],"&lt;="&amp;Modelling_new[[#This Row],[Date]],Modelling_new[Month Year],Modelling_new[[#This Row],[Month Year]])*24*Modelling_new[[#This Row],[MTD DC Capcity]])</f>
        <v>0.20369380011970675</v>
      </c>
      <c r="AS307" s="28">
        <f>AJ307/(COUNTIFS(Modelling_new[Date],"&lt;="&amp;Modelling_new[[#This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0.20369380011970675</v>
      </c>
      <c r="AT307" s="5">
        <v>12.8</v>
      </c>
      <c r="AU307" s="9">
        <f>Modelling_new[[#This Row],[Comisined DC ]]/$AO$1</f>
        <v>1</v>
      </c>
      <c r="AV307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07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307" s="27">
        <f t="shared" si="105"/>
        <v>45306</v>
      </c>
      <c r="BE307" s="5">
        <f>MONTH(Modelling[[#This Row],[Date]])</f>
        <v>1</v>
      </c>
      <c r="BF307" s="25">
        <f>YEAR(BD307)+IF(MONTH(Modelling[[#This Row],[Date]])&gt;=4,1,0)</f>
        <v>2024</v>
      </c>
      <c r="BG307" s="3">
        <f t="shared" si="101"/>
        <v>2024</v>
      </c>
      <c r="BH307" s="3" t="s">
        <v>626</v>
      </c>
      <c r="BI307" s="5" t="s">
        <v>626</v>
      </c>
      <c r="BJ307" s="102">
        <v>45292</v>
      </c>
      <c r="BK307" s="5">
        <f t="shared" si="102"/>
        <v>31</v>
      </c>
      <c r="BL307" s="5">
        <f t="shared" si="103"/>
        <v>1</v>
      </c>
      <c r="BM307" s="4">
        <f>Modelling_old[[#This Row],[Target E_Grid daily
MWh]]+Modelling_new[[#This Row],[Target E_Grid daily
MWh]]</f>
        <v>118.38118700967715</v>
      </c>
      <c r="BN307" s="4">
        <f>Modelling_old[[#This Row],[Target E_Grid MTD
MWh]]+Modelling_new[[#This Row],[Target E_Grid MTD
MWh]]</f>
        <v>1775.7178051451569</v>
      </c>
      <c r="BO307" s="4">
        <f>Modelling_old[[#This Row],[Target E_Grid YTD
MWh]]+Modelling_new[[#This Row],[Target E_Grid YTD
MWh]]</f>
        <v>14295.717805145163</v>
      </c>
      <c r="BP30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07" s="4">
        <f>SUMIFS(Modelling[Target POA Daily (KWh/m2)],Modelling[Date],"&lt;="&amp;Modelling[[#This Row],[Date]],Modelling[Month Year],Modelling[[#This Row],[Month Year]])</f>
        <v>92.918120592872739</v>
      </c>
      <c r="BR307" s="4">
        <f>SUMIFS(Modelling[Target POA Daily (KWh/m2)],Modelling[Date],"&lt;="&amp;Modelling[[#This Row],[Date]],Modelling[Finacial Year],Modelling[[#This Row],[Finacial Year]])</f>
        <v>1642.1181205928692</v>
      </c>
      <c r="BS307" s="9">
        <f>BM307/Modelling[[#This Row],[Comisined DC ]]/BP307</f>
        <v>0.78634269848069838</v>
      </c>
      <c r="BT307" s="9">
        <f>BN307/BQ307/Modelling[[#This Row],[Comisined DC ]]</f>
        <v>0.78634269848069827</v>
      </c>
      <c r="BU307" s="9">
        <f>BO307/BR307/Modelling[[#This Row],[Comisined DC ]]</f>
        <v>0.35821180929553509</v>
      </c>
      <c r="BV307" s="9">
        <f>BM307/(24*Modelling[[#This Row],[Comisined DC ]])</f>
        <v>0.20295968245765139</v>
      </c>
      <c r="BW307" s="9">
        <f>BN307/((COUNTIFS(Modelling[Date],"&lt;="&amp;Modelling[[#This Row],[Date]],Modelling[Month Year],Modelling[[#This Row],[Month Year]])*24*Modelling[[#This Row],[MTD DC Capcity]]))</f>
        <v>0.20295968245765142</v>
      </c>
      <c r="BX307" s="28">
        <f>BO307/((COUNTIFS(Modelling[Date],"&lt;="&amp;Modelling[[#This Row],[Date]],Modelling[Finacial Year],Modelling[[#This Row],[Finacial Year]])*24*Modelling[[#This Row],[MTD DC Capcity]]))</f>
        <v>8.4515244691746483E-2</v>
      </c>
      <c r="BY307" s="4">
        <f>Modelling_old[[#This Row],[DC Capcity]]+Modelling_new[[#This Row],[Comisined DC ]]</f>
        <v>24.303100000000001</v>
      </c>
      <c r="BZ307" s="4">
        <v>0</v>
      </c>
      <c r="CA307" s="4">
        <f>AVERAGEIFS(Modelling[[Comisined DC ]],Modelling[Date],"&lt;="&amp;Modelling[[#This Row],[Date]],Modelling[Month Year],Modelling[[#This Row],[Month Year]])</f>
        <v>24.303099999999993</v>
      </c>
      <c r="CB307" s="4">
        <f>AVERAGEIFS(Modelling[[Comisined DC ]],Modelling[Date],"&lt;="&amp;Modelling[[#This Row],[Date]],Modelling[Finacial Year],Modelling[[#This Row],[Finacial Year]])</f>
        <v>12.165168965517188</v>
      </c>
      <c r="CG307">
        <f t="shared" si="109"/>
        <v>15</v>
      </c>
      <c r="CH307">
        <f t="shared" si="106"/>
        <v>290</v>
      </c>
    </row>
    <row r="308" spans="1:86" x14ac:dyDescent="0.35">
      <c r="A308" s="27">
        <v>45307</v>
      </c>
      <c r="B308" s="5">
        <f>MONTH(Modelling_old[[#This Row],[Date]])</f>
        <v>1</v>
      </c>
      <c r="C308" s="25">
        <v>2024</v>
      </c>
      <c r="D308" s="3">
        <f t="shared" si="91"/>
        <v>2024</v>
      </c>
      <c r="E308" s="3" t="s">
        <v>626</v>
      </c>
      <c r="F308" s="5" t="s">
        <v>626</v>
      </c>
      <c r="G308" s="102">
        <v>45292</v>
      </c>
      <c r="H308" s="5">
        <f t="shared" si="92"/>
        <v>31</v>
      </c>
      <c r="I308" s="5">
        <f t="shared" si="93"/>
        <v>1</v>
      </c>
      <c r="J308" s="4">
        <f t="shared" si="94"/>
        <v>55.806451612903224</v>
      </c>
      <c r="K308" s="4">
        <f>SUM($J$293:J308)</f>
        <v>892.90322580645125</v>
      </c>
      <c r="L308" s="4">
        <f>SUM($J$18:J308)</f>
        <v>13412.903225806458</v>
      </c>
      <c r="M308" s="4">
        <f t="shared" si="95"/>
        <v>6.790322580645161</v>
      </c>
      <c r="N308" s="4">
        <f>SUM($M$293:M308)</f>
        <v>108.64516129032262</v>
      </c>
      <c r="O308" s="4">
        <f>SUM($M$18:M308)</f>
        <v>1657.8451612903195</v>
      </c>
      <c r="P308" s="9">
        <f t="shared" si="96"/>
        <v>0.71446195511770638</v>
      </c>
      <c r="Q308" s="26">
        <f t="shared" si="107"/>
        <v>0.71446195511770605</v>
      </c>
      <c r="R308" s="26">
        <f t="shared" si="107"/>
        <v>0.70333775334301218</v>
      </c>
      <c r="S308" s="9">
        <f t="shared" si="97"/>
        <v>0.20214279778531885</v>
      </c>
      <c r="T308" s="9">
        <f>K308/((COUNT($K$293:K308))*24*$Q$1)</f>
        <v>0.20214279778531877</v>
      </c>
      <c r="U308" s="28">
        <f>L308/((COUNT($L$18:L308))*24*$Q$1)</f>
        <v>0.16695662816903167</v>
      </c>
      <c r="V308" s="134">
        <v>11.5031</v>
      </c>
      <c r="Y308" s="27">
        <f t="shared" si="104"/>
        <v>45307</v>
      </c>
      <c r="Z308" s="5">
        <f>MONTH(Modelling_new[[#This Row],[Date]])</f>
        <v>1</v>
      </c>
      <c r="AA308" s="25">
        <f>YEAR(Y308)+IF(MONTH(Modelling_new[[#This Row],[Date]])&gt;=4,1,0)</f>
        <v>2024</v>
      </c>
      <c r="AB308" s="3">
        <f t="shared" si="98"/>
        <v>2024</v>
      </c>
      <c r="AC308" s="3" t="s">
        <v>626</v>
      </c>
      <c r="AD308" s="5" t="s">
        <v>626</v>
      </c>
      <c r="AE308" s="102">
        <v>45292</v>
      </c>
      <c r="AF308" s="5">
        <f t="shared" si="99"/>
        <v>31</v>
      </c>
      <c r="AG308" s="5">
        <f t="shared" si="100"/>
        <v>1</v>
      </c>
      <c r="AH308" s="4">
        <f>(VLOOKUP(AG308,$AA$2:$AK$13,10,0)/AF308)*Modelling_new[[#This Row],[Factor]]</f>
        <v>62.574735396773931</v>
      </c>
      <c r="AI308" s="4">
        <f>SUMIFS(Modelling_new[Target E_Grid daily
MWh],Modelling_new[Month Year],Modelling_new[[#This Row],[Month Year]],Modelling_new[Date],"&lt;="&amp;Modelling_new[[#This Row],[Date]])</f>
        <v>1001.1957663483828</v>
      </c>
      <c r="AJ308" s="4">
        <f>SUMIFS(Modelling_new[Target E_Grid daily
MWh],Modelling_new[Finacial Year],Modelling_new[[#This Row],[Finacial Year]],Modelling_new[Date],"&lt;="&amp;Modelling_new[[#This Row],[Date]])</f>
        <v>1001.1957663483828</v>
      </c>
      <c r="AK308" s="4">
        <f t="shared" si="108"/>
        <v>5.6591249032258082</v>
      </c>
      <c r="AL308" s="4">
        <f>SUMIFS(Modelling_new[Target POA Daily (KWh/m2)],Modelling_new[Month Year],Modelling_new[[#This Row],[Month Year]],Modelling_new[Date],"&lt;="&amp;Modelling_new[[#This Row],[Date]])</f>
        <v>90.545998451612903</v>
      </c>
      <c r="AM308" s="4">
        <f>SUMIFS(Modelling_new[Target POA Daily (KWh/m2)],Modelling_new[Finacial Year],Modelling_new[[#This Row],[Finacial Year]],Modelling_new[Date],"&lt;="&amp;Modelling_new[[#This Row],[Date]])</f>
        <v>90.545998451612903</v>
      </c>
      <c r="AN308" s="9">
        <f>AH308/Modelling_new[[#This Row],[Comisined DC ]]/AK308</f>
        <v>0.86385285472076068</v>
      </c>
      <c r="AO308" s="9">
        <f>AI308/AL308/Modelling_new[[#This Row],[MTD DC Capcity]]</f>
        <v>0.86385285472076079</v>
      </c>
      <c r="AP308" s="9">
        <f>AJ308/AM308/Modelling_new[[#This Row],[YTD DC Capcity]]</f>
        <v>0.86385285472076079</v>
      </c>
      <c r="AQ308" s="9">
        <f>AH308/(24*Modelling_new[[#This Row],[Comisined DC ]])</f>
        <v>0.20369380011970678</v>
      </c>
      <c r="AR308" s="9">
        <f>AI308/(COUNTIFS(Modelling_new[Date],"&lt;="&amp;Modelling_new[[#This Row],[Date]],Modelling_new[Month Year],Modelling_new[[#This Row],[Month Year]])*24*Modelling_new[[#This Row],[MTD DC Capcity]])</f>
        <v>0.20369380011970675</v>
      </c>
      <c r="AS308" s="28">
        <f>AJ308/(COUNTIFS(Modelling_new[Date],"&lt;="&amp;Modelling_new[[#This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0.20369380011970675</v>
      </c>
      <c r="AT308" s="5">
        <v>12.8</v>
      </c>
      <c r="AU308" s="9">
        <f>Modelling_new[[#This Row],[Comisined DC ]]/$AO$1</f>
        <v>1</v>
      </c>
      <c r="AV308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08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308" s="27">
        <f t="shared" si="105"/>
        <v>45307</v>
      </c>
      <c r="BE308" s="5">
        <f>MONTH(Modelling[[#This Row],[Date]])</f>
        <v>1</v>
      </c>
      <c r="BF308" s="25">
        <f>YEAR(BD308)+IF(MONTH(Modelling[[#This Row],[Date]])&gt;=4,1,0)</f>
        <v>2024</v>
      </c>
      <c r="BG308" s="3">
        <f t="shared" si="101"/>
        <v>2024</v>
      </c>
      <c r="BH308" s="3" t="s">
        <v>626</v>
      </c>
      <c r="BI308" s="5" t="s">
        <v>626</v>
      </c>
      <c r="BJ308" s="102">
        <v>45292</v>
      </c>
      <c r="BK308" s="5">
        <f t="shared" si="102"/>
        <v>31</v>
      </c>
      <c r="BL308" s="5">
        <f t="shared" si="103"/>
        <v>1</v>
      </c>
      <c r="BM308" s="4">
        <f>Modelling_old[[#This Row],[Target E_Grid daily
MWh]]+Modelling_new[[#This Row],[Target E_Grid daily
MWh]]</f>
        <v>118.38118700967715</v>
      </c>
      <c r="BN308" s="4">
        <f>Modelling_old[[#This Row],[Target E_Grid MTD
MWh]]+Modelling_new[[#This Row],[Target E_Grid MTD
MWh]]</f>
        <v>1894.0989921548339</v>
      </c>
      <c r="BO308" s="4">
        <f>Modelling_old[[#This Row],[Target E_Grid YTD
MWh]]+Modelling_new[[#This Row],[Target E_Grid YTD
MWh]]</f>
        <v>14414.098992154841</v>
      </c>
      <c r="BP30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08" s="4">
        <f>SUMIFS(Modelling[Target POA Daily (KWh/m2)],Modelling[Date],"&lt;="&amp;Modelling[[#This Row],[Date]],Modelling[Month Year],Modelling[[#This Row],[Month Year]])</f>
        <v>99.112661965730922</v>
      </c>
      <c r="BR308" s="4">
        <f>SUMIFS(Modelling[Target POA Daily (KWh/m2)],Modelling[Date],"&lt;="&amp;Modelling[[#This Row],[Date]],Modelling[Finacial Year],Modelling[[#This Row],[Finacial Year]])</f>
        <v>1648.3126619657273</v>
      </c>
      <c r="BS308" s="9">
        <f>BM308/Modelling[[#This Row],[Comisined DC ]]/BP308</f>
        <v>0.78634269848069838</v>
      </c>
      <c r="BT308" s="9">
        <f>BN308/BQ308/Modelling[[#This Row],[Comisined DC ]]</f>
        <v>0.78634269848069827</v>
      </c>
      <c r="BU308" s="9">
        <f>BO308/BR308/Modelling[[#This Row],[Comisined DC ]]</f>
        <v>0.35982077255065764</v>
      </c>
      <c r="BV308" s="9">
        <f>BM308/(24*Modelling[[#This Row],[Comisined DC ]])</f>
        <v>0.20295968245765139</v>
      </c>
      <c r="BW308" s="9">
        <f>BN308/((COUNTIFS(Modelling[Date],"&lt;="&amp;Modelling[[#This Row],[Date]],Modelling[Month Year],Modelling[[#This Row],[Month Year]])*24*Modelling[[#This Row],[MTD DC Capcity]]))</f>
        <v>0.20295968245765142</v>
      </c>
      <c r="BX308" s="28">
        <f>BO308/((COUNTIFS(Modelling[Date],"&lt;="&amp;Modelling[[#This Row],[Date]],Modelling[Finacial Year],Modelling[[#This Row],[Finacial Year]])*24*Modelling[[#This Row],[MTD DC Capcity]]))</f>
        <v>8.4922270251079485E-2</v>
      </c>
      <c r="BY308" s="4">
        <f>Modelling_old[[#This Row],[DC Capcity]]+Modelling_new[[#This Row],[Comisined DC ]]</f>
        <v>24.303100000000001</v>
      </c>
      <c r="BZ308" s="4">
        <v>0</v>
      </c>
      <c r="CA308" s="4">
        <f>AVERAGEIFS(Modelling[[Comisined DC ]],Modelling[Date],"&lt;="&amp;Modelling[[#This Row],[Date]],Modelling[Month Year],Modelling[[#This Row],[Month Year]])</f>
        <v>24.303099999999993</v>
      </c>
      <c r="CB308" s="4">
        <f>AVERAGEIFS(Modelling[[Comisined DC ]],Modelling[Date],"&lt;="&amp;Modelling[[#This Row],[Date]],Modelling[Finacial Year],Modelling[[#This Row],[Finacial Year]])</f>
        <v>12.20688006872847</v>
      </c>
      <c r="CG308">
        <f t="shared" si="109"/>
        <v>16</v>
      </c>
      <c r="CH308">
        <f t="shared" si="106"/>
        <v>291</v>
      </c>
    </row>
    <row r="309" spans="1:86" x14ac:dyDescent="0.35">
      <c r="A309" s="27">
        <v>45308</v>
      </c>
      <c r="B309" s="5">
        <f>MONTH(Modelling_old[[#This Row],[Date]])</f>
        <v>1</v>
      </c>
      <c r="C309" s="25">
        <v>2024</v>
      </c>
      <c r="D309" s="3">
        <f t="shared" si="91"/>
        <v>2024</v>
      </c>
      <c r="E309" s="3" t="s">
        <v>626</v>
      </c>
      <c r="F309" s="5" t="s">
        <v>626</v>
      </c>
      <c r="G309" s="102">
        <v>45292</v>
      </c>
      <c r="H309" s="5">
        <f t="shared" si="92"/>
        <v>31</v>
      </c>
      <c r="I309" s="5">
        <f t="shared" si="93"/>
        <v>1</v>
      </c>
      <c r="J309" s="4">
        <f t="shared" si="94"/>
        <v>55.806451612903224</v>
      </c>
      <c r="K309" s="4">
        <f>SUM($J$293:J309)</f>
        <v>948.70967741935442</v>
      </c>
      <c r="L309" s="4">
        <f>SUM($J$18:J309)</f>
        <v>13468.709677419361</v>
      </c>
      <c r="M309" s="4">
        <f t="shared" si="95"/>
        <v>6.790322580645161</v>
      </c>
      <c r="N309" s="4">
        <f>SUM($M$293:M309)</f>
        <v>115.43548387096779</v>
      </c>
      <c r="O309" s="4">
        <f>SUM($M$18:M309)</f>
        <v>1664.6354838709647</v>
      </c>
      <c r="P309" s="9">
        <f t="shared" si="96"/>
        <v>0.71446195511770638</v>
      </c>
      <c r="Q309" s="26">
        <f t="shared" si="107"/>
        <v>0.71446195511770583</v>
      </c>
      <c r="R309" s="26">
        <f t="shared" si="107"/>
        <v>0.70338313079605486</v>
      </c>
      <c r="S309" s="9">
        <f t="shared" si="97"/>
        <v>0.20214279778531885</v>
      </c>
      <c r="T309" s="9">
        <f>K309/((COUNT($K$293:K309))*24*$Q$1)</f>
        <v>0.20214279778531874</v>
      </c>
      <c r="U309" s="28">
        <f>L309/((COUNT($L$18:L309))*24*$Q$1)</f>
        <v>0.16707712874990938</v>
      </c>
      <c r="V309" s="134">
        <v>11.5031</v>
      </c>
      <c r="Y309" s="27">
        <f t="shared" si="104"/>
        <v>45308</v>
      </c>
      <c r="Z309" s="5">
        <f>MONTH(Modelling_new[[#This Row],[Date]])</f>
        <v>1</v>
      </c>
      <c r="AA309" s="25">
        <f>YEAR(Y309)+IF(MONTH(Modelling_new[[#This Row],[Date]])&gt;=4,1,0)</f>
        <v>2024</v>
      </c>
      <c r="AB309" s="3">
        <f t="shared" si="98"/>
        <v>2024</v>
      </c>
      <c r="AC309" s="3" t="s">
        <v>626</v>
      </c>
      <c r="AD309" s="5" t="s">
        <v>626</v>
      </c>
      <c r="AE309" s="102">
        <v>45292</v>
      </c>
      <c r="AF309" s="5">
        <f t="shared" si="99"/>
        <v>31</v>
      </c>
      <c r="AG309" s="5">
        <f t="shared" si="100"/>
        <v>1</v>
      </c>
      <c r="AH309" s="4">
        <f>(VLOOKUP(AG309,$AA$2:$AK$13,10,0)/AF309)*Modelling_new[[#This Row],[Factor]]</f>
        <v>62.574735396773931</v>
      </c>
      <c r="AI309" s="4">
        <f>SUMIFS(Modelling_new[Target E_Grid daily
MWh],Modelling_new[Month Year],Modelling_new[[#This Row],[Month Year]],Modelling_new[Date],"&lt;="&amp;Modelling_new[[#This Row],[Date]])</f>
        <v>1063.7705017451567</v>
      </c>
      <c r="AJ309" s="4">
        <f>SUMIFS(Modelling_new[Target E_Grid daily
MWh],Modelling_new[Finacial Year],Modelling_new[[#This Row],[Finacial Year]],Modelling_new[Date],"&lt;="&amp;Modelling_new[[#This Row],[Date]])</f>
        <v>1063.7705017451567</v>
      </c>
      <c r="AK309" s="4">
        <f t="shared" si="108"/>
        <v>5.6591249032258082</v>
      </c>
      <c r="AL309" s="4">
        <f>SUMIFS(Modelling_new[Target POA Daily (KWh/m2)],Modelling_new[Month Year],Modelling_new[[#This Row],[Month Year]],Modelling_new[Date],"&lt;="&amp;Modelling_new[[#This Row],[Date]])</f>
        <v>96.205123354838705</v>
      </c>
      <c r="AM309" s="4">
        <f>SUMIFS(Modelling_new[Target POA Daily (KWh/m2)],Modelling_new[Finacial Year],Modelling_new[[#This Row],[Finacial Year]],Modelling_new[Date],"&lt;="&amp;Modelling_new[[#This Row],[Date]])</f>
        <v>96.205123354838705</v>
      </c>
      <c r="AN309" s="9">
        <f>AH309/Modelling_new[[#This Row],[Comisined DC ]]/AK309</f>
        <v>0.86385285472076068</v>
      </c>
      <c r="AO309" s="9">
        <f>AI309/AL309/Modelling_new[[#This Row],[MTD DC Capcity]]</f>
        <v>0.86385285472076079</v>
      </c>
      <c r="AP309" s="9">
        <f>AJ309/AM309/Modelling_new[[#This Row],[YTD DC Capcity]]</f>
        <v>0.86385285472076079</v>
      </c>
      <c r="AQ309" s="9">
        <f>AH309/(24*Modelling_new[[#This Row],[Comisined DC ]])</f>
        <v>0.20369380011970678</v>
      </c>
      <c r="AR309" s="9">
        <f>AI309/(COUNTIFS(Modelling_new[Date],"&lt;="&amp;Modelling_new[[#This Row],[Date]],Modelling_new[Month Year],Modelling_new[[#This Row],[Month Year]])*24*Modelling_new[[#This Row],[MTD DC Capcity]])</f>
        <v>0.20369380011970672</v>
      </c>
      <c r="AS309" s="28">
        <f>AJ309/(COUNTIFS(Modelling_new[Date],"&lt;="&amp;Modelling_new[[#This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0.20369380011970672</v>
      </c>
      <c r="AT309" s="5">
        <v>12.8</v>
      </c>
      <c r="AU309" s="9">
        <f>Modelling_new[[#This Row],[Comisined DC ]]/$AO$1</f>
        <v>1</v>
      </c>
      <c r="AV309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09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309" s="27">
        <f t="shared" si="105"/>
        <v>45308</v>
      </c>
      <c r="BE309" s="5">
        <f>MONTH(Modelling[[#This Row],[Date]])</f>
        <v>1</v>
      </c>
      <c r="BF309" s="25">
        <f>YEAR(BD309)+IF(MONTH(Modelling[[#This Row],[Date]])&gt;=4,1,0)</f>
        <v>2024</v>
      </c>
      <c r="BG309" s="3">
        <f t="shared" si="101"/>
        <v>2024</v>
      </c>
      <c r="BH309" s="3" t="s">
        <v>626</v>
      </c>
      <c r="BI309" s="5" t="s">
        <v>626</v>
      </c>
      <c r="BJ309" s="102">
        <v>45292</v>
      </c>
      <c r="BK309" s="5">
        <f t="shared" si="102"/>
        <v>31</v>
      </c>
      <c r="BL309" s="5">
        <f t="shared" si="103"/>
        <v>1</v>
      </c>
      <c r="BM309" s="4">
        <f>Modelling_old[[#This Row],[Target E_Grid daily
MWh]]+Modelling_new[[#This Row],[Target E_Grid daily
MWh]]</f>
        <v>118.38118700967715</v>
      </c>
      <c r="BN309" s="4">
        <f>Modelling_old[[#This Row],[Target E_Grid MTD
MWh]]+Modelling_new[[#This Row],[Target E_Grid MTD
MWh]]</f>
        <v>2012.4801791645111</v>
      </c>
      <c r="BO309" s="4">
        <f>Modelling_old[[#This Row],[Target E_Grid YTD
MWh]]+Modelling_new[[#This Row],[Target E_Grid YTD
MWh]]</f>
        <v>14532.480179164519</v>
      </c>
      <c r="BP30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09" s="4">
        <f>SUMIFS(Modelling[Target POA Daily (KWh/m2)],Modelling[Date],"&lt;="&amp;Modelling[[#This Row],[Date]],Modelling[Month Year],Modelling[[#This Row],[Month Year]])</f>
        <v>105.3072033385891</v>
      </c>
      <c r="BR309" s="4">
        <f>SUMIFS(Modelling[Target POA Daily (KWh/m2)],Modelling[Date],"&lt;="&amp;Modelling[[#This Row],[Date]],Modelling[Finacial Year],Modelling[[#This Row],[Finacial Year]])</f>
        <v>1654.5072033385854</v>
      </c>
      <c r="BS309" s="9">
        <f>BM309/Modelling[[#This Row],[Comisined DC ]]/BP309</f>
        <v>0.78634269848069838</v>
      </c>
      <c r="BT309" s="9">
        <f>BN309/BQ309/Modelling[[#This Row],[Comisined DC ]]</f>
        <v>0.78634269848069827</v>
      </c>
      <c r="BU309" s="9">
        <f>BO309/BR309/Modelling[[#This Row],[Comisined DC ]]</f>
        <v>0.36141768775977445</v>
      </c>
      <c r="BV309" s="9">
        <f>BM309/(24*Modelling[[#This Row],[Comisined DC ]])</f>
        <v>0.20295968245765139</v>
      </c>
      <c r="BW309" s="9">
        <f>BN309/((COUNTIFS(Modelling[Date],"&lt;="&amp;Modelling[[#This Row],[Date]],Modelling[Month Year],Modelling[[#This Row],[Month Year]])*24*Modelling[[#This Row],[MTD DC Capcity]]))</f>
        <v>0.20295968245765142</v>
      </c>
      <c r="BX309" s="28">
        <f>BO309/((COUNTIFS(Modelling[Date],"&lt;="&amp;Modelling[[#This Row],[Date]],Modelling[Finacial Year],Modelling[[#This Row],[Finacial Year]])*24*Modelling[[#This Row],[MTD DC Capcity]]))</f>
        <v>8.5326507964115686E-2</v>
      </c>
      <c r="BY309" s="4">
        <f>Modelling_old[[#This Row],[DC Capcity]]+Modelling_new[[#This Row],[Comisined DC ]]</f>
        <v>24.303100000000001</v>
      </c>
      <c r="BZ309" s="4">
        <v>0</v>
      </c>
      <c r="CA309" s="4">
        <f>AVERAGEIFS(Modelling[[Comisined DC ]],Modelling[Date],"&lt;="&amp;Modelling[[#This Row],[Date]],Modelling[Month Year],Modelling[[#This Row],[Month Year]])</f>
        <v>24.303099999999993</v>
      </c>
      <c r="CB309" s="4">
        <f>AVERAGEIFS(Modelling[[Comisined DC ]],Modelling[Date],"&lt;="&amp;Modelling[[#This Row],[Date]],Modelling[Finacial Year],Modelling[[#This Row],[Finacial Year]])</f>
        <v>12.248305479452002</v>
      </c>
      <c r="CG309">
        <f t="shared" si="109"/>
        <v>17</v>
      </c>
      <c r="CH309">
        <f t="shared" si="106"/>
        <v>292</v>
      </c>
    </row>
    <row r="310" spans="1:86" x14ac:dyDescent="0.35">
      <c r="A310" s="27">
        <v>45309</v>
      </c>
      <c r="B310" s="5">
        <f>MONTH(Modelling_old[[#This Row],[Date]])</f>
        <v>1</v>
      </c>
      <c r="C310" s="25">
        <v>2024</v>
      </c>
      <c r="D310" s="3">
        <f t="shared" si="91"/>
        <v>2024</v>
      </c>
      <c r="E310" s="3" t="s">
        <v>626</v>
      </c>
      <c r="F310" s="5" t="s">
        <v>626</v>
      </c>
      <c r="G310" s="102">
        <v>45292</v>
      </c>
      <c r="H310" s="5">
        <f t="shared" si="92"/>
        <v>31</v>
      </c>
      <c r="I310" s="5">
        <f t="shared" si="93"/>
        <v>1</v>
      </c>
      <c r="J310" s="4">
        <f t="shared" si="94"/>
        <v>55.806451612903224</v>
      </c>
      <c r="K310" s="4">
        <f>SUM($J$293:J310)</f>
        <v>1004.5161290322576</v>
      </c>
      <c r="L310" s="4">
        <f>SUM($J$18:J310)</f>
        <v>13524.516129032265</v>
      </c>
      <c r="M310" s="4">
        <f t="shared" si="95"/>
        <v>6.790322580645161</v>
      </c>
      <c r="N310" s="4">
        <f>SUM($M$293:M310)</f>
        <v>122.22580645161295</v>
      </c>
      <c r="O310" s="4">
        <f>SUM($M$18:M310)</f>
        <v>1671.4258064516098</v>
      </c>
      <c r="P310" s="9">
        <f t="shared" si="96"/>
        <v>0.71446195511770638</v>
      </c>
      <c r="Q310" s="26">
        <f t="shared" si="107"/>
        <v>0.71446195511770583</v>
      </c>
      <c r="R310" s="26">
        <f t="shared" si="107"/>
        <v>0.7034281395488623</v>
      </c>
      <c r="S310" s="9">
        <f t="shared" si="97"/>
        <v>0.20214279778531885</v>
      </c>
      <c r="T310" s="9">
        <f>K310/((COUNT($K$293:K310))*24*$Q$1)</f>
        <v>0.20214279778531871</v>
      </c>
      <c r="U310" s="28">
        <f>L310/((COUNT($L$18:L310))*24*$Q$1)</f>
        <v>0.16719680680122476</v>
      </c>
      <c r="V310" s="134">
        <v>11.5031</v>
      </c>
      <c r="Y310" s="27">
        <f t="shared" si="104"/>
        <v>45309</v>
      </c>
      <c r="Z310" s="5">
        <f>MONTH(Modelling_new[[#This Row],[Date]])</f>
        <v>1</v>
      </c>
      <c r="AA310" s="25">
        <f>YEAR(Y310)+IF(MONTH(Modelling_new[[#This Row],[Date]])&gt;=4,1,0)</f>
        <v>2024</v>
      </c>
      <c r="AB310" s="3">
        <f t="shared" si="98"/>
        <v>2024</v>
      </c>
      <c r="AC310" s="3" t="s">
        <v>626</v>
      </c>
      <c r="AD310" s="5" t="s">
        <v>626</v>
      </c>
      <c r="AE310" s="102">
        <v>45292</v>
      </c>
      <c r="AF310" s="5">
        <f t="shared" si="99"/>
        <v>31</v>
      </c>
      <c r="AG310" s="5">
        <f t="shared" si="100"/>
        <v>1</v>
      </c>
      <c r="AH310" s="4">
        <f>(VLOOKUP(AG310,$AA$2:$AK$13,10,0)/AF310)*Modelling_new[[#This Row],[Factor]]</f>
        <v>62.574735396773931</v>
      </c>
      <c r="AI310" s="4">
        <f>SUMIFS(Modelling_new[Target E_Grid daily
MWh],Modelling_new[Month Year],Modelling_new[[#This Row],[Month Year]],Modelling_new[Date],"&lt;="&amp;Modelling_new[[#This Row],[Date]])</f>
        <v>1126.3452371419307</v>
      </c>
      <c r="AJ310" s="4">
        <f>SUMIFS(Modelling_new[Target E_Grid daily
MWh],Modelling_new[Finacial Year],Modelling_new[[#This Row],[Finacial Year]],Modelling_new[Date],"&lt;="&amp;Modelling_new[[#This Row],[Date]])</f>
        <v>1126.3452371419307</v>
      </c>
      <c r="AK310" s="4">
        <f t="shared" si="108"/>
        <v>5.6591249032258082</v>
      </c>
      <c r="AL310" s="4">
        <f>SUMIFS(Modelling_new[Target POA Daily (KWh/m2)],Modelling_new[Month Year],Modelling_new[[#This Row],[Month Year]],Modelling_new[Date],"&lt;="&amp;Modelling_new[[#This Row],[Date]])</f>
        <v>101.86424825806451</v>
      </c>
      <c r="AM310" s="4">
        <f>SUMIFS(Modelling_new[Target POA Daily (KWh/m2)],Modelling_new[Finacial Year],Modelling_new[[#This Row],[Finacial Year]],Modelling_new[Date],"&lt;="&amp;Modelling_new[[#This Row],[Date]])</f>
        <v>101.86424825806451</v>
      </c>
      <c r="AN310" s="9">
        <f>AH310/Modelling_new[[#This Row],[Comisined DC ]]/AK310</f>
        <v>0.86385285472076068</v>
      </c>
      <c r="AO310" s="9">
        <f>AI310/AL310/Modelling_new[[#This Row],[MTD DC Capcity]]</f>
        <v>0.86385285472076079</v>
      </c>
      <c r="AP310" s="9">
        <f>AJ310/AM310/Modelling_new[[#This Row],[YTD DC Capcity]]</f>
        <v>0.86385285472076079</v>
      </c>
      <c r="AQ310" s="9">
        <f>AH310/(24*Modelling_new[[#This Row],[Comisined DC ]])</f>
        <v>0.20369380011970678</v>
      </c>
      <c r="AR310" s="9">
        <f>AI310/(COUNTIFS(Modelling_new[Date],"&lt;="&amp;Modelling_new[[#This Row],[Date]],Modelling_new[Month Year],Modelling_new[[#This Row],[Month Year]])*24*Modelling_new[[#This Row],[MTD DC Capcity]])</f>
        <v>0.20369380011970672</v>
      </c>
      <c r="AS310" s="28">
        <f>AJ310/(COUNTIFS(Modelling_new[Date],"&lt;="&amp;Modelling_new[[#This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0.20369380011970672</v>
      </c>
      <c r="AT310" s="5">
        <v>12.8</v>
      </c>
      <c r="AU310" s="9">
        <f>Modelling_new[[#This Row],[Comisined DC ]]/$AO$1</f>
        <v>1</v>
      </c>
      <c r="AV31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10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310" s="27">
        <f t="shared" si="105"/>
        <v>45309</v>
      </c>
      <c r="BE310" s="5">
        <f>MONTH(Modelling[[#This Row],[Date]])</f>
        <v>1</v>
      </c>
      <c r="BF310" s="25">
        <f>YEAR(BD310)+IF(MONTH(Modelling[[#This Row],[Date]])&gt;=4,1,0)</f>
        <v>2024</v>
      </c>
      <c r="BG310" s="3">
        <f t="shared" si="101"/>
        <v>2024</v>
      </c>
      <c r="BH310" s="3" t="s">
        <v>626</v>
      </c>
      <c r="BI310" s="5" t="s">
        <v>626</v>
      </c>
      <c r="BJ310" s="102">
        <v>45292</v>
      </c>
      <c r="BK310" s="5">
        <f t="shared" si="102"/>
        <v>31</v>
      </c>
      <c r="BL310" s="5">
        <f t="shared" si="103"/>
        <v>1</v>
      </c>
      <c r="BM310" s="4">
        <f>Modelling_old[[#This Row],[Target E_Grid daily
MWh]]+Modelling_new[[#This Row],[Target E_Grid daily
MWh]]</f>
        <v>118.38118700967715</v>
      </c>
      <c r="BN310" s="4">
        <f>Modelling_old[[#This Row],[Target E_Grid MTD
MWh]]+Modelling_new[[#This Row],[Target E_Grid MTD
MWh]]</f>
        <v>2130.8613661741883</v>
      </c>
      <c r="BO310" s="4">
        <f>Modelling_old[[#This Row],[Target E_Grid YTD
MWh]]+Modelling_new[[#This Row],[Target E_Grid YTD
MWh]]</f>
        <v>14650.861366174195</v>
      </c>
      <c r="BP31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10" s="4">
        <f>SUMIFS(Modelling[Target POA Daily (KWh/m2)],Modelling[Date],"&lt;="&amp;Modelling[[#This Row],[Date]],Modelling[Month Year],Modelling[[#This Row],[Month Year]])</f>
        <v>111.50174471144729</v>
      </c>
      <c r="BR310" s="4">
        <f>SUMIFS(Modelling[Target POA Daily (KWh/m2)],Modelling[Date],"&lt;="&amp;Modelling[[#This Row],[Date]],Modelling[Finacial Year],Modelling[[#This Row],[Finacial Year]])</f>
        <v>1660.7017447114436</v>
      </c>
      <c r="BS310" s="9">
        <f>BM310/Modelling[[#This Row],[Comisined DC ]]/BP310</f>
        <v>0.78634269848069838</v>
      </c>
      <c r="BT310" s="9">
        <f>BN310/BQ310/Modelling[[#This Row],[Comisined DC ]]</f>
        <v>0.78634269848069827</v>
      </c>
      <c r="BU310" s="9">
        <f>BO310/BR310/Modelling[[#This Row],[Comisined DC ]]</f>
        <v>0.36300268974321637</v>
      </c>
      <c r="BV310" s="9">
        <f>BM310/(24*Modelling[[#This Row],[Comisined DC ]])</f>
        <v>0.20295968245765139</v>
      </c>
      <c r="BW310" s="9">
        <f>BN310/((COUNTIFS(Modelling[Date],"&lt;="&amp;Modelling[[#This Row],[Date]],Modelling[Month Year],Modelling[[#This Row],[Month Year]])*24*Modelling[[#This Row],[MTD DC Capcity]]))</f>
        <v>0.20295968245765147</v>
      </c>
      <c r="BX310" s="28">
        <f>BO310/((COUNTIFS(Modelling[Date],"&lt;="&amp;Modelling[[#This Row],[Date]],Modelling[Finacial Year],Modelling[[#This Row],[Finacial Year]])*24*Modelling[[#This Row],[MTD DC Capcity]]))</f>
        <v>8.5727986375356433E-2</v>
      </c>
      <c r="BY310" s="4">
        <f>Modelling_old[[#This Row],[DC Capcity]]+Modelling_new[[#This Row],[Comisined DC ]]</f>
        <v>24.303100000000001</v>
      </c>
      <c r="BZ310" s="4">
        <v>0</v>
      </c>
      <c r="CA310" s="4">
        <f>AVERAGEIFS(Modelling[[Comisined DC ]],Modelling[Date],"&lt;="&amp;Modelling[[#This Row],[Date]],Modelling[Month Year],Modelling[[#This Row],[Month Year]])</f>
        <v>24.30309999999999</v>
      </c>
      <c r="CB310" s="4">
        <f>AVERAGEIFS(Modelling[[Comisined DC ]],Modelling[Date],"&lt;="&amp;Modelling[[#This Row],[Date]],Modelling[Finacial Year],Modelling[[#This Row],[Finacial Year]])</f>
        <v>12.289448122866842</v>
      </c>
      <c r="CG310">
        <f t="shared" si="109"/>
        <v>18</v>
      </c>
      <c r="CH310">
        <f t="shared" si="106"/>
        <v>293</v>
      </c>
    </row>
    <row r="311" spans="1:86" x14ac:dyDescent="0.35">
      <c r="A311" s="27">
        <v>45310</v>
      </c>
      <c r="B311" s="5">
        <f>MONTH(Modelling_old[[#This Row],[Date]])</f>
        <v>1</v>
      </c>
      <c r="C311" s="25">
        <v>2024</v>
      </c>
      <c r="D311" s="3">
        <f t="shared" si="91"/>
        <v>2024</v>
      </c>
      <c r="E311" s="3" t="s">
        <v>626</v>
      </c>
      <c r="F311" s="5" t="s">
        <v>626</v>
      </c>
      <c r="G311" s="102">
        <v>45292</v>
      </c>
      <c r="H311" s="5">
        <f t="shared" si="92"/>
        <v>31</v>
      </c>
      <c r="I311" s="5">
        <f t="shared" si="93"/>
        <v>1</v>
      </c>
      <c r="J311" s="4">
        <f t="shared" si="94"/>
        <v>55.806451612903224</v>
      </c>
      <c r="K311" s="4">
        <f>SUM($J$293:J311)</f>
        <v>1060.3225806451608</v>
      </c>
      <c r="L311" s="4">
        <f>SUM($J$18:J311)</f>
        <v>13580.322580645168</v>
      </c>
      <c r="M311" s="4">
        <f t="shared" si="95"/>
        <v>6.790322580645161</v>
      </c>
      <c r="N311" s="4">
        <f>SUM($M$293:M311)</f>
        <v>129.01612903225811</v>
      </c>
      <c r="O311" s="4">
        <f>SUM($M$18:M311)</f>
        <v>1678.2161290322549</v>
      </c>
      <c r="P311" s="9">
        <f t="shared" si="96"/>
        <v>0.71446195511770638</v>
      </c>
      <c r="Q311" s="26">
        <f t="shared" si="107"/>
        <v>0.71446195511770583</v>
      </c>
      <c r="R311" s="26">
        <f t="shared" si="107"/>
        <v>0.70347278407688918</v>
      </c>
      <c r="S311" s="9">
        <f t="shared" si="97"/>
        <v>0.20214279778531885</v>
      </c>
      <c r="T311" s="9">
        <f>K311/((COUNT($K$293:K311))*24*$Q$1)</f>
        <v>0.20214279778531874</v>
      </c>
      <c r="U311" s="28">
        <f>L311/((COUNT($L$18:L311))*24*$Q$1)</f>
        <v>0.16731567071613662</v>
      </c>
      <c r="V311" s="134">
        <v>11.5031</v>
      </c>
      <c r="Y311" s="27">
        <f t="shared" si="104"/>
        <v>45310</v>
      </c>
      <c r="Z311" s="5">
        <f>MONTH(Modelling_new[[#This Row],[Date]])</f>
        <v>1</v>
      </c>
      <c r="AA311" s="25">
        <f>YEAR(Y311)+IF(MONTH(Modelling_new[[#This Row],[Date]])&gt;=4,1,0)</f>
        <v>2024</v>
      </c>
      <c r="AB311" s="3">
        <f t="shared" si="98"/>
        <v>2024</v>
      </c>
      <c r="AC311" s="3" t="s">
        <v>626</v>
      </c>
      <c r="AD311" s="5" t="s">
        <v>626</v>
      </c>
      <c r="AE311" s="102">
        <v>45292</v>
      </c>
      <c r="AF311" s="5">
        <f t="shared" si="99"/>
        <v>31</v>
      </c>
      <c r="AG311" s="5">
        <f t="shared" si="100"/>
        <v>1</v>
      </c>
      <c r="AH311" s="4">
        <f>(VLOOKUP(AG311,$AA$2:$AK$13,10,0)/AF311)*Modelling_new[[#This Row],[Factor]]</f>
        <v>62.574735396773931</v>
      </c>
      <c r="AI311" s="4">
        <f>SUMIFS(Modelling_new[Target E_Grid daily
MWh],Modelling_new[Month Year],Modelling_new[[#This Row],[Month Year]],Modelling_new[Date],"&lt;="&amp;Modelling_new[[#This Row],[Date]])</f>
        <v>1188.9199725387048</v>
      </c>
      <c r="AJ311" s="4">
        <f>SUMIFS(Modelling_new[Target E_Grid daily
MWh],Modelling_new[Finacial Year],Modelling_new[[#This Row],[Finacial Year]],Modelling_new[Date],"&lt;="&amp;Modelling_new[[#This Row],[Date]])</f>
        <v>1188.9199725387048</v>
      </c>
      <c r="AK311" s="4">
        <f t="shared" si="108"/>
        <v>5.6591249032258082</v>
      </c>
      <c r="AL311" s="4">
        <f>SUMIFS(Modelling_new[Target POA Daily (KWh/m2)],Modelling_new[Month Year],Modelling_new[[#This Row],[Month Year]],Modelling_new[Date],"&lt;="&amp;Modelling_new[[#This Row],[Date]])</f>
        <v>107.52337316129031</v>
      </c>
      <c r="AM311" s="4">
        <f>SUMIFS(Modelling_new[Target POA Daily (KWh/m2)],Modelling_new[Finacial Year],Modelling_new[[#This Row],[Finacial Year]],Modelling_new[Date],"&lt;="&amp;Modelling_new[[#This Row],[Date]])</f>
        <v>107.52337316129031</v>
      </c>
      <c r="AN311" s="9">
        <f>AH311/Modelling_new[[#This Row],[Comisined DC ]]/AK311</f>
        <v>0.86385285472076068</v>
      </c>
      <c r="AO311" s="9">
        <f>AI311/AL311/Modelling_new[[#This Row],[MTD DC Capcity]]</f>
        <v>0.8638528547207609</v>
      </c>
      <c r="AP311" s="9">
        <f>AJ311/AM311/Modelling_new[[#This Row],[YTD DC Capcity]]</f>
        <v>0.8638528547207609</v>
      </c>
      <c r="AQ311" s="9">
        <f>AH311/(24*Modelling_new[[#This Row],[Comisined DC ]])</f>
        <v>0.20369380011970678</v>
      </c>
      <c r="AR311" s="9">
        <f>AI311/(COUNTIFS(Modelling_new[Date],"&lt;="&amp;Modelling_new[[#This Row],[Date]],Modelling_new[Month Year],Modelling_new[[#This Row],[Month Year]])*24*Modelling_new[[#This Row],[MTD DC Capcity]])</f>
        <v>0.20369380011970675</v>
      </c>
      <c r="AS311" s="28">
        <f>AJ311/(COUNTIFS(Modelling_new[Date],"&lt;="&amp;Modelling_new[[#This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0.20369380011970675</v>
      </c>
      <c r="AT311" s="5">
        <v>12.8</v>
      </c>
      <c r="AU311" s="9">
        <f>Modelling_new[[#This Row],[Comisined DC ]]/$AO$1</f>
        <v>1</v>
      </c>
      <c r="AV31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11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311" s="27">
        <f t="shared" si="105"/>
        <v>45310</v>
      </c>
      <c r="BE311" s="5">
        <f>MONTH(Modelling[[#This Row],[Date]])</f>
        <v>1</v>
      </c>
      <c r="BF311" s="25">
        <f>YEAR(BD311)+IF(MONTH(Modelling[[#This Row],[Date]])&gt;=4,1,0)</f>
        <v>2024</v>
      </c>
      <c r="BG311" s="3">
        <f t="shared" si="101"/>
        <v>2024</v>
      </c>
      <c r="BH311" s="3" t="s">
        <v>626</v>
      </c>
      <c r="BI311" s="5" t="s">
        <v>626</v>
      </c>
      <c r="BJ311" s="102">
        <v>45292</v>
      </c>
      <c r="BK311" s="5">
        <f t="shared" si="102"/>
        <v>31</v>
      </c>
      <c r="BL311" s="5">
        <f t="shared" si="103"/>
        <v>1</v>
      </c>
      <c r="BM311" s="4">
        <f>Modelling_old[[#This Row],[Target E_Grid daily
MWh]]+Modelling_new[[#This Row],[Target E_Grid daily
MWh]]</f>
        <v>118.38118700967715</v>
      </c>
      <c r="BN311" s="4">
        <f>Modelling_old[[#This Row],[Target E_Grid MTD
MWh]]+Modelling_new[[#This Row],[Target E_Grid MTD
MWh]]</f>
        <v>2249.2425531838653</v>
      </c>
      <c r="BO311" s="4">
        <f>Modelling_old[[#This Row],[Target E_Grid YTD
MWh]]+Modelling_new[[#This Row],[Target E_Grid YTD
MWh]]</f>
        <v>14769.242553183873</v>
      </c>
      <c r="BP31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11" s="4">
        <f>SUMIFS(Modelling[Target POA Daily (KWh/m2)],Modelling[Date],"&lt;="&amp;Modelling[[#This Row],[Date]],Modelling[Month Year],Modelling[[#This Row],[Month Year]])</f>
        <v>117.69628608430547</v>
      </c>
      <c r="BR311" s="4">
        <f>SUMIFS(Modelling[Target POA Daily (KWh/m2)],Modelling[Date],"&lt;="&amp;Modelling[[#This Row],[Date]],Modelling[Finacial Year],Modelling[[#This Row],[Finacial Year]])</f>
        <v>1666.8962860843017</v>
      </c>
      <c r="BS311" s="9">
        <f>BM311/Modelling[[#This Row],[Comisined DC ]]/BP311</f>
        <v>0.78634269848069838</v>
      </c>
      <c r="BT311" s="9">
        <f>BN311/BQ311/Modelling[[#This Row],[Comisined DC ]]</f>
        <v>0.78634269848069827</v>
      </c>
      <c r="BU311" s="9">
        <f>BO311/BR311/Modelling[[#This Row],[Comisined DC ]]</f>
        <v>0.36457591131722966</v>
      </c>
      <c r="BV311" s="9">
        <f>BM311/(24*Modelling[[#This Row],[Comisined DC ]])</f>
        <v>0.20295968245765139</v>
      </c>
      <c r="BW311" s="9">
        <f>BN311/((COUNTIFS(Modelling[Date],"&lt;="&amp;Modelling[[#This Row],[Date]],Modelling[Month Year],Modelling[[#This Row],[Month Year]])*24*Modelling[[#This Row],[MTD DC Capcity]]))</f>
        <v>0.20295968245765145</v>
      </c>
      <c r="BX311" s="28">
        <f>BO311/((COUNTIFS(Modelling[Date],"&lt;="&amp;Modelling[[#This Row],[Date]],Modelling[Finacial Year],Modelling[[#This Row],[Finacial Year]])*24*Modelling[[#This Row],[MTD DC Capcity]]))</f>
        <v>8.6126733640942477E-2</v>
      </c>
      <c r="BY311" s="4">
        <f>Modelling_old[[#This Row],[DC Capcity]]+Modelling_new[[#This Row],[Comisined DC ]]</f>
        <v>24.303100000000001</v>
      </c>
      <c r="BZ311" s="4">
        <v>0</v>
      </c>
      <c r="CA311" s="4">
        <f>AVERAGEIFS(Modelling[[Comisined DC ]],Modelling[Date],"&lt;="&amp;Modelling[[#This Row],[Date]],Modelling[Month Year],Modelling[[#This Row],[Month Year]])</f>
        <v>24.30309999999999</v>
      </c>
      <c r="CB311" s="4">
        <f>AVERAGEIFS(Modelling[[Comisined DC ]],Modelling[Date],"&lt;="&amp;Modelling[[#This Row],[Date]],Modelling[Finacial Year],Modelling[[#This Row],[Finacial Year]])</f>
        <v>12.33031088435369</v>
      </c>
      <c r="CG311">
        <f t="shared" si="109"/>
        <v>19</v>
      </c>
      <c r="CH311">
        <f t="shared" si="106"/>
        <v>294</v>
      </c>
    </row>
    <row r="312" spans="1:86" x14ac:dyDescent="0.35">
      <c r="A312" s="27">
        <v>45311</v>
      </c>
      <c r="B312" s="5">
        <f>MONTH(Modelling_old[[#This Row],[Date]])</f>
        <v>1</v>
      </c>
      <c r="C312" s="25">
        <v>2024</v>
      </c>
      <c r="D312" s="3">
        <f t="shared" si="91"/>
        <v>2024</v>
      </c>
      <c r="E312" s="3" t="s">
        <v>626</v>
      </c>
      <c r="F312" s="5" t="s">
        <v>626</v>
      </c>
      <c r="G312" s="102">
        <v>45292</v>
      </c>
      <c r="H312" s="5">
        <f t="shared" si="92"/>
        <v>31</v>
      </c>
      <c r="I312" s="5">
        <f t="shared" si="93"/>
        <v>1</v>
      </c>
      <c r="J312" s="4">
        <f t="shared" si="94"/>
        <v>55.806451612903224</v>
      </c>
      <c r="K312" s="4">
        <f>SUM($J$293:J312)</f>
        <v>1116.1290322580639</v>
      </c>
      <c r="L312" s="4">
        <f>SUM($J$18:J312)</f>
        <v>13636.129032258072</v>
      </c>
      <c r="M312" s="4">
        <f t="shared" si="95"/>
        <v>6.790322580645161</v>
      </c>
      <c r="N312" s="4">
        <f>SUM($M$293:M312)</f>
        <v>135.80645161290326</v>
      </c>
      <c r="O312" s="4">
        <f>SUM($M$18:M312)</f>
        <v>1685.0064516129</v>
      </c>
      <c r="P312" s="9">
        <f t="shared" si="96"/>
        <v>0.71446195511770638</v>
      </c>
      <c r="Q312" s="26">
        <f t="shared" si="107"/>
        <v>0.71446195511770605</v>
      </c>
      <c r="R312" s="26">
        <f t="shared" si="107"/>
        <v>0.703517068783449</v>
      </c>
      <c r="S312" s="9">
        <f t="shared" si="97"/>
        <v>0.20214279778531885</v>
      </c>
      <c r="T312" s="9">
        <f>K312/((COUNT($K$293:K312))*24*$Q$1)</f>
        <v>0.20214279778531871</v>
      </c>
      <c r="U312" s="28">
        <f>L312/((COUNT($L$18:L312))*24*$Q$1)</f>
        <v>0.16743372877399826</v>
      </c>
      <c r="V312" s="134">
        <v>11.5031</v>
      </c>
      <c r="Y312" s="27">
        <f t="shared" si="104"/>
        <v>45311</v>
      </c>
      <c r="Z312" s="5">
        <f>MONTH(Modelling_new[[#This Row],[Date]])</f>
        <v>1</v>
      </c>
      <c r="AA312" s="25">
        <f>YEAR(Y312)+IF(MONTH(Modelling_new[[#This Row],[Date]])&gt;=4,1,0)</f>
        <v>2024</v>
      </c>
      <c r="AB312" s="3">
        <f t="shared" si="98"/>
        <v>2024</v>
      </c>
      <c r="AC312" s="3" t="s">
        <v>626</v>
      </c>
      <c r="AD312" s="5" t="s">
        <v>626</v>
      </c>
      <c r="AE312" s="102">
        <v>45292</v>
      </c>
      <c r="AF312" s="5">
        <f t="shared" si="99"/>
        <v>31</v>
      </c>
      <c r="AG312" s="5">
        <f t="shared" si="100"/>
        <v>1</v>
      </c>
      <c r="AH312" s="4">
        <f>(VLOOKUP(AG312,$AA$2:$AK$13,10,0)/AF312)*Modelling_new[[#This Row],[Factor]]</f>
        <v>62.574735396773931</v>
      </c>
      <c r="AI312" s="4">
        <f>SUMIFS(Modelling_new[Target E_Grid daily
MWh],Modelling_new[Month Year],Modelling_new[[#This Row],[Month Year]],Modelling_new[Date],"&lt;="&amp;Modelling_new[[#This Row],[Date]])</f>
        <v>1251.4947079354788</v>
      </c>
      <c r="AJ312" s="4">
        <f>SUMIFS(Modelling_new[Target E_Grid daily
MWh],Modelling_new[Finacial Year],Modelling_new[[#This Row],[Finacial Year]],Modelling_new[Date],"&lt;="&amp;Modelling_new[[#This Row],[Date]])</f>
        <v>1251.4947079354788</v>
      </c>
      <c r="AK312" s="4">
        <f t="shared" si="108"/>
        <v>5.6591249032258082</v>
      </c>
      <c r="AL312" s="4">
        <f>SUMIFS(Modelling_new[Target POA Daily (KWh/m2)],Modelling_new[Month Year],Modelling_new[[#This Row],[Month Year]],Modelling_new[Date],"&lt;="&amp;Modelling_new[[#This Row],[Date]])</f>
        <v>113.18249806451611</v>
      </c>
      <c r="AM312" s="4">
        <f>SUMIFS(Modelling_new[Target POA Daily (KWh/m2)],Modelling_new[Finacial Year],Modelling_new[[#This Row],[Finacial Year]],Modelling_new[Date],"&lt;="&amp;Modelling_new[[#This Row],[Date]])</f>
        <v>113.18249806451611</v>
      </c>
      <c r="AN312" s="9">
        <f>AH312/Modelling_new[[#This Row],[Comisined DC ]]/AK312</f>
        <v>0.86385285472076068</v>
      </c>
      <c r="AO312" s="9">
        <f>AI312/AL312/Modelling_new[[#This Row],[MTD DC Capcity]]</f>
        <v>0.86385285472076112</v>
      </c>
      <c r="AP312" s="9">
        <f>AJ312/AM312/Modelling_new[[#This Row],[YTD DC Capcity]]</f>
        <v>0.86385285472076112</v>
      </c>
      <c r="AQ312" s="9">
        <f>AH312/(24*Modelling_new[[#This Row],[Comisined DC ]])</f>
        <v>0.20369380011970678</v>
      </c>
      <c r="AR312" s="9">
        <f>AI312/(COUNTIFS(Modelling_new[Date],"&lt;="&amp;Modelling_new[[#This Row],[Date]],Modelling_new[Month Year],Modelling_new[[#This Row],[Month Year]])*24*Modelling_new[[#This Row],[MTD DC Capcity]])</f>
        <v>0.20369380011970681</v>
      </c>
      <c r="AS312" s="28">
        <f>AJ312/(COUNTIFS(Modelling_new[Date],"&lt;="&amp;Modelling_new[[#This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0.20369380011970681</v>
      </c>
      <c r="AT312" s="5">
        <v>12.8</v>
      </c>
      <c r="AU312" s="9">
        <f>Modelling_new[[#This Row],[Comisined DC ]]/$AO$1</f>
        <v>1</v>
      </c>
      <c r="AV312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12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312" s="27">
        <f t="shared" si="105"/>
        <v>45311</v>
      </c>
      <c r="BE312" s="5">
        <f>MONTH(Modelling[[#This Row],[Date]])</f>
        <v>1</v>
      </c>
      <c r="BF312" s="25">
        <f>YEAR(BD312)+IF(MONTH(Modelling[[#This Row],[Date]])&gt;=4,1,0)</f>
        <v>2024</v>
      </c>
      <c r="BG312" s="3">
        <f t="shared" si="101"/>
        <v>2024</v>
      </c>
      <c r="BH312" s="3" t="s">
        <v>626</v>
      </c>
      <c r="BI312" s="5" t="s">
        <v>626</v>
      </c>
      <c r="BJ312" s="102">
        <v>45292</v>
      </c>
      <c r="BK312" s="5">
        <f t="shared" si="102"/>
        <v>31</v>
      </c>
      <c r="BL312" s="5">
        <f t="shared" si="103"/>
        <v>1</v>
      </c>
      <c r="BM312" s="4">
        <f>Modelling_old[[#This Row],[Target E_Grid daily
MWh]]+Modelling_new[[#This Row],[Target E_Grid daily
MWh]]</f>
        <v>118.38118700967715</v>
      </c>
      <c r="BN312" s="4">
        <f>Modelling_old[[#This Row],[Target E_Grid MTD
MWh]]+Modelling_new[[#This Row],[Target E_Grid MTD
MWh]]</f>
        <v>2367.6237401935427</v>
      </c>
      <c r="BO312" s="4">
        <f>Modelling_old[[#This Row],[Target E_Grid YTD
MWh]]+Modelling_new[[#This Row],[Target E_Grid YTD
MWh]]</f>
        <v>14887.62374019355</v>
      </c>
      <c r="BP31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12" s="4">
        <f>SUMIFS(Modelling[Target POA Daily (KWh/m2)],Modelling[Date],"&lt;="&amp;Modelling[[#This Row],[Date]],Modelling[Month Year],Modelling[[#This Row],[Month Year]])</f>
        <v>123.89082745716365</v>
      </c>
      <c r="BR312" s="4">
        <f>SUMIFS(Modelling[Target POA Daily (KWh/m2)],Modelling[Date],"&lt;="&amp;Modelling[[#This Row],[Date]],Modelling[Finacial Year],Modelling[[#This Row],[Finacial Year]])</f>
        <v>1673.0908274571598</v>
      </c>
      <c r="BS312" s="9">
        <f>BM312/Modelling[[#This Row],[Comisined DC ]]/BP312</f>
        <v>0.78634269848069838</v>
      </c>
      <c r="BT312" s="9">
        <f>BN312/BQ312/Modelling[[#This Row],[Comisined DC ]]</f>
        <v>0.78634269848069827</v>
      </c>
      <c r="BU312" s="9">
        <f>BO312/BR312/Modelling[[#This Row],[Comisined DC ]]</f>
        <v>0.36613748333107687</v>
      </c>
      <c r="BV312" s="9">
        <f>BM312/(24*Modelling[[#This Row],[Comisined DC ]])</f>
        <v>0.20295968245765139</v>
      </c>
      <c r="BW312" s="9">
        <f>BN312/((COUNTIFS(Modelling[Date],"&lt;="&amp;Modelling[[#This Row],[Date]],Modelling[Month Year],Modelling[[#This Row],[Month Year]])*24*Modelling[[#This Row],[MTD DC Capcity]]))</f>
        <v>0.20295968245765145</v>
      </c>
      <c r="BX312" s="28">
        <f>BO312/((COUNTIFS(Modelling[Date],"&lt;="&amp;Modelling[[#This Row],[Date]],Modelling[Finacial Year],Modelling[[#This Row],[Finacial Year]])*24*Modelling[[#This Row],[MTD DC Capcity]]))</f>
        <v>8.652277753523642E-2</v>
      </c>
      <c r="BY312" s="4">
        <f>Modelling_old[[#This Row],[DC Capcity]]+Modelling_new[[#This Row],[Comisined DC ]]</f>
        <v>24.303100000000001</v>
      </c>
      <c r="BZ312" s="4">
        <v>0</v>
      </c>
      <c r="CA312" s="4">
        <f>AVERAGEIFS(Modelling[[Comisined DC ]],Modelling[Date],"&lt;="&amp;Modelling[[#This Row],[Date]],Modelling[Month Year],Modelling[[#This Row],[Month Year]])</f>
        <v>24.30309999999999</v>
      </c>
      <c r="CB312" s="4">
        <f>AVERAGEIFS(Modelling[[Comisined DC ]],Modelling[Date],"&lt;="&amp;Modelling[[#This Row],[Date]],Modelling[Finacial Year],Modelling[[#This Row],[Finacial Year]])</f>
        <v>12.37089661016944</v>
      </c>
      <c r="CG312">
        <f t="shared" si="109"/>
        <v>20</v>
      </c>
      <c r="CH312">
        <f t="shared" si="106"/>
        <v>295</v>
      </c>
    </row>
    <row r="313" spans="1:86" x14ac:dyDescent="0.35">
      <c r="A313" s="27">
        <v>45312</v>
      </c>
      <c r="B313" s="5">
        <f>MONTH(Modelling_old[[#This Row],[Date]])</f>
        <v>1</v>
      </c>
      <c r="C313" s="25">
        <v>2024</v>
      </c>
      <c r="D313" s="3">
        <f t="shared" si="91"/>
        <v>2024</v>
      </c>
      <c r="E313" s="3" t="s">
        <v>626</v>
      </c>
      <c r="F313" s="5" t="s">
        <v>626</v>
      </c>
      <c r="G313" s="102">
        <v>45292</v>
      </c>
      <c r="H313" s="5">
        <f t="shared" si="92"/>
        <v>31</v>
      </c>
      <c r="I313" s="5">
        <f t="shared" si="93"/>
        <v>1</v>
      </c>
      <c r="J313" s="4">
        <f t="shared" si="94"/>
        <v>55.806451612903224</v>
      </c>
      <c r="K313" s="4">
        <f>SUM($J$293:J313)</f>
        <v>1171.9354838709671</v>
      </c>
      <c r="L313" s="4">
        <f>SUM($J$18:J313)</f>
        <v>13691.935483870975</v>
      </c>
      <c r="M313" s="4">
        <f t="shared" si="95"/>
        <v>6.790322580645161</v>
      </c>
      <c r="N313" s="4">
        <f>SUM($M$293:M313)</f>
        <v>142.59677419354841</v>
      </c>
      <c r="O313" s="4">
        <f>SUM($M$18:M313)</f>
        <v>1691.7967741935452</v>
      </c>
      <c r="P313" s="9">
        <f t="shared" si="96"/>
        <v>0.71446195511770638</v>
      </c>
      <c r="Q313" s="26">
        <f t="shared" si="107"/>
        <v>0.71446195511770605</v>
      </c>
      <c r="R313" s="26">
        <f t="shared" si="107"/>
        <v>0.70356099800116112</v>
      </c>
      <c r="S313" s="9">
        <f t="shared" si="97"/>
        <v>0.20214279778531885</v>
      </c>
      <c r="T313" s="9">
        <f>K313/((COUNT($K$293:K313))*24*$Q$1)</f>
        <v>0.20214279778531874</v>
      </c>
      <c r="U313" s="28">
        <f>L313/((COUNT($L$18:L313))*24*$Q$1)</f>
        <v>0.16755098914227975</v>
      </c>
      <c r="V313" s="134">
        <v>11.5031</v>
      </c>
      <c r="Y313" s="27">
        <f t="shared" si="104"/>
        <v>45312</v>
      </c>
      <c r="Z313" s="5">
        <f>MONTH(Modelling_new[[#This Row],[Date]])</f>
        <v>1</v>
      </c>
      <c r="AA313" s="25">
        <f>YEAR(Y313)+IF(MONTH(Modelling_new[[#This Row],[Date]])&gt;=4,1,0)</f>
        <v>2024</v>
      </c>
      <c r="AB313" s="3">
        <f t="shared" si="98"/>
        <v>2024</v>
      </c>
      <c r="AC313" s="3" t="s">
        <v>626</v>
      </c>
      <c r="AD313" s="5" t="s">
        <v>626</v>
      </c>
      <c r="AE313" s="102">
        <v>45292</v>
      </c>
      <c r="AF313" s="5">
        <f t="shared" si="99"/>
        <v>31</v>
      </c>
      <c r="AG313" s="5">
        <f t="shared" si="100"/>
        <v>1</v>
      </c>
      <c r="AH313" s="4">
        <f>(VLOOKUP(AG313,$AA$2:$AK$13,10,0)/AF313)*Modelling_new[[#This Row],[Factor]]</f>
        <v>62.574735396773931</v>
      </c>
      <c r="AI313" s="4">
        <f>SUMIFS(Modelling_new[Target E_Grid daily
MWh],Modelling_new[Month Year],Modelling_new[[#This Row],[Month Year]],Modelling_new[Date],"&lt;="&amp;Modelling_new[[#This Row],[Date]])</f>
        <v>1314.0694433322528</v>
      </c>
      <c r="AJ313" s="4">
        <f>SUMIFS(Modelling_new[Target E_Grid daily
MWh],Modelling_new[Finacial Year],Modelling_new[[#This Row],[Finacial Year]],Modelling_new[Date],"&lt;="&amp;Modelling_new[[#This Row],[Date]])</f>
        <v>1314.0694433322528</v>
      </c>
      <c r="AK313" s="4">
        <f t="shared" si="108"/>
        <v>5.6591249032258082</v>
      </c>
      <c r="AL313" s="4">
        <f>SUMIFS(Modelling_new[Target POA Daily (KWh/m2)],Modelling_new[Month Year],Modelling_new[[#This Row],[Month Year]],Modelling_new[Date],"&lt;="&amp;Modelling_new[[#This Row],[Date]])</f>
        <v>118.84162296774191</v>
      </c>
      <c r="AM313" s="4">
        <f>SUMIFS(Modelling_new[Target POA Daily (KWh/m2)],Modelling_new[Finacial Year],Modelling_new[[#This Row],[Finacial Year]],Modelling_new[Date],"&lt;="&amp;Modelling_new[[#This Row],[Date]])</f>
        <v>118.84162296774191</v>
      </c>
      <c r="AN313" s="9">
        <f>AH313/Modelling_new[[#This Row],[Comisined DC ]]/AK313</f>
        <v>0.86385285472076068</v>
      </c>
      <c r="AO313" s="9">
        <f>AI313/AL313/Modelling_new[[#This Row],[MTD DC Capcity]]</f>
        <v>0.86385285472076112</v>
      </c>
      <c r="AP313" s="9">
        <f>AJ313/AM313/Modelling_new[[#This Row],[YTD DC Capcity]]</f>
        <v>0.86385285472076112</v>
      </c>
      <c r="AQ313" s="9">
        <f>AH313/(24*Modelling_new[[#This Row],[Comisined DC ]])</f>
        <v>0.20369380011970678</v>
      </c>
      <c r="AR313" s="9">
        <f>AI313/(COUNTIFS(Modelling_new[Date],"&lt;="&amp;Modelling_new[[#This Row],[Date]],Modelling_new[Month Year],Modelling_new[[#This Row],[Month Year]])*24*Modelling_new[[#This Row],[MTD DC Capcity]])</f>
        <v>0.20369380011970681</v>
      </c>
      <c r="AS313" s="28">
        <f>AJ313/(COUNTIFS(Modelling_new[Date],"&lt;="&amp;Modelling_new[[#This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0.20369380011970681</v>
      </c>
      <c r="AT313" s="5">
        <v>12.8</v>
      </c>
      <c r="AU313" s="9">
        <f>Modelling_new[[#This Row],[Comisined DC ]]/$AO$1</f>
        <v>1</v>
      </c>
      <c r="AV313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13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313" s="27">
        <f t="shared" si="105"/>
        <v>45312</v>
      </c>
      <c r="BE313" s="5">
        <f>MONTH(Modelling[[#This Row],[Date]])</f>
        <v>1</v>
      </c>
      <c r="BF313" s="25">
        <f>YEAR(BD313)+IF(MONTH(Modelling[[#This Row],[Date]])&gt;=4,1,0)</f>
        <v>2024</v>
      </c>
      <c r="BG313" s="3">
        <f t="shared" si="101"/>
        <v>2024</v>
      </c>
      <c r="BH313" s="3" t="s">
        <v>626</v>
      </c>
      <c r="BI313" s="5" t="s">
        <v>626</v>
      </c>
      <c r="BJ313" s="102">
        <v>45292</v>
      </c>
      <c r="BK313" s="5">
        <f t="shared" si="102"/>
        <v>31</v>
      </c>
      <c r="BL313" s="5">
        <f t="shared" si="103"/>
        <v>1</v>
      </c>
      <c r="BM313" s="4">
        <f>Modelling_old[[#This Row],[Target E_Grid daily
MWh]]+Modelling_new[[#This Row],[Target E_Grid daily
MWh]]</f>
        <v>118.38118700967715</v>
      </c>
      <c r="BN313" s="4">
        <f>Modelling_old[[#This Row],[Target E_Grid MTD
MWh]]+Modelling_new[[#This Row],[Target E_Grid MTD
MWh]]</f>
        <v>2486.0049272032202</v>
      </c>
      <c r="BO313" s="4">
        <f>Modelling_old[[#This Row],[Target E_Grid YTD
MWh]]+Modelling_new[[#This Row],[Target E_Grid YTD
MWh]]</f>
        <v>15006.004927203228</v>
      </c>
      <c r="BP31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13" s="4">
        <f>SUMIFS(Modelling[Target POA Daily (KWh/m2)],Modelling[Date],"&lt;="&amp;Modelling[[#This Row],[Date]],Modelling[Month Year],Modelling[[#This Row],[Month Year]])</f>
        <v>130.08536883002182</v>
      </c>
      <c r="BR313" s="4">
        <f>SUMIFS(Modelling[Target POA Daily (KWh/m2)],Modelling[Date],"&lt;="&amp;Modelling[[#This Row],[Date]],Modelling[Finacial Year],Modelling[[#This Row],[Finacial Year]])</f>
        <v>1679.2853688300179</v>
      </c>
      <c r="BS313" s="9">
        <f>BM313/Modelling[[#This Row],[Comisined DC ]]/BP313</f>
        <v>0.78634269848069838</v>
      </c>
      <c r="BT313" s="9">
        <f>BN313/BQ313/Modelling[[#This Row],[Comisined DC ]]</f>
        <v>0.7863426984806986</v>
      </c>
      <c r="BU313" s="9">
        <f>BO313/BR313/Modelling[[#This Row],[Comisined DC ]]</f>
        <v>0.3676875347033155</v>
      </c>
      <c r="BV313" s="9">
        <f>BM313/(24*Modelling[[#This Row],[Comisined DC ]])</f>
        <v>0.20295968245765139</v>
      </c>
      <c r="BW313" s="9">
        <f>BN313/((COUNTIFS(Modelling[Date],"&lt;="&amp;Modelling[[#This Row],[Date]],Modelling[Month Year],Modelling[[#This Row],[Month Year]])*24*Modelling[[#This Row],[MTD DC Capcity]]))</f>
        <v>0.2029596824576515</v>
      </c>
      <c r="BX313" s="28">
        <f>BO313/((COUNTIFS(Modelling[Date],"&lt;="&amp;Modelling[[#This Row],[Date]],Modelling[Finacial Year],Modelling[[#This Row],[Finacial Year]])*24*Modelling[[#This Row],[MTD DC Capcity]]))</f>
        <v>8.6916145457271596E-2</v>
      </c>
      <c r="BY313" s="4">
        <f>Modelling_old[[#This Row],[DC Capcity]]+Modelling_new[[#This Row],[Comisined DC ]]</f>
        <v>24.303100000000001</v>
      </c>
      <c r="BZ313" s="4">
        <v>0</v>
      </c>
      <c r="CA313" s="4">
        <f>AVERAGEIFS(Modelling[[Comisined DC ]],Modelling[Date],"&lt;="&amp;Modelling[[#This Row],[Date]],Modelling[Month Year],Modelling[[#This Row],[Month Year]])</f>
        <v>24.30309999999999</v>
      </c>
      <c r="CB313" s="4">
        <f>AVERAGEIFS(Modelling[[Comisined DC ]],Modelling[Date],"&lt;="&amp;Modelling[[#This Row],[Date]],Modelling[Finacial Year],Modelling[[#This Row],[Finacial Year]])</f>
        <v>12.411208108108058</v>
      </c>
      <c r="CG313">
        <f t="shared" si="109"/>
        <v>21</v>
      </c>
      <c r="CH313">
        <f t="shared" si="106"/>
        <v>296</v>
      </c>
    </row>
    <row r="314" spans="1:86" x14ac:dyDescent="0.35">
      <c r="A314" s="27">
        <v>45313</v>
      </c>
      <c r="B314" s="5">
        <f>MONTH(Modelling_old[[#This Row],[Date]])</f>
        <v>1</v>
      </c>
      <c r="C314" s="25">
        <v>2024</v>
      </c>
      <c r="D314" s="3">
        <f t="shared" si="91"/>
        <v>2024</v>
      </c>
      <c r="E314" s="3" t="s">
        <v>626</v>
      </c>
      <c r="F314" s="5" t="s">
        <v>626</v>
      </c>
      <c r="G314" s="102">
        <v>45292</v>
      </c>
      <c r="H314" s="5">
        <f t="shared" si="92"/>
        <v>31</v>
      </c>
      <c r="I314" s="5">
        <f t="shared" si="93"/>
        <v>1</v>
      </c>
      <c r="J314" s="4">
        <f t="shared" si="94"/>
        <v>55.806451612903224</v>
      </c>
      <c r="K314" s="4">
        <f>SUM($J$293:J314)</f>
        <v>1227.7419354838703</v>
      </c>
      <c r="L314" s="4">
        <f>SUM($J$18:J314)</f>
        <v>13747.741935483878</v>
      </c>
      <c r="M314" s="4">
        <f t="shared" si="95"/>
        <v>6.790322580645161</v>
      </c>
      <c r="N314" s="4">
        <f>SUM($M$293:M314)</f>
        <v>149.38709677419357</v>
      </c>
      <c r="O314" s="4">
        <f>SUM($M$18:M314)</f>
        <v>1698.5870967741903</v>
      </c>
      <c r="P314" s="9">
        <f t="shared" si="96"/>
        <v>0.71446195511770638</v>
      </c>
      <c r="Q314" s="26">
        <f t="shared" si="107"/>
        <v>0.71446195511770605</v>
      </c>
      <c r="R314" s="26">
        <f t="shared" si="107"/>
        <v>0.7036045759933639</v>
      </c>
      <c r="S314" s="9">
        <f t="shared" si="97"/>
        <v>0.20214279778531885</v>
      </c>
      <c r="T314" s="9">
        <f>K314/((COUNT($K$293:K314))*24*$Q$1)</f>
        <v>0.20214279778531871</v>
      </c>
      <c r="U314" s="28">
        <f>L314/((COUNT($L$18:L314))*24*$Q$1)</f>
        <v>0.16766745987845164</v>
      </c>
      <c r="V314" s="134">
        <v>11.5031</v>
      </c>
      <c r="Y314" s="27">
        <f t="shared" si="104"/>
        <v>45313</v>
      </c>
      <c r="Z314" s="5">
        <f>MONTH(Modelling_new[[#This Row],[Date]])</f>
        <v>1</v>
      </c>
      <c r="AA314" s="25">
        <f>YEAR(Y314)+IF(MONTH(Modelling_new[[#This Row],[Date]])&gt;=4,1,0)</f>
        <v>2024</v>
      </c>
      <c r="AB314" s="3">
        <f t="shared" si="98"/>
        <v>2024</v>
      </c>
      <c r="AC314" s="3" t="s">
        <v>626</v>
      </c>
      <c r="AD314" s="5" t="s">
        <v>626</v>
      </c>
      <c r="AE314" s="102">
        <v>45292</v>
      </c>
      <c r="AF314" s="5">
        <f t="shared" si="99"/>
        <v>31</v>
      </c>
      <c r="AG314" s="5">
        <f t="shared" si="100"/>
        <v>1</v>
      </c>
      <c r="AH314" s="4">
        <f>(VLOOKUP(AG314,$AA$2:$AK$13,10,0)/AF314)*Modelling_new[[#This Row],[Factor]]</f>
        <v>62.574735396773931</v>
      </c>
      <c r="AI314" s="4">
        <f>SUMIFS(Modelling_new[Target E_Grid daily
MWh],Modelling_new[Month Year],Modelling_new[[#This Row],[Month Year]],Modelling_new[Date],"&lt;="&amp;Modelling_new[[#This Row],[Date]])</f>
        <v>1376.6441787290269</v>
      </c>
      <c r="AJ314" s="4">
        <f>SUMIFS(Modelling_new[Target E_Grid daily
MWh],Modelling_new[Finacial Year],Modelling_new[[#This Row],[Finacial Year]],Modelling_new[Date],"&lt;="&amp;Modelling_new[[#This Row],[Date]])</f>
        <v>1376.6441787290269</v>
      </c>
      <c r="AK314" s="4">
        <f t="shared" si="108"/>
        <v>5.6591249032258082</v>
      </c>
      <c r="AL314" s="4">
        <f>SUMIFS(Modelling_new[Target POA Daily (KWh/m2)],Modelling_new[Month Year],Modelling_new[[#This Row],[Month Year]],Modelling_new[Date],"&lt;="&amp;Modelling_new[[#This Row],[Date]])</f>
        <v>124.50074787096771</v>
      </c>
      <c r="AM314" s="4">
        <f>SUMIFS(Modelling_new[Target POA Daily (KWh/m2)],Modelling_new[Finacial Year],Modelling_new[[#This Row],[Finacial Year]],Modelling_new[Date],"&lt;="&amp;Modelling_new[[#This Row],[Date]])</f>
        <v>124.50074787096771</v>
      </c>
      <c r="AN314" s="9">
        <f>AH314/Modelling_new[[#This Row],[Comisined DC ]]/AK314</f>
        <v>0.86385285472076068</v>
      </c>
      <c r="AO314" s="9">
        <f>AI314/AL314/Modelling_new[[#This Row],[MTD DC Capcity]]</f>
        <v>0.86385285472076123</v>
      </c>
      <c r="AP314" s="9">
        <f>AJ314/AM314/Modelling_new[[#This Row],[YTD DC Capcity]]</f>
        <v>0.86385285472076123</v>
      </c>
      <c r="AQ314" s="9">
        <f>AH314/(24*Modelling_new[[#This Row],[Comisined DC ]])</f>
        <v>0.20369380011970678</v>
      </c>
      <c r="AR314" s="9">
        <f>AI314/(COUNTIFS(Modelling_new[Date],"&lt;="&amp;Modelling_new[[#This Row],[Date]],Modelling_new[Month Year],Modelling_new[[#This Row],[Month Year]])*24*Modelling_new[[#This Row],[MTD DC Capcity]])</f>
        <v>0.20369380011970678</v>
      </c>
      <c r="AS314" s="28">
        <f>AJ314/(COUNTIFS(Modelling_new[Date],"&lt;="&amp;Modelling_new[[#This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0.20369380011970678</v>
      </c>
      <c r="AT314" s="5">
        <v>12.8</v>
      </c>
      <c r="AU314" s="9">
        <f>Modelling_new[[#This Row],[Comisined DC ]]/$AO$1</f>
        <v>1</v>
      </c>
      <c r="AV314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14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314" s="27">
        <f t="shared" si="105"/>
        <v>45313</v>
      </c>
      <c r="BE314" s="5">
        <f>MONTH(Modelling[[#This Row],[Date]])</f>
        <v>1</v>
      </c>
      <c r="BF314" s="25">
        <f>YEAR(BD314)+IF(MONTH(Modelling[[#This Row],[Date]])&gt;=4,1,0)</f>
        <v>2024</v>
      </c>
      <c r="BG314" s="3">
        <f t="shared" si="101"/>
        <v>2024</v>
      </c>
      <c r="BH314" s="3" t="s">
        <v>626</v>
      </c>
      <c r="BI314" s="5" t="s">
        <v>626</v>
      </c>
      <c r="BJ314" s="102">
        <v>45292</v>
      </c>
      <c r="BK314" s="5">
        <f t="shared" si="102"/>
        <v>31</v>
      </c>
      <c r="BL314" s="5">
        <f t="shared" si="103"/>
        <v>1</v>
      </c>
      <c r="BM314" s="4">
        <f>Modelling_old[[#This Row],[Target E_Grid daily
MWh]]+Modelling_new[[#This Row],[Target E_Grid daily
MWh]]</f>
        <v>118.38118700967715</v>
      </c>
      <c r="BN314" s="4">
        <f>Modelling_old[[#This Row],[Target E_Grid MTD
MWh]]+Modelling_new[[#This Row],[Target E_Grid MTD
MWh]]</f>
        <v>2604.3861142128972</v>
      </c>
      <c r="BO314" s="4">
        <f>Modelling_old[[#This Row],[Target E_Grid YTD
MWh]]+Modelling_new[[#This Row],[Target E_Grid YTD
MWh]]</f>
        <v>15124.386114212906</v>
      </c>
      <c r="BP31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14" s="4">
        <f>SUMIFS(Modelling[Target POA Daily (KWh/m2)],Modelling[Date],"&lt;="&amp;Modelling[[#This Row],[Date]],Modelling[Month Year],Modelling[[#This Row],[Month Year]])</f>
        <v>136.27991020287999</v>
      </c>
      <c r="BR314" s="4">
        <f>SUMIFS(Modelling[Target POA Daily (KWh/m2)],Modelling[Date],"&lt;="&amp;Modelling[[#This Row],[Date]],Modelling[Finacial Year],Modelling[[#This Row],[Finacial Year]])</f>
        <v>1685.479910202876</v>
      </c>
      <c r="BS314" s="9">
        <f>BM314/Modelling[[#This Row],[Comisined DC ]]/BP314</f>
        <v>0.78634269848069838</v>
      </c>
      <c r="BT314" s="9">
        <f>BN314/BQ314/Modelling[[#This Row],[Comisined DC ]]</f>
        <v>0.7863426984806986</v>
      </c>
      <c r="BU314" s="9">
        <f>BO314/BR314/Modelling[[#This Row],[Comisined DC ]]</f>
        <v>0.36922619245727684</v>
      </c>
      <c r="BV314" s="9">
        <f>BM314/(24*Modelling[[#This Row],[Comisined DC ]])</f>
        <v>0.20295968245765139</v>
      </c>
      <c r="BW314" s="9">
        <f>BN314/((COUNTIFS(Modelling[Date],"&lt;="&amp;Modelling[[#This Row],[Date]],Modelling[Month Year],Modelling[[#This Row],[Month Year]])*24*Modelling[[#This Row],[MTD DC Capcity]]))</f>
        <v>0.2029596824576515</v>
      </c>
      <c r="BX314" s="28">
        <f>BO314/((COUNTIFS(Modelling[Date],"&lt;="&amp;Modelling[[#This Row],[Date]],Modelling[Finacial Year],Modelling[[#This Row],[Finacial Year]])*24*Modelling[[#This Row],[MTD DC Capcity]]))</f>
        <v>8.7306864437070877E-2</v>
      </c>
      <c r="BY314" s="4">
        <f>Modelling_old[[#This Row],[DC Capcity]]+Modelling_new[[#This Row],[Comisined DC ]]</f>
        <v>24.303100000000001</v>
      </c>
      <c r="BZ314" s="4">
        <v>0</v>
      </c>
      <c r="CA314" s="4">
        <f>AVERAGEIFS(Modelling[[Comisined DC ]],Modelling[Date],"&lt;="&amp;Modelling[[#This Row],[Date]],Modelling[Month Year],Modelling[[#This Row],[Month Year]])</f>
        <v>24.303099999999986</v>
      </c>
      <c r="CB314" s="4">
        <f>AVERAGEIFS(Modelling[[Comisined DC ]],Modelling[Date],"&lt;="&amp;Modelling[[#This Row],[Date]],Modelling[Finacial Year],Modelling[[#This Row],[Finacial Year]])</f>
        <v>12.451248148148098</v>
      </c>
      <c r="CG314">
        <f t="shared" si="109"/>
        <v>22</v>
      </c>
      <c r="CH314">
        <f t="shared" si="106"/>
        <v>297</v>
      </c>
    </row>
    <row r="315" spans="1:86" x14ac:dyDescent="0.35">
      <c r="A315" s="27">
        <v>45314</v>
      </c>
      <c r="B315" s="5">
        <f>MONTH(Modelling_old[[#This Row],[Date]])</f>
        <v>1</v>
      </c>
      <c r="C315" s="25">
        <v>2024</v>
      </c>
      <c r="D315" s="3">
        <f t="shared" si="91"/>
        <v>2024</v>
      </c>
      <c r="E315" s="3" t="s">
        <v>626</v>
      </c>
      <c r="F315" s="5" t="s">
        <v>626</v>
      </c>
      <c r="G315" s="102">
        <v>45292</v>
      </c>
      <c r="H315" s="5">
        <f t="shared" si="92"/>
        <v>31</v>
      </c>
      <c r="I315" s="5">
        <f t="shared" si="93"/>
        <v>1</v>
      </c>
      <c r="J315" s="4">
        <f t="shared" si="94"/>
        <v>55.806451612903224</v>
      </c>
      <c r="K315" s="4">
        <f>SUM($J$293:J315)</f>
        <v>1283.5483870967735</v>
      </c>
      <c r="L315" s="4">
        <f>SUM($J$18:J315)</f>
        <v>13803.548387096782</v>
      </c>
      <c r="M315" s="4">
        <f t="shared" si="95"/>
        <v>6.790322580645161</v>
      </c>
      <c r="N315" s="4">
        <f>SUM($M$293:M315)</f>
        <v>156.17741935483872</v>
      </c>
      <c r="O315" s="4">
        <f>SUM($M$18:M315)</f>
        <v>1705.3774193548354</v>
      </c>
      <c r="P315" s="9">
        <f t="shared" si="96"/>
        <v>0.71446195511770638</v>
      </c>
      <c r="Q315" s="26">
        <f t="shared" si="107"/>
        <v>0.71446195511770605</v>
      </c>
      <c r="R315" s="26">
        <f t="shared" si="107"/>
        <v>0.70364780695549456</v>
      </c>
      <c r="S315" s="9">
        <f t="shared" si="97"/>
        <v>0.20214279778531885</v>
      </c>
      <c r="T315" s="9">
        <f>K315/((COUNT($K$293:K315))*24*$Q$1)</f>
        <v>0.20214279778531874</v>
      </c>
      <c r="U315" s="28">
        <f>L315/((COUNT($L$18:L315))*24*$Q$1)</f>
        <v>0.16778314893183038</v>
      </c>
      <c r="V315" s="134">
        <v>11.5031</v>
      </c>
      <c r="Y315" s="27">
        <f t="shared" si="104"/>
        <v>45314</v>
      </c>
      <c r="Z315" s="5">
        <f>MONTH(Modelling_new[[#This Row],[Date]])</f>
        <v>1</v>
      </c>
      <c r="AA315" s="25">
        <f>YEAR(Y315)+IF(MONTH(Modelling_new[[#This Row],[Date]])&gt;=4,1,0)</f>
        <v>2024</v>
      </c>
      <c r="AB315" s="3">
        <f t="shared" si="98"/>
        <v>2024</v>
      </c>
      <c r="AC315" s="3" t="s">
        <v>626</v>
      </c>
      <c r="AD315" s="5" t="s">
        <v>626</v>
      </c>
      <c r="AE315" s="102">
        <v>45292</v>
      </c>
      <c r="AF315" s="5">
        <f t="shared" si="99"/>
        <v>31</v>
      </c>
      <c r="AG315" s="5">
        <f t="shared" si="100"/>
        <v>1</v>
      </c>
      <c r="AH315" s="4">
        <f>(VLOOKUP(AG315,$AA$2:$AK$13,10,0)/AF315)*Modelling_new[[#This Row],[Factor]]</f>
        <v>62.574735396773931</v>
      </c>
      <c r="AI315" s="4">
        <f>SUMIFS(Modelling_new[Target E_Grid daily
MWh],Modelling_new[Month Year],Modelling_new[[#This Row],[Month Year]],Modelling_new[Date],"&lt;="&amp;Modelling_new[[#This Row],[Date]])</f>
        <v>1439.2189141258009</v>
      </c>
      <c r="AJ315" s="4">
        <f>SUMIFS(Modelling_new[Target E_Grid daily
MWh],Modelling_new[Finacial Year],Modelling_new[[#This Row],[Finacial Year]],Modelling_new[Date],"&lt;="&amp;Modelling_new[[#This Row],[Date]])</f>
        <v>1439.2189141258009</v>
      </c>
      <c r="AK315" s="4">
        <f t="shared" si="108"/>
        <v>5.6591249032258082</v>
      </c>
      <c r="AL315" s="4">
        <f>SUMIFS(Modelling_new[Target POA Daily (KWh/m2)],Modelling_new[Month Year],Modelling_new[[#This Row],[Month Year]],Modelling_new[Date],"&lt;="&amp;Modelling_new[[#This Row],[Date]])</f>
        <v>130.15987277419353</v>
      </c>
      <c r="AM315" s="4">
        <f>SUMIFS(Modelling_new[Target POA Daily (KWh/m2)],Modelling_new[Finacial Year],Modelling_new[[#This Row],[Finacial Year]],Modelling_new[Date],"&lt;="&amp;Modelling_new[[#This Row],[Date]])</f>
        <v>130.15987277419353</v>
      </c>
      <c r="AN315" s="9">
        <f>AH315/Modelling_new[[#This Row],[Comisined DC ]]/AK315</f>
        <v>0.86385285472076068</v>
      </c>
      <c r="AO315" s="9">
        <f>AI315/AL315/Modelling_new[[#This Row],[MTD DC Capcity]]</f>
        <v>0.86385285472076123</v>
      </c>
      <c r="AP315" s="9">
        <f>AJ315/AM315/Modelling_new[[#This Row],[YTD DC Capcity]]</f>
        <v>0.86385285472076123</v>
      </c>
      <c r="AQ315" s="9">
        <f>AH315/(24*Modelling_new[[#This Row],[Comisined DC ]])</f>
        <v>0.20369380011970678</v>
      </c>
      <c r="AR315" s="9">
        <f>AI315/(COUNTIFS(Modelling_new[Date],"&lt;="&amp;Modelling_new[[#This Row],[Date]],Modelling_new[Month Year],Modelling_new[[#This Row],[Month Year]])*24*Modelling_new[[#This Row],[MTD DC Capcity]])</f>
        <v>0.20369380011970681</v>
      </c>
      <c r="AS315" s="28">
        <f>AJ315/(COUNTIFS(Modelling_new[Date],"&lt;="&amp;Modelling_new[[#This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0.20369380011970681</v>
      </c>
      <c r="AT315" s="5">
        <v>12.8</v>
      </c>
      <c r="AU315" s="9">
        <f>Modelling_new[[#This Row],[Comisined DC ]]/$AO$1</f>
        <v>1</v>
      </c>
      <c r="AV31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15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315" s="27">
        <f t="shared" si="105"/>
        <v>45314</v>
      </c>
      <c r="BE315" s="5">
        <f>MONTH(Modelling[[#This Row],[Date]])</f>
        <v>1</v>
      </c>
      <c r="BF315" s="25">
        <f>YEAR(BD315)+IF(MONTH(Modelling[[#This Row],[Date]])&gt;=4,1,0)</f>
        <v>2024</v>
      </c>
      <c r="BG315" s="3">
        <f t="shared" si="101"/>
        <v>2024</v>
      </c>
      <c r="BH315" s="3" t="s">
        <v>626</v>
      </c>
      <c r="BI315" s="5" t="s">
        <v>626</v>
      </c>
      <c r="BJ315" s="102">
        <v>45292</v>
      </c>
      <c r="BK315" s="5">
        <f t="shared" si="102"/>
        <v>31</v>
      </c>
      <c r="BL315" s="5">
        <f t="shared" si="103"/>
        <v>1</v>
      </c>
      <c r="BM315" s="4">
        <f>Modelling_old[[#This Row],[Target E_Grid daily
MWh]]+Modelling_new[[#This Row],[Target E_Grid daily
MWh]]</f>
        <v>118.38118700967715</v>
      </c>
      <c r="BN315" s="4">
        <f>Modelling_old[[#This Row],[Target E_Grid MTD
MWh]]+Modelling_new[[#This Row],[Target E_Grid MTD
MWh]]</f>
        <v>2722.7673012225741</v>
      </c>
      <c r="BO315" s="4">
        <f>Modelling_old[[#This Row],[Target E_Grid YTD
MWh]]+Modelling_new[[#This Row],[Target E_Grid YTD
MWh]]</f>
        <v>15242.767301222582</v>
      </c>
      <c r="BP31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15" s="4">
        <f>SUMIFS(Modelling[Target POA Daily (KWh/m2)],Modelling[Date],"&lt;="&amp;Modelling[[#This Row],[Date]],Modelling[Month Year],Modelling[[#This Row],[Month Year]])</f>
        <v>142.47445157573816</v>
      </c>
      <c r="BR315" s="4">
        <f>SUMIFS(Modelling[Target POA Daily (KWh/m2)],Modelling[Date],"&lt;="&amp;Modelling[[#This Row],[Date]],Modelling[Finacial Year],Modelling[[#This Row],[Finacial Year]])</f>
        <v>1691.6744515757341</v>
      </c>
      <c r="BS315" s="9">
        <f>BM315/Modelling[[#This Row],[Comisined DC ]]/BP315</f>
        <v>0.78634269848069838</v>
      </c>
      <c r="BT315" s="9">
        <f>BN315/BQ315/Modelling[[#This Row],[Comisined DC ]]</f>
        <v>0.7863426984806986</v>
      </c>
      <c r="BU315" s="9">
        <f>BO315/BR315/Modelling[[#This Row],[Comisined DC ]]</f>
        <v>0.37075358175576589</v>
      </c>
      <c r="BV315" s="9">
        <f>BM315/(24*Modelling[[#This Row],[Comisined DC ]])</f>
        <v>0.20295968245765139</v>
      </c>
      <c r="BW315" s="9">
        <f>BN315/((COUNTIFS(Modelling[Date],"&lt;="&amp;Modelling[[#This Row],[Date]],Modelling[Month Year],Modelling[[#This Row],[Month Year]])*24*Modelling[[#This Row],[MTD DC Capcity]]))</f>
        <v>0.2029596824576515</v>
      </c>
      <c r="BX315" s="28">
        <f>BO315/((COUNTIFS(Modelling[Date],"&lt;="&amp;Modelling[[#This Row],[Date]],Modelling[Finacial Year],Modelling[[#This Row],[Finacial Year]])*24*Modelling[[#This Row],[MTD DC Capcity]]))</f>
        <v>8.7694961141837918E-2</v>
      </c>
      <c r="BY315" s="4">
        <f>Modelling_old[[#This Row],[DC Capcity]]+Modelling_new[[#This Row],[Comisined DC ]]</f>
        <v>24.303100000000001</v>
      </c>
      <c r="BZ315" s="4">
        <v>0</v>
      </c>
      <c r="CA315" s="4">
        <f>AVERAGEIFS(Modelling[[Comisined DC ]],Modelling[Date],"&lt;="&amp;Modelling[[#This Row],[Date]],Modelling[Month Year],Modelling[[#This Row],[Month Year]])</f>
        <v>24.303099999999986</v>
      </c>
      <c r="CB315" s="4">
        <f>AVERAGEIFS(Modelling[[Comisined DC ]],Modelling[Date],"&lt;="&amp;Modelling[[#This Row],[Date]],Modelling[Finacial Year],Modelling[[#This Row],[Finacial Year]])</f>
        <v>12.491019463087198</v>
      </c>
      <c r="CG315">
        <f t="shared" si="109"/>
        <v>23</v>
      </c>
      <c r="CH315">
        <f t="shared" si="106"/>
        <v>298</v>
      </c>
    </row>
    <row r="316" spans="1:86" x14ac:dyDescent="0.35">
      <c r="A316" s="27">
        <v>45315</v>
      </c>
      <c r="B316" s="5">
        <f>MONTH(Modelling_old[[#This Row],[Date]])</f>
        <v>1</v>
      </c>
      <c r="C316" s="25">
        <v>2024</v>
      </c>
      <c r="D316" s="3">
        <f t="shared" si="91"/>
        <v>2024</v>
      </c>
      <c r="E316" s="3" t="s">
        <v>626</v>
      </c>
      <c r="F316" s="5" t="s">
        <v>626</v>
      </c>
      <c r="G316" s="102">
        <v>45292</v>
      </c>
      <c r="H316" s="5">
        <f t="shared" si="92"/>
        <v>31</v>
      </c>
      <c r="I316" s="5">
        <f t="shared" si="93"/>
        <v>1</v>
      </c>
      <c r="J316" s="4">
        <f t="shared" si="94"/>
        <v>55.806451612903224</v>
      </c>
      <c r="K316" s="4">
        <f>SUM($J$293:J316)</f>
        <v>1339.3548387096766</v>
      </c>
      <c r="L316" s="4">
        <f>SUM($J$18:J316)</f>
        <v>13859.354838709685</v>
      </c>
      <c r="M316" s="4">
        <f t="shared" si="95"/>
        <v>6.790322580645161</v>
      </c>
      <c r="N316" s="4">
        <f>SUM($M$293:M316)</f>
        <v>162.96774193548387</v>
      </c>
      <c r="O316" s="4">
        <f>SUM($M$18:M316)</f>
        <v>1712.1677419354805</v>
      </c>
      <c r="P316" s="9">
        <f t="shared" si="96"/>
        <v>0.71446195511770638</v>
      </c>
      <c r="Q316" s="26">
        <f t="shared" si="107"/>
        <v>0.71446195511770605</v>
      </c>
      <c r="R316" s="26">
        <f t="shared" si="107"/>
        <v>0.70369069501643511</v>
      </c>
      <c r="S316" s="9">
        <f t="shared" si="97"/>
        <v>0.20214279778531885</v>
      </c>
      <c r="T316" s="9">
        <f>K316/((COUNT($K$293:K316))*24*$Q$1)</f>
        <v>0.20214279778531871</v>
      </c>
      <c r="U316" s="28">
        <f>L316/((COUNT($L$18:L316))*24*$Q$1)</f>
        <v>0.16789806414538722</v>
      </c>
      <c r="V316" s="134">
        <v>11.5031</v>
      </c>
      <c r="Y316" s="27">
        <f t="shared" si="104"/>
        <v>45315</v>
      </c>
      <c r="Z316" s="5">
        <f>MONTH(Modelling_new[[#This Row],[Date]])</f>
        <v>1</v>
      </c>
      <c r="AA316" s="25">
        <f>YEAR(Y316)+IF(MONTH(Modelling_new[[#This Row],[Date]])&gt;=4,1,0)</f>
        <v>2024</v>
      </c>
      <c r="AB316" s="3">
        <f t="shared" si="98"/>
        <v>2024</v>
      </c>
      <c r="AC316" s="3" t="s">
        <v>626</v>
      </c>
      <c r="AD316" s="5" t="s">
        <v>626</v>
      </c>
      <c r="AE316" s="102">
        <v>45292</v>
      </c>
      <c r="AF316" s="5">
        <f t="shared" si="99"/>
        <v>31</v>
      </c>
      <c r="AG316" s="5">
        <f t="shared" si="100"/>
        <v>1</v>
      </c>
      <c r="AH316" s="4">
        <f>(VLOOKUP(AG316,$AA$2:$AK$13,10,0)/AF316)*Modelling_new[[#This Row],[Factor]]</f>
        <v>62.574735396773931</v>
      </c>
      <c r="AI316" s="4">
        <f>SUMIFS(Modelling_new[Target E_Grid daily
MWh],Modelling_new[Month Year],Modelling_new[[#This Row],[Month Year]],Modelling_new[Date],"&lt;="&amp;Modelling_new[[#This Row],[Date]])</f>
        <v>1501.7936495225749</v>
      </c>
      <c r="AJ316" s="4">
        <f>SUMIFS(Modelling_new[Target E_Grid daily
MWh],Modelling_new[Finacial Year],Modelling_new[[#This Row],[Finacial Year]],Modelling_new[Date],"&lt;="&amp;Modelling_new[[#This Row],[Date]])</f>
        <v>1501.7936495225749</v>
      </c>
      <c r="AK316" s="4">
        <f t="shared" si="108"/>
        <v>5.6591249032258082</v>
      </c>
      <c r="AL316" s="4">
        <f>SUMIFS(Modelling_new[Target POA Daily (KWh/m2)],Modelling_new[Month Year],Modelling_new[[#This Row],[Month Year]],Modelling_new[Date],"&lt;="&amp;Modelling_new[[#This Row],[Date]])</f>
        <v>135.81899767741933</v>
      </c>
      <c r="AM316" s="4">
        <f>SUMIFS(Modelling_new[Target POA Daily (KWh/m2)],Modelling_new[Finacial Year],Modelling_new[[#This Row],[Finacial Year]],Modelling_new[Date],"&lt;="&amp;Modelling_new[[#This Row],[Date]])</f>
        <v>135.81899767741933</v>
      </c>
      <c r="AN316" s="9">
        <f>AH316/Modelling_new[[#This Row],[Comisined DC ]]/AK316</f>
        <v>0.86385285472076068</v>
      </c>
      <c r="AO316" s="9">
        <f>AI316/AL316/Modelling_new[[#This Row],[MTD DC Capcity]]</f>
        <v>0.86385285472076123</v>
      </c>
      <c r="AP316" s="9">
        <f>AJ316/AM316/Modelling_new[[#This Row],[YTD DC Capcity]]</f>
        <v>0.86385285472076123</v>
      </c>
      <c r="AQ316" s="9">
        <f>AH316/(24*Modelling_new[[#This Row],[Comisined DC ]])</f>
        <v>0.20369380011970678</v>
      </c>
      <c r="AR316" s="9">
        <f>AI316/(COUNTIFS(Modelling_new[Date],"&lt;="&amp;Modelling_new[[#This Row],[Date]],Modelling_new[Month Year],Modelling_new[[#This Row],[Month Year]])*24*Modelling_new[[#This Row],[MTD DC Capcity]])</f>
        <v>0.20369380011970681</v>
      </c>
      <c r="AS316" s="28">
        <f>AJ316/(COUNTIFS(Modelling_new[Date],"&lt;="&amp;Modelling_new[[#This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0.20369380011970681</v>
      </c>
      <c r="AT316" s="5">
        <v>12.8</v>
      </c>
      <c r="AU316" s="9">
        <f>Modelling_new[[#This Row],[Comisined DC ]]/$AO$1</f>
        <v>1</v>
      </c>
      <c r="AV31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16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316" s="27">
        <f t="shared" si="105"/>
        <v>45315</v>
      </c>
      <c r="BE316" s="5">
        <f>MONTH(Modelling[[#This Row],[Date]])</f>
        <v>1</v>
      </c>
      <c r="BF316" s="25">
        <f>YEAR(BD316)+IF(MONTH(Modelling[[#This Row],[Date]])&gt;=4,1,0)</f>
        <v>2024</v>
      </c>
      <c r="BG316" s="3">
        <f t="shared" si="101"/>
        <v>2024</v>
      </c>
      <c r="BH316" s="3" t="s">
        <v>626</v>
      </c>
      <c r="BI316" s="5" t="s">
        <v>626</v>
      </c>
      <c r="BJ316" s="102">
        <v>45292</v>
      </c>
      <c r="BK316" s="5">
        <f t="shared" si="102"/>
        <v>31</v>
      </c>
      <c r="BL316" s="5">
        <f t="shared" si="103"/>
        <v>1</v>
      </c>
      <c r="BM316" s="4">
        <f>Modelling_old[[#This Row],[Target E_Grid daily
MWh]]+Modelling_new[[#This Row],[Target E_Grid daily
MWh]]</f>
        <v>118.38118700967715</v>
      </c>
      <c r="BN316" s="4">
        <f>Modelling_old[[#This Row],[Target E_Grid MTD
MWh]]+Modelling_new[[#This Row],[Target E_Grid MTD
MWh]]</f>
        <v>2841.1484882322516</v>
      </c>
      <c r="BO316" s="4">
        <f>Modelling_old[[#This Row],[Target E_Grid YTD
MWh]]+Modelling_new[[#This Row],[Target E_Grid YTD
MWh]]</f>
        <v>15361.14848823226</v>
      </c>
      <c r="BP31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16" s="4">
        <f>SUMIFS(Modelling[Target POA Daily (KWh/m2)],Modelling[Date],"&lt;="&amp;Modelling[[#This Row],[Date]],Modelling[Month Year],Modelling[[#This Row],[Month Year]])</f>
        <v>148.66899294859633</v>
      </c>
      <c r="BR316" s="4">
        <f>SUMIFS(Modelling[Target POA Daily (KWh/m2)],Modelling[Date],"&lt;="&amp;Modelling[[#This Row],[Date]],Modelling[Finacial Year],Modelling[[#This Row],[Finacial Year]])</f>
        <v>1697.8689929485922</v>
      </c>
      <c r="BS316" s="9">
        <f>BM316/Modelling[[#This Row],[Comisined DC ]]/BP316</f>
        <v>0.78634269848069838</v>
      </c>
      <c r="BT316" s="9">
        <f>BN316/BQ316/Modelling[[#This Row],[Comisined DC ]]</f>
        <v>0.78634269848069871</v>
      </c>
      <c r="BU316" s="9">
        <f>BO316/BR316/Modelling[[#This Row],[Comisined DC ]]</f>
        <v>0.37226982593500113</v>
      </c>
      <c r="BV316" s="9">
        <f>BM316/(24*Modelling[[#This Row],[Comisined DC ]])</f>
        <v>0.20295968245765139</v>
      </c>
      <c r="BW316" s="9">
        <f>BN316/((COUNTIFS(Modelling[Date],"&lt;="&amp;Modelling[[#This Row],[Date]],Modelling[Month Year],Modelling[[#This Row],[Month Year]])*24*Modelling[[#This Row],[MTD DC Capcity]]))</f>
        <v>0.20295968245765153</v>
      </c>
      <c r="BX316" s="28">
        <f>BO316/((COUNTIFS(Modelling[Date],"&lt;="&amp;Modelling[[#This Row],[Date]],Modelling[Finacial Year],Modelling[[#This Row],[Finacial Year]])*24*Modelling[[#This Row],[MTD DC Capcity]]))</f>
        <v>8.8080461882024591E-2</v>
      </c>
      <c r="BY316" s="4">
        <f>Modelling_old[[#This Row],[DC Capcity]]+Modelling_new[[#This Row],[Comisined DC ]]</f>
        <v>24.303100000000001</v>
      </c>
      <c r="BZ316" s="4">
        <v>0</v>
      </c>
      <c r="CA316" s="4">
        <f>AVERAGEIFS(Modelling[[Comisined DC ]],Modelling[Date],"&lt;="&amp;Modelling[[#This Row],[Date]],Modelling[Month Year],Modelling[[#This Row],[Month Year]])</f>
        <v>24.303099999999986</v>
      </c>
      <c r="CB316" s="4">
        <f>AVERAGEIFS(Modelling[[Comisined DC ]],Modelling[Date],"&lt;="&amp;Modelling[[#This Row],[Date]],Modelling[Finacial Year],Modelling[[#This Row],[Finacial Year]])</f>
        <v>12.530524749163829</v>
      </c>
      <c r="CG316">
        <f t="shared" si="109"/>
        <v>24</v>
      </c>
      <c r="CH316">
        <f t="shared" si="106"/>
        <v>299</v>
      </c>
    </row>
    <row r="317" spans="1:86" x14ac:dyDescent="0.35">
      <c r="A317" s="27">
        <v>45316</v>
      </c>
      <c r="B317" s="5">
        <f>MONTH(Modelling_old[[#This Row],[Date]])</f>
        <v>1</v>
      </c>
      <c r="C317" s="25">
        <v>2024</v>
      </c>
      <c r="D317" s="3">
        <f t="shared" si="91"/>
        <v>2024</v>
      </c>
      <c r="E317" s="3" t="s">
        <v>626</v>
      </c>
      <c r="F317" s="5" t="s">
        <v>626</v>
      </c>
      <c r="G317" s="102">
        <v>45292</v>
      </c>
      <c r="H317" s="5">
        <f t="shared" si="92"/>
        <v>31</v>
      </c>
      <c r="I317" s="5">
        <f t="shared" si="93"/>
        <v>1</v>
      </c>
      <c r="J317" s="4">
        <f t="shared" si="94"/>
        <v>55.806451612903224</v>
      </c>
      <c r="K317" s="4">
        <f>SUM($J$293:J317)</f>
        <v>1395.1612903225798</v>
      </c>
      <c r="L317" s="4">
        <f>SUM($J$18:J317)</f>
        <v>13915.161290322589</v>
      </c>
      <c r="M317" s="4">
        <f t="shared" si="95"/>
        <v>6.790322580645161</v>
      </c>
      <c r="N317" s="4">
        <f>SUM($M$293:M317)</f>
        <v>169.75806451612902</v>
      </c>
      <c r="O317" s="4">
        <f>SUM($M$18:M317)</f>
        <v>1718.9580645161257</v>
      </c>
      <c r="P317" s="9">
        <f t="shared" si="96"/>
        <v>0.71446195511770638</v>
      </c>
      <c r="Q317" s="26">
        <f t="shared" si="107"/>
        <v>0.71446195511770616</v>
      </c>
      <c r="R317" s="26">
        <f t="shared" si="107"/>
        <v>0.70373324423982653</v>
      </c>
      <c r="S317" s="9">
        <f t="shared" si="97"/>
        <v>0.20214279778531885</v>
      </c>
      <c r="T317" s="9">
        <f>K317/((COUNT($K$293:K317))*24*$Q$1)</f>
        <v>0.20214279778531871</v>
      </c>
      <c r="U317" s="28">
        <f>L317/((COUNT($L$18:L317))*24*$Q$1)</f>
        <v>0.1680122132575203</v>
      </c>
      <c r="V317" s="134">
        <v>11.5031</v>
      </c>
      <c r="Y317" s="27">
        <f t="shared" si="104"/>
        <v>45316</v>
      </c>
      <c r="Z317" s="5">
        <f>MONTH(Modelling_new[[#This Row],[Date]])</f>
        <v>1</v>
      </c>
      <c r="AA317" s="25">
        <f>YEAR(Y317)+IF(MONTH(Modelling_new[[#This Row],[Date]])&gt;=4,1,0)</f>
        <v>2024</v>
      </c>
      <c r="AB317" s="3">
        <f t="shared" si="98"/>
        <v>2024</v>
      </c>
      <c r="AC317" s="3" t="s">
        <v>626</v>
      </c>
      <c r="AD317" s="5" t="s">
        <v>626</v>
      </c>
      <c r="AE317" s="102">
        <v>45292</v>
      </c>
      <c r="AF317" s="5">
        <f t="shared" si="99"/>
        <v>31</v>
      </c>
      <c r="AG317" s="5">
        <f t="shared" si="100"/>
        <v>1</v>
      </c>
      <c r="AH317" s="4">
        <f>(VLOOKUP(AG317,$AA$2:$AK$13,10,0)/AF317)*Modelling_new[[#This Row],[Factor]]</f>
        <v>62.574735396773931</v>
      </c>
      <c r="AI317" s="4">
        <f>SUMIFS(Modelling_new[Target E_Grid daily
MWh],Modelling_new[Month Year],Modelling_new[[#This Row],[Month Year]],Modelling_new[Date],"&lt;="&amp;Modelling_new[[#This Row],[Date]])</f>
        <v>1564.368384919349</v>
      </c>
      <c r="AJ317" s="4">
        <f>SUMIFS(Modelling_new[Target E_Grid daily
MWh],Modelling_new[Finacial Year],Modelling_new[[#This Row],[Finacial Year]],Modelling_new[Date],"&lt;="&amp;Modelling_new[[#This Row],[Date]])</f>
        <v>1564.368384919349</v>
      </c>
      <c r="AK317" s="4">
        <f t="shared" si="108"/>
        <v>5.6591249032258082</v>
      </c>
      <c r="AL317" s="4">
        <f>SUMIFS(Modelling_new[Target POA Daily (KWh/m2)],Modelling_new[Month Year],Modelling_new[[#This Row],[Month Year]],Modelling_new[Date],"&lt;="&amp;Modelling_new[[#This Row],[Date]])</f>
        <v>141.47812258064513</v>
      </c>
      <c r="AM317" s="4">
        <f>SUMIFS(Modelling_new[Target POA Daily (KWh/m2)],Modelling_new[Finacial Year],Modelling_new[[#This Row],[Finacial Year]],Modelling_new[Date],"&lt;="&amp;Modelling_new[[#This Row],[Date]])</f>
        <v>141.47812258064513</v>
      </c>
      <c r="AN317" s="9">
        <f>AH317/Modelling_new[[#This Row],[Comisined DC ]]/AK317</f>
        <v>0.86385285472076068</v>
      </c>
      <c r="AO317" s="9">
        <f>AI317/AL317/Modelling_new[[#This Row],[MTD DC Capcity]]</f>
        <v>0.86385285472076134</v>
      </c>
      <c r="AP317" s="9">
        <f>AJ317/AM317/Modelling_new[[#This Row],[YTD DC Capcity]]</f>
        <v>0.86385285472076134</v>
      </c>
      <c r="AQ317" s="9">
        <f>AH317/(24*Modelling_new[[#This Row],[Comisined DC ]])</f>
        <v>0.20369380011970678</v>
      </c>
      <c r="AR317" s="9">
        <f>AI317/(COUNTIFS(Modelling_new[Date],"&lt;="&amp;Modelling_new[[#This Row],[Date]],Modelling_new[Month Year],Modelling_new[[#This Row],[Month Year]])*24*Modelling_new[[#This Row],[MTD DC Capcity]])</f>
        <v>0.20369380011970684</v>
      </c>
      <c r="AS317" s="28">
        <f>AJ317/(COUNTIFS(Modelling_new[Date],"&lt;="&amp;Modelling_new[[#This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0.20369380011970684</v>
      </c>
      <c r="AT317" s="5">
        <v>12.8</v>
      </c>
      <c r="AU317" s="9">
        <f>Modelling_new[[#This Row],[Comisined DC ]]/$AO$1</f>
        <v>1</v>
      </c>
      <c r="AV317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17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317" s="27">
        <f t="shared" si="105"/>
        <v>45316</v>
      </c>
      <c r="BE317" s="5">
        <f>MONTH(Modelling[[#This Row],[Date]])</f>
        <v>1</v>
      </c>
      <c r="BF317" s="25">
        <f>YEAR(BD317)+IF(MONTH(Modelling[[#This Row],[Date]])&gt;=4,1,0)</f>
        <v>2024</v>
      </c>
      <c r="BG317" s="3">
        <f t="shared" si="101"/>
        <v>2024</v>
      </c>
      <c r="BH317" s="3" t="s">
        <v>626</v>
      </c>
      <c r="BI317" s="5" t="s">
        <v>626</v>
      </c>
      <c r="BJ317" s="102">
        <v>45292</v>
      </c>
      <c r="BK317" s="5">
        <f t="shared" si="102"/>
        <v>31</v>
      </c>
      <c r="BL317" s="5">
        <f t="shared" si="103"/>
        <v>1</v>
      </c>
      <c r="BM317" s="4">
        <f>Modelling_old[[#This Row],[Target E_Grid daily
MWh]]+Modelling_new[[#This Row],[Target E_Grid daily
MWh]]</f>
        <v>118.38118700967715</v>
      </c>
      <c r="BN317" s="4">
        <f>Modelling_old[[#This Row],[Target E_Grid MTD
MWh]]+Modelling_new[[#This Row],[Target E_Grid MTD
MWh]]</f>
        <v>2959.529675241929</v>
      </c>
      <c r="BO317" s="4">
        <f>Modelling_old[[#This Row],[Target E_Grid YTD
MWh]]+Modelling_new[[#This Row],[Target E_Grid YTD
MWh]]</f>
        <v>15479.529675241938</v>
      </c>
      <c r="BP31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17" s="4">
        <f>SUMIFS(Modelling[Target POA Daily (KWh/m2)],Modelling[Date],"&lt;="&amp;Modelling[[#This Row],[Date]],Modelling[Month Year],Modelling[[#This Row],[Month Year]])</f>
        <v>154.86353432145449</v>
      </c>
      <c r="BR317" s="4">
        <f>SUMIFS(Modelling[Target POA Daily (KWh/m2)],Modelling[Date],"&lt;="&amp;Modelling[[#This Row],[Date]],Modelling[Finacial Year],Modelling[[#This Row],[Finacial Year]])</f>
        <v>1704.0635343214503</v>
      </c>
      <c r="BS317" s="9">
        <f>BM317/Modelling[[#This Row],[Comisined DC ]]/BP317</f>
        <v>0.78634269848069838</v>
      </c>
      <c r="BT317" s="9">
        <f>BN317/BQ317/Modelling[[#This Row],[Comisined DC ]]</f>
        <v>0.78634269848069893</v>
      </c>
      <c r="BU317" s="9">
        <f>BO317/BR317/Modelling[[#This Row],[Comisined DC ]]</f>
        <v>0.37377504653781396</v>
      </c>
      <c r="BV317" s="9">
        <f>BM317/(24*Modelling[[#This Row],[Comisined DC ]])</f>
        <v>0.20295968245765139</v>
      </c>
      <c r="BW317" s="9">
        <f>BN317/((COUNTIFS(Modelling[Date],"&lt;="&amp;Modelling[[#This Row],[Date]],Modelling[Month Year],Modelling[[#This Row],[Month Year]])*24*Modelling[[#This Row],[MTD DC Capcity]]))</f>
        <v>0.20295968245765153</v>
      </c>
      <c r="BX317" s="28">
        <f>BO317/((COUNTIFS(Modelling[Date],"&lt;="&amp;Modelling[[#This Row],[Date]],Modelling[Finacial Year],Modelling[[#This Row],[Finacial Year]])*24*Modelling[[#This Row],[MTD DC Capcity]]))</f>
        <v>8.846339261727669E-2</v>
      </c>
      <c r="BY317" s="4">
        <f>Modelling_old[[#This Row],[DC Capcity]]+Modelling_new[[#This Row],[Comisined DC ]]</f>
        <v>24.303100000000001</v>
      </c>
      <c r="BZ317" s="4">
        <v>0</v>
      </c>
      <c r="CA317" s="4">
        <f>AVERAGEIFS(Modelling[[Comisined DC ]],Modelling[Date],"&lt;="&amp;Modelling[[#This Row],[Date]],Modelling[Month Year],Modelling[[#This Row],[Month Year]])</f>
        <v>24.303099999999986</v>
      </c>
      <c r="CB317" s="4">
        <f>AVERAGEIFS(Modelling[[Comisined DC ]],Modelling[Date],"&lt;="&amp;Modelling[[#This Row],[Date]],Modelling[Finacial Year],Modelling[[#This Row],[Finacial Year]])</f>
        <v>12.569766666666618</v>
      </c>
      <c r="CG317">
        <f t="shared" si="109"/>
        <v>25</v>
      </c>
      <c r="CH317">
        <f t="shared" si="106"/>
        <v>300</v>
      </c>
    </row>
    <row r="318" spans="1:86" x14ac:dyDescent="0.35">
      <c r="A318" s="27">
        <v>45317</v>
      </c>
      <c r="B318" s="5">
        <f>MONTH(Modelling_old[[#This Row],[Date]])</f>
        <v>1</v>
      </c>
      <c r="C318" s="25">
        <v>2024</v>
      </c>
      <c r="D318" s="3">
        <f t="shared" si="91"/>
        <v>2024</v>
      </c>
      <c r="E318" s="3" t="s">
        <v>626</v>
      </c>
      <c r="F318" s="5" t="s">
        <v>626</v>
      </c>
      <c r="G318" s="102">
        <v>45292</v>
      </c>
      <c r="H318" s="5">
        <f t="shared" si="92"/>
        <v>31</v>
      </c>
      <c r="I318" s="5">
        <f t="shared" si="93"/>
        <v>1</v>
      </c>
      <c r="J318" s="4">
        <f t="shared" si="94"/>
        <v>55.806451612903224</v>
      </c>
      <c r="K318" s="4">
        <f>SUM($J$293:J318)</f>
        <v>1450.967741935483</v>
      </c>
      <c r="L318" s="4">
        <f>SUM($J$18:J318)</f>
        <v>13970.967741935492</v>
      </c>
      <c r="M318" s="4">
        <f t="shared" si="95"/>
        <v>6.790322580645161</v>
      </c>
      <c r="N318" s="4">
        <f>SUM($M$293:M318)</f>
        <v>176.54838709677418</v>
      </c>
      <c r="O318" s="4">
        <f>SUM($M$18:M318)</f>
        <v>1725.7483870967708</v>
      </c>
      <c r="P318" s="9">
        <f t="shared" si="96"/>
        <v>0.71446195511770638</v>
      </c>
      <c r="Q318" s="26">
        <f t="shared" si="107"/>
        <v>0.71446195511770616</v>
      </c>
      <c r="R318" s="26">
        <f t="shared" si="107"/>
        <v>0.70377545862535351</v>
      </c>
      <c r="S318" s="9">
        <f t="shared" si="97"/>
        <v>0.20214279778531885</v>
      </c>
      <c r="T318" s="9">
        <f>K318/((COUNT($K$293:K318))*24*$Q$1)</f>
        <v>0.20214279778531871</v>
      </c>
      <c r="U318" s="28">
        <f>L318/((COUNT($L$18:L318))*24*$Q$1)</f>
        <v>0.16812560390379205</v>
      </c>
      <c r="V318" s="134">
        <v>11.5031</v>
      </c>
      <c r="Y318" s="27">
        <f t="shared" si="104"/>
        <v>45317</v>
      </c>
      <c r="Z318" s="5">
        <f>MONTH(Modelling_new[[#This Row],[Date]])</f>
        <v>1</v>
      </c>
      <c r="AA318" s="25">
        <f>YEAR(Y318)+IF(MONTH(Modelling_new[[#This Row],[Date]])&gt;=4,1,0)</f>
        <v>2024</v>
      </c>
      <c r="AB318" s="3">
        <f t="shared" si="98"/>
        <v>2024</v>
      </c>
      <c r="AC318" s="3" t="s">
        <v>626</v>
      </c>
      <c r="AD318" s="5" t="s">
        <v>626</v>
      </c>
      <c r="AE318" s="102">
        <v>45292</v>
      </c>
      <c r="AF318" s="5">
        <f t="shared" si="99"/>
        <v>31</v>
      </c>
      <c r="AG318" s="5">
        <f t="shared" si="100"/>
        <v>1</v>
      </c>
      <c r="AH318" s="4">
        <f>(VLOOKUP(AG318,$AA$2:$AK$13,10,0)/AF318)*Modelling_new[[#This Row],[Factor]]</f>
        <v>62.574735396773931</v>
      </c>
      <c r="AI318" s="4">
        <f>SUMIFS(Modelling_new[Target E_Grid daily
MWh],Modelling_new[Month Year],Modelling_new[[#This Row],[Month Year]],Modelling_new[Date],"&lt;="&amp;Modelling_new[[#This Row],[Date]])</f>
        <v>1626.943120316123</v>
      </c>
      <c r="AJ318" s="4">
        <f>SUMIFS(Modelling_new[Target E_Grid daily
MWh],Modelling_new[Finacial Year],Modelling_new[[#This Row],[Finacial Year]],Modelling_new[Date],"&lt;="&amp;Modelling_new[[#This Row],[Date]])</f>
        <v>1626.943120316123</v>
      </c>
      <c r="AK318" s="4">
        <f t="shared" si="108"/>
        <v>5.6591249032258082</v>
      </c>
      <c r="AL318" s="4">
        <f>SUMIFS(Modelling_new[Target POA Daily (KWh/m2)],Modelling_new[Month Year],Modelling_new[[#This Row],[Month Year]],Modelling_new[Date],"&lt;="&amp;Modelling_new[[#This Row],[Date]])</f>
        <v>147.13724748387094</v>
      </c>
      <c r="AM318" s="4">
        <f>SUMIFS(Modelling_new[Target POA Daily (KWh/m2)],Modelling_new[Finacial Year],Modelling_new[[#This Row],[Finacial Year]],Modelling_new[Date],"&lt;="&amp;Modelling_new[[#This Row],[Date]])</f>
        <v>147.13724748387094</v>
      </c>
      <c r="AN318" s="9">
        <f>AH318/Modelling_new[[#This Row],[Comisined DC ]]/AK318</f>
        <v>0.86385285472076068</v>
      </c>
      <c r="AO318" s="9">
        <f>AI318/AL318/Modelling_new[[#This Row],[MTD DC Capcity]]</f>
        <v>0.86385285472076134</v>
      </c>
      <c r="AP318" s="9">
        <f>AJ318/AM318/Modelling_new[[#This Row],[YTD DC Capcity]]</f>
        <v>0.86385285472076134</v>
      </c>
      <c r="AQ318" s="9">
        <f>AH318/(24*Modelling_new[[#This Row],[Comisined DC ]])</f>
        <v>0.20369380011970678</v>
      </c>
      <c r="AR318" s="9">
        <f>AI318/(COUNTIFS(Modelling_new[Date],"&lt;="&amp;Modelling_new[[#This Row],[Date]],Modelling_new[Month Year],Modelling_new[[#This Row],[Month Year]])*24*Modelling_new[[#This Row],[MTD DC Capcity]])</f>
        <v>0.20369380011970684</v>
      </c>
      <c r="AS318" s="28">
        <f>AJ318/(COUNTIFS(Modelling_new[Date],"&lt;="&amp;Modelling_new[[#This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0.20369380011970684</v>
      </c>
      <c r="AT318" s="5">
        <v>12.8</v>
      </c>
      <c r="AU318" s="9">
        <f>Modelling_new[[#This Row],[Comisined DC ]]/$AO$1</f>
        <v>1</v>
      </c>
      <c r="AV318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18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318" s="27">
        <f t="shared" si="105"/>
        <v>45317</v>
      </c>
      <c r="BE318" s="5">
        <f>MONTH(Modelling[[#This Row],[Date]])</f>
        <v>1</v>
      </c>
      <c r="BF318" s="25">
        <f>YEAR(BD318)+IF(MONTH(Modelling[[#This Row],[Date]])&gt;=4,1,0)</f>
        <v>2024</v>
      </c>
      <c r="BG318" s="3">
        <f t="shared" si="101"/>
        <v>2024</v>
      </c>
      <c r="BH318" s="3" t="s">
        <v>626</v>
      </c>
      <c r="BI318" s="5" t="s">
        <v>626</v>
      </c>
      <c r="BJ318" s="102">
        <v>45292</v>
      </c>
      <c r="BK318" s="5">
        <f t="shared" si="102"/>
        <v>31</v>
      </c>
      <c r="BL318" s="5">
        <f t="shared" si="103"/>
        <v>1</v>
      </c>
      <c r="BM318" s="4">
        <f>Modelling_old[[#This Row],[Target E_Grid daily
MWh]]+Modelling_new[[#This Row],[Target E_Grid daily
MWh]]</f>
        <v>118.38118700967715</v>
      </c>
      <c r="BN318" s="4">
        <f>Modelling_old[[#This Row],[Target E_Grid MTD
MWh]]+Modelling_new[[#This Row],[Target E_Grid MTD
MWh]]</f>
        <v>3077.910862251606</v>
      </c>
      <c r="BO318" s="4">
        <f>Modelling_old[[#This Row],[Target E_Grid YTD
MWh]]+Modelling_new[[#This Row],[Target E_Grid YTD
MWh]]</f>
        <v>15597.910862251614</v>
      </c>
      <c r="BP31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18" s="4">
        <f>SUMIFS(Modelling[Target POA Daily (KWh/m2)],Modelling[Date],"&lt;="&amp;Modelling[[#This Row],[Date]],Modelling[Month Year],Modelling[[#This Row],[Month Year]])</f>
        <v>161.05807569431266</v>
      </c>
      <c r="BR318" s="4">
        <f>SUMIFS(Modelling[Target POA Daily (KWh/m2)],Modelling[Date],"&lt;="&amp;Modelling[[#This Row],[Date]],Modelling[Finacial Year],Modelling[[#This Row],[Finacial Year]])</f>
        <v>1710.2580756943084</v>
      </c>
      <c r="BS318" s="9">
        <f>BM318/Modelling[[#This Row],[Comisined DC ]]/BP318</f>
        <v>0.78634269848069838</v>
      </c>
      <c r="BT318" s="9">
        <f>BN318/BQ318/Modelling[[#This Row],[Comisined DC ]]</f>
        <v>0.78634269848069893</v>
      </c>
      <c r="BU318" s="9">
        <f>BO318/BR318/Modelling[[#This Row],[Comisined DC ]]</f>
        <v>0.37526936334612698</v>
      </c>
      <c r="BV318" s="9">
        <f>BM318/(24*Modelling[[#This Row],[Comisined DC ]])</f>
        <v>0.20295968245765139</v>
      </c>
      <c r="BW318" s="9">
        <f>BN318/((COUNTIFS(Modelling[Date],"&lt;="&amp;Modelling[[#This Row],[Date]],Modelling[Month Year],Modelling[[#This Row],[Month Year]])*24*Modelling[[#This Row],[MTD DC Capcity]]))</f>
        <v>0.20295968245765153</v>
      </c>
      <c r="BX318" s="28">
        <f>BO318/((COUNTIFS(Modelling[Date],"&lt;="&amp;Modelling[[#This Row],[Date]],Modelling[Finacial Year],Modelling[[#This Row],[Finacial Year]])*24*Modelling[[#This Row],[MTD DC Capcity]]))</f>
        <v>8.8843778962261311E-2</v>
      </c>
      <c r="BY318" s="4">
        <f>Modelling_old[[#This Row],[DC Capcity]]+Modelling_new[[#This Row],[Comisined DC ]]</f>
        <v>24.303100000000001</v>
      </c>
      <c r="BZ318" s="4">
        <v>0</v>
      </c>
      <c r="CA318" s="4">
        <f>AVERAGEIFS(Modelling[[Comisined DC ]],Modelling[Date],"&lt;="&amp;Modelling[[#This Row],[Date]],Modelling[Month Year],Modelling[[#This Row],[Month Year]])</f>
        <v>24.303099999999986</v>
      </c>
      <c r="CB318" s="4">
        <f>AVERAGEIFS(Modelling[[Comisined DC ]],Modelling[Date],"&lt;="&amp;Modelling[[#This Row],[Date]],Modelling[Finacial Year],Modelling[[#This Row],[Finacial Year]])</f>
        <v>12.608747840531512</v>
      </c>
      <c r="CG318">
        <f t="shared" si="109"/>
        <v>26</v>
      </c>
      <c r="CH318">
        <f t="shared" si="106"/>
        <v>301</v>
      </c>
    </row>
    <row r="319" spans="1:86" x14ac:dyDescent="0.35">
      <c r="A319" s="27">
        <v>45318</v>
      </c>
      <c r="B319" s="5">
        <f>MONTH(Modelling_old[[#This Row],[Date]])</f>
        <v>1</v>
      </c>
      <c r="C319" s="25">
        <v>2024</v>
      </c>
      <c r="D319" s="3">
        <f t="shared" si="91"/>
        <v>2024</v>
      </c>
      <c r="E319" s="3" t="s">
        <v>626</v>
      </c>
      <c r="F319" s="5" t="s">
        <v>626</v>
      </c>
      <c r="G319" s="102">
        <v>45292</v>
      </c>
      <c r="H319" s="5">
        <f t="shared" si="92"/>
        <v>31</v>
      </c>
      <c r="I319" s="5">
        <f t="shared" si="93"/>
        <v>1</v>
      </c>
      <c r="J319" s="4">
        <f t="shared" si="94"/>
        <v>55.806451612903224</v>
      </c>
      <c r="K319" s="4">
        <f>SUM($J$293:J319)</f>
        <v>1506.7741935483862</v>
      </c>
      <c r="L319" s="4">
        <f>SUM($J$18:J319)</f>
        <v>14026.774193548395</v>
      </c>
      <c r="M319" s="4">
        <f t="shared" si="95"/>
        <v>6.790322580645161</v>
      </c>
      <c r="N319" s="4">
        <f>SUM($M$293:M319)</f>
        <v>183.33870967741933</v>
      </c>
      <c r="O319" s="4">
        <f>SUM($M$18:M319)</f>
        <v>1732.5387096774159</v>
      </c>
      <c r="P319" s="9">
        <f t="shared" si="96"/>
        <v>0.71446195511770638</v>
      </c>
      <c r="Q319" s="26">
        <f t="shared" si="107"/>
        <v>0.71446195511770616</v>
      </c>
      <c r="R319" s="26">
        <f t="shared" si="107"/>
        <v>0.70381734210999636</v>
      </c>
      <c r="S319" s="9">
        <f t="shared" si="97"/>
        <v>0.20214279778531885</v>
      </c>
      <c r="T319" s="9">
        <f>K319/((COUNT($K$293:K319))*24*$Q$1)</f>
        <v>0.20214279778531871</v>
      </c>
      <c r="U319" s="28">
        <f>L319/((COUNT($L$18:L319))*24*$Q$1)</f>
        <v>0.16823824361863154</v>
      </c>
      <c r="V319" s="134">
        <v>11.5031</v>
      </c>
      <c r="Y319" s="27">
        <f t="shared" si="104"/>
        <v>45318</v>
      </c>
      <c r="Z319" s="5">
        <f>MONTH(Modelling_new[[#This Row],[Date]])</f>
        <v>1</v>
      </c>
      <c r="AA319" s="25">
        <f>YEAR(Y319)+IF(MONTH(Modelling_new[[#This Row],[Date]])&gt;=4,1,0)</f>
        <v>2024</v>
      </c>
      <c r="AB319" s="3">
        <f t="shared" si="98"/>
        <v>2024</v>
      </c>
      <c r="AC319" s="3" t="s">
        <v>626</v>
      </c>
      <c r="AD319" s="5" t="s">
        <v>626</v>
      </c>
      <c r="AE319" s="102">
        <v>45292</v>
      </c>
      <c r="AF319" s="5">
        <f t="shared" si="99"/>
        <v>31</v>
      </c>
      <c r="AG319" s="5">
        <f t="shared" si="100"/>
        <v>1</v>
      </c>
      <c r="AH319" s="4">
        <f>(VLOOKUP(AG319,$AA$2:$AK$13,10,0)/AF319)*Modelling_new[[#This Row],[Factor]]</f>
        <v>62.574735396773931</v>
      </c>
      <c r="AI319" s="4">
        <f>SUMIFS(Modelling_new[Target E_Grid daily
MWh],Modelling_new[Month Year],Modelling_new[[#This Row],[Month Year]],Modelling_new[Date],"&lt;="&amp;Modelling_new[[#This Row],[Date]])</f>
        <v>1689.517855712897</v>
      </c>
      <c r="AJ319" s="4">
        <f>SUMIFS(Modelling_new[Target E_Grid daily
MWh],Modelling_new[Finacial Year],Modelling_new[[#This Row],[Finacial Year]],Modelling_new[Date],"&lt;="&amp;Modelling_new[[#This Row],[Date]])</f>
        <v>1689.517855712897</v>
      </c>
      <c r="AK319" s="4">
        <f t="shared" si="108"/>
        <v>5.6591249032258082</v>
      </c>
      <c r="AL319" s="4">
        <f>SUMIFS(Modelling_new[Target POA Daily (KWh/m2)],Modelling_new[Month Year],Modelling_new[[#This Row],[Month Year]],Modelling_new[Date],"&lt;="&amp;Modelling_new[[#This Row],[Date]])</f>
        <v>152.79637238709674</v>
      </c>
      <c r="AM319" s="4">
        <f>SUMIFS(Modelling_new[Target POA Daily (KWh/m2)],Modelling_new[Finacial Year],Modelling_new[[#This Row],[Finacial Year]],Modelling_new[Date],"&lt;="&amp;Modelling_new[[#This Row],[Date]])</f>
        <v>152.79637238709674</v>
      </c>
      <c r="AN319" s="9">
        <f>AH319/Modelling_new[[#This Row],[Comisined DC ]]/AK319</f>
        <v>0.86385285472076068</v>
      </c>
      <c r="AO319" s="9">
        <f>AI319/AL319/Modelling_new[[#This Row],[MTD DC Capcity]]</f>
        <v>0.86385285472076134</v>
      </c>
      <c r="AP319" s="9">
        <f>AJ319/AM319/Modelling_new[[#This Row],[YTD DC Capcity]]</f>
        <v>0.86385285472076134</v>
      </c>
      <c r="AQ319" s="9">
        <f>AH319/(24*Modelling_new[[#This Row],[Comisined DC ]])</f>
        <v>0.20369380011970678</v>
      </c>
      <c r="AR319" s="9">
        <f>AI319/(COUNTIFS(Modelling_new[Date],"&lt;="&amp;Modelling_new[[#This Row],[Date]],Modelling_new[Month Year],Modelling_new[[#This Row],[Month Year]])*24*Modelling_new[[#This Row],[MTD DC Capcity]])</f>
        <v>0.20369380011970684</v>
      </c>
      <c r="AS319" s="28">
        <f>AJ319/(COUNTIFS(Modelling_new[Date],"&lt;="&amp;Modelling_new[[#This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0.20369380011970684</v>
      </c>
      <c r="AT319" s="5">
        <v>12.8</v>
      </c>
      <c r="AU319" s="9">
        <f>Modelling_new[[#This Row],[Comisined DC ]]/$AO$1</f>
        <v>1</v>
      </c>
      <c r="AV31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19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319" s="27">
        <f t="shared" si="105"/>
        <v>45318</v>
      </c>
      <c r="BE319" s="5">
        <f>MONTH(Modelling[[#This Row],[Date]])</f>
        <v>1</v>
      </c>
      <c r="BF319" s="25">
        <f>YEAR(BD319)+IF(MONTH(Modelling[[#This Row],[Date]])&gt;=4,1,0)</f>
        <v>2024</v>
      </c>
      <c r="BG319" s="3">
        <f t="shared" si="101"/>
        <v>2024</v>
      </c>
      <c r="BH319" s="3" t="s">
        <v>626</v>
      </c>
      <c r="BI319" s="5" t="s">
        <v>626</v>
      </c>
      <c r="BJ319" s="102">
        <v>45292</v>
      </c>
      <c r="BK319" s="5">
        <f t="shared" si="102"/>
        <v>31</v>
      </c>
      <c r="BL319" s="5">
        <f t="shared" si="103"/>
        <v>1</v>
      </c>
      <c r="BM319" s="4">
        <f>Modelling_old[[#This Row],[Target E_Grid daily
MWh]]+Modelling_new[[#This Row],[Target E_Grid daily
MWh]]</f>
        <v>118.38118700967715</v>
      </c>
      <c r="BN319" s="4">
        <f>Modelling_old[[#This Row],[Target E_Grid MTD
MWh]]+Modelling_new[[#This Row],[Target E_Grid MTD
MWh]]</f>
        <v>3196.292049261283</v>
      </c>
      <c r="BO319" s="4">
        <f>Modelling_old[[#This Row],[Target E_Grid YTD
MWh]]+Modelling_new[[#This Row],[Target E_Grid YTD
MWh]]</f>
        <v>15716.292049261292</v>
      </c>
      <c r="BP31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19" s="4">
        <f>SUMIFS(Modelling[Target POA Daily (KWh/m2)],Modelling[Date],"&lt;="&amp;Modelling[[#This Row],[Date]],Modelling[Month Year],Modelling[[#This Row],[Month Year]])</f>
        <v>167.25261706717083</v>
      </c>
      <c r="BR319" s="4">
        <f>SUMIFS(Modelling[Target POA Daily (KWh/m2)],Modelling[Date],"&lt;="&amp;Modelling[[#This Row],[Date]],Modelling[Finacial Year],Modelling[[#This Row],[Finacial Year]])</f>
        <v>1716.4526170671666</v>
      </c>
      <c r="BS319" s="9">
        <f>BM319/Modelling[[#This Row],[Comisined DC ]]/BP319</f>
        <v>0.78634269848069838</v>
      </c>
      <c r="BT319" s="9">
        <f>BN319/BQ319/Modelling[[#This Row],[Comisined DC ]]</f>
        <v>0.78634269848069893</v>
      </c>
      <c r="BU319" s="9">
        <f>BO319/BR319/Modelling[[#This Row],[Comisined DC ]]</f>
        <v>0.37675289441272924</v>
      </c>
      <c r="BV319" s="9">
        <f>BM319/(24*Modelling[[#This Row],[Comisined DC ]])</f>
        <v>0.20295968245765139</v>
      </c>
      <c r="BW319" s="9">
        <f>BN319/((COUNTIFS(Modelling[Date],"&lt;="&amp;Modelling[[#This Row],[Date]],Modelling[Month Year],Modelling[[#This Row],[Month Year]])*24*Modelling[[#This Row],[MTD DC Capcity]]))</f>
        <v>0.2029596824576515</v>
      </c>
      <c r="BX319" s="28">
        <f>BO319/((COUNTIFS(Modelling[Date],"&lt;="&amp;Modelling[[#This Row],[Date]],Modelling[Finacial Year],Modelling[[#This Row],[Finacial Year]])*24*Modelling[[#This Row],[MTD DC Capcity]]))</f>
        <v>8.9221646192378504E-2</v>
      </c>
      <c r="BY319" s="4">
        <f>Modelling_old[[#This Row],[DC Capcity]]+Modelling_new[[#This Row],[Comisined DC ]]</f>
        <v>24.303100000000001</v>
      </c>
      <c r="BZ319" s="4">
        <v>0</v>
      </c>
      <c r="CA319" s="4">
        <f>AVERAGEIFS(Modelling[[Comisined DC ]],Modelling[Date],"&lt;="&amp;Modelling[[#This Row],[Date]],Modelling[Month Year],Modelling[[#This Row],[Month Year]])</f>
        <v>24.303099999999986</v>
      </c>
      <c r="CB319" s="4">
        <f>AVERAGEIFS(Modelling[[Comisined DC ]],Modelling[Date],"&lt;="&amp;Modelling[[#This Row],[Date]],Modelling[Finacial Year],Modelling[[#This Row],[Finacial Year]])</f>
        <v>12.647470860927104</v>
      </c>
      <c r="CG319">
        <f t="shared" si="109"/>
        <v>27</v>
      </c>
      <c r="CH319">
        <f t="shared" si="106"/>
        <v>302</v>
      </c>
    </row>
    <row r="320" spans="1:86" x14ac:dyDescent="0.35">
      <c r="A320" s="27">
        <v>45319</v>
      </c>
      <c r="B320" s="5">
        <f>MONTH(Modelling_old[[#This Row],[Date]])</f>
        <v>1</v>
      </c>
      <c r="C320" s="25">
        <v>2024</v>
      </c>
      <c r="D320" s="3">
        <f t="shared" si="91"/>
        <v>2024</v>
      </c>
      <c r="E320" s="3" t="s">
        <v>626</v>
      </c>
      <c r="F320" s="5" t="s">
        <v>626</v>
      </c>
      <c r="G320" s="102">
        <v>45292</v>
      </c>
      <c r="H320" s="5">
        <f t="shared" si="92"/>
        <v>31</v>
      </c>
      <c r="I320" s="5">
        <f t="shared" si="93"/>
        <v>1</v>
      </c>
      <c r="J320" s="4">
        <f t="shared" si="94"/>
        <v>55.806451612903224</v>
      </c>
      <c r="K320" s="4">
        <f>SUM($J$293:J320)</f>
        <v>1562.5806451612893</v>
      </c>
      <c r="L320" s="4">
        <f>SUM($J$18:J320)</f>
        <v>14082.580645161299</v>
      </c>
      <c r="M320" s="4">
        <f t="shared" si="95"/>
        <v>6.790322580645161</v>
      </c>
      <c r="N320" s="4">
        <f>SUM($M$293:M320)</f>
        <v>190.12903225806448</v>
      </c>
      <c r="O320" s="4">
        <f>SUM($M$18:M320)</f>
        <v>1739.329032258061</v>
      </c>
      <c r="P320" s="9">
        <f t="shared" si="96"/>
        <v>0.71446195511770638</v>
      </c>
      <c r="Q320" s="26">
        <f t="shared" si="107"/>
        <v>0.71446195511770616</v>
      </c>
      <c r="R320" s="26">
        <f t="shared" si="107"/>
        <v>0.70385889856925621</v>
      </c>
      <c r="S320" s="9">
        <f t="shared" si="97"/>
        <v>0.20214279778531885</v>
      </c>
      <c r="T320" s="9">
        <f>K320/((COUNT($K$293:K320))*24*$Q$1)</f>
        <v>0.20214279778531871</v>
      </c>
      <c r="U320" s="28">
        <f>L320/((COUNT($L$18:L320))*24*$Q$1)</f>
        <v>0.16835013983700345</v>
      </c>
      <c r="V320" s="134">
        <v>11.5031</v>
      </c>
      <c r="Y320" s="27">
        <f t="shared" si="104"/>
        <v>45319</v>
      </c>
      <c r="Z320" s="5">
        <f>MONTH(Modelling_new[[#This Row],[Date]])</f>
        <v>1</v>
      </c>
      <c r="AA320" s="25">
        <f>YEAR(Y320)+IF(MONTH(Modelling_new[[#This Row],[Date]])&gt;=4,1,0)</f>
        <v>2024</v>
      </c>
      <c r="AB320" s="3">
        <f t="shared" si="98"/>
        <v>2024</v>
      </c>
      <c r="AC320" s="3" t="s">
        <v>626</v>
      </c>
      <c r="AD320" s="5" t="s">
        <v>626</v>
      </c>
      <c r="AE320" s="102">
        <v>45292</v>
      </c>
      <c r="AF320" s="5">
        <f t="shared" si="99"/>
        <v>31</v>
      </c>
      <c r="AG320" s="5">
        <f t="shared" si="100"/>
        <v>1</v>
      </c>
      <c r="AH320" s="4">
        <f>(VLOOKUP(AG320,$AA$2:$AK$13,10,0)/AF320)*Modelling_new[[#This Row],[Factor]]</f>
        <v>62.574735396773931</v>
      </c>
      <c r="AI320" s="4">
        <f>SUMIFS(Modelling_new[Target E_Grid daily
MWh],Modelling_new[Month Year],Modelling_new[[#This Row],[Month Year]],Modelling_new[Date],"&lt;="&amp;Modelling_new[[#This Row],[Date]])</f>
        <v>1752.092591109671</v>
      </c>
      <c r="AJ320" s="4">
        <f>SUMIFS(Modelling_new[Target E_Grid daily
MWh],Modelling_new[Finacial Year],Modelling_new[[#This Row],[Finacial Year]],Modelling_new[Date],"&lt;="&amp;Modelling_new[[#This Row],[Date]])</f>
        <v>1752.092591109671</v>
      </c>
      <c r="AK320" s="4">
        <f t="shared" si="108"/>
        <v>5.6591249032258082</v>
      </c>
      <c r="AL320" s="4">
        <f>SUMIFS(Modelling_new[Target POA Daily (KWh/m2)],Modelling_new[Month Year],Modelling_new[[#This Row],[Month Year]],Modelling_new[Date],"&lt;="&amp;Modelling_new[[#This Row],[Date]])</f>
        <v>158.45549729032254</v>
      </c>
      <c r="AM320" s="4">
        <f>SUMIFS(Modelling_new[Target POA Daily (KWh/m2)],Modelling_new[Finacial Year],Modelling_new[[#This Row],[Finacial Year]],Modelling_new[Date],"&lt;="&amp;Modelling_new[[#This Row],[Date]])</f>
        <v>158.45549729032254</v>
      </c>
      <c r="AN320" s="9">
        <f>AH320/Modelling_new[[#This Row],[Comisined DC ]]/AK320</f>
        <v>0.86385285472076068</v>
      </c>
      <c r="AO320" s="9">
        <f>AI320/AL320/Modelling_new[[#This Row],[MTD DC Capcity]]</f>
        <v>0.86385285472076134</v>
      </c>
      <c r="AP320" s="9">
        <f>AJ320/AM320/Modelling_new[[#This Row],[YTD DC Capcity]]</f>
        <v>0.86385285472076134</v>
      </c>
      <c r="AQ320" s="9">
        <f>AH320/(24*Modelling_new[[#This Row],[Comisined DC ]])</f>
        <v>0.20369380011970678</v>
      </c>
      <c r="AR320" s="9">
        <f>AI320/(COUNTIFS(Modelling_new[Date],"&lt;="&amp;Modelling_new[[#This Row],[Date]],Modelling_new[Month Year],Modelling_new[[#This Row],[Month Year]])*24*Modelling_new[[#This Row],[MTD DC Capcity]])</f>
        <v>0.20369380011970684</v>
      </c>
      <c r="AS320" s="28">
        <f>AJ320/(COUNTIFS(Modelling_new[Date],"&lt;="&amp;Modelling_new[[#This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0.20369380011970684</v>
      </c>
      <c r="AT320" s="5">
        <v>12.8</v>
      </c>
      <c r="AU320" s="9">
        <f>Modelling_new[[#This Row],[Comisined DC ]]/$AO$1</f>
        <v>1</v>
      </c>
      <c r="AV320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320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20" s="27">
        <f t="shared" si="105"/>
        <v>45319</v>
      </c>
      <c r="BE320" s="5">
        <f>MONTH(Modelling[[#This Row],[Date]])</f>
        <v>1</v>
      </c>
      <c r="BF320" s="25">
        <f>YEAR(BD320)+IF(MONTH(Modelling[[#This Row],[Date]])&gt;=4,1,0)</f>
        <v>2024</v>
      </c>
      <c r="BG320" s="3">
        <f t="shared" si="101"/>
        <v>2024</v>
      </c>
      <c r="BH320" s="3" t="s">
        <v>626</v>
      </c>
      <c r="BI320" s="5" t="s">
        <v>626</v>
      </c>
      <c r="BJ320" s="102">
        <v>45292</v>
      </c>
      <c r="BK320" s="5">
        <f t="shared" si="102"/>
        <v>31</v>
      </c>
      <c r="BL320" s="5">
        <f t="shared" si="103"/>
        <v>1</v>
      </c>
      <c r="BM320" s="4">
        <f>Modelling_old[[#This Row],[Target E_Grid daily
MWh]]+Modelling_new[[#This Row],[Target E_Grid daily
MWh]]</f>
        <v>118.38118700967715</v>
      </c>
      <c r="BN320" s="4">
        <f>Modelling_old[[#This Row],[Target E_Grid MTD
MWh]]+Modelling_new[[#This Row],[Target E_Grid MTD
MWh]]</f>
        <v>3314.6732362709604</v>
      </c>
      <c r="BO320" s="4">
        <f>Modelling_old[[#This Row],[Target E_Grid YTD
MWh]]+Modelling_new[[#This Row],[Target E_Grid YTD
MWh]]</f>
        <v>15834.67323627097</v>
      </c>
      <c r="BP32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20" s="4">
        <f>SUMIFS(Modelling[Target POA Daily (KWh/m2)],Modelling[Date],"&lt;="&amp;Modelling[[#This Row],[Date]],Modelling[Month Year],Modelling[[#This Row],[Month Year]])</f>
        <v>173.447158440029</v>
      </c>
      <c r="BR320" s="4">
        <f>SUMIFS(Modelling[Target POA Daily (KWh/m2)],Modelling[Date],"&lt;="&amp;Modelling[[#This Row],[Date]],Modelling[Finacial Year],Modelling[[#This Row],[Finacial Year]])</f>
        <v>1722.6471584400247</v>
      </c>
      <c r="BS320" s="9">
        <f>BM320/Modelling[[#This Row],[Comisined DC ]]/BP320</f>
        <v>0.78634269848069838</v>
      </c>
      <c r="BT320" s="9">
        <f>BN320/BQ320/Modelling[[#This Row],[Comisined DC ]]</f>
        <v>0.78634269848069904</v>
      </c>
      <c r="BU320" s="9">
        <f>BO320/BR320/Modelling[[#This Row],[Comisined DC ]]</f>
        <v>0.37822575609236514</v>
      </c>
      <c r="BV320" s="9">
        <f>BM320/(24*Modelling[[#This Row],[Comisined DC ]])</f>
        <v>0.20295968245765139</v>
      </c>
      <c r="BW320" s="9">
        <f>BN320/((COUNTIFS(Modelling[Date],"&lt;="&amp;Modelling[[#This Row],[Date]],Modelling[Month Year],Modelling[[#This Row],[Month Year]])*24*Modelling[[#This Row],[MTD DC Capcity]]))</f>
        <v>0.20295968245765156</v>
      </c>
      <c r="BX320" s="28">
        <f>BO320/((COUNTIFS(Modelling[Date],"&lt;="&amp;Modelling[[#This Row],[Date]],Modelling[Finacial Year],Modelling[[#This Row],[Finacial Year]])*24*Modelling[[#This Row],[MTD DC Capcity]]))</f>
        <v>8.9597019249359616E-2</v>
      </c>
      <c r="BY320" s="4">
        <f>Modelling_old[[#This Row],[DC Capcity]]+Modelling_new[[#This Row],[Comisined DC ]]</f>
        <v>24.303100000000001</v>
      </c>
      <c r="BZ320" s="4">
        <v>0</v>
      </c>
      <c r="CA320" s="4">
        <f>AVERAGEIFS(Modelling[[Comisined DC ]],Modelling[Date],"&lt;="&amp;Modelling[[#This Row],[Date]],Modelling[Month Year],Modelling[[#This Row],[Month Year]])</f>
        <v>24.303099999999983</v>
      </c>
      <c r="CB320" s="4">
        <f>AVERAGEIFS(Modelling[[Comisined DC ]],Modelling[Date],"&lt;="&amp;Modelling[[#This Row],[Date]],Modelling[Finacial Year],Modelling[[#This Row],[Finacial Year]])</f>
        <v>12.685938283828335</v>
      </c>
      <c r="CG320">
        <f t="shared" si="109"/>
        <v>28</v>
      </c>
      <c r="CH320">
        <f t="shared" si="106"/>
        <v>303</v>
      </c>
    </row>
    <row r="321" spans="1:86" x14ac:dyDescent="0.35">
      <c r="A321" s="27">
        <v>45320</v>
      </c>
      <c r="B321" s="5">
        <f>MONTH(Modelling_old[[#This Row],[Date]])</f>
        <v>1</v>
      </c>
      <c r="C321" s="25">
        <v>2024</v>
      </c>
      <c r="D321" s="3">
        <f t="shared" si="91"/>
        <v>2024</v>
      </c>
      <c r="E321" s="3" t="s">
        <v>626</v>
      </c>
      <c r="F321" s="5" t="s">
        <v>626</v>
      </c>
      <c r="G321" s="102">
        <v>45292</v>
      </c>
      <c r="H321" s="5">
        <f t="shared" si="92"/>
        <v>31</v>
      </c>
      <c r="I321" s="5">
        <f t="shared" si="93"/>
        <v>1</v>
      </c>
      <c r="J321" s="4">
        <f t="shared" si="94"/>
        <v>55.806451612903224</v>
      </c>
      <c r="K321" s="4">
        <f>SUM($J$293:J321)</f>
        <v>1618.3870967741925</v>
      </c>
      <c r="L321" s="4">
        <f>SUM($J$18:J321)</f>
        <v>14138.387096774202</v>
      </c>
      <c r="M321" s="4">
        <f t="shared" si="95"/>
        <v>6.790322580645161</v>
      </c>
      <c r="N321" s="4">
        <f>SUM($M$293:M321)</f>
        <v>196.91935483870964</v>
      </c>
      <c r="O321" s="4">
        <f>SUM($M$18:M321)</f>
        <v>1746.1193548387062</v>
      </c>
      <c r="P321" s="9">
        <f t="shared" si="96"/>
        <v>0.71446195511770638</v>
      </c>
      <c r="Q321" s="26">
        <f t="shared" si="107"/>
        <v>0.71446195511770616</v>
      </c>
      <c r="R321" s="26">
        <f t="shared" si="107"/>
        <v>0.70390013181834965</v>
      </c>
      <c r="S321" s="9">
        <f t="shared" si="97"/>
        <v>0.20214279778531885</v>
      </c>
      <c r="T321" s="9">
        <f>K321/((COUNT($K$293:K321))*24*$Q$1)</f>
        <v>0.20214279778531871</v>
      </c>
      <c r="U321" s="28">
        <f>L321/((COUNT($L$18:L321))*24*$Q$1)</f>
        <v>0.16846129989604397</v>
      </c>
      <c r="V321" s="134">
        <v>11.5031</v>
      </c>
      <c r="Y321" s="27">
        <f t="shared" si="104"/>
        <v>45320</v>
      </c>
      <c r="Z321" s="5">
        <f>MONTH(Modelling_new[[#This Row],[Date]])</f>
        <v>1</v>
      </c>
      <c r="AA321" s="25">
        <f>YEAR(Y321)+IF(MONTH(Modelling_new[[#This Row],[Date]])&gt;=4,1,0)</f>
        <v>2024</v>
      </c>
      <c r="AB321" s="3">
        <f t="shared" si="98"/>
        <v>2024</v>
      </c>
      <c r="AC321" s="3" t="s">
        <v>626</v>
      </c>
      <c r="AD321" s="5" t="s">
        <v>626</v>
      </c>
      <c r="AE321" s="102">
        <v>45292</v>
      </c>
      <c r="AF321" s="5">
        <f t="shared" si="99"/>
        <v>31</v>
      </c>
      <c r="AG321" s="5">
        <f t="shared" si="100"/>
        <v>1</v>
      </c>
      <c r="AH321" s="4">
        <f>(VLOOKUP(AG321,$AA$2:$AK$13,10,0)/AF321)*Modelling_new[[#This Row],[Factor]]</f>
        <v>62.574735396773931</v>
      </c>
      <c r="AI321" s="4">
        <f>SUMIFS(Modelling_new[Target E_Grid daily
MWh],Modelling_new[Month Year],Modelling_new[[#This Row],[Month Year]],Modelling_new[Date],"&lt;="&amp;Modelling_new[[#This Row],[Date]])</f>
        <v>1814.6673265064451</v>
      </c>
      <c r="AJ321" s="4">
        <f>SUMIFS(Modelling_new[Target E_Grid daily
MWh],Modelling_new[Finacial Year],Modelling_new[[#This Row],[Finacial Year]],Modelling_new[Date],"&lt;="&amp;Modelling_new[[#This Row],[Date]])</f>
        <v>1814.6673265064451</v>
      </c>
      <c r="AK321" s="4">
        <f t="shared" si="108"/>
        <v>5.6591249032258082</v>
      </c>
      <c r="AL321" s="4">
        <f>SUMIFS(Modelling_new[Target POA Daily (KWh/m2)],Modelling_new[Month Year],Modelling_new[[#This Row],[Month Year]],Modelling_new[Date],"&lt;="&amp;Modelling_new[[#This Row],[Date]])</f>
        <v>164.11462219354834</v>
      </c>
      <c r="AM321" s="4">
        <f>SUMIFS(Modelling_new[Target POA Daily (KWh/m2)],Modelling_new[Finacial Year],Modelling_new[[#This Row],[Finacial Year]],Modelling_new[Date],"&lt;="&amp;Modelling_new[[#This Row],[Date]])</f>
        <v>164.11462219354834</v>
      </c>
      <c r="AN321" s="9">
        <f>AH321/Modelling_new[[#This Row],[Comisined DC ]]/AK321</f>
        <v>0.86385285472076068</v>
      </c>
      <c r="AO321" s="9">
        <f>AI321/AL321/Modelling_new[[#This Row],[MTD DC Capcity]]</f>
        <v>0.86385285472076134</v>
      </c>
      <c r="AP321" s="9">
        <f>AJ321/AM321/Modelling_new[[#This Row],[YTD DC Capcity]]</f>
        <v>0.86385285472076134</v>
      </c>
      <c r="AQ321" s="9">
        <f>AH321/(24*Modelling_new[[#This Row],[Comisined DC ]])</f>
        <v>0.20369380011970678</v>
      </c>
      <c r="AR321" s="9">
        <f>AI321/(COUNTIFS(Modelling_new[Date],"&lt;="&amp;Modelling_new[[#This Row],[Date]],Modelling_new[Month Year],Modelling_new[[#This Row],[Month Year]])*24*Modelling_new[[#This Row],[MTD DC Capcity]])</f>
        <v>0.20369380011970681</v>
      </c>
      <c r="AS321" s="28">
        <f>AJ321/(COUNTIFS(Modelling_new[Date],"&lt;="&amp;Modelling_new[[#This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0.20369380011970681</v>
      </c>
      <c r="AT321" s="5">
        <v>12.8</v>
      </c>
      <c r="AU321" s="9">
        <f>Modelling_new[[#This Row],[Comisined DC ]]/$AO$1</f>
        <v>1</v>
      </c>
      <c r="AV321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321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21" s="27">
        <f t="shared" si="105"/>
        <v>45320</v>
      </c>
      <c r="BE321" s="5">
        <f>MONTH(Modelling[[#This Row],[Date]])</f>
        <v>1</v>
      </c>
      <c r="BF321" s="25">
        <f>YEAR(BD321)+IF(MONTH(Modelling[[#This Row],[Date]])&gt;=4,1,0)</f>
        <v>2024</v>
      </c>
      <c r="BG321" s="3">
        <f t="shared" si="101"/>
        <v>2024</v>
      </c>
      <c r="BH321" s="3" t="s">
        <v>626</v>
      </c>
      <c r="BI321" s="5" t="s">
        <v>626</v>
      </c>
      <c r="BJ321" s="102">
        <v>45292</v>
      </c>
      <c r="BK321" s="5">
        <f t="shared" si="102"/>
        <v>31</v>
      </c>
      <c r="BL321" s="5">
        <f t="shared" si="103"/>
        <v>1</v>
      </c>
      <c r="BM321" s="4">
        <f>Modelling_old[[#This Row],[Target E_Grid daily
MWh]]+Modelling_new[[#This Row],[Target E_Grid daily
MWh]]</f>
        <v>118.38118700967715</v>
      </c>
      <c r="BN321" s="4">
        <f>Modelling_old[[#This Row],[Target E_Grid MTD
MWh]]+Modelling_new[[#This Row],[Target E_Grid MTD
MWh]]</f>
        <v>3433.0544232806378</v>
      </c>
      <c r="BO321" s="4">
        <f>Modelling_old[[#This Row],[Target E_Grid YTD
MWh]]+Modelling_new[[#This Row],[Target E_Grid YTD
MWh]]</f>
        <v>15953.054423280648</v>
      </c>
      <c r="BP32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21" s="4">
        <f>SUMIFS(Modelling[Target POA Daily (KWh/m2)],Modelling[Date],"&lt;="&amp;Modelling[[#This Row],[Date]],Modelling[Month Year],Modelling[[#This Row],[Month Year]])</f>
        <v>179.64169981288717</v>
      </c>
      <c r="BR321" s="4">
        <f>SUMIFS(Modelling[Target POA Daily (KWh/m2)],Modelling[Date],"&lt;="&amp;Modelling[[#This Row],[Date]],Modelling[Finacial Year],Modelling[[#This Row],[Finacial Year]])</f>
        <v>1728.8416998128828</v>
      </c>
      <c r="BS321" s="9">
        <f>BM321/Modelling[[#This Row],[Comisined DC ]]/BP321</f>
        <v>0.78634269848069838</v>
      </c>
      <c r="BT321" s="9">
        <f>BN321/BQ321/Modelling[[#This Row],[Comisined DC ]]</f>
        <v>0.78634269848069915</v>
      </c>
      <c r="BU321" s="9">
        <f>BO321/BR321/Modelling[[#This Row],[Comisined DC ]]</f>
        <v>0.37968806307215552</v>
      </c>
      <c r="BV321" s="9">
        <f>BM321/(24*Modelling[[#This Row],[Comisined DC ]])</f>
        <v>0.20295968245765139</v>
      </c>
      <c r="BW321" s="9">
        <f>BN321/((COUNTIFS(Modelling[Date],"&lt;="&amp;Modelling[[#This Row],[Date]],Modelling[Month Year],Modelling[[#This Row],[Month Year]])*24*Modelling[[#This Row],[MTD DC Capcity]]))</f>
        <v>0.20295968245765159</v>
      </c>
      <c r="BX321" s="28">
        <f>BO321/((COUNTIFS(Modelling[Date],"&lt;="&amp;Modelling[[#This Row],[Date]],Modelling[Finacial Year],Modelling[[#This Row],[Finacial Year]])*24*Modelling[[#This Row],[MTD DC Capcity]]))</f>
        <v>8.9969922746755332E-2</v>
      </c>
      <c r="BY321" s="4">
        <f>Modelling_old[[#This Row],[DC Capcity]]+Modelling_new[[#This Row],[Comisined DC ]]</f>
        <v>24.303100000000001</v>
      </c>
      <c r="BZ321" s="4">
        <v>0</v>
      </c>
      <c r="CA321" s="4">
        <f>AVERAGEIFS(Modelling[[Comisined DC ]],Modelling[Date],"&lt;="&amp;Modelling[[#This Row],[Date]],Modelling[Month Year],Modelling[[#This Row],[Month Year]])</f>
        <v>24.303099999999983</v>
      </c>
      <c r="CB321" s="4">
        <f>AVERAGEIFS(Modelling[[Comisined DC ]],Modelling[Date],"&lt;="&amp;Modelling[[#This Row],[Date]],Modelling[Finacial Year],Modelling[[#This Row],[Finacial Year]])</f>
        <v>12.7241526315789</v>
      </c>
      <c r="CG321">
        <f t="shared" si="109"/>
        <v>29</v>
      </c>
      <c r="CH321">
        <f t="shared" si="106"/>
        <v>304</v>
      </c>
    </row>
    <row r="322" spans="1:86" x14ac:dyDescent="0.35">
      <c r="A322" s="27">
        <v>45321</v>
      </c>
      <c r="B322" s="5">
        <f>MONTH(Modelling_old[[#This Row],[Date]])</f>
        <v>1</v>
      </c>
      <c r="C322" s="25">
        <v>2024</v>
      </c>
      <c r="D322" s="3">
        <f t="shared" ref="D322:D353" si="110">YEAR(A322)</f>
        <v>2024</v>
      </c>
      <c r="E322" s="3" t="s">
        <v>626</v>
      </c>
      <c r="F322" s="5" t="s">
        <v>626</v>
      </c>
      <c r="G322" s="102">
        <v>45292</v>
      </c>
      <c r="H322" s="5">
        <f t="shared" ref="H322:H353" si="111">DAY(EOMONTH(G322,0))</f>
        <v>31</v>
      </c>
      <c r="I322" s="5">
        <f t="shared" ref="I322:I353" si="112">MONTH(A322)</f>
        <v>1</v>
      </c>
      <c r="J322" s="4">
        <f t="shared" ref="J322:J353" si="113">VLOOKUP(I322,$C$2:$L$13,10,0)/H322</f>
        <v>55.806451612903224</v>
      </c>
      <c r="K322" s="4">
        <f>SUM($J$293:J322)</f>
        <v>1674.1935483870957</v>
      </c>
      <c r="L322" s="4">
        <f>SUM($J$18:J322)</f>
        <v>14194.193548387106</v>
      </c>
      <c r="M322" s="4">
        <f t="shared" ref="M322:M353" si="114">VLOOKUP(I322,$C$2:$M$13,11,0)</f>
        <v>6.790322580645161</v>
      </c>
      <c r="N322" s="4">
        <f>SUM($M$293:M322)</f>
        <v>203.70967741935479</v>
      </c>
      <c r="O322" s="4">
        <f>SUM($M$18:M322)</f>
        <v>1752.9096774193513</v>
      </c>
      <c r="P322" s="9">
        <f t="shared" ref="P322:P353" si="115">J322/$Q$1/M322</f>
        <v>0.71446195511770638</v>
      </c>
      <c r="Q322" s="26">
        <f t="shared" ref="Q322:Q353" si="116">K322/N322/$Q$1</f>
        <v>0.71446195511770616</v>
      </c>
      <c r="R322" s="26">
        <f t="shared" ref="R322:R353" si="117">L322/O322/$Q$1</f>
        <v>0.70394104561337634</v>
      </c>
      <c r="S322" s="9">
        <f t="shared" ref="S322:S353" si="118">J322/(24*$Q$1)</f>
        <v>0.20214279778531885</v>
      </c>
      <c r="T322" s="9">
        <f>K322/((COUNT($K$293:K322))*24*$Q$1)</f>
        <v>0.20214279778531871</v>
      </c>
      <c r="U322" s="28">
        <f>L322/((COUNT($L$18:L322))*24*$Q$1)</f>
        <v>0.16857173103666456</v>
      </c>
      <c r="V322" s="134">
        <v>11.5031</v>
      </c>
      <c r="Y322" s="27">
        <f t="shared" si="104"/>
        <v>45321</v>
      </c>
      <c r="Z322" s="5">
        <f>MONTH(Modelling_new[[#This Row],[Date]])</f>
        <v>1</v>
      </c>
      <c r="AA322" s="25">
        <f>YEAR(Y322)+IF(MONTH(Modelling_new[[#This Row],[Date]])&gt;=4,1,0)</f>
        <v>2024</v>
      </c>
      <c r="AB322" s="3">
        <f t="shared" si="98"/>
        <v>2024</v>
      </c>
      <c r="AC322" s="3" t="s">
        <v>626</v>
      </c>
      <c r="AD322" s="5" t="s">
        <v>626</v>
      </c>
      <c r="AE322" s="102">
        <v>45292</v>
      </c>
      <c r="AF322" s="5">
        <f t="shared" si="99"/>
        <v>31</v>
      </c>
      <c r="AG322" s="5">
        <f t="shared" si="100"/>
        <v>1</v>
      </c>
      <c r="AH322" s="4">
        <f>(VLOOKUP(AG322,$AA$2:$AK$13,10,0)/AF322)*Modelling_new[[#This Row],[Factor]]</f>
        <v>62.574735396773931</v>
      </c>
      <c r="AI322" s="4">
        <f>SUMIFS(Modelling_new[Target E_Grid daily
MWh],Modelling_new[Month Year],Modelling_new[[#This Row],[Month Year]],Modelling_new[Date],"&lt;="&amp;Modelling_new[[#This Row],[Date]])</f>
        <v>1877.2420619032191</v>
      </c>
      <c r="AJ322" s="4">
        <f>SUMIFS(Modelling_new[Target E_Grid daily
MWh],Modelling_new[Finacial Year],Modelling_new[[#This Row],[Finacial Year]],Modelling_new[Date],"&lt;="&amp;Modelling_new[[#This Row],[Date]])</f>
        <v>1877.2420619032191</v>
      </c>
      <c r="AK322" s="4">
        <f t="shared" si="108"/>
        <v>5.6591249032258082</v>
      </c>
      <c r="AL322" s="4">
        <f>SUMIFS(Modelling_new[Target POA Daily (KWh/m2)],Modelling_new[Month Year],Modelling_new[[#This Row],[Month Year]],Modelling_new[Date],"&lt;="&amp;Modelling_new[[#This Row],[Date]])</f>
        <v>169.77374709677414</v>
      </c>
      <c r="AM322" s="4">
        <f>SUMIFS(Modelling_new[Target POA Daily (KWh/m2)],Modelling_new[Finacial Year],Modelling_new[[#This Row],[Finacial Year]],Modelling_new[Date],"&lt;="&amp;Modelling_new[[#This Row],[Date]])</f>
        <v>169.77374709677414</v>
      </c>
      <c r="AN322" s="9">
        <f>AH322/Modelling_new[[#This Row],[Comisined DC ]]/AK322</f>
        <v>0.86385285472076068</v>
      </c>
      <c r="AO322" s="9">
        <f>AI322/AL322/Modelling_new[[#This Row],[MTD DC Capcity]]</f>
        <v>0.86385285472076134</v>
      </c>
      <c r="AP322" s="9">
        <f>AJ322/AM322/Modelling_new[[#This Row],[YTD DC Capcity]]</f>
        <v>0.86385285472076134</v>
      </c>
      <c r="AQ322" s="9">
        <f>AH322/(24*Modelling_new[[#This Row],[Comisined DC ]])</f>
        <v>0.20369380011970678</v>
      </c>
      <c r="AR322" s="9">
        <f>AI322/(COUNTIFS(Modelling_new[Date],"&lt;="&amp;Modelling_new[[#This Row],[Date]],Modelling_new[Month Year],Modelling_new[[#This Row],[Month Year]])*24*Modelling_new[[#This Row],[MTD DC Capcity]])</f>
        <v>0.20369380011970686</v>
      </c>
      <c r="AS322" s="28">
        <f>AJ322/(COUNTIFS(Modelling_new[Date],"&lt;="&amp;Modelling_new[[#This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0.20369380011970686</v>
      </c>
      <c r="AT322" s="5">
        <v>12.8</v>
      </c>
      <c r="AU322" s="9">
        <f>Modelling_new[[#This Row],[Comisined DC ]]/$AO$1</f>
        <v>1</v>
      </c>
      <c r="AV322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322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22" s="27">
        <f t="shared" si="105"/>
        <v>45321</v>
      </c>
      <c r="BE322" s="5">
        <f>MONTH(Modelling[[#This Row],[Date]])</f>
        <v>1</v>
      </c>
      <c r="BF322" s="25">
        <f>YEAR(BD322)+IF(MONTH(Modelling[[#This Row],[Date]])&gt;=4,1,0)</f>
        <v>2024</v>
      </c>
      <c r="BG322" s="3">
        <f t="shared" si="101"/>
        <v>2024</v>
      </c>
      <c r="BH322" s="3" t="s">
        <v>626</v>
      </c>
      <c r="BI322" s="5" t="s">
        <v>626</v>
      </c>
      <c r="BJ322" s="102">
        <v>45292</v>
      </c>
      <c r="BK322" s="5">
        <f t="shared" si="102"/>
        <v>31</v>
      </c>
      <c r="BL322" s="5">
        <f t="shared" si="103"/>
        <v>1</v>
      </c>
      <c r="BM322" s="4">
        <f>Modelling_old[[#This Row],[Target E_Grid daily
MWh]]+Modelling_new[[#This Row],[Target E_Grid daily
MWh]]</f>
        <v>118.38118700967715</v>
      </c>
      <c r="BN322" s="4">
        <f>Modelling_old[[#This Row],[Target E_Grid MTD
MWh]]+Modelling_new[[#This Row],[Target E_Grid MTD
MWh]]</f>
        <v>3551.4356102903148</v>
      </c>
      <c r="BO322" s="4">
        <f>Modelling_old[[#This Row],[Target E_Grid YTD
MWh]]+Modelling_new[[#This Row],[Target E_Grid YTD
MWh]]</f>
        <v>16071.435610290326</v>
      </c>
      <c r="BP32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22" s="4">
        <f>SUMIFS(Modelling[Target POA Daily (KWh/m2)],Modelling[Date],"&lt;="&amp;Modelling[[#This Row],[Date]],Modelling[Month Year],Modelling[[#This Row],[Month Year]])</f>
        <v>185.83624118574534</v>
      </c>
      <c r="BR322" s="4">
        <f>SUMIFS(Modelling[Target POA Daily (KWh/m2)],Modelling[Date],"&lt;="&amp;Modelling[[#This Row],[Date]],Modelling[Finacial Year],Modelling[[#This Row],[Finacial Year]])</f>
        <v>1735.0362411857409</v>
      </c>
      <c r="BS322" s="9">
        <f>BM322/Modelling[[#This Row],[Comisined DC ]]/BP322</f>
        <v>0.78634269848069838</v>
      </c>
      <c r="BT322" s="9">
        <f>BN322/BQ322/Modelling[[#This Row],[Comisined DC ]]</f>
        <v>0.78634269848069915</v>
      </c>
      <c r="BU322" s="9">
        <f>BO322/BR322/Modelling[[#This Row],[Comisined DC ]]</f>
        <v>0.3811399284013669</v>
      </c>
      <c r="BV322" s="9">
        <f>BM322/(24*Modelling[[#This Row],[Comisined DC ]])</f>
        <v>0.20295968245765139</v>
      </c>
      <c r="BW322" s="9">
        <f>BN322/((COUNTIFS(Modelling[Date],"&lt;="&amp;Modelling[[#This Row],[Date]],Modelling[Month Year],Modelling[[#This Row],[Month Year]])*24*Modelling[[#This Row],[MTD DC Capcity]]))</f>
        <v>0.20295968245765156</v>
      </c>
      <c r="BX322" s="28">
        <f>BO322/((COUNTIFS(Modelling[Date],"&lt;="&amp;Modelling[[#This Row],[Date]],Modelling[Finacial Year],Modelling[[#This Row],[Finacial Year]])*24*Modelling[[#This Row],[MTD DC Capcity]]))</f>
        <v>9.0340380975315646E-2</v>
      </c>
      <c r="BY322" s="4">
        <f>Modelling_old[[#This Row],[DC Capcity]]+Modelling_new[[#This Row],[Comisined DC ]]</f>
        <v>24.303100000000001</v>
      </c>
      <c r="BZ322" s="4">
        <v>0</v>
      </c>
      <c r="CA322" s="4">
        <f>AVERAGEIFS(Modelling[[Comisined DC ]],Modelling[Date],"&lt;="&amp;Modelling[[#This Row],[Date]],Modelling[Month Year],Modelling[[#This Row],[Month Year]])</f>
        <v>24.303099999999983</v>
      </c>
      <c r="CB322" s="4">
        <f>AVERAGEIFS(Modelling[[Comisined DC ]],Modelling[Date],"&lt;="&amp;Modelling[[#This Row],[Date]],Modelling[Finacial Year],Modelling[[#This Row],[Finacial Year]])</f>
        <v>12.762116393442577</v>
      </c>
      <c r="CG322">
        <f t="shared" si="109"/>
        <v>30</v>
      </c>
      <c r="CH322">
        <f t="shared" si="106"/>
        <v>305</v>
      </c>
    </row>
    <row r="323" spans="1:86" x14ac:dyDescent="0.35">
      <c r="A323" s="27">
        <v>45322</v>
      </c>
      <c r="B323" s="5">
        <f>MONTH(Modelling_old[[#This Row],[Date]])</f>
        <v>1</v>
      </c>
      <c r="C323" s="25">
        <v>2024</v>
      </c>
      <c r="D323" s="3">
        <f t="shared" si="110"/>
        <v>2024</v>
      </c>
      <c r="E323" s="3" t="s">
        <v>626</v>
      </c>
      <c r="F323" s="5" t="s">
        <v>626</v>
      </c>
      <c r="G323" s="102">
        <v>45292</v>
      </c>
      <c r="H323" s="5">
        <f t="shared" si="111"/>
        <v>31</v>
      </c>
      <c r="I323" s="5">
        <f t="shared" si="112"/>
        <v>1</v>
      </c>
      <c r="J323" s="4">
        <f t="shared" si="113"/>
        <v>55.806451612903224</v>
      </c>
      <c r="K323" s="4">
        <f>SUM($J$293:J323)</f>
        <v>1729.9999999999989</v>
      </c>
      <c r="L323" s="4">
        <f>SUM($J$18:J323)</f>
        <v>14250.000000000009</v>
      </c>
      <c r="M323" s="4">
        <f t="shared" si="114"/>
        <v>6.790322580645161</v>
      </c>
      <c r="N323" s="4">
        <f>SUM($M$293:M323)</f>
        <v>210.49999999999994</v>
      </c>
      <c r="O323" s="4">
        <f>SUM($M$18:M323)</f>
        <v>1759.6999999999964</v>
      </c>
      <c r="P323" s="9">
        <f t="shared" si="115"/>
        <v>0.71446195511770638</v>
      </c>
      <c r="Q323" s="26">
        <f t="shared" si="116"/>
        <v>0.71446195511770616</v>
      </c>
      <c r="R323" s="26">
        <f t="shared" si="117"/>
        <v>0.70398164365246052</v>
      </c>
      <c r="S323" s="9">
        <f t="shared" si="118"/>
        <v>0.20214279778531885</v>
      </c>
      <c r="T323" s="9">
        <f>K323/((COUNT($K$293:K323))*24*$Q$1)</f>
        <v>0.20214279778531871</v>
      </c>
      <c r="U323" s="28">
        <f>L323/((COUNT($L$18:L323))*24*$Q$1)</f>
        <v>0.16868144040512423</v>
      </c>
      <c r="V323" s="134">
        <v>11.5031</v>
      </c>
      <c r="Y323" s="27">
        <f t="shared" si="104"/>
        <v>45322</v>
      </c>
      <c r="Z323" s="5">
        <f>MONTH(Modelling_new[[#This Row],[Date]])</f>
        <v>1</v>
      </c>
      <c r="AA323" s="25">
        <f>YEAR(Y323)+IF(MONTH(Modelling_new[[#This Row],[Date]])&gt;=4,1,0)</f>
        <v>2024</v>
      </c>
      <c r="AB323" s="3">
        <f t="shared" si="98"/>
        <v>2024</v>
      </c>
      <c r="AC323" s="3" t="s">
        <v>626</v>
      </c>
      <c r="AD323" s="5" t="s">
        <v>626</v>
      </c>
      <c r="AE323" s="102">
        <v>45292</v>
      </c>
      <c r="AF323" s="5">
        <f t="shared" si="99"/>
        <v>31</v>
      </c>
      <c r="AG323" s="5">
        <f t="shared" si="100"/>
        <v>1</v>
      </c>
      <c r="AH323" s="4">
        <f>(VLOOKUP(AG323,$AA$2:$AK$13,10,0)/AF323)*Modelling_new[[#This Row],[Factor]]</f>
        <v>62.574735396773931</v>
      </c>
      <c r="AI323" s="4">
        <f>SUMIFS(Modelling_new[Target E_Grid daily
MWh],Modelling_new[Month Year],Modelling_new[[#This Row],[Month Year]],Modelling_new[Date],"&lt;="&amp;Modelling_new[[#This Row],[Date]])</f>
        <v>1939.8167972999931</v>
      </c>
      <c r="AJ323" s="4">
        <f>SUMIFS(Modelling_new[Target E_Grid daily
MWh],Modelling_new[Finacial Year],Modelling_new[[#This Row],[Finacial Year]],Modelling_new[Date],"&lt;="&amp;Modelling_new[[#This Row],[Date]])</f>
        <v>1939.8167972999931</v>
      </c>
      <c r="AK323" s="4">
        <f t="shared" si="108"/>
        <v>5.6591249032258082</v>
      </c>
      <c r="AL323" s="4">
        <f>SUMIFS(Modelling_new[Target POA Daily (KWh/m2)],Modelling_new[Month Year],Modelling_new[[#This Row],[Month Year]],Modelling_new[Date],"&lt;="&amp;Modelling_new[[#This Row],[Date]])</f>
        <v>175.43287199999995</v>
      </c>
      <c r="AM323" s="4">
        <f>SUMIFS(Modelling_new[Target POA Daily (KWh/m2)],Modelling_new[Finacial Year],Modelling_new[[#This Row],[Finacial Year]],Modelling_new[Date],"&lt;="&amp;Modelling_new[[#This Row],[Date]])</f>
        <v>175.43287199999995</v>
      </c>
      <c r="AN323" s="9">
        <f>AH323/Modelling_new[[#This Row],[Comisined DC ]]/AK323</f>
        <v>0.86385285472076068</v>
      </c>
      <c r="AO323" s="9">
        <f>AI323/AL323/Modelling_new[[#This Row],[MTD DC Capcity]]</f>
        <v>0.86385285472076145</v>
      </c>
      <c r="AP323" s="9">
        <f>AJ323/AM323/Modelling_new[[#This Row],[YTD DC Capcity]]</f>
        <v>0.86385285472076145</v>
      </c>
      <c r="AQ323" s="9">
        <f>AH323/(24*Modelling_new[[#This Row],[Comisined DC ]])</f>
        <v>0.20369380011970678</v>
      </c>
      <c r="AR323" s="9">
        <f>AI323/(COUNTIFS(Modelling_new[Date],"&lt;="&amp;Modelling_new[[#This Row],[Date]],Modelling_new[Month Year],Modelling_new[[#This Row],[Month Year]])*24*Modelling_new[[#This Row],[MTD DC Capcity]])</f>
        <v>0.20369380011970684</v>
      </c>
      <c r="AS323" s="28">
        <f>AJ323/(COUNTIFS(Modelling_new[Date],"&lt;="&amp;Modelling_new[[#This Row],[Date]],Modelling_new[Finacial Year],Modelling_new[[#This Row],[Finacial Year]],Modelling_new[Target E_Grid YTD
MWh],"&gt;"&amp;0)*24*Modelling_new[[#This Row],[YTD DC Capcity]])</f>
        <v>0.20369380011970684</v>
      </c>
      <c r="AT323" s="5">
        <v>12.8</v>
      </c>
      <c r="AU323" s="9">
        <f>Modelling_new[[#This Row],[Comisined DC ]]/$AO$1</f>
        <v>1</v>
      </c>
      <c r="AV323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323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23" s="27">
        <f t="shared" si="105"/>
        <v>45322</v>
      </c>
      <c r="BE323" s="5">
        <f>MONTH(Modelling[[#This Row],[Date]])</f>
        <v>1</v>
      </c>
      <c r="BF323" s="25">
        <f>YEAR(BD323)+IF(MONTH(Modelling[[#This Row],[Date]])&gt;=4,1,0)</f>
        <v>2024</v>
      </c>
      <c r="BG323" s="3">
        <f t="shared" si="101"/>
        <v>2024</v>
      </c>
      <c r="BH323" s="3" t="s">
        <v>626</v>
      </c>
      <c r="BI323" s="5" t="s">
        <v>626</v>
      </c>
      <c r="BJ323" s="102">
        <v>45292</v>
      </c>
      <c r="BK323" s="5">
        <f t="shared" si="102"/>
        <v>31</v>
      </c>
      <c r="BL323" s="5">
        <f t="shared" si="103"/>
        <v>1</v>
      </c>
      <c r="BM323" s="4">
        <f>Modelling_old[[#This Row],[Target E_Grid daily
MWh]]+Modelling_new[[#This Row],[Target E_Grid daily
MWh]]</f>
        <v>118.38118700967715</v>
      </c>
      <c r="BN323" s="4">
        <f>Modelling_old[[#This Row],[Target E_Grid MTD
MWh]]+Modelling_new[[#This Row],[Target E_Grid MTD
MWh]]</f>
        <v>3669.8167972999918</v>
      </c>
      <c r="BO323" s="4">
        <f>Modelling_old[[#This Row],[Target E_Grid YTD
MWh]]+Modelling_new[[#This Row],[Target E_Grid YTD
MWh]]</f>
        <v>16189.816797300002</v>
      </c>
      <c r="BP32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6.1945413728581826</v>
      </c>
      <c r="BQ323" s="4">
        <f>SUMIFS(Modelling[Target POA Daily (KWh/m2)],Modelling[Date],"&lt;="&amp;Modelling[[#This Row],[Date]],Modelling[Month Year],Modelling[[#This Row],[Month Year]])</f>
        <v>192.03078255860351</v>
      </c>
      <c r="BR323" s="4">
        <f>SUMIFS(Modelling[Target POA Daily (KWh/m2)],Modelling[Date],"&lt;="&amp;Modelling[[#This Row],[Date]],Modelling[Finacial Year],Modelling[[#This Row],[Finacial Year]])</f>
        <v>1741.230782558599</v>
      </c>
      <c r="BS323" s="9">
        <f>BM323/Modelling[[#This Row],[Comisined DC ]]/BP323</f>
        <v>0.78634269848069838</v>
      </c>
      <c r="BT323" s="9">
        <f>BN323/BQ323/Modelling[[#This Row],[Comisined DC ]]</f>
        <v>0.78634269848069915</v>
      </c>
      <c r="BU323" s="9">
        <f>BO323/BR323/Modelling[[#This Row],[Comisined DC ]]</f>
        <v>0.38258146352054556</v>
      </c>
      <c r="BV323" s="9">
        <f>BM323/(24*Modelling[[#This Row],[Comisined DC ]])</f>
        <v>0.20295968245765139</v>
      </c>
      <c r="BW323" s="9">
        <f>BN323/((COUNTIFS(Modelling[Date],"&lt;="&amp;Modelling[[#This Row],[Date]],Modelling[Month Year],Modelling[[#This Row],[Month Year]])*24*Modelling[[#This Row],[MTD DC Capcity]]))</f>
        <v>0.20295968245765156</v>
      </c>
      <c r="BX323" s="28">
        <f>BO323/((COUNTIFS(Modelling[Date],"&lt;="&amp;Modelling[[#This Row],[Date]],Modelling[Finacial Year],Modelling[[#This Row],[Finacial Year]])*24*Modelling[[#This Row],[MTD DC Capcity]]))</f>
        <v>9.0708417908264435E-2</v>
      </c>
      <c r="BY323" s="4">
        <f>Modelling_old[[#This Row],[DC Capcity]]+Modelling_new[[#This Row],[Comisined DC ]]</f>
        <v>24.303100000000001</v>
      </c>
      <c r="BZ323" s="4">
        <v>0</v>
      </c>
      <c r="CA323" s="4">
        <f>AVERAGEIFS(Modelling[[Comisined DC ]],Modelling[Date],"&lt;="&amp;Modelling[[#This Row],[Date]],Modelling[Month Year],Modelling[[#This Row],[Month Year]])</f>
        <v>24.303099999999983</v>
      </c>
      <c r="CB323" s="4">
        <f>AVERAGEIFS(Modelling[[Comisined DC ]],Modelling[Date],"&lt;="&amp;Modelling[[#This Row],[Date]],Modelling[Finacial Year],Modelling[[#This Row],[Finacial Year]])</f>
        <v>12.799832026143745</v>
      </c>
      <c r="CG323">
        <f t="shared" si="109"/>
        <v>31</v>
      </c>
      <c r="CH323">
        <f t="shared" si="106"/>
        <v>306</v>
      </c>
    </row>
    <row r="324" spans="1:86" x14ac:dyDescent="0.35">
      <c r="A324" s="27">
        <v>45323</v>
      </c>
      <c r="B324" s="5">
        <f>MONTH(Modelling_old[[#This Row],[Date]])</f>
        <v>2</v>
      </c>
      <c r="C324" s="25">
        <v>2024</v>
      </c>
      <c r="D324" s="3">
        <f t="shared" si="110"/>
        <v>2024</v>
      </c>
      <c r="E324" s="3" t="s">
        <v>626</v>
      </c>
      <c r="F324" s="5" t="s">
        <v>626</v>
      </c>
      <c r="G324" s="102">
        <v>45323</v>
      </c>
      <c r="H324" s="5">
        <f t="shared" si="111"/>
        <v>29</v>
      </c>
      <c r="I324" s="5">
        <f t="shared" si="112"/>
        <v>2</v>
      </c>
      <c r="J324" s="4">
        <f t="shared" si="113"/>
        <v>50.344827586206897</v>
      </c>
      <c r="K324" s="4">
        <f>SUM($J$324:J324)</f>
        <v>50.344827586206897</v>
      </c>
      <c r="L324" s="4">
        <f>SUM($J$18:J324)</f>
        <v>14300.344827586216</v>
      </c>
      <c r="M324" s="4">
        <f t="shared" si="114"/>
        <v>6.8928571428571432</v>
      </c>
      <c r="N324" s="4">
        <f>SUM($M$324:M324)</f>
        <v>6.8928571428571432</v>
      </c>
      <c r="O324" s="4">
        <f>SUM($M$18:M324)</f>
        <v>1766.5928571428535</v>
      </c>
      <c r="P324" s="9">
        <f t="shared" si="115"/>
        <v>0.63495169219029313</v>
      </c>
      <c r="Q324" s="26">
        <f t="shared" si="116"/>
        <v>0.63495169219029313</v>
      </c>
      <c r="R324" s="26">
        <f t="shared" si="117"/>
        <v>0.70371230395028561</v>
      </c>
      <c r="S324" s="9">
        <f t="shared" si="118"/>
        <v>0.18235963778679554</v>
      </c>
      <c r="T324" s="9">
        <f>K324/((COUNT($K$324:K324))*24*$Q$1)</f>
        <v>0.18235963778679554</v>
      </c>
      <c r="U324" s="28">
        <f>L324/((COUNT($L$18:L324))*24*$Q$1)</f>
        <v>0.16872599479398956</v>
      </c>
      <c r="V324" s="134">
        <v>11.5031</v>
      </c>
      <c r="Y324" s="27">
        <f t="shared" si="104"/>
        <v>45323</v>
      </c>
      <c r="Z324" s="5">
        <f>MONTH(Modelling_new[[#This Row],[Date]])</f>
        <v>2</v>
      </c>
      <c r="AA324" s="25">
        <f>YEAR(Y324)+IF(MONTH(Modelling_new[[#This Row],[Date]])&gt;=4,1,0)</f>
        <v>2024</v>
      </c>
      <c r="AB324" s="3">
        <f t="shared" si="98"/>
        <v>2024</v>
      </c>
      <c r="AC324" s="3" t="s">
        <v>626</v>
      </c>
      <c r="AD324" s="5" t="s">
        <v>626</v>
      </c>
      <c r="AE324" s="102">
        <v>45323</v>
      </c>
      <c r="AF324" s="5">
        <f t="shared" si="99"/>
        <v>29</v>
      </c>
      <c r="AG324" s="5">
        <f t="shared" si="100"/>
        <v>2</v>
      </c>
      <c r="AH324" s="4">
        <f>(VLOOKUP(AG324,$AA$2:$AK$13,10,0)/AF324)*Modelling_new[[#This Row],[Factor]]</f>
        <v>69.65517241379311</v>
      </c>
      <c r="AI324" s="4">
        <f>SUMIFS(Modelling_new[Target E_Grid daily
MWh],Modelling_new[Month Year],Modelling_new[[#This Row],[Month Year]],Modelling_new[Date],"&lt;="&amp;Modelling_new[[#This Row],[Date]])</f>
        <v>69.65517241379311</v>
      </c>
      <c r="AJ324" s="4">
        <f>SUMIFS(Modelling_new[Target E_Grid daily
MWh],Modelling_new[Finacial Year],Modelling_new[[#This Row],[Finacial Year]],Modelling_new[Date],"&lt;="&amp;Modelling_new[[#This Row],[Date]])</f>
        <v>2009.4719697137862</v>
      </c>
      <c r="AK324" s="4">
        <f t="shared" si="108"/>
        <v>6.4141063571428605</v>
      </c>
      <c r="AL324" s="4">
        <f>SUMIFS(Modelling_new[Target POA Daily (KWh/m2)],Modelling_new[Month Year],Modelling_new[[#This Row],[Month Year]],Modelling_new[Date],"&lt;="&amp;Modelling_new[[#This Row],[Date]])</f>
        <v>6.4141063571428605</v>
      </c>
      <c r="AM324" s="4">
        <f>SUMIFS(Modelling_new[Target POA Daily (KWh/m2)],Modelling_new[Finacial Year],Modelling_new[[#This Row],[Finacial Year]],Modelling_new[Date],"&lt;="&amp;Modelling_new[[#This Row],[Date]])</f>
        <v>181.8469783571428</v>
      </c>
      <c r="AN324" s="9">
        <f>AH324/Modelling_new[[#This Row],[Comisined DC ]]/AK324</f>
        <v>0.84841286405665717</v>
      </c>
      <c r="AO324" s="9">
        <f>AI324/AL324/Modelling_new[[#This Row],[MTD DC Capcity]]</f>
        <v>0.84841286405665717</v>
      </c>
      <c r="AP324" s="9">
        <f>AJ324/AM324/Modelling_new[[#This Row],[YTD DC Capcity]]</f>
        <v>0.8633082553924275</v>
      </c>
      <c r="AQ324" s="9">
        <f>AH324/(24*Modelling_new[[#This Row],[Comisined DC ]])</f>
        <v>0.22674209770114942</v>
      </c>
      <c r="AR324" s="9">
        <f>AI324/(COUNTIFS(Modelling_new[Date],"&lt;="&amp;Modelling_new[[#This Row],[Date]],Modelling_new[Month Year],Modelling_new[[#This Row],[Month Year]])*24*Modelling_new[[#This Row],[MTD DC Capcity]])</f>
        <v>0.22674209770114942</v>
      </c>
      <c r="AS324" s="28">
        <f>AJ324/(COUNTIFS(Modelling_new[Date],"&lt;="&amp;Modelling_new[[#This Row],[Date]],Modelling_new[Finacial Year],Modelling_new[[#This Row],[Finacial Year]],Modelling_new[Target E_Grid YTD
MWh],"&gt;"&amp;0)*24*Modelling_new[[#This Row],[YTD DC Capcity]])</f>
        <v>0.20441405941912691</v>
      </c>
      <c r="AT324" s="5">
        <v>12.8</v>
      </c>
      <c r="AU324" s="9">
        <f>Modelling_new[[#This Row],[Comisined DC ]]/$AO$1</f>
        <v>1</v>
      </c>
      <c r="AV324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24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24" s="27">
        <f t="shared" si="105"/>
        <v>45323</v>
      </c>
      <c r="BE324" s="5">
        <f>MONTH(Modelling[[#This Row],[Date]])</f>
        <v>2</v>
      </c>
      <c r="BF324" s="25">
        <f>YEAR(BD324)+IF(MONTH(Modelling[[#This Row],[Date]])&gt;=4,1,0)</f>
        <v>2024</v>
      </c>
      <c r="BG324" s="3">
        <f t="shared" si="101"/>
        <v>2024</v>
      </c>
      <c r="BH324" s="3" t="s">
        <v>626</v>
      </c>
      <c r="BI324" s="5" t="s">
        <v>626</v>
      </c>
      <c r="BJ324" s="102">
        <v>45323</v>
      </c>
      <c r="BK324" s="5">
        <f t="shared" si="102"/>
        <v>29</v>
      </c>
      <c r="BL324" s="5">
        <f t="shared" si="103"/>
        <v>2</v>
      </c>
      <c r="BM324" s="4">
        <f>Modelling_old[[#This Row],[Target E_Grid daily
MWh]]+Modelling_new[[#This Row],[Target E_Grid daily
MWh]]</f>
        <v>120</v>
      </c>
      <c r="BN324" s="4">
        <f>Modelling_old[[#This Row],[Target E_Grid MTD
MWh]]+Modelling_new[[#This Row],[Target E_Grid MTD
MWh]]</f>
        <v>120</v>
      </c>
      <c r="BO324" s="4">
        <f>Modelling_old[[#This Row],[Target E_Grid YTD
MWh]]+Modelling_new[[#This Row],[Target E_Grid YTD
MWh]]</f>
        <v>16309.816797300002</v>
      </c>
      <c r="BP32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24" s="4">
        <f>SUMIFS(Modelling[Target POA Daily (KWh/m2)],Modelling[Date],"&lt;="&amp;Modelling[[#This Row],[Date]],Modelling[Month Year],Modelling[[#This Row],[Month Year]])</f>
        <v>7.0475889245165337</v>
      </c>
      <c r="BR324" s="4">
        <f>SUMIFS(Modelling[Target POA Daily (KWh/m2)],Modelling[Date],"&lt;="&amp;Modelling[[#This Row],[Date]],Modelling[Finacial Year],Modelling[[#This Row],[Finacial Year]])</f>
        <v>1748.2783714831155</v>
      </c>
      <c r="BS324" s="9">
        <f>BM324/Modelling[[#This Row],[Comisined DC ]]/BP324</f>
        <v>0.74354147618627753</v>
      </c>
      <c r="BT324" s="9">
        <f>BN324/BQ324/Modelling[[#This Row],[Comisined DC ]]</f>
        <v>0.74354147618627742</v>
      </c>
      <c r="BU324" s="9">
        <f>BO324/BR324/Modelling[[#This Row],[Comisined DC ]]</f>
        <v>0.40738310656655202</v>
      </c>
      <c r="BV324" s="9">
        <f>BM324/(24*Modelling[[#This Row],[Comisined DC ]])</f>
        <v>0.21834061135371183</v>
      </c>
      <c r="BW324" s="9">
        <f>BN324/((COUNTIFS(Modelling[Date],"&lt;="&amp;Modelling[[#This Row],[Date]],Modelling[Month Year],Modelling[[#This Row],[Month Year]])*24*Modelling[[#This Row],[MTD DC Capcity]]))</f>
        <v>0.21834061135371183</v>
      </c>
      <c r="BX324" s="28">
        <f>BO324/((COUNTIFS(Modelling[Date],"&lt;="&amp;Modelling[[#This Row],[Date]],Modelling[Finacial Year],Modelling[[#This Row],[Finacial Year]])*24*Modelling[[#This Row],[MTD DC Capcity]]))</f>
        <v>9.6663826563233454E-2</v>
      </c>
      <c r="BY324" s="4">
        <v>22.9</v>
      </c>
      <c r="BZ324" s="4">
        <v>0</v>
      </c>
      <c r="CA324" s="4">
        <f>AVERAGEIFS(Modelling[[Comisined DC ]],Modelling[Date],"&lt;="&amp;Modelling[[#This Row],[Date]],Modelling[Month Year],Modelling[[#This Row],[Month Year]])</f>
        <v>22.9</v>
      </c>
      <c r="CB324" s="4">
        <f>AVERAGEIFS(Modelling[[Comisined DC ]],Modelling[Date],"&lt;="&amp;Modelling[[#This Row],[Date]],Modelling[Finacial Year],Modelling[[#This Row],[Finacial Year]])</f>
        <v>12.832731596091159</v>
      </c>
      <c r="CG324">
        <v>1</v>
      </c>
      <c r="CH324">
        <f t="shared" si="106"/>
        <v>307</v>
      </c>
    </row>
    <row r="325" spans="1:86" x14ac:dyDescent="0.35">
      <c r="A325" s="27">
        <v>45324</v>
      </c>
      <c r="B325" s="5">
        <f>MONTH(Modelling_old[[#This Row],[Date]])</f>
        <v>2</v>
      </c>
      <c r="C325" s="25">
        <v>2024</v>
      </c>
      <c r="D325" s="3">
        <f t="shared" si="110"/>
        <v>2024</v>
      </c>
      <c r="E325" s="3" t="s">
        <v>626</v>
      </c>
      <c r="F325" s="5" t="s">
        <v>626</v>
      </c>
      <c r="G325" s="102">
        <v>45323</v>
      </c>
      <c r="H325" s="5">
        <f t="shared" si="111"/>
        <v>29</v>
      </c>
      <c r="I325" s="5">
        <f t="shared" si="112"/>
        <v>2</v>
      </c>
      <c r="J325" s="4">
        <f t="shared" si="113"/>
        <v>50.344827586206897</v>
      </c>
      <c r="K325" s="4">
        <f>SUM($J$324:J325)</f>
        <v>100.68965517241379</v>
      </c>
      <c r="L325" s="4">
        <f>SUM($J$18:J325)</f>
        <v>14350.689655172422</v>
      </c>
      <c r="M325" s="4">
        <f t="shared" si="114"/>
        <v>6.8928571428571432</v>
      </c>
      <c r="N325" s="4">
        <f>SUM($M$324:M325)</f>
        <v>13.785714285714286</v>
      </c>
      <c r="O325" s="4">
        <f>SUM($M$18:M325)</f>
        <v>1773.4857142857106</v>
      </c>
      <c r="P325" s="9">
        <f t="shared" si="115"/>
        <v>0.63495169219029313</v>
      </c>
      <c r="Q325" s="26">
        <f t="shared" si="116"/>
        <v>0.63495169219029313</v>
      </c>
      <c r="R325" s="26">
        <f t="shared" si="117"/>
        <v>0.7034450578878565</v>
      </c>
      <c r="S325" s="9">
        <f t="shared" si="118"/>
        <v>0.18235963778679554</v>
      </c>
      <c r="T325" s="9">
        <f>K325/((COUNT($K$324:K325))*24*$Q$1)</f>
        <v>0.18235963778679554</v>
      </c>
      <c r="U325" s="28">
        <f>L325/((COUNT($L$18:L325))*24*$Q$1)</f>
        <v>0.16877025986864153</v>
      </c>
      <c r="V325" s="134">
        <v>11.5031</v>
      </c>
      <c r="Y325" s="27">
        <f t="shared" si="104"/>
        <v>45324</v>
      </c>
      <c r="Z325" s="5">
        <f>MONTH(Modelling_new[[#This Row],[Date]])</f>
        <v>2</v>
      </c>
      <c r="AA325" s="25">
        <f>YEAR(Y325)+IF(MONTH(Modelling_new[[#This Row],[Date]])&gt;=4,1,0)</f>
        <v>2024</v>
      </c>
      <c r="AB325" s="3">
        <f t="shared" si="98"/>
        <v>2024</v>
      </c>
      <c r="AC325" s="3" t="s">
        <v>626</v>
      </c>
      <c r="AD325" s="5" t="s">
        <v>626</v>
      </c>
      <c r="AE325" s="102">
        <v>45323</v>
      </c>
      <c r="AF325" s="5">
        <f t="shared" si="99"/>
        <v>29</v>
      </c>
      <c r="AG325" s="5">
        <f t="shared" si="100"/>
        <v>2</v>
      </c>
      <c r="AH325" s="4">
        <f>(VLOOKUP(AG325,$AA$2:$AK$13,10,0)/AF325)*Modelling_new[[#This Row],[Factor]]</f>
        <v>69.65517241379311</v>
      </c>
      <c r="AI325" s="4">
        <f>SUMIFS(Modelling_new[Target E_Grid daily
MWh],Modelling_new[Month Year],Modelling_new[[#This Row],[Month Year]],Modelling_new[Date],"&lt;="&amp;Modelling_new[[#This Row],[Date]])</f>
        <v>139.31034482758622</v>
      </c>
      <c r="AJ325" s="4">
        <f>SUMIFS(Modelling_new[Target E_Grid daily
MWh],Modelling_new[Finacial Year],Modelling_new[[#This Row],[Finacial Year]],Modelling_new[Date],"&lt;="&amp;Modelling_new[[#This Row],[Date]])</f>
        <v>2079.1271421275792</v>
      </c>
      <c r="AK325" s="4">
        <f t="shared" si="108"/>
        <v>6.4141063571428605</v>
      </c>
      <c r="AL325" s="4">
        <f>SUMIFS(Modelling_new[Target POA Daily (KWh/m2)],Modelling_new[Month Year],Modelling_new[[#This Row],[Month Year]],Modelling_new[Date],"&lt;="&amp;Modelling_new[[#This Row],[Date]])</f>
        <v>12.828212714285721</v>
      </c>
      <c r="AM325" s="4">
        <f>SUMIFS(Modelling_new[Target POA Daily (KWh/m2)],Modelling_new[Finacial Year],Modelling_new[[#This Row],[Finacial Year]],Modelling_new[Date],"&lt;="&amp;Modelling_new[[#This Row],[Date]])</f>
        <v>188.26108471428566</v>
      </c>
      <c r="AN325" s="9">
        <f>AH325/Modelling_new[[#This Row],[Comisined DC ]]/AK325</f>
        <v>0.84841286405665717</v>
      </c>
      <c r="AO325" s="9">
        <f>AI325/AL325/Modelling_new[[#This Row],[MTD DC Capcity]]</f>
        <v>0.84841286405665717</v>
      </c>
      <c r="AP325" s="9">
        <f>AJ325/AM325/Modelling_new[[#This Row],[YTD DC Capcity]]</f>
        <v>0.86280076535855299</v>
      </c>
      <c r="AQ325" s="9">
        <f>AH325/(24*Modelling_new[[#This Row],[Comisined DC ]])</f>
        <v>0.22674209770114942</v>
      </c>
      <c r="AR325" s="9">
        <f>AI325/(COUNTIFS(Modelling_new[Date],"&lt;="&amp;Modelling_new[[#This Row],[Date]],Modelling_new[Month Year],Modelling_new[[#This Row],[Month Year]])*24*Modelling_new[[#This Row],[MTD DC Capcity]])</f>
        <v>0.22674209770114942</v>
      </c>
      <c r="AS325" s="28">
        <f>AJ325/(COUNTIFS(Modelling_new[Date],"&lt;="&amp;Modelling_new[[#This Row],[Date]],Modelling_new[Finacial Year],Modelling_new[[#This Row],[Finacial Year]],Modelling_new[Target E_Grid YTD
MWh],"&gt;"&amp;0)*24*Modelling_new[[#This Row],[YTD DC Capcity]])</f>
        <v>0.20509066663979428</v>
      </c>
      <c r="AT325" s="5">
        <v>12.8</v>
      </c>
      <c r="AU325" s="9">
        <f>Modelling_new[[#This Row],[Comisined DC ]]/$AO$1</f>
        <v>1</v>
      </c>
      <c r="AV325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25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25" s="27">
        <f t="shared" si="105"/>
        <v>45324</v>
      </c>
      <c r="BE325" s="5">
        <f>MONTH(Modelling[[#This Row],[Date]])</f>
        <v>2</v>
      </c>
      <c r="BF325" s="25">
        <f>YEAR(BD325)+IF(MONTH(Modelling[[#This Row],[Date]])&gt;=4,1,0)</f>
        <v>2024</v>
      </c>
      <c r="BG325" s="3">
        <f t="shared" si="101"/>
        <v>2024</v>
      </c>
      <c r="BH325" s="3" t="s">
        <v>626</v>
      </c>
      <c r="BI325" s="5" t="s">
        <v>626</v>
      </c>
      <c r="BJ325" s="102">
        <v>45323</v>
      </c>
      <c r="BK325" s="5">
        <f t="shared" si="102"/>
        <v>29</v>
      </c>
      <c r="BL325" s="5">
        <f t="shared" si="103"/>
        <v>2</v>
      </c>
      <c r="BM325" s="4">
        <f>Modelling_old[[#This Row],[Target E_Grid daily
MWh]]+Modelling_new[[#This Row],[Target E_Grid daily
MWh]]</f>
        <v>120</v>
      </c>
      <c r="BN325" s="4">
        <f>Modelling_old[[#This Row],[Target E_Grid MTD
MWh]]+Modelling_new[[#This Row],[Target E_Grid MTD
MWh]]</f>
        <v>240</v>
      </c>
      <c r="BO325" s="4">
        <f>Modelling_old[[#This Row],[Target E_Grid YTD
MWh]]+Modelling_new[[#This Row],[Target E_Grid YTD
MWh]]</f>
        <v>16429.816797300002</v>
      </c>
      <c r="BP32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25" s="4">
        <f>SUMIFS(Modelling[Target POA Daily (KWh/m2)],Modelling[Date],"&lt;="&amp;Modelling[[#This Row],[Date]],Modelling[Month Year],Modelling[[#This Row],[Month Year]])</f>
        <v>14.095177849033067</v>
      </c>
      <c r="BR325" s="4">
        <f>SUMIFS(Modelling[Target POA Daily (KWh/m2)],Modelling[Date],"&lt;="&amp;Modelling[[#This Row],[Date]],Modelling[Finacial Year],Modelling[[#This Row],[Finacial Year]])</f>
        <v>1755.325960407632</v>
      </c>
      <c r="BS325" s="9">
        <f>BM325/Modelling[[#This Row],[Comisined DC ]]/BP325</f>
        <v>0.74354147618627753</v>
      </c>
      <c r="BT325" s="9">
        <f>BN325/BQ325/Modelling[[#This Row],[Comisined DC ]]</f>
        <v>0.74354147618627742</v>
      </c>
      <c r="BU325" s="9">
        <f>BO325/BR325/Modelling[[#This Row],[Comisined DC ]]</f>
        <v>0.40873277383978329</v>
      </c>
      <c r="BV325" s="9">
        <f>BM325/(24*Modelling[[#This Row],[Comisined DC ]])</f>
        <v>0.21834061135371183</v>
      </c>
      <c r="BW325" s="9">
        <f>BN325/((COUNTIFS(Modelling[Date],"&lt;="&amp;Modelling[[#This Row],[Date]],Modelling[Month Year],Modelling[[#This Row],[Month Year]])*24*Modelling[[#This Row],[MTD DC Capcity]]))</f>
        <v>0.21834061135371183</v>
      </c>
      <c r="BX325" s="28">
        <f>BO325/((COUNTIFS(Modelling[Date],"&lt;="&amp;Modelling[[#This Row],[Date]],Modelling[Finacial Year],Modelling[[#This Row],[Finacial Year]])*24*Modelling[[#This Row],[MTD DC Capcity]]))</f>
        <v>9.7058881059306434E-2</v>
      </c>
      <c r="BY325" s="4">
        <v>22.9</v>
      </c>
      <c r="BZ325" s="4">
        <v>0</v>
      </c>
      <c r="CA325" s="4">
        <f>AVERAGEIFS(Modelling[[Comisined DC ]],Modelling[Date],"&lt;="&amp;Modelling[[#This Row],[Date]],Modelling[Month Year],Modelling[[#This Row],[Month Year]])</f>
        <v>22.9</v>
      </c>
      <c r="CB325" s="4">
        <f>AVERAGEIFS(Modelling[[Comisined DC ]],Modelling[Date],"&lt;="&amp;Modelling[[#This Row],[Date]],Modelling[Finacial Year],Modelling[[#This Row],[Finacial Year]])</f>
        <v>12.865417532467488</v>
      </c>
      <c r="CG325">
        <f t="shared" ref="CG325:CG383" si="119">CG324+1</f>
        <v>2</v>
      </c>
      <c r="CH325">
        <f t="shared" si="106"/>
        <v>308</v>
      </c>
    </row>
    <row r="326" spans="1:86" x14ac:dyDescent="0.35">
      <c r="A326" s="27">
        <v>45325</v>
      </c>
      <c r="B326" s="5">
        <f>MONTH(Modelling_old[[#This Row],[Date]])</f>
        <v>2</v>
      </c>
      <c r="C326" s="25">
        <v>2024</v>
      </c>
      <c r="D326" s="3">
        <f t="shared" si="110"/>
        <v>2024</v>
      </c>
      <c r="E326" s="3" t="s">
        <v>626</v>
      </c>
      <c r="F326" s="5" t="s">
        <v>626</v>
      </c>
      <c r="G326" s="102">
        <v>45323</v>
      </c>
      <c r="H326" s="5">
        <f t="shared" si="111"/>
        <v>29</v>
      </c>
      <c r="I326" s="5">
        <f t="shared" si="112"/>
        <v>2</v>
      </c>
      <c r="J326" s="4">
        <f t="shared" si="113"/>
        <v>50.344827586206897</v>
      </c>
      <c r="K326" s="4">
        <f>SUM($J$324:J326)</f>
        <v>151.0344827586207</v>
      </c>
      <c r="L326" s="4">
        <f>SUM($J$18:J326)</f>
        <v>14401.034482758629</v>
      </c>
      <c r="M326" s="4">
        <f t="shared" si="114"/>
        <v>6.8928571428571432</v>
      </c>
      <c r="N326" s="4">
        <f>SUM($M$324:M326)</f>
        <v>20.678571428571431</v>
      </c>
      <c r="O326" s="4">
        <f>SUM($M$18:M326)</f>
        <v>1780.3785714285677</v>
      </c>
      <c r="P326" s="9">
        <f t="shared" si="115"/>
        <v>0.63495169219029313</v>
      </c>
      <c r="Q326" s="26">
        <f t="shared" si="116"/>
        <v>0.63495169219029313</v>
      </c>
      <c r="R326" s="26">
        <f t="shared" si="117"/>
        <v>0.70317988114816576</v>
      </c>
      <c r="S326" s="9">
        <f t="shared" si="118"/>
        <v>0.18235963778679554</v>
      </c>
      <c r="T326" s="9">
        <f>K326/((COUNT($K$324:K326))*24*$Q$1)</f>
        <v>0.18235963778679551</v>
      </c>
      <c r="U326" s="28">
        <f>L326/((COUNT($L$18:L326))*24*$Q$1)</f>
        <v>0.16881423843795595</v>
      </c>
      <c r="V326" s="134">
        <v>11.5031</v>
      </c>
      <c r="Y326" s="27">
        <f t="shared" si="104"/>
        <v>45325</v>
      </c>
      <c r="Z326" s="5">
        <f>MONTH(Modelling_new[[#This Row],[Date]])</f>
        <v>2</v>
      </c>
      <c r="AA326" s="25">
        <f>YEAR(Y326)+IF(MONTH(Modelling_new[[#This Row],[Date]])&gt;=4,1,0)</f>
        <v>2024</v>
      </c>
      <c r="AB326" s="3">
        <f t="shared" si="98"/>
        <v>2024</v>
      </c>
      <c r="AC326" s="3" t="s">
        <v>626</v>
      </c>
      <c r="AD326" s="5" t="s">
        <v>626</v>
      </c>
      <c r="AE326" s="102">
        <v>45323</v>
      </c>
      <c r="AF326" s="5">
        <f t="shared" si="99"/>
        <v>29</v>
      </c>
      <c r="AG326" s="5">
        <f t="shared" si="100"/>
        <v>2</v>
      </c>
      <c r="AH326" s="4">
        <f>(VLOOKUP(AG326,$AA$2:$AK$13,10,0)/AF326)*Modelling_new[[#This Row],[Factor]]</f>
        <v>69.65517241379311</v>
      </c>
      <c r="AI326" s="4">
        <f>SUMIFS(Modelling_new[Target E_Grid daily
MWh],Modelling_new[Month Year],Modelling_new[[#This Row],[Month Year]],Modelling_new[Date],"&lt;="&amp;Modelling_new[[#This Row],[Date]])</f>
        <v>208.96551724137933</v>
      </c>
      <c r="AJ326" s="4">
        <f>SUMIFS(Modelling_new[Target E_Grid daily
MWh],Modelling_new[Finacial Year],Modelling_new[[#This Row],[Finacial Year]],Modelling_new[Date],"&lt;="&amp;Modelling_new[[#This Row],[Date]])</f>
        <v>2148.7823145413722</v>
      </c>
      <c r="AK326" s="4">
        <f t="shared" si="108"/>
        <v>6.4141063571428605</v>
      </c>
      <c r="AL326" s="4">
        <f>SUMIFS(Modelling_new[Target POA Daily (KWh/m2)],Modelling_new[Month Year],Modelling_new[[#This Row],[Month Year]],Modelling_new[Date],"&lt;="&amp;Modelling_new[[#This Row],[Date]])</f>
        <v>19.242319071428582</v>
      </c>
      <c r="AM326" s="4">
        <f>SUMIFS(Modelling_new[Target POA Daily (KWh/m2)],Modelling_new[Finacial Year],Modelling_new[[#This Row],[Finacial Year]],Modelling_new[Date],"&lt;="&amp;Modelling_new[[#This Row],[Date]])</f>
        <v>194.67519107142851</v>
      </c>
      <c r="AN326" s="9">
        <f>AH326/Modelling_new[[#This Row],[Comisined DC ]]/AK326</f>
        <v>0.84841286405665717</v>
      </c>
      <c r="AO326" s="9">
        <f>AI326/AL326/Modelling_new[[#This Row],[MTD DC Capcity]]</f>
        <v>0.84841286405665706</v>
      </c>
      <c r="AP326" s="9">
        <f>AJ326/AM326/Modelling_new[[#This Row],[YTD DC Capcity]]</f>
        <v>0.86232671661768101</v>
      </c>
      <c r="AQ326" s="9">
        <f>AH326/(24*Modelling_new[[#This Row],[Comisined DC ]])</f>
        <v>0.22674209770114942</v>
      </c>
      <c r="AR326" s="9">
        <f>AI326/(COUNTIFS(Modelling_new[Date],"&lt;="&amp;Modelling_new[[#This Row],[Date]],Modelling_new[Month Year],Modelling_new[[#This Row],[Month Year]])*24*Modelling_new[[#This Row],[MTD DC Capcity]])</f>
        <v>0.22674209770114942</v>
      </c>
      <c r="AS326" s="28">
        <f>AJ326/(COUNTIFS(Modelling_new[Date],"&lt;="&amp;Modelling_new[[#This Row],[Date]],Modelling_new[Finacial Year],Modelling_new[[#This Row],[Finacial Year]],Modelling_new[Target E_Grid YTD
MWh],"&gt;"&amp;0)*24*Modelling_new[[#This Row],[YTD DC Capcity]])</f>
        <v>0.20572747343571646</v>
      </c>
      <c r="AT326" s="5">
        <v>12.8</v>
      </c>
      <c r="AU326" s="9">
        <f>Modelling_new[[#This Row],[Comisined DC ]]/$AO$1</f>
        <v>1</v>
      </c>
      <c r="AV326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26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26" s="27">
        <f t="shared" si="105"/>
        <v>45325</v>
      </c>
      <c r="BE326" s="5">
        <f>MONTH(Modelling[[#This Row],[Date]])</f>
        <v>2</v>
      </c>
      <c r="BF326" s="25">
        <f>YEAR(BD326)+IF(MONTH(Modelling[[#This Row],[Date]])&gt;=4,1,0)</f>
        <v>2024</v>
      </c>
      <c r="BG326" s="3">
        <f t="shared" si="101"/>
        <v>2024</v>
      </c>
      <c r="BH326" s="3" t="s">
        <v>626</v>
      </c>
      <c r="BI326" s="5" t="s">
        <v>626</v>
      </c>
      <c r="BJ326" s="102">
        <v>45323</v>
      </c>
      <c r="BK326" s="5">
        <f t="shared" si="102"/>
        <v>29</v>
      </c>
      <c r="BL326" s="5">
        <f t="shared" si="103"/>
        <v>2</v>
      </c>
      <c r="BM326" s="4">
        <f>Modelling_old[[#This Row],[Target E_Grid daily
MWh]]+Modelling_new[[#This Row],[Target E_Grid daily
MWh]]</f>
        <v>120</v>
      </c>
      <c r="BN326" s="4">
        <f>Modelling_old[[#This Row],[Target E_Grid MTD
MWh]]+Modelling_new[[#This Row],[Target E_Grid MTD
MWh]]</f>
        <v>360</v>
      </c>
      <c r="BO326" s="4">
        <f>Modelling_old[[#This Row],[Target E_Grid YTD
MWh]]+Modelling_new[[#This Row],[Target E_Grid YTD
MWh]]</f>
        <v>16549.816797300002</v>
      </c>
      <c r="BP32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26" s="4">
        <f>SUMIFS(Modelling[Target POA Daily (KWh/m2)],Modelling[Date],"&lt;="&amp;Modelling[[#This Row],[Date]],Modelling[Month Year],Modelling[[#This Row],[Month Year]])</f>
        <v>21.142766773549603</v>
      </c>
      <c r="BR326" s="4">
        <f>SUMIFS(Modelling[Target POA Daily (KWh/m2)],Modelling[Date],"&lt;="&amp;Modelling[[#This Row],[Date]],Modelling[Finacial Year],Modelling[[#This Row],[Finacial Year]])</f>
        <v>1762.3735493321485</v>
      </c>
      <c r="BS326" s="9">
        <f>BM326/Modelling[[#This Row],[Comisined DC ]]/BP326</f>
        <v>0.74354147618627753</v>
      </c>
      <c r="BT326" s="9">
        <f>BN326/BQ326/Modelling[[#This Row],[Comisined DC ]]</f>
        <v>0.74354147618627742</v>
      </c>
      <c r="BU326" s="9">
        <f>BO326/BR326/Modelling[[#This Row],[Comisined DC ]]</f>
        <v>0.41007164669303464</v>
      </c>
      <c r="BV326" s="9">
        <f>BM326/(24*Modelling[[#This Row],[Comisined DC ]])</f>
        <v>0.21834061135371183</v>
      </c>
      <c r="BW326" s="9">
        <f>BN326/((COUNTIFS(Modelling[Date],"&lt;="&amp;Modelling[[#This Row],[Date]],Modelling[Month Year],Modelling[[#This Row],[Month Year]])*24*Modelling[[#This Row],[MTD DC Capcity]]))</f>
        <v>0.21834061135371183</v>
      </c>
      <c r="BX326" s="28">
        <f>BO326/((COUNTIFS(Modelling[Date],"&lt;="&amp;Modelling[[#This Row],[Date]],Modelling[Finacial Year],Modelling[[#This Row],[Finacial Year]])*24*Modelling[[#This Row],[MTD DC Capcity]]))</f>
        <v>9.7451378568349831E-2</v>
      </c>
      <c r="BY326" s="4">
        <v>22.9</v>
      </c>
      <c r="BZ326" s="4">
        <v>0</v>
      </c>
      <c r="CA326" s="4">
        <f>AVERAGEIFS(Modelling[[Comisined DC ]],Modelling[Date],"&lt;="&amp;Modelling[[#This Row],[Date]],Modelling[Month Year],Modelling[[#This Row],[Month Year]])</f>
        <v>22.899999999999995</v>
      </c>
      <c r="CB326" s="4">
        <f>AVERAGEIFS(Modelling[[Comisined DC ]],Modelling[Date],"&lt;="&amp;Modelling[[#This Row],[Date]],Modelling[Finacial Year],Modelling[[#This Row],[Finacial Year]])</f>
        <v>12.897891909385068</v>
      </c>
      <c r="CG326">
        <f t="shared" si="119"/>
        <v>3</v>
      </c>
      <c r="CH326">
        <f t="shared" si="106"/>
        <v>309</v>
      </c>
    </row>
    <row r="327" spans="1:86" x14ac:dyDescent="0.35">
      <c r="A327" s="27">
        <v>45326</v>
      </c>
      <c r="B327" s="5">
        <f>MONTH(Modelling_old[[#This Row],[Date]])</f>
        <v>2</v>
      </c>
      <c r="C327" s="25">
        <v>2024</v>
      </c>
      <c r="D327" s="3">
        <f t="shared" si="110"/>
        <v>2024</v>
      </c>
      <c r="E327" s="3" t="s">
        <v>626</v>
      </c>
      <c r="F327" s="5" t="s">
        <v>626</v>
      </c>
      <c r="G327" s="102">
        <v>45323</v>
      </c>
      <c r="H327" s="5">
        <f t="shared" si="111"/>
        <v>29</v>
      </c>
      <c r="I327" s="5">
        <f t="shared" si="112"/>
        <v>2</v>
      </c>
      <c r="J327" s="4">
        <f t="shared" si="113"/>
        <v>50.344827586206897</v>
      </c>
      <c r="K327" s="4">
        <f>SUM($J$324:J327)</f>
        <v>201.37931034482759</v>
      </c>
      <c r="L327" s="4">
        <f>SUM($J$18:J327)</f>
        <v>14451.379310344835</v>
      </c>
      <c r="M327" s="4">
        <f t="shared" si="114"/>
        <v>6.8928571428571432</v>
      </c>
      <c r="N327" s="4">
        <f>SUM($M$324:M327)</f>
        <v>27.571428571428573</v>
      </c>
      <c r="O327" s="4">
        <f>SUM($M$18:M327)</f>
        <v>1787.2714285714248</v>
      </c>
      <c r="P327" s="9">
        <f t="shared" si="115"/>
        <v>0.63495169219029313</v>
      </c>
      <c r="Q327" s="26">
        <f t="shared" si="116"/>
        <v>0.63495169219029313</v>
      </c>
      <c r="R327" s="26">
        <f t="shared" si="117"/>
        <v>0.70291674978933327</v>
      </c>
      <c r="S327" s="9">
        <f t="shared" si="118"/>
        <v>0.18235963778679554</v>
      </c>
      <c r="T327" s="9">
        <f>K327/((COUNT($K$324:K327))*24*$Q$1)</f>
        <v>0.18235963778679554</v>
      </c>
      <c r="U327" s="28">
        <f>L327/((COUNT($L$18:L327))*24*$Q$1)</f>
        <v>0.16885793327456511</v>
      </c>
      <c r="V327" s="134">
        <v>11.5031</v>
      </c>
      <c r="Y327" s="27">
        <f t="shared" si="104"/>
        <v>45326</v>
      </c>
      <c r="Z327" s="5">
        <f>MONTH(Modelling_new[[#This Row],[Date]])</f>
        <v>2</v>
      </c>
      <c r="AA327" s="25">
        <f>YEAR(Y327)+IF(MONTH(Modelling_new[[#This Row],[Date]])&gt;=4,1,0)</f>
        <v>2024</v>
      </c>
      <c r="AB327" s="3">
        <f t="shared" si="98"/>
        <v>2024</v>
      </c>
      <c r="AC327" s="3" t="s">
        <v>626</v>
      </c>
      <c r="AD327" s="5" t="s">
        <v>626</v>
      </c>
      <c r="AE327" s="102">
        <v>45323</v>
      </c>
      <c r="AF327" s="5">
        <f t="shared" si="99"/>
        <v>29</v>
      </c>
      <c r="AG327" s="5">
        <f t="shared" si="100"/>
        <v>2</v>
      </c>
      <c r="AH327" s="4">
        <f>(VLOOKUP(AG327,$AA$2:$AK$13,10,0)/AF327)*Modelling_new[[#This Row],[Factor]]</f>
        <v>69.65517241379311</v>
      </c>
      <c r="AI327" s="4">
        <f>SUMIFS(Modelling_new[Target E_Grid daily
MWh],Modelling_new[Month Year],Modelling_new[[#This Row],[Month Year]],Modelling_new[Date],"&lt;="&amp;Modelling_new[[#This Row],[Date]])</f>
        <v>278.62068965517244</v>
      </c>
      <c r="AJ327" s="4">
        <f>SUMIFS(Modelling_new[Target E_Grid daily
MWh],Modelling_new[Finacial Year],Modelling_new[[#This Row],[Finacial Year]],Modelling_new[Date],"&lt;="&amp;Modelling_new[[#This Row],[Date]])</f>
        <v>2218.4374869551652</v>
      </c>
      <c r="AK327" s="4">
        <f t="shared" si="108"/>
        <v>6.4141063571428605</v>
      </c>
      <c r="AL327" s="4">
        <f>SUMIFS(Modelling_new[Target POA Daily (KWh/m2)],Modelling_new[Month Year],Modelling_new[[#This Row],[Month Year]],Modelling_new[Date],"&lt;="&amp;Modelling_new[[#This Row],[Date]])</f>
        <v>25.656425428571442</v>
      </c>
      <c r="AM327" s="4">
        <f>SUMIFS(Modelling_new[Target POA Daily (KWh/m2)],Modelling_new[Finacial Year],Modelling_new[[#This Row],[Finacial Year]],Modelling_new[Date],"&lt;="&amp;Modelling_new[[#This Row],[Date]])</f>
        <v>201.08929742857137</v>
      </c>
      <c r="AN327" s="9">
        <f>AH327/Modelling_new[[#This Row],[Comisined DC ]]/AK327</f>
        <v>0.84841286405665717</v>
      </c>
      <c r="AO327" s="9">
        <f>AI327/AL327/Modelling_new[[#This Row],[MTD DC Capcity]]</f>
        <v>0.84841286405665717</v>
      </c>
      <c r="AP327" s="9">
        <f>AJ327/AM327/Modelling_new[[#This Row],[YTD DC Capcity]]</f>
        <v>0.86188290915848131</v>
      </c>
      <c r="AQ327" s="9">
        <f>AH327/(24*Modelling_new[[#This Row],[Comisined DC ]])</f>
        <v>0.22674209770114942</v>
      </c>
      <c r="AR327" s="9">
        <f>AI327/(COUNTIFS(Modelling_new[Date],"&lt;="&amp;Modelling_new[[#This Row],[Date]],Modelling_new[Month Year],Modelling_new[[#This Row],[Month Year]])*24*Modelling_new[[#This Row],[MTD DC Capcity]])</f>
        <v>0.22674209770114942</v>
      </c>
      <c r="AS327" s="28">
        <f>AJ327/(COUNTIFS(Modelling_new[Date],"&lt;="&amp;Modelling_new[[#This Row],[Date]],Modelling_new[Finacial Year],Modelling_new[[#This Row],[Finacial Year]],Modelling_new[Target E_Grid YTD
MWh],"&gt;"&amp;0)*24*Modelling_new[[#This Row],[YTD DC Capcity]])</f>
        <v>0.20632789127187165</v>
      </c>
      <c r="AT327" s="5">
        <v>12.8</v>
      </c>
      <c r="AU327" s="9">
        <f>Modelling_new[[#This Row],[Comisined DC ]]/$AO$1</f>
        <v>1</v>
      </c>
      <c r="AV32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27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27" s="27">
        <f t="shared" si="105"/>
        <v>45326</v>
      </c>
      <c r="BE327" s="5">
        <f>MONTH(Modelling[[#This Row],[Date]])</f>
        <v>2</v>
      </c>
      <c r="BF327" s="25">
        <f>YEAR(BD327)+IF(MONTH(Modelling[[#This Row],[Date]])&gt;=4,1,0)</f>
        <v>2024</v>
      </c>
      <c r="BG327" s="3">
        <f t="shared" si="101"/>
        <v>2024</v>
      </c>
      <c r="BH327" s="3" t="s">
        <v>626</v>
      </c>
      <c r="BI327" s="5" t="s">
        <v>626</v>
      </c>
      <c r="BJ327" s="102">
        <v>45323</v>
      </c>
      <c r="BK327" s="5">
        <f t="shared" si="102"/>
        <v>29</v>
      </c>
      <c r="BL327" s="5">
        <f t="shared" si="103"/>
        <v>2</v>
      </c>
      <c r="BM327" s="4">
        <f>Modelling_old[[#This Row],[Target E_Grid daily
MWh]]+Modelling_new[[#This Row],[Target E_Grid daily
MWh]]</f>
        <v>120</v>
      </c>
      <c r="BN327" s="4">
        <f>Modelling_old[[#This Row],[Target E_Grid MTD
MWh]]+Modelling_new[[#This Row],[Target E_Grid MTD
MWh]]</f>
        <v>480</v>
      </c>
      <c r="BO327" s="4">
        <f>Modelling_old[[#This Row],[Target E_Grid YTD
MWh]]+Modelling_new[[#This Row],[Target E_Grid YTD
MWh]]</f>
        <v>16669.816797300002</v>
      </c>
      <c r="BP32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27" s="4">
        <f>SUMIFS(Modelling[Target POA Daily (KWh/m2)],Modelling[Date],"&lt;="&amp;Modelling[[#This Row],[Date]],Modelling[Month Year],Modelling[[#This Row],[Month Year]])</f>
        <v>28.190355698066135</v>
      </c>
      <c r="BR327" s="4">
        <f>SUMIFS(Modelling[Target POA Daily (KWh/m2)],Modelling[Date],"&lt;="&amp;Modelling[[#This Row],[Date]],Modelling[Finacial Year],Modelling[[#This Row],[Finacial Year]])</f>
        <v>1769.421138256665</v>
      </c>
      <c r="BS327" s="9">
        <f>BM327/Modelling[[#This Row],[Comisined DC ]]/BP327</f>
        <v>0.74354147618627753</v>
      </c>
      <c r="BT327" s="9">
        <f>BN327/BQ327/Modelling[[#This Row],[Comisined DC ]]</f>
        <v>0.74354147618627742</v>
      </c>
      <c r="BU327" s="9">
        <f>BO327/BR327/Modelling[[#This Row],[Comisined DC ]]</f>
        <v>0.41139985410854712</v>
      </c>
      <c r="BV327" s="9">
        <f>BM327/(24*Modelling[[#This Row],[Comisined DC ]])</f>
        <v>0.21834061135371183</v>
      </c>
      <c r="BW327" s="9">
        <f>BN327/((COUNTIFS(Modelling[Date],"&lt;="&amp;Modelling[[#This Row],[Date]],Modelling[Month Year],Modelling[[#This Row],[Month Year]])*24*Modelling[[#This Row],[MTD DC Capcity]]))</f>
        <v>0.21834061135371183</v>
      </c>
      <c r="BX327" s="28">
        <f>BO327/((COUNTIFS(Modelling[Date],"&lt;="&amp;Modelling[[#This Row],[Date]],Modelling[Finacial Year],Modelling[[#This Row],[Finacial Year]])*24*Modelling[[#This Row],[MTD DC Capcity]]))</f>
        <v>9.7841343835399358E-2</v>
      </c>
      <c r="BY327" s="4">
        <v>22.9</v>
      </c>
      <c r="BZ327" s="4">
        <v>0</v>
      </c>
      <c r="CA327" s="4">
        <f>AVERAGEIFS(Modelling[[Comisined DC ]],Modelling[Date],"&lt;="&amp;Modelling[[#This Row],[Date]],Modelling[Month Year],Modelling[[#This Row],[Month Year]])</f>
        <v>22.9</v>
      </c>
      <c r="CB327" s="4">
        <f>AVERAGEIFS(Modelling[[Comisined DC ]],Modelling[Date],"&lt;="&amp;Modelling[[#This Row],[Date]],Modelling[Finacial Year],Modelling[[#This Row],[Finacial Year]])</f>
        <v>12.930156774193504</v>
      </c>
      <c r="CG327">
        <f t="shared" si="119"/>
        <v>4</v>
      </c>
      <c r="CH327">
        <f t="shared" si="106"/>
        <v>310</v>
      </c>
    </row>
    <row r="328" spans="1:86" x14ac:dyDescent="0.35">
      <c r="A328" s="27">
        <v>45327</v>
      </c>
      <c r="B328" s="5">
        <f>MONTH(Modelling_old[[#This Row],[Date]])</f>
        <v>2</v>
      </c>
      <c r="C328" s="25">
        <v>2024</v>
      </c>
      <c r="D328" s="3">
        <f t="shared" si="110"/>
        <v>2024</v>
      </c>
      <c r="E328" s="3" t="s">
        <v>626</v>
      </c>
      <c r="F328" s="5" t="s">
        <v>626</v>
      </c>
      <c r="G328" s="102">
        <v>45323</v>
      </c>
      <c r="H328" s="5">
        <f t="shared" si="111"/>
        <v>29</v>
      </c>
      <c r="I328" s="5">
        <f t="shared" si="112"/>
        <v>2</v>
      </c>
      <c r="J328" s="4">
        <f t="shared" si="113"/>
        <v>50.344827586206897</v>
      </c>
      <c r="K328" s="4">
        <f>SUM($J$324:J328)</f>
        <v>251.72413793103448</v>
      </c>
      <c r="L328" s="4">
        <f>SUM($J$18:J328)</f>
        <v>14501.724137931042</v>
      </c>
      <c r="M328" s="4">
        <f t="shared" si="114"/>
        <v>6.8928571428571432</v>
      </c>
      <c r="N328" s="4">
        <f>SUM($M$324:M328)</f>
        <v>34.464285714285715</v>
      </c>
      <c r="O328" s="4">
        <f>SUM($M$18:M328)</f>
        <v>1794.164285714282</v>
      </c>
      <c r="P328" s="9">
        <f t="shared" si="115"/>
        <v>0.63495169219029313</v>
      </c>
      <c r="Q328" s="26">
        <f t="shared" si="116"/>
        <v>0.63495169219029313</v>
      </c>
      <c r="R328" s="26">
        <f t="shared" si="117"/>
        <v>0.70265564023740068</v>
      </c>
      <c r="S328" s="9">
        <f t="shared" si="118"/>
        <v>0.18235963778679554</v>
      </c>
      <c r="T328" s="9">
        <f>K328/((COUNT($K$324:K328))*24*$Q$1)</f>
        <v>0.18235963778679548</v>
      </c>
      <c r="U328" s="28">
        <f>L328/((COUNT($L$18:L328))*24*$Q$1)</f>
        <v>0.16890134711544044</v>
      </c>
      <c r="V328" s="134">
        <v>11.5031</v>
      </c>
      <c r="Y328" s="27">
        <f t="shared" si="104"/>
        <v>45327</v>
      </c>
      <c r="Z328" s="5">
        <f>MONTH(Modelling_new[[#This Row],[Date]])</f>
        <v>2</v>
      </c>
      <c r="AA328" s="25">
        <f>YEAR(Y328)+IF(MONTH(Modelling_new[[#This Row],[Date]])&gt;=4,1,0)</f>
        <v>2024</v>
      </c>
      <c r="AB328" s="3">
        <f t="shared" si="98"/>
        <v>2024</v>
      </c>
      <c r="AC328" s="3" t="s">
        <v>626</v>
      </c>
      <c r="AD328" s="5" t="s">
        <v>626</v>
      </c>
      <c r="AE328" s="102">
        <v>45323</v>
      </c>
      <c r="AF328" s="5">
        <f t="shared" si="99"/>
        <v>29</v>
      </c>
      <c r="AG328" s="5">
        <f t="shared" si="100"/>
        <v>2</v>
      </c>
      <c r="AH328" s="4">
        <f>(VLOOKUP(AG328,$AA$2:$AK$13,10,0)/AF328)*Modelling_new[[#This Row],[Factor]]</f>
        <v>69.65517241379311</v>
      </c>
      <c r="AI328" s="4">
        <f>SUMIFS(Modelling_new[Target E_Grid daily
MWh],Modelling_new[Month Year],Modelling_new[[#This Row],[Month Year]],Modelling_new[Date],"&lt;="&amp;Modelling_new[[#This Row],[Date]])</f>
        <v>348.27586206896558</v>
      </c>
      <c r="AJ328" s="4">
        <f>SUMIFS(Modelling_new[Target E_Grid daily
MWh],Modelling_new[Finacial Year],Modelling_new[[#This Row],[Finacial Year]],Modelling_new[Date],"&lt;="&amp;Modelling_new[[#This Row],[Date]])</f>
        <v>2288.0926593689583</v>
      </c>
      <c r="AK328" s="4">
        <f t="shared" si="108"/>
        <v>6.4141063571428605</v>
      </c>
      <c r="AL328" s="4">
        <f>SUMIFS(Modelling_new[Target POA Daily (KWh/m2)],Modelling_new[Month Year],Modelling_new[[#This Row],[Month Year]],Modelling_new[Date],"&lt;="&amp;Modelling_new[[#This Row],[Date]])</f>
        <v>32.070531785714302</v>
      </c>
      <c r="AM328" s="4">
        <f>SUMIFS(Modelling_new[Target POA Daily (KWh/m2)],Modelling_new[Finacial Year],Modelling_new[[#This Row],[Finacial Year]],Modelling_new[Date],"&lt;="&amp;Modelling_new[[#This Row],[Date]])</f>
        <v>207.50340378571423</v>
      </c>
      <c r="AN328" s="9">
        <f>AH328/Modelling_new[[#This Row],[Comisined DC ]]/AK328</f>
        <v>0.84841286405665717</v>
      </c>
      <c r="AO328" s="9">
        <f>AI328/AL328/Modelling_new[[#This Row],[MTD DC Capcity]]</f>
        <v>0.84841286405665739</v>
      </c>
      <c r="AP328" s="9">
        <f>AJ328/AM328/Modelling_new[[#This Row],[YTD DC Capcity]]</f>
        <v>0.86146653862989064</v>
      </c>
      <c r="AQ328" s="9">
        <f>AH328/(24*Modelling_new[[#This Row],[Comisined DC ]])</f>
        <v>0.22674209770114942</v>
      </c>
      <c r="AR328" s="9">
        <f>AI328/(COUNTIFS(Modelling_new[Date],"&lt;="&amp;Modelling_new[[#This Row],[Date]],Modelling_new[Month Year],Modelling_new[[#This Row],[Month Year]])*24*Modelling_new[[#This Row],[MTD DC Capcity]])</f>
        <v>0.22674209770114948</v>
      </c>
      <c r="AS328" s="28">
        <f>AJ328/(COUNTIFS(Modelling_new[Date],"&lt;="&amp;Modelling_new[[#This Row],[Date]],Modelling_new[Finacial Year],Modelling_new[[#This Row],[Finacial Year]],Modelling_new[Target E_Grid YTD
MWh],"&gt;"&amp;0)*24*Modelling_new[[#This Row],[YTD DC Capcity]])</f>
        <v>0.20689495256157384</v>
      </c>
      <c r="AT328" s="5">
        <v>12.8</v>
      </c>
      <c r="AU328" s="9">
        <f>Modelling_new[[#This Row],[Comisined DC ]]/$AO$1</f>
        <v>1</v>
      </c>
      <c r="AV32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28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28" s="27">
        <f t="shared" si="105"/>
        <v>45327</v>
      </c>
      <c r="BE328" s="5">
        <f>MONTH(Modelling[[#This Row],[Date]])</f>
        <v>2</v>
      </c>
      <c r="BF328" s="25">
        <f>YEAR(BD328)+IF(MONTH(Modelling[[#This Row],[Date]])&gt;=4,1,0)</f>
        <v>2024</v>
      </c>
      <c r="BG328" s="3">
        <f t="shared" si="101"/>
        <v>2024</v>
      </c>
      <c r="BH328" s="3" t="s">
        <v>626</v>
      </c>
      <c r="BI328" s="5" t="s">
        <v>626</v>
      </c>
      <c r="BJ328" s="102">
        <v>45323</v>
      </c>
      <c r="BK328" s="5">
        <f t="shared" si="102"/>
        <v>29</v>
      </c>
      <c r="BL328" s="5">
        <f t="shared" si="103"/>
        <v>2</v>
      </c>
      <c r="BM328" s="4">
        <f>Modelling_old[[#This Row],[Target E_Grid daily
MWh]]+Modelling_new[[#This Row],[Target E_Grid daily
MWh]]</f>
        <v>120</v>
      </c>
      <c r="BN328" s="4">
        <f>Modelling_old[[#This Row],[Target E_Grid MTD
MWh]]+Modelling_new[[#This Row],[Target E_Grid MTD
MWh]]</f>
        <v>600</v>
      </c>
      <c r="BO328" s="4">
        <f>Modelling_old[[#This Row],[Target E_Grid YTD
MWh]]+Modelling_new[[#This Row],[Target E_Grid YTD
MWh]]</f>
        <v>16789.816797300002</v>
      </c>
      <c r="BP32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28" s="4">
        <f>SUMIFS(Modelling[Target POA Daily (KWh/m2)],Modelling[Date],"&lt;="&amp;Modelling[[#This Row],[Date]],Modelling[Month Year],Modelling[[#This Row],[Month Year]])</f>
        <v>35.237944622582667</v>
      </c>
      <c r="BR328" s="4">
        <f>SUMIFS(Modelling[Target POA Daily (KWh/m2)],Modelling[Date],"&lt;="&amp;Modelling[[#This Row],[Date]],Modelling[Finacial Year],Modelling[[#This Row],[Finacial Year]])</f>
        <v>1776.4687271811815</v>
      </c>
      <c r="BS328" s="9">
        <f>BM328/Modelling[[#This Row],[Comisined DC ]]/BP328</f>
        <v>0.74354147618627753</v>
      </c>
      <c r="BT328" s="9">
        <f>BN328/BQ328/Modelling[[#This Row],[Comisined DC ]]</f>
        <v>0.74354147618627764</v>
      </c>
      <c r="BU328" s="9">
        <f>BO328/BR328/Modelling[[#This Row],[Comisined DC ]]</f>
        <v>0.41271752302177372</v>
      </c>
      <c r="BV328" s="9">
        <f>BM328/(24*Modelling[[#This Row],[Comisined DC ]])</f>
        <v>0.21834061135371183</v>
      </c>
      <c r="BW328" s="9">
        <f>BN328/((COUNTIFS(Modelling[Date],"&lt;="&amp;Modelling[[#This Row],[Date]],Modelling[Month Year],Modelling[[#This Row],[Month Year]])*24*Modelling[[#This Row],[MTD DC Capcity]]))</f>
        <v>0.2183406113537118</v>
      </c>
      <c r="BX328" s="28">
        <f>BO328/((COUNTIFS(Modelling[Date],"&lt;="&amp;Modelling[[#This Row],[Date]],Modelling[Finacial Year],Modelling[[#This Row],[Finacial Year]])*24*Modelling[[#This Row],[MTD DC Capcity]]))</f>
        <v>9.8228801287226747E-2</v>
      </c>
      <c r="BY328" s="4">
        <v>22.9</v>
      </c>
      <c r="BZ328" s="4">
        <v>0</v>
      </c>
      <c r="CA328" s="4">
        <f>AVERAGEIFS(Modelling[[Comisined DC ]],Modelling[Date],"&lt;="&amp;Modelling[[#This Row],[Date]],Modelling[Month Year],Modelling[[#This Row],[Month Year]])</f>
        <v>22.9</v>
      </c>
      <c r="CB328" s="4">
        <f>AVERAGEIFS(Modelling[[Comisined DC ]],Modelling[Date],"&lt;="&amp;Modelling[[#This Row],[Date]],Modelling[Finacial Year],Modelling[[#This Row],[Finacial Year]])</f>
        <v>12.962214147909924</v>
      </c>
      <c r="CG328">
        <f t="shared" si="119"/>
        <v>5</v>
      </c>
      <c r="CH328">
        <f t="shared" si="106"/>
        <v>311</v>
      </c>
    </row>
    <row r="329" spans="1:86" x14ac:dyDescent="0.35">
      <c r="A329" s="27">
        <v>45328</v>
      </c>
      <c r="B329" s="5">
        <f>MONTH(Modelling_old[[#This Row],[Date]])</f>
        <v>2</v>
      </c>
      <c r="C329" s="25">
        <v>2024</v>
      </c>
      <c r="D329" s="3">
        <f t="shared" si="110"/>
        <v>2024</v>
      </c>
      <c r="E329" s="3" t="s">
        <v>626</v>
      </c>
      <c r="F329" s="5" t="s">
        <v>626</v>
      </c>
      <c r="G329" s="102">
        <v>45323</v>
      </c>
      <c r="H329" s="5">
        <f t="shared" si="111"/>
        <v>29</v>
      </c>
      <c r="I329" s="5">
        <f t="shared" si="112"/>
        <v>2</v>
      </c>
      <c r="J329" s="4">
        <f t="shared" si="113"/>
        <v>50.344827586206897</v>
      </c>
      <c r="K329" s="4">
        <f>SUM($J$324:J329)</f>
        <v>302.06896551724139</v>
      </c>
      <c r="L329" s="4">
        <f>SUM($J$18:J329)</f>
        <v>14552.068965517248</v>
      </c>
      <c r="M329" s="4">
        <f t="shared" si="114"/>
        <v>6.8928571428571432</v>
      </c>
      <c r="N329" s="4">
        <f>SUM($M$324:M329)</f>
        <v>41.357142857142861</v>
      </c>
      <c r="O329" s="4">
        <f>SUM($M$18:M329)</f>
        <v>1801.0571428571391</v>
      </c>
      <c r="P329" s="9">
        <f t="shared" si="115"/>
        <v>0.63495169219029313</v>
      </c>
      <c r="Q329" s="26">
        <f t="shared" si="116"/>
        <v>0.63495169219029313</v>
      </c>
      <c r="R329" s="26">
        <f t="shared" si="117"/>
        <v>0.70239652927929097</v>
      </c>
      <c r="S329" s="9">
        <f t="shared" si="118"/>
        <v>0.18235963778679554</v>
      </c>
      <c r="T329" s="9">
        <f>K329/((COUNT($K$324:K329))*24*$Q$1)</f>
        <v>0.18235963778679551</v>
      </c>
      <c r="U329" s="28">
        <f>L329/((COUNT($L$18:L329))*24*$Q$1)</f>
        <v>0.16894448266246404</v>
      </c>
      <c r="V329" s="134">
        <v>11.5031</v>
      </c>
      <c r="Y329" s="27">
        <f t="shared" si="104"/>
        <v>45328</v>
      </c>
      <c r="Z329" s="5">
        <f>MONTH(Modelling_new[[#This Row],[Date]])</f>
        <v>2</v>
      </c>
      <c r="AA329" s="25">
        <f>YEAR(Y329)+IF(MONTH(Modelling_new[[#This Row],[Date]])&gt;=4,1,0)</f>
        <v>2024</v>
      </c>
      <c r="AB329" s="3">
        <f t="shared" si="98"/>
        <v>2024</v>
      </c>
      <c r="AC329" s="3" t="s">
        <v>626</v>
      </c>
      <c r="AD329" s="5" t="s">
        <v>626</v>
      </c>
      <c r="AE329" s="102">
        <v>45323</v>
      </c>
      <c r="AF329" s="5">
        <f t="shared" si="99"/>
        <v>29</v>
      </c>
      <c r="AG329" s="5">
        <f t="shared" si="100"/>
        <v>2</v>
      </c>
      <c r="AH329" s="4">
        <f>(VLOOKUP(AG329,$AA$2:$AK$13,10,0)/AF329)*Modelling_new[[#This Row],[Factor]]</f>
        <v>69.65517241379311</v>
      </c>
      <c r="AI329" s="4">
        <f>SUMIFS(Modelling_new[Target E_Grid daily
MWh],Modelling_new[Month Year],Modelling_new[[#This Row],[Month Year]],Modelling_new[Date],"&lt;="&amp;Modelling_new[[#This Row],[Date]])</f>
        <v>417.93103448275872</v>
      </c>
      <c r="AJ329" s="4">
        <f>SUMIFS(Modelling_new[Target E_Grid daily
MWh],Modelling_new[Finacial Year],Modelling_new[[#This Row],[Finacial Year]],Modelling_new[Date],"&lt;="&amp;Modelling_new[[#This Row],[Date]])</f>
        <v>2357.7478317827513</v>
      </c>
      <c r="AK329" s="4">
        <f t="shared" si="108"/>
        <v>6.4141063571428605</v>
      </c>
      <c r="AL329" s="4">
        <f>SUMIFS(Modelling_new[Target POA Daily (KWh/m2)],Modelling_new[Month Year],Modelling_new[[#This Row],[Month Year]],Modelling_new[Date],"&lt;="&amp;Modelling_new[[#This Row],[Date]])</f>
        <v>38.484638142857165</v>
      </c>
      <c r="AM329" s="4">
        <f>SUMIFS(Modelling_new[Target POA Daily (KWh/m2)],Modelling_new[Finacial Year],Modelling_new[[#This Row],[Finacial Year]],Modelling_new[Date],"&lt;="&amp;Modelling_new[[#This Row],[Date]])</f>
        <v>213.91751014285708</v>
      </c>
      <c r="AN329" s="9">
        <f>AH329/Modelling_new[[#This Row],[Comisined DC ]]/AK329</f>
        <v>0.84841286405665717</v>
      </c>
      <c r="AO329" s="9">
        <f>AI329/AL329/Modelling_new[[#This Row],[MTD DC Capcity]]</f>
        <v>0.8484128640566575</v>
      </c>
      <c r="AP329" s="9">
        <f>AJ329/AM329/Modelling_new[[#This Row],[YTD DC Capcity]]</f>
        <v>0.86107513702369054</v>
      </c>
      <c r="AQ329" s="9">
        <f>AH329/(24*Modelling_new[[#This Row],[Comisined DC ]])</f>
        <v>0.22674209770114942</v>
      </c>
      <c r="AR329" s="9">
        <f>AI329/(COUNTIFS(Modelling_new[Date],"&lt;="&amp;Modelling_new[[#This Row],[Date]],Modelling_new[Month Year],Modelling_new[[#This Row],[Month Year]])*24*Modelling_new[[#This Row],[MTD DC Capcity]])</f>
        <v>0.2267420977011495</v>
      </c>
      <c r="AS329" s="28">
        <f>AJ329/(COUNTIFS(Modelling_new[Date],"&lt;="&amp;Modelling_new[[#This Row],[Date]],Modelling_new[Finacial Year],Modelling_new[[#This Row],[Finacial Year]],Modelling_new[Target E_Grid YTD
MWh],"&gt;"&amp;0)*24*Modelling_new[[#This Row],[YTD DC Capcity]])</f>
        <v>0.20743136188967046</v>
      </c>
      <c r="AT329" s="5">
        <v>12.8</v>
      </c>
      <c r="AU329" s="9">
        <f>Modelling_new[[#This Row],[Comisined DC ]]/$AO$1</f>
        <v>1</v>
      </c>
      <c r="AV329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29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29" s="27">
        <f t="shared" si="105"/>
        <v>45328</v>
      </c>
      <c r="BE329" s="5">
        <f>MONTH(Modelling[[#This Row],[Date]])</f>
        <v>2</v>
      </c>
      <c r="BF329" s="25">
        <f>YEAR(BD329)+IF(MONTH(Modelling[[#This Row],[Date]])&gt;=4,1,0)</f>
        <v>2024</v>
      </c>
      <c r="BG329" s="3">
        <f t="shared" si="101"/>
        <v>2024</v>
      </c>
      <c r="BH329" s="3" t="s">
        <v>626</v>
      </c>
      <c r="BI329" s="5" t="s">
        <v>626</v>
      </c>
      <c r="BJ329" s="102">
        <v>45323</v>
      </c>
      <c r="BK329" s="5">
        <f t="shared" si="102"/>
        <v>29</v>
      </c>
      <c r="BL329" s="5">
        <f t="shared" si="103"/>
        <v>2</v>
      </c>
      <c r="BM329" s="4">
        <f>Modelling_old[[#This Row],[Target E_Grid daily
MWh]]+Modelling_new[[#This Row],[Target E_Grid daily
MWh]]</f>
        <v>120</v>
      </c>
      <c r="BN329" s="4">
        <f>Modelling_old[[#This Row],[Target E_Grid MTD
MWh]]+Modelling_new[[#This Row],[Target E_Grid MTD
MWh]]</f>
        <v>720.00000000000011</v>
      </c>
      <c r="BO329" s="4">
        <f>Modelling_old[[#This Row],[Target E_Grid YTD
MWh]]+Modelling_new[[#This Row],[Target E_Grid YTD
MWh]]</f>
        <v>16909.816797299998</v>
      </c>
      <c r="BP32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29" s="4">
        <f>SUMIFS(Modelling[Target POA Daily (KWh/m2)],Modelling[Date],"&lt;="&amp;Modelling[[#This Row],[Date]],Modelling[Month Year],Modelling[[#This Row],[Month Year]])</f>
        <v>42.285533547099199</v>
      </c>
      <c r="BR329" s="4">
        <f>SUMIFS(Modelling[Target POA Daily (KWh/m2)],Modelling[Date],"&lt;="&amp;Modelling[[#This Row],[Date]],Modelling[Finacial Year],Modelling[[#This Row],[Finacial Year]])</f>
        <v>1783.516316105698</v>
      </c>
      <c r="BS329" s="9">
        <f>BM329/Modelling[[#This Row],[Comisined DC ]]/BP329</f>
        <v>0.74354147618627753</v>
      </c>
      <c r="BT329" s="9">
        <f>BN329/BQ329/Modelling[[#This Row],[Comisined DC ]]</f>
        <v>0.74354147618627764</v>
      </c>
      <c r="BU329" s="9">
        <f>BO329/BR329/Modelling[[#This Row],[Comisined DC ]]</f>
        <v>0.41402477836181883</v>
      </c>
      <c r="BV329" s="9">
        <f>BM329/(24*Modelling[[#This Row],[Comisined DC ]])</f>
        <v>0.21834061135371183</v>
      </c>
      <c r="BW329" s="9">
        <f>BN329/((COUNTIFS(Modelling[Date],"&lt;="&amp;Modelling[[#This Row],[Date]],Modelling[Month Year],Modelling[[#This Row],[Month Year]])*24*Modelling[[#This Row],[MTD DC Capcity]]))</f>
        <v>0.2183406113537118</v>
      </c>
      <c r="BX329" s="28">
        <f>BO329/((COUNTIFS(Modelling[Date],"&lt;="&amp;Modelling[[#This Row],[Date]],Modelling[Finacial Year],Modelling[[#This Row],[Finacial Year]])*24*Modelling[[#This Row],[MTD DC Capcity]]))</f>
        <v>9.8613775037439802E-2</v>
      </c>
      <c r="BY329" s="4">
        <v>22.9</v>
      </c>
      <c r="BZ329" s="4">
        <v>0</v>
      </c>
      <c r="CA329" s="4">
        <f>AVERAGEIFS(Modelling[[Comisined DC ]],Modelling[Date],"&lt;="&amp;Modelling[[#This Row],[Date]],Modelling[Month Year],Modelling[[#This Row],[Month Year]])</f>
        <v>22.900000000000002</v>
      </c>
      <c r="CB329" s="4">
        <f>AVERAGEIFS(Modelling[[Comisined DC ]],Modelling[Date],"&lt;="&amp;Modelling[[#This Row],[Date]],Modelling[Finacial Year],Modelling[[#This Row],[Finacial Year]])</f>
        <v>12.994066025640981</v>
      </c>
      <c r="CG329">
        <f t="shared" si="119"/>
        <v>6</v>
      </c>
      <c r="CH329">
        <f t="shared" si="106"/>
        <v>312</v>
      </c>
    </row>
    <row r="330" spans="1:86" x14ac:dyDescent="0.35">
      <c r="A330" s="27">
        <v>45329</v>
      </c>
      <c r="B330" s="5">
        <f>MONTH(Modelling_old[[#This Row],[Date]])</f>
        <v>2</v>
      </c>
      <c r="C330" s="25">
        <v>2024</v>
      </c>
      <c r="D330" s="3">
        <f t="shared" si="110"/>
        <v>2024</v>
      </c>
      <c r="E330" s="3" t="s">
        <v>626</v>
      </c>
      <c r="F330" s="5" t="s">
        <v>626</v>
      </c>
      <c r="G330" s="102">
        <v>45323</v>
      </c>
      <c r="H330" s="5">
        <f t="shared" si="111"/>
        <v>29</v>
      </c>
      <c r="I330" s="5">
        <f t="shared" si="112"/>
        <v>2</v>
      </c>
      <c r="J330" s="4">
        <f t="shared" si="113"/>
        <v>50.344827586206897</v>
      </c>
      <c r="K330" s="4">
        <f>SUM($J$324:J330)</f>
        <v>352.41379310344831</v>
      </c>
      <c r="L330" s="4">
        <f>SUM($J$18:J330)</f>
        <v>14602.413793103455</v>
      </c>
      <c r="M330" s="4">
        <f t="shared" si="114"/>
        <v>6.8928571428571432</v>
      </c>
      <c r="N330" s="4">
        <f>SUM($M$324:M330)</f>
        <v>48.250000000000007</v>
      </c>
      <c r="O330" s="4">
        <f>SUM($M$18:M330)</f>
        <v>1807.9499999999962</v>
      </c>
      <c r="P330" s="9">
        <f t="shared" si="115"/>
        <v>0.63495169219029313</v>
      </c>
      <c r="Q330" s="26">
        <f t="shared" si="116"/>
        <v>0.63495169219029313</v>
      </c>
      <c r="R330" s="26">
        <f t="shared" si="117"/>
        <v>0.70213939405592873</v>
      </c>
      <c r="S330" s="9">
        <f t="shared" si="118"/>
        <v>0.18235963778679554</v>
      </c>
      <c r="T330" s="9">
        <f>K330/((COUNT($K$324:K330))*24*$Q$1)</f>
        <v>0.18235963778679551</v>
      </c>
      <c r="U330" s="28">
        <f>L330/((COUNT($L$18:L330))*24*$Q$1)</f>
        <v>0.168987342582989</v>
      </c>
      <c r="V330" s="134">
        <v>11.5031</v>
      </c>
      <c r="Y330" s="27">
        <f t="shared" si="104"/>
        <v>45329</v>
      </c>
      <c r="Z330" s="5">
        <f>MONTH(Modelling_new[[#This Row],[Date]])</f>
        <v>2</v>
      </c>
      <c r="AA330" s="25">
        <f>YEAR(Y330)+IF(MONTH(Modelling_new[[#This Row],[Date]])&gt;=4,1,0)</f>
        <v>2024</v>
      </c>
      <c r="AB330" s="3">
        <f t="shared" si="98"/>
        <v>2024</v>
      </c>
      <c r="AC330" s="3" t="s">
        <v>626</v>
      </c>
      <c r="AD330" s="5" t="s">
        <v>626</v>
      </c>
      <c r="AE330" s="102">
        <v>45323</v>
      </c>
      <c r="AF330" s="5">
        <f t="shared" si="99"/>
        <v>29</v>
      </c>
      <c r="AG330" s="5">
        <f t="shared" si="100"/>
        <v>2</v>
      </c>
      <c r="AH330" s="4">
        <f>(VLOOKUP(AG330,$AA$2:$AK$13,10,0)/AF330)*Modelling_new[[#This Row],[Factor]]</f>
        <v>69.65517241379311</v>
      </c>
      <c r="AI330" s="4">
        <f>SUMIFS(Modelling_new[Target E_Grid daily
MWh],Modelling_new[Month Year],Modelling_new[[#This Row],[Month Year]],Modelling_new[Date],"&lt;="&amp;Modelling_new[[#This Row],[Date]])</f>
        <v>487.58620689655186</v>
      </c>
      <c r="AJ330" s="4">
        <f>SUMIFS(Modelling_new[Target E_Grid daily
MWh],Modelling_new[Finacial Year],Modelling_new[[#This Row],[Finacial Year]],Modelling_new[Date],"&lt;="&amp;Modelling_new[[#This Row],[Date]])</f>
        <v>2427.4030041965443</v>
      </c>
      <c r="AK330" s="4">
        <f t="shared" si="108"/>
        <v>6.4141063571428605</v>
      </c>
      <c r="AL330" s="4">
        <f>SUMIFS(Modelling_new[Target POA Daily (KWh/m2)],Modelling_new[Month Year],Modelling_new[[#This Row],[Month Year]],Modelling_new[Date],"&lt;="&amp;Modelling_new[[#This Row],[Date]])</f>
        <v>44.898744500000028</v>
      </c>
      <c r="AM330" s="4">
        <f>SUMIFS(Modelling_new[Target POA Daily (KWh/m2)],Modelling_new[Finacial Year],Modelling_new[[#This Row],[Finacial Year]],Modelling_new[Date],"&lt;="&amp;Modelling_new[[#This Row],[Date]])</f>
        <v>220.33161649999994</v>
      </c>
      <c r="AN330" s="9">
        <f>AH330/Modelling_new[[#This Row],[Comisined DC ]]/AK330</f>
        <v>0.84841286405665717</v>
      </c>
      <c r="AO330" s="9">
        <f>AI330/AL330/Modelling_new[[#This Row],[MTD DC Capcity]]</f>
        <v>0.84841286405665728</v>
      </c>
      <c r="AP330" s="9">
        <f>AJ330/AM330/Modelling_new[[#This Row],[YTD DC Capcity]]</f>
        <v>0.86070652371787504</v>
      </c>
      <c r="AQ330" s="9">
        <f>AH330/(24*Modelling_new[[#This Row],[Comisined DC ]])</f>
        <v>0.22674209770114942</v>
      </c>
      <c r="AR330" s="9">
        <f>AI330/(COUNTIFS(Modelling_new[Date],"&lt;="&amp;Modelling_new[[#This Row],[Date]],Modelling_new[Month Year],Modelling_new[[#This Row],[Month Year]])*24*Modelling_new[[#This Row],[MTD DC Capcity]])</f>
        <v>0.22674209770114953</v>
      </c>
      <c r="AS330" s="28">
        <f>AJ330/(COUNTIFS(Modelling_new[Date],"&lt;="&amp;Modelling_new[[#This Row],[Date]],Modelling_new[Finacial Year],Modelling_new[[#This Row],[Finacial Year]],Modelling_new[Target E_Grid YTD
MWh],"&gt;"&amp;0)*24*Modelling_new[[#This Row],[YTD DC Capcity]])</f>
        <v>0.20793953914786725</v>
      </c>
      <c r="AT330" s="5">
        <v>12.8</v>
      </c>
      <c r="AU330" s="9">
        <f>Modelling_new[[#This Row],[Comisined DC ]]/$AO$1</f>
        <v>1</v>
      </c>
      <c r="AV330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30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30" s="27">
        <f t="shared" si="105"/>
        <v>45329</v>
      </c>
      <c r="BE330" s="5">
        <f>MONTH(Modelling[[#This Row],[Date]])</f>
        <v>2</v>
      </c>
      <c r="BF330" s="25">
        <f>YEAR(BD330)+IF(MONTH(Modelling[[#This Row],[Date]])&gt;=4,1,0)</f>
        <v>2024</v>
      </c>
      <c r="BG330" s="3">
        <f t="shared" si="101"/>
        <v>2024</v>
      </c>
      <c r="BH330" s="3" t="s">
        <v>626</v>
      </c>
      <c r="BI330" s="5" t="s">
        <v>626</v>
      </c>
      <c r="BJ330" s="102">
        <v>45323</v>
      </c>
      <c r="BK330" s="5">
        <f t="shared" si="102"/>
        <v>29</v>
      </c>
      <c r="BL330" s="5">
        <f t="shared" si="103"/>
        <v>2</v>
      </c>
      <c r="BM330" s="4">
        <f>Modelling_old[[#This Row],[Target E_Grid daily
MWh]]+Modelling_new[[#This Row],[Target E_Grid daily
MWh]]</f>
        <v>120</v>
      </c>
      <c r="BN330" s="4">
        <f>Modelling_old[[#This Row],[Target E_Grid MTD
MWh]]+Modelling_new[[#This Row],[Target E_Grid MTD
MWh]]</f>
        <v>840.00000000000023</v>
      </c>
      <c r="BO330" s="4">
        <f>Modelling_old[[#This Row],[Target E_Grid YTD
MWh]]+Modelling_new[[#This Row],[Target E_Grid YTD
MWh]]</f>
        <v>17029.816797299998</v>
      </c>
      <c r="BP33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30" s="4">
        <f>SUMIFS(Modelling[Target POA Daily (KWh/m2)],Modelling[Date],"&lt;="&amp;Modelling[[#This Row],[Date]],Modelling[Month Year],Modelling[[#This Row],[Month Year]])</f>
        <v>49.333122471615731</v>
      </c>
      <c r="BR330" s="4">
        <f>SUMIFS(Modelling[Target POA Daily (KWh/m2)],Modelling[Date],"&lt;="&amp;Modelling[[#This Row],[Date]],Modelling[Finacial Year],Modelling[[#This Row],[Finacial Year]])</f>
        <v>1790.5639050302145</v>
      </c>
      <c r="BS330" s="9">
        <f>BM330/Modelling[[#This Row],[Comisined DC ]]/BP330</f>
        <v>0.74354147618627753</v>
      </c>
      <c r="BT330" s="9">
        <f>BN330/BQ330/Modelling[[#This Row],[Comisined DC ]]</f>
        <v>0.74354147618627775</v>
      </c>
      <c r="BU330" s="9">
        <f>BO330/BR330/Modelling[[#This Row],[Comisined DC ]]</f>
        <v>0.4153217430909229</v>
      </c>
      <c r="BV330" s="9">
        <f>BM330/(24*Modelling[[#This Row],[Comisined DC ]])</f>
        <v>0.21834061135371183</v>
      </c>
      <c r="BW330" s="9">
        <f>BN330/((COUNTIFS(Modelling[Date],"&lt;="&amp;Modelling[[#This Row],[Date]],Modelling[Month Year],Modelling[[#This Row],[Month Year]])*24*Modelling[[#This Row],[MTD DC Capcity]]))</f>
        <v>0.21834061135371183</v>
      </c>
      <c r="BX330" s="28">
        <f>BO330/((COUNTIFS(Modelling[Date],"&lt;="&amp;Modelling[[#This Row],[Date]],Modelling[Finacial Year],Modelling[[#This Row],[Finacial Year]])*24*Modelling[[#This Row],[MTD DC Capcity]]))</f>
        <v>9.8996288891485387E-2</v>
      </c>
      <c r="BY330" s="4">
        <v>22.9</v>
      </c>
      <c r="BZ330" s="4">
        <v>0</v>
      </c>
      <c r="CA330" s="4">
        <f>AVERAGEIFS(Modelling[[Comisined DC ]],Modelling[Date],"&lt;="&amp;Modelling[[#This Row],[Date]],Modelling[Month Year],Modelling[[#This Row],[Month Year]])</f>
        <v>22.900000000000002</v>
      </c>
      <c r="CB330" s="4">
        <f>AVERAGEIFS(Modelling[[Comisined DC ]],Modelling[Date],"&lt;="&amp;Modelling[[#This Row],[Date]],Modelling[Finacial Year],Modelling[[#This Row],[Finacial Year]])</f>
        <v>13.025714376996762</v>
      </c>
      <c r="CG330">
        <f t="shared" si="119"/>
        <v>7</v>
      </c>
      <c r="CH330">
        <f t="shared" si="106"/>
        <v>313</v>
      </c>
    </row>
    <row r="331" spans="1:86" x14ac:dyDescent="0.35">
      <c r="A331" s="27">
        <v>45330</v>
      </c>
      <c r="B331" s="5">
        <f>MONTH(Modelling_old[[#This Row],[Date]])</f>
        <v>2</v>
      </c>
      <c r="C331" s="25">
        <v>2024</v>
      </c>
      <c r="D331" s="3">
        <f t="shared" si="110"/>
        <v>2024</v>
      </c>
      <c r="E331" s="3" t="s">
        <v>626</v>
      </c>
      <c r="F331" s="5" t="s">
        <v>626</v>
      </c>
      <c r="G331" s="102">
        <v>45323</v>
      </c>
      <c r="H331" s="5">
        <f t="shared" si="111"/>
        <v>29</v>
      </c>
      <c r="I331" s="5">
        <f t="shared" si="112"/>
        <v>2</v>
      </c>
      <c r="J331" s="4">
        <f t="shared" si="113"/>
        <v>50.344827586206897</v>
      </c>
      <c r="K331" s="4">
        <f>SUM($J$324:J331)</f>
        <v>402.75862068965523</v>
      </c>
      <c r="L331" s="4">
        <f>SUM($J$18:J331)</f>
        <v>14652.758620689661</v>
      </c>
      <c r="M331" s="4">
        <f t="shared" si="114"/>
        <v>6.8928571428571432</v>
      </c>
      <c r="N331" s="4">
        <f>SUM($M$324:M331)</f>
        <v>55.142857142857153</v>
      </c>
      <c r="O331" s="4">
        <f>SUM($M$18:M331)</f>
        <v>1814.8428571428533</v>
      </c>
      <c r="P331" s="9">
        <f t="shared" si="115"/>
        <v>0.63495169219029313</v>
      </c>
      <c r="Q331" s="26">
        <f t="shared" si="116"/>
        <v>0.63495169219029313</v>
      </c>
      <c r="R331" s="26">
        <f t="shared" si="117"/>
        <v>0.70188421205551799</v>
      </c>
      <c r="S331" s="9">
        <f t="shared" si="118"/>
        <v>0.18235963778679554</v>
      </c>
      <c r="T331" s="9">
        <f>K331/((COUNT($K$324:K331))*24*$Q$1)</f>
        <v>0.18235963778679556</v>
      </c>
      <c r="U331" s="28">
        <f>L331/((COUNT($L$18:L331))*24*$Q$1)</f>
        <v>0.16902992951038967</v>
      </c>
      <c r="V331" s="134">
        <v>11.5031</v>
      </c>
      <c r="Y331" s="27">
        <f t="shared" si="104"/>
        <v>45330</v>
      </c>
      <c r="Z331" s="5">
        <f>MONTH(Modelling_new[[#This Row],[Date]])</f>
        <v>2</v>
      </c>
      <c r="AA331" s="25">
        <f>YEAR(Y331)+IF(MONTH(Modelling_new[[#This Row],[Date]])&gt;=4,1,0)</f>
        <v>2024</v>
      </c>
      <c r="AB331" s="3">
        <f t="shared" si="98"/>
        <v>2024</v>
      </c>
      <c r="AC331" s="3" t="s">
        <v>626</v>
      </c>
      <c r="AD331" s="5" t="s">
        <v>626</v>
      </c>
      <c r="AE331" s="102">
        <v>45323</v>
      </c>
      <c r="AF331" s="5">
        <f t="shared" si="99"/>
        <v>29</v>
      </c>
      <c r="AG331" s="5">
        <f t="shared" si="100"/>
        <v>2</v>
      </c>
      <c r="AH331" s="4">
        <f>(VLOOKUP(AG331,$AA$2:$AK$13,10,0)/AF331)*Modelling_new[[#This Row],[Factor]]</f>
        <v>69.65517241379311</v>
      </c>
      <c r="AI331" s="4">
        <f>SUMIFS(Modelling_new[Target E_Grid daily
MWh],Modelling_new[Month Year],Modelling_new[[#This Row],[Month Year]],Modelling_new[Date],"&lt;="&amp;Modelling_new[[#This Row],[Date]])</f>
        <v>557.241379310345</v>
      </c>
      <c r="AJ331" s="4">
        <f>SUMIFS(Modelling_new[Target E_Grid daily
MWh],Modelling_new[Finacial Year],Modelling_new[[#This Row],[Finacial Year]],Modelling_new[Date],"&lt;="&amp;Modelling_new[[#This Row],[Date]])</f>
        <v>2497.0581766103373</v>
      </c>
      <c r="AK331" s="4">
        <f t="shared" si="108"/>
        <v>6.4141063571428605</v>
      </c>
      <c r="AL331" s="4">
        <f>SUMIFS(Modelling_new[Target POA Daily (KWh/m2)],Modelling_new[Month Year],Modelling_new[[#This Row],[Month Year]],Modelling_new[Date],"&lt;="&amp;Modelling_new[[#This Row],[Date]])</f>
        <v>51.312850857142891</v>
      </c>
      <c r="AM331" s="4">
        <f>SUMIFS(Modelling_new[Target POA Daily (KWh/m2)],Modelling_new[Finacial Year],Modelling_new[[#This Row],[Finacial Year]],Modelling_new[Date],"&lt;="&amp;Modelling_new[[#This Row],[Date]])</f>
        <v>226.74572285714279</v>
      </c>
      <c r="AN331" s="9">
        <f>AH331/Modelling_new[[#This Row],[Comisined DC ]]/AK331</f>
        <v>0.84841286405665717</v>
      </c>
      <c r="AO331" s="9">
        <f>AI331/AL331/Modelling_new[[#This Row],[MTD DC Capcity]]</f>
        <v>0.84841286405665728</v>
      </c>
      <c r="AP331" s="9">
        <f>AJ331/AM331/Modelling_new[[#This Row],[YTD DC Capcity]]</f>
        <v>0.8603587648292309</v>
      </c>
      <c r="AQ331" s="9">
        <f>AH331/(24*Modelling_new[[#This Row],[Comisined DC ]])</f>
        <v>0.22674209770114942</v>
      </c>
      <c r="AR331" s="9">
        <f>AI331/(COUNTIFS(Modelling_new[Date],"&lt;="&amp;Modelling_new[[#This Row],[Date]],Modelling_new[Month Year],Modelling_new[[#This Row],[Month Year]])*24*Modelling_new[[#This Row],[MTD DC Capcity]])</f>
        <v>0.2267420977011495</v>
      </c>
      <c r="AS331" s="28">
        <f>AJ331/(COUNTIFS(Modelling_new[Date],"&lt;="&amp;Modelling_new[[#This Row],[Date]],Modelling_new[Finacial Year],Modelling_new[[#This Row],[Finacial Year]],Modelling_new[Target E_Grid YTD
MWh],"&gt;"&amp;0)*24*Modelling_new[[#This Row],[YTD DC Capcity]])</f>
        <v>0.20842165603384882</v>
      </c>
      <c r="AT331" s="5">
        <v>12.8</v>
      </c>
      <c r="AU331" s="9">
        <f>Modelling_new[[#This Row],[Comisined DC ]]/$AO$1</f>
        <v>1</v>
      </c>
      <c r="AV331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31" s="5">
        <f>AVERAGEIFS(Modelling_new[[Comisined DC ]],Modelling_new[Date],"&lt;="&amp;Modelling_new[[#This Row],[Date]],Modelling_new[[Comisined DC ]],"&gt;"&amp;0,Modelling_new[Finacial Year],Modelling_new[[#This Row],[Finacial Year]])</f>
        <v>12.800000000000008</v>
      </c>
      <c r="BD331" s="27">
        <f t="shared" si="105"/>
        <v>45330</v>
      </c>
      <c r="BE331" s="5">
        <f>MONTH(Modelling[[#This Row],[Date]])</f>
        <v>2</v>
      </c>
      <c r="BF331" s="25">
        <f>YEAR(BD331)+IF(MONTH(Modelling[[#This Row],[Date]])&gt;=4,1,0)</f>
        <v>2024</v>
      </c>
      <c r="BG331" s="3">
        <f t="shared" si="101"/>
        <v>2024</v>
      </c>
      <c r="BH331" s="3" t="s">
        <v>626</v>
      </c>
      <c r="BI331" s="5" t="s">
        <v>626</v>
      </c>
      <c r="BJ331" s="102">
        <v>45323</v>
      </c>
      <c r="BK331" s="5">
        <f t="shared" si="102"/>
        <v>29</v>
      </c>
      <c r="BL331" s="5">
        <f t="shared" si="103"/>
        <v>2</v>
      </c>
      <c r="BM331" s="4">
        <f>Modelling_old[[#This Row],[Target E_Grid daily
MWh]]+Modelling_new[[#This Row],[Target E_Grid daily
MWh]]</f>
        <v>120</v>
      </c>
      <c r="BN331" s="4">
        <f>Modelling_old[[#This Row],[Target E_Grid MTD
MWh]]+Modelling_new[[#This Row],[Target E_Grid MTD
MWh]]</f>
        <v>960.00000000000023</v>
      </c>
      <c r="BO331" s="4">
        <f>Modelling_old[[#This Row],[Target E_Grid YTD
MWh]]+Modelling_new[[#This Row],[Target E_Grid YTD
MWh]]</f>
        <v>17149.816797299998</v>
      </c>
      <c r="BP33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31" s="4">
        <f>SUMIFS(Modelling[Target POA Daily (KWh/m2)],Modelling[Date],"&lt;="&amp;Modelling[[#This Row],[Date]],Modelling[Month Year],Modelling[[#This Row],[Month Year]])</f>
        <v>56.380711396132263</v>
      </c>
      <c r="BR331" s="4">
        <f>SUMIFS(Modelling[Target POA Daily (KWh/m2)],Modelling[Date],"&lt;="&amp;Modelling[[#This Row],[Date]],Modelling[Finacial Year],Modelling[[#This Row],[Finacial Year]])</f>
        <v>1797.611493954731</v>
      </c>
      <c r="BS331" s="9">
        <f>BM331/Modelling[[#This Row],[Comisined DC ]]/BP331</f>
        <v>0.74354147618627753</v>
      </c>
      <c r="BT331" s="9">
        <f>BN331/BQ331/Modelling[[#This Row],[Comisined DC ]]</f>
        <v>0.74354147618627775</v>
      </c>
      <c r="BU331" s="9">
        <f>BO331/BR331/Modelling[[#This Row],[Comisined DC ]]</f>
        <v>0.41660853824301758</v>
      </c>
      <c r="BV331" s="9">
        <f>BM331/(24*Modelling[[#This Row],[Comisined DC ]])</f>
        <v>0.21834061135371183</v>
      </c>
      <c r="BW331" s="9">
        <f>BN331/((COUNTIFS(Modelling[Date],"&lt;="&amp;Modelling[[#This Row],[Date]],Modelling[Month Year],Modelling[[#This Row],[Month Year]])*24*Modelling[[#This Row],[MTD DC Capcity]]))</f>
        <v>0.21834061135371183</v>
      </c>
      <c r="BX331" s="28">
        <f>BO331/((COUNTIFS(Modelling[Date],"&lt;="&amp;Modelling[[#This Row],[Date]],Modelling[Finacial Year],Modelling[[#This Row],[Finacial Year]])*24*Modelling[[#This Row],[MTD DC Capcity]]))</f>
        <v>9.9376366351556181E-2</v>
      </c>
      <c r="BY331" s="4">
        <v>22.9</v>
      </c>
      <c r="BZ331" s="4">
        <v>0</v>
      </c>
      <c r="CA331" s="4">
        <f>AVERAGEIFS(Modelling[[Comisined DC ]],Modelling[Date],"&lt;="&amp;Modelling[[#This Row],[Date]],Modelling[Month Year],Modelling[[#This Row],[Month Year]])</f>
        <v>22.900000000000002</v>
      </c>
      <c r="CB331" s="4">
        <f>AVERAGEIFS(Modelling[[Comisined DC ]],Modelling[Date],"&lt;="&amp;Modelling[[#This Row],[Date]],Modelling[Finacial Year],Modelling[[#This Row],[Finacial Year]])</f>
        <v>13.057161146496771</v>
      </c>
      <c r="CG331">
        <f t="shared" si="119"/>
        <v>8</v>
      </c>
      <c r="CH331">
        <f t="shared" si="106"/>
        <v>314</v>
      </c>
    </row>
    <row r="332" spans="1:86" x14ac:dyDescent="0.35">
      <c r="A332" s="27">
        <v>45331</v>
      </c>
      <c r="B332" s="5">
        <f>MONTH(Modelling_old[[#This Row],[Date]])</f>
        <v>2</v>
      </c>
      <c r="C332" s="25">
        <v>2024</v>
      </c>
      <c r="D332" s="3">
        <f t="shared" si="110"/>
        <v>2024</v>
      </c>
      <c r="E332" s="3" t="s">
        <v>626</v>
      </c>
      <c r="F332" s="5" t="s">
        <v>626</v>
      </c>
      <c r="G332" s="102">
        <v>45323</v>
      </c>
      <c r="H332" s="5">
        <f t="shared" si="111"/>
        <v>29</v>
      </c>
      <c r="I332" s="5">
        <f t="shared" si="112"/>
        <v>2</v>
      </c>
      <c r="J332" s="4">
        <f t="shared" si="113"/>
        <v>50.344827586206897</v>
      </c>
      <c r="K332" s="4">
        <f>SUM($J$324:J332)</f>
        <v>453.10344827586215</v>
      </c>
      <c r="L332" s="4">
        <f>SUM($J$18:J332)</f>
        <v>14703.103448275868</v>
      </c>
      <c r="M332" s="4">
        <f t="shared" si="114"/>
        <v>6.8928571428571432</v>
      </c>
      <c r="N332" s="4">
        <f>SUM($M$324:M332)</f>
        <v>62.035714285714299</v>
      </c>
      <c r="O332" s="4">
        <f>SUM($M$18:M332)</f>
        <v>1821.7357142857104</v>
      </c>
      <c r="P332" s="9">
        <f t="shared" si="115"/>
        <v>0.63495169219029313</v>
      </c>
      <c r="Q332" s="26">
        <f t="shared" si="116"/>
        <v>0.63495169219029313</v>
      </c>
      <c r="R332" s="26">
        <f t="shared" si="117"/>
        <v>0.70163096110697232</v>
      </c>
      <c r="S332" s="9">
        <f t="shared" si="118"/>
        <v>0.18235963778679554</v>
      </c>
      <c r="T332" s="9">
        <f>K332/((COUNT($K$324:K332))*24*$Q$1)</f>
        <v>0.18235963778679554</v>
      </c>
      <c r="U332" s="28">
        <f>L332/((COUNT($L$18:L332))*24*$Q$1)</f>
        <v>0.1690722460446005</v>
      </c>
      <c r="V332" s="134">
        <v>11.5031</v>
      </c>
      <c r="Y332" s="27">
        <f t="shared" si="104"/>
        <v>45331</v>
      </c>
      <c r="Z332" s="5">
        <f>MONTH(Modelling_new[[#This Row],[Date]])</f>
        <v>2</v>
      </c>
      <c r="AA332" s="25">
        <f>YEAR(Y332)+IF(MONTH(Modelling_new[[#This Row],[Date]])&gt;=4,1,0)</f>
        <v>2024</v>
      </c>
      <c r="AB332" s="3">
        <f t="shared" si="98"/>
        <v>2024</v>
      </c>
      <c r="AC332" s="3" t="s">
        <v>626</v>
      </c>
      <c r="AD332" s="5" t="s">
        <v>626</v>
      </c>
      <c r="AE332" s="102">
        <v>45323</v>
      </c>
      <c r="AF332" s="5">
        <f t="shared" si="99"/>
        <v>29</v>
      </c>
      <c r="AG332" s="5">
        <f t="shared" si="100"/>
        <v>2</v>
      </c>
      <c r="AH332" s="4">
        <f>(VLOOKUP(AG332,$AA$2:$AK$13,10,0)/AF332)*Modelling_new[[#This Row],[Factor]]</f>
        <v>69.65517241379311</v>
      </c>
      <c r="AI332" s="4">
        <f>SUMIFS(Modelling_new[Target E_Grid daily
MWh],Modelling_new[Month Year],Modelling_new[[#This Row],[Month Year]],Modelling_new[Date],"&lt;="&amp;Modelling_new[[#This Row],[Date]])</f>
        <v>626.89655172413813</v>
      </c>
      <c r="AJ332" s="4">
        <f>SUMIFS(Modelling_new[Target E_Grid daily
MWh],Modelling_new[Finacial Year],Modelling_new[[#This Row],[Finacial Year]],Modelling_new[Date],"&lt;="&amp;Modelling_new[[#This Row],[Date]])</f>
        <v>2566.7133490241304</v>
      </c>
      <c r="AK332" s="4">
        <f t="shared" si="108"/>
        <v>6.4141063571428605</v>
      </c>
      <c r="AL332" s="4">
        <f>SUMIFS(Modelling_new[Target POA Daily (KWh/m2)],Modelling_new[Month Year],Modelling_new[[#This Row],[Month Year]],Modelling_new[Date],"&lt;="&amp;Modelling_new[[#This Row],[Date]])</f>
        <v>57.726957214285754</v>
      </c>
      <c r="AM332" s="4">
        <f>SUMIFS(Modelling_new[Target POA Daily (KWh/m2)],Modelling_new[Finacial Year],Modelling_new[[#This Row],[Finacial Year]],Modelling_new[Date],"&lt;="&amp;Modelling_new[[#This Row],[Date]])</f>
        <v>233.15982921428565</v>
      </c>
      <c r="AN332" s="9">
        <f>AH332/Modelling_new[[#This Row],[Comisined DC ]]/AK332</f>
        <v>0.84841286405665717</v>
      </c>
      <c r="AO332" s="9">
        <f>AI332/AL332/Modelling_new[[#This Row],[MTD DC Capcity]]</f>
        <v>0.84841286405665728</v>
      </c>
      <c r="AP332" s="9">
        <f>AJ332/AM332/Modelling_new[[#This Row],[YTD DC Capcity]]</f>
        <v>0.86003013927505478</v>
      </c>
      <c r="AQ332" s="9">
        <f>AH332/(24*Modelling_new[[#This Row],[Comisined DC ]])</f>
        <v>0.22674209770114942</v>
      </c>
      <c r="AR332" s="9">
        <f>AI332/(COUNTIFS(Modelling_new[Date],"&lt;="&amp;Modelling_new[[#This Row],[Date]],Modelling_new[Month Year],Modelling_new[[#This Row],[Month Year]])*24*Modelling_new[[#This Row],[MTD DC Capcity]])</f>
        <v>0.22674209770114953</v>
      </c>
      <c r="AS332" s="28">
        <f>AJ332/(COUNTIFS(Modelling_new[Date],"&lt;="&amp;Modelling_new[[#This Row],[Date]],Modelling_new[Finacial Year],Modelling_new[[#This Row],[Finacial Year]],Modelling_new[Target E_Grid YTD
MWh],"&gt;"&amp;0)*24*Modelling_new[[#This Row],[YTD DC Capcity]])</f>
        <v>0.20887966707553135</v>
      </c>
      <c r="AT332" s="5">
        <v>12.8</v>
      </c>
      <c r="AU332" s="9">
        <f>Modelling_new[[#This Row],[Comisined DC ]]/$AO$1</f>
        <v>1</v>
      </c>
      <c r="AV332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32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332" s="27">
        <f t="shared" si="105"/>
        <v>45331</v>
      </c>
      <c r="BE332" s="5">
        <f>MONTH(Modelling[[#This Row],[Date]])</f>
        <v>2</v>
      </c>
      <c r="BF332" s="25">
        <f>YEAR(BD332)+IF(MONTH(Modelling[[#This Row],[Date]])&gt;=4,1,0)</f>
        <v>2024</v>
      </c>
      <c r="BG332" s="3">
        <f t="shared" si="101"/>
        <v>2024</v>
      </c>
      <c r="BH332" s="3" t="s">
        <v>626</v>
      </c>
      <c r="BI332" s="5" t="s">
        <v>626</v>
      </c>
      <c r="BJ332" s="102">
        <v>45323</v>
      </c>
      <c r="BK332" s="5">
        <f t="shared" si="102"/>
        <v>29</v>
      </c>
      <c r="BL332" s="5">
        <f t="shared" si="103"/>
        <v>2</v>
      </c>
      <c r="BM332" s="4">
        <f>Modelling_old[[#This Row],[Target E_Grid daily
MWh]]+Modelling_new[[#This Row],[Target E_Grid daily
MWh]]</f>
        <v>120</v>
      </c>
      <c r="BN332" s="4">
        <f>Modelling_old[[#This Row],[Target E_Grid MTD
MWh]]+Modelling_new[[#This Row],[Target E_Grid MTD
MWh]]</f>
        <v>1080.0000000000002</v>
      </c>
      <c r="BO332" s="4">
        <f>Modelling_old[[#This Row],[Target E_Grid YTD
MWh]]+Modelling_new[[#This Row],[Target E_Grid YTD
MWh]]</f>
        <v>17269.816797299998</v>
      </c>
      <c r="BP33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32" s="4">
        <f>SUMIFS(Modelling[Target POA Daily (KWh/m2)],Modelling[Date],"&lt;="&amp;Modelling[[#This Row],[Date]],Modelling[Month Year],Modelling[[#This Row],[Month Year]])</f>
        <v>63.428300320648795</v>
      </c>
      <c r="BR332" s="4">
        <f>SUMIFS(Modelling[Target POA Daily (KWh/m2)],Modelling[Date],"&lt;="&amp;Modelling[[#This Row],[Date]],Modelling[Finacial Year],Modelling[[#This Row],[Finacial Year]])</f>
        <v>1804.6590828792475</v>
      </c>
      <c r="BS332" s="9">
        <f>BM332/Modelling[[#This Row],[Comisined DC ]]/BP332</f>
        <v>0.74354147618627753</v>
      </c>
      <c r="BT332" s="9">
        <f>BN332/BQ332/Modelling[[#This Row],[Comisined DC ]]</f>
        <v>0.74354147618627775</v>
      </c>
      <c r="BU332" s="9">
        <f>BO332/BR332/Modelling[[#This Row],[Comisined DC ]]</f>
        <v>0.41788528296137872</v>
      </c>
      <c r="BV332" s="9">
        <f>BM332/(24*Modelling[[#This Row],[Comisined DC ]])</f>
        <v>0.21834061135371183</v>
      </c>
      <c r="BW332" s="9">
        <f>BN332/((COUNTIFS(Modelling[Date],"&lt;="&amp;Modelling[[#This Row],[Date]],Modelling[Month Year],Modelling[[#This Row],[Month Year]])*24*Modelling[[#This Row],[MTD DC Capcity]]))</f>
        <v>0.2183406113537118</v>
      </c>
      <c r="BX332" s="28">
        <f>BO332/((COUNTIFS(Modelling[Date],"&lt;="&amp;Modelling[[#This Row],[Date]],Modelling[Finacial Year],Modelling[[#This Row],[Finacial Year]])*24*Modelling[[#This Row],[MTD DC Capcity]]))</f>
        <v>9.9754030621404283E-2</v>
      </c>
      <c r="BY332" s="4">
        <v>22.9</v>
      </c>
      <c r="BZ332" s="4">
        <v>0</v>
      </c>
      <c r="CA332" s="4">
        <f>AVERAGEIFS(Modelling[[Comisined DC ]],Modelling[Date],"&lt;="&amp;Modelling[[#This Row],[Date]],Modelling[Month Year],Modelling[[#This Row],[Month Year]])</f>
        <v>22.900000000000002</v>
      </c>
      <c r="CB332" s="4">
        <f>AVERAGEIFS(Modelling[[Comisined DC ]],Modelling[Date],"&lt;="&amp;Modelling[[#This Row],[Date]],Modelling[Finacial Year],Modelling[[#This Row],[Finacial Year]])</f>
        <v>13.088408253968209</v>
      </c>
      <c r="CG332">
        <f t="shared" si="119"/>
        <v>9</v>
      </c>
      <c r="CH332">
        <f t="shared" si="106"/>
        <v>315</v>
      </c>
    </row>
    <row r="333" spans="1:86" x14ac:dyDescent="0.35">
      <c r="A333" s="27">
        <v>45332</v>
      </c>
      <c r="B333" s="5">
        <f>MONTH(Modelling_old[[#This Row],[Date]])</f>
        <v>2</v>
      </c>
      <c r="C333" s="25">
        <v>2024</v>
      </c>
      <c r="D333" s="3">
        <f t="shared" si="110"/>
        <v>2024</v>
      </c>
      <c r="E333" s="3" t="s">
        <v>626</v>
      </c>
      <c r="F333" s="5" t="s">
        <v>626</v>
      </c>
      <c r="G333" s="102">
        <v>45323</v>
      </c>
      <c r="H333" s="5">
        <f t="shared" si="111"/>
        <v>29</v>
      </c>
      <c r="I333" s="5">
        <f t="shared" si="112"/>
        <v>2</v>
      </c>
      <c r="J333" s="4">
        <f t="shared" si="113"/>
        <v>50.344827586206897</v>
      </c>
      <c r="K333" s="4">
        <f>SUM($J$324:J333)</f>
        <v>503.44827586206907</v>
      </c>
      <c r="L333" s="4">
        <f>SUM($J$18:J333)</f>
        <v>14753.448275862074</v>
      </c>
      <c r="M333" s="4">
        <f t="shared" si="114"/>
        <v>6.8928571428571432</v>
      </c>
      <c r="N333" s="4">
        <f>SUM($M$324:M333)</f>
        <v>68.928571428571445</v>
      </c>
      <c r="O333" s="4">
        <f>SUM($M$18:M333)</f>
        <v>1828.6285714285675</v>
      </c>
      <c r="P333" s="9">
        <f t="shared" si="115"/>
        <v>0.63495169219029313</v>
      </c>
      <c r="Q333" s="26">
        <f t="shared" si="116"/>
        <v>0.63495169219029313</v>
      </c>
      <c r="R333" s="26">
        <f t="shared" si="117"/>
        <v>0.70137961937349291</v>
      </c>
      <c r="S333" s="9">
        <f t="shared" si="118"/>
        <v>0.18235963778679554</v>
      </c>
      <c r="T333" s="9">
        <f>K333/((COUNT($K$324:K333))*24*$Q$1)</f>
        <v>0.18235963778679554</v>
      </c>
      <c r="U333" s="28">
        <f>L333/((COUNT($L$18:L333))*24*$Q$1)</f>
        <v>0.16911429475264542</v>
      </c>
      <c r="V333" s="134">
        <v>11.5031</v>
      </c>
      <c r="Y333" s="27">
        <f t="shared" si="104"/>
        <v>45332</v>
      </c>
      <c r="Z333" s="5">
        <f>MONTH(Modelling_new[[#This Row],[Date]])</f>
        <v>2</v>
      </c>
      <c r="AA333" s="25">
        <f>YEAR(Y333)+IF(MONTH(Modelling_new[[#This Row],[Date]])&gt;=4,1,0)</f>
        <v>2024</v>
      </c>
      <c r="AB333" s="3">
        <f t="shared" si="98"/>
        <v>2024</v>
      </c>
      <c r="AC333" s="3" t="s">
        <v>626</v>
      </c>
      <c r="AD333" s="5" t="s">
        <v>626</v>
      </c>
      <c r="AE333" s="102">
        <v>45323</v>
      </c>
      <c r="AF333" s="5">
        <f t="shared" si="99"/>
        <v>29</v>
      </c>
      <c r="AG333" s="5">
        <f t="shared" si="100"/>
        <v>2</v>
      </c>
      <c r="AH333" s="4">
        <f>(VLOOKUP(AG333,$AA$2:$AK$13,10,0)/AF333)*Modelling_new[[#This Row],[Factor]]</f>
        <v>69.65517241379311</v>
      </c>
      <c r="AI333" s="4">
        <f>SUMIFS(Modelling_new[Target E_Grid daily
MWh],Modelling_new[Month Year],Modelling_new[[#This Row],[Month Year]],Modelling_new[Date],"&lt;="&amp;Modelling_new[[#This Row],[Date]])</f>
        <v>696.55172413793127</v>
      </c>
      <c r="AJ333" s="4">
        <f>SUMIFS(Modelling_new[Target E_Grid daily
MWh],Modelling_new[Finacial Year],Modelling_new[[#This Row],[Finacial Year]],Modelling_new[Date],"&lt;="&amp;Modelling_new[[#This Row],[Date]])</f>
        <v>2636.3685214379234</v>
      </c>
      <c r="AK333" s="4">
        <f t="shared" si="108"/>
        <v>6.4141063571428605</v>
      </c>
      <c r="AL333" s="4">
        <f>SUMIFS(Modelling_new[Target POA Daily (KWh/m2)],Modelling_new[Month Year],Modelling_new[[#This Row],[Month Year]],Modelling_new[Date],"&lt;="&amp;Modelling_new[[#This Row],[Date]])</f>
        <v>64.141063571428617</v>
      </c>
      <c r="AM333" s="4">
        <f>SUMIFS(Modelling_new[Target POA Daily (KWh/m2)],Modelling_new[Finacial Year],Modelling_new[[#This Row],[Finacial Year]],Modelling_new[Date],"&lt;="&amp;Modelling_new[[#This Row],[Date]])</f>
        <v>239.57393557142851</v>
      </c>
      <c r="AN333" s="9">
        <f>AH333/Modelling_new[[#This Row],[Comisined DC ]]/AK333</f>
        <v>0.84841286405665717</v>
      </c>
      <c r="AO333" s="9">
        <f>AI333/AL333/Modelling_new[[#This Row],[MTD DC Capcity]]</f>
        <v>0.84841286405665728</v>
      </c>
      <c r="AP333" s="9">
        <f>AJ333/AM333/Modelling_new[[#This Row],[YTD DC Capcity]]</f>
        <v>0.8597191102866415</v>
      </c>
      <c r="AQ333" s="9">
        <f>AH333/(24*Modelling_new[[#This Row],[Comisined DC ]])</f>
        <v>0.22674209770114942</v>
      </c>
      <c r="AR333" s="9">
        <f>AI333/(COUNTIFS(Modelling_new[Date],"&lt;="&amp;Modelling_new[[#This Row],[Date]],Modelling_new[Month Year],Modelling_new[[#This Row],[Month Year]])*24*Modelling_new[[#This Row],[MTD DC Capcity]])</f>
        <v>0.22674209770114953</v>
      </c>
      <c r="AS333" s="28">
        <f>AJ333/(COUNTIFS(Modelling_new[Date],"&lt;="&amp;Modelling_new[[#This Row],[Date]],Modelling_new[Finacial Year],Modelling_new[[#This Row],[Finacial Year]],Modelling_new[Target E_Grid YTD
MWh],"&gt;"&amp;0)*24*Modelling_new[[#This Row],[YTD DC Capcity]])</f>
        <v>0.20931533611518058</v>
      </c>
      <c r="AT333" s="5">
        <v>12.8</v>
      </c>
      <c r="AU333" s="9">
        <f>Modelling_new[[#This Row],[Comisined DC ]]/$AO$1</f>
        <v>1</v>
      </c>
      <c r="AV33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33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333" s="27">
        <f t="shared" si="105"/>
        <v>45332</v>
      </c>
      <c r="BE333" s="5">
        <f>MONTH(Modelling[[#This Row],[Date]])</f>
        <v>2</v>
      </c>
      <c r="BF333" s="25">
        <f>YEAR(BD333)+IF(MONTH(Modelling[[#This Row],[Date]])&gt;=4,1,0)</f>
        <v>2024</v>
      </c>
      <c r="BG333" s="3">
        <f t="shared" si="101"/>
        <v>2024</v>
      </c>
      <c r="BH333" s="3" t="s">
        <v>626</v>
      </c>
      <c r="BI333" s="5" t="s">
        <v>626</v>
      </c>
      <c r="BJ333" s="102">
        <v>45323</v>
      </c>
      <c r="BK333" s="5">
        <f t="shared" si="102"/>
        <v>29</v>
      </c>
      <c r="BL333" s="5">
        <f t="shared" si="103"/>
        <v>2</v>
      </c>
      <c r="BM333" s="4">
        <f>Modelling_old[[#This Row],[Target E_Grid daily
MWh]]+Modelling_new[[#This Row],[Target E_Grid daily
MWh]]</f>
        <v>120</v>
      </c>
      <c r="BN333" s="4">
        <f>Modelling_old[[#This Row],[Target E_Grid MTD
MWh]]+Modelling_new[[#This Row],[Target E_Grid MTD
MWh]]</f>
        <v>1200.0000000000005</v>
      </c>
      <c r="BO333" s="4">
        <f>Modelling_old[[#This Row],[Target E_Grid YTD
MWh]]+Modelling_new[[#This Row],[Target E_Grid YTD
MWh]]</f>
        <v>17389.816797299998</v>
      </c>
      <c r="BP33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33" s="4">
        <f>SUMIFS(Modelling[Target POA Daily (KWh/m2)],Modelling[Date],"&lt;="&amp;Modelling[[#This Row],[Date]],Modelling[Month Year],Modelling[[#This Row],[Month Year]])</f>
        <v>70.475889245165334</v>
      </c>
      <c r="BR333" s="4">
        <f>SUMIFS(Modelling[Target POA Daily (KWh/m2)],Modelling[Date],"&lt;="&amp;Modelling[[#This Row],[Date]],Modelling[Finacial Year],Modelling[[#This Row],[Finacial Year]])</f>
        <v>1811.706671803764</v>
      </c>
      <c r="BS333" s="9">
        <f>BM333/Modelling[[#This Row],[Comisined DC ]]/BP333</f>
        <v>0.74354147618627753</v>
      </c>
      <c r="BT333" s="9">
        <f>BN333/BQ333/Modelling[[#This Row],[Comisined DC ]]</f>
        <v>0.74354147618627775</v>
      </c>
      <c r="BU333" s="9">
        <f>BO333/BR333/Modelling[[#This Row],[Comisined DC ]]</f>
        <v>0.4191520945353997</v>
      </c>
      <c r="BV333" s="9">
        <f>BM333/(24*Modelling[[#This Row],[Comisined DC ]])</f>
        <v>0.21834061135371183</v>
      </c>
      <c r="BW333" s="9">
        <f>BN333/((COUNTIFS(Modelling[Date],"&lt;="&amp;Modelling[[#This Row],[Date]],Modelling[Month Year],Modelling[[#This Row],[Month Year]])*24*Modelling[[#This Row],[MTD DC Capcity]]))</f>
        <v>0.21834061135371183</v>
      </c>
      <c r="BX333" s="28">
        <f>BO333/((COUNTIFS(Modelling[Date],"&lt;="&amp;Modelling[[#This Row],[Date]],Modelling[Finacial Year],Modelling[[#This Row],[Finacial Year]])*24*Modelling[[#This Row],[MTD DC Capcity]]))</f>
        <v>0.10012930461106349</v>
      </c>
      <c r="BY333" s="4">
        <v>22.9</v>
      </c>
      <c r="BZ333" s="4">
        <v>0</v>
      </c>
      <c r="CA333" s="4">
        <f>AVERAGEIFS(Modelling[[Comisined DC ]],Modelling[Date],"&lt;="&amp;Modelling[[#This Row],[Date]],Modelling[Month Year],Modelling[[#This Row],[Month Year]])</f>
        <v>22.900000000000002</v>
      </c>
      <c r="CB333" s="4">
        <f>AVERAGEIFS(Modelling[[Comisined DC ]],Modelling[Date],"&lt;="&amp;Modelling[[#This Row],[Date]],Modelling[Finacial Year],Modelling[[#This Row],[Finacial Year]])</f>
        <v>13.119457594936662</v>
      </c>
      <c r="CG333">
        <f t="shared" si="119"/>
        <v>10</v>
      </c>
      <c r="CH333">
        <f t="shared" si="106"/>
        <v>316</v>
      </c>
    </row>
    <row r="334" spans="1:86" x14ac:dyDescent="0.35">
      <c r="A334" s="27">
        <v>45333</v>
      </c>
      <c r="B334" s="5">
        <f>MONTH(Modelling_old[[#This Row],[Date]])</f>
        <v>2</v>
      </c>
      <c r="C334" s="25">
        <v>2024</v>
      </c>
      <c r="D334" s="3">
        <f t="shared" si="110"/>
        <v>2024</v>
      </c>
      <c r="E334" s="3" t="s">
        <v>626</v>
      </c>
      <c r="F334" s="5" t="s">
        <v>626</v>
      </c>
      <c r="G334" s="102">
        <v>45323</v>
      </c>
      <c r="H334" s="5">
        <f t="shared" si="111"/>
        <v>29</v>
      </c>
      <c r="I334" s="5">
        <f t="shared" si="112"/>
        <v>2</v>
      </c>
      <c r="J334" s="4">
        <f t="shared" si="113"/>
        <v>50.344827586206897</v>
      </c>
      <c r="K334" s="4">
        <f>SUM($J$324:J334)</f>
        <v>553.79310344827593</v>
      </c>
      <c r="L334" s="4">
        <f>SUM($J$18:J334)</f>
        <v>14803.793103448281</v>
      </c>
      <c r="M334" s="4">
        <f t="shared" si="114"/>
        <v>6.8928571428571432</v>
      </c>
      <c r="N334" s="4">
        <f>SUM($M$324:M334)</f>
        <v>75.821428571428584</v>
      </c>
      <c r="O334" s="4">
        <f>SUM($M$18:M334)</f>
        <v>1835.5214285714246</v>
      </c>
      <c r="P334" s="9">
        <f t="shared" si="115"/>
        <v>0.63495169219029313</v>
      </c>
      <c r="Q334" s="26">
        <f t="shared" si="116"/>
        <v>0.63495169219029313</v>
      </c>
      <c r="R334" s="26">
        <f t="shared" si="117"/>
        <v>0.70113016534629236</v>
      </c>
      <c r="S334" s="9">
        <f t="shared" si="118"/>
        <v>0.18235963778679554</v>
      </c>
      <c r="T334" s="9">
        <f>K334/((COUNT($K$324:K334))*24*$Q$1)</f>
        <v>0.18235963778679551</v>
      </c>
      <c r="U334" s="28">
        <f>L334/((COUNT($L$18:L334))*24*$Q$1)</f>
        <v>0.16915607816915693</v>
      </c>
      <c r="V334" s="134">
        <v>11.5031</v>
      </c>
      <c r="Y334" s="27">
        <f t="shared" si="104"/>
        <v>45333</v>
      </c>
      <c r="Z334" s="5">
        <f>MONTH(Modelling_new[[#This Row],[Date]])</f>
        <v>2</v>
      </c>
      <c r="AA334" s="25">
        <f>YEAR(Y334)+IF(MONTH(Modelling_new[[#This Row],[Date]])&gt;=4,1,0)</f>
        <v>2024</v>
      </c>
      <c r="AB334" s="3">
        <f t="shared" si="98"/>
        <v>2024</v>
      </c>
      <c r="AC334" s="3" t="s">
        <v>626</v>
      </c>
      <c r="AD334" s="5" t="s">
        <v>626</v>
      </c>
      <c r="AE334" s="102">
        <v>45323</v>
      </c>
      <c r="AF334" s="5">
        <f t="shared" si="99"/>
        <v>29</v>
      </c>
      <c r="AG334" s="5">
        <f t="shared" si="100"/>
        <v>2</v>
      </c>
      <c r="AH334" s="4">
        <f>(VLOOKUP(AG334,$AA$2:$AK$13,10,0)/AF334)*Modelling_new[[#This Row],[Factor]]</f>
        <v>69.65517241379311</v>
      </c>
      <c r="AI334" s="4">
        <f>SUMIFS(Modelling_new[Target E_Grid daily
MWh],Modelling_new[Month Year],Modelling_new[[#This Row],[Month Year]],Modelling_new[Date],"&lt;="&amp;Modelling_new[[#This Row],[Date]])</f>
        <v>766.20689655172441</v>
      </c>
      <c r="AJ334" s="4">
        <f>SUMIFS(Modelling_new[Target E_Grid daily
MWh],Modelling_new[Finacial Year],Modelling_new[[#This Row],[Finacial Year]],Modelling_new[Date],"&lt;="&amp;Modelling_new[[#This Row],[Date]])</f>
        <v>2706.0236938517164</v>
      </c>
      <c r="AK334" s="4">
        <f t="shared" si="108"/>
        <v>6.4141063571428605</v>
      </c>
      <c r="AL334" s="4">
        <f>SUMIFS(Modelling_new[Target POA Daily (KWh/m2)],Modelling_new[Month Year],Modelling_new[[#This Row],[Month Year]],Modelling_new[Date],"&lt;="&amp;Modelling_new[[#This Row],[Date]])</f>
        <v>70.555169928571473</v>
      </c>
      <c r="AM334" s="4">
        <f>SUMIFS(Modelling_new[Target POA Daily (KWh/m2)],Modelling_new[Finacial Year],Modelling_new[[#This Row],[Finacial Year]],Modelling_new[Date],"&lt;="&amp;Modelling_new[[#This Row],[Date]])</f>
        <v>245.98804192857136</v>
      </c>
      <c r="AN334" s="9">
        <f>AH334/Modelling_new[[#This Row],[Comisined DC ]]/AK334</f>
        <v>0.84841286405665717</v>
      </c>
      <c r="AO334" s="9">
        <f>AI334/AL334/Modelling_new[[#This Row],[MTD DC Capcity]]</f>
        <v>0.8484128640566575</v>
      </c>
      <c r="AP334" s="9">
        <f>AJ334/AM334/Modelling_new[[#This Row],[YTD DC Capcity]]</f>
        <v>0.85942430137946624</v>
      </c>
      <c r="AQ334" s="9">
        <f>AH334/(24*Modelling_new[[#This Row],[Comisined DC ]])</f>
        <v>0.22674209770114942</v>
      </c>
      <c r="AR334" s="9">
        <f>AI334/(COUNTIFS(Modelling_new[Date],"&lt;="&amp;Modelling_new[[#This Row],[Date]],Modelling_new[Month Year],Modelling_new[[#This Row],[Month Year]])*24*Modelling_new[[#This Row],[MTD DC Capcity]])</f>
        <v>0.22674209770114953</v>
      </c>
      <c r="AS334" s="28">
        <f>AJ334/(COUNTIFS(Modelling_new[Date],"&lt;="&amp;Modelling_new[[#This Row],[Date]],Modelling_new[Finacial Year],Modelling_new[[#This Row],[Finacial Year]],Modelling_new[Target E_Grid YTD
MWh],"&gt;"&amp;0)*24*Modelling_new[[#This Row],[YTD DC Capcity]])</f>
        <v>0.2097302590100846</v>
      </c>
      <c r="AT334" s="5">
        <v>12.8</v>
      </c>
      <c r="AU334" s="9">
        <f>Modelling_new[[#This Row],[Comisined DC ]]/$AO$1</f>
        <v>1</v>
      </c>
      <c r="AV33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34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334" s="27">
        <f t="shared" si="105"/>
        <v>45333</v>
      </c>
      <c r="BE334" s="5">
        <f>MONTH(Modelling[[#This Row],[Date]])</f>
        <v>2</v>
      </c>
      <c r="BF334" s="25">
        <f>YEAR(BD334)+IF(MONTH(Modelling[[#This Row],[Date]])&gt;=4,1,0)</f>
        <v>2024</v>
      </c>
      <c r="BG334" s="3">
        <f t="shared" si="101"/>
        <v>2024</v>
      </c>
      <c r="BH334" s="3" t="s">
        <v>626</v>
      </c>
      <c r="BI334" s="5" t="s">
        <v>626</v>
      </c>
      <c r="BJ334" s="102">
        <v>45323</v>
      </c>
      <c r="BK334" s="5">
        <f t="shared" si="102"/>
        <v>29</v>
      </c>
      <c r="BL334" s="5">
        <f t="shared" si="103"/>
        <v>2</v>
      </c>
      <c r="BM334" s="4">
        <f>Modelling_old[[#This Row],[Target E_Grid daily
MWh]]+Modelling_new[[#This Row],[Target E_Grid daily
MWh]]</f>
        <v>120</v>
      </c>
      <c r="BN334" s="4">
        <f>Modelling_old[[#This Row],[Target E_Grid MTD
MWh]]+Modelling_new[[#This Row],[Target E_Grid MTD
MWh]]</f>
        <v>1320.0000000000005</v>
      </c>
      <c r="BO334" s="4">
        <f>Modelling_old[[#This Row],[Target E_Grid YTD
MWh]]+Modelling_new[[#This Row],[Target E_Grid YTD
MWh]]</f>
        <v>17509.816797299998</v>
      </c>
      <c r="BP33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34" s="4">
        <f>SUMIFS(Modelling[Target POA Daily (KWh/m2)],Modelling[Date],"&lt;="&amp;Modelling[[#This Row],[Date]],Modelling[Month Year],Modelling[[#This Row],[Month Year]])</f>
        <v>77.523478169681866</v>
      </c>
      <c r="BR334" s="4">
        <f>SUMIFS(Modelling[Target POA Daily (KWh/m2)],Modelling[Date],"&lt;="&amp;Modelling[[#This Row],[Date]],Modelling[Finacial Year],Modelling[[#This Row],[Finacial Year]])</f>
        <v>1818.7542607282805</v>
      </c>
      <c r="BS334" s="9">
        <f>BM334/Modelling[[#This Row],[Comisined DC ]]/BP334</f>
        <v>0.74354147618627753</v>
      </c>
      <c r="BT334" s="9">
        <f>BN334/BQ334/Modelling[[#This Row],[Comisined DC ]]</f>
        <v>0.74354147618627775</v>
      </c>
      <c r="BU334" s="9">
        <f>BO334/BR334/Modelling[[#This Row],[Comisined DC ]]</f>
        <v>0.42040908843650981</v>
      </c>
      <c r="BV334" s="9">
        <f>BM334/(24*Modelling[[#This Row],[Comisined DC ]])</f>
        <v>0.21834061135371183</v>
      </c>
      <c r="BW334" s="9">
        <f>BN334/((COUNTIFS(Modelling[Date],"&lt;="&amp;Modelling[[#This Row],[Date]],Modelling[Month Year],Modelling[[#This Row],[Month Year]])*24*Modelling[[#This Row],[MTD DC Capcity]]))</f>
        <v>0.21834061135371186</v>
      </c>
      <c r="BX334" s="28">
        <f>BO334/((COUNTIFS(Modelling[Date],"&lt;="&amp;Modelling[[#This Row],[Date]],Modelling[Finacial Year],Modelling[[#This Row],[Finacial Year]])*24*Modelling[[#This Row],[MTD DC Capcity]]))</f>
        <v>0.10050221094148194</v>
      </c>
      <c r="BY334" s="4">
        <v>22.9</v>
      </c>
      <c r="BZ334" s="4">
        <v>0</v>
      </c>
      <c r="CA334" s="4">
        <f>AVERAGEIFS(Modelling[[Comisined DC ]],Modelling[Date],"&lt;="&amp;Modelling[[#This Row],[Date]],Modelling[Month Year],Modelling[[#This Row],[Month Year]])</f>
        <v>22.900000000000002</v>
      </c>
      <c r="CB334" s="4">
        <f>AVERAGEIFS(Modelling[[Comisined DC ]],Modelling[Date],"&lt;="&amp;Modelling[[#This Row],[Date]],Modelling[Finacial Year],Modelling[[#This Row],[Finacial Year]])</f>
        <v>13.150311041009417</v>
      </c>
      <c r="CG334">
        <f t="shared" si="119"/>
        <v>11</v>
      </c>
      <c r="CH334">
        <f t="shared" si="106"/>
        <v>317</v>
      </c>
    </row>
    <row r="335" spans="1:86" x14ac:dyDescent="0.35">
      <c r="A335" s="27">
        <v>45334</v>
      </c>
      <c r="B335" s="5">
        <f>MONTH(Modelling_old[[#This Row],[Date]])</f>
        <v>2</v>
      </c>
      <c r="C335" s="25">
        <v>2024</v>
      </c>
      <c r="D335" s="3">
        <f t="shared" si="110"/>
        <v>2024</v>
      </c>
      <c r="E335" s="3" t="s">
        <v>626</v>
      </c>
      <c r="F335" s="5" t="s">
        <v>626</v>
      </c>
      <c r="G335" s="102">
        <v>45323</v>
      </c>
      <c r="H335" s="5">
        <f t="shared" si="111"/>
        <v>29</v>
      </c>
      <c r="I335" s="5">
        <f t="shared" si="112"/>
        <v>2</v>
      </c>
      <c r="J335" s="4">
        <f t="shared" si="113"/>
        <v>50.344827586206897</v>
      </c>
      <c r="K335" s="4">
        <f>SUM($J$324:J335)</f>
        <v>604.13793103448279</v>
      </c>
      <c r="L335" s="4">
        <f>SUM($J$18:J335)</f>
        <v>14854.137931034487</v>
      </c>
      <c r="M335" s="4">
        <f t="shared" si="114"/>
        <v>6.8928571428571432</v>
      </c>
      <c r="N335" s="4">
        <f>SUM($M$324:M335)</f>
        <v>82.714285714285722</v>
      </c>
      <c r="O335" s="4">
        <f>SUM($M$18:M335)</f>
        <v>1842.4142857142817</v>
      </c>
      <c r="P335" s="9">
        <f t="shared" si="115"/>
        <v>0.63495169219029313</v>
      </c>
      <c r="Q335" s="26">
        <f t="shared" si="116"/>
        <v>0.63495169219029313</v>
      </c>
      <c r="R335" s="26">
        <f t="shared" si="117"/>
        <v>0.70088257783845909</v>
      </c>
      <c r="S335" s="9">
        <f t="shared" si="118"/>
        <v>0.18235963778679554</v>
      </c>
      <c r="T335" s="9">
        <f>K335/((COUNT($K$324:K335))*24*$Q$1)</f>
        <v>0.18235963778679551</v>
      </c>
      <c r="U335" s="28">
        <f>L335/((COUNT($L$18:L335))*24*$Q$1)</f>
        <v>0.16919759879688534</v>
      </c>
      <c r="V335" s="134">
        <v>11.5031</v>
      </c>
      <c r="Y335" s="27">
        <f t="shared" si="104"/>
        <v>45334</v>
      </c>
      <c r="Z335" s="5">
        <f>MONTH(Modelling_new[[#This Row],[Date]])</f>
        <v>2</v>
      </c>
      <c r="AA335" s="25">
        <f>YEAR(Y335)+IF(MONTH(Modelling_new[[#This Row],[Date]])&gt;=4,1,0)</f>
        <v>2024</v>
      </c>
      <c r="AB335" s="3">
        <f t="shared" si="98"/>
        <v>2024</v>
      </c>
      <c r="AC335" s="3" t="s">
        <v>626</v>
      </c>
      <c r="AD335" s="5" t="s">
        <v>626</v>
      </c>
      <c r="AE335" s="102">
        <v>45323</v>
      </c>
      <c r="AF335" s="5">
        <f t="shared" si="99"/>
        <v>29</v>
      </c>
      <c r="AG335" s="5">
        <f t="shared" si="100"/>
        <v>2</v>
      </c>
      <c r="AH335" s="4">
        <f>(VLOOKUP(AG335,$AA$2:$AK$13,10,0)/AF335)*Modelling_new[[#This Row],[Factor]]</f>
        <v>69.65517241379311</v>
      </c>
      <c r="AI335" s="4">
        <f>SUMIFS(Modelling_new[Target E_Grid daily
MWh],Modelling_new[Month Year],Modelling_new[[#This Row],[Month Year]],Modelling_new[Date],"&lt;="&amp;Modelling_new[[#This Row],[Date]])</f>
        <v>835.86206896551755</v>
      </c>
      <c r="AJ335" s="4">
        <f>SUMIFS(Modelling_new[Target E_Grid daily
MWh],Modelling_new[Finacial Year],Modelling_new[[#This Row],[Finacial Year]],Modelling_new[Date],"&lt;="&amp;Modelling_new[[#This Row],[Date]])</f>
        <v>2775.6788662655094</v>
      </c>
      <c r="AK335" s="4">
        <f t="shared" si="108"/>
        <v>6.4141063571428605</v>
      </c>
      <c r="AL335" s="4">
        <f>SUMIFS(Modelling_new[Target POA Daily (KWh/m2)],Modelling_new[Month Year],Modelling_new[[#This Row],[Month Year]],Modelling_new[Date],"&lt;="&amp;Modelling_new[[#This Row],[Date]])</f>
        <v>76.969276285714329</v>
      </c>
      <c r="AM335" s="4">
        <f>SUMIFS(Modelling_new[Target POA Daily (KWh/m2)],Modelling_new[Finacial Year],Modelling_new[[#This Row],[Finacial Year]],Modelling_new[Date],"&lt;="&amp;Modelling_new[[#This Row],[Date]])</f>
        <v>252.40214828571422</v>
      </c>
      <c r="AN335" s="9">
        <f>AH335/Modelling_new[[#This Row],[Comisined DC ]]/AK335</f>
        <v>0.84841286405665717</v>
      </c>
      <c r="AO335" s="9">
        <f>AI335/AL335/Modelling_new[[#This Row],[MTD DC Capcity]]</f>
        <v>0.8484128640566575</v>
      </c>
      <c r="AP335" s="9">
        <f>AJ335/AM335/Modelling_new[[#This Row],[YTD DC Capcity]]</f>
        <v>0.85914447598727683</v>
      </c>
      <c r="AQ335" s="9">
        <f>AH335/(24*Modelling_new[[#This Row],[Comisined DC ]])</f>
        <v>0.22674209770114942</v>
      </c>
      <c r="AR335" s="9">
        <f>AI335/(COUNTIFS(Modelling_new[Date],"&lt;="&amp;Modelling_new[[#This Row],[Date]],Modelling_new[Month Year],Modelling_new[[#This Row],[Month Year]])*24*Modelling_new[[#This Row],[MTD DC Capcity]])</f>
        <v>0.22674209770114953</v>
      </c>
      <c r="AS335" s="28">
        <f>AJ335/(COUNTIFS(Modelling_new[Date],"&lt;="&amp;Modelling_new[[#This Row],[Date]],Modelling_new[Finacial Year],Modelling_new[[#This Row],[Finacial Year]],Modelling_new[Target E_Grid YTD
MWh],"&gt;"&amp;0)*24*Modelling_new[[#This Row],[YTD DC Capcity]])</f>
        <v>0.21012588316569078</v>
      </c>
      <c r="AT335" s="5">
        <v>12.8</v>
      </c>
      <c r="AU335" s="9">
        <f>Modelling_new[[#This Row],[Comisined DC ]]/$AO$1</f>
        <v>1</v>
      </c>
      <c r="AV33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35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335" s="27">
        <f t="shared" si="105"/>
        <v>45334</v>
      </c>
      <c r="BE335" s="5">
        <f>MONTH(Modelling[[#This Row],[Date]])</f>
        <v>2</v>
      </c>
      <c r="BF335" s="25">
        <f>YEAR(BD335)+IF(MONTH(Modelling[[#This Row],[Date]])&gt;=4,1,0)</f>
        <v>2024</v>
      </c>
      <c r="BG335" s="3">
        <f t="shared" si="101"/>
        <v>2024</v>
      </c>
      <c r="BH335" s="3" t="s">
        <v>626</v>
      </c>
      <c r="BI335" s="5" t="s">
        <v>626</v>
      </c>
      <c r="BJ335" s="102">
        <v>45323</v>
      </c>
      <c r="BK335" s="5">
        <f t="shared" si="102"/>
        <v>29</v>
      </c>
      <c r="BL335" s="5">
        <f t="shared" si="103"/>
        <v>2</v>
      </c>
      <c r="BM335" s="4">
        <f>Modelling_old[[#This Row],[Target E_Grid daily
MWh]]+Modelling_new[[#This Row],[Target E_Grid daily
MWh]]</f>
        <v>120</v>
      </c>
      <c r="BN335" s="4">
        <f>Modelling_old[[#This Row],[Target E_Grid MTD
MWh]]+Modelling_new[[#This Row],[Target E_Grid MTD
MWh]]</f>
        <v>1440.0000000000005</v>
      </c>
      <c r="BO335" s="4">
        <f>Modelling_old[[#This Row],[Target E_Grid YTD
MWh]]+Modelling_new[[#This Row],[Target E_Grid YTD
MWh]]</f>
        <v>17629.816797299998</v>
      </c>
      <c r="BP33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35" s="4">
        <f>SUMIFS(Modelling[Target POA Daily (KWh/m2)],Modelling[Date],"&lt;="&amp;Modelling[[#This Row],[Date]],Modelling[Month Year],Modelling[[#This Row],[Month Year]])</f>
        <v>84.571067094198398</v>
      </c>
      <c r="BR335" s="4">
        <f>SUMIFS(Modelling[Target POA Daily (KWh/m2)],Modelling[Date],"&lt;="&amp;Modelling[[#This Row],[Date]],Modelling[Finacial Year],Modelling[[#This Row],[Finacial Year]])</f>
        <v>1825.801849652797</v>
      </c>
      <c r="BS335" s="9">
        <f>BM335/Modelling[[#This Row],[Comisined DC ]]/BP335</f>
        <v>0.74354147618627753</v>
      </c>
      <c r="BT335" s="9">
        <f>BN335/BQ335/Modelling[[#This Row],[Comisined DC ]]</f>
        <v>0.74354147618627775</v>
      </c>
      <c r="BU335" s="9">
        <f>BO335/BR335/Modelling[[#This Row],[Comisined DC ]]</f>
        <v>0.42165637835326114</v>
      </c>
      <c r="BV335" s="9">
        <f>BM335/(24*Modelling[[#This Row],[Comisined DC ]])</f>
        <v>0.21834061135371183</v>
      </c>
      <c r="BW335" s="9">
        <f>BN335/((COUNTIFS(Modelling[Date],"&lt;="&amp;Modelling[[#This Row],[Date]],Modelling[Month Year],Modelling[[#This Row],[Month Year]])*24*Modelling[[#This Row],[MTD DC Capcity]]))</f>
        <v>0.21834061135371183</v>
      </c>
      <c r="BX335" s="28">
        <f>BO335/((COUNTIFS(Modelling[Date],"&lt;="&amp;Modelling[[#This Row],[Date]],Modelling[Finacial Year],Modelling[[#This Row],[Finacial Year]])*24*Modelling[[#This Row],[MTD DC Capcity]]))</f>
        <v>0.10087277194906757</v>
      </c>
      <c r="BY335" s="4">
        <v>22.9</v>
      </c>
      <c r="BZ335" s="4">
        <v>0</v>
      </c>
      <c r="CA335" s="4">
        <f>AVERAGEIFS(Modelling[[Comisined DC ]],Modelling[Date],"&lt;="&amp;Modelling[[#This Row],[Date]],Modelling[Month Year],Modelling[[#This Row],[Month Year]])</f>
        <v>22.900000000000002</v>
      </c>
      <c r="CB335" s="4">
        <f>AVERAGEIFS(Modelling[[Comisined DC ]],Modelling[Date],"&lt;="&amp;Modelling[[#This Row],[Date]],Modelling[Finacial Year],Modelling[[#This Row],[Finacial Year]])</f>
        <v>13.180970440251524</v>
      </c>
      <c r="CG335">
        <f t="shared" si="119"/>
        <v>12</v>
      </c>
      <c r="CH335">
        <f t="shared" si="106"/>
        <v>318</v>
      </c>
    </row>
    <row r="336" spans="1:86" x14ac:dyDescent="0.35">
      <c r="A336" s="27">
        <v>45335</v>
      </c>
      <c r="B336" s="5">
        <f>MONTH(Modelling_old[[#This Row],[Date]])</f>
        <v>2</v>
      </c>
      <c r="C336" s="25">
        <v>2024</v>
      </c>
      <c r="D336" s="3">
        <f t="shared" si="110"/>
        <v>2024</v>
      </c>
      <c r="E336" s="3" t="s">
        <v>626</v>
      </c>
      <c r="F336" s="5" t="s">
        <v>626</v>
      </c>
      <c r="G336" s="102">
        <v>45323</v>
      </c>
      <c r="H336" s="5">
        <f t="shared" si="111"/>
        <v>29</v>
      </c>
      <c r="I336" s="5">
        <f t="shared" si="112"/>
        <v>2</v>
      </c>
      <c r="J336" s="4">
        <f t="shared" si="113"/>
        <v>50.344827586206897</v>
      </c>
      <c r="K336" s="4">
        <f>SUM($J$324:J336)</f>
        <v>654.48275862068965</v>
      </c>
      <c r="L336" s="4">
        <f>SUM($J$18:J336)</f>
        <v>14904.482758620694</v>
      </c>
      <c r="M336" s="4">
        <f t="shared" si="114"/>
        <v>6.8928571428571432</v>
      </c>
      <c r="N336" s="4">
        <f>SUM($M$324:M336)</f>
        <v>89.607142857142861</v>
      </c>
      <c r="O336" s="4">
        <f>SUM($M$18:M336)</f>
        <v>1849.3071428571388</v>
      </c>
      <c r="P336" s="9">
        <f t="shared" si="115"/>
        <v>0.63495169219029313</v>
      </c>
      <c r="Q336" s="26">
        <f t="shared" si="116"/>
        <v>0.63495169219029313</v>
      </c>
      <c r="R336" s="26">
        <f t="shared" si="117"/>
        <v>0.70063683597895754</v>
      </c>
      <c r="S336" s="9">
        <f t="shared" si="118"/>
        <v>0.18235963778679554</v>
      </c>
      <c r="T336" s="9">
        <f>K336/((COUNT($K$324:K336))*24*$Q$1)</f>
        <v>0.18235963778679551</v>
      </c>
      <c r="U336" s="28">
        <f>L336/((COUNT($L$18:L336))*24*$Q$1)</f>
        <v>0.16923885910719855</v>
      </c>
      <c r="V336" s="134">
        <v>11.5031</v>
      </c>
      <c r="Y336" s="27">
        <f t="shared" si="104"/>
        <v>45335</v>
      </c>
      <c r="Z336" s="5">
        <f>MONTH(Modelling_new[[#This Row],[Date]])</f>
        <v>2</v>
      </c>
      <c r="AA336" s="25">
        <f>YEAR(Y336)+IF(MONTH(Modelling_new[[#This Row],[Date]])&gt;=4,1,0)</f>
        <v>2024</v>
      </c>
      <c r="AB336" s="3">
        <f t="shared" si="98"/>
        <v>2024</v>
      </c>
      <c r="AC336" s="3" t="s">
        <v>626</v>
      </c>
      <c r="AD336" s="5" t="s">
        <v>626</v>
      </c>
      <c r="AE336" s="102">
        <v>45323</v>
      </c>
      <c r="AF336" s="5">
        <f t="shared" si="99"/>
        <v>29</v>
      </c>
      <c r="AG336" s="5">
        <f t="shared" si="100"/>
        <v>2</v>
      </c>
      <c r="AH336" s="4">
        <f>(VLOOKUP(AG336,$AA$2:$AK$13,10,0)/AF336)*Modelling_new[[#This Row],[Factor]]</f>
        <v>69.65517241379311</v>
      </c>
      <c r="AI336" s="4">
        <f>SUMIFS(Modelling_new[Target E_Grid daily
MWh],Modelling_new[Month Year],Modelling_new[[#This Row],[Month Year]],Modelling_new[Date],"&lt;="&amp;Modelling_new[[#This Row],[Date]])</f>
        <v>905.51724137931069</v>
      </c>
      <c r="AJ336" s="4">
        <f>SUMIFS(Modelling_new[Target E_Grid daily
MWh],Modelling_new[Finacial Year],Modelling_new[[#This Row],[Finacial Year]],Modelling_new[Date],"&lt;="&amp;Modelling_new[[#This Row],[Date]])</f>
        <v>2845.3340386793025</v>
      </c>
      <c r="AK336" s="4">
        <f t="shared" si="108"/>
        <v>6.4141063571428605</v>
      </c>
      <c r="AL336" s="4">
        <f>SUMIFS(Modelling_new[Target POA Daily (KWh/m2)],Modelling_new[Month Year],Modelling_new[[#This Row],[Month Year]],Modelling_new[Date],"&lt;="&amp;Modelling_new[[#This Row],[Date]])</f>
        <v>83.383382642857185</v>
      </c>
      <c r="AM336" s="4">
        <f>SUMIFS(Modelling_new[Target POA Daily (KWh/m2)],Modelling_new[Finacial Year],Modelling_new[[#This Row],[Finacial Year]],Modelling_new[Date],"&lt;="&amp;Modelling_new[[#This Row],[Date]])</f>
        <v>258.81625464285707</v>
      </c>
      <c r="AN336" s="9">
        <f>AH336/Modelling_new[[#This Row],[Comisined DC ]]/AK336</f>
        <v>0.84841286405665717</v>
      </c>
      <c r="AO336" s="9">
        <f>AI336/AL336/Modelling_new[[#This Row],[MTD DC Capcity]]</f>
        <v>0.8484128640566575</v>
      </c>
      <c r="AP336" s="9">
        <f>AJ336/AM336/Modelling_new[[#This Row],[YTD DC Capcity]]</f>
        <v>0.85887852012449095</v>
      </c>
      <c r="AQ336" s="9">
        <f>AH336/(24*Modelling_new[[#This Row],[Comisined DC ]])</f>
        <v>0.22674209770114942</v>
      </c>
      <c r="AR336" s="9">
        <f>AI336/(COUNTIFS(Modelling_new[Date],"&lt;="&amp;Modelling_new[[#This Row],[Date]],Modelling_new[Month Year],Modelling_new[[#This Row],[Month Year]])*24*Modelling_new[[#This Row],[MTD DC Capcity]])</f>
        <v>0.2267420977011495</v>
      </c>
      <c r="AS336" s="28">
        <f>AJ336/(COUNTIFS(Modelling_new[Date],"&lt;="&amp;Modelling_new[[#This Row],[Date]],Modelling_new[Finacial Year],Modelling_new[[#This Row],[Finacial Year]],Modelling_new[Target E_Grid YTD
MWh],"&gt;"&amp;0)*24*Modelling_new[[#This Row],[YTD DC Capcity]])</f>
        <v>0.21050352440513304</v>
      </c>
      <c r="AT336" s="5">
        <v>12.8</v>
      </c>
      <c r="AU336" s="9">
        <f>Modelling_new[[#This Row],[Comisined DC ]]/$AO$1</f>
        <v>1</v>
      </c>
      <c r="AV336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36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336" s="27">
        <f t="shared" si="105"/>
        <v>45335</v>
      </c>
      <c r="BE336" s="5">
        <f>MONTH(Modelling[[#This Row],[Date]])</f>
        <v>2</v>
      </c>
      <c r="BF336" s="25">
        <f>YEAR(BD336)+IF(MONTH(Modelling[[#This Row],[Date]])&gt;=4,1,0)</f>
        <v>2024</v>
      </c>
      <c r="BG336" s="3">
        <f t="shared" si="101"/>
        <v>2024</v>
      </c>
      <c r="BH336" s="3" t="s">
        <v>626</v>
      </c>
      <c r="BI336" s="5" t="s">
        <v>626</v>
      </c>
      <c r="BJ336" s="102">
        <v>45323</v>
      </c>
      <c r="BK336" s="5">
        <f t="shared" si="102"/>
        <v>29</v>
      </c>
      <c r="BL336" s="5">
        <f t="shared" si="103"/>
        <v>2</v>
      </c>
      <c r="BM336" s="4">
        <f>Modelling_old[[#This Row],[Target E_Grid daily
MWh]]+Modelling_new[[#This Row],[Target E_Grid daily
MWh]]</f>
        <v>120</v>
      </c>
      <c r="BN336" s="4">
        <f>Modelling_old[[#This Row],[Target E_Grid MTD
MWh]]+Modelling_new[[#This Row],[Target E_Grid MTD
MWh]]</f>
        <v>1560.0000000000005</v>
      </c>
      <c r="BO336" s="4">
        <f>Modelling_old[[#This Row],[Target E_Grid YTD
MWh]]+Modelling_new[[#This Row],[Target E_Grid YTD
MWh]]</f>
        <v>17749.816797299995</v>
      </c>
      <c r="BP33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36" s="4">
        <f>SUMIFS(Modelling[Target POA Daily (KWh/m2)],Modelling[Date],"&lt;="&amp;Modelling[[#This Row],[Date]],Modelling[Month Year],Modelling[[#This Row],[Month Year]])</f>
        <v>91.61865601871493</v>
      </c>
      <c r="BR336" s="4">
        <f>SUMIFS(Modelling[Target POA Daily (KWh/m2)],Modelling[Date],"&lt;="&amp;Modelling[[#This Row],[Date]],Modelling[Finacial Year],Modelling[[#This Row],[Finacial Year]])</f>
        <v>1832.8494385773135</v>
      </c>
      <c r="BS336" s="9">
        <f>BM336/Modelling[[#This Row],[Comisined DC ]]/BP336</f>
        <v>0.74354147618627753</v>
      </c>
      <c r="BT336" s="9">
        <f>BN336/BQ336/Modelling[[#This Row],[Comisined DC ]]</f>
        <v>0.74354147618627775</v>
      </c>
      <c r="BU336" s="9">
        <f>BO336/BR336/Modelling[[#This Row],[Comisined DC ]]</f>
        <v>0.42289407622560549</v>
      </c>
      <c r="BV336" s="9">
        <f>BM336/(24*Modelling[[#This Row],[Comisined DC ]])</f>
        <v>0.21834061135371183</v>
      </c>
      <c r="BW336" s="9">
        <f>BN336/((COUNTIFS(Modelling[Date],"&lt;="&amp;Modelling[[#This Row],[Date]],Modelling[Month Year],Modelling[[#This Row],[Month Year]])*24*Modelling[[#This Row],[MTD DC Capcity]]))</f>
        <v>0.21834061135371188</v>
      </c>
      <c r="BX336" s="28">
        <f>BO336/((COUNTIFS(Modelling[Date],"&lt;="&amp;Modelling[[#This Row],[Date]],Modelling[Finacial Year],Modelling[[#This Row],[Finacial Year]])*24*Modelling[[#This Row],[MTD DC Capcity]]))</f>
        <v>0.10124100969014795</v>
      </c>
      <c r="BY336" s="4">
        <v>22.9</v>
      </c>
      <c r="BZ336" s="4">
        <v>0</v>
      </c>
      <c r="CA336" s="4">
        <f>AVERAGEIFS(Modelling[[Comisined DC ]],Modelling[Date],"&lt;="&amp;Modelling[[#This Row],[Date]],Modelling[Month Year],Modelling[[#This Row],[Month Year]])</f>
        <v>22.9</v>
      </c>
      <c r="CB336" s="4">
        <f>AVERAGEIFS(Modelling[[Comisined DC ]],Modelling[Date],"&lt;="&amp;Modelling[[#This Row],[Date]],Modelling[Finacial Year],Modelling[[#This Row],[Finacial Year]])</f>
        <v>13.211437617554809</v>
      </c>
      <c r="CG336">
        <f t="shared" si="119"/>
        <v>13</v>
      </c>
      <c r="CH336">
        <f t="shared" si="106"/>
        <v>319</v>
      </c>
    </row>
    <row r="337" spans="1:86" x14ac:dyDescent="0.35">
      <c r="A337" s="27">
        <v>45336</v>
      </c>
      <c r="B337" s="5">
        <f>MONTH(Modelling_old[[#This Row],[Date]])</f>
        <v>2</v>
      </c>
      <c r="C337" s="25">
        <v>2024</v>
      </c>
      <c r="D337" s="3">
        <f t="shared" si="110"/>
        <v>2024</v>
      </c>
      <c r="E337" s="3" t="s">
        <v>626</v>
      </c>
      <c r="F337" s="5" t="s">
        <v>626</v>
      </c>
      <c r="G337" s="102">
        <v>45323</v>
      </c>
      <c r="H337" s="5">
        <f t="shared" si="111"/>
        <v>29</v>
      </c>
      <c r="I337" s="5">
        <f t="shared" si="112"/>
        <v>2</v>
      </c>
      <c r="J337" s="4">
        <f t="shared" si="113"/>
        <v>50.344827586206897</v>
      </c>
      <c r="K337" s="4">
        <f>SUM($J$324:J337)</f>
        <v>704.82758620689651</v>
      </c>
      <c r="L337" s="4">
        <f>SUM($J$18:J337)</f>
        <v>14954.8275862069</v>
      </c>
      <c r="M337" s="4">
        <f t="shared" si="114"/>
        <v>6.8928571428571432</v>
      </c>
      <c r="N337" s="4">
        <f>SUM($M$324:M337)</f>
        <v>96.5</v>
      </c>
      <c r="O337" s="4">
        <f>SUM($M$18:M337)</f>
        <v>1856.199999999996</v>
      </c>
      <c r="P337" s="9">
        <f t="shared" si="115"/>
        <v>0.63495169219029313</v>
      </c>
      <c r="Q337" s="26">
        <f t="shared" si="116"/>
        <v>0.63495169219029313</v>
      </c>
      <c r="R337" s="26">
        <f t="shared" si="117"/>
        <v>0.70039291920676527</v>
      </c>
      <c r="S337" s="9">
        <f t="shared" si="118"/>
        <v>0.18235963778679554</v>
      </c>
      <c r="T337" s="9">
        <f>K337/((COUNT($K$324:K337))*24*$Q$1)</f>
        <v>0.18235963778679548</v>
      </c>
      <c r="U337" s="28">
        <f>L337/((COUNT($L$18:L337))*24*$Q$1)</f>
        <v>0.16927986154057226</v>
      </c>
      <c r="V337" s="134">
        <v>11.5031</v>
      </c>
      <c r="Y337" s="27">
        <f t="shared" si="104"/>
        <v>45336</v>
      </c>
      <c r="Z337" s="5">
        <f>MONTH(Modelling_new[[#This Row],[Date]])</f>
        <v>2</v>
      </c>
      <c r="AA337" s="25">
        <f>YEAR(Y337)+IF(MONTH(Modelling_new[[#This Row],[Date]])&gt;=4,1,0)</f>
        <v>2024</v>
      </c>
      <c r="AB337" s="3">
        <f t="shared" si="98"/>
        <v>2024</v>
      </c>
      <c r="AC337" s="3" t="s">
        <v>626</v>
      </c>
      <c r="AD337" s="5" t="s">
        <v>626</v>
      </c>
      <c r="AE337" s="102">
        <v>45323</v>
      </c>
      <c r="AF337" s="5">
        <f t="shared" si="99"/>
        <v>29</v>
      </c>
      <c r="AG337" s="5">
        <f t="shared" si="100"/>
        <v>2</v>
      </c>
      <c r="AH337" s="4">
        <f>(VLOOKUP(AG337,$AA$2:$AK$13,10,0)/AF337)*Modelling_new[[#This Row],[Factor]]</f>
        <v>69.65517241379311</v>
      </c>
      <c r="AI337" s="4">
        <f>SUMIFS(Modelling_new[Target E_Grid daily
MWh],Modelling_new[Month Year],Modelling_new[[#This Row],[Month Year]],Modelling_new[Date],"&lt;="&amp;Modelling_new[[#This Row],[Date]])</f>
        <v>975.17241379310383</v>
      </c>
      <c r="AJ337" s="4">
        <f>SUMIFS(Modelling_new[Target E_Grid daily
MWh],Modelling_new[Finacial Year],Modelling_new[[#This Row],[Finacial Year]],Modelling_new[Date],"&lt;="&amp;Modelling_new[[#This Row],[Date]])</f>
        <v>2914.9892110930955</v>
      </c>
      <c r="AK337" s="4">
        <f t="shared" si="108"/>
        <v>6.4141063571428605</v>
      </c>
      <c r="AL337" s="4">
        <f>SUMIFS(Modelling_new[Target POA Daily (KWh/m2)],Modelling_new[Month Year],Modelling_new[[#This Row],[Month Year]],Modelling_new[Date],"&lt;="&amp;Modelling_new[[#This Row],[Date]])</f>
        <v>89.797489000000041</v>
      </c>
      <c r="AM337" s="4">
        <f>SUMIFS(Modelling_new[Target POA Daily (KWh/m2)],Modelling_new[Finacial Year],Modelling_new[[#This Row],[Finacial Year]],Modelling_new[Date],"&lt;="&amp;Modelling_new[[#This Row],[Date]])</f>
        <v>265.23036099999996</v>
      </c>
      <c r="AN337" s="9">
        <f>AH337/Modelling_new[[#This Row],[Comisined DC ]]/AK337</f>
        <v>0.84841286405665717</v>
      </c>
      <c r="AO337" s="9">
        <f>AI337/AL337/Modelling_new[[#This Row],[MTD DC Capcity]]</f>
        <v>0.8484128640566575</v>
      </c>
      <c r="AP337" s="9">
        <f>AJ337/AM337/Modelling_new[[#This Row],[YTD DC Capcity]]</f>
        <v>0.8586254275642603</v>
      </c>
      <c r="AQ337" s="9">
        <f>AH337/(24*Modelling_new[[#This Row],[Comisined DC ]])</f>
        <v>0.22674209770114942</v>
      </c>
      <c r="AR337" s="9">
        <f>AI337/(COUNTIFS(Modelling_new[Date],"&lt;="&amp;Modelling_new[[#This Row],[Date]],Modelling_new[Month Year],Modelling_new[[#This Row],[Month Year]])*24*Modelling_new[[#This Row],[MTD DC Capcity]])</f>
        <v>0.2267420977011495</v>
      </c>
      <c r="AS337" s="28">
        <f>AJ337/(COUNTIFS(Modelling_new[Date],"&lt;="&amp;Modelling_new[[#This Row],[Date]],Modelling_new[Finacial Year],Modelling_new[[#This Row],[Finacial Year]],Modelling_new[Target E_Grid YTD
MWh],"&gt;"&amp;0)*24*Modelling_new[[#This Row],[YTD DC Capcity]])</f>
        <v>0.21086438158948898</v>
      </c>
      <c r="AT337" s="5">
        <v>12.8</v>
      </c>
      <c r="AU337" s="9">
        <f>Modelling_new[[#This Row],[Comisined DC ]]/$AO$1</f>
        <v>1</v>
      </c>
      <c r="AV33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37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337" s="27">
        <f t="shared" si="105"/>
        <v>45336</v>
      </c>
      <c r="BE337" s="5">
        <f>MONTH(Modelling[[#This Row],[Date]])</f>
        <v>2</v>
      </c>
      <c r="BF337" s="25">
        <f>YEAR(BD337)+IF(MONTH(Modelling[[#This Row],[Date]])&gt;=4,1,0)</f>
        <v>2024</v>
      </c>
      <c r="BG337" s="3">
        <f t="shared" si="101"/>
        <v>2024</v>
      </c>
      <c r="BH337" s="3" t="s">
        <v>626</v>
      </c>
      <c r="BI337" s="5" t="s">
        <v>626</v>
      </c>
      <c r="BJ337" s="102">
        <v>45323</v>
      </c>
      <c r="BK337" s="5">
        <f t="shared" si="102"/>
        <v>29</v>
      </c>
      <c r="BL337" s="5">
        <f t="shared" si="103"/>
        <v>2</v>
      </c>
      <c r="BM337" s="4">
        <f>Modelling_old[[#This Row],[Target E_Grid daily
MWh]]+Modelling_new[[#This Row],[Target E_Grid daily
MWh]]</f>
        <v>120</v>
      </c>
      <c r="BN337" s="4">
        <f>Modelling_old[[#This Row],[Target E_Grid MTD
MWh]]+Modelling_new[[#This Row],[Target E_Grid MTD
MWh]]</f>
        <v>1680.0000000000005</v>
      </c>
      <c r="BO337" s="4">
        <f>Modelling_old[[#This Row],[Target E_Grid YTD
MWh]]+Modelling_new[[#This Row],[Target E_Grid YTD
MWh]]</f>
        <v>17869.816797299995</v>
      </c>
      <c r="BP33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37" s="4">
        <f>SUMIFS(Modelling[Target POA Daily (KWh/m2)],Modelling[Date],"&lt;="&amp;Modelling[[#This Row],[Date]],Modelling[Month Year],Modelling[[#This Row],[Month Year]])</f>
        <v>98.666244943231462</v>
      </c>
      <c r="BR337" s="4">
        <f>SUMIFS(Modelling[Target POA Daily (KWh/m2)],Modelling[Date],"&lt;="&amp;Modelling[[#This Row],[Date]],Modelling[Finacial Year],Modelling[[#This Row],[Finacial Year]])</f>
        <v>1839.8970275018301</v>
      </c>
      <c r="BS337" s="9">
        <f>BM337/Modelling[[#This Row],[Comisined DC ]]/BP337</f>
        <v>0.74354147618627753</v>
      </c>
      <c r="BT337" s="9">
        <f>BN337/BQ337/Modelling[[#This Row],[Comisined DC ]]</f>
        <v>0.74354147618627775</v>
      </c>
      <c r="BU337" s="9">
        <f>BO337/BR337/Modelling[[#This Row],[Comisined DC ]]</f>
        <v>0.42412229227838438</v>
      </c>
      <c r="BV337" s="9">
        <f>BM337/(24*Modelling[[#This Row],[Comisined DC ]])</f>
        <v>0.21834061135371183</v>
      </c>
      <c r="BW337" s="9">
        <f>BN337/((COUNTIFS(Modelling[Date],"&lt;="&amp;Modelling[[#This Row],[Date]],Modelling[Month Year],Modelling[[#This Row],[Month Year]])*24*Modelling[[#This Row],[MTD DC Capcity]]))</f>
        <v>0.21834061135371186</v>
      </c>
      <c r="BX337" s="28">
        <f>BO337/((COUNTIFS(Modelling[Date],"&lt;="&amp;Modelling[[#This Row],[Date]],Modelling[Finacial Year],Modelling[[#This Row],[Finacial Year]])*24*Modelling[[#This Row],[MTD DC Capcity]]))</f>
        <v>0.10160694594534658</v>
      </c>
      <c r="BY337" s="4">
        <v>22.9</v>
      </c>
      <c r="BZ337" s="4">
        <v>0</v>
      </c>
      <c r="CA337" s="4">
        <f>AVERAGEIFS(Modelling[[Comisined DC ]],Modelling[Date],"&lt;="&amp;Modelling[[#This Row],[Date]],Modelling[Month Year],Modelling[[#This Row],[Month Year]])</f>
        <v>22.9</v>
      </c>
      <c r="CB337" s="4">
        <f>AVERAGEIFS(Modelling[[Comisined DC ]],Modelling[Date],"&lt;="&amp;Modelling[[#This Row],[Date]],Modelling[Finacial Year],Modelling[[#This Row],[Finacial Year]])</f>
        <v>13.241714374999949</v>
      </c>
      <c r="CG337">
        <f t="shared" si="119"/>
        <v>14</v>
      </c>
      <c r="CH337">
        <f t="shared" si="106"/>
        <v>320</v>
      </c>
    </row>
    <row r="338" spans="1:86" x14ac:dyDescent="0.35">
      <c r="A338" s="27">
        <v>45337</v>
      </c>
      <c r="B338" s="5">
        <f>MONTH(Modelling_old[[#This Row],[Date]])</f>
        <v>2</v>
      </c>
      <c r="C338" s="25">
        <v>2024</v>
      </c>
      <c r="D338" s="3">
        <f t="shared" si="110"/>
        <v>2024</v>
      </c>
      <c r="E338" s="3" t="s">
        <v>626</v>
      </c>
      <c r="F338" s="5" t="s">
        <v>626</v>
      </c>
      <c r="G338" s="102">
        <v>45323</v>
      </c>
      <c r="H338" s="5">
        <f t="shared" si="111"/>
        <v>29</v>
      </c>
      <c r="I338" s="5">
        <f t="shared" si="112"/>
        <v>2</v>
      </c>
      <c r="J338" s="4">
        <f t="shared" si="113"/>
        <v>50.344827586206897</v>
      </c>
      <c r="K338" s="4">
        <f>SUM($J$324:J338)</f>
        <v>755.17241379310337</v>
      </c>
      <c r="L338" s="4">
        <f>SUM($J$18:J338)</f>
        <v>15005.172413793107</v>
      </c>
      <c r="M338" s="4">
        <f t="shared" si="114"/>
        <v>6.8928571428571432</v>
      </c>
      <c r="N338" s="4">
        <f>SUM($M$324:M338)</f>
        <v>103.39285714285714</v>
      </c>
      <c r="O338" s="4">
        <f>SUM($M$18:M338)</f>
        <v>1863.0928571428531</v>
      </c>
      <c r="P338" s="9">
        <f t="shared" si="115"/>
        <v>0.63495169219029313</v>
      </c>
      <c r="Q338" s="26">
        <f t="shared" si="116"/>
        <v>0.63495169219029313</v>
      </c>
      <c r="R338" s="26">
        <f t="shared" si="117"/>
        <v>0.70015080726513634</v>
      </c>
      <c r="S338" s="9">
        <f t="shared" si="118"/>
        <v>0.18235963778679554</v>
      </c>
      <c r="T338" s="9">
        <f>K338/((COUNT($K$324:K338))*24*$Q$1)</f>
        <v>0.18235963778679548</v>
      </c>
      <c r="U338" s="28">
        <f>L338/((COUNT($L$18:L338))*24*$Q$1)</f>
        <v>0.1693206085070714</v>
      </c>
      <c r="V338" s="134">
        <v>11.5031</v>
      </c>
      <c r="Y338" s="27">
        <f t="shared" si="104"/>
        <v>45337</v>
      </c>
      <c r="Z338" s="5">
        <f>MONTH(Modelling_new[[#This Row],[Date]])</f>
        <v>2</v>
      </c>
      <c r="AA338" s="25">
        <f>YEAR(Y338)+IF(MONTH(Modelling_new[[#This Row],[Date]])&gt;=4,1,0)</f>
        <v>2024</v>
      </c>
      <c r="AB338" s="3">
        <f t="shared" ref="AB338:AB383" si="120">YEAR(Y338)</f>
        <v>2024</v>
      </c>
      <c r="AC338" s="3" t="s">
        <v>626</v>
      </c>
      <c r="AD338" s="5" t="s">
        <v>626</v>
      </c>
      <c r="AE338" s="102">
        <v>45323</v>
      </c>
      <c r="AF338" s="5">
        <f t="shared" ref="AF338:AF383" si="121">DAY(EOMONTH(AE338,0))</f>
        <v>29</v>
      </c>
      <c r="AG338" s="5">
        <f t="shared" ref="AG338:AG383" si="122">MONTH(Y338)</f>
        <v>2</v>
      </c>
      <c r="AH338" s="4">
        <f>(VLOOKUP(AG338,$AA$2:$AK$13,10,0)/AF338)*Modelling_new[[#This Row],[Factor]]</f>
        <v>69.65517241379311</v>
      </c>
      <c r="AI338" s="4">
        <f>SUMIFS(Modelling_new[Target E_Grid daily
MWh],Modelling_new[Month Year],Modelling_new[[#This Row],[Month Year]],Modelling_new[Date],"&lt;="&amp;Modelling_new[[#This Row],[Date]])</f>
        <v>1044.827586206897</v>
      </c>
      <c r="AJ338" s="4">
        <f>SUMIFS(Modelling_new[Target E_Grid daily
MWh],Modelling_new[Finacial Year],Modelling_new[[#This Row],[Finacial Year]],Modelling_new[Date],"&lt;="&amp;Modelling_new[[#This Row],[Date]])</f>
        <v>2984.6443835068885</v>
      </c>
      <c r="AK338" s="4">
        <f t="shared" si="108"/>
        <v>6.4141063571428605</v>
      </c>
      <c r="AL338" s="4">
        <f>SUMIFS(Modelling_new[Target POA Daily (KWh/m2)],Modelling_new[Month Year],Modelling_new[[#This Row],[Month Year]],Modelling_new[Date],"&lt;="&amp;Modelling_new[[#This Row],[Date]])</f>
        <v>96.211595357142897</v>
      </c>
      <c r="AM338" s="4">
        <f>SUMIFS(Modelling_new[Target POA Daily (KWh/m2)],Modelling_new[Finacial Year],Modelling_new[[#This Row],[Finacial Year]],Modelling_new[Date],"&lt;="&amp;Modelling_new[[#This Row],[Date]])</f>
        <v>271.64446735714284</v>
      </c>
      <c r="AN338" s="9">
        <f>AH338/Modelling_new[[#This Row],[Comisined DC ]]/AK338</f>
        <v>0.84841286405665717</v>
      </c>
      <c r="AO338" s="9">
        <f>AI338/AL338/Modelling_new[[#This Row],[MTD DC Capcity]]</f>
        <v>0.84841286405665739</v>
      </c>
      <c r="AP338" s="9">
        <f>AJ338/AM338/Modelling_new[[#This Row],[YTD DC Capcity]]</f>
        <v>0.85838428711640169</v>
      </c>
      <c r="AQ338" s="9">
        <f>AH338/(24*Modelling_new[[#This Row],[Comisined DC ]])</f>
        <v>0.22674209770114942</v>
      </c>
      <c r="AR338" s="9">
        <f>AI338/(COUNTIFS(Modelling_new[Date],"&lt;="&amp;Modelling_new[[#This Row],[Date]],Modelling_new[Month Year],Modelling_new[[#This Row],[Month Year]])*24*Modelling_new[[#This Row],[MTD DC Capcity]])</f>
        <v>0.22674209770114948</v>
      </c>
      <c r="AS338" s="28">
        <f>AJ338/(COUNTIFS(Modelling_new[Date],"&lt;="&amp;Modelling_new[[#This Row],[Date]],Modelling_new[Finacial Year],Modelling_new[[#This Row],[Finacial Year]],Modelling_new[Target E_Grid YTD
MWh],"&gt;"&amp;0)*24*Modelling_new[[#This Row],[YTD DC Capcity]])</f>
        <v>0.21120954933104683</v>
      </c>
      <c r="AT338" s="5">
        <v>12.8</v>
      </c>
      <c r="AU338" s="9">
        <f>Modelling_new[[#This Row],[Comisined DC ]]/$AO$1</f>
        <v>1</v>
      </c>
      <c r="AV338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38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38" s="27">
        <f t="shared" si="105"/>
        <v>45337</v>
      </c>
      <c r="BE338" s="5">
        <f>MONTH(Modelling[[#This Row],[Date]])</f>
        <v>2</v>
      </c>
      <c r="BF338" s="25">
        <f>YEAR(BD338)+IF(MONTH(Modelling[[#This Row],[Date]])&gt;=4,1,0)</f>
        <v>2024</v>
      </c>
      <c r="BG338" s="3">
        <f t="shared" ref="BG338:BG383" si="123">YEAR(BD338)</f>
        <v>2024</v>
      </c>
      <c r="BH338" s="3" t="s">
        <v>626</v>
      </c>
      <c r="BI338" s="5" t="s">
        <v>626</v>
      </c>
      <c r="BJ338" s="102">
        <v>45323</v>
      </c>
      <c r="BK338" s="5">
        <f t="shared" ref="BK338:BK383" si="124">DAY(EOMONTH(BJ338,0))</f>
        <v>29</v>
      </c>
      <c r="BL338" s="5">
        <f t="shared" ref="BL338:BL383" si="125">MONTH(BD338)</f>
        <v>2</v>
      </c>
      <c r="BM338" s="4">
        <f>Modelling_old[[#This Row],[Target E_Grid daily
MWh]]+Modelling_new[[#This Row],[Target E_Grid daily
MWh]]</f>
        <v>120</v>
      </c>
      <c r="BN338" s="4">
        <f>Modelling_old[[#This Row],[Target E_Grid MTD
MWh]]+Modelling_new[[#This Row],[Target E_Grid MTD
MWh]]</f>
        <v>1800.0000000000005</v>
      </c>
      <c r="BO338" s="4">
        <f>Modelling_old[[#This Row],[Target E_Grid YTD
MWh]]+Modelling_new[[#This Row],[Target E_Grid YTD
MWh]]</f>
        <v>17989.816797299995</v>
      </c>
      <c r="BP33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38" s="4">
        <f>SUMIFS(Modelling[Target POA Daily (KWh/m2)],Modelling[Date],"&lt;="&amp;Modelling[[#This Row],[Date]],Modelling[Month Year],Modelling[[#This Row],[Month Year]])</f>
        <v>105.71383386774799</v>
      </c>
      <c r="BR338" s="4">
        <f>SUMIFS(Modelling[Target POA Daily (KWh/m2)],Modelling[Date],"&lt;="&amp;Modelling[[#This Row],[Date]],Modelling[Finacial Year],Modelling[[#This Row],[Finacial Year]])</f>
        <v>1846.9446164263466</v>
      </c>
      <c r="BS338" s="9">
        <f>BM338/Modelling[[#This Row],[Comisined DC ]]/BP338</f>
        <v>0.74354147618627753</v>
      </c>
      <c r="BT338" s="9">
        <f>BN338/BQ338/Modelling[[#This Row],[Comisined DC ]]</f>
        <v>0.74354147618627775</v>
      </c>
      <c r="BU338" s="9">
        <f>BO338/BR338/Modelling[[#This Row],[Comisined DC ]]</f>
        <v>0.42534113505405086</v>
      </c>
      <c r="BV338" s="9">
        <f>BM338/(24*Modelling[[#This Row],[Comisined DC ]])</f>
        <v>0.21834061135371183</v>
      </c>
      <c r="BW338" s="9">
        <f>BN338/((COUNTIFS(Modelling[Date],"&lt;="&amp;Modelling[[#This Row],[Date]],Modelling[Month Year],Modelling[[#This Row],[Month Year]])*24*Modelling[[#This Row],[MTD DC Capcity]]))</f>
        <v>0.21834061135371188</v>
      </c>
      <c r="BX338" s="28">
        <f>BO338/((COUNTIFS(Modelling[Date],"&lt;="&amp;Modelling[[#This Row],[Date]],Modelling[Finacial Year],Modelling[[#This Row],[Finacial Year]])*24*Modelling[[#This Row],[MTD DC Capcity]]))</f>
        <v>0.10197060222387734</v>
      </c>
      <c r="BY338" s="4">
        <v>22.9</v>
      </c>
      <c r="BZ338" s="4">
        <v>0</v>
      </c>
      <c r="CA338" s="4">
        <f>AVERAGEIFS(Modelling[[Comisined DC ]],Modelling[Date],"&lt;="&amp;Modelling[[#This Row],[Date]],Modelling[Month Year],Modelling[[#This Row],[Month Year]])</f>
        <v>22.899999999999995</v>
      </c>
      <c r="CB338" s="4">
        <f>AVERAGEIFS(Modelling[[Comisined DC ]],Modelling[Date],"&lt;="&amp;Modelling[[#This Row],[Date]],Modelling[Finacial Year],Modelling[[#This Row],[Finacial Year]])</f>
        <v>13.271802492211787</v>
      </c>
      <c r="CG338">
        <f t="shared" si="119"/>
        <v>15</v>
      </c>
      <c r="CH338">
        <f t="shared" si="106"/>
        <v>321</v>
      </c>
    </row>
    <row r="339" spans="1:86" x14ac:dyDescent="0.35">
      <c r="A339" s="27">
        <v>45338</v>
      </c>
      <c r="B339" s="5">
        <f>MONTH(Modelling_old[[#This Row],[Date]])</f>
        <v>2</v>
      </c>
      <c r="C339" s="25">
        <v>2024</v>
      </c>
      <c r="D339" s="3">
        <f t="shared" si="110"/>
        <v>2024</v>
      </c>
      <c r="E339" s="3" t="s">
        <v>626</v>
      </c>
      <c r="F339" s="5" t="s">
        <v>626</v>
      </c>
      <c r="G339" s="102">
        <v>45323</v>
      </c>
      <c r="H339" s="5">
        <f t="shared" si="111"/>
        <v>29</v>
      </c>
      <c r="I339" s="5">
        <f t="shared" si="112"/>
        <v>2</v>
      </c>
      <c r="J339" s="4">
        <f t="shared" si="113"/>
        <v>50.344827586206897</v>
      </c>
      <c r="K339" s="4">
        <f>SUM($J$324:J339)</f>
        <v>805.51724137931024</v>
      </c>
      <c r="L339" s="4">
        <f>SUM($J$18:J339)</f>
        <v>15055.517241379313</v>
      </c>
      <c r="M339" s="4">
        <f t="shared" si="114"/>
        <v>6.8928571428571432</v>
      </c>
      <c r="N339" s="4">
        <f>SUM($M$324:M339)</f>
        <v>110.28571428571428</v>
      </c>
      <c r="O339" s="4">
        <f>SUM($M$18:M339)</f>
        <v>1869.9857142857102</v>
      </c>
      <c r="P339" s="9">
        <f t="shared" si="115"/>
        <v>0.63495169219029313</v>
      </c>
      <c r="Q339" s="26">
        <f t="shared" si="116"/>
        <v>0.63495169219029313</v>
      </c>
      <c r="R339" s="26">
        <f t="shared" si="117"/>
        <v>0.69991048019599456</v>
      </c>
      <c r="S339" s="9">
        <f t="shared" si="118"/>
        <v>0.18235963778679554</v>
      </c>
      <c r="T339" s="9">
        <f>K339/((COUNT($K$324:K339))*24*$Q$1)</f>
        <v>0.18235963778679551</v>
      </c>
      <c r="U339" s="28">
        <f>L339/((COUNT($L$18:L339))*24*$Q$1)</f>
        <v>0.16936110238682209</v>
      </c>
      <c r="V339" s="134">
        <v>11.5031</v>
      </c>
      <c r="Y339" s="27">
        <f t="shared" si="104"/>
        <v>45338</v>
      </c>
      <c r="Z339" s="5">
        <f>MONTH(Modelling_new[[#This Row],[Date]])</f>
        <v>2</v>
      </c>
      <c r="AA339" s="25">
        <f>YEAR(Y339)+IF(MONTH(Modelling_new[[#This Row],[Date]])&gt;=4,1,0)</f>
        <v>2024</v>
      </c>
      <c r="AB339" s="3">
        <f t="shared" si="120"/>
        <v>2024</v>
      </c>
      <c r="AC339" s="3" t="s">
        <v>626</v>
      </c>
      <c r="AD339" s="5" t="s">
        <v>626</v>
      </c>
      <c r="AE339" s="102">
        <v>45323</v>
      </c>
      <c r="AF339" s="5">
        <f t="shared" si="121"/>
        <v>29</v>
      </c>
      <c r="AG339" s="5">
        <f t="shared" si="122"/>
        <v>2</v>
      </c>
      <c r="AH339" s="4">
        <f>(VLOOKUP(AG339,$AA$2:$AK$13,10,0)/AF339)*Modelling_new[[#This Row],[Factor]]</f>
        <v>69.65517241379311</v>
      </c>
      <c r="AI339" s="4">
        <f>SUMIFS(Modelling_new[Target E_Grid daily
MWh],Modelling_new[Month Year],Modelling_new[[#This Row],[Month Year]],Modelling_new[Date],"&lt;="&amp;Modelling_new[[#This Row],[Date]])</f>
        <v>1114.48275862069</v>
      </c>
      <c r="AJ339" s="4">
        <f>SUMIFS(Modelling_new[Target E_Grid daily
MWh],Modelling_new[Finacial Year],Modelling_new[[#This Row],[Finacial Year]],Modelling_new[Date],"&lt;="&amp;Modelling_new[[#This Row],[Date]])</f>
        <v>3054.2995559206815</v>
      </c>
      <c r="AK339" s="4">
        <f t="shared" si="108"/>
        <v>6.4141063571428605</v>
      </c>
      <c r="AL339" s="4">
        <f>SUMIFS(Modelling_new[Target POA Daily (KWh/m2)],Modelling_new[Month Year],Modelling_new[[#This Row],[Month Year]],Modelling_new[Date],"&lt;="&amp;Modelling_new[[#This Row],[Date]])</f>
        <v>102.62570171428575</v>
      </c>
      <c r="AM339" s="4">
        <f>SUMIFS(Modelling_new[Target POA Daily (KWh/m2)],Modelling_new[Finacial Year],Modelling_new[[#This Row],[Finacial Year]],Modelling_new[Date],"&lt;="&amp;Modelling_new[[#This Row],[Date]])</f>
        <v>278.05857371428573</v>
      </c>
      <c r="AN339" s="9">
        <f>AH339/Modelling_new[[#This Row],[Comisined DC ]]/AK339</f>
        <v>0.84841286405665717</v>
      </c>
      <c r="AO339" s="9">
        <f>AI339/AL339/Modelling_new[[#This Row],[MTD DC Capcity]]</f>
        <v>0.84841286405665739</v>
      </c>
      <c r="AP339" s="9">
        <f>AJ339/AM339/Modelling_new[[#This Row],[YTD DC Capcity]]</f>
        <v>0.8581542716661209</v>
      </c>
      <c r="AQ339" s="9">
        <f>AH339/(24*Modelling_new[[#This Row],[Comisined DC ]])</f>
        <v>0.22674209770114942</v>
      </c>
      <c r="AR339" s="9">
        <f>AI339/(COUNTIFS(Modelling_new[Date],"&lt;="&amp;Modelling_new[[#This Row],[Date]],Modelling_new[Month Year],Modelling_new[[#This Row],[Month Year]])*24*Modelling_new[[#This Row],[MTD DC Capcity]])</f>
        <v>0.22674209770114945</v>
      </c>
      <c r="AS339" s="28">
        <f>AJ339/(COUNTIFS(Modelling_new[Date],"&lt;="&amp;Modelling_new[[#This Row],[Date]],Modelling_new[Finacial Year],Modelling_new[[#This Row],[Finacial Year]],Modelling_new[Target E_Grid YTD
MWh],"&gt;"&amp;0)*24*Modelling_new[[#This Row],[YTD DC Capcity]])</f>
        <v>0.21154002908360217</v>
      </c>
      <c r="AT339" s="5">
        <v>12.8</v>
      </c>
      <c r="AU339" s="9">
        <f>Modelling_new[[#This Row],[Comisined DC ]]/$AO$1</f>
        <v>1</v>
      </c>
      <c r="AV339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39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39" s="27">
        <f t="shared" si="105"/>
        <v>45338</v>
      </c>
      <c r="BE339" s="5">
        <f>MONTH(Modelling[[#This Row],[Date]])</f>
        <v>2</v>
      </c>
      <c r="BF339" s="25">
        <f>YEAR(BD339)+IF(MONTH(Modelling[[#This Row],[Date]])&gt;=4,1,0)</f>
        <v>2024</v>
      </c>
      <c r="BG339" s="3">
        <f t="shared" si="123"/>
        <v>2024</v>
      </c>
      <c r="BH339" s="3" t="s">
        <v>626</v>
      </c>
      <c r="BI339" s="5" t="s">
        <v>626</v>
      </c>
      <c r="BJ339" s="102">
        <v>45323</v>
      </c>
      <c r="BK339" s="5">
        <f t="shared" si="124"/>
        <v>29</v>
      </c>
      <c r="BL339" s="5">
        <f t="shared" si="125"/>
        <v>2</v>
      </c>
      <c r="BM339" s="4">
        <f>Modelling_old[[#This Row],[Target E_Grid daily
MWh]]+Modelling_new[[#This Row],[Target E_Grid daily
MWh]]</f>
        <v>120</v>
      </c>
      <c r="BN339" s="4">
        <f>Modelling_old[[#This Row],[Target E_Grid MTD
MWh]]+Modelling_new[[#This Row],[Target E_Grid MTD
MWh]]</f>
        <v>1920.0000000000002</v>
      </c>
      <c r="BO339" s="4">
        <f>Modelling_old[[#This Row],[Target E_Grid YTD
MWh]]+Modelling_new[[#This Row],[Target E_Grid YTD
MWh]]</f>
        <v>18109.816797299995</v>
      </c>
      <c r="BP33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39" s="4">
        <f>SUMIFS(Modelling[Target POA Daily (KWh/m2)],Modelling[Date],"&lt;="&amp;Modelling[[#This Row],[Date]],Modelling[Month Year],Modelling[[#This Row],[Month Year]])</f>
        <v>112.76142279226453</v>
      </c>
      <c r="BR339" s="4">
        <f>SUMIFS(Modelling[Target POA Daily (KWh/m2)],Modelling[Date],"&lt;="&amp;Modelling[[#This Row],[Date]],Modelling[Finacial Year],Modelling[[#This Row],[Finacial Year]])</f>
        <v>1853.9922053508631</v>
      </c>
      <c r="BS339" s="9">
        <f>BM339/Modelling[[#This Row],[Comisined DC ]]/BP339</f>
        <v>0.74354147618627753</v>
      </c>
      <c r="BT339" s="9">
        <f>BN339/BQ339/Modelling[[#This Row],[Comisined DC ]]</f>
        <v>0.74354147618627764</v>
      </c>
      <c r="BU339" s="9">
        <f>BO339/BR339/Modelling[[#This Row],[Comisined DC ]]</f>
        <v>0.42655071144464657</v>
      </c>
      <c r="BV339" s="9">
        <f>BM339/(24*Modelling[[#This Row],[Comisined DC ]])</f>
        <v>0.21834061135371183</v>
      </c>
      <c r="BW339" s="9">
        <f>BN339/((COUNTIFS(Modelling[Date],"&lt;="&amp;Modelling[[#This Row],[Date]],Modelling[Month Year],Modelling[[#This Row],[Month Year]])*24*Modelling[[#This Row],[MTD DC Capcity]]))</f>
        <v>0.21834061135371186</v>
      </c>
      <c r="BX339" s="28">
        <f>BO339/((COUNTIFS(Modelling[Date],"&lt;="&amp;Modelling[[#This Row],[Date]],Modelling[Finacial Year],Modelling[[#This Row],[Finacial Year]])*24*Modelling[[#This Row],[MTD DC Capcity]]))</f>
        <v>0.10233199976775882</v>
      </c>
      <c r="BY339" s="4">
        <v>22.9</v>
      </c>
      <c r="BZ339" s="4">
        <v>0</v>
      </c>
      <c r="CA339" s="4">
        <f>AVERAGEIFS(Modelling[[Comisined DC ]],Modelling[Date],"&lt;="&amp;Modelling[[#This Row],[Date]],Modelling[Month Year],Modelling[[#This Row],[Month Year]])</f>
        <v>22.899999999999995</v>
      </c>
      <c r="CB339" s="4">
        <f>AVERAGEIFS(Modelling[[Comisined DC ]],Modelling[Date],"&lt;="&amp;Modelling[[#This Row],[Date]],Modelling[Finacial Year],Modelling[[#This Row],[Finacial Year]])</f>
        <v>13.301703726708022</v>
      </c>
      <c r="CG339">
        <f t="shared" si="119"/>
        <v>16</v>
      </c>
      <c r="CH339">
        <f t="shared" si="106"/>
        <v>322</v>
      </c>
    </row>
    <row r="340" spans="1:86" x14ac:dyDescent="0.35">
      <c r="A340" s="27">
        <v>45339</v>
      </c>
      <c r="B340" s="5">
        <f>MONTH(Modelling_old[[#This Row],[Date]])</f>
        <v>2</v>
      </c>
      <c r="C340" s="25">
        <v>2024</v>
      </c>
      <c r="D340" s="3">
        <f t="shared" si="110"/>
        <v>2024</v>
      </c>
      <c r="E340" s="3" t="s">
        <v>626</v>
      </c>
      <c r="F340" s="5" t="s">
        <v>626</v>
      </c>
      <c r="G340" s="102">
        <v>45323</v>
      </c>
      <c r="H340" s="5">
        <f t="shared" si="111"/>
        <v>29</v>
      </c>
      <c r="I340" s="5">
        <f t="shared" si="112"/>
        <v>2</v>
      </c>
      <c r="J340" s="4">
        <f t="shared" si="113"/>
        <v>50.344827586206897</v>
      </c>
      <c r="K340" s="4">
        <f>SUM($J$324:J340)</f>
        <v>855.8620689655171</v>
      </c>
      <c r="L340" s="4">
        <f>SUM($J$18:J340)</f>
        <v>15105.86206896552</v>
      </c>
      <c r="M340" s="4">
        <f t="shared" si="114"/>
        <v>6.8928571428571432</v>
      </c>
      <c r="N340" s="4">
        <f>SUM($M$324:M340)</f>
        <v>117.17857142857142</v>
      </c>
      <c r="O340" s="4">
        <f>SUM($M$18:M340)</f>
        <v>1876.8785714285673</v>
      </c>
      <c r="P340" s="9">
        <f t="shared" si="115"/>
        <v>0.63495169219029313</v>
      </c>
      <c r="Q340" s="26">
        <f t="shared" si="116"/>
        <v>0.63495169219029313</v>
      </c>
      <c r="R340" s="26">
        <f t="shared" si="117"/>
        <v>0.6996719183344482</v>
      </c>
      <c r="S340" s="9">
        <f t="shared" si="118"/>
        <v>0.18235963778679554</v>
      </c>
      <c r="T340" s="9">
        <f>K340/((COUNT($K$324:K340))*24*$Q$1)</f>
        <v>0.18235963778679548</v>
      </c>
      <c r="U340" s="28">
        <f>L340/((COUNT($L$18:L340))*24*$Q$1)</f>
        <v>0.16940134553047526</v>
      </c>
      <c r="V340" s="134">
        <v>11.5031</v>
      </c>
      <c r="Y340" s="27">
        <f t="shared" ref="Y340:Y403" si="126">Y339+1</f>
        <v>45339</v>
      </c>
      <c r="Z340" s="5">
        <f>MONTH(Modelling_new[[#This Row],[Date]])</f>
        <v>2</v>
      </c>
      <c r="AA340" s="25">
        <f>YEAR(Y340)+IF(MONTH(Modelling_new[[#This Row],[Date]])&gt;=4,1,0)</f>
        <v>2024</v>
      </c>
      <c r="AB340" s="3">
        <f t="shared" si="120"/>
        <v>2024</v>
      </c>
      <c r="AC340" s="3" t="s">
        <v>626</v>
      </c>
      <c r="AD340" s="5" t="s">
        <v>626</v>
      </c>
      <c r="AE340" s="102">
        <v>45323</v>
      </c>
      <c r="AF340" s="5">
        <f t="shared" si="121"/>
        <v>29</v>
      </c>
      <c r="AG340" s="5">
        <f t="shared" si="122"/>
        <v>2</v>
      </c>
      <c r="AH340" s="4">
        <f>(VLOOKUP(AG340,$AA$2:$AK$13,10,0)/AF340)*Modelling_new[[#This Row],[Factor]]</f>
        <v>69.65517241379311</v>
      </c>
      <c r="AI340" s="4">
        <f>SUMIFS(Modelling_new[Target E_Grid daily
MWh],Modelling_new[Month Year],Modelling_new[[#This Row],[Month Year]],Modelling_new[Date],"&lt;="&amp;Modelling_new[[#This Row],[Date]])</f>
        <v>1184.137931034483</v>
      </c>
      <c r="AJ340" s="4">
        <f>SUMIFS(Modelling_new[Target E_Grid daily
MWh],Modelling_new[Finacial Year],Modelling_new[[#This Row],[Finacial Year]],Modelling_new[Date],"&lt;="&amp;Modelling_new[[#This Row],[Date]])</f>
        <v>3123.9547283344746</v>
      </c>
      <c r="AK340" s="4">
        <f t="shared" si="108"/>
        <v>6.4141063571428605</v>
      </c>
      <c r="AL340" s="4">
        <f>SUMIFS(Modelling_new[Target POA Daily (KWh/m2)],Modelling_new[Month Year],Modelling_new[[#This Row],[Month Year]],Modelling_new[Date],"&lt;="&amp;Modelling_new[[#This Row],[Date]])</f>
        <v>109.03980807142861</v>
      </c>
      <c r="AM340" s="4">
        <f>SUMIFS(Modelling_new[Target POA Daily (KWh/m2)],Modelling_new[Finacial Year],Modelling_new[[#This Row],[Finacial Year]],Modelling_new[Date],"&lt;="&amp;Modelling_new[[#This Row],[Date]])</f>
        <v>284.47268007142861</v>
      </c>
      <c r="AN340" s="9">
        <f>AH340/Modelling_new[[#This Row],[Comisined DC ]]/AK340</f>
        <v>0.84841286405665717</v>
      </c>
      <c r="AO340" s="9">
        <f>AI340/AL340/Modelling_new[[#This Row],[MTD DC Capcity]]</f>
        <v>0.84841286405665739</v>
      </c>
      <c r="AP340" s="9">
        <f>AJ340/AM340/Modelling_new[[#This Row],[YTD DC Capcity]]</f>
        <v>0.85793462869562664</v>
      </c>
      <c r="AQ340" s="9">
        <f>AH340/(24*Modelling_new[[#This Row],[Comisined DC ]])</f>
        <v>0.22674209770114942</v>
      </c>
      <c r="AR340" s="9">
        <f>AI340/(COUNTIFS(Modelling_new[Date],"&lt;="&amp;Modelling_new[[#This Row],[Date]],Modelling_new[Month Year],Modelling_new[[#This Row],[Month Year]])*24*Modelling_new[[#This Row],[MTD DC Capcity]])</f>
        <v>0.22674209770114942</v>
      </c>
      <c r="AS340" s="28">
        <f>AJ340/(COUNTIFS(Modelling_new[Date],"&lt;="&amp;Modelling_new[[#This Row],[Date]],Modelling_new[Finacial Year],Modelling_new[[#This Row],[Finacial Year]],Modelling_new[Target E_Grid YTD
MWh],"&gt;"&amp;0)*24*Modelling_new[[#This Row],[YTD DC Capcity]])</f>
        <v>0.21185673884646777</v>
      </c>
      <c r="AT340" s="5">
        <v>12.8</v>
      </c>
      <c r="AU340" s="9">
        <f>Modelling_new[[#This Row],[Comisined DC ]]/$AO$1</f>
        <v>1</v>
      </c>
      <c r="AV340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40" s="5">
        <f>AVERAGEIFS(Modelling_new[[Comisined DC ]],Modelling_new[Date],"&lt;="&amp;Modelling_new[[#This Row],[Date]],Modelling_new[[Comisined DC ]],"&gt;"&amp;0,Modelling_new[Finacial Year],Modelling_new[[#This Row],[Finacial Year]])</f>
        <v>12.799999999999997</v>
      </c>
      <c r="BD340" s="27">
        <f t="shared" ref="BD340:BD403" si="127">BD339+1</f>
        <v>45339</v>
      </c>
      <c r="BE340" s="5">
        <f>MONTH(Modelling[[#This Row],[Date]])</f>
        <v>2</v>
      </c>
      <c r="BF340" s="25">
        <f>YEAR(BD340)+IF(MONTH(Modelling[[#This Row],[Date]])&gt;=4,1,0)</f>
        <v>2024</v>
      </c>
      <c r="BG340" s="3">
        <f t="shared" si="123"/>
        <v>2024</v>
      </c>
      <c r="BH340" s="3" t="s">
        <v>626</v>
      </c>
      <c r="BI340" s="5" t="s">
        <v>626</v>
      </c>
      <c r="BJ340" s="102">
        <v>45323</v>
      </c>
      <c r="BK340" s="5">
        <f t="shared" si="124"/>
        <v>29</v>
      </c>
      <c r="BL340" s="5">
        <f t="shared" si="125"/>
        <v>2</v>
      </c>
      <c r="BM340" s="4">
        <f>Modelling_old[[#This Row],[Target E_Grid daily
MWh]]+Modelling_new[[#This Row],[Target E_Grid daily
MWh]]</f>
        <v>120</v>
      </c>
      <c r="BN340" s="4">
        <f>Modelling_old[[#This Row],[Target E_Grid MTD
MWh]]+Modelling_new[[#This Row],[Target E_Grid MTD
MWh]]</f>
        <v>2040</v>
      </c>
      <c r="BO340" s="4">
        <f>Modelling_old[[#This Row],[Target E_Grid YTD
MWh]]+Modelling_new[[#This Row],[Target E_Grid YTD
MWh]]</f>
        <v>18229.816797299995</v>
      </c>
      <c r="BP34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40" s="4">
        <f>SUMIFS(Modelling[Target POA Daily (KWh/m2)],Modelling[Date],"&lt;="&amp;Modelling[[#This Row],[Date]],Modelling[Month Year],Modelling[[#This Row],[Month Year]])</f>
        <v>119.80901171678106</v>
      </c>
      <c r="BR340" s="4">
        <f>SUMIFS(Modelling[Target POA Daily (KWh/m2)],Modelling[Date],"&lt;="&amp;Modelling[[#This Row],[Date]],Modelling[Finacial Year],Modelling[[#This Row],[Finacial Year]])</f>
        <v>1861.0397942753796</v>
      </c>
      <c r="BS340" s="9">
        <f>BM340/Modelling[[#This Row],[Comisined DC ]]/BP340</f>
        <v>0.74354147618627753</v>
      </c>
      <c r="BT340" s="9">
        <f>BN340/BQ340/Modelling[[#This Row],[Comisined DC ]]</f>
        <v>0.74354147618627764</v>
      </c>
      <c r="BU340" s="9">
        <f>BO340/BR340/Modelling[[#This Row],[Comisined DC ]]</f>
        <v>0.42775112672305127</v>
      </c>
      <c r="BV340" s="9">
        <f>BM340/(24*Modelling[[#This Row],[Comisined DC ]])</f>
        <v>0.21834061135371183</v>
      </c>
      <c r="BW340" s="9">
        <f>BN340/((COUNTIFS(Modelling[Date],"&lt;="&amp;Modelling[[#This Row],[Date]],Modelling[Month Year],Modelling[[#This Row],[Month Year]])*24*Modelling[[#This Row],[MTD DC Capcity]]))</f>
        <v>0.21834061135371186</v>
      </c>
      <c r="BX340" s="28">
        <f>BO340/((COUNTIFS(Modelling[Date],"&lt;="&amp;Modelling[[#This Row],[Date]],Modelling[Finacial Year],Modelling[[#This Row],[Finacial Year]])*24*Modelling[[#This Row],[MTD DC Capcity]]))</f>
        <v>0.10269115955595062</v>
      </c>
      <c r="BY340" s="4">
        <v>22.9</v>
      </c>
      <c r="BZ340" s="4">
        <v>0</v>
      </c>
      <c r="CA340" s="4">
        <f>AVERAGEIFS(Modelling[[Comisined DC ]],Modelling[Date],"&lt;="&amp;Modelling[[#This Row],[Date]],Modelling[Month Year],Modelling[[#This Row],[Month Year]])</f>
        <v>22.899999999999995</v>
      </c>
      <c r="CB340" s="4">
        <f>AVERAGEIFS(Modelling[[Comisined DC ]],Modelling[Date],"&lt;="&amp;Modelling[[#This Row],[Date]],Modelling[Finacial Year],Modelling[[#This Row],[Finacial Year]])</f>
        <v>13.331419814241432</v>
      </c>
      <c r="CG340">
        <f t="shared" si="119"/>
        <v>17</v>
      </c>
      <c r="CH340">
        <f t="shared" ref="CH340:CH383" si="128">CH339+1</f>
        <v>323</v>
      </c>
    </row>
    <row r="341" spans="1:86" x14ac:dyDescent="0.35">
      <c r="A341" s="27">
        <v>45340</v>
      </c>
      <c r="B341" s="5">
        <f>MONTH(Modelling_old[[#This Row],[Date]])</f>
        <v>2</v>
      </c>
      <c r="C341" s="25">
        <v>2024</v>
      </c>
      <c r="D341" s="3">
        <f t="shared" si="110"/>
        <v>2024</v>
      </c>
      <c r="E341" s="3" t="s">
        <v>626</v>
      </c>
      <c r="F341" s="5" t="s">
        <v>626</v>
      </c>
      <c r="G341" s="102">
        <v>45323</v>
      </c>
      <c r="H341" s="5">
        <f t="shared" si="111"/>
        <v>29</v>
      </c>
      <c r="I341" s="5">
        <f t="shared" si="112"/>
        <v>2</v>
      </c>
      <c r="J341" s="4">
        <f t="shared" si="113"/>
        <v>50.344827586206897</v>
      </c>
      <c r="K341" s="4">
        <f>SUM($J$324:J341)</f>
        <v>906.20689655172396</v>
      </c>
      <c r="L341" s="4">
        <f>SUM($J$18:J341)</f>
        <v>15156.206896551726</v>
      </c>
      <c r="M341" s="4">
        <f t="shared" si="114"/>
        <v>6.8928571428571432</v>
      </c>
      <c r="N341" s="4">
        <f>SUM($M$324:M341)</f>
        <v>124.07142857142856</v>
      </c>
      <c r="O341" s="4">
        <f>SUM($M$18:M341)</f>
        <v>1883.7714285714244</v>
      </c>
      <c r="P341" s="9">
        <f t="shared" si="115"/>
        <v>0.63495169219029313</v>
      </c>
      <c r="Q341" s="26">
        <f t="shared" si="116"/>
        <v>0.63495169219029313</v>
      </c>
      <c r="R341" s="26">
        <f t="shared" si="117"/>
        <v>0.69943510230342709</v>
      </c>
      <c r="S341" s="9">
        <f t="shared" si="118"/>
        <v>0.18235963778679554</v>
      </c>
      <c r="T341" s="9">
        <f>K341/((COUNT($K$324:K341))*24*$Q$1)</f>
        <v>0.18235963778679545</v>
      </c>
      <c r="U341" s="28">
        <f>L341/((COUNT($L$18:L341))*24*$Q$1)</f>
        <v>0.16944134025966143</v>
      </c>
      <c r="V341" s="134">
        <v>11.5031</v>
      </c>
      <c r="Y341" s="27">
        <f t="shared" si="126"/>
        <v>45340</v>
      </c>
      <c r="Z341" s="5">
        <f>MONTH(Modelling_new[[#This Row],[Date]])</f>
        <v>2</v>
      </c>
      <c r="AA341" s="25">
        <f>YEAR(Y341)+IF(MONTH(Modelling_new[[#This Row],[Date]])&gt;=4,1,0)</f>
        <v>2024</v>
      </c>
      <c r="AB341" s="3">
        <f t="shared" si="120"/>
        <v>2024</v>
      </c>
      <c r="AC341" s="3" t="s">
        <v>626</v>
      </c>
      <c r="AD341" s="5" t="s">
        <v>626</v>
      </c>
      <c r="AE341" s="102">
        <v>45323</v>
      </c>
      <c r="AF341" s="5">
        <f t="shared" si="121"/>
        <v>29</v>
      </c>
      <c r="AG341" s="5">
        <f t="shared" si="122"/>
        <v>2</v>
      </c>
      <c r="AH341" s="4">
        <f>(VLOOKUP(AG341,$AA$2:$AK$13,10,0)/AF341)*Modelling_new[[#This Row],[Factor]]</f>
        <v>69.65517241379311</v>
      </c>
      <c r="AI341" s="4">
        <f>SUMIFS(Modelling_new[Target E_Grid daily
MWh],Modelling_new[Month Year],Modelling_new[[#This Row],[Month Year]],Modelling_new[Date],"&lt;="&amp;Modelling_new[[#This Row],[Date]])</f>
        <v>1253.793103448276</v>
      </c>
      <c r="AJ341" s="4">
        <f>SUMIFS(Modelling_new[Target E_Grid daily
MWh],Modelling_new[Finacial Year],Modelling_new[[#This Row],[Finacial Year]],Modelling_new[Date],"&lt;="&amp;Modelling_new[[#This Row],[Date]])</f>
        <v>3193.6099007482676</v>
      </c>
      <c r="AK341" s="4">
        <f t="shared" si="108"/>
        <v>6.4141063571428605</v>
      </c>
      <c r="AL341" s="4">
        <f>SUMIFS(Modelling_new[Target POA Daily (KWh/m2)],Modelling_new[Month Year],Modelling_new[[#This Row],[Month Year]],Modelling_new[Date],"&lt;="&amp;Modelling_new[[#This Row],[Date]])</f>
        <v>115.45391442857147</v>
      </c>
      <c r="AM341" s="4">
        <f>SUMIFS(Modelling_new[Target POA Daily (KWh/m2)],Modelling_new[Finacial Year],Modelling_new[[#This Row],[Finacial Year]],Modelling_new[Date],"&lt;="&amp;Modelling_new[[#This Row],[Date]])</f>
        <v>290.8867864285715</v>
      </c>
      <c r="AN341" s="9">
        <f>AH341/Modelling_new[[#This Row],[Comisined DC ]]/AK341</f>
        <v>0.84841286405665717</v>
      </c>
      <c r="AO341" s="9">
        <f>AI341/AL341/Modelling_new[[#This Row],[MTD DC Capcity]]</f>
        <v>0.84841286405665706</v>
      </c>
      <c r="AP341" s="9">
        <f>AJ341/AM341/Modelling_new[[#This Row],[YTD DC Capcity]]</f>
        <v>0.85772467205974123</v>
      </c>
      <c r="AQ341" s="9">
        <f>AH341/(24*Modelling_new[[#This Row],[Comisined DC ]])</f>
        <v>0.22674209770114942</v>
      </c>
      <c r="AR341" s="9">
        <f>AI341/(COUNTIFS(Modelling_new[Date],"&lt;="&amp;Modelling_new[[#This Row],[Date]],Modelling_new[Month Year],Modelling_new[[#This Row],[Month Year]])*24*Modelling_new[[#This Row],[MTD DC Capcity]])</f>
        <v>0.22674209770114936</v>
      </c>
      <c r="AS341" s="28">
        <f>AJ341/(COUNTIFS(Modelling_new[Date],"&lt;="&amp;Modelling_new[[#This Row],[Date]],Modelling_new[Finacial Year],Modelling_new[[#This Row],[Finacial Year]],Modelling_new[Target E_Grid YTD
MWh],"&gt;"&amp;0)*24*Modelling_new[[#This Row],[YTD DC Capcity]])</f>
        <v>0.21216052168023677</v>
      </c>
      <c r="AT341" s="5">
        <v>12.8</v>
      </c>
      <c r="AU341" s="9">
        <f>Modelling_new[[#This Row],[Comisined DC ]]/$AO$1</f>
        <v>1</v>
      </c>
      <c r="AV34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41" s="5">
        <f>AVERAGEIFS(Modelling_new[[Comisined DC ]],Modelling_new[Date],"&lt;="&amp;Modelling_new[[#This Row],[Date]],Modelling_new[[Comisined DC ]],"&gt;"&amp;0,Modelling_new[Finacial Year],Modelling_new[[#This Row],[Finacial Year]])</f>
        <v>12.799999999999997</v>
      </c>
      <c r="BD341" s="27">
        <f t="shared" si="127"/>
        <v>45340</v>
      </c>
      <c r="BE341" s="5">
        <f>MONTH(Modelling[[#This Row],[Date]])</f>
        <v>2</v>
      </c>
      <c r="BF341" s="25">
        <f>YEAR(BD341)+IF(MONTH(Modelling[[#This Row],[Date]])&gt;=4,1,0)</f>
        <v>2024</v>
      </c>
      <c r="BG341" s="3">
        <f t="shared" si="123"/>
        <v>2024</v>
      </c>
      <c r="BH341" s="3" t="s">
        <v>626</v>
      </c>
      <c r="BI341" s="5" t="s">
        <v>626</v>
      </c>
      <c r="BJ341" s="102">
        <v>45323</v>
      </c>
      <c r="BK341" s="5">
        <f t="shared" si="124"/>
        <v>29</v>
      </c>
      <c r="BL341" s="5">
        <f t="shared" si="125"/>
        <v>2</v>
      </c>
      <c r="BM341" s="4">
        <f>Modelling_old[[#This Row],[Target E_Grid daily
MWh]]+Modelling_new[[#This Row],[Target E_Grid daily
MWh]]</f>
        <v>120</v>
      </c>
      <c r="BN341" s="4">
        <f>Modelling_old[[#This Row],[Target E_Grid MTD
MWh]]+Modelling_new[[#This Row],[Target E_Grid MTD
MWh]]</f>
        <v>2160</v>
      </c>
      <c r="BO341" s="4">
        <f>Modelling_old[[#This Row],[Target E_Grid YTD
MWh]]+Modelling_new[[#This Row],[Target E_Grid YTD
MWh]]</f>
        <v>18349.816797299995</v>
      </c>
      <c r="BP34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41" s="4">
        <f>SUMIFS(Modelling[Target POA Daily (KWh/m2)],Modelling[Date],"&lt;="&amp;Modelling[[#This Row],[Date]],Modelling[Month Year],Modelling[[#This Row],[Month Year]])</f>
        <v>126.85660064129759</v>
      </c>
      <c r="BR341" s="4">
        <f>SUMIFS(Modelling[Target POA Daily (KWh/m2)],Modelling[Date],"&lt;="&amp;Modelling[[#This Row],[Date]],Modelling[Finacial Year],Modelling[[#This Row],[Finacial Year]])</f>
        <v>1868.0873831998961</v>
      </c>
      <c r="BS341" s="9">
        <f>BM341/Modelling[[#This Row],[Comisined DC ]]/BP341</f>
        <v>0.74354147618627753</v>
      </c>
      <c r="BT341" s="9">
        <f>BN341/BQ341/Modelling[[#This Row],[Comisined DC ]]</f>
        <v>0.74354147618627764</v>
      </c>
      <c r="BU341" s="9">
        <f>BO341/BR341/Modelling[[#This Row],[Comisined DC ]]</f>
        <v>0.42894248457352502</v>
      </c>
      <c r="BV341" s="9">
        <f>BM341/(24*Modelling[[#This Row],[Comisined DC ]])</f>
        <v>0.21834061135371183</v>
      </c>
      <c r="BW341" s="9">
        <f>BN341/((COUNTIFS(Modelling[Date],"&lt;="&amp;Modelling[[#This Row],[Date]],Modelling[Month Year],Modelling[[#This Row],[Month Year]])*24*Modelling[[#This Row],[MTD DC Capcity]]))</f>
        <v>0.21834061135371188</v>
      </c>
      <c r="BX341" s="28">
        <f>BO341/((COUNTIFS(Modelling[Date],"&lt;="&amp;Modelling[[#This Row],[Date]],Modelling[Finacial Year],Modelling[[#This Row],[Finacial Year]])*24*Modelling[[#This Row],[MTD DC Capcity]]))</f>
        <v>0.10304810230841285</v>
      </c>
      <c r="BY341" s="4">
        <v>22.9</v>
      </c>
      <c r="BZ341" s="4">
        <v>0</v>
      </c>
      <c r="CA341" s="4">
        <f>AVERAGEIFS(Modelling[[Comisined DC ]],Modelling[Date],"&lt;="&amp;Modelling[[#This Row],[Date]],Modelling[Month Year],Modelling[[#This Row],[Month Year]])</f>
        <v>22.899999999999991</v>
      </c>
      <c r="CB341" s="4">
        <f>AVERAGEIFS(Modelling[[Comisined DC ]],Modelling[Date],"&lt;="&amp;Modelling[[#This Row],[Date]],Modelling[Finacial Year],Modelling[[#This Row],[Finacial Year]])</f>
        <v>13.360952469135748</v>
      </c>
      <c r="CG341">
        <f t="shared" si="119"/>
        <v>18</v>
      </c>
      <c r="CH341">
        <f t="shared" si="128"/>
        <v>324</v>
      </c>
    </row>
    <row r="342" spans="1:86" x14ac:dyDescent="0.35">
      <c r="A342" s="27">
        <v>45341</v>
      </c>
      <c r="B342" s="5">
        <f>MONTH(Modelling_old[[#This Row],[Date]])</f>
        <v>2</v>
      </c>
      <c r="C342" s="25">
        <v>2024</v>
      </c>
      <c r="D342" s="3">
        <f t="shared" si="110"/>
        <v>2024</v>
      </c>
      <c r="E342" s="3" t="s">
        <v>626</v>
      </c>
      <c r="F342" s="5" t="s">
        <v>626</v>
      </c>
      <c r="G342" s="102">
        <v>45323</v>
      </c>
      <c r="H342" s="5">
        <f t="shared" si="111"/>
        <v>29</v>
      </c>
      <c r="I342" s="5">
        <f t="shared" si="112"/>
        <v>2</v>
      </c>
      <c r="J342" s="4">
        <f t="shared" si="113"/>
        <v>50.344827586206897</v>
      </c>
      <c r="K342" s="4">
        <f>SUM($J$324:J342)</f>
        <v>956.55172413793082</v>
      </c>
      <c r="L342" s="4">
        <f>SUM($J$18:J342)</f>
        <v>15206.551724137933</v>
      </c>
      <c r="M342" s="4">
        <f t="shared" si="114"/>
        <v>6.8928571428571432</v>
      </c>
      <c r="N342" s="4">
        <f>SUM($M$324:M342)</f>
        <v>130.96428571428569</v>
      </c>
      <c r="O342" s="4">
        <f>SUM($M$18:M342)</f>
        <v>1890.6642857142815</v>
      </c>
      <c r="P342" s="9">
        <f t="shared" si="115"/>
        <v>0.63495169219029313</v>
      </c>
      <c r="Q342" s="26">
        <f t="shared" si="116"/>
        <v>0.63495169219029313</v>
      </c>
      <c r="R342" s="26">
        <f t="shared" si="117"/>
        <v>0.69920001300843571</v>
      </c>
      <c r="S342" s="9">
        <f t="shared" si="118"/>
        <v>0.18235963778679554</v>
      </c>
      <c r="T342" s="9">
        <f>K342/((COUNT($K$324:K342))*24*$Q$1)</f>
        <v>0.18235963778679548</v>
      </c>
      <c r="U342" s="28">
        <f>L342/((COUNT($L$18:L342))*24*$Q$1)</f>
        <v>0.16948108886743724</v>
      </c>
      <c r="V342" s="134">
        <v>11.5031</v>
      </c>
      <c r="Y342" s="27">
        <f t="shared" si="126"/>
        <v>45341</v>
      </c>
      <c r="Z342" s="5">
        <f>MONTH(Modelling_new[[#This Row],[Date]])</f>
        <v>2</v>
      </c>
      <c r="AA342" s="25">
        <f>YEAR(Y342)+IF(MONTH(Modelling_new[[#This Row],[Date]])&gt;=4,1,0)</f>
        <v>2024</v>
      </c>
      <c r="AB342" s="3">
        <f t="shared" si="120"/>
        <v>2024</v>
      </c>
      <c r="AC342" s="3" t="s">
        <v>626</v>
      </c>
      <c r="AD342" s="5" t="s">
        <v>626</v>
      </c>
      <c r="AE342" s="102">
        <v>45323</v>
      </c>
      <c r="AF342" s="5">
        <f t="shared" si="121"/>
        <v>29</v>
      </c>
      <c r="AG342" s="5">
        <f t="shared" si="122"/>
        <v>2</v>
      </c>
      <c r="AH342" s="4">
        <f>(VLOOKUP(AG342,$AA$2:$AK$13,10,0)/AF342)*Modelling_new[[#This Row],[Factor]]</f>
        <v>69.65517241379311</v>
      </c>
      <c r="AI342" s="4">
        <f>SUMIFS(Modelling_new[Target E_Grid daily
MWh],Modelling_new[Month Year],Modelling_new[[#This Row],[Month Year]],Modelling_new[Date],"&lt;="&amp;Modelling_new[[#This Row],[Date]])</f>
        <v>1323.4482758620691</v>
      </c>
      <c r="AJ342" s="4">
        <f>SUMIFS(Modelling_new[Target E_Grid daily
MWh],Modelling_new[Finacial Year],Modelling_new[[#This Row],[Finacial Year]],Modelling_new[Date],"&lt;="&amp;Modelling_new[[#This Row],[Date]])</f>
        <v>3263.2650731620606</v>
      </c>
      <c r="AK342" s="4">
        <f t="shared" si="108"/>
        <v>6.4141063571428605</v>
      </c>
      <c r="AL342" s="4">
        <f>SUMIFS(Modelling_new[Target POA Daily (KWh/m2)],Modelling_new[Month Year],Modelling_new[[#This Row],[Month Year]],Modelling_new[Date],"&lt;="&amp;Modelling_new[[#This Row],[Date]])</f>
        <v>121.86802078571432</v>
      </c>
      <c r="AM342" s="4">
        <f>SUMIFS(Modelling_new[Target POA Daily (KWh/m2)],Modelling_new[Finacial Year],Modelling_new[[#This Row],[Finacial Year]],Modelling_new[Date],"&lt;="&amp;Modelling_new[[#This Row],[Date]])</f>
        <v>297.30089278571438</v>
      </c>
      <c r="AN342" s="9">
        <f>AH342/Modelling_new[[#This Row],[Comisined DC ]]/AK342</f>
        <v>0.84841286405665717</v>
      </c>
      <c r="AO342" s="9">
        <f>AI342/AL342/Modelling_new[[#This Row],[MTD DC Capcity]]</f>
        <v>0.84841286405665706</v>
      </c>
      <c r="AP342" s="9">
        <f>AJ342/AM342/Modelling_new[[#This Row],[YTD DC Capcity]]</f>
        <v>0.85752377482613584</v>
      </c>
      <c r="AQ342" s="9">
        <f>AH342/(24*Modelling_new[[#This Row],[Comisined DC ]])</f>
        <v>0.22674209770114942</v>
      </c>
      <c r="AR342" s="9">
        <f>AI342/(COUNTIFS(Modelling_new[Date],"&lt;="&amp;Modelling_new[[#This Row],[Date]],Modelling_new[Month Year],Modelling_new[[#This Row],[Month Year]])*24*Modelling_new[[#This Row],[MTD DC Capcity]])</f>
        <v>0.22674209770114936</v>
      </c>
      <c r="AS342" s="28">
        <f>AJ342/(COUNTIFS(Modelling_new[Date],"&lt;="&amp;Modelling_new[[#This Row],[Date]],Modelling_new[Finacial Year],Modelling_new[[#This Row],[Finacial Year]],Modelling_new[Target E_Grid YTD
MWh],"&gt;"&amp;0)*24*Modelling_new[[#This Row],[YTD DC Capcity]])</f>
        <v>0.21245215320065505</v>
      </c>
      <c r="AT342" s="5">
        <v>12.8</v>
      </c>
      <c r="AU342" s="9">
        <f>Modelling_new[[#This Row],[Comisined DC ]]/$AO$1</f>
        <v>1</v>
      </c>
      <c r="AV34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42" s="5">
        <f>AVERAGEIFS(Modelling_new[[Comisined DC ]],Modelling_new[Date],"&lt;="&amp;Modelling_new[[#This Row],[Date]],Modelling_new[[Comisined DC ]],"&gt;"&amp;0,Modelling_new[Finacial Year],Modelling_new[[#This Row],[Finacial Year]])</f>
        <v>12.799999999999995</v>
      </c>
      <c r="BD342" s="27">
        <f t="shared" si="127"/>
        <v>45341</v>
      </c>
      <c r="BE342" s="5">
        <f>MONTH(Modelling[[#This Row],[Date]])</f>
        <v>2</v>
      </c>
      <c r="BF342" s="25">
        <f>YEAR(BD342)+IF(MONTH(Modelling[[#This Row],[Date]])&gt;=4,1,0)</f>
        <v>2024</v>
      </c>
      <c r="BG342" s="3">
        <f t="shared" si="123"/>
        <v>2024</v>
      </c>
      <c r="BH342" s="3" t="s">
        <v>626</v>
      </c>
      <c r="BI342" s="5" t="s">
        <v>626</v>
      </c>
      <c r="BJ342" s="102">
        <v>45323</v>
      </c>
      <c r="BK342" s="5">
        <f t="shared" si="124"/>
        <v>29</v>
      </c>
      <c r="BL342" s="5">
        <f t="shared" si="125"/>
        <v>2</v>
      </c>
      <c r="BM342" s="4">
        <f>Modelling_old[[#This Row],[Target E_Grid daily
MWh]]+Modelling_new[[#This Row],[Target E_Grid daily
MWh]]</f>
        <v>120</v>
      </c>
      <c r="BN342" s="4">
        <f>Modelling_old[[#This Row],[Target E_Grid MTD
MWh]]+Modelling_new[[#This Row],[Target E_Grid MTD
MWh]]</f>
        <v>2280</v>
      </c>
      <c r="BO342" s="4">
        <f>Modelling_old[[#This Row],[Target E_Grid YTD
MWh]]+Modelling_new[[#This Row],[Target E_Grid YTD
MWh]]</f>
        <v>18469.816797299995</v>
      </c>
      <c r="BP34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42" s="4">
        <f>SUMIFS(Modelling[Target POA Daily (KWh/m2)],Modelling[Date],"&lt;="&amp;Modelling[[#This Row],[Date]],Modelling[Month Year],Modelling[[#This Row],[Month Year]])</f>
        <v>133.90418956581414</v>
      </c>
      <c r="BR342" s="4">
        <f>SUMIFS(Modelling[Target POA Daily (KWh/m2)],Modelling[Date],"&lt;="&amp;Modelling[[#This Row],[Date]],Modelling[Finacial Year],Modelling[[#This Row],[Finacial Year]])</f>
        <v>1875.1349721244126</v>
      </c>
      <c r="BS342" s="9">
        <f>BM342/Modelling[[#This Row],[Comisined DC ]]/BP342</f>
        <v>0.74354147618627753</v>
      </c>
      <c r="BT342" s="9">
        <f>BN342/BQ342/Modelling[[#This Row],[Comisined DC ]]</f>
        <v>0.74354147618627764</v>
      </c>
      <c r="BU342" s="9">
        <f>BO342/BR342/Modelling[[#This Row],[Comisined DC ]]</f>
        <v>0.43012488712156255</v>
      </c>
      <c r="BV342" s="9">
        <f>BM342/(24*Modelling[[#This Row],[Comisined DC ]])</f>
        <v>0.21834061135371183</v>
      </c>
      <c r="BW342" s="9">
        <f>BN342/((COUNTIFS(Modelling[Date],"&lt;="&amp;Modelling[[#This Row],[Date]],Modelling[Month Year],Modelling[[#This Row],[Month Year]])*24*Modelling[[#This Row],[MTD DC Capcity]]))</f>
        <v>0.21834061135371188</v>
      </c>
      <c r="BX342" s="28">
        <f>BO342/((COUNTIFS(Modelling[Date],"&lt;="&amp;Modelling[[#This Row],[Date]],Modelling[Finacial Year],Modelling[[#This Row],[Finacial Year]])*24*Modelling[[#This Row],[MTD DC Capcity]]))</f>
        <v>0.1034028484900907</v>
      </c>
      <c r="BY342" s="4">
        <v>22.9</v>
      </c>
      <c r="BZ342" s="4">
        <v>0</v>
      </c>
      <c r="CA342" s="4">
        <f>AVERAGEIFS(Modelling[[Comisined DC ]],Modelling[Date],"&lt;="&amp;Modelling[[#This Row],[Date]],Modelling[Month Year],Modelling[[#This Row],[Month Year]])</f>
        <v>22.899999999999991</v>
      </c>
      <c r="CB342" s="4">
        <f>AVERAGEIFS(Modelling[[Comisined DC ]],Modelling[Date],"&lt;="&amp;Modelling[[#This Row],[Date]],Modelling[Finacial Year],Modelling[[#This Row],[Finacial Year]])</f>
        <v>13.390303384615329</v>
      </c>
      <c r="CG342">
        <f t="shared" si="119"/>
        <v>19</v>
      </c>
      <c r="CH342">
        <f t="shared" si="128"/>
        <v>325</v>
      </c>
    </row>
    <row r="343" spans="1:86" x14ac:dyDescent="0.35">
      <c r="A343" s="27">
        <v>45342</v>
      </c>
      <c r="B343" s="5">
        <f>MONTH(Modelling_old[[#This Row],[Date]])</f>
        <v>2</v>
      </c>
      <c r="C343" s="25">
        <v>2024</v>
      </c>
      <c r="D343" s="3">
        <f t="shared" si="110"/>
        <v>2024</v>
      </c>
      <c r="E343" s="3" t="s">
        <v>626</v>
      </c>
      <c r="F343" s="5" t="s">
        <v>626</v>
      </c>
      <c r="G343" s="102">
        <v>45323</v>
      </c>
      <c r="H343" s="5">
        <f t="shared" si="111"/>
        <v>29</v>
      </c>
      <c r="I343" s="5">
        <f t="shared" si="112"/>
        <v>2</v>
      </c>
      <c r="J343" s="4">
        <f t="shared" si="113"/>
        <v>50.344827586206897</v>
      </c>
      <c r="K343" s="4">
        <f>SUM($J$324:J343)</f>
        <v>1006.8965517241377</v>
      </c>
      <c r="L343" s="4">
        <f>SUM($J$18:J343)</f>
        <v>15256.896551724139</v>
      </c>
      <c r="M343" s="4">
        <f t="shared" si="114"/>
        <v>6.8928571428571432</v>
      </c>
      <c r="N343" s="4">
        <f>SUM($M$324:M343)</f>
        <v>137.85714285714283</v>
      </c>
      <c r="O343" s="4">
        <f>SUM($M$18:M343)</f>
        <v>1897.5571428571386</v>
      </c>
      <c r="P343" s="9">
        <f t="shared" si="115"/>
        <v>0.63495169219029313</v>
      </c>
      <c r="Q343" s="26">
        <f t="shared" si="116"/>
        <v>0.63495169219029313</v>
      </c>
      <c r="R343" s="26">
        <f t="shared" si="117"/>
        <v>0.69896663163242023</v>
      </c>
      <c r="S343" s="9">
        <f t="shared" si="118"/>
        <v>0.18235963778679554</v>
      </c>
      <c r="T343" s="9">
        <f>K343/((COUNT($K$324:K343))*24*$Q$1)</f>
        <v>0.18235963778679545</v>
      </c>
      <c r="U343" s="28">
        <f>L343/((COUNT($L$18:L343))*24*$Q$1)</f>
        <v>0.16952059361872357</v>
      </c>
      <c r="V343" s="134">
        <v>11.5031</v>
      </c>
      <c r="Y343" s="27">
        <f t="shared" si="126"/>
        <v>45342</v>
      </c>
      <c r="Z343" s="5">
        <f>MONTH(Modelling_new[[#This Row],[Date]])</f>
        <v>2</v>
      </c>
      <c r="AA343" s="25">
        <f>YEAR(Y343)+IF(MONTH(Modelling_new[[#This Row],[Date]])&gt;=4,1,0)</f>
        <v>2024</v>
      </c>
      <c r="AB343" s="3">
        <f t="shared" si="120"/>
        <v>2024</v>
      </c>
      <c r="AC343" s="3" t="s">
        <v>626</v>
      </c>
      <c r="AD343" s="5" t="s">
        <v>626</v>
      </c>
      <c r="AE343" s="102">
        <v>45323</v>
      </c>
      <c r="AF343" s="5">
        <f t="shared" si="121"/>
        <v>29</v>
      </c>
      <c r="AG343" s="5">
        <f t="shared" si="122"/>
        <v>2</v>
      </c>
      <c r="AH343" s="4">
        <f>(VLOOKUP(AG343,$AA$2:$AK$13,10,0)/AF343)*Modelling_new[[#This Row],[Factor]]</f>
        <v>69.65517241379311</v>
      </c>
      <c r="AI343" s="4">
        <f>SUMIFS(Modelling_new[Target E_Grid daily
MWh],Modelling_new[Month Year],Modelling_new[[#This Row],[Month Year]],Modelling_new[Date],"&lt;="&amp;Modelling_new[[#This Row],[Date]])</f>
        <v>1393.1034482758621</v>
      </c>
      <c r="AJ343" s="4">
        <f>SUMIFS(Modelling_new[Target E_Grid daily
MWh],Modelling_new[Finacial Year],Modelling_new[[#This Row],[Finacial Year]],Modelling_new[Date],"&lt;="&amp;Modelling_new[[#This Row],[Date]])</f>
        <v>3332.9202455758536</v>
      </c>
      <c r="AK343" s="4">
        <f t="shared" si="108"/>
        <v>6.4141063571428605</v>
      </c>
      <c r="AL343" s="4">
        <f>SUMIFS(Modelling_new[Target POA Daily (KWh/m2)],Modelling_new[Month Year],Modelling_new[[#This Row],[Month Year]],Modelling_new[Date],"&lt;="&amp;Modelling_new[[#This Row],[Date]])</f>
        <v>128.28212714285718</v>
      </c>
      <c r="AM343" s="4">
        <f>SUMIFS(Modelling_new[Target POA Daily (KWh/m2)],Modelling_new[Finacial Year],Modelling_new[[#This Row],[Finacial Year]],Modelling_new[Date],"&lt;="&amp;Modelling_new[[#This Row],[Date]])</f>
        <v>303.71499914285727</v>
      </c>
      <c r="AN343" s="9">
        <f>AH343/Modelling_new[[#This Row],[Comisined DC ]]/AK343</f>
        <v>0.84841286405665717</v>
      </c>
      <c r="AO343" s="9">
        <f>AI343/AL343/Modelling_new[[#This Row],[MTD DC Capcity]]</f>
        <v>0.84841286405665728</v>
      </c>
      <c r="AP343" s="9">
        <f>AJ343/AM343/Modelling_new[[#This Row],[YTD DC Capcity]]</f>
        <v>0.85733136302279778</v>
      </c>
      <c r="AQ343" s="9">
        <f>AH343/(24*Modelling_new[[#This Row],[Comisined DC ]])</f>
        <v>0.22674209770114942</v>
      </c>
      <c r="AR343" s="9">
        <f>AI343/(COUNTIFS(Modelling_new[Date],"&lt;="&amp;Modelling_new[[#This Row],[Date]],Modelling_new[Month Year],Modelling_new[[#This Row],[Month Year]])*24*Modelling_new[[#This Row],[MTD DC Capcity]])</f>
        <v>0.22674209770114939</v>
      </c>
      <c r="AS343" s="28">
        <f>AJ343/(COUNTIFS(Modelling_new[Date],"&lt;="&amp;Modelling_new[[#This Row],[Date]],Modelling_new[Finacial Year],Modelling_new[[#This Row],[Finacial Year]],Modelling_new[Target E_Grid YTD
MWh],"&gt;"&amp;0)*24*Modelling_new[[#This Row],[YTD DC Capcity]])</f>
        <v>0.21273234819086084</v>
      </c>
      <c r="AT343" s="5">
        <v>12.8</v>
      </c>
      <c r="AU343" s="9">
        <f>Modelling_new[[#This Row],[Comisined DC ]]/$AO$1</f>
        <v>1</v>
      </c>
      <c r="AV343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43" s="5">
        <f>AVERAGEIFS(Modelling_new[[Comisined DC ]],Modelling_new[Date],"&lt;="&amp;Modelling_new[[#This Row],[Date]],Modelling_new[[Comisined DC ]],"&gt;"&amp;0,Modelling_new[Finacial Year],Modelling_new[[#This Row],[Finacial Year]])</f>
        <v>12.799999999999995</v>
      </c>
      <c r="BD343" s="27">
        <f t="shared" si="127"/>
        <v>45342</v>
      </c>
      <c r="BE343" s="5">
        <f>MONTH(Modelling[[#This Row],[Date]])</f>
        <v>2</v>
      </c>
      <c r="BF343" s="25">
        <f>YEAR(BD343)+IF(MONTH(Modelling[[#This Row],[Date]])&gt;=4,1,0)</f>
        <v>2024</v>
      </c>
      <c r="BG343" s="3">
        <f t="shared" si="123"/>
        <v>2024</v>
      </c>
      <c r="BH343" s="3" t="s">
        <v>626</v>
      </c>
      <c r="BI343" s="5" t="s">
        <v>626</v>
      </c>
      <c r="BJ343" s="102">
        <v>45323</v>
      </c>
      <c r="BK343" s="5">
        <f t="shared" si="124"/>
        <v>29</v>
      </c>
      <c r="BL343" s="5">
        <f t="shared" si="125"/>
        <v>2</v>
      </c>
      <c r="BM343" s="4">
        <f>Modelling_old[[#This Row],[Target E_Grid daily
MWh]]+Modelling_new[[#This Row],[Target E_Grid daily
MWh]]</f>
        <v>120</v>
      </c>
      <c r="BN343" s="4">
        <f>Modelling_old[[#This Row],[Target E_Grid MTD
MWh]]+Modelling_new[[#This Row],[Target E_Grid MTD
MWh]]</f>
        <v>2400</v>
      </c>
      <c r="BO343" s="4">
        <f>Modelling_old[[#This Row],[Target E_Grid YTD
MWh]]+Modelling_new[[#This Row],[Target E_Grid YTD
MWh]]</f>
        <v>18589.816797299995</v>
      </c>
      <c r="BP34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43" s="4">
        <f>SUMIFS(Modelling[Target POA Daily (KWh/m2)],Modelling[Date],"&lt;="&amp;Modelling[[#This Row],[Date]],Modelling[Month Year],Modelling[[#This Row],[Month Year]])</f>
        <v>140.95177849033067</v>
      </c>
      <c r="BR343" s="4">
        <f>SUMIFS(Modelling[Target POA Daily (KWh/m2)],Modelling[Date],"&lt;="&amp;Modelling[[#This Row],[Date]],Modelling[Finacial Year],Modelling[[#This Row],[Finacial Year]])</f>
        <v>1882.1825610489291</v>
      </c>
      <c r="BS343" s="9">
        <f>BM343/Modelling[[#This Row],[Comisined DC ]]/BP343</f>
        <v>0.74354147618627753</v>
      </c>
      <c r="BT343" s="9">
        <f>BN343/BQ343/Modelling[[#This Row],[Comisined DC ]]</f>
        <v>0.74354147618627764</v>
      </c>
      <c r="BU343" s="9">
        <f>BO343/BR343/Modelling[[#This Row],[Comisined DC ]]</f>
        <v>0.43129843496307546</v>
      </c>
      <c r="BV343" s="9">
        <f>BM343/(24*Modelling[[#This Row],[Comisined DC ]])</f>
        <v>0.21834061135371183</v>
      </c>
      <c r="BW343" s="9">
        <f>BN343/((COUNTIFS(Modelling[Date],"&lt;="&amp;Modelling[[#This Row],[Date]],Modelling[Month Year],Modelling[[#This Row],[Month Year]])*24*Modelling[[#This Row],[MTD DC Capcity]]))</f>
        <v>0.21834061135371186</v>
      </c>
      <c r="BX343" s="28">
        <f>BO343/((COUNTIFS(Modelling[Date],"&lt;="&amp;Modelling[[#This Row],[Date]],Modelling[Finacial Year],Modelling[[#This Row],[Finacial Year]])*24*Modelling[[#This Row],[MTD DC Capcity]]))</f>
        <v>0.10375541831482572</v>
      </c>
      <c r="BY343" s="4">
        <v>22.9</v>
      </c>
      <c r="BZ343" s="4">
        <v>0</v>
      </c>
      <c r="CA343" s="4">
        <f>AVERAGEIFS(Modelling[[Comisined DC ]],Modelling[Date],"&lt;="&amp;Modelling[[#This Row],[Date]],Modelling[Month Year],Modelling[[#This Row],[Month Year]])</f>
        <v>22.899999999999991</v>
      </c>
      <c r="CB343" s="4">
        <f>AVERAGEIFS(Modelling[[Comisined DC ]],Modelling[Date],"&lt;="&amp;Modelling[[#This Row],[Date]],Modelling[Finacial Year],Modelling[[#This Row],[Finacial Year]])</f>
        <v>13.419474233128778</v>
      </c>
      <c r="CG343">
        <f t="shared" si="119"/>
        <v>20</v>
      </c>
      <c r="CH343">
        <f t="shared" si="128"/>
        <v>326</v>
      </c>
    </row>
    <row r="344" spans="1:86" x14ac:dyDescent="0.35">
      <c r="A344" s="27">
        <v>45343</v>
      </c>
      <c r="B344" s="5">
        <f>MONTH(Modelling_old[[#This Row],[Date]])</f>
        <v>2</v>
      </c>
      <c r="C344" s="25">
        <v>2024</v>
      </c>
      <c r="D344" s="3">
        <f t="shared" si="110"/>
        <v>2024</v>
      </c>
      <c r="E344" s="3" t="s">
        <v>626</v>
      </c>
      <c r="F344" s="5" t="s">
        <v>626</v>
      </c>
      <c r="G344" s="102">
        <v>45323</v>
      </c>
      <c r="H344" s="5">
        <f t="shared" si="111"/>
        <v>29</v>
      </c>
      <c r="I344" s="5">
        <f t="shared" si="112"/>
        <v>2</v>
      </c>
      <c r="J344" s="4">
        <f t="shared" si="113"/>
        <v>50.344827586206897</v>
      </c>
      <c r="K344" s="4">
        <f>SUM($J$324:J344)</f>
        <v>1057.2413793103447</v>
      </c>
      <c r="L344" s="4">
        <f>SUM($J$18:J344)</f>
        <v>15307.241379310346</v>
      </c>
      <c r="M344" s="4">
        <f t="shared" si="114"/>
        <v>6.8928571428571432</v>
      </c>
      <c r="N344" s="4">
        <f>SUM($M$324:M344)</f>
        <v>144.74999999999997</v>
      </c>
      <c r="O344" s="4">
        <f>SUM($M$18:M344)</f>
        <v>1904.4499999999957</v>
      </c>
      <c r="P344" s="9">
        <f t="shared" si="115"/>
        <v>0.63495169219029313</v>
      </c>
      <c r="Q344" s="26">
        <f t="shared" si="116"/>
        <v>0.63495169219029313</v>
      </c>
      <c r="R344" s="26">
        <f t="shared" si="117"/>
        <v>0.69873493963074873</v>
      </c>
      <c r="S344" s="9">
        <f t="shared" si="118"/>
        <v>0.18235963778679554</v>
      </c>
      <c r="T344" s="9">
        <f>K344/((COUNT($K$324:K344))*24*$Q$1)</f>
        <v>0.18235963778679548</v>
      </c>
      <c r="U344" s="28">
        <f>L344/((COUNT($L$18:L344))*24*$Q$1)</f>
        <v>0.16955985675073604</v>
      </c>
      <c r="V344" s="134">
        <v>11.5031</v>
      </c>
      <c r="Y344" s="27">
        <f t="shared" si="126"/>
        <v>45343</v>
      </c>
      <c r="Z344" s="5">
        <f>MONTH(Modelling_new[[#This Row],[Date]])</f>
        <v>2</v>
      </c>
      <c r="AA344" s="25">
        <f>YEAR(Y344)+IF(MONTH(Modelling_new[[#This Row],[Date]])&gt;=4,1,0)</f>
        <v>2024</v>
      </c>
      <c r="AB344" s="3">
        <f t="shared" si="120"/>
        <v>2024</v>
      </c>
      <c r="AC344" s="3" t="s">
        <v>626</v>
      </c>
      <c r="AD344" s="5" t="s">
        <v>626</v>
      </c>
      <c r="AE344" s="102">
        <v>45323</v>
      </c>
      <c r="AF344" s="5">
        <f t="shared" si="121"/>
        <v>29</v>
      </c>
      <c r="AG344" s="5">
        <f t="shared" si="122"/>
        <v>2</v>
      </c>
      <c r="AH344" s="4">
        <f>(VLOOKUP(AG344,$AA$2:$AK$13,10,0)/AF344)*Modelling_new[[#This Row],[Factor]]</f>
        <v>69.65517241379311</v>
      </c>
      <c r="AI344" s="4">
        <f>SUMIFS(Modelling_new[Target E_Grid daily
MWh],Modelling_new[Month Year],Modelling_new[[#This Row],[Month Year]],Modelling_new[Date],"&lt;="&amp;Modelling_new[[#This Row],[Date]])</f>
        <v>1462.7586206896551</v>
      </c>
      <c r="AJ344" s="4">
        <f>SUMIFS(Modelling_new[Target E_Grid daily
MWh],Modelling_new[Finacial Year],Modelling_new[[#This Row],[Finacial Year]],Modelling_new[Date],"&lt;="&amp;Modelling_new[[#This Row],[Date]])</f>
        <v>3402.5754179896467</v>
      </c>
      <c r="AK344" s="4">
        <f t="shared" si="108"/>
        <v>6.4141063571428605</v>
      </c>
      <c r="AL344" s="4">
        <f>SUMIFS(Modelling_new[Target POA Daily (KWh/m2)],Modelling_new[Month Year],Modelling_new[[#This Row],[Month Year]],Modelling_new[Date],"&lt;="&amp;Modelling_new[[#This Row],[Date]])</f>
        <v>134.69623350000003</v>
      </c>
      <c r="AM344" s="4">
        <f>SUMIFS(Modelling_new[Target POA Daily (KWh/m2)],Modelling_new[Finacial Year],Modelling_new[[#This Row],[Finacial Year]],Modelling_new[Date],"&lt;="&amp;Modelling_new[[#This Row],[Date]])</f>
        <v>310.12910550000015</v>
      </c>
      <c r="AN344" s="9">
        <f>AH344/Modelling_new[[#This Row],[Comisined DC ]]/AK344</f>
        <v>0.84841286405665717</v>
      </c>
      <c r="AO344" s="9">
        <f>AI344/AL344/Modelling_new[[#This Row],[MTD DC Capcity]]</f>
        <v>0.84841286405665728</v>
      </c>
      <c r="AP344" s="9">
        <f>AJ344/AM344/Modelling_new[[#This Row],[YTD DC Capcity]]</f>
        <v>0.85714691016139133</v>
      </c>
      <c r="AQ344" s="9">
        <f>AH344/(24*Modelling_new[[#This Row],[Comisined DC ]])</f>
        <v>0.22674209770114942</v>
      </c>
      <c r="AR344" s="9">
        <f>AI344/(COUNTIFS(Modelling_new[Date],"&lt;="&amp;Modelling_new[[#This Row],[Date]],Modelling_new[Month Year],Modelling_new[[#This Row],[Month Year]])*24*Modelling_new[[#This Row],[MTD DC Capcity]])</f>
        <v>0.22674209770114936</v>
      </c>
      <c r="AS344" s="28">
        <f>AJ344/(COUNTIFS(Modelling_new[Date],"&lt;="&amp;Modelling_new[[#This Row],[Date]],Modelling_new[Finacial Year],Modelling_new[[#This Row],[Finacial Year]],Modelling_new[Target E_Grid YTD
MWh],"&gt;"&amp;0)*24*Modelling_new[[#This Row],[YTD DC Capcity]])</f>
        <v>0.21300176645067409</v>
      </c>
      <c r="AT344" s="5">
        <v>12.8</v>
      </c>
      <c r="AU344" s="9">
        <f>Modelling_new[[#This Row],[Comisined DC ]]/$AO$1</f>
        <v>1</v>
      </c>
      <c r="AV344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44" s="5">
        <f>AVERAGEIFS(Modelling_new[[Comisined DC ]],Modelling_new[Date],"&lt;="&amp;Modelling_new[[#This Row],[Date]],Modelling_new[[Comisined DC ]],"&gt;"&amp;0,Modelling_new[Finacial Year],Modelling_new[[#This Row],[Finacial Year]])</f>
        <v>12.799999999999994</v>
      </c>
      <c r="BD344" s="27">
        <f t="shared" si="127"/>
        <v>45343</v>
      </c>
      <c r="BE344" s="5">
        <f>MONTH(Modelling[[#This Row],[Date]])</f>
        <v>2</v>
      </c>
      <c r="BF344" s="25">
        <f>YEAR(BD344)+IF(MONTH(Modelling[[#This Row],[Date]])&gt;=4,1,0)</f>
        <v>2024</v>
      </c>
      <c r="BG344" s="3">
        <f t="shared" si="123"/>
        <v>2024</v>
      </c>
      <c r="BH344" s="3" t="s">
        <v>626</v>
      </c>
      <c r="BI344" s="5" t="s">
        <v>626</v>
      </c>
      <c r="BJ344" s="102">
        <v>45323</v>
      </c>
      <c r="BK344" s="5">
        <f t="shared" si="124"/>
        <v>29</v>
      </c>
      <c r="BL344" s="5">
        <f t="shared" si="125"/>
        <v>2</v>
      </c>
      <c r="BM344" s="4">
        <f>Modelling_old[[#This Row],[Target E_Grid daily
MWh]]+Modelling_new[[#This Row],[Target E_Grid daily
MWh]]</f>
        <v>120</v>
      </c>
      <c r="BN344" s="4">
        <f>Modelling_old[[#This Row],[Target E_Grid MTD
MWh]]+Modelling_new[[#This Row],[Target E_Grid MTD
MWh]]</f>
        <v>2520</v>
      </c>
      <c r="BO344" s="4">
        <f>Modelling_old[[#This Row],[Target E_Grid YTD
MWh]]+Modelling_new[[#This Row],[Target E_Grid YTD
MWh]]</f>
        <v>18709.816797299995</v>
      </c>
      <c r="BP34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44" s="4">
        <f>SUMIFS(Modelling[Target POA Daily (KWh/m2)],Modelling[Date],"&lt;="&amp;Modelling[[#This Row],[Date]],Modelling[Month Year],Modelling[[#This Row],[Month Year]])</f>
        <v>147.9993674148472</v>
      </c>
      <c r="BR344" s="4">
        <f>SUMIFS(Modelling[Target POA Daily (KWh/m2)],Modelling[Date],"&lt;="&amp;Modelling[[#This Row],[Date]],Modelling[Finacial Year],Modelling[[#This Row],[Finacial Year]])</f>
        <v>1889.2301499734456</v>
      </c>
      <c r="BS344" s="9">
        <f>BM344/Modelling[[#This Row],[Comisined DC ]]/BP344</f>
        <v>0.74354147618627753</v>
      </c>
      <c r="BT344" s="9">
        <f>BN344/BQ344/Modelling[[#This Row],[Comisined DC ]]</f>
        <v>0.74354147618627764</v>
      </c>
      <c r="BU344" s="9">
        <f>BO344/BR344/Modelling[[#This Row],[Comisined DC ]]</f>
        <v>0.43246322719292257</v>
      </c>
      <c r="BV344" s="9">
        <f>BM344/(24*Modelling[[#This Row],[Comisined DC ]])</f>
        <v>0.21834061135371183</v>
      </c>
      <c r="BW344" s="9">
        <f>BN344/((COUNTIFS(Modelling[Date],"&lt;="&amp;Modelling[[#This Row],[Date]],Modelling[Month Year],Modelling[[#This Row],[Month Year]])*24*Modelling[[#This Row],[MTD DC Capcity]]))</f>
        <v>0.21834061135371188</v>
      </c>
      <c r="BX344" s="28">
        <f>BO344/((COUNTIFS(Modelling[Date],"&lt;="&amp;Modelling[[#This Row],[Date]],Modelling[Finacial Year],Modelling[[#This Row],[Finacial Year]])*24*Modelling[[#This Row],[MTD DC Capcity]]))</f>
        <v>0.10410583174919542</v>
      </c>
      <c r="BY344" s="4">
        <v>22.9</v>
      </c>
      <c r="BZ344" s="4">
        <v>0</v>
      </c>
      <c r="CA344" s="4">
        <f>AVERAGEIFS(Modelling[[Comisined DC ]],Modelling[Date],"&lt;="&amp;Modelling[[#This Row],[Date]],Modelling[Month Year],Modelling[[#This Row],[Month Year]])</f>
        <v>22.899999999999991</v>
      </c>
      <c r="CB344" s="4">
        <f>AVERAGEIFS(Modelling[[Comisined DC ]],Modelling[Date],"&lt;="&amp;Modelling[[#This Row],[Date]],Modelling[Finacial Year],Modelling[[#This Row],[Finacial Year]])</f>
        <v>13.44846666666661</v>
      </c>
      <c r="CG344">
        <f t="shared" si="119"/>
        <v>21</v>
      </c>
      <c r="CH344">
        <f t="shared" si="128"/>
        <v>327</v>
      </c>
    </row>
    <row r="345" spans="1:86" x14ac:dyDescent="0.35">
      <c r="A345" s="27">
        <v>45344</v>
      </c>
      <c r="B345" s="5">
        <f>MONTH(Modelling_old[[#This Row],[Date]])</f>
        <v>2</v>
      </c>
      <c r="C345" s="25">
        <v>2024</v>
      </c>
      <c r="D345" s="3">
        <f t="shared" si="110"/>
        <v>2024</v>
      </c>
      <c r="E345" s="3" t="s">
        <v>626</v>
      </c>
      <c r="F345" s="5" t="s">
        <v>626</v>
      </c>
      <c r="G345" s="102">
        <v>45323</v>
      </c>
      <c r="H345" s="5">
        <f t="shared" si="111"/>
        <v>29</v>
      </c>
      <c r="I345" s="5">
        <f t="shared" si="112"/>
        <v>2</v>
      </c>
      <c r="J345" s="4">
        <f t="shared" si="113"/>
        <v>50.344827586206897</v>
      </c>
      <c r="K345" s="4">
        <f>SUM($J$324:J345)</f>
        <v>1107.5862068965516</v>
      </c>
      <c r="L345" s="4">
        <f>SUM($J$18:J345)</f>
        <v>15357.586206896553</v>
      </c>
      <c r="M345" s="4">
        <f t="shared" si="114"/>
        <v>6.8928571428571432</v>
      </c>
      <c r="N345" s="4">
        <f>SUM($M$324:M345)</f>
        <v>151.64285714285711</v>
      </c>
      <c r="O345" s="4">
        <f>SUM($M$18:M345)</f>
        <v>1911.3428571428528</v>
      </c>
      <c r="P345" s="9">
        <f t="shared" si="115"/>
        <v>0.63495169219029313</v>
      </c>
      <c r="Q345" s="26">
        <f t="shared" si="116"/>
        <v>0.63495169219029324</v>
      </c>
      <c r="R345" s="26">
        <f t="shared" si="117"/>
        <v>0.6985049187262985</v>
      </c>
      <c r="S345" s="9">
        <f t="shared" si="118"/>
        <v>0.18235963778679554</v>
      </c>
      <c r="T345" s="9">
        <f>K345/((COUNT($K$324:K345))*24*$Q$1)</f>
        <v>0.18235963778679548</v>
      </c>
      <c r="U345" s="28">
        <f>L345/((COUNT($L$18:L345))*24*$Q$1)</f>
        <v>0.16959888047340693</v>
      </c>
      <c r="V345" s="134">
        <v>11.5031</v>
      </c>
      <c r="Y345" s="27">
        <f t="shared" si="126"/>
        <v>45344</v>
      </c>
      <c r="Z345" s="5">
        <f>MONTH(Modelling_new[[#This Row],[Date]])</f>
        <v>2</v>
      </c>
      <c r="AA345" s="25">
        <f>YEAR(Y345)+IF(MONTH(Modelling_new[[#This Row],[Date]])&gt;=4,1,0)</f>
        <v>2024</v>
      </c>
      <c r="AB345" s="3">
        <f t="shared" si="120"/>
        <v>2024</v>
      </c>
      <c r="AC345" s="3" t="s">
        <v>626</v>
      </c>
      <c r="AD345" s="5" t="s">
        <v>626</v>
      </c>
      <c r="AE345" s="102">
        <v>45323</v>
      </c>
      <c r="AF345" s="5">
        <f t="shared" si="121"/>
        <v>29</v>
      </c>
      <c r="AG345" s="5">
        <f t="shared" si="122"/>
        <v>2</v>
      </c>
      <c r="AH345" s="4">
        <f>(VLOOKUP(AG345,$AA$2:$AK$13,10,0)/AF345)*Modelling_new[[#This Row],[Factor]]</f>
        <v>69.65517241379311</v>
      </c>
      <c r="AI345" s="4">
        <f>SUMIFS(Modelling_new[Target E_Grid daily
MWh],Modelling_new[Month Year],Modelling_new[[#This Row],[Month Year]],Modelling_new[Date],"&lt;="&amp;Modelling_new[[#This Row],[Date]])</f>
        <v>1532.4137931034481</v>
      </c>
      <c r="AJ345" s="4">
        <f>SUMIFS(Modelling_new[Target E_Grid daily
MWh],Modelling_new[Finacial Year],Modelling_new[[#This Row],[Finacial Year]],Modelling_new[Date],"&lt;="&amp;Modelling_new[[#This Row],[Date]])</f>
        <v>3472.2305904034397</v>
      </c>
      <c r="AK345" s="4">
        <f t="shared" si="108"/>
        <v>6.4141063571428605</v>
      </c>
      <c r="AL345" s="4">
        <f>SUMIFS(Modelling_new[Target POA Daily (KWh/m2)],Modelling_new[Month Year],Modelling_new[[#This Row],[Month Year]],Modelling_new[Date],"&lt;="&amp;Modelling_new[[#This Row],[Date]])</f>
        <v>141.11033985714289</v>
      </c>
      <c r="AM345" s="4">
        <f>SUMIFS(Modelling_new[Target POA Daily (KWh/m2)],Modelling_new[Finacial Year],Modelling_new[[#This Row],[Finacial Year]],Modelling_new[Date],"&lt;="&amp;Modelling_new[[#This Row],[Date]])</f>
        <v>316.54321185714304</v>
      </c>
      <c r="AN345" s="9">
        <f>AH345/Modelling_new[[#This Row],[Comisined DC ]]/AK345</f>
        <v>0.84841286405665717</v>
      </c>
      <c r="AO345" s="9">
        <f>AI345/AL345/Modelling_new[[#This Row],[MTD DC Capcity]]</f>
        <v>0.84841286405665706</v>
      </c>
      <c r="AP345" s="9">
        <f>AJ345/AM345/Modelling_new[[#This Row],[YTD DC Capcity]]</f>
        <v>0.85696993242645492</v>
      </c>
      <c r="AQ345" s="9">
        <f>AH345/(24*Modelling_new[[#This Row],[Comisined DC ]])</f>
        <v>0.22674209770114942</v>
      </c>
      <c r="AR345" s="9">
        <f>AI345/(COUNTIFS(Modelling_new[Date],"&lt;="&amp;Modelling_new[[#This Row],[Date]],Modelling_new[Month Year],Modelling_new[[#This Row],[Month Year]])*24*Modelling_new[[#This Row],[MTD DC Capcity]])</f>
        <v>0.22674209770114934</v>
      </c>
      <c r="AS345" s="28">
        <f>AJ345/(COUNTIFS(Modelling_new[Date],"&lt;="&amp;Modelling_new[[#This Row],[Date]],Modelling_new[Finacial Year],Modelling_new[[#This Row],[Finacial Year]],Modelling_new[Target E_Grid YTD
MWh],"&gt;"&amp;0)*24*Modelling_new[[#This Row],[YTD DC Capcity]])</f>
        <v>0.21326101798370195</v>
      </c>
      <c r="AT345" s="5">
        <v>12.8</v>
      </c>
      <c r="AU345" s="9">
        <f>Modelling_new[[#This Row],[Comisined DC ]]/$AO$1</f>
        <v>1</v>
      </c>
      <c r="AV34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45" s="5">
        <f>AVERAGEIFS(Modelling_new[[Comisined DC ]],Modelling_new[Date],"&lt;="&amp;Modelling_new[[#This Row],[Date]],Modelling_new[[Comisined DC ]],"&gt;"&amp;0,Modelling_new[Finacial Year],Modelling_new[[#This Row],[Finacial Year]])</f>
        <v>12.799999999999994</v>
      </c>
      <c r="BD345" s="27">
        <f t="shared" si="127"/>
        <v>45344</v>
      </c>
      <c r="BE345" s="5">
        <f>MONTH(Modelling[[#This Row],[Date]])</f>
        <v>2</v>
      </c>
      <c r="BF345" s="25">
        <f>YEAR(BD345)+IF(MONTH(Modelling[[#This Row],[Date]])&gt;=4,1,0)</f>
        <v>2024</v>
      </c>
      <c r="BG345" s="3">
        <f t="shared" si="123"/>
        <v>2024</v>
      </c>
      <c r="BH345" s="3" t="s">
        <v>626</v>
      </c>
      <c r="BI345" s="5" t="s">
        <v>626</v>
      </c>
      <c r="BJ345" s="102">
        <v>45323</v>
      </c>
      <c r="BK345" s="5">
        <f t="shared" si="124"/>
        <v>29</v>
      </c>
      <c r="BL345" s="5">
        <f t="shared" si="125"/>
        <v>2</v>
      </c>
      <c r="BM345" s="4">
        <f>Modelling_old[[#This Row],[Target E_Grid daily
MWh]]+Modelling_new[[#This Row],[Target E_Grid daily
MWh]]</f>
        <v>120</v>
      </c>
      <c r="BN345" s="4">
        <f>Modelling_old[[#This Row],[Target E_Grid MTD
MWh]]+Modelling_new[[#This Row],[Target E_Grid MTD
MWh]]</f>
        <v>2640</v>
      </c>
      <c r="BO345" s="4">
        <f>Modelling_old[[#This Row],[Target E_Grid YTD
MWh]]+Modelling_new[[#This Row],[Target E_Grid YTD
MWh]]</f>
        <v>18829.816797299991</v>
      </c>
      <c r="BP34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45" s="4">
        <f>SUMIFS(Modelling[Target POA Daily (KWh/m2)],Modelling[Date],"&lt;="&amp;Modelling[[#This Row],[Date]],Modelling[Month Year],Modelling[[#This Row],[Month Year]])</f>
        <v>155.04695633936373</v>
      </c>
      <c r="BR345" s="4">
        <f>SUMIFS(Modelling[Target POA Daily (KWh/m2)],Modelling[Date],"&lt;="&amp;Modelling[[#This Row],[Date]],Modelling[Finacial Year],Modelling[[#This Row],[Finacial Year]])</f>
        <v>1896.2777388979621</v>
      </c>
      <c r="BS345" s="9">
        <f>BM345/Modelling[[#This Row],[Comisined DC ]]/BP345</f>
        <v>0.74354147618627753</v>
      </c>
      <c r="BT345" s="9">
        <f>BN345/BQ345/Modelling[[#This Row],[Comisined DC ]]</f>
        <v>0.74354147618627764</v>
      </c>
      <c r="BU345" s="9">
        <f>BO345/BR345/Modelling[[#This Row],[Comisined DC ]]</f>
        <v>0.43361936143280327</v>
      </c>
      <c r="BV345" s="9">
        <f>BM345/(24*Modelling[[#This Row],[Comisined DC ]])</f>
        <v>0.21834061135371183</v>
      </c>
      <c r="BW345" s="9">
        <f>BN345/((COUNTIFS(Modelling[Date],"&lt;="&amp;Modelling[[#This Row],[Date]],Modelling[Month Year],Modelling[[#This Row],[Month Year]])*24*Modelling[[#This Row],[MTD DC Capcity]]))</f>
        <v>0.21834061135371188</v>
      </c>
      <c r="BX345" s="28">
        <f>BO345/((COUNTIFS(Modelling[Date],"&lt;="&amp;Modelling[[#This Row],[Date]],Modelling[Finacial Year],Modelling[[#This Row],[Finacial Year]])*24*Modelling[[#This Row],[MTD DC Capcity]]))</f>
        <v>0.10445410851628234</v>
      </c>
      <c r="BY345" s="4">
        <v>22.9</v>
      </c>
      <c r="BZ345" s="4">
        <v>0</v>
      </c>
      <c r="CA345" s="4">
        <f>AVERAGEIFS(Modelling[[Comisined DC ]],Modelling[Date],"&lt;="&amp;Modelling[[#This Row],[Date]],Modelling[Month Year],Modelling[[#This Row],[Month Year]])</f>
        <v>22.899999999999991</v>
      </c>
      <c r="CB345" s="4">
        <f>AVERAGEIFS(Modelling[[Comisined DC ]],Modelling[Date],"&lt;="&amp;Modelling[[#This Row],[Date]],Modelling[Finacial Year],Modelling[[#This Row],[Finacial Year]])</f>
        <v>13.477282317073113</v>
      </c>
      <c r="CG345">
        <f t="shared" si="119"/>
        <v>22</v>
      </c>
      <c r="CH345">
        <f t="shared" si="128"/>
        <v>328</v>
      </c>
    </row>
    <row r="346" spans="1:86" x14ac:dyDescent="0.35">
      <c r="A346" s="27">
        <v>45345</v>
      </c>
      <c r="B346" s="5">
        <f>MONTH(Modelling_old[[#This Row],[Date]])</f>
        <v>2</v>
      </c>
      <c r="C346" s="25">
        <v>2024</v>
      </c>
      <c r="D346" s="3">
        <f t="shared" si="110"/>
        <v>2024</v>
      </c>
      <c r="E346" s="3" t="s">
        <v>626</v>
      </c>
      <c r="F346" s="5" t="s">
        <v>626</v>
      </c>
      <c r="G346" s="102">
        <v>45323</v>
      </c>
      <c r="H346" s="5">
        <f t="shared" si="111"/>
        <v>29</v>
      </c>
      <c r="I346" s="5">
        <f t="shared" si="112"/>
        <v>2</v>
      </c>
      <c r="J346" s="4">
        <f t="shared" si="113"/>
        <v>50.344827586206897</v>
      </c>
      <c r="K346" s="4">
        <f>SUM($J$324:J346)</f>
        <v>1157.9310344827586</v>
      </c>
      <c r="L346" s="4">
        <f>SUM($J$18:J346)</f>
        <v>15407.931034482759</v>
      </c>
      <c r="M346" s="4">
        <f t="shared" si="114"/>
        <v>6.8928571428571432</v>
      </c>
      <c r="N346" s="4">
        <f>SUM($M$324:M346)</f>
        <v>158.53571428571425</v>
      </c>
      <c r="O346" s="4">
        <f>SUM($M$18:M346)</f>
        <v>1918.2357142857099</v>
      </c>
      <c r="P346" s="9">
        <f t="shared" si="115"/>
        <v>0.63495169219029313</v>
      </c>
      <c r="Q346" s="26">
        <f t="shared" si="116"/>
        <v>0.63495169219029335</v>
      </c>
      <c r="R346" s="26">
        <f t="shared" si="117"/>
        <v>0.69827655090464968</v>
      </c>
      <c r="S346" s="9">
        <f t="shared" si="118"/>
        <v>0.18235963778679554</v>
      </c>
      <c r="T346" s="9">
        <f>K346/((COUNT($K$324:K346))*24*$Q$1)</f>
        <v>0.18235963778679551</v>
      </c>
      <c r="U346" s="28">
        <f>L346/((COUNT($L$18:L346))*24*$Q$1)</f>
        <v>0.16963766696980023</v>
      </c>
      <c r="V346" s="134">
        <v>11.5031</v>
      </c>
      <c r="Y346" s="27">
        <f t="shared" si="126"/>
        <v>45345</v>
      </c>
      <c r="Z346" s="5">
        <f>MONTH(Modelling_new[[#This Row],[Date]])</f>
        <v>2</v>
      </c>
      <c r="AA346" s="25">
        <f>YEAR(Y346)+IF(MONTH(Modelling_new[[#This Row],[Date]])&gt;=4,1,0)</f>
        <v>2024</v>
      </c>
      <c r="AB346" s="3">
        <f t="shared" si="120"/>
        <v>2024</v>
      </c>
      <c r="AC346" s="3" t="s">
        <v>626</v>
      </c>
      <c r="AD346" s="5" t="s">
        <v>626</v>
      </c>
      <c r="AE346" s="102">
        <v>45323</v>
      </c>
      <c r="AF346" s="5">
        <f t="shared" si="121"/>
        <v>29</v>
      </c>
      <c r="AG346" s="5">
        <f t="shared" si="122"/>
        <v>2</v>
      </c>
      <c r="AH346" s="4">
        <f>(VLOOKUP(AG346,$AA$2:$AK$13,10,0)/AF346)*Modelling_new[[#This Row],[Factor]]</f>
        <v>69.65517241379311</v>
      </c>
      <c r="AI346" s="4">
        <f>SUMIFS(Modelling_new[Target E_Grid daily
MWh],Modelling_new[Month Year],Modelling_new[[#This Row],[Month Year]],Modelling_new[Date],"&lt;="&amp;Modelling_new[[#This Row],[Date]])</f>
        <v>1602.0689655172412</v>
      </c>
      <c r="AJ346" s="4">
        <f>SUMIFS(Modelling_new[Target E_Grid daily
MWh],Modelling_new[Finacial Year],Modelling_new[[#This Row],[Finacial Year]],Modelling_new[Date],"&lt;="&amp;Modelling_new[[#This Row],[Date]])</f>
        <v>3541.8857628172327</v>
      </c>
      <c r="AK346" s="4">
        <f t="shared" si="108"/>
        <v>6.4141063571428605</v>
      </c>
      <c r="AL346" s="4">
        <f>SUMIFS(Modelling_new[Target POA Daily (KWh/m2)],Modelling_new[Month Year],Modelling_new[[#This Row],[Month Year]],Modelling_new[Date],"&lt;="&amp;Modelling_new[[#This Row],[Date]])</f>
        <v>147.52444621428575</v>
      </c>
      <c r="AM346" s="4">
        <f>SUMIFS(Modelling_new[Target POA Daily (KWh/m2)],Modelling_new[Finacial Year],Modelling_new[[#This Row],[Finacial Year]],Modelling_new[Date],"&lt;="&amp;Modelling_new[[#This Row],[Date]])</f>
        <v>322.95731821428592</v>
      </c>
      <c r="AN346" s="9">
        <f>AH346/Modelling_new[[#This Row],[Comisined DC ]]/AK346</f>
        <v>0.84841286405665717</v>
      </c>
      <c r="AO346" s="9">
        <f>AI346/AL346/Modelling_new[[#This Row],[MTD DC Capcity]]</f>
        <v>0.84841286405665695</v>
      </c>
      <c r="AP346" s="9">
        <f>AJ346/AM346/Modelling_new[[#This Row],[YTD DC Capcity]]</f>
        <v>0.85679998443787031</v>
      </c>
      <c r="AQ346" s="9">
        <f>AH346/(24*Modelling_new[[#This Row],[Comisined DC ]])</f>
        <v>0.22674209770114942</v>
      </c>
      <c r="AR346" s="9">
        <f>AI346/(COUNTIFS(Modelling_new[Date],"&lt;="&amp;Modelling_new[[#This Row],[Date]],Modelling_new[Month Year],Modelling_new[[#This Row],[Month Year]])*24*Modelling_new[[#This Row],[MTD DC Capcity]])</f>
        <v>0.22674209770114934</v>
      </c>
      <c r="AS346" s="28">
        <f>AJ346/(COUNTIFS(Modelling_new[Date],"&lt;="&amp;Modelling_new[[#This Row],[Date]],Modelling_new[Finacial Year],Modelling_new[[#This Row],[Finacial Year]],Modelling_new[Target E_Grid YTD
MWh],"&gt;"&amp;0)*24*Modelling_new[[#This Row],[YTD DC Capcity]])</f>
        <v>0.21351066760809914</v>
      </c>
      <c r="AT346" s="5">
        <v>12.8</v>
      </c>
      <c r="AU346" s="9">
        <f>Modelling_new[[#This Row],[Comisined DC ]]/$AO$1</f>
        <v>1</v>
      </c>
      <c r="AV34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46" s="5">
        <f>AVERAGEIFS(Modelling_new[[Comisined DC ]],Modelling_new[Date],"&lt;="&amp;Modelling_new[[#This Row],[Date]],Modelling_new[[Comisined DC ]],"&gt;"&amp;0,Modelling_new[Finacial Year],Modelling_new[[#This Row],[Finacial Year]])</f>
        <v>12.799999999999992</v>
      </c>
      <c r="BD346" s="27">
        <f t="shared" si="127"/>
        <v>45345</v>
      </c>
      <c r="BE346" s="5">
        <f>MONTH(Modelling[[#This Row],[Date]])</f>
        <v>2</v>
      </c>
      <c r="BF346" s="25">
        <f>YEAR(BD346)+IF(MONTH(Modelling[[#This Row],[Date]])&gt;=4,1,0)</f>
        <v>2024</v>
      </c>
      <c r="BG346" s="3">
        <f t="shared" si="123"/>
        <v>2024</v>
      </c>
      <c r="BH346" s="3" t="s">
        <v>626</v>
      </c>
      <c r="BI346" s="5" t="s">
        <v>626</v>
      </c>
      <c r="BJ346" s="102">
        <v>45323</v>
      </c>
      <c r="BK346" s="5">
        <f t="shared" si="124"/>
        <v>29</v>
      </c>
      <c r="BL346" s="5">
        <f t="shared" si="125"/>
        <v>2</v>
      </c>
      <c r="BM346" s="4">
        <f>Modelling_old[[#This Row],[Target E_Grid daily
MWh]]+Modelling_new[[#This Row],[Target E_Grid daily
MWh]]</f>
        <v>120</v>
      </c>
      <c r="BN346" s="4">
        <f>Modelling_old[[#This Row],[Target E_Grid MTD
MWh]]+Modelling_new[[#This Row],[Target E_Grid MTD
MWh]]</f>
        <v>2760</v>
      </c>
      <c r="BO346" s="4">
        <f>Modelling_old[[#This Row],[Target E_Grid YTD
MWh]]+Modelling_new[[#This Row],[Target E_Grid YTD
MWh]]</f>
        <v>18949.816797299991</v>
      </c>
      <c r="BP34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46" s="4">
        <f>SUMIFS(Modelling[Target POA Daily (KWh/m2)],Modelling[Date],"&lt;="&amp;Modelling[[#This Row],[Date]],Modelling[Month Year],Modelling[[#This Row],[Month Year]])</f>
        <v>162.09454526388026</v>
      </c>
      <c r="BR346" s="4">
        <f>SUMIFS(Modelling[Target POA Daily (KWh/m2)],Modelling[Date],"&lt;="&amp;Modelling[[#This Row],[Date]],Modelling[Finacial Year],Modelling[[#This Row],[Finacial Year]])</f>
        <v>1903.3253278224786</v>
      </c>
      <c r="BS346" s="9">
        <f>BM346/Modelling[[#This Row],[Comisined DC ]]/BP346</f>
        <v>0.74354147618627753</v>
      </c>
      <c r="BT346" s="9">
        <f>BN346/BQ346/Modelling[[#This Row],[Comisined DC ]]</f>
        <v>0.74354147618627764</v>
      </c>
      <c r="BU346" s="9">
        <f>BO346/BR346/Modelling[[#This Row],[Comisined DC ]]</f>
        <v>0.43476693385853155</v>
      </c>
      <c r="BV346" s="9">
        <f>BM346/(24*Modelling[[#This Row],[Comisined DC ]])</f>
        <v>0.21834061135371183</v>
      </c>
      <c r="BW346" s="9">
        <f>BN346/((COUNTIFS(Modelling[Date],"&lt;="&amp;Modelling[[#This Row],[Date]],Modelling[Month Year],Modelling[[#This Row],[Month Year]])*24*Modelling[[#This Row],[MTD DC Capcity]]))</f>
        <v>0.21834061135371186</v>
      </c>
      <c r="BX346" s="28">
        <f>BO346/((COUNTIFS(Modelling[Date],"&lt;="&amp;Modelling[[#This Row],[Date]],Modelling[Finacial Year],Modelling[[#This Row],[Finacial Year]])*24*Modelling[[#This Row],[MTD DC Capcity]]))</f>
        <v>0.10480026809937483</v>
      </c>
      <c r="BY346" s="4">
        <v>22.9</v>
      </c>
      <c r="BZ346" s="4">
        <v>0</v>
      </c>
      <c r="CA346" s="4">
        <f>AVERAGEIFS(Modelling[[Comisined DC ]],Modelling[Date],"&lt;="&amp;Modelling[[#This Row],[Date]],Modelling[Month Year],Modelling[[#This Row],[Month Year]])</f>
        <v>22.899999999999991</v>
      </c>
      <c r="CB346" s="4">
        <f>AVERAGEIFS(Modelling[[Comisined DC ]],Modelling[Date],"&lt;="&amp;Modelling[[#This Row],[Date]],Modelling[Finacial Year],Modelling[[#This Row],[Finacial Year]])</f>
        <v>13.505922796352525</v>
      </c>
      <c r="CG346">
        <f t="shared" si="119"/>
        <v>23</v>
      </c>
      <c r="CH346">
        <f t="shared" si="128"/>
        <v>329</v>
      </c>
    </row>
    <row r="347" spans="1:86" x14ac:dyDescent="0.35">
      <c r="A347" s="27">
        <v>45346</v>
      </c>
      <c r="B347" s="5">
        <f>MONTH(Modelling_old[[#This Row],[Date]])</f>
        <v>2</v>
      </c>
      <c r="C347" s="25">
        <v>2024</v>
      </c>
      <c r="D347" s="3">
        <f t="shared" si="110"/>
        <v>2024</v>
      </c>
      <c r="E347" s="3" t="s">
        <v>626</v>
      </c>
      <c r="F347" s="5" t="s">
        <v>626</v>
      </c>
      <c r="G347" s="102">
        <v>45323</v>
      </c>
      <c r="H347" s="5">
        <f t="shared" si="111"/>
        <v>29</v>
      </c>
      <c r="I347" s="5">
        <f t="shared" si="112"/>
        <v>2</v>
      </c>
      <c r="J347" s="4">
        <f t="shared" si="113"/>
        <v>50.344827586206897</v>
      </c>
      <c r="K347" s="4">
        <f>SUM($J$324:J347)</f>
        <v>1208.2758620689656</v>
      </c>
      <c r="L347" s="4">
        <f>SUM($J$18:J347)</f>
        <v>15458.275862068966</v>
      </c>
      <c r="M347" s="4">
        <f t="shared" si="114"/>
        <v>6.8928571428571432</v>
      </c>
      <c r="N347" s="4">
        <f>SUM($M$324:M347)</f>
        <v>165.42857142857139</v>
      </c>
      <c r="O347" s="4">
        <f>SUM($M$18:M347)</f>
        <v>1925.1285714285671</v>
      </c>
      <c r="P347" s="9">
        <f t="shared" si="115"/>
        <v>0.63495169219029313</v>
      </c>
      <c r="Q347" s="26">
        <f t="shared" si="116"/>
        <v>0.63495169219029335</v>
      </c>
      <c r="R347" s="26">
        <f t="shared" si="117"/>
        <v>0.69804981840938274</v>
      </c>
      <c r="S347" s="9">
        <f t="shared" si="118"/>
        <v>0.18235963778679554</v>
      </c>
      <c r="T347" s="9">
        <f>K347/((COUNT($K$324:K347))*24*$Q$1)</f>
        <v>0.18235963778679551</v>
      </c>
      <c r="U347" s="28">
        <f>L347/((COUNT($L$18:L347))*24*$Q$1)</f>
        <v>0.16967621839651839</v>
      </c>
      <c r="V347" s="134">
        <v>11.5031</v>
      </c>
      <c r="Y347" s="27">
        <f t="shared" si="126"/>
        <v>45346</v>
      </c>
      <c r="Z347" s="5">
        <f>MONTH(Modelling_new[[#This Row],[Date]])</f>
        <v>2</v>
      </c>
      <c r="AA347" s="25">
        <f>YEAR(Y347)+IF(MONTH(Modelling_new[[#This Row],[Date]])&gt;=4,1,0)</f>
        <v>2024</v>
      </c>
      <c r="AB347" s="3">
        <f t="shared" si="120"/>
        <v>2024</v>
      </c>
      <c r="AC347" s="3" t="s">
        <v>626</v>
      </c>
      <c r="AD347" s="5" t="s">
        <v>626</v>
      </c>
      <c r="AE347" s="102">
        <v>45323</v>
      </c>
      <c r="AF347" s="5">
        <f t="shared" si="121"/>
        <v>29</v>
      </c>
      <c r="AG347" s="5">
        <f t="shared" si="122"/>
        <v>2</v>
      </c>
      <c r="AH347" s="4">
        <f>(VLOOKUP(AG347,$AA$2:$AK$13,10,0)/AF347)*Modelling_new[[#This Row],[Factor]]</f>
        <v>69.65517241379311</v>
      </c>
      <c r="AI347" s="4">
        <f>SUMIFS(Modelling_new[Target E_Grid daily
MWh],Modelling_new[Month Year],Modelling_new[[#This Row],[Month Year]],Modelling_new[Date],"&lt;="&amp;Modelling_new[[#This Row],[Date]])</f>
        <v>1671.7241379310342</v>
      </c>
      <c r="AJ347" s="4">
        <f>SUMIFS(Modelling_new[Target E_Grid daily
MWh],Modelling_new[Finacial Year],Modelling_new[[#This Row],[Finacial Year]],Modelling_new[Date],"&lt;="&amp;Modelling_new[[#This Row],[Date]])</f>
        <v>3611.5409352310257</v>
      </c>
      <c r="AK347" s="4">
        <f t="shared" si="108"/>
        <v>6.4141063571428605</v>
      </c>
      <c r="AL347" s="4">
        <f>SUMIFS(Modelling_new[Target POA Daily (KWh/m2)],Modelling_new[Month Year],Modelling_new[[#This Row],[Month Year]],Modelling_new[Date],"&lt;="&amp;Modelling_new[[#This Row],[Date]])</f>
        <v>153.9385525714286</v>
      </c>
      <c r="AM347" s="4">
        <f>SUMIFS(Modelling_new[Target POA Daily (KWh/m2)],Modelling_new[Finacial Year],Modelling_new[[#This Row],[Finacial Year]],Modelling_new[Date],"&lt;="&amp;Modelling_new[[#This Row],[Date]])</f>
        <v>329.3714245714288</v>
      </c>
      <c r="AN347" s="9">
        <f>AH347/Modelling_new[[#This Row],[Comisined DC ]]/AK347</f>
        <v>0.84841286405665717</v>
      </c>
      <c r="AO347" s="9">
        <f>AI347/AL347/Modelling_new[[#This Row],[MTD DC Capcity]]</f>
        <v>0.84841286405665695</v>
      </c>
      <c r="AP347" s="9">
        <f>AJ347/AM347/Modelling_new[[#This Row],[YTD DC Capcity]]</f>
        <v>0.8566366555084548</v>
      </c>
      <c r="AQ347" s="9">
        <f>AH347/(24*Modelling_new[[#This Row],[Comisined DC ]])</f>
        <v>0.22674209770114942</v>
      </c>
      <c r="AR347" s="9">
        <f>AI347/(COUNTIFS(Modelling_new[Date],"&lt;="&amp;Modelling_new[[#This Row],[Date]],Modelling_new[Month Year],Modelling_new[[#This Row],[Month Year]])*24*Modelling_new[[#This Row],[MTD DC Capcity]])</f>
        <v>0.22674209770114931</v>
      </c>
      <c r="AS347" s="28">
        <f>AJ347/(COUNTIFS(Modelling_new[Date],"&lt;="&amp;Modelling_new[[#This Row],[Date]],Modelling_new[Finacial Year],Modelling_new[[#This Row],[Finacial Year]],Modelling_new[Target E_Grid YTD
MWh],"&gt;"&amp;0)*24*Modelling_new[[#This Row],[YTD DC Capcity]])</f>
        <v>0.21375123906433641</v>
      </c>
      <c r="AT347" s="5">
        <v>12.8</v>
      </c>
      <c r="AU347" s="9">
        <f>Modelling_new[[#This Row],[Comisined DC ]]/$AO$1</f>
        <v>1</v>
      </c>
      <c r="AV347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47" s="5">
        <f>AVERAGEIFS(Modelling_new[[Comisined DC ]],Modelling_new[Date],"&lt;="&amp;Modelling_new[[#This Row],[Date]],Modelling_new[[Comisined DC ]],"&gt;"&amp;0,Modelling_new[Finacial Year],Modelling_new[[#This Row],[Finacial Year]])</f>
        <v>12.799999999999992</v>
      </c>
      <c r="BD347" s="27">
        <f t="shared" si="127"/>
        <v>45346</v>
      </c>
      <c r="BE347" s="5">
        <f>MONTH(Modelling[[#This Row],[Date]])</f>
        <v>2</v>
      </c>
      <c r="BF347" s="25">
        <f>YEAR(BD347)+IF(MONTH(Modelling[[#This Row],[Date]])&gt;=4,1,0)</f>
        <v>2024</v>
      </c>
      <c r="BG347" s="3">
        <f t="shared" si="123"/>
        <v>2024</v>
      </c>
      <c r="BH347" s="3" t="s">
        <v>626</v>
      </c>
      <c r="BI347" s="5" t="s">
        <v>626</v>
      </c>
      <c r="BJ347" s="102">
        <v>45323</v>
      </c>
      <c r="BK347" s="5">
        <f t="shared" si="124"/>
        <v>29</v>
      </c>
      <c r="BL347" s="5">
        <f t="shared" si="125"/>
        <v>2</v>
      </c>
      <c r="BM347" s="4">
        <f>Modelling_old[[#This Row],[Target E_Grid daily
MWh]]+Modelling_new[[#This Row],[Target E_Grid daily
MWh]]</f>
        <v>120</v>
      </c>
      <c r="BN347" s="4">
        <f>Modelling_old[[#This Row],[Target E_Grid MTD
MWh]]+Modelling_new[[#This Row],[Target E_Grid MTD
MWh]]</f>
        <v>2880</v>
      </c>
      <c r="BO347" s="4">
        <f>Modelling_old[[#This Row],[Target E_Grid YTD
MWh]]+Modelling_new[[#This Row],[Target E_Grid YTD
MWh]]</f>
        <v>19069.816797299991</v>
      </c>
      <c r="BP34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47" s="4">
        <f>SUMIFS(Modelling[Target POA Daily (KWh/m2)],Modelling[Date],"&lt;="&amp;Modelling[[#This Row],[Date]],Modelling[Month Year],Modelling[[#This Row],[Month Year]])</f>
        <v>169.1421341883968</v>
      </c>
      <c r="BR347" s="4">
        <f>SUMIFS(Modelling[Target POA Daily (KWh/m2)],Modelling[Date],"&lt;="&amp;Modelling[[#This Row],[Date]],Modelling[Finacial Year],Modelling[[#This Row],[Finacial Year]])</f>
        <v>1910.3729167469951</v>
      </c>
      <c r="BS347" s="9">
        <f>BM347/Modelling[[#This Row],[Comisined DC ]]/BP347</f>
        <v>0.74354147618627753</v>
      </c>
      <c r="BT347" s="9">
        <f>BN347/BQ347/Modelling[[#This Row],[Comisined DC ]]</f>
        <v>0.74354147618627764</v>
      </c>
      <c r="BU347" s="9">
        <f>BO347/BR347/Modelling[[#This Row],[Comisined DC ]]</f>
        <v>0.43590603922670607</v>
      </c>
      <c r="BV347" s="9">
        <f>BM347/(24*Modelling[[#This Row],[Comisined DC ]])</f>
        <v>0.21834061135371183</v>
      </c>
      <c r="BW347" s="9">
        <f>BN347/((COUNTIFS(Modelling[Date],"&lt;="&amp;Modelling[[#This Row],[Date]],Modelling[Month Year],Modelling[[#This Row],[Month Year]])*24*Modelling[[#This Row],[MTD DC Capcity]]))</f>
        <v>0.21834061135371188</v>
      </c>
      <c r="BX347" s="28">
        <f>BO347/((COUNTIFS(Modelling[Date],"&lt;="&amp;Modelling[[#This Row],[Date]],Modelling[Finacial Year],Modelling[[#This Row],[Finacial Year]])*24*Modelling[[#This Row],[MTD DC Capcity]]))</f>
        <v>0.10514432974560009</v>
      </c>
      <c r="BY347" s="4">
        <v>22.9</v>
      </c>
      <c r="BZ347" s="4">
        <v>0</v>
      </c>
      <c r="CA347" s="4">
        <f>AVERAGEIFS(Modelling[[Comisined DC ]],Modelling[Date],"&lt;="&amp;Modelling[[#This Row],[Date]],Modelling[Month Year],Modelling[[#This Row],[Month Year]])</f>
        <v>22.899999999999991</v>
      </c>
      <c r="CB347" s="4">
        <f>AVERAGEIFS(Modelling[[Comisined DC ]],Modelling[Date],"&lt;="&amp;Modelling[[#This Row],[Date]],Modelling[Finacial Year],Modelling[[#This Row],[Finacial Year]])</f>
        <v>13.534389696969637</v>
      </c>
      <c r="CG347">
        <f t="shared" si="119"/>
        <v>24</v>
      </c>
      <c r="CH347">
        <f t="shared" si="128"/>
        <v>330</v>
      </c>
    </row>
    <row r="348" spans="1:86" x14ac:dyDescent="0.35">
      <c r="A348" s="27">
        <v>45347</v>
      </c>
      <c r="B348" s="5">
        <f>MONTH(Modelling_old[[#This Row],[Date]])</f>
        <v>2</v>
      </c>
      <c r="C348" s="25">
        <v>2024</v>
      </c>
      <c r="D348" s="3">
        <f t="shared" si="110"/>
        <v>2024</v>
      </c>
      <c r="E348" s="3" t="s">
        <v>626</v>
      </c>
      <c r="F348" s="5" t="s">
        <v>626</v>
      </c>
      <c r="G348" s="102">
        <v>45323</v>
      </c>
      <c r="H348" s="5">
        <f t="shared" si="111"/>
        <v>29</v>
      </c>
      <c r="I348" s="5">
        <f t="shared" si="112"/>
        <v>2</v>
      </c>
      <c r="J348" s="4">
        <f t="shared" si="113"/>
        <v>50.344827586206897</v>
      </c>
      <c r="K348" s="4">
        <f>SUM($J$324:J348)</f>
        <v>1258.6206896551726</v>
      </c>
      <c r="L348" s="4">
        <f>SUM($J$18:J348)</f>
        <v>15508.620689655172</v>
      </c>
      <c r="M348" s="4">
        <f t="shared" si="114"/>
        <v>6.8928571428571432</v>
      </c>
      <c r="N348" s="4">
        <f>SUM($M$324:M348)</f>
        <v>172.32142857142853</v>
      </c>
      <c r="O348" s="4">
        <f>SUM($M$18:M348)</f>
        <v>1932.0214285714242</v>
      </c>
      <c r="P348" s="9">
        <f t="shared" si="115"/>
        <v>0.63495169219029313</v>
      </c>
      <c r="Q348" s="26">
        <f t="shared" si="116"/>
        <v>0.63495169219029335</v>
      </c>
      <c r="R348" s="26">
        <f t="shared" si="117"/>
        <v>0.69782470373747563</v>
      </c>
      <c r="S348" s="9">
        <f t="shared" si="118"/>
        <v>0.18235963778679554</v>
      </c>
      <c r="T348" s="9">
        <f>K348/((COUNT($K$324:K348))*24*$Q$1)</f>
        <v>0.18235963778679554</v>
      </c>
      <c r="U348" s="28">
        <f>L348/((COUNT($L$18:L348))*24*$Q$1)</f>
        <v>0.16971453688410232</v>
      </c>
      <c r="V348" s="134">
        <v>11.5031</v>
      </c>
      <c r="Y348" s="27">
        <f t="shared" si="126"/>
        <v>45347</v>
      </c>
      <c r="Z348" s="5">
        <f>MONTH(Modelling_new[[#This Row],[Date]])</f>
        <v>2</v>
      </c>
      <c r="AA348" s="25">
        <f>YEAR(Y348)+IF(MONTH(Modelling_new[[#This Row],[Date]])&gt;=4,1,0)</f>
        <v>2024</v>
      </c>
      <c r="AB348" s="3">
        <f t="shared" si="120"/>
        <v>2024</v>
      </c>
      <c r="AC348" s="3" t="s">
        <v>626</v>
      </c>
      <c r="AD348" s="5" t="s">
        <v>626</v>
      </c>
      <c r="AE348" s="102">
        <v>45323</v>
      </c>
      <c r="AF348" s="5">
        <f t="shared" si="121"/>
        <v>29</v>
      </c>
      <c r="AG348" s="5">
        <f t="shared" si="122"/>
        <v>2</v>
      </c>
      <c r="AH348" s="4">
        <f>(VLOOKUP(AG348,$AA$2:$AK$13,10,0)/AF348)*Modelling_new[[#This Row],[Factor]]</f>
        <v>69.65517241379311</v>
      </c>
      <c r="AI348" s="4">
        <f>SUMIFS(Modelling_new[Target E_Grid daily
MWh],Modelling_new[Month Year],Modelling_new[[#This Row],[Month Year]],Modelling_new[Date],"&lt;="&amp;Modelling_new[[#This Row],[Date]])</f>
        <v>1741.3793103448272</v>
      </c>
      <c r="AJ348" s="4">
        <f>SUMIFS(Modelling_new[Target E_Grid daily
MWh],Modelling_new[Finacial Year],Modelling_new[[#This Row],[Finacial Year]],Modelling_new[Date],"&lt;="&amp;Modelling_new[[#This Row],[Date]])</f>
        <v>3681.1961076448188</v>
      </c>
      <c r="AK348" s="4">
        <f t="shared" si="108"/>
        <v>6.4141063571428605</v>
      </c>
      <c r="AL348" s="4">
        <f>SUMIFS(Modelling_new[Target POA Daily (KWh/m2)],Modelling_new[Month Year],Modelling_new[[#This Row],[Month Year]],Modelling_new[Date],"&lt;="&amp;Modelling_new[[#This Row],[Date]])</f>
        <v>160.35265892857146</v>
      </c>
      <c r="AM348" s="4">
        <f>SUMIFS(Modelling_new[Target POA Daily (KWh/m2)],Modelling_new[Finacial Year],Modelling_new[[#This Row],[Finacial Year]],Modelling_new[Date],"&lt;="&amp;Modelling_new[[#This Row],[Date]])</f>
        <v>335.78553092857169</v>
      </c>
      <c r="AN348" s="9">
        <f>AH348/Modelling_new[[#This Row],[Comisined DC ]]/AK348</f>
        <v>0.84841286405665717</v>
      </c>
      <c r="AO348" s="9">
        <f>AI348/AL348/Modelling_new[[#This Row],[MTD DC Capcity]]</f>
        <v>0.84841286405665695</v>
      </c>
      <c r="AP348" s="9">
        <f>AJ348/AM348/Modelling_new[[#This Row],[YTD DC Capcity]]</f>
        <v>0.85647956633047584</v>
      </c>
      <c r="AQ348" s="9">
        <f>AH348/(24*Modelling_new[[#This Row],[Comisined DC ]])</f>
        <v>0.22674209770114942</v>
      </c>
      <c r="AR348" s="9">
        <f>AI348/(COUNTIFS(Modelling_new[Date],"&lt;="&amp;Modelling_new[[#This Row],[Date]],Modelling_new[Month Year],Modelling_new[[#This Row],[Month Year]])*24*Modelling_new[[#This Row],[MTD DC Capcity]])</f>
        <v>0.22674209770114931</v>
      </c>
      <c r="AS348" s="28">
        <f>AJ348/(COUNTIFS(Modelling_new[Date],"&lt;="&amp;Modelling_new[[#This Row],[Date]],Modelling_new[Finacial Year],Modelling_new[[#This Row],[Finacial Year]],Modelling_new[Target E_Grid YTD
MWh],"&gt;"&amp;0)*24*Modelling_new[[#This Row],[YTD DC Capcity]])</f>
        <v>0.21398321868285092</v>
      </c>
      <c r="AT348" s="5">
        <v>12.8</v>
      </c>
      <c r="AU348" s="9">
        <f>Modelling_new[[#This Row],[Comisined DC ]]/$AO$1</f>
        <v>1</v>
      </c>
      <c r="AV348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48" s="5">
        <f>AVERAGEIFS(Modelling_new[[Comisined DC ]],Modelling_new[Date],"&lt;="&amp;Modelling_new[[#This Row],[Date]],Modelling_new[[Comisined DC ]],"&gt;"&amp;0,Modelling_new[Finacial Year],Modelling_new[[#This Row],[Finacial Year]])</f>
        <v>12.799999999999992</v>
      </c>
      <c r="BD348" s="27">
        <f t="shared" si="127"/>
        <v>45347</v>
      </c>
      <c r="BE348" s="5">
        <f>MONTH(Modelling[[#This Row],[Date]])</f>
        <v>2</v>
      </c>
      <c r="BF348" s="25">
        <f>YEAR(BD348)+IF(MONTH(Modelling[[#This Row],[Date]])&gt;=4,1,0)</f>
        <v>2024</v>
      </c>
      <c r="BG348" s="3">
        <f t="shared" si="123"/>
        <v>2024</v>
      </c>
      <c r="BH348" s="3" t="s">
        <v>626</v>
      </c>
      <c r="BI348" s="5" t="s">
        <v>626</v>
      </c>
      <c r="BJ348" s="102">
        <v>45323</v>
      </c>
      <c r="BK348" s="5">
        <f t="shared" si="124"/>
        <v>29</v>
      </c>
      <c r="BL348" s="5">
        <f t="shared" si="125"/>
        <v>2</v>
      </c>
      <c r="BM348" s="4">
        <f>Modelling_old[[#This Row],[Target E_Grid daily
MWh]]+Modelling_new[[#This Row],[Target E_Grid daily
MWh]]</f>
        <v>120</v>
      </c>
      <c r="BN348" s="4">
        <f>Modelling_old[[#This Row],[Target E_Grid MTD
MWh]]+Modelling_new[[#This Row],[Target E_Grid MTD
MWh]]</f>
        <v>3000</v>
      </c>
      <c r="BO348" s="4">
        <f>Modelling_old[[#This Row],[Target E_Grid YTD
MWh]]+Modelling_new[[#This Row],[Target E_Grid YTD
MWh]]</f>
        <v>19189.816797299991</v>
      </c>
      <c r="BP34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48" s="4">
        <f>SUMIFS(Modelling[Target POA Daily (KWh/m2)],Modelling[Date],"&lt;="&amp;Modelling[[#This Row],[Date]],Modelling[Month Year],Modelling[[#This Row],[Month Year]])</f>
        <v>176.18972311291333</v>
      </c>
      <c r="BR348" s="4">
        <f>SUMIFS(Modelling[Target POA Daily (KWh/m2)],Modelling[Date],"&lt;="&amp;Modelling[[#This Row],[Date]],Modelling[Finacial Year],Modelling[[#This Row],[Finacial Year]])</f>
        <v>1917.4205056715116</v>
      </c>
      <c r="BS348" s="9">
        <f>BM348/Modelling[[#This Row],[Comisined DC ]]/BP348</f>
        <v>0.74354147618627753</v>
      </c>
      <c r="BT348" s="9">
        <f>BN348/BQ348/Modelling[[#This Row],[Comisined DC ]]</f>
        <v>0.74354147618627764</v>
      </c>
      <c r="BU348" s="9">
        <f>BO348/BR348/Modelling[[#This Row],[Comisined DC ]]</f>
        <v>0.43703677090079224</v>
      </c>
      <c r="BV348" s="9">
        <f>BM348/(24*Modelling[[#This Row],[Comisined DC ]])</f>
        <v>0.21834061135371183</v>
      </c>
      <c r="BW348" s="9">
        <f>BN348/((COUNTIFS(Modelling[Date],"&lt;="&amp;Modelling[[#This Row],[Date]],Modelling[Month Year],Modelling[[#This Row],[Month Year]])*24*Modelling[[#This Row],[MTD DC Capcity]]))</f>
        <v>0.21834061135371188</v>
      </c>
      <c r="BX348" s="28">
        <f>BO348/((COUNTIFS(Modelling[Date],"&lt;="&amp;Modelling[[#This Row],[Date]],Modelling[Finacial Year],Modelling[[#This Row],[Finacial Year]])*24*Modelling[[#This Row],[MTD DC Capcity]]))</f>
        <v>0.10548631246949168</v>
      </c>
      <c r="BY348" s="4">
        <v>22.9</v>
      </c>
      <c r="BZ348" s="4">
        <v>0</v>
      </c>
      <c r="CA348" s="4">
        <f>AVERAGEIFS(Modelling[[Comisined DC ]],Modelling[Date],"&lt;="&amp;Modelling[[#This Row],[Date]],Modelling[Month Year],Modelling[[#This Row],[Month Year]])</f>
        <v>22.899999999999991</v>
      </c>
      <c r="CB348" s="4">
        <f>AVERAGEIFS(Modelling[[Comisined DC ]],Modelling[Date],"&lt;="&amp;Modelling[[#This Row],[Date]],Modelling[Finacial Year],Modelling[[#This Row],[Finacial Year]])</f>
        <v>13.562684592144954</v>
      </c>
      <c r="CG348">
        <f t="shared" si="119"/>
        <v>25</v>
      </c>
      <c r="CH348">
        <f t="shared" si="128"/>
        <v>331</v>
      </c>
    </row>
    <row r="349" spans="1:86" x14ac:dyDescent="0.35">
      <c r="A349" s="27">
        <v>45348</v>
      </c>
      <c r="B349" s="5">
        <f>MONTH(Modelling_old[[#This Row],[Date]])</f>
        <v>2</v>
      </c>
      <c r="C349" s="25">
        <v>2024</v>
      </c>
      <c r="D349" s="3">
        <f t="shared" si="110"/>
        <v>2024</v>
      </c>
      <c r="E349" s="3" t="s">
        <v>626</v>
      </c>
      <c r="F349" s="5" t="s">
        <v>626</v>
      </c>
      <c r="G349" s="102">
        <v>45323</v>
      </c>
      <c r="H349" s="5">
        <f t="shared" si="111"/>
        <v>29</v>
      </c>
      <c r="I349" s="5">
        <f t="shared" si="112"/>
        <v>2</v>
      </c>
      <c r="J349" s="4">
        <f t="shared" si="113"/>
        <v>50.344827586206897</v>
      </c>
      <c r="K349" s="4">
        <f>SUM($J$324:J349)</f>
        <v>1308.9655172413795</v>
      </c>
      <c r="L349" s="4">
        <f>SUM($J$18:J349)</f>
        <v>15558.965517241379</v>
      </c>
      <c r="M349" s="4">
        <f t="shared" si="114"/>
        <v>6.8928571428571432</v>
      </c>
      <c r="N349" s="4">
        <f>SUM($M$324:M349)</f>
        <v>179.21428571428567</v>
      </c>
      <c r="O349" s="4">
        <f>SUM($M$18:M349)</f>
        <v>1938.9142857142813</v>
      </c>
      <c r="P349" s="9">
        <f t="shared" si="115"/>
        <v>0.63495169219029313</v>
      </c>
      <c r="Q349" s="26">
        <f t="shared" si="116"/>
        <v>0.63495169219029346</v>
      </c>
      <c r="R349" s="26">
        <f t="shared" si="117"/>
        <v>0.69760118963480033</v>
      </c>
      <c r="S349" s="9">
        <f t="shared" si="118"/>
        <v>0.18235963778679554</v>
      </c>
      <c r="T349" s="9">
        <f>K349/((COUNT($K$324:K349))*24*$Q$1)</f>
        <v>0.18235963778679554</v>
      </c>
      <c r="U349" s="28">
        <f>L349/((COUNT($L$18:L349))*24*$Q$1)</f>
        <v>0.16975262453742365</v>
      </c>
      <c r="V349" s="134">
        <v>11.5031</v>
      </c>
      <c r="Y349" s="27">
        <f t="shared" si="126"/>
        <v>45348</v>
      </c>
      <c r="Z349" s="5">
        <f>MONTH(Modelling_new[[#This Row],[Date]])</f>
        <v>2</v>
      </c>
      <c r="AA349" s="25">
        <f>YEAR(Y349)+IF(MONTH(Modelling_new[[#This Row],[Date]])&gt;=4,1,0)</f>
        <v>2024</v>
      </c>
      <c r="AB349" s="3">
        <f t="shared" si="120"/>
        <v>2024</v>
      </c>
      <c r="AC349" s="3" t="s">
        <v>626</v>
      </c>
      <c r="AD349" s="5" t="s">
        <v>626</v>
      </c>
      <c r="AE349" s="102">
        <v>45323</v>
      </c>
      <c r="AF349" s="5">
        <f t="shared" si="121"/>
        <v>29</v>
      </c>
      <c r="AG349" s="5">
        <f t="shared" si="122"/>
        <v>2</v>
      </c>
      <c r="AH349" s="4">
        <f>(VLOOKUP(AG349,$AA$2:$AK$13,10,0)/AF349)*Modelling_new[[#This Row],[Factor]]</f>
        <v>69.65517241379311</v>
      </c>
      <c r="AI349" s="4">
        <f>SUMIFS(Modelling_new[Target E_Grid daily
MWh],Modelling_new[Month Year],Modelling_new[[#This Row],[Month Year]],Modelling_new[Date],"&lt;="&amp;Modelling_new[[#This Row],[Date]])</f>
        <v>1811.0344827586202</v>
      </c>
      <c r="AJ349" s="4">
        <f>SUMIFS(Modelling_new[Target E_Grid daily
MWh],Modelling_new[Finacial Year],Modelling_new[[#This Row],[Finacial Year]],Modelling_new[Date],"&lt;="&amp;Modelling_new[[#This Row],[Date]])</f>
        <v>3750.8512800586118</v>
      </c>
      <c r="AK349" s="4">
        <f t="shared" si="108"/>
        <v>6.4141063571428605</v>
      </c>
      <c r="AL349" s="4">
        <f>SUMIFS(Modelling_new[Target POA Daily (KWh/m2)],Modelling_new[Month Year],Modelling_new[[#This Row],[Month Year]],Modelling_new[Date],"&lt;="&amp;Modelling_new[[#This Row],[Date]])</f>
        <v>166.76676528571431</v>
      </c>
      <c r="AM349" s="4">
        <f>SUMIFS(Modelling_new[Target POA Daily (KWh/m2)],Modelling_new[Finacial Year],Modelling_new[[#This Row],[Finacial Year]],Modelling_new[Date],"&lt;="&amp;Modelling_new[[#This Row],[Date]])</f>
        <v>342.19963728571457</v>
      </c>
      <c r="AN349" s="9">
        <f>AH349/Modelling_new[[#This Row],[Comisined DC ]]/AK349</f>
        <v>0.84841286405665717</v>
      </c>
      <c r="AO349" s="9">
        <f>AI349/AL349/Modelling_new[[#This Row],[MTD DC Capcity]]</f>
        <v>0.84841286405665695</v>
      </c>
      <c r="AP349" s="9">
        <f>AJ349/AM349/Modelling_new[[#This Row],[YTD DC Capcity]]</f>
        <v>0.85632836603480611</v>
      </c>
      <c r="AQ349" s="9">
        <f>AH349/(24*Modelling_new[[#This Row],[Comisined DC ]])</f>
        <v>0.22674209770114942</v>
      </c>
      <c r="AR349" s="9">
        <f>AI349/(COUNTIFS(Modelling_new[Date],"&lt;="&amp;Modelling_new[[#This Row],[Date]],Modelling_new[Month Year],Modelling_new[[#This Row],[Month Year]])*24*Modelling_new[[#This Row],[MTD DC Capcity]])</f>
        <v>0.22674209770114931</v>
      </c>
      <c r="AS349" s="28">
        <f>AJ349/(COUNTIFS(Modelling_new[Date],"&lt;="&amp;Modelling_new[[#This Row],[Date]],Modelling_new[Finacial Year],Modelling_new[[#This Row],[Finacial Year]],Modelling_new[Target E_Grid YTD
MWh],"&gt;"&amp;0)*24*Modelling_new[[#This Row],[YTD DC Capcity]])</f>
        <v>0.21420705866562811</v>
      </c>
      <c r="AT349" s="5">
        <v>12.8</v>
      </c>
      <c r="AU349" s="9">
        <f>Modelling_new[[#This Row],[Comisined DC ]]/$AO$1</f>
        <v>1</v>
      </c>
      <c r="AV34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49" s="5">
        <f>AVERAGEIFS(Modelling_new[[Comisined DC ]],Modelling_new[Date],"&lt;="&amp;Modelling_new[[#This Row],[Date]],Modelling_new[[Comisined DC ]],"&gt;"&amp;0,Modelling_new[Finacial Year],Modelling_new[[#This Row],[Finacial Year]])</f>
        <v>12.79999999999999</v>
      </c>
      <c r="BD349" s="27">
        <f t="shared" si="127"/>
        <v>45348</v>
      </c>
      <c r="BE349" s="5">
        <f>MONTH(Modelling[[#This Row],[Date]])</f>
        <v>2</v>
      </c>
      <c r="BF349" s="25">
        <f>YEAR(BD349)+IF(MONTH(Modelling[[#This Row],[Date]])&gt;=4,1,0)</f>
        <v>2024</v>
      </c>
      <c r="BG349" s="3">
        <f t="shared" si="123"/>
        <v>2024</v>
      </c>
      <c r="BH349" s="3" t="s">
        <v>626</v>
      </c>
      <c r="BI349" s="5" t="s">
        <v>626</v>
      </c>
      <c r="BJ349" s="102">
        <v>45323</v>
      </c>
      <c r="BK349" s="5">
        <f t="shared" si="124"/>
        <v>29</v>
      </c>
      <c r="BL349" s="5">
        <f t="shared" si="125"/>
        <v>2</v>
      </c>
      <c r="BM349" s="4">
        <f>Modelling_old[[#This Row],[Target E_Grid daily
MWh]]+Modelling_new[[#This Row],[Target E_Grid daily
MWh]]</f>
        <v>120</v>
      </c>
      <c r="BN349" s="4">
        <f>Modelling_old[[#This Row],[Target E_Grid MTD
MWh]]+Modelling_new[[#This Row],[Target E_Grid MTD
MWh]]</f>
        <v>3120</v>
      </c>
      <c r="BO349" s="4">
        <f>Modelling_old[[#This Row],[Target E_Grid YTD
MWh]]+Modelling_new[[#This Row],[Target E_Grid YTD
MWh]]</f>
        <v>19309.816797299991</v>
      </c>
      <c r="BP34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49" s="4">
        <f>SUMIFS(Modelling[Target POA Daily (KWh/m2)],Modelling[Date],"&lt;="&amp;Modelling[[#This Row],[Date]],Modelling[Month Year],Modelling[[#This Row],[Month Year]])</f>
        <v>183.23731203742986</v>
      </c>
      <c r="BR349" s="4">
        <f>SUMIFS(Modelling[Target POA Daily (KWh/m2)],Modelling[Date],"&lt;="&amp;Modelling[[#This Row],[Date]],Modelling[Finacial Year],Modelling[[#This Row],[Finacial Year]])</f>
        <v>1924.4680945960281</v>
      </c>
      <c r="BS349" s="9">
        <f>BM349/Modelling[[#This Row],[Comisined DC ]]/BP349</f>
        <v>0.74354147618627753</v>
      </c>
      <c r="BT349" s="9">
        <f>BN349/BQ349/Modelling[[#This Row],[Comisined DC ]]</f>
        <v>0.74354147618627764</v>
      </c>
      <c r="BU349" s="9">
        <f>BO349/BR349/Modelling[[#This Row],[Comisined DC ]]</f>
        <v>0.43815922087663117</v>
      </c>
      <c r="BV349" s="9">
        <f>BM349/(24*Modelling[[#This Row],[Comisined DC ]])</f>
        <v>0.21834061135371183</v>
      </c>
      <c r="BW349" s="9">
        <f>BN349/((COUNTIFS(Modelling[Date],"&lt;="&amp;Modelling[[#This Row],[Date]],Modelling[Month Year],Modelling[[#This Row],[Month Year]])*24*Modelling[[#This Row],[MTD DC Capcity]]))</f>
        <v>0.21834061135371186</v>
      </c>
      <c r="BX349" s="28">
        <f>BO349/((COUNTIFS(Modelling[Date],"&lt;="&amp;Modelling[[#This Row],[Date]],Modelling[Finacial Year],Modelling[[#This Row],[Finacial Year]])*24*Modelling[[#This Row],[MTD DC Capcity]]))</f>
        <v>0.10582623505649234</v>
      </c>
      <c r="BY349" s="4">
        <v>22.9</v>
      </c>
      <c r="BZ349" s="4">
        <v>0</v>
      </c>
      <c r="CA349" s="4">
        <f>AVERAGEIFS(Modelling[[Comisined DC ]],Modelling[Date],"&lt;="&amp;Modelling[[#This Row],[Date]],Modelling[Month Year],Modelling[[#This Row],[Month Year]])</f>
        <v>22.899999999999991</v>
      </c>
      <c r="CB349" s="4">
        <f>AVERAGEIFS(Modelling[[Comisined DC ]],Modelling[Date],"&lt;="&amp;Modelling[[#This Row],[Date]],Modelling[Finacial Year],Modelling[[#This Row],[Finacial Year]])</f>
        <v>13.590809036144517</v>
      </c>
      <c r="CG349">
        <f t="shared" si="119"/>
        <v>26</v>
      </c>
      <c r="CH349">
        <f t="shared" si="128"/>
        <v>332</v>
      </c>
    </row>
    <row r="350" spans="1:86" x14ac:dyDescent="0.35">
      <c r="A350" s="27">
        <v>45349</v>
      </c>
      <c r="B350" s="5">
        <f>MONTH(Modelling_old[[#This Row],[Date]])</f>
        <v>2</v>
      </c>
      <c r="C350" s="25">
        <v>2024</v>
      </c>
      <c r="D350" s="3">
        <f t="shared" si="110"/>
        <v>2024</v>
      </c>
      <c r="E350" s="3" t="s">
        <v>626</v>
      </c>
      <c r="F350" s="5" t="s">
        <v>626</v>
      </c>
      <c r="G350" s="102">
        <v>45323</v>
      </c>
      <c r="H350" s="5">
        <f t="shared" si="111"/>
        <v>29</v>
      </c>
      <c r="I350" s="5">
        <f t="shared" si="112"/>
        <v>2</v>
      </c>
      <c r="J350" s="4">
        <f t="shared" si="113"/>
        <v>50.344827586206897</v>
      </c>
      <c r="K350" s="4">
        <f>SUM($J$324:J350)</f>
        <v>1359.3103448275865</v>
      </c>
      <c r="L350" s="4">
        <f>SUM($J$18:J350)</f>
        <v>15609.310344827585</v>
      </c>
      <c r="M350" s="4">
        <f t="shared" si="114"/>
        <v>6.8928571428571432</v>
      </c>
      <c r="N350" s="4">
        <f>SUM($M$324:M350)</f>
        <v>186.1071428571428</v>
      </c>
      <c r="O350" s="4">
        <f>SUM($M$18:M350)</f>
        <v>1945.8071428571384</v>
      </c>
      <c r="P350" s="9">
        <f t="shared" si="115"/>
        <v>0.63495169219029313</v>
      </c>
      <c r="Q350" s="26">
        <f t="shared" si="116"/>
        <v>0.63495169219029346</v>
      </c>
      <c r="R350" s="26">
        <f t="shared" si="117"/>
        <v>0.69737925909171339</v>
      </c>
      <c r="S350" s="9">
        <f t="shared" si="118"/>
        <v>0.18235963778679554</v>
      </c>
      <c r="T350" s="9">
        <f>K350/((COUNT($K$324:K350))*24*$Q$1)</f>
        <v>0.18235963778679556</v>
      </c>
      <c r="U350" s="28">
        <f>L350/((COUNT($L$18:L350))*24*$Q$1)</f>
        <v>0.16979048343607042</v>
      </c>
      <c r="V350" s="134">
        <v>11.5031</v>
      </c>
      <c r="Y350" s="27">
        <f t="shared" si="126"/>
        <v>45349</v>
      </c>
      <c r="Z350" s="5">
        <f>MONTH(Modelling_new[[#This Row],[Date]])</f>
        <v>2</v>
      </c>
      <c r="AA350" s="25">
        <f>YEAR(Y350)+IF(MONTH(Modelling_new[[#This Row],[Date]])&gt;=4,1,0)</f>
        <v>2024</v>
      </c>
      <c r="AB350" s="3">
        <f t="shared" si="120"/>
        <v>2024</v>
      </c>
      <c r="AC350" s="3" t="s">
        <v>626</v>
      </c>
      <c r="AD350" s="5" t="s">
        <v>626</v>
      </c>
      <c r="AE350" s="102">
        <v>45323</v>
      </c>
      <c r="AF350" s="5">
        <f t="shared" si="121"/>
        <v>29</v>
      </c>
      <c r="AG350" s="5">
        <f t="shared" si="122"/>
        <v>2</v>
      </c>
      <c r="AH350" s="4">
        <f>(VLOOKUP(AG350,$AA$2:$AK$13,10,0)/AF350)*Modelling_new[[#This Row],[Factor]]</f>
        <v>69.65517241379311</v>
      </c>
      <c r="AI350" s="4">
        <f>SUMIFS(Modelling_new[Target E_Grid daily
MWh],Modelling_new[Month Year],Modelling_new[[#This Row],[Month Year]],Modelling_new[Date],"&lt;="&amp;Modelling_new[[#This Row],[Date]])</f>
        <v>1880.6896551724133</v>
      </c>
      <c r="AJ350" s="4">
        <f>SUMIFS(Modelling_new[Target E_Grid daily
MWh],Modelling_new[Finacial Year],Modelling_new[[#This Row],[Finacial Year]],Modelling_new[Date],"&lt;="&amp;Modelling_new[[#This Row],[Date]])</f>
        <v>3820.5064524724048</v>
      </c>
      <c r="AK350" s="4">
        <f t="shared" si="108"/>
        <v>6.4141063571428605</v>
      </c>
      <c r="AL350" s="4">
        <f>SUMIFS(Modelling_new[Target POA Daily (KWh/m2)],Modelling_new[Month Year],Modelling_new[[#This Row],[Month Year]],Modelling_new[Date],"&lt;="&amp;Modelling_new[[#This Row],[Date]])</f>
        <v>173.18087164285717</v>
      </c>
      <c r="AM350" s="4">
        <f>SUMIFS(Modelling_new[Target POA Daily (KWh/m2)],Modelling_new[Finacial Year],Modelling_new[[#This Row],[Finacial Year]],Modelling_new[Date],"&lt;="&amp;Modelling_new[[#This Row],[Date]])</f>
        <v>348.61374364285746</v>
      </c>
      <c r="AN350" s="9">
        <f>AH350/Modelling_new[[#This Row],[Comisined DC ]]/AK350</f>
        <v>0.84841286405665717</v>
      </c>
      <c r="AO350" s="9">
        <f>AI350/AL350/Modelling_new[[#This Row],[MTD DC Capcity]]</f>
        <v>0.84841286405665695</v>
      </c>
      <c r="AP350" s="9">
        <f>AJ350/AM350/Modelling_new[[#This Row],[YTD DC Capcity]]</f>
        <v>0.85618272957472996</v>
      </c>
      <c r="AQ350" s="9">
        <f>AH350/(24*Modelling_new[[#This Row],[Comisined DC ]])</f>
        <v>0.22674209770114942</v>
      </c>
      <c r="AR350" s="9">
        <f>AI350/(COUNTIFS(Modelling_new[Date],"&lt;="&amp;Modelling_new[[#This Row],[Date]],Modelling_new[Month Year],Modelling_new[[#This Row],[Month Year]])*24*Modelling_new[[#This Row],[MTD DC Capcity]])</f>
        <v>0.22674209770114928</v>
      </c>
      <c r="AS350" s="28">
        <f>AJ350/(COUNTIFS(Modelling_new[Date],"&lt;="&amp;Modelling_new[[#This Row],[Date]],Modelling_new[Finacial Year],Modelling_new[[#This Row],[Finacial Year]],Modelling_new[Target E_Grid YTD
MWh],"&gt;"&amp;0)*24*Modelling_new[[#This Row],[YTD DC Capcity]])</f>
        <v>0.21442318002830951</v>
      </c>
      <c r="AT350" s="5">
        <v>12.8</v>
      </c>
      <c r="AU350" s="9">
        <f>Modelling_new[[#This Row],[Comisined DC ]]/$AO$1</f>
        <v>1</v>
      </c>
      <c r="AV35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50" s="5">
        <f>AVERAGEIFS(Modelling_new[[Comisined DC ]],Modelling_new[Date],"&lt;="&amp;Modelling_new[[#This Row],[Date]],Modelling_new[[Comisined DC ]],"&gt;"&amp;0,Modelling_new[Finacial Year],Modelling_new[[#This Row],[Finacial Year]])</f>
        <v>12.79999999999999</v>
      </c>
      <c r="BD350" s="27">
        <f t="shared" si="127"/>
        <v>45349</v>
      </c>
      <c r="BE350" s="5">
        <f>MONTH(Modelling[[#This Row],[Date]])</f>
        <v>2</v>
      </c>
      <c r="BF350" s="25">
        <f>YEAR(BD350)+IF(MONTH(Modelling[[#This Row],[Date]])&gt;=4,1,0)</f>
        <v>2024</v>
      </c>
      <c r="BG350" s="3">
        <f t="shared" si="123"/>
        <v>2024</v>
      </c>
      <c r="BH350" s="3" t="s">
        <v>626</v>
      </c>
      <c r="BI350" s="5" t="s">
        <v>626</v>
      </c>
      <c r="BJ350" s="102">
        <v>45323</v>
      </c>
      <c r="BK350" s="5">
        <f t="shared" si="124"/>
        <v>29</v>
      </c>
      <c r="BL350" s="5">
        <f t="shared" si="125"/>
        <v>2</v>
      </c>
      <c r="BM350" s="4">
        <f>Modelling_old[[#This Row],[Target E_Grid daily
MWh]]+Modelling_new[[#This Row],[Target E_Grid daily
MWh]]</f>
        <v>120</v>
      </c>
      <c r="BN350" s="4">
        <f>Modelling_old[[#This Row],[Target E_Grid MTD
MWh]]+Modelling_new[[#This Row],[Target E_Grid MTD
MWh]]</f>
        <v>3240</v>
      </c>
      <c r="BO350" s="4">
        <f>Modelling_old[[#This Row],[Target E_Grid YTD
MWh]]+Modelling_new[[#This Row],[Target E_Grid YTD
MWh]]</f>
        <v>19429.816797299991</v>
      </c>
      <c r="BP35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7.0475889245165337</v>
      </c>
      <c r="BQ350" s="4">
        <f>SUMIFS(Modelling[Target POA Daily (KWh/m2)],Modelling[Date],"&lt;="&amp;Modelling[[#This Row],[Date]],Modelling[Month Year],Modelling[[#This Row],[Month Year]])</f>
        <v>190.28490096194639</v>
      </c>
      <c r="BR350" s="4">
        <f>SUMIFS(Modelling[Target POA Daily (KWh/m2)],Modelling[Date],"&lt;="&amp;Modelling[[#This Row],[Date]],Modelling[Finacial Year],Modelling[[#This Row],[Finacial Year]])</f>
        <v>1931.5156835205446</v>
      </c>
      <c r="BS350" s="9">
        <f>BM350/Modelling[[#This Row],[Comisined DC ]]/BP350</f>
        <v>0.74354147618627753</v>
      </c>
      <c r="BT350" s="9">
        <f>BN350/BQ350/Modelling[[#This Row],[Comisined DC ]]</f>
        <v>0.74354147618627764</v>
      </c>
      <c r="BU350" s="9">
        <f>BO350/BR350/Modelling[[#This Row],[Comisined DC ]]</f>
        <v>0.4392734798073904</v>
      </c>
      <c r="BV350" s="9">
        <f>BM350/(24*Modelling[[#This Row],[Comisined DC ]])</f>
        <v>0.21834061135371183</v>
      </c>
      <c r="BW350" s="9">
        <f>BN350/((COUNTIFS(Modelling[Date],"&lt;="&amp;Modelling[[#This Row],[Date]],Modelling[Month Year],Modelling[[#This Row],[Month Year]])*24*Modelling[[#This Row],[MTD DC Capcity]]))</f>
        <v>0.21834061135371186</v>
      </c>
      <c r="BX350" s="28">
        <f>BO350/((COUNTIFS(Modelling[Date],"&lt;="&amp;Modelling[[#This Row],[Date]],Modelling[Finacial Year],Modelling[[#This Row],[Finacial Year]])*24*Modelling[[#This Row],[MTD DC Capcity]]))</f>
        <v>0.10616411606639389</v>
      </c>
      <c r="BY350" s="4">
        <v>22.9</v>
      </c>
      <c r="BZ350" s="4">
        <v>0</v>
      </c>
      <c r="CA350" s="4">
        <f>AVERAGEIFS(Modelling[[Comisined DC ]],Modelling[Date],"&lt;="&amp;Modelling[[#This Row],[Date]],Modelling[Month Year],Modelling[[#This Row],[Month Year]])</f>
        <v>22.899999999999991</v>
      </c>
      <c r="CB350" s="4">
        <f>AVERAGEIFS(Modelling[[Comisined DC ]],Modelling[Date],"&lt;="&amp;Modelling[[#This Row],[Date]],Modelling[Finacial Year],Modelling[[#This Row],[Finacial Year]])</f>
        <v>13.618764564564502</v>
      </c>
      <c r="CG350">
        <f t="shared" si="119"/>
        <v>27</v>
      </c>
      <c r="CH350">
        <f t="shared" si="128"/>
        <v>333</v>
      </c>
    </row>
    <row r="351" spans="1:86" x14ac:dyDescent="0.35">
      <c r="A351" s="27">
        <v>45350</v>
      </c>
      <c r="B351" s="5">
        <f>MONTH(Modelling_old[[#This Row],[Date]])</f>
        <v>2</v>
      </c>
      <c r="C351" s="25">
        <v>2024</v>
      </c>
      <c r="D351" s="3">
        <f t="shared" si="110"/>
        <v>2024</v>
      </c>
      <c r="E351" s="3" t="s">
        <v>626</v>
      </c>
      <c r="F351" s="5" t="s">
        <v>626</v>
      </c>
      <c r="G351" s="102">
        <v>45323</v>
      </c>
      <c r="H351" s="5">
        <f t="shared" si="111"/>
        <v>29</v>
      </c>
      <c r="I351" s="5">
        <f t="shared" si="112"/>
        <v>2</v>
      </c>
      <c r="J351" s="4">
        <f t="shared" si="113"/>
        <v>50.344827586206897</v>
      </c>
      <c r="K351" s="4">
        <f>SUM($J$324:J351)</f>
        <v>1409.6551724137935</v>
      </c>
      <c r="L351" s="4">
        <f>SUM($J$18:J351)</f>
        <v>15659.655172413792</v>
      </c>
      <c r="M351" s="4">
        <f t="shared" si="114"/>
        <v>6.8928571428571432</v>
      </c>
      <c r="N351" s="4">
        <f>SUM($M$324:M351)</f>
        <v>192.99999999999994</v>
      </c>
      <c r="O351" s="4">
        <f>SUM($M$18:M351)</f>
        <v>1952.6999999999955</v>
      </c>
      <c r="P351" s="9">
        <f t="shared" si="115"/>
        <v>0.63495169219029313</v>
      </c>
      <c r="Q351" s="26">
        <f t="shared" si="116"/>
        <v>0.63495169219029357</v>
      </c>
      <c r="R351" s="26">
        <f t="shared" si="117"/>
        <v>0.69715889533874165</v>
      </c>
      <c r="S351" s="9">
        <f t="shared" si="118"/>
        <v>0.18235963778679554</v>
      </c>
      <c r="T351" s="9">
        <f>K351/((COUNT($K$324:K351))*24*$Q$1)</f>
        <v>0.18235963778679556</v>
      </c>
      <c r="U351" s="28">
        <f>L351/((COUNT($L$18:L351))*24*$Q$1)</f>
        <v>0.16982811563472527</v>
      </c>
      <c r="V351" s="134">
        <v>11.5031</v>
      </c>
      <c r="Y351" s="27">
        <f t="shared" si="126"/>
        <v>45350</v>
      </c>
      <c r="Z351" s="5">
        <f>MONTH(Modelling_new[[#This Row],[Date]])</f>
        <v>2</v>
      </c>
      <c r="AA351" s="25">
        <f>YEAR(Y351)+IF(MONTH(Modelling_new[[#This Row],[Date]])&gt;=4,1,0)</f>
        <v>2024</v>
      </c>
      <c r="AB351" s="3">
        <f t="shared" si="120"/>
        <v>2024</v>
      </c>
      <c r="AC351" s="3" t="s">
        <v>626</v>
      </c>
      <c r="AD351" s="5" t="s">
        <v>626</v>
      </c>
      <c r="AE351" s="102">
        <v>45323</v>
      </c>
      <c r="AF351" s="5">
        <f t="shared" si="121"/>
        <v>29</v>
      </c>
      <c r="AG351" s="5">
        <f t="shared" si="122"/>
        <v>2</v>
      </c>
      <c r="AH351" s="4">
        <f>(VLOOKUP(AG351,$AA$2:$AK$13,10,0)/AF351)*Modelling_new[[#This Row],[Factor]]</f>
        <v>69.65517241379311</v>
      </c>
      <c r="AI351" s="4">
        <f>SUMIFS(Modelling_new[Target E_Grid daily
MWh],Modelling_new[Month Year],Modelling_new[[#This Row],[Month Year]],Modelling_new[Date],"&lt;="&amp;Modelling_new[[#This Row],[Date]])</f>
        <v>1950.3448275862063</v>
      </c>
      <c r="AJ351" s="4">
        <f>SUMIFS(Modelling_new[Target E_Grid daily
MWh],Modelling_new[Finacial Year],Modelling_new[[#This Row],[Finacial Year]],Modelling_new[Date],"&lt;="&amp;Modelling_new[[#This Row],[Date]])</f>
        <v>3890.1616248861978</v>
      </c>
      <c r="AK351" s="4">
        <f t="shared" si="108"/>
        <v>6.4141063571428605</v>
      </c>
      <c r="AL351" s="4">
        <f>SUMIFS(Modelling_new[Target POA Daily (KWh/m2)],Modelling_new[Month Year],Modelling_new[[#This Row],[Month Year]],Modelling_new[Date],"&lt;="&amp;Modelling_new[[#This Row],[Date]])</f>
        <v>179.59497800000003</v>
      </c>
      <c r="AM351" s="4">
        <f>SUMIFS(Modelling_new[Target POA Daily (KWh/m2)],Modelling_new[Finacial Year],Modelling_new[[#This Row],[Finacial Year]],Modelling_new[Date],"&lt;="&amp;Modelling_new[[#This Row],[Date]])</f>
        <v>355.02785000000034</v>
      </c>
      <c r="AN351" s="9">
        <f>AH351/Modelling_new[[#This Row],[Comisined DC ]]/AK351</f>
        <v>0.84841286405665717</v>
      </c>
      <c r="AO351" s="9">
        <f>AI351/AL351/Modelling_new[[#This Row],[MTD DC Capcity]]</f>
        <v>0.84841286405665683</v>
      </c>
      <c r="AP351" s="9">
        <f>AJ351/AM351/Modelling_new[[#This Row],[YTD DC Capcity]]</f>
        <v>0.85604235539334217</v>
      </c>
      <c r="AQ351" s="9">
        <f>AH351/(24*Modelling_new[[#This Row],[Comisined DC ]])</f>
        <v>0.22674209770114942</v>
      </c>
      <c r="AR351" s="9">
        <f>AI351/(COUNTIFS(Modelling_new[Date],"&lt;="&amp;Modelling_new[[#This Row],[Date]],Modelling_new[Month Year],Modelling_new[[#This Row],[Month Year]])*24*Modelling_new[[#This Row],[MTD DC Capcity]])</f>
        <v>0.22674209770114925</v>
      </c>
      <c r="AS351" s="28">
        <f>AJ351/(COUNTIFS(Modelling_new[Date],"&lt;="&amp;Modelling_new[[#This Row],[Date]],Modelling_new[Finacial Year],Modelling_new[[#This Row],[Finacial Year]],Modelling_new[Target E_Grid YTD
MWh],"&gt;"&amp;0)*24*Modelling_new[[#This Row],[YTD DC Capcity]])</f>
        <v>0.21463197524310343</v>
      </c>
      <c r="AT351" s="5">
        <v>12.8</v>
      </c>
      <c r="AU351" s="9">
        <f>Modelling_new[[#This Row],[Comisined DC ]]/$AO$1</f>
        <v>1</v>
      </c>
      <c r="AV351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351" s="5">
        <f>AVERAGEIFS(Modelling_new[[Comisined DC ]],Modelling_new[Date],"&lt;="&amp;Modelling_new[[#This Row],[Date]],Modelling_new[[Comisined DC ]],"&gt;"&amp;0,Modelling_new[Finacial Year],Modelling_new[[#This Row],[Finacial Year]])</f>
        <v>12.79999999999999</v>
      </c>
      <c r="BD351" s="27">
        <f t="shared" si="127"/>
        <v>45350</v>
      </c>
      <c r="BE351" s="5">
        <f>MONTH(Modelling[[#This Row],[Date]])</f>
        <v>2</v>
      </c>
      <c r="BF351" s="25">
        <f>YEAR(BD351)+IF(MONTH(Modelling[[#This Row],[Date]])&gt;=4,1,0)</f>
        <v>2024</v>
      </c>
      <c r="BG351" s="3">
        <f t="shared" si="123"/>
        <v>2024</v>
      </c>
      <c r="BH351" s="3" t="s">
        <v>626</v>
      </c>
      <c r="BI351" s="5" t="s">
        <v>626</v>
      </c>
      <c r="BJ351" s="102">
        <v>45323</v>
      </c>
      <c r="BK351" s="5">
        <f t="shared" si="124"/>
        <v>29</v>
      </c>
      <c r="BL351" s="5">
        <f t="shared" si="125"/>
        <v>2</v>
      </c>
      <c r="BM351" s="4">
        <f>Modelling_old[[#This Row],[Target E_Grid daily
MWh]]+Modelling_new[[#This Row],[Target E_Grid daily
MWh]]</f>
        <v>120</v>
      </c>
      <c r="BN351" s="4">
        <f>Modelling_old[[#This Row],[Target E_Grid MTD
MWh]]+Modelling_new[[#This Row],[Target E_Grid MTD
MWh]]</f>
        <v>3360</v>
      </c>
      <c r="BO351" s="4">
        <f>Modelling_old[[#This Row],[Target E_Grid YTD
MWh]]+Modelling_new[[#This Row],[Target E_Grid YTD
MWh]]</f>
        <v>19549.816797299991</v>
      </c>
      <c r="BP35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6.6407078262208774</v>
      </c>
      <c r="BQ351" s="4">
        <f>SUMIFS(Modelling[Target POA Daily (KWh/m2)],Modelling[Date],"&lt;="&amp;Modelling[[#This Row],[Date]],Modelling[Month Year],Modelling[[#This Row],[Month Year]])</f>
        <v>196.92560878816727</v>
      </c>
      <c r="BR351" s="4">
        <f>SUMIFS(Modelling[Target POA Daily (KWh/m2)],Modelling[Date],"&lt;="&amp;Modelling[[#This Row],[Date]],Modelling[Finacial Year],Modelling[[#This Row],[Finacial Year]])</f>
        <v>1938.1563913467655</v>
      </c>
      <c r="BS351" s="9">
        <f>BM351/Modelling[[#This Row],[Comisined DC ]]/BP351</f>
        <v>0.74354147618627742</v>
      </c>
      <c r="BT351" s="9">
        <f>BN351/BQ351/Modelling[[#This Row],[Comisined DC ]]</f>
        <v>0.70206190272368663</v>
      </c>
      <c r="BU351" s="9">
        <f>BO351/BR351/Modelling[[#This Row],[Comisined DC ]]</f>
        <v>0.41504214639777837</v>
      </c>
      <c r="BV351" s="9">
        <f>BM351/(24*Modelling[[#This Row],[Comisined DC ]])</f>
        <v>0.20573507083458489</v>
      </c>
      <c r="BW351" s="9">
        <f>BN351/((COUNTIFS(Modelling[Date],"&lt;="&amp;Modelling[[#This Row],[Date]],Modelling[Month Year],Modelling[[#This Row],[Month Year]])*24*Modelling[[#This Row],[MTD DC Capcity]]))</f>
        <v>0.2178638727388649</v>
      </c>
      <c r="BX351" s="28">
        <f>BO351/((COUNTIFS(Modelling[Date],"&lt;="&amp;Modelling[[#This Row],[Date]],Modelling[Finacial Year],Modelling[[#This Row],[Finacial Year]])*24*Modelling[[#This Row],[MTD DC Capcity]]))</f>
        <v>0.10626743509967784</v>
      </c>
      <c r="BY351" s="4">
        <f>Modelling_old[[#This Row],[DC Capcity]]+Modelling_new[[#This Row],[Comisined DC ]]</f>
        <v>24.303100000000001</v>
      </c>
      <c r="BZ351" s="4">
        <v>0</v>
      </c>
      <c r="CA351" s="4">
        <f>AVERAGEIFS(Modelling[[Comisined DC ]],Modelling[Date],"&lt;="&amp;Modelling[[#This Row],[Date]],Modelling[Month Year],Modelling[[#This Row],[Month Year]])</f>
        <v>22.950110714285703</v>
      </c>
      <c r="CB351" s="4">
        <f>AVERAGEIFS(Modelling[[Comisined DC ]],Modelling[Date],"&lt;="&amp;Modelling[[#This Row],[Date]],Modelling[Finacial Year],Modelling[[#This Row],[Finacial Year]])</f>
        <v>13.65075359281431</v>
      </c>
      <c r="CG351">
        <f t="shared" si="119"/>
        <v>28</v>
      </c>
      <c r="CH351">
        <f t="shared" si="128"/>
        <v>334</v>
      </c>
    </row>
    <row r="352" spans="1:86" x14ac:dyDescent="0.35">
      <c r="A352" s="27">
        <v>45351</v>
      </c>
      <c r="B352" s="5">
        <f>MONTH(Modelling_old[[#This Row],[Date]])</f>
        <v>2</v>
      </c>
      <c r="C352" s="25">
        <v>2024</v>
      </c>
      <c r="D352" s="3">
        <f t="shared" si="110"/>
        <v>2024</v>
      </c>
      <c r="E352" s="3" t="s">
        <v>626</v>
      </c>
      <c r="F352" s="5" t="s">
        <v>626</v>
      </c>
      <c r="G352" s="102">
        <v>45323</v>
      </c>
      <c r="H352" s="5">
        <f t="shared" si="111"/>
        <v>29</v>
      </c>
      <c r="I352" s="5">
        <f t="shared" si="112"/>
        <v>2</v>
      </c>
      <c r="J352" s="4">
        <f t="shared" si="113"/>
        <v>50.344827586206897</v>
      </c>
      <c r="K352" s="4">
        <f>SUM($J$324:J352)</f>
        <v>1460.0000000000005</v>
      </c>
      <c r="L352" s="4">
        <f>SUM($J$18:J352)</f>
        <v>15709.999999999998</v>
      </c>
      <c r="M352" s="4">
        <f t="shared" si="114"/>
        <v>6.8928571428571432</v>
      </c>
      <c r="N352" s="4">
        <f>SUM($M$324:M352)</f>
        <v>199.89285714285708</v>
      </c>
      <c r="O352" s="4">
        <f>SUM($M$18:M352)</f>
        <v>1959.5928571428526</v>
      </c>
      <c r="P352" s="9">
        <f t="shared" si="115"/>
        <v>0.63495169219029313</v>
      </c>
      <c r="Q352" s="26">
        <f t="shared" si="116"/>
        <v>0.63495169219029357</v>
      </c>
      <c r="R352" s="26">
        <f t="shared" si="117"/>
        <v>0.69694008184235856</v>
      </c>
      <c r="S352" s="9">
        <f t="shared" si="118"/>
        <v>0.18235963778679554</v>
      </c>
      <c r="T352" s="9">
        <f>K352/((COUNT($K$324:K352))*24*$Q$1)</f>
        <v>0.18235963778679556</v>
      </c>
      <c r="U352" s="28">
        <f>L352/((COUNT($L$18:L352))*24*$Q$1)</f>
        <v>0.16986552316353742</v>
      </c>
      <c r="V352" s="134">
        <v>11.5031</v>
      </c>
      <c r="Y352" s="27">
        <f t="shared" si="126"/>
        <v>45351</v>
      </c>
      <c r="Z352" s="5">
        <f>MONTH(Modelling_new[[#This Row],[Date]])</f>
        <v>2</v>
      </c>
      <c r="AA352" s="25">
        <f>YEAR(Y352)+IF(MONTH(Modelling_new[[#This Row],[Date]])&gt;=4,1,0)</f>
        <v>2024</v>
      </c>
      <c r="AB352" s="3">
        <f t="shared" si="120"/>
        <v>2024</v>
      </c>
      <c r="AC352" s="3" t="s">
        <v>626</v>
      </c>
      <c r="AD352" s="5" t="s">
        <v>626</v>
      </c>
      <c r="AE352" s="102">
        <v>45323</v>
      </c>
      <c r="AF352" s="5">
        <f t="shared" si="121"/>
        <v>29</v>
      </c>
      <c r="AG352" s="5">
        <f t="shared" si="122"/>
        <v>2</v>
      </c>
      <c r="AH352" s="4">
        <f>(VLOOKUP(AG352,$AA$2:$AK$13,10,0)/AF352)*Modelling_new[[#This Row],[Factor]]</f>
        <v>69.65517241379311</v>
      </c>
      <c r="AI352" s="4">
        <f>SUMIFS(Modelling_new[Target E_Grid daily
MWh],Modelling_new[Month Year],Modelling_new[[#This Row],[Month Year]],Modelling_new[Date],"&lt;="&amp;Modelling_new[[#This Row],[Date]])</f>
        <v>2019.9999999999993</v>
      </c>
      <c r="AJ352" s="4">
        <f>SUMIFS(Modelling_new[Target E_Grid daily
MWh],Modelling_new[Finacial Year],Modelling_new[[#This Row],[Finacial Year]],Modelling_new[Date],"&lt;="&amp;Modelling_new[[#This Row],[Date]])</f>
        <v>3959.8167972999909</v>
      </c>
      <c r="AK352" s="4">
        <f t="shared" si="108"/>
        <v>6.4141063571428605</v>
      </c>
      <c r="AL352" s="4">
        <f>SUMIFS(Modelling_new[Target POA Daily (KWh/m2)],Modelling_new[Month Year],Modelling_new[[#This Row],[Month Year]],Modelling_new[Date],"&lt;="&amp;Modelling_new[[#This Row],[Date]])</f>
        <v>186.00908435714288</v>
      </c>
      <c r="AM352" s="4">
        <f>SUMIFS(Modelling_new[Target POA Daily (KWh/m2)],Modelling_new[Finacial Year],Modelling_new[[#This Row],[Finacial Year]],Modelling_new[Date],"&lt;="&amp;Modelling_new[[#This Row],[Date]])</f>
        <v>361.44195635714323</v>
      </c>
      <c r="AN352" s="9">
        <f>AH352/Modelling_new[[#This Row],[Comisined DC ]]/AK352</f>
        <v>0.84841286405665717</v>
      </c>
      <c r="AO352" s="9">
        <f>AI352/AL352/Modelling_new[[#This Row],[MTD DC Capcity]]</f>
        <v>0.84841286405665683</v>
      </c>
      <c r="AP352" s="9">
        <f>AJ352/AM352/Modelling_new[[#This Row],[YTD DC Capcity]]</f>
        <v>0.85590696333931049</v>
      </c>
      <c r="AQ352" s="9">
        <f>AH352/(24*Modelling_new[[#This Row],[Comisined DC ]])</f>
        <v>0.22674209770114942</v>
      </c>
      <c r="AR352" s="9">
        <f>AI352/(COUNTIFS(Modelling_new[Date],"&lt;="&amp;Modelling_new[[#This Row],[Date]],Modelling_new[Month Year],Modelling_new[[#This Row],[Month Year]])*24*Modelling_new[[#This Row],[MTD DC Capcity]])</f>
        <v>0.22674209770114923</v>
      </c>
      <c r="AS352" s="28">
        <f>AJ352/(COUNTIFS(Modelling_new[Date],"&lt;="&amp;Modelling_new[[#This Row],[Date]],Modelling_new[Finacial Year],Modelling_new[[#This Row],[Finacial Year]],Modelling_new[Target E_Grid YTD
MWh],"&gt;"&amp;0)*24*Modelling_new[[#This Row],[YTD DC Capcity]])</f>
        <v>0.21483381061740423</v>
      </c>
      <c r="AT352" s="5">
        <v>12.8</v>
      </c>
      <c r="AU352" s="9">
        <f>Modelling_new[[#This Row],[Comisined DC ]]/$AO$1</f>
        <v>1</v>
      </c>
      <c r="AV352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352" s="5">
        <f>AVERAGEIFS(Modelling_new[[Comisined DC ]],Modelling_new[Date],"&lt;="&amp;Modelling_new[[#This Row],[Date]],Modelling_new[[Comisined DC ]],"&gt;"&amp;0,Modelling_new[Finacial Year],Modelling_new[[#This Row],[Finacial Year]])</f>
        <v>12.799999999999988</v>
      </c>
      <c r="BD352" s="27">
        <f t="shared" si="127"/>
        <v>45351</v>
      </c>
      <c r="BE352" s="5">
        <f>MONTH(Modelling[[#This Row],[Date]])</f>
        <v>2</v>
      </c>
      <c r="BF352" s="25">
        <f>YEAR(BD352)+IF(MONTH(Modelling[[#This Row],[Date]])&gt;=4,1,0)</f>
        <v>2024</v>
      </c>
      <c r="BG352" s="3">
        <f t="shared" si="123"/>
        <v>2024</v>
      </c>
      <c r="BH352" s="3" t="s">
        <v>626</v>
      </c>
      <c r="BI352" s="5" t="s">
        <v>626</v>
      </c>
      <c r="BJ352" s="102">
        <v>45323</v>
      </c>
      <c r="BK352" s="5">
        <f t="shared" si="124"/>
        <v>29</v>
      </c>
      <c r="BL352" s="5">
        <f t="shared" si="125"/>
        <v>2</v>
      </c>
      <c r="BM352" s="4">
        <f>Modelling_old[[#This Row],[Target E_Grid daily
MWh]]+Modelling_new[[#This Row],[Target E_Grid daily
MWh]]</f>
        <v>120</v>
      </c>
      <c r="BN352" s="4">
        <f>Modelling_old[[#This Row],[Target E_Grid MTD
MWh]]+Modelling_new[[#This Row],[Target E_Grid MTD
MWh]]</f>
        <v>3480</v>
      </c>
      <c r="BO352" s="4">
        <f>Modelling_old[[#This Row],[Target E_Grid YTD
MWh]]+Modelling_new[[#This Row],[Target E_Grid YTD
MWh]]</f>
        <v>19669.816797299987</v>
      </c>
      <c r="BP35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6.6407078262208774</v>
      </c>
      <c r="BQ352" s="4">
        <f>SUMIFS(Modelling[Target POA Daily (KWh/m2)],Modelling[Date],"&lt;="&amp;Modelling[[#This Row],[Date]],Modelling[Month Year],Modelling[[#This Row],[Month Year]])</f>
        <v>203.56631661438814</v>
      </c>
      <c r="BR352" s="4">
        <f>SUMIFS(Modelling[Target POA Daily (KWh/m2)],Modelling[Date],"&lt;="&amp;Modelling[[#This Row],[Date]],Modelling[Finacial Year],Modelling[[#This Row],[Finacial Year]])</f>
        <v>1944.7970991729865</v>
      </c>
      <c r="BS352" s="9">
        <f>BM352/Modelling[[#This Row],[Comisined DC ]]/BP352</f>
        <v>0.74354147618627742</v>
      </c>
      <c r="BT352" s="9">
        <f>BN352/BQ352/Modelling[[#This Row],[Comisined DC ]]</f>
        <v>0.70341504273575994</v>
      </c>
      <c r="BU352" s="9">
        <f>BO352/BR352/Modelling[[#This Row],[Comisined DC ]]</f>
        <v>0.41616384082603636</v>
      </c>
      <c r="BV352" s="9">
        <f>BM352/(24*Modelling[[#This Row],[Comisined DC ]])</f>
        <v>0.20573507083458489</v>
      </c>
      <c r="BW352" s="9">
        <f>BN352/((COUNTIFS(Modelling[Date],"&lt;="&amp;Modelling[[#This Row],[Date]],Modelling[Month Year],Modelling[[#This Row],[Month Year]])*24*Modelling[[#This Row],[MTD DC Capcity]]))</f>
        <v>0.21742188031840171</v>
      </c>
      <c r="BX352" s="28">
        <f>BO352/((COUNTIFS(Modelling[Date],"&lt;="&amp;Modelling[[#This Row],[Date]],Modelling[Finacial Year],Modelling[[#This Row],[Finacial Year]])*24*Modelling[[#This Row],[MTD DC Capcity]]))</f>
        <v>0.10638429237779715</v>
      </c>
      <c r="BY352" s="4">
        <f>Modelling_old[[#This Row],[DC Capcity]]+Modelling_new[[#This Row],[Comisined DC ]]</f>
        <v>24.303100000000001</v>
      </c>
      <c r="BZ352" s="4">
        <v>0</v>
      </c>
      <c r="CA352" s="4">
        <f>AVERAGEIFS(Modelling[[Comisined DC ]],Modelling[Date],"&lt;="&amp;Modelling[[#This Row],[Date]],Modelling[Month Year],Modelling[[#This Row],[Month Year]])</f>
        <v>22.996765517241368</v>
      </c>
      <c r="CB352" s="4">
        <f>AVERAGEIFS(Modelling[[Comisined DC ]],Modelling[Date],"&lt;="&amp;Modelling[[#This Row],[Date]],Modelling[Finacial Year],Modelling[[#This Row],[Finacial Year]])</f>
        <v>13.682551641790983</v>
      </c>
      <c r="CG352">
        <f t="shared" si="119"/>
        <v>29</v>
      </c>
      <c r="CH352">
        <f t="shared" si="128"/>
        <v>335</v>
      </c>
    </row>
    <row r="353" spans="1:86" x14ac:dyDescent="0.35">
      <c r="A353" s="27">
        <v>45352</v>
      </c>
      <c r="B353" s="5">
        <f>MONTH(Modelling_old[[#This Row],[Date]])</f>
        <v>3</v>
      </c>
      <c r="C353" s="25">
        <v>2024</v>
      </c>
      <c r="D353" s="3">
        <f t="shared" si="110"/>
        <v>2024</v>
      </c>
      <c r="E353" s="3" t="s">
        <v>626</v>
      </c>
      <c r="F353" s="5" t="s">
        <v>626</v>
      </c>
      <c r="G353" s="102">
        <v>45352</v>
      </c>
      <c r="H353" s="5">
        <f t="shared" si="111"/>
        <v>31</v>
      </c>
      <c r="I353" s="5">
        <f t="shared" si="112"/>
        <v>3</v>
      </c>
      <c r="J353" s="4">
        <f t="shared" si="113"/>
        <v>54.516129032258064</v>
      </c>
      <c r="K353" s="4">
        <f>SUM($J$353:J353)</f>
        <v>54.516129032258064</v>
      </c>
      <c r="L353" s="4">
        <f>SUM($J$18:J353)</f>
        <v>15764.516129032256</v>
      </c>
      <c r="M353" s="4">
        <f t="shared" si="114"/>
        <v>6.9</v>
      </c>
      <c r="N353" s="4">
        <f>SUM($M$353:M353)</f>
        <v>6.9</v>
      </c>
      <c r="O353" s="4">
        <f>SUM($M$18:M353)</f>
        <v>1966.4928571428527</v>
      </c>
      <c r="P353" s="9">
        <f t="shared" si="115"/>
        <v>0.68684861172593881</v>
      </c>
      <c r="Q353" s="26">
        <f t="shared" si="116"/>
        <v>0.68684861172593881</v>
      </c>
      <c r="R353" s="26">
        <f t="shared" si="117"/>
        <v>0.69690467304666903</v>
      </c>
      <c r="S353" s="9">
        <f t="shared" si="118"/>
        <v>0.19746897587120743</v>
      </c>
      <c r="T353" s="9">
        <f>K353/((COUNT($K$353:K353))*24*$Q$1)</f>
        <v>0.19746897587120743</v>
      </c>
      <c r="U353" s="28">
        <f>L353/((COUNT($L$18:L353))*24*$Q$1)</f>
        <v>0.16994767629659596</v>
      </c>
      <c r="V353" s="134">
        <v>11.5031</v>
      </c>
      <c r="Y353" s="27">
        <f t="shared" si="126"/>
        <v>45352</v>
      </c>
      <c r="Z353" s="5">
        <f>MONTH(Modelling_new[[#This Row],[Date]])</f>
        <v>3</v>
      </c>
      <c r="AA353" s="25">
        <f>YEAR(Y353)+IF(MONTH(Modelling_new[[#This Row],[Date]])&gt;=4,1,0)</f>
        <v>2024</v>
      </c>
      <c r="AB353" s="3">
        <f t="shared" si="120"/>
        <v>2024</v>
      </c>
      <c r="AC353" s="3" t="s">
        <v>626</v>
      </c>
      <c r="AD353" s="5" t="s">
        <v>626</v>
      </c>
      <c r="AE353" s="102">
        <v>45352</v>
      </c>
      <c r="AF353" s="5">
        <f t="shared" si="121"/>
        <v>31</v>
      </c>
      <c r="AG353" s="5">
        <f t="shared" si="122"/>
        <v>3</v>
      </c>
      <c r="AH353" s="4">
        <f>(VLOOKUP(AG353,$AA$2:$AK$13,10,0)/AF353)*Modelling_new[[#This Row],[Factor]]</f>
        <v>73.423457748386625</v>
      </c>
      <c r="AI353" s="4">
        <f>SUMIFS(Modelling_new[Target E_Grid daily
MWh],Modelling_new[Month Year],Modelling_new[[#This Row],[Month Year]],Modelling_new[Date],"&lt;="&amp;Modelling_new[[#This Row],[Date]])</f>
        <v>73.423457748386625</v>
      </c>
      <c r="AJ353" s="4">
        <f>SUMIFS(Modelling_new[Target E_Grid daily
MWh],Modelling_new[Finacial Year],Modelling_new[[#This Row],[Finacial Year]],Modelling_new[Date],"&lt;="&amp;Modelling_new[[#This Row],[Date]])</f>
        <v>4033.2402550483775</v>
      </c>
      <c r="AK353" s="4">
        <f t="shared" si="108"/>
        <v>6.877058658064521</v>
      </c>
      <c r="AL353" s="4">
        <f>SUMIFS(Modelling_new[Target POA Daily (KWh/m2)],Modelling_new[Month Year],Modelling_new[[#This Row],[Month Year]],Modelling_new[Date],"&lt;="&amp;Modelling_new[[#This Row],[Date]])</f>
        <v>6.877058658064521</v>
      </c>
      <c r="AM353" s="4">
        <f>SUMIFS(Modelling_new[Target POA Daily (KWh/m2)],Modelling_new[Finacial Year],Modelling_new[[#This Row],[Finacial Year]],Modelling_new[Date],"&lt;="&amp;Modelling_new[[#This Row],[Date]])</f>
        <v>368.31901501520775</v>
      </c>
      <c r="AN353" s="9">
        <f>AH353/Modelling_new[[#This Row],[Comisined DC ]]/AK353</f>
        <v>0.83410770822290803</v>
      </c>
      <c r="AO353" s="9">
        <f>AI353/AL353/Modelling_new[[#This Row],[MTD DC Capcity]]</f>
        <v>0.83410770822290792</v>
      </c>
      <c r="AP353" s="9">
        <f>AJ353/AM353/Modelling_new[[#This Row],[YTD DC Capcity]]</f>
        <v>0.85549993912924793</v>
      </c>
      <c r="AQ353" s="9">
        <f>AH353/(24*Modelling_new[[#This Row],[Comisined DC ]])</f>
        <v>0.239008651524696</v>
      </c>
      <c r="AR353" s="9">
        <f>AI353/(COUNTIFS(Modelling_new[Date],"&lt;="&amp;Modelling_new[[#This Row],[Date]],Modelling_new[Month Year],Modelling_new[[#This Row],[Month Year]])*24*Modelling_new[[#This Row],[MTD DC Capcity]])</f>
        <v>0.239008651524696</v>
      </c>
      <c r="AS353" s="28">
        <f>AJ353/(COUNTIFS(Modelling_new[Date],"&lt;="&amp;Modelling_new[[#This Row],[Date]],Modelling_new[Finacial Year],Modelling_new[[#This Row],[Finacial Year]],Modelling_new[Target E_Grid YTD
MWh],"&gt;"&amp;0)*24*Modelling_new[[#This Row],[YTD DC Capcity]])</f>
        <v>0.21523011948473689</v>
      </c>
      <c r="AT353" s="5">
        <v>12.8</v>
      </c>
      <c r="AU353" s="9">
        <f>Modelling_new[[#This Row],[Comisined DC ]]/$AO$1</f>
        <v>1</v>
      </c>
      <c r="AV353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53" s="5">
        <f>AVERAGEIFS(Modelling_new[[Comisined DC ]],Modelling_new[Date],"&lt;="&amp;Modelling_new[[#This Row],[Date]],Modelling_new[[Comisined DC ]],"&gt;"&amp;0,Modelling_new[Finacial Year],Modelling_new[[#This Row],[Finacial Year]])</f>
        <v>12.799999999999988</v>
      </c>
      <c r="BD353" s="27">
        <f t="shared" si="127"/>
        <v>45352</v>
      </c>
      <c r="BE353" s="5">
        <f>MONTH(Modelling[[#This Row],[Date]])</f>
        <v>3</v>
      </c>
      <c r="BF353" s="25">
        <f>YEAR(BD353)+IF(MONTH(Modelling[[#This Row],[Date]])&gt;=4,1,0)</f>
        <v>2024</v>
      </c>
      <c r="BG353" s="3">
        <f t="shared" si="123"/>
        <v>2024</v>
      </c>
      <c r="BH353" s="3" t="s">
        <v>626</v>
      </c>
      <c r="BI353" s="5" t="s">
        <v>626</v>
      </c>
      <c r="BJ353" s="102">
        <v>45352</v>
      </c>
      <c r="BK353" s="5">
        <f t="shared" si="124"/>
        <v>31</v>
      </c>
      <c r="BL353" s="5">
        <f t="shared" si="125"/>
        <v>3</v>
      </c>
      <c r="BM353" s="4">
        <f>Modelling_old[[#This Row],[Target E_Grid daily
MWh]]+Modelling_new[[#This Row],[Target E_Grid daily
MWh]]</f>
        <v>127.93958678064469</v>
      </c>
      <c r="BN353" s="4">
        <f>Modelling_old[[#This Row],[Target E_Grid MTD
MWh]]+Modelling_new[[#This Row],[Target E_Grid MTD
MWh]]</f>
        <v>127.93958678064469</v>
      </c>
      <c r="BO353" s="4">
        <f>Modelling_old[[#This Row],[Target E_Grid YTD
MWh]]+Modelling_new[[#This Row],[Target E_Grid YTD
MWh]]</f>
        <v>19797.756384080632</v>
      </c>
      <c r="BP35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53" s="4">
        <f>SUMIFS(Modelling[Target POA Daily (KWh/m2)],Modelling[Date],"&lt;="&amp;Modelling[[#This Row],[Date]],Modelling[Month Year],Modelling[[#This Row],[Month Year]])</f>
        <v>6.8879172131631714</v>
      </c>
      <c r="BR353" s="4">
        <f>SUMIFS(Modelling[Target POA Daily (KWh/m2)],Modelling[Date],"&lt;="&amp;Modelling[[#This Row],[Date]],Modelling[Finacial Year],Modelling[[#This Row],[Finacial Year]])</f>
        <v>1951.6850163861495</v>
      </c>
      <c r="BS353" s="9">
        <f>BM353/Modelling[[#This Row],[Comisined DC ]]/BP353</f>
        <v>0.76428502649716468</v>
      </c>
      <c r="BT353" s="9">
        <f>BN353/BQ353/Modelling[[#This Row],[Comisined DC ]]</f>
        <v>0.76428502649716468</v>
      </c>
      <c r="BU353" s="9">
        <f>BO353/BR353/Modelling[[#This Row],[Comisined DC ]]</f>
        <v>0.41739243554645444</v>
      </c>
      <c r="BV353" s="9">
        <f>BM353/(24*Modelling[[#This Row],[Comisined DC ]])</f>
        <v>0.2193471662405288</v>
      </c>
      <c r="BW353" s="9">
        <f>BN353/((COUNTIFS(Modelling[Date],"&lt;="&amp;Modelling[[#This Row],[Date]],Modelling[Month Year],Modelling[[#This Row],[Month Year]])*24*Modelling[[#This Row],[MTD DC Capcity]]))</f>
        <v>0.2193471662405288</v>
      </c>
      <c r="BX353" s="28">
        <f>BO353/((COUNTIFS(Modelling[Date],"&lt;="&amp;Modelling[[#This Row],[Date]],Modelling[Finacial Year],Modelling[[#This Row],[Finacial Year]])*24*Modelling[[#This Row],[MTD DC Capcity]]))</f>
        <v>0.10101916696539395</v>
      </c>
      <c r="BY353" s="4">
        <f>Modelling_old[[#This Row],[DC Capcity]]+Modelling_new[[#This Row],[Comisined DC ]]</f>
        <v>24.303100000000001</v>
      </c>
      <c r="BZ353" s="4">
        <v>0</v>
      </c>
      <c r="CA353" s="4">
        <f>AVERAGEIFS(Modelling[[Comisined DC ]],Modelling[Date],"&lt;="&amp;Modelling[[#This Row],[Date]],Modelling[Month Year],Modelling[[#This Row],[Month Year]])</f>
        <v>24.303100000000001</v>
      </c>
      <c r="CB353" s="4">
        <f>AVERAGEIFS(Modelling[[Comisined DC ]],Modelling[Date],"&lt;="&amp;Modelling[[#This Row],[Date]],Modelling[Finacial Year],Modelling[[#This Row],[Finacial Year]])</f>
        <v>13.714160416666605</v>
      </c>
      <c r="CG353">
        <v>1</v>
      </c>
      <c r="CH353">
        <f t="shared" si="128"/>
        <v>336</v>
      </c>
    </row>
    <row r="354" spans="1:86" x14ac:dyDescent="0.35">
      <c r="A354" s="27">
        <v>45353</v>
      </c>
      <c r="B354" s="5">
        <f>MONTH(Modelling_old[[#This Row],[Date]])</f>
        <v>3</v>
      </c>
      <c r="C354" s="25">
        <v>2024</v>
      </c>
      <c r="D354" s="3">
        <f t="shared" ref="D354:D383" si="129">YEAR(A354)</f>
        <v>2024</v>
      </c>
      <c r="E354" s="3" t="s">
        <v>626</v>
      </c>
      <c r="F354" s="5" t="s">
        <v>626</v>
      </c>
      <c r="G354" s="102">
        <v>45352</v>
      </c>
      <c r="H354" s="5">
        <f t="shared" ref="H354:H383" si="130">DAY(EOMONTH(G354,0))</f>
        <v>31</v>
      </c>
      <c r="I354" s="5">
        <f t="shared" ref="I354:I383" si="131">MONTH(A354)</f>
        <v>3</v>
      </c>
      <c r="J354" s="4">
        <f t="shared" ref="J354:J383" si="132">VLOOKUP(I354,$C$2:$L$13,10,0)/H354</f>
        <v>54.516129032258064</v>
      </c>
      <c r="K354" s="4">
        <f>SUM($J$353:J354)</f>
        <v>109.03225806451613</v>
      </c>
      <c r="L354" s="4">
        <f>SUM($J$18:J354)</f>
        <v>15819.032258064513</v>
      </c>
      <c r="M354" s="4">
        <f t="shared" ref="M354:M383" si="133">VLOOKUP(I354,$C$2:$M$13,11,0)</f>
        <v>6.9</v>
      </c>
      <c r="N354" s="4">
        <f>SUM($M$353:M354)</f>
        <v>13.8</v>
      </c>
      <c r="O354" s="4">
        <f>SUM($M$18:M354)</f>
        <v>1973.3928571428528</v>
      </c>
      <c r="P354" s="9">
        <f t="shared" ref="P354:P383" si="134">J354/$Q$1/M354</f>
        <v>0.68684861172593881</v>
      </c>
      <c r="Q354" s="26">
        <f t="shared" ref="Q354:Q383" si="135">K354/N354/$Q$1</f>
        <v>0.68684861172593881</v>
      </c>
      <c r="R354" s="26">
        <f t="shared" ref="R354:R383" si="136">L354/O354/$Q$1</f>
        <v>0.69686951186583179</v>
      </c>
      <c r="S354" s="9">
        <f t="shared" ref="S354:S383" si="137">J354/(24*$Q$1)</f>
        <v>0.19746897587120743</v>
      </c>
      <c r="T354" s="9">
        <f>K354/((COUNT($K$353:K354))*24*$Q$1)</f>
        <v>0.19746897587120743</v>
      </c>
      <c r="U354" s="28">
        <f>L354/((COUNT($L$18:L354))*24*$Q$1)</f>
        <v>0.1700293418739687</v>
      </c>
      <c r="V354" s="134">
        <v>11.5031</v>
      </c>
      <c r="Y354" s="27">
        <f t="shared" si="126"/>
        <v>45353</v>
      </c>
      <c r="Z354" s="5">
        <f>MONTH(Modelling_new[[#This Row],[Date]])</f>
        <v>3</v>
      </c>
      <c r="AA354" s="25">
        <f>YEAR(Y354)+IF(MONTH(Modelling_new[[#This Row],[Date]])&gt;=4,1,0)</f>
        <v>2024</v>
      </c>
      <c r="AB354" s="3">
        <f t="shared" si="120"/>
        <v>2024</v>
      </c>
      <c r="AC354" s="3" t="s">
        <v>626</v>
      </c>
      <c r="AD354" s="5" t="s">
        <v>626</v>
      </c>
      <c r="AE354" s="102">
        <v>45352</v>
      </c>
      <c r="AF354" s="5">
        <f t="shared" si="121"/>
        <v>31</v>
      </c>
      <c r="AG354" s="5">
        <f t="shared" si="122"/>
        <v>3</v>
      </c>
      <c r="AH354" s="4">
        <f>(VLOOKUP(AG354,$AA$2:$AK$13,10,0)/AF354)*Modelling_new[[#This Row],[Factor]]</f>
        <v>73.423457748386625</v>
      </c>
      <c r="AI354" s="4">
        <f>SUMIFS(Modelling_new[Target E_Grid daily
MWh],Modelling_new[Month Year],Modelling_new[[#This Row],[Month Year]],Modelling_new[Date],"&lt;="&amp;Modelling_new[[#This Row],[Date]])</f>
        <v>146.84691549677325</v>
      </c>
      <c r="AJ354" s="4">
        <f>SUMIFS(Modelling_new[Target E_Grid daily
MWh],Modelling_new[Finacial Year],Modelling_new[[#This Row],[Finacial Year]],Modelling_new[Date],"&lt;="&amp;Modelling_new[[#This Row],[Date]])</f>
        <v>4106.6637127967642</v>
      </c>
      <c r="AK354" s="4">
        <f t="shared" si="108"/>
        <v>6.877058658064521</v>
      </c>
      <c r="AL354" s="4">
        <f>SUMIFS(Modelling_new[Target POA Daily (KWh/m2)],Modelling_new[Month Year],Modelling_new[[#This Row],[Month Year]],Modelling_new[Date],"&lt;="&amp;Modelling_new[[#This Row],[Date]])</f>
        <v>13.754117316129042</v>
      </c>
      <c r="AM354" s="4">
        <f>SUMIFS(Modelling_new[Target POA Daily (KWh/m2)],Modelling_new[Finacial Year],Modelling_new[[#This Row],[Finacial Year]],Modelling_new[Date],"&lt;="&amp;Modelling_new[[#This Row],[Date]])</f>
        <v>375.19607367327228</v>
      </c>
      <c r="AN354" s="9">
        <f>AH354/Modelling_new[[#This Row],[Comisined DC ]]/AK354</f>
        <v>0.83410770822290803</v>
      </c>
      <c r="AO354" s="9">
        <f>AI354/AL354/Modelling_new[[#This Row],[MTD DC Capcity]]</f>
        <v>0.83410770822290792</v>
      </c>
      <c r="AP354" s="9">
        <f>AJ354/AM354/Modelling_new[[#This Row],[YTD DC Capcity]]</f>
        <v>0.85510783580756489</v>
      </c>
      <c r="AQ354" s="9">
        <f>AH354/(24*Modelling_new[[#This Row],[Comisined DC ]])</f>
        <v>0.239008651524696</v>
      </c>
      <c r="AR354" s="9">
        <f>AI354/(COUNTIFS(Modelling_new[Date],"&lt;="&amp;Modelling_new[[#This Row],[Date]],Modelling_new[Month Year],Modelling_new[[#This Row],[Month Year]])*24*Modelling_new[[#This Row],[MTD DC Capcity]])</f>
        <v>0.239008651524696</v>
      </c>
      <c r="AS354" s="28">
        <f>AJ354/(COUNTIFS(Modelling_new[Date],"&lt;="&amp;Modelling_new[[#This Row],[Date]],Modelling_new[Finacial Year],Modelling_new[[#This Row],[Finacial Year]],Modelling_new[Target E_Grid YTD
MWh],"&gt;"&amp;0)*24*Modelling_new[[#This Row],[YTD DC Capcity]])</f>
        <v>0.2156136441950588</v>
      </c>
      <c r="AT354" s="5">
        <v>12.8</v>
      </c>
      <c r="AU354" s="9">
        <f>Modelling_new[[#This Row],[Comisined DC ]]/$AO$1</f>
        <v>1</v>
      </c>
      <c r="AV354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54" s="5">
        <f>AVERAGEIFS(Modelling_new[[Comisined DC ]],Modelling_new[Date],"&lt;="&amp;Modelling_new[[#This Row],[Date]],Modelling_new[[Comisined DC ]],"&gt;"&amp;0,Modelling_new[Finacial Year],Modelling_new[[#This Row],[Finacial Year]])</f>
        <v>12.799999999999988</v>
      </c>
      <c r="BD354" s="27">
        <f t="shared" si="127"/>
        <v>45353</v>
      </c>
      <c r="BE354" s="5">
        <f>MONTH(Modelling[[#This Row],[Date]])</f>
        <v>3</v>
      </c>
      <c r="BF354" s="25">
        <f>YEAR(BD354)+IF(MONTH(Modelling[[#This Row],[Date]])&gt;=4,1,0)</f>
        <v>2024</v>
      </c>
      <c r="BG354" s="3">
        <f t="shared" si="123"/>
        <v>2024</v>
      </c>
      <c r="BH354" s="3" t="s">
        <v>626</v>
      </c>
      <c r="BI354" s="5" t="s">
        <v>626</v>
      </c>
      <c r="BJ354" s="102">
        <v>45352</v>
      </c>
      <c r="BK354" s="5">
        <f t="shared" si="124"/>
        <v>31</v>
      </c>
      <c r="BL354" s="5">
        <f t="shared" si="125"/>
        <v>3</v>
      </c>
      <c r="BM354" s="4">
        <f>Modelling_old[[#This Row],[Target E_Grid daily
MWh]]+Modelling_new[[#This Row],[Target E_Grid daily
MWh]]</f>
        <v>127.93958678064469</v>
      </c>
      <c r="BN354" s="4">
        <f>Modelling_old[[#This Row],[Target E_Grid MTD
MWh]]+Modelling_new[[#This Row],[Target E_Grid MTD
MWh]]</f>
        <v>255.87917356128938</v>
      </c>
      <c r="BO354" s="4">
        <f>Modelling_old[[#This Row],[Target E_Grid YTD
MWh]]+Modelling_new[[#This Row],[Target E_Grid YTD
MWh]]</f>
        <v>19925.695970861278</v>
      </c>
      <c r="BP35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54" s="4">
        <f>SUMIFS(Modelling[Target POA Daily (KWh/m2)],Modelling[Date],"&lt;="&amp;Modelling[[#This Row],[Date]],Modelling[Month Year],Modelling[[#This Row],[Month Year]])</f>
        <v>13.775834426326343</v>
      </c>
      <c r="BR354" s="4">
        <f>SUMIFS(Modelling[Target POA Daily (KWh/m2)],Modelling[Date],"&lt;="&amp;Modelling[[#This Row],[Date]],Modelling[Finacial Year],Modelling[[#This Row],[Finacial Year]])</f>
        <v>1958.5729335993126</v>
      </c>
      <c r="BS354" s="9">
        <f>BM354/Modelling[[#This Row],[Comisined DC ]]/BP354</f>
        <v>0.76428502649716468</v>
      </c>
      <c r="BT354" s="9">
        <f>BN354/BQ354/Modelling[[#This Row],[Comisined DC ]]</f>
        <v>0.76428502649716468</v>
      </c>
      <c r="BU354" s="9">
        <f>BO354/BR354/Modelling[[#This Row],[Comisined DC ]]</f>
        <v>0.4186123888131103</v>
      </c>
      <c r="BV354" s="9">
        <f>BM354/(24*Modelling[[#This Row],[Comisined DC ]])</f>
        <v>0.2193471662405288</v>
      </c>
      <c r="BW354" s="9">
        <f>BN354/((COUNTIFS(Modelling[Date],"&lt;="&amp;Modelling[[#This Row],[Date]],Modelling[Month Year],Modelling[[#This Row],[Month Year]])*24*Modelling[[#This Row],[MTD DC Capcity]]))</f>
        <v>0.2193471662405288</v>
      </c>
      <c r="BX354" s="28">
        <f>BO354/((COUNTIFS(Modelling[Date],"&lt;="&amp;Modelling[[#This Row],[Date]],Modelling[Finacial Year],Modelling[[#This Row],[Finacial Year]])*24*Modelling[[#This Row],[MTD DC Capcity]]))</f>
        <v>0.10137028862496408</v>
      </c>
      <c r="BY354" s="4">
        <f>Modelling_old[[#This Row],[DC Capcity]]+Modelling_new[[#This Row],[Comisined DC ]]</f>
        <v>24.303100000000001</v>
      </c>
      <c r="BZ354" s="4">
        <v>0</v>
      </c>
      <c r="CA354" s="4">
        <f>AVERAGEIFS(Modelling[[Comisined DC ]],Modelling[Date],"&lt;="&amp;Modelling[[#This Row],[Date]],Modelling[Month Year],Modelling[[#This Row],[Month Year]])</f>
        <v>24.303100000000001</v>
      </c>
      <c r="CB354" s="4">
        <f>AVERAGEIFS(Modelling[[Comisined DC ]],Modelling[Date],"&lt;="&amp;Modelling[[#This Row],[Date]],Modelling[Finacial Year],Modelling[[#This Row],[Finacial Year]])</f>
        <v>13.745581602373827</v>
      </c>
      <c r="CG354">
        <f t="shared" si="119"/>
        <v>2</v>
      </c>
      <c r="CH354">
        <f t="shared" si="128"/>
        <v>337</v>
      </c>
    </row>
    <row r="355" spans="1:86" x14ac:dyDescent="0.35">
      <c r="A355" s="27">
        <v>45354</v>
      </c>
      <c r="B355" s="5">
        <f>MONTH(Modelling_old[[#This Row],[Date]])</f>
        <v>3</v>
      </c>
      <c r="C355" s="25">
        <v>2024</v>
      </c>
      <c r="D355" s="3">
        <f t="shared" si="129"/>
        <v>2024</v>
      </c>
      <c r="E355" s="3" t="s">
        <v>626</v>
      </c>
      <c r="F355" s="5" t="s">
        <v>626</v>
      </c>
      <c r="G355" s="102">
        <v>45352</v>
      </c>
      <c r="H355" s="5">
        <f t="shared" si="130"/>
        <v>31</v>
      </c>
      <c r="I355" s="5">
        <f t="shared" si="131"/>
        <v>3</v>
      </c>
      <c r="J355" s="4">
        <f t="shared" si="132"/>
        <v>54.516129032258064</v>
      </c>
      <c r="K355" s="4">
        <f>SUM($J$353:J355)</f>
        <v>163.54838709677421</v>
      </c>
      <c r="L355" s="4">
        <f>SUM($J$18:J355)</f>
        <v>15873.548387096771</v>
      </c>
      <c r="M355" s="4">
        <f t="shared" si="133"/>
        <v>6.9</v>
      </c>
      <c r="N355" s="4">
        <f>SUM($M$353:M355)</f>
        <v>20.700000000000003</v>
      </c>
      <c r="O355" s="4">
        <f>SUM($M$18:M355)</f>
        <v>1980.2928571428529</v>
      </c>
      <c r="P355" s="9">
        <f t="shared" si="134"/>
        <v>0.68684861172593881</v>
      </c>
      <c r="Q355" s="26">
        <f t="shared" si="135"/>
        <v>0.68684861172593881</v>
      </c>
      <c r="R355" s="26">
        <f t="shared" si="136"/>
        <v>0.69683459571152861</v>
      </c>
      <c r="S355" s="9">
        <f t="shared" si="137"/>
        <v>0.19746897587120743</v>
      </c>
      <c r="T355" s="9">
        <f>K355/((COUNT($K$353:K355))*24*$Q$1)</f>
        <v>0.19746897587120743</v>
      </c>
      <c r="U355" s="28">
        <f>L355/((COUNT($L$18:L355))*24*$Q$1)</f>
        <v>0.17011052422307296</v>
      </c>
      <c r="V355" s="134">
        <v>11.5031</v>
      </c>
      <c r="Y355" s="27">
        <f t="shared" si="126"/>
        <v>45354</v>
      </c>
      <c r="Z355" s="5">
        <f>MONTH(Modelling_new[[#This Row],[Date]])</f>
        <v>3</v>
      </c>
      <c r="AA355" s="25">
        <f>YEAR(Y355)+IF(MONTH(Modelling_new[[#This Row],[Date]])&gt;=4,1,0)</f>
        <v>2024</v>
      </c>
      <c r="AB355" s="3">
        <f t="shared" si="120"/>
        <v>2024</v>
      </c>
      <c r="AC355" s="3" t="s">
        <v>626</v>
      </c>
      <c r="AD355" s="5" t="s">
        <v>626</v>
      </c>
      <c r="AE355" s="102">
        <v>45352</v>
      </c>
      <c r="AF355" s="5">
        <f t="shared" si="121"/>
        <v>31</v>
      </c>
      <c r="AG355" s="5">
        <f t="shared" si="122"/>
        <v>3</v>
      </c>
      <c r="AH355" s="4">
        <f>(VLOOKUP(AG355,$AA$2:$AK$13,10,0)/AF355)*Modelling_new[[#This Row],[Factor]]</f>
        <v>73.423457748386625</v>
      </c>
      <c r="AI355" s="4">
        <f>SUMIFS(Modelling_new[Target E_Grid daily
MWh],Modelling_new[Month Year],Modelling_new[[#This Row],[Month Year]],Modelling_new[Date],"&lt;="&amp;Modelling_new[[#This Row],[Date]])</f>
        <v>220.27037324515987</v>
      </c>
      <c r="AJ355" s="4">
        <f>SUMIFS(Modelling_new[Target E_Grid daily
MWh],Modelling_new[Finacial Year],Modelling_new[[#This Row],[Finacial Year]],Modelling_new[Date],"&lt;="&amp;Modelling_new[[#This Row],[Date]])</f>
        <v>4180.0871705451509</v>
      </c>
      <c r="AK355" s="4">
        <f t="shared" si="108"/>
        <v>6.877058658064521</v>
      </c>
      <c r="AL355" s="4">
        <f>SUMIFS(Modelling_new[Target POA Daily (KWh/m2)],Modelling_new[Month Year],Modelling_new[[#This Row],[Month Year]],Modelling_new[Date],"&lt;="&amp;Modelling_new[[#This Row],[Date]])</f>
        <v>20.631175974193564</v>
      </c>
      <c r="AM355" s="4">
        <f>SUMIFS(Modelling_new[Target POA Daily (KWh/m2)],Modelling_new[Finacial Year],Modelling_new[[#This Row],[Finacial Year]],Modelling_new[Date],"&lt;="&amp;Modelling_new[[#This Row],[Date]])</f>
        <v>382.07313233133681</v>
      </c>
      <c r="AN355" s="9">
        <f>AH355/Modelling_new[[#This Row],[Comisined DC ]]/AK355</f>
        <v>0.83410770822290803</v>
      </c>
      <c r="AO355" s="9">
        <f>AI355/AL355/Modelling_new[[#This Row],[MTD DC Capcity]]</f>
        <v>0.83410770822290781</v>
      </c>
      <c r="AP355" s="9">
        <f>AJ355/AM355/Modelling_new[[#This Row],[YTD DC Capcity]]</f>
        <v>0.85472984767648297</v>
      </c>
      <c r="AQ355" s="9">
        <f>AH355/(24*Modelling_new[[#This Row],[Comisined DC ]])</f>
        <v>0.239008651524696</v>
      </c>
      <c r="AR355" s="9">
        <f>AI355/(COUNTIFS(Modelling_new[Date],"&lt;="&amp;Modelling_new[[#This Row],[Date]],Modelling_new[Month Year],Modelling_new[[#This Row],[Month Year]])*24*Modelling_new[[#This Row],[MTD DC Capcity]])</f>
        <v>0.239008651524696</v>
      </c>
      <c r="AS355" s="28">
        <f>AJ355/(COUNTIFS(Modelling_new[Date],"&lt;="&amp;Modelling_new[[#This Row],[Date]],Modelling_new[Finacial Year],Modelling_new[[#This Row],[Finacial Year]],Modelling_new[Target E_Grid YTD
MWh],"&gt;"&amp;0)*24*Modelling_new[[#This Row],[YTD DC Capcity]])</f>
        <v>0.21598499351775149</v>
      </c>
      <c r="AT355" s="5">
        <v>12.8</v>
      </c>
      <c r="AU355" s="9">
        <f>Modelling_new[[#This Row],[Comisined DC ]]/$AO$1</f>
        <v>1</v>
      </c>
      <c r="AV355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55" s="5">
        <f>AVERAGEIFS(Modelling_new[[Comisined DC ]],Modelling_new[Date],"&lt;="&amp;Modelling_new[[#This Row],[Date]],Modelling_new[[Comisined DC ]],"&gt;"&amp;0,Modelling_new[Finacial Year],Modelling_new[[#This Row],[Finacial Year]])</f>
        <v>12.799999999999986</v>
      </c>
      <c r="BD355" s="27">
        <f t="shared" si="127"/>
        <v>45354</v>
      </c>
      <c r="BE355" s="5">
        <f>MONTH(Modelling[[#This Row],[Date]])</f>
        <v>3</v>
      </c>
      <c r="BF355" s="25">
        <f>YEAR(BD355)+IF(MONTH(Modelling[[#This Row],[Date]])&gt;=4,1,0)</f>
        <v>2024</v>
      </c>
      <c r="BG355" s="3">
        <f t="shared" si="123"/>
        <v>2024</v>
      </c>
      <c r="BH355" s="3" t="s">
        <v>626</v>
      </c>
      <c r="BI355" s="5" t="s">
        <v>626</v>
      </c>
      <c r="BJ355" s="102">
        <v>45352</v>
      </c>
      <c r="BK355" s="5">
        <f t="shared" si="124"/>
        <v>31</v>
      </c>
      <c r="BL355" s="5">
        <f t="shared" si="125"/>
        <v>3</v>
      </c>
      <c r="BM355" s="4">
        <f>Modelling_old[[#This Row],[Target E_Grid daily
MWh]]+Modelling_new[[#This Row],[Target E_Grid daily
MWh]]</f>
        <v>127.93958678064469</v>
      </c>
      <c r="BN355" s="4">
        <f>Modelling_old[[#This Row],[Target E_Grid MTD
MWh]]+Modelling_new[[#This Row],[Target E_Grid MTD
MWh]]</f>
        <v>383.81876034193408</v>
      </c>
      <c r="BO355" s="4">
        <f>Modelling_old[[#This Row],[Target E_Grid YTD
MWh]]+Modelling_new[[#This Row],[Target E_Grid YTD
MWh]]</f>
        <v>20053.635557641923</v>
      </c>
      <c r="BP35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55" s="4">
        <f>SUMIFS(Modelling[Target POA Daily (KWh/m2)],Modelling[Date],"&lt;="&amp;Modelling[[#This Row],[Date]],Modelling[Month Year],Modelling[[#This Row],[Month Year]])</f>
        <v>20.663751639489515</v>
      </c>
      <c r="BR355" s="4">
        <f>SUMIFS(Modelling[Target POA Daily (KWh/m2)],Modelling[Date],"&lt;="&amp;Modelling[[#This Row],[Date]],Modelling[Finacial Year],Modelling[[#This Row],[Finacial Year]])</f>
        <v>1965.4608508124757</v>
      </c>
      <c r="BS355" s="9">
        <f>BM355/Modelling[[#This Row],[Comisined DC ]]/BP355</f>
        <v>0.76428502649716468</v>
      </c>
      <c r="BT355" s="9">
        <f>BN355/BQ355/Modelling[[#This Row],[Comisined DC ]]</f>
        <v>0.76428502649716468</v>
      </c>
      <c r="BU355" s="9">
        <f>BO355/BR355/Modelling[[#This Row],[Comisined DC ]]</f>
        <v>0.41982379147739607</v>
      </c>
      <c r="BV355" s="9">
        <f>BM355/(24*Modelling[[#This Row],[Comisined DC ]])</f>
        <v>0.2193471662405288</v>
      </c>
      <c r="BW355" s="9">
        <f>BN355/((COUNTIFS(Modelling[Date],"&lt;="&amp;Modelling[[#This Row],[Date]],Modelling[Month Year],Modelling[[#This Row],[Month Year]])*24*Modelling[[#This Row],[MTD DC Capcity]]))</f>
        <v>0.2193471662405288</v>
      </c>
      <c r="BX355" s="28">
        <f>BO355/((COUNTIFS(Modelling[Date],"&lt;="&amp;Modelling[[#This Row],[Date]],Modelling[Finacial Year],Modelling[[#This Row],[Finacial Year]])*24*Modelling[[#This Row],[MTD DC Capcity]]))</f>
        <v>0.10171933264157818</v>
      </c>
      <c r="BY355" s="4">
        <f>Modelling_old[[#This Row],[DC Capcity]]+Modelling_new[[#This Row],[Comisined DC ]]</f>
        <v>24.303100000000001</v>
      </c>
      <c r="BZ355" s="4">
        <v>0</v>
      </c>
      <c r="CA355" s="4">
        <f>AVERAGEIFS(Modelling[[Comisined DC ]],Modelling[Date],"&lt;="&amp;Modelling[[#This Row],[Date]],Modelling[Month Year],Modelling[[#This Row],[Month Year]])</f>
        <v>24.303100000000001</v>
      </c>
      <c r="CB355" s="4">
        <f>AVERAGEIFS(Modelling[[Comisined DC ]],Modelling[Date],"&lt;="&amp;Modelling[[#This Row],[Date]],Modelling[Finacial Year],Modelling[[#This Row],[Finacial Year]])</f>
        <v>13.776816863905266</v>
      </c>
      <c r="CG355">
        <f t="shared" si="119"/>
        <v>3</v>
      </c>
      <c r="CH355">
        <f t="shared" si="128"/>
        <v>338</v>
      </c>
    </row>
    <row r="356" spans="1:86" x14ac:dyDescent="0.35">
      <c r="A356" s="27">
        <v>45355</v>
      </c>
      <c r="B356" s="5">
        <f>MONTH(Modelling_old[[#This Row],[Date]])</f>
        <v>3</v>
      </c>
      <c r="C356" s="25">
        <v>2024</v>
      </c>
      <c r="D356" s="3">
        <f t="shared" si="129"/>
        <v>2024</v>
      </c>
      <c r="E356" s="3" t="s">
        <v>626</v>
      </c>
      <c r="F356" s="5" t="s">
        <v>626</v>
      </c>
      <c r="G356" s="102">
        <v>45352</v>
      </c>
      <c r="H356" s="5">
        <f t="shared" si="130"/>
        <v>31</v>
      </c>
      <c r="I356" s="5">
        <f t="shared" si="131"/>
        <v>3</v>
      </c>
      <c r="J356" s="4">
        <f t="shared" si="132"/>
        <v>54.516129032258064</v>
      </c>
      <c r="K356" s="4">
        <f>SUM($J$353:J356)</f>
        <v>218.06451612903226</v>
      </c>
      <c r="L356" s="4">
        <f>SUM($J$18:J356)</f>
        <v>15928.064516129029</v>
      </c>
      <c r="M356" s="4">
        <f t="shared" si="133"/>
        <v>6.9</v>
      </c>
      <c r="N356" s="4">
        <f>SUM($M$353:M356)</f>
        <v>27.6</v>
      </c>
      <c r="O356" s="4">
        <f>SUM($M$18:M356)</f>
        <v>1987.192857142853</v>
      </c>
      <c r="P356" s="9">
        <f t="shared" si="134"/>
        <v>0.68684861172593881</v>
      </c>
      <c r="Q356" s="26">
        <f t="shared" si="135"/>
        <v>0.68684861172593881</v>
      </c>
      <c r="R356" s="26">
        <f t="shared" si="136"/>
        <v>0.69679992203139074</v>
      </c>
      <c r="S356" s="9">
        <f t="shared" si="137"/>
        <v>0.19746897587120743</v>
      </c>
      <c r="T356" s="9">
        <f>K356/((COUNT($K$353:K356))*24*$Q$1)</f>
        <v>0.19746897587120743</v>
      </c>
      <c r="U356" s="28">
        <f>L356/((COUNT($L$18:L356))*24*$Q$1)</f>
        <v>0.17019122762026506</v>
      </c>
      <c r="V356" s="134">
        <v>11.5031</v>
      </c>
      <c r="Y356" s="27">
        <f t="shared" si="126"/>
        <v>45355</v>
      </c>
      <c r="Z356" s="5">
        <f>MONTH(Modelling_new[[#This Row],[Date]])</f>
        <v>3</v>
      </c>
      <c r="AA356" s="25">
        <f>YEAR(Y356)+IF(MONTH(Modelling_new[[#This Row],[Date]])&gt;=4,1,0)</f>
        <v>2024</v>
      </c>
      <c r="AB356" s="3">
        <f t="shared" si="120"/>
        <v>2024</v>
      </c>
      <c r="AC356" s="3" t="s">
        <v>626</v>
      </c>
      <c r="AD356" s="5" t="s">
        <v>626</v>
      </c>
      <c r="AE356" s="102">
        <v>45352</v>
      </c>
      <c r="AF356" s="5">
        <f t="shared" si="121"/>
        <v>31</v>
      </c>
      <c r="AG356" s="5">
        <f t="shared" si="122"/>
        <v>3</v>
      </c>
      <c r="AH356" s="4">
        <f>(VLOOKUP(AG356,$AA$2:$AK$13,10,0)/AF356)*Modelling_new[[#This Row],[Factor]]</f>
        <v>73.423457748386625</v>
      </c>
      <c r="AI356" s="4">
        <f>SUMIFS(Modelling_new[Target E_Grid daily
MWh],Modelling_new[Month Year],Modelling_new[[#This Row],[Month Year]],Modelling_new[Date],"&lt;="&amp;Modelling_new[[#This Row],[Date]])</f>
        <v>293.6938309935465</v>
      </c>
      <c r="AJ356" s="4">
        <f>SUMIFS(Modelling_new[Target E_Grid daily
MWh],Modelling_new[Finacial Year],Modelling_new[[#This Row],[Finacial Year]],Modelling_new[Date],"&lt;="&amp;Modelling_new[[#This Row],[Date]])</f>
        <v>4253.5106282935376</v>
      </c>
      <c r="AK356" s="4">
        <f t="shared" si="108"/>
        <v>6.877058658064521</v>
      </c>
      <c r="AL356" s="4">
        <f>SUMIFS(Modelling_new[Target POA Daily (KWh/m2)],Modelling_new[Month Year],Modelling_new[[#This Row],[Month Year]],Modelling_new[Date],"&lt;="&amp;Modelling_new[[#This Row],[Date]])</f>
        <v>27.508234632258084</v>
      </c>
      <c r="AM356" s="4">
        <f>SUMIFS(Modelling_new[Target POA Daily (KWh/m2)],Modelling_new[Finacial Year],Modelling_new[[#This Row],[Finacial Year]],Modelling_new[Date],"&lt;="&amp;Modelling_new[[#This Row],[Date]])</f>
        <v>388.95019098940134</v>
      </c>
      <c r="AN356" s="9">
        <f>AH356/Modelling_new[[#This Row],[Comisined DC ]]/AK356</f>
        <v>0.83410770822290803</v>
      </c>
      <c r="AO356" s="9">
        <f>AI356/AL356/Modelling_new[[#This Row],[MTD DC Capcity]]</f>
        <v>0.83410770822290792</v>
      </c>
      <c r="AP356" s="9">
        <f>AJ356/AM356/Modelling_new[[#This Row],[YTD DC Capcity]]</f>
        <v>0.85436522602064513</v>
      </c>
      <c r="AQ356" s="9">
        <f>AH356/(24*Modelling_new[[#This Row],[Comisined DC ]])</f>
        <v>0.239008651524696</v>
      </c>
      <c r="AR356" s="9">
        <f>AI356/(COUNTIFS(Modelling_new[Date],"&lt;="&amp;Modelling_new[[#This Row],[Date]],Modelling_new[Month Year],Modelling_new[[#This Row],[Month Year]])*24*Modelling_new[[#This Row],[MTD DC Capcity]])</f>
        <v>0.239008651524696</v>
      </c>
      <c r="AS356" s="28">
        <f>AJ356/(COUNTIFS(Modelling_new[Date],"&lt;="&amp;Modelling_new[[#This Row],[Date]],Modelling_new[Finacial Year],Modelling_new[[#This Row],[Finacial Year]],Modelling_new[Target E_Grid YTD
MWh],"&gt;"&amp;0)*24*Modelling_new[[#This Row],[YTD DC Capcity]])</f>
        <v>0.21634473817410999</v>
      </c>
      <c r="AT356" s="5">
        <v>12.8</v>
      </c>
      <c r="AU356" s="9">
        <f>Modelling_new[[#This Row],[Comisined DC ]]/$AO$1</f>
        <v>1</v>
      </c>
      <c r="AV356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56" s="5">
        <f>AVERAGEIFS(Modelling_new[[Comisined DC ]],Modelling_new[Date],"&lt;="&amp;Modelling_new[[#This Row],[Date]],Modelling_new[[Comisined DC ]],"&gt;"&amp;0,Modelling_new[Finacial Year],Modelling_new[[#This Row],[Finacial Year]])</f>
        <v>12.799999999999986</v>
      </c>
      <c r="BD356" s="27">
        <f t="shared" si="127"/>
        <v>45355</v>
      </c>
      <c r="BE356" s="5">
        <f>MONTH(Modelling[[#This Row],[Date]])</f>
        <v>3</v>
      </c>
      <c r="BF356" s="25">
        <f>YEAR(BD356)+IF(MONTH(Modelling[[#This Row],[Date]])&gt;=4,1,0)</f>
        <v>2024</v>
      </c>
      <c r="BG356" s="3">
        <f t="shared" si="123"/>
        <v>2024</v>
      </c>
      <c r="BH356" s="3" t="s">
        <v>626</v>
      </c>
      <c r="BI356" s="5" t="s">
        <v>626</v>
      </c>
      <c r="BJ356" s="102">
        <v>45352</v>
      </c>
      <c r="BK356" s="5">
        <f t="shared" si="124"/>
        <v>31</v>
      </c>
      <c r="BL356" s="5">
        <f t="shared" si="125"/>
        <v>3</v>
      </c>
      <c r="BM356" s="4">
        <f>Modelling_old[[#This Row],[Target E_Grid daily
MWh]]+Modelling_new[[#This Row],[Target E_Grid daily
MWh]]</f>
        <v>127.93958678064469</v>
      </c>
      <c r="BN356" s="4">
        <f>Modelling_old[[#This Row],[Target E_Grid MTD
MWh]]+Modelling_new[[#This Row],[Target E_Grid MTD
MWh]]</f>
        <v>511.75834712257875</v>
      </c>
      <c r="BO356" s="4">
        <f>Modelling_old[[#This Row],[Target E_Grid YTD
MWh]]+Modelling_new[[#This Row],[Target E_Grid YTD
MWh]]</f>
        <v>20181.575144422568</v>
      </c>
      <c r="BP35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56" s="4">
        <f>SUMIFS(Modelling[Target POA Daily (KWh/m2)],Modelling[Date],"&lt;="&amp;Modelling[[#This Row],[Date]],Modelling[Month Year],Modelling[[#This Row],[Month Year]])</f>
        <v>27.551668852652686</v>
      </c>
      <c r="BR356" s="4">
        <f>SUMIFS(Modelling[Target POA Daily (KWh/m2)],Modelling[Date],"&lt;="&amp;Modelling[[#This Row],[Date]],Modelling[Finacial Year],Modelling[[#This Row],[Finacial Year]])</f>
        <v>1972.3487680256387</v>
      </c>
      <c r="BS356" s="9">
        <f>BM356/Modelling[[#This Row],[Comisined DC ]]/BP356</f>
        <v>0.76428502649716468</v>
      </c>
      <c r="BT356" s="9">
        <f>BN356/BQ356/Modelling[[#This Row],[Comisined DC ]]</f>
        <v>0.76428502649716468</v>
      </c>
      <c r="BU356" s="9">
        <f>BO356/BR356/Modelling[[#This Row],[Comisined DC ]]</f>
        <v>0.42102673312160399</v>
      </c>
      <c r="BV356" s="9">
        <f>BM356/(24*Modelling[[#This Row],[Comisined DC ]])</f>
        <v>0.2193471662405288</v>
      </c>
      <c r="BW356" s="9">
        <f>BN356/((COUNTIFS(Modelling[Date],"&lt;="&amp;Modelling[[#This Row],[Date]],Modelling[Month Year],Modelling[[#This Row],[Month Year]])*24*Modelling[[#This Row],[MTD DC Capcity]]))</f>
        <v>0.2193471662405288</v>
      </c>
      <c r="BX356" s="28">
        <f>BO356/((COUNTIFS(Modelling[Date],"&lt;="&amp;Modelling[[#This Row],[Date]],Modelling[Finacial Year],Modelling[[#This Row],[Finacial Year]])*24*Modelling[[#This Row],[MTD DC Capcity]]))</f>
        <v>0.10206631740145709</v>
      </c>
      <c r="BY356" s="4">
        <f>Modelling_old[[#This Row],[DC Capcity]]+Modelling_new[[#This Row],[Comisined DC ]]</f>
        <v>24.303100000000001</v>
      </c>
      <c r="BZ356" s="4">
        <v>0</v>
      </c>
      <c r="CA356" s="4">
        <f>AVERAGEIFS(Modelling[[Comisined DC ]],Modelling[Date],"&lt;="&amp;Modelling[[#This Row],[Date]],Modelling[Month Year],Modelling[[#This Row],[Month Year]])</f>
        <v>24.303100000000001</v>
      </c>
      <c r="CB356" s="4">
        <f>AVERAGEIFS(Modelling[[Comisined DC ]],Modelling[Date],"&lt;="&amp;Modelling[[#This Row],[Date]],Modelling[Finacial Year],Modelling[[#This Row],[Finacial Year]])</f>
        <v>13.807867846607609</v>
      </c>
      <c r="CG356">
        <f t="shared" si="119"/>
        <v>4</v>
      </c>
      <c r="CH356">
        <f t="shared" si="128"/>
        <v>339</v>
      </c>
    </row>
    <row r="357" spans="1:86" x14ac:dyDescent="0.35">
      <c r="A357" s="27">
        <v>45356</v>
      </c>
      <c r="B357" s="5">
        <f>MONTH(Modelling_old[[#This Row],[Date]])</f>
        <v>3</v>
      </c>
      <c r="C357" s="25">
        <v>2024</v>
      </c>
      <c r="D357" s="3">
        <f t="shared" si="129"/>
        <v>2024</v>
      </c>
      <c r="E357" s="3" t="s">
        <v>626</v>
      </c>
      <c r="F357" s="5" t="s">
        <v>626</v>
      </c>
      <c r="G357" s="102">
        <v>45352</v>
      </c>
      <c r="H357" s="5">
        <f t="shared" si="130"/>
        <v>31</v>
      </c>
      <c r="I357" s="5">
        <f t="shared" si="131"/>
        <v>3</v>
      </c>
      <c r="J357" s="4">
        <f t="shared" si="132"/>
        <v>54.516129032258064</v>
      </c>
      <c r="K357" s="4">
        <f>SUM($J$353:J357)</f>
        <v>272.58064516129031</v>
      </c>
      <c r="L357" s="4">
        <f>SUM($J$18:J357)</f>
        <v>15982.580645161286</v>
      </c>
      <c r="M357" s="4">
        <f t="shared" si="133"/>
        <v>6.9</v>
      </c>
      <c r="N357" s="4">
        <f>SUM($M$353:M357)</f>
        <v>34.5</v>
      </c>
      <c r="O357" s="4">
        <f>SUM($M$18:M357)</f>
        <v>1994.0928571428531</v>
      </c>
      <c r="P357" s="9">
        <f t="shared" si="134"/>
        <v>0.68684861172593881</v>
      </c>
      <c r="Q357" s="26">
        <f t="shared" si="135"/>
        <v>0.68684861172593881</v>
      </c>
      <c r="R357" s="26">
        <f t="shared" si="136"/>
        <v>0.69676548830837648</v>
      </c>
      <c r="S357" s="9">
        <f t="shared" si="137"/>
        <v>0.19746897587120743</v>
      </c>
      <c r="T357" s="9">
        <f>K357/((COUNT($K$353:K357))*24*$Q$1)</f>
        <v>0.1974689758712074</v>
      </c>
      <c r="U357" s="28">
        <f>L357/((COUNT($L$18:L357))*24*$Q$1)</f>
        <v>0.17027145629159138</v>
      </c>
      <c r="V357" s="134">
        <v>11.5031</v>
      </c>
      <c r="Y357" s="27">
        <f t="shared" si="126"/>
        <v>45356</v>
      </c>
      <c r="Z357" s="5">
        <f>MONTH(Modelling_new[[#This Row],[Date]])</f>
        <v>3</v>
      </c>
      <c r="AA357" s="25">
        <f>YEAR(Y357)+IF(MONTH(Modelling_new[[#This Row],[Date]])&gt;=4,1,0)</f>
        <v>2024</v>
      </c>
      <c r="AB357" s="3">
        <f t="shared" si="120"/>
        <v>2024</v>
      </c>
      <c r="AC357" s="3" t="s">
        <v>626</v>
      </c>
      <c r="AD357" s="5" t="s">
        <v>626</v>
      </c>
      <c r="AE357" s="102">
        <v>45352</v>
      </c>
      <c r="AF357" s="5">
        <f t="shared" si="121"/>
        <v>31</v>
      </c>
      <c r="AG357" s="5">
        <f t="shared" si="122"/>
        <v>3</v>
      </c>
      <c r="AH357" s="4">
        <f>(VLOOKUP(AG357,$AA$2:$AK$13,10,0)/AF357)*Modelling_new[[#This Row],[Factor]]</f>
        <v>73.423457748386625</v>
      </c>
      <c r="AI357" s="4">
        <f>SUMIFS(Modelling_new[Target E_Grid daily
MWh],Modelling_new[Month Year],Modelling_new[[#This Row],[Month Year]],Modelling_new[Date],"&lt;="&amp;Modelling_new[[#This Row],[Date]])</f>
        <v>367.11728874193312</v>
      </c>
      <c r="AJ357" s="4">
        <f>SUMIFS(Modelling_new[Target E_Grid daily
MWh],Modelling_new[Finacial Year],Modelling_new[[#This Row],[Finacial Year]],Modelling_new[Date],"&lt;="&amp;Modelling_new[[#This Row],[Date]])</f>
        <v>4326.9340860419243</v>
      </c>
      <c r="AK357" s="4">
        <f t="shared" si="108"/>
        <v>6.877058658064521</v>
      </c>
      <c r="AL357" s="4">
        <f>SUMIFS(Modelling_new[Target POA Daily (KWh/m2)],Modelling_new[Month Year],Modelling_new[[#This Row],[Month Year]],Modelling_new[Date],"&lt;="&amp;Modelling_new[[#This Row],[Date]])</f>
        <v>34.385293290322608</v>
      </c>
      <c r="AM357" s="4">
        <f>SUMIFS(Modelling_new[Target POA Daily (KWh/m2)],Modelling_new[Finacial Year],Modelling_new[[#This Row],[Finacial Year]],Modelling_new[Date],"&lt;="&amp;Modelling_new[[#This Row],[Date]])</f>
        <v>395.82724964746586</v>
      </c>
      <c r="AN357" s="9">
        <f>AH357/Modelling_new[[#This Row],[Comisined DC ]]/AK357</f>
        <v>0.83410770822290803</v>
      </c>
      <c r="AO357" s="9">
        <f>AI357/AL357/Modelling_new[[#This Row],[MTD DC Capcity]]</f>
        <v>0.83410770822290792</v>
      </c>
      <c r="AP357" s="9">
        <f>AJ357/AM357/Modelling_new[[#This Row],[YTD DC Capcity]]</f>
        <v>0.85401327415708372</v>
      </c>
      <c r="AQ357" s="9">
        <f>AH357/(24*Modelling_new[[#This Row],[Comisined DC ]])</f>
        <v>0.239008651524696</v>
      </c>
      <c r="AR357" s="9">
        <f>AI357/(COUNTIFS(Modelling_new[Date],"&lt;="&amp;Modelling_new[[#This Row],[Date]],Modelling_new[Month Year],Modelling_new[[#This Row],[Month Year]])*24*Modelling_new[[#This Row],[MTD DC Capcity]])</f>
        <v>0.23900865152469605</v>
      </c>
      <c r="AS357" s="28">
        <f>AJ357/(COUNTIFS(Modelling_new[Date],"&lt;="&amp;Modelling_new[[#This Row],[Date]],Modelling_new[Finacial Year],Modelling_new[[#This Row],[Finacial Year]],Modelling_new[Target E_Grid YTD
MWh],"&gt;"&amp;0)*24*Modelling_new[[#This Row],[YTD DC Capcity]])</f>
        <v>0.21669341376411905</v>
      </c>
      <c r="AT357" s="5">
        <v>12.8</v>
      </c>
      <c r="AU357" s="9">
        <f>Modelling_new[[#This Row],[Comisined DC ]]/$AO$1</f>
        <v>1</v>
      </c>
      <c r="AV35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57" s="5">
        <f>AVERAGEIFS(Modelling_new[[Comisined DC ]],Modelling_new[Date],"&lt;="&amp;Modelling_new[[#This Row],[Date]],Modelling_new[[Comisined DC ]],"&gt;"&amp;0,Modelling_new[Finacial Year],Modelling_new[[#This Row],[Finacial Year]])</f>
        <v>12.799999999999986</v>
      </c>
      <c r="BD357" s="27">
        <f t="shared" si="127"/>
        <v>45356</v>
      </c>
      <c r="BE357" s="5">
        <f>MONTH(Modelling[[#This Row],[Date]])</f>
        <v>3</v>
      </c>
      <c r="BF357" s="25">
        <f>YEAR(BD357)+IF(MONTH(Modelling[[#This Row],[Date]])&gt;=4,1,0)</f>
        <v>2024</v>
      </c>
      <c r="BG357" s="3">
        <f t="shared" si="123"/>
        <v>2024</v>
      </c>
      <c r="BH357" s="3" t="s">
        <v>626</v>
      </c>
      <c r="BI357" s="5" t="s">
        <v>626</v>
      </c>
      <c r="BJ357" s="102">
        <v>45352</v>
      </c>
      <c r="BK357" s="5">
        <f t="shared" si="124"/>
        <v>31</v>
      </c>
      <c r="BL357" s="5">
        <f t="shared" si="125"/>
        <v>3</v>
      </c>
      <c r="BM357" s="4">
        <f>Modelling_old[[#This Row],[Target E_Grid daily
MWh]]+Modelling_new[[#This Row],[Target E_Grid daily
MWh]]</f>
        <v>127.93958678064469</v>
      </c>
      <c r="BN357" s="4">
        <f>Modelling_old[[#This Row],[Target E_Grid MTD
MWh]]+Modelling_new[[#This Row],[Target E_Grid MTD
MWh]]</f>
        <v>639.69793390322343</v>
      </c>
      <c r="BO357" s="4">
        <f>Modelling_old[[#This Row],[Target E_Grid YTD
MWh]]+Modelling_new[[#This Row],[Target E_Grid YTD
MWh]]</f>
        <v>20309.51473120321</v>
      </c>
      <c r="BP35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57" s="4">
        <f>SUMIFS(Modelling[Target POA Daily (KWh/m2)],Modelling[Date],"&lt;="&amp;Modelling[[#This Row],[Date]],Modelling[Month Year],Modelling[[#This Row],[Month Year]])</f>
        <v>34.43958606581586</v>
      </c>
      <c r="BR357" s="4">
        <f>SUMIFS(Modelling[Target POA Daily (KWh/m2)],Modelling[Date],"&lt;="&amp;Modelling[[#This Row],[Date]],Modelling[Finacial Year],Modelling[[#This Row],[Finacial Year]])</f>
        <v>1979.2366852388018</v>
      </c>
      <c r="BS357" s="9">
        <f>BM357/Modelling[[#This Row],[Comisined DC ]]/BP357</f>
        <v>0.76428502649716468</v>
      </c>
      <c r="BT357" s="9">
        <f>BN357/BQ357/Modelling[[#This Row],[Comisined DC ]]</f>
        <v>0.76428502649716457</v>
      </c>
      <c r="BU357" s="9">
        <f>BO357/BR357/Modelling[[#This Row],[Comisined DC ]]</f>
        <v>0.42222130208100922</v>
      </c>
      <c r="BV357" s="9">
        <f>BM357/(24*Modelling[[#This Row],[Comisined DC ]])</f>
        <v>0.2193471662405288</v>
      </c>
      <c r="BW357" s="9">
        <f>BN357/((COUNTIFS(Modelling[Date],"&lt;="&amp;Modelling[[#This Row],[Date]],Modelling[Month Year],Modelling[[#This Row],[Month Year]])*24*Modelling[[#This Row],[MTD DC Capcity]]))</f>
        <v>0.21934716624052877</v>
      </c>
      <c r="BX357" s="28">
        <f>BO357/((COUNTIFS(Modelling[Date],"&lt;="&amp;Modelling[[#This Row],[Date]],Modelling[Finacial Year],Modelling[[#This Row],[Finacial Year]])*24*Modelling[[#This Row],[MTD DC Capcity]]))</f>
        <v>0.10241126107451318</v>
      </c>
      <c r="BY357" s="4">
        <f>Modelling_old[[#This Row],[DC Capcity]]+Modelling_new[[#This Row],[Comisined DC ]]</f>
        <v>24.303100000000001</v>
      </c>
      <c r="BZ357" s="4">
        <v>0</v>
      </c>
      <c r="CA357" s="4">
        <f>AVERAGEIFS(Modelling[[Comisined DC ]],Modelling[Date],"&lt;="&amp;Modelling[[#This Row],[Date]],Modelling[Month Year],Modelling[[#This Row],[Month Year]])</f>
        <v>24.303100000000001</v>
      </c>
      <c r="CB357" s="4">
        <f>AVERAGEIFS(Modelling[[Comisined DC ]],Modelling[Date],"&lt;="&amp;Modelling[[#This Row],[Date]],Modelling[Finacial Year],Modelling[[#This Row],[Finacial Year]])</f>
        <v>13.838736176470528</v>
      </c>
      <c r="CG357">
        <f t="shared" si="119"/>
        <v>5</v>
      </c>
      <c r="CH357">
        <f t="shared" si="128"/>
        <v>340</v>
      </c>
    </row>
    <row r="358" spans="1:86" x14ac:dyDescent="0.35">
      <c r="A358" s="27">
        <v>45357</v>
      </c>
      <c r="B358" s="5">
        <f>MONTH(Modelling_old[[#This Row],[Date]])</f>
        <v>3</v>
      </c>
      <c r="C358" s="25">
        <v>2024</v>
      </c>
      <c r="D358" s="3">
        <f t="shared" si="129"/>
        <v>2024</v>
      </c>
      <c r="E358" s="3" t="s">
        <v>626</v>
      </c>
      <c r="F358" s="5" t="s">
        <v>626</v>
      </c>
      <c r="G358" s="102">
        <v>45352</v>
      </c>
      <c r="H358" s="5">
        <f t="shared" si="130"/>
        <v>31</v>
      </c>
      <c r="I358" s="5">
        <f t="shared" si="131"/>
        <v>3</v>
      </c>
      <c r="J358" s="4">
        <f t="shared" si="132"/>
        <v>54.516129032258064</v>
      </c>
      <c r="K358" s="4">
        <f>SUM($J$353:J358)</f>
        <v>327.09677419354836</v>
      </c>
      <c r="L358" s="4">
        <f>SUM($J$18:J358)</f>
        <v>16037.096774193544</v>
      </c>
      <c r="M358" s="4">
        <f t="shared" si="133"/>
        <v>6.9</v>
      </c>
      <c r="N358" s="4">
        <f>SUM($M$353:M358)</f>
        <v>41.4</v>
      </c>
      <c r="O358" s="4">
        <f>SUM($M$18:M358)</f>
        <v>2000.9928571428532</v>
      </c>
      <c r="P358" s="9">
        <f t="shared" si="134"/>
        <v>0.68684861172593881</v>
      </c>
      <c r="Q358" s="26">
        <f t="shared" si="135"/>
        <v>0.68684861172593881</v>
      </c>
      <c r="R358" s="26">
        <f t="shared" si="136"/>
        <v>0.69673129206016171</v>
      </c>
      <c r="S358" s="9">
        <f t="shared" si="137"/>
        <v>0.19746897587120743</v>
      </c>
      <c r="T358" s="9">
        <f>K358/((COUNT($K$353:K358))*24*$Q$1)</f>
        <v>0.1974689758712074</v>
      </c>
      <c r="U358" s="28">
        <f>L358/((COUNT($L$18:L358))*24*$Q$1)</f>
        <v>0.17035121441352571</v>
      </c>
      <c r="V358" s="134">
        <v>11.5031</v>
      </c>
      <c r="Y358" s="27">
        <f t="shared" si="126"/>
        <v>45357</v>
      </c>
      <c r="Z358" s="5">
        <f>MONTH(Modelling_new[[#This Row],[Date]])</f>
        <v>3</v>
      </c>
      <c r="AA358" s="25">
        <f>YEAR(Y358)+IF(MONTH(Modelling_new[[#This Row],[Date]])&gt;=4,1,0)</f>
        <v>2024</v>
      </c>
      <c r="AB358" s="3">
        <f t="shared" si="120"/>
        <v>2024</v>
      </c>
      <c r="AC358" s="3" t="s">
        <v>626</v>
      </c>
      <c r="AD358" s="5" t="s">
        <v>626</v>
      </c>
      <c r="AE358" s="102">
        <v>45352</v>
      </c>
      <c r="AF358" s="5">
        <f t="shared" si="121"/>
        <v>31</v>
      </c>
      <c r="AG358" s="5">
        <f t="shared" si="122"/>
        <v>3</v>
      </c>
      <c r="AH358" s="4">
        <f>(VLOOKUP(AG358,$AA$2:$AK$13,10,0)/AF358)*Modelling_new[[#This Row],[Factor]]</f>
        <v>73.423457748386625</v>
      </c>
      <c r="AI358" s="4">
        <f>SUMIFS(Modelling_new[Target E_Grid daily
MWh],Modelling_new[Month Year],Modelling_new[[#This Row],[Month Year]],Modelling_new[Date],"&lt;="&amp;Modelling_new[[#This Row],[Date]])</f>
        <v>440.54074649031975</v>
      </c>
      <c r="AJ358" s="4">
        <f>SUMIFS(Modelling_new[Target E_Grid daily
MWh],Modelling_new[Finacial Year],Modelling_new[[#This Row],[Finacial Year]],Modelling_new[Date],"&lt;="&amp;Modelling_new[[#This Row],[Date]])</f>
        <v>4400.357543790311</v>
      </c>
      <c r="AK358" s="4">
        <f t="shared" ref="AK358:AK383" si="138">VLOOKUP(AG358,$AA$2:$AK$13,11,0)</f>
        <v>6.877058658064521</v>
      </c>
      <c r="AL358" s="4">
        <f>SUMIFS(Modelling_new[Target POA Daily (KWh/m2)],Modelling_new[Month Year],Modelling_new[[#This Row],[Month Year]],Modelling_new[Date],"&lt;="&amp;Modelling_new[[#This Row],[Date]])</f>
        <v>41.262351948387128</v>
      </c>
      <c r="AM358" s="4">
        <f>SUMIFS(Modelling_new[Target POA Daily (KWh/m2)],Modelling_new[Finacial Year],Modelling_new[[#This Row],[Finacial Year]],Modelling_new[Date],"&lt;="&amp;Modelling_new[[#This Row],[Date]])</f>
        <v>402.70430830553039</v>
      </c>
      <c r="AN358" s="9">
        <f>AH358/Modelling_new[[#This Row],[Comisined DC ]]/AK358</f>
        <v>0.83410770822290803</v>
      </c>
      <c r="AO358" s="9">
        <f>AI358/AL358/Modelling_new[[#This Row],[MTD DC Capcity]]</f>
        <v>0.83410770822290803</v>
      </c>
      <c r="AP358" s="9">
        <f>AJ358/AM358/Modelling_new[[#This Row],[YTD DC Capcity]]</f>
        <v>0.85367334299238562</v>
      </c>
      <c r="AQ358" s="9">
        <f>AH358/(24*Modelling_new[[#This Row],[Comisined DC ]])</f>
        <v>0.239008651524696</v>
      </c>
      <c r="AR358" s="9">
        <f>AI358/(COUNTIFS(Modelling_new[Date],"&lt;="&amp;Modelling_new[[#This Row],[Date]],Modelling_new[Month Year],Modelling_new[[#This Row],[Month Year]])*24*Modelling_new[[#This Row],[MTD DC Capcity]])</f>
        <v>0.23900865152469608</v>
      </c>
      <c r="AS358" s="28">
        <f>AJ358/(COUNTIFS(Modelling_new[Date],"&lt;="&amp;Modelling_new[[#This Row],[Date]],Modelling_new[Finacial Year],Modelling_new[[#This Row],[Finacial Year]],Modelling_new[Target E_Grid YTD
MWh],"&gt;"&amp;0)*24*Modelling_new[[#This Row],[YTD DC Capcity]])</f>
        <v>0.21703152342715812</v>
      </c>
      <c r="AT358" s="5">
        <v>12.8</v>
      </c>
      <c r="AU358" s="9">
        <f>Modelling_new[[#This Row],[Comisined DC ]]/$AO$1</f>
        <v>1</v>
      </c>
      <c r="AV358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58" s="5">
        <f>AVERAGEIFS(Modelling_new[[Comisined DC ]],Modelling_new[Date],"&lt;="&amp;Modelling_new[[#This Row],[Date]],Modelling_new[[Comisined DC ]],"&gt;"&amp;0,Modelling_new[Finacial Year],Modelling_new[[#This Row],[Finacial Year]])</f>
        <v>12.799999999999985</v>
      </c>
      <c r="BD358" s="27">
        <f t="shared" si="127"/>
        <v>45357</v>
      </c>
      <c r="BE358" s="5">
        <f>MONTH(Modelling[[#This Row],[Date]])</f>
        <v>3</v>
      </c>
      <c r="BF358" s="25">
        <f>YEAR(BD358)+IF(MONTH(Modelling[[#This Row],[Date]])&gt;=4,1,0)</f>
        <v>2024</v>
      </c>
      <c r="BG358" s="3">
        <f t="shared" si="123"/>
        <v>2024</v>
      </c>
      <c r="BH358" s="3" t="s">
        <v>626</v>
      </c>
      <c r="BI358" s="5" t="s">
        <v>626</v>
      </c>
      <c r="BJ358" s="102">
        <v>45352</v>
      </c>
      <c r="BK358" s="5">
        <f t="shared" si="124"/>
        <v>31</v>
      </c>
      <c r="BL358" s="5">
        <f t="shared" si="125"/>
        <v>3</v>
      </c>
      <c r="BM358" s="4">
        <f>Modelling_old[[#This Row],[Target E_Grid daily
MWh]]+Modelling_new[[#This Row],[Target E_Grid daily
MWh]]</f>
        <v>127.93958678064469</v>
      </c>
      <c r="BN358" s="4">
        <f>Modelling_old[[#This Row],[Target E_Grid MTD
MWh]]+Modelling_new[[#This Row],[Target E_Grid MTD
MWh]]</f>
        <v>767.63752068386816</v>
      </c>
      <c r="BO358" s="4">
        <f>Modelling_old[[#This Row],[Target E_Grid YTD
MWh]]+Modelling_new[[#This Row],[Target E_Grid YTD
MWh]]</f>
        <v>20437.454317983855</v>
      </c>
      <c r="BP35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58" s="4">
        <f>SUMIFS(Modelling[Target POA Daily (KWh/m2)],Modelling[Date],"&lt;="&amp;Modelling[[#This Row],[Date]],Modelling[Month Year],Modelling[[#This Row],[Month Year]])</f>
        <v>41.32750327897903</v>
      </c>
      <c r="BR358" s="4">
        <f>SUMIFS(Modelling[Target POA Daily (KWh/m2)],Modelling[Date],"&lt;="&amp;Modelling[[#This Row],[Date]],Modelling[Finacial Year],Modelling[[#This Row],[Finacial Year]])</f>
        <v>1986.1246024519648</v>
      </c>
      <c r="BS358" s="9">
        <f>BM358/Modelling[[#This Row],[Comisined DC ]]/BP358</f>
        <v>0.76428502649716468</v>
      </c>
      <c r="BT358" s="9">
        <f>BN358/BQ358/Modelling[[#This Row],[Comisined DC ]]</f>
        <v>0.76428502649716468</v>
      </c>
      <c r="BU358" s="9">
        <f>BO358/BR358/Modelling[[#This Row],[Comisined DC ]]</f>
        <v>0.42340758546549384</v>
      </c>
      <c r="BV358" s="9">
        <f>BM358/(24*Modelling[[#This Row],[Comisined DC ]])</f>
        <v>0.2193471662405288</v>
      </c>
      <c r="BW358" s="9">
        <f>BN358/((COUNTIFS(Modelling[Date],"&lt;="&amp;Modelling[[#This Row],[Date]],Modelling[Month Year],Modelling[[#This Row],[Month Year]])*24*Modelling[[#This Row],[MTD DC Capcity]]))</f>
        <v>0.2193471662405288</v>
      </c>
      <c r="BX358" s="28">
        <f>BO358/((COUNTIFS(Modelling[Date],"&lt;="&amp;Modelling[[#This Row],[Date]],Modelling[Finacial Year],Modelling[[#This Row],[Finacial Year]])*24*Modelling[[#This Row],[MTD DC Capcity]]))</f>
        <v>0.10275418161752202</v>
      </c>
      <c r="BY358" s="4">
        <f>Modelling_old[[#This Row],[DC Capcity]]+Modelling_new[[#This Row],[Comisined DC ]]</f>
        <v>24.303100000000001</v>
      </c>
      <c r="BZ358" s="4">
        <v>0</v>
      </c>
      <c r="CA358" s="4">
        <f>AVERAGEIFS(Modelling[[Comisined DC ]],Modelling[Date],"&lt;="&amp;Modelling[[#This Row],[Date]],Modelling[Month Year],Modelling[[#This Row],[Month Year]])</f>
        <v>24.303100000000001</v>
      </c>
      <c r="CB358" s="4">
        <f>AVERAGEIFS(Modelling[[Comisined DC ]],Modelling[Date],"&lt;="&amp;Modelling[[#This Row],[Date]],Modelling[Finacial Year],Modelling[[#This Row],[Finacial Year]])</f>
        <v>13.869423460410498</v>
      </c>
      <c r="CG358">
        <f t="shared" si="119"/>
        <v>6</v>
      </c>
      <c r="CH358">
        <f t="shared" si="128"/>
        <v>341</v>
      </c>
    </row>
    <row r="359" spans="1:86" x14ac:dyDescent="0.35">
      <c r="A359" s="27">
        <v>45358</v>
      </c>
      <c r="B359" s="5">
        <f>MONTH(Modelling_old[[#This Row],[Date]])</f>
        <v>3</v>
      </c>
      <c r="C359" s="25">
        <v>2024</v>
      </c>
      <c r="D359" s="3">
        <f t="shared" si="129"/>
        <v>2024</v>
      </c>
      <c r="E359" s="3" t="s">
        <v>626</v>
      </c>
      <c r="F359" s="5" t="s">
        <v>626</v>
      </c>
      <c r="G359" s="102">
        <v>45352</v>
      </c>
      <c r="H359" s="5">
        <f t="shared" si="130"/>
        <v>31</v>
      </c>
      <c r="I359" s="5">
        <f t="shared" si="131"/>
        <v>3</v>
      </c>
      <c r="J359" s="4">
        <f t="shared" si="132"/>
        <v>54.516129032258064</v>
      </c>
      <c r="K359" s="4">
        <f>SUM($J$353:J359)</f>
        <v>381.61290322580641</v>
      </c>
      <c r="L359" s="4">
        <f>SUM($J$18:J359)</f>
        <v>16091.612903225801</v>
      </c>
      <c r="M359" s="4">
        <f t="shared" si="133"/>
        <v>6.9</v>
      </c>
      <c r="N359" s="4">
        <f>SUM($M$353:M359)</f>
        <v>48.3</v>
      </c>
      <c r="O359" s="4">
        <f>SUM($M$18:M359)</f>
        <v>2007.8928571428532</v>
      </c>
      <c r="P359" s="9">
        <f t="shared" si="134"/>
        <v>0.68684861172593881</v>
      </c>
      <c r="Q359" s="26">
        <f t="shared" si="135"/>
        <v>0.68684861172593881</v>
      </c>
      <c r="R359" s="26">
        <f t="shared" si="136"/>
        <v>0.6966973308385439</v>
      </c>
      <c r="S359" s="9">
        <f t="shared" si="137"/>
        <v>0.19746897587120743</v>
      </c>
      <c r="T359" s="9">
        <f>K359/((COUNT($K$353:K359))*24*$Q$1)</f>
        <v>0.1974689758712074</v>
      </c>
      <c r="U359" s="28">
        <f>L359/((COUNT($L$18:L359))*24*$Q$1)</f>
        <v>0.17043050611369437</v>
      </c>
      <c r="V359" s="134">
        <v>11.5031</v>
      </c>
      <c r="Y359" s="27">
        <f t="shared" si="126"/>
        <v>45358</v>
      </c>
      <c r="Z359" s="5">
        <f>MONTH(Modelling_new[[#This Row],[Date]])</f>
        <v>3</v>
      </c>
      <c r="AA359" s="25">
        <f>YEAR(Y359)+IF(MONTH(Modelling_new[[#This Row],[Date]])&gt;=4,1,0)</f>
        <v>2024</v>
      </c>
      <c r="AB359" s="3">
        <f t="shared" si="120"/>
        <v>2024</v>
      </c>
      <c r="AC359" s="3" t="s">
        <v>626</v>
      </c>
      <c r="AD359" s="5" t="s">
        <v>626</v>
      </c>
      <c r="AE359" s="102">
        <v>45352</v>
      </c>
      <c r="AF359" s="5">
        <f t="shared" si="121"/>
        <v>31</v>
      </c>
      <c r="AG359" s="5">
        <f t="shared" si="122"/>
        <v>3</v>
      </c>
      <c r="AH359" s="4">
        <f>(VLOOKUP(AG359,$AA$2:$AK$13,10,0)/AF359)*Modelling_new[[#This Row],[Factor]]</f>
        <v>73.423457748386625</v>
      </c>
      <c r="AI359" s="4">
        <f>SUMIFS(Modelling_new[Target E_Grid daily
MWh],Modelling_new[Month Year],Modelling_new[[#This Row],[Month Year]],Modelling_new[Date],"&lt;="&amp;Modelling_new[[#This Row],[Date]])</f>
        <v>513.96420423870632</v>
      </c>
      <c r="AJ359" s="4">
        <f>SUMIFS(Modelling_new[Target E_Grid daily
MWh],Modelling_new[Finacial Year],Modelling_new[[#This Row],[Finacial Year]],Modelling_new[Date],"&lt;="&amp;Modelling_new[[#This Row],[Date]])</f>
        <v>4473.7810015386976</v>
      </c>
      <c r="AK359" s="4">
        <f t="shared" si="138"/>
        <v>6.877058658064521</v>
      </c>
      <c r="AL359" s="4">
        <f>SUMIFS(Modelling_new[Target POA Daily (KWh/m2)],Modelling_new[Month Year],Modelling_new[[#This Row],[Month Year]],Modelling_new[Date],"&lt;="&amp;Modelling_new[[#This Row],[Date]])</f>
        <v>48.139410606451648</v>
      </c>
      <c r="AM359" s="4">
        <f>SUMIFS(Modelling_new[Target POA Daily (KWh/m2)],Modelling_new[Finacial Year],Modelling_new[[#This Row],[Finacial Year]],Modelling_new[Date],"&lt;="&amp;Modelling_new[[#This Row],[Date]])</f>
        <v>409.58136696359492</v>
      </c>
      <c r="AN359" s="9">
        <f>AH359/Modelling_new[[#This Row],[Comisined DC ]]/AK359</f>
        <v>0.83410770822290803</v>
      </c>
      <c r="AO359" s="9">
        <f>AI359/AL359/Modelling_new[[#This Row],[MTD DC Capcity]]</f>
        <v>0.83410770822290803</v>
      </c>
      <c r="AP359" s="9">
        <f>AJ359/AM359/Modelling_new[[#This Row],[YTD DC Capcity]]</f>
        <v>0.85334482702743952</v>
      </c>
      <c r="AQ359" s="9">
        <f>AH359/(24*Modelling_new[[#This Row],[Comisined DC ]])</f>
        <v>0.239008651524696</v>
      </c>
      <c r="AR359" s="9">
        <f>AI359/(COUNTIFS(Modelling_new[Date],"&lt;="&amp;Modelling_new[[#This Row],[Date]],Modelling_new[Month Year],Modelling_new[[#This Row],[Month Year]])*24*Modelling_new[[#This Row],[MTD DC Capcity]])</f>
        <v>0.23900865152469605</v>
      </c>
      <c r="AS359" s="28">
        <f>AJ359/(COUNTIFS(Modelling_new[Date],"&lt;="&amp;Modelling_new[[#This Row],[Date]],Modelling_new[Finacial Year],Modelling_new[[#This Row],[Finacial Year]],Modelling_new[Target E_Grid YTD
MWh],"&gt;"&amp;0)*24*Modelling_new[[#This Row],[YTD DC Capcity]])</f>
        <v>0.2173595402644348</v>
      </c>
      <c r="AT359" s="5">
        <v>12.8</v>
      </c>
      <c r="AU359" s="9">
        <f>Modelling_new[[#This Row],[Comisined DC ]]/$AO$1</f>
        <v>1</v>
      </c>
      <c r="AV359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59" s="5">
        <f>AVERAGEIFS(Modelling_new[[Comisined DC ]],Modelling_new[Date],"&lt;="&amp;Modelling_new[[#This Row],[Date]],Modelling_new[[Comisined DC ]],"&gt;"&amp;0,Modelling_new[Finacial Year],Modelling_new[[#This Row],[Finacial Year]])</f>
        <v>12.799999999999985</v>
      </c>
      <c r="BD359" s="27">
        <f t="shared" si="127"/>
        <v>45358</v>
      </c>
      <c r="BE359" s="5">
        <f>MONTH(Modelling[[#This Row],[Date]])</f>
        <v>3</v>
      </c>
      <c r="BF359" s="25">
        <f>YEAR(BD359)+IF(MONTH(Modelling[[#This Row],[Date]])&gt;=4,1,0)</f>
        <v>2024</v>
      </c>
      <c r="BG359" s="3">
        <f t="shared" si="123"/>
        <v>2024</v>
      </c>
      <c r="BH359" s="3" t="s">
        <v>626</v>
      </c>
      <c r="BI359" s="5" t="s">
        <v>626</v>
      </c>
      <c r="BJ359" s="102">
        <v>45352</v>
      </c>
      <c r="BK359" s="5">
        <f t="shared" si="124"/>
        <v>31</v>
      </c>
      <c r="BL359" s="5">
        <f t="shared" si="125"/>
        <v>3</v>
      </c>
      <c r="BM359" s="4">
        <f>Modelling_old[[#This Row],[Target E_Grid daily
MWh]]+Modelling_new[[#This Row],[Target E_Grid daily
MWh]]</f>
        <v>127.93958678064469</v>
      </c>
      <c r="BN359" s="4">
        <f>Modelling_old[[#This Row],[Target E_Grid MTD
MWh]]+Modelling_new[[#This Row],[Target E_Grid MTD
MWh]]</f>
        <v>895.57710746451266</v>
      </c>
      <c r="BO359" s="4">
        <f>Modelling_old[[#This Row],[Target E_Grid YTD
MWh]]+Modelling_new[[#This Row],[Target E_Grid YTD
MWh]]</f>
        <v>20565.3939047645</v>
      </c>
      <c r="BP35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59" s="4">
        <f>SUMIFS(Modelling[Target POA Daily (KWh/m2)],Modelling[Date],"&lt;="&amp;Modelling[[#This Row],[Date]],Modelling[Month Year],Modelling[[#This Row],[Month Year]])</f>
        <v>48.215420492142201</v>
      </c>
      <c r="BR359" s="4">
        <f>SUMIFS(Modelling[Target POA Daily (KWh/m2)],Modelling[Date],"&lt;="&amp;Modelling[[#This Row],[Date]],Modelling[Finacial Year],Modelling[[#This Row],[Finacial Year]])</f>
        <v>1993.0125196651279</v>
      </c>
      <c r="BS359" s="9">
        <f>BM359/Modelling[[#This Row],[Comisined DC ]]/BP359</f>
        <v>0.76428502649716468</v>
      </c>
      <c r="BT359" s="9">
        <f>BN359/BQ359/Modelling[[#This Row],[Comisined DC ]]</f>
        <v>0.76428502649716457</v>
      </c>
      <c r="BU359" s="9">
        <f>BO359/BR359/Modelling[[#This Row],[Comisined DC ]]</f>
        <v>0.42458566918072083</v>
      </c>
      <c r="BV359" s="9">
        <f>BM359/(24*Modelling[[#This Row],[Comisined DC ]])</f>
        <v>0.2193471662405288</v>
      </c>
      <c r="BW359" s="9">
        <f>BN359/((COUNTIFS(Modelling[Date],"&lt;="&amp;Modelling[[#This Row],[Date]],Modelling[Month Year],Modelling[[#This Row],[Month Year]])*24*Modelling[[#This Row],[MTD DC Capcity]]))</f>
        <v>0.21934716624052877</v>
      </c>
      <c r="BX359" s="28">
        <f>BO359/((COUNTIFS(Modelling[Date],"&lt;="&amp;Modelling[[#This Row],[Date]],Modelling[Finacial Year],Modelling[[#This Row],[Finacial Year]])*24*Modelling[[#This Row],[MTD DC Capcity]]))</f>
        <v>0.10309509677723842</v>
      </c>
      <c r="BY359" s="4">
        <f>Modelling_old[[#This Row],[DC Capcity]]+Modelling_new[[#This Row],[Comisined DC ]]</f>
        <v>24.303100000000001</v>
      </c>
      <c r="BZ359" s="4">
        <v>0</v>
      </c>
      <c r="CA359" s="4">
        <f>AVERAGEIFS(Modelling[[Comisined DC ]],Modelling[Date],"&lt;="&amp;Modelling[[#This Row],[Date]],Modelling[Month Year],Modelling[[#This Row],[Month Year]])</f>
        <v>24.303100000000001</v>
      </c>
      <c r="CB359" s="4">
        <f>AVERAGEIFS(Modelling[[Comisined DC ]],Modelling[Date],"&lt;="&amp;Modelling[[#This Row],[Date]],Modelling[Finacial Year],Modelling[[#This Row],[Finacial Year]])</f>
        <v>13.899931286549648</v>
      </c>
      <c r="CG359">
        <f t="shared" si="119"/>
        <v>7</v>
      </c>
      <c r="CH359">
        <f t="shared" si="128"/>
        <v>342</v>
      </c>
    </row>
    <row r="360" spans="1:86" x14ac:dyDescent="0.35">
      <c r="A360" s="27">
        <v>45359</v>
      </c>
      <c r="B360" s="5">
        <f>MONTH(Modelling_old[[#This Row],[Date]])</f>
        <v>3</v>
      </c>
      <c r="C360" s="25">
        <v>2024</v>
      </c>
      <c r="D360" s="3">
        <f t="shared" si="129"/>
        <v>2024</v>
      </c>
      <c r="E360" s="3" t="s">
        <v>626</v>
      </c>
      <c r="F360" s="5" t="s">
        <v>626</v>
      </c>
      <c r="G360" s="102">
        <v>45352</v>
      </c>
      <c r="H360" s="5">
        <f t="shared" si="130"/>
        <v>31</v>
      </c>
      <c r="I360" s="5">
        <f t="shared" si="131"/>
        <v>3</v>
      </c>
      <c r="J360" s="4">
        <f t="shared" si="132"/>
        <v>54.516129032258064</v>
      </c>
      <c r="K360" s="4">
        <f>SUM($J$353:J360)</f>
        <v>436.12903225806446</v>
      </c>
      <c r="L360" s="4">
        <f>SUM($J$18:J360)</f>
        <v>16146.129032258059</v>
      </c>
      <c r="M360" s="4">
        <f t="shared" si="133"/>
        <v>6.9</v>
      </c>
      <c r="N360" s="4">
        <f>SUM($M$353:M360)</f>
        <v>55.199999999999996</v>
      </c>
      <c r="O360" s="4">
        <f>SUM($M$18:M360)</f>
        <v>2014.7928571428533</v>
      </c>
      <c r="P360" s="9">
        <f t="shared" si="134"/>
        <v>0.68684861172593881</v>
      </c>
      <c r="Q360" s="26">
        <f t="shared" si="135"/>
        <v>0.68684861172593881</v>
      </c>
      <c r="R360" s="26">
        <f t="shared" si="136"/>
        <v>0.69666360222885759</v>
      </c>
      <c r="S360" s="9">
        <f t="shared" si="137"/>
        <v>0.19746897587120743</v>
      </c>
      <c r="T360" s="9">
        <f>K360/((COUNT($K$353:K360))*24*$Q$1)</f>
        <v>0.1974689758712074</v>
      </c>
      <c r="U360" s="28">
        <f>L360/((COUNT($L$18:L360))*24*$Q$1)</f>
        <v>0.170509335471588</v>
      </c>
      <c r="V360" s="134">
        <v>11.5031</v>
      </c>
      <c r="Y360" s="27">
        <f t="shared" si="126"/>
        <v>45359</v>
      </c>
      <c r="Z360" s="5">
        <f>MONTH(Modelling_new[[#This Row],[Date]])</f>
        <v>3</v>
      </c>
      <c r="AA360" s="25">
        <f>YEAR(Y360)+IF(MONTH(Modelling_new[[#This Row],[Date]])&gt;=4,1,0)</f>
        <v>2024</v>
      </c>
      <c r="AB360" s="3">
        <f t="shared" si="120"/>
        <v>2024</v>
      </c>
      <c r="AC360" s="3" t="s">
        <v>626</v>
      </c>
      <c r="AD360" s="5" t="s">
        <v>626</v>
      </c>
      <c r="AE360" s="102">
        <v>45352</v>
      </c>
      <c r="AF360" s="5">
        <f t="shared" si="121"/>
        <v>31</v>
      </c>
      <c r="AG360" s="5">
        <f t="shared" si="122"/>
        <v>3</v>
      </c>
      <c r="AH360" s="4">
        <f>(VLOOKUP(AG360,$AA$2:$AK$13,10,0)/AF360)*Modelling_new[[#This Row],[Factor]]</f>
        <v>73.423457748386625</v>
      </c>
      <c r="AI360" s="4">
        <f>SUMIFS(Modelling_new[Target E_Grid daily
MWh],Modelling_new[Month Year],Modelling_new[[#This Row],[Month Year]],Modelling_new[Date],"&lt;="&amp;Modelling_new[[#This Row],[Date]])</f>
        <v>587.387661987093</v>
      </c>
      <c r="AJ360" s="4">
        <f>SUMIFS(Modelling_new[Target E_Grid daily
MWh],Modelling_new[Finacial Year],Modelling_new[[#This Row],[Finacial Year]],Modelling_new[Date],"&lt;="&amp;Modelling_new[[#This Row],[Date]])</f>
        <v>4547.2044592870843</v>
      </c>
      <c r="AK360" s="4">
        <f t="shared" si="138"/>
        <v>6.877058658064521</v>
      </c>
      <c r="AL360" s="4">
        <f>SUMIFS(Modelling_new[Target POA Daily (KWh/m2)],Modelling_new[Month Year],Modelling_new[[#This Row],[Month Year]],Modelling_new[Date],"&lt;="&amp;Modelling_new[[#This Row],[Date]])</f>
        <v>55.016469264516168</v>
      </c>
      <c r="AM360" s="4">
        <f>SUMIFS(Modelling_new[Target POA Daily (KWh/m2)],Modelling_new[Finacial Year],Modelling_new[[#This Row],[Finacial Year]],Modelling_new[Date],"&lt;="&amp;Modelling_new[[#This Row],[Date]])</f>
        <v>416.45842562165944</v>
      </c>
      <c r="AN360" s="9">
        <f>AH360/Modelling_new[[#This Row],[Comisined DC ]]/AK360</f>
        <v>0.83410770822290803</v>
      </c>
      <c r="AO360" s="9">
        <f>AI360/AL360/Modelling_new[[#This Row],[MTD DC Capcity]]</f>
        <v>0.83410770822290803</v>
      </c>
      <c r="AP360" s="9">
        <f>AJ360/AM360/Modelling_new[[#This Row],[YTD DC Capcity]]</f>
        <v>0.8530271607580312</v>
      </c>
      <c r="AQ360" s="9">
        <f>AH360/(24*Modelling_new[[#This Row],[Comisined DC ]])</f>
        <v>0.239008651524696</v>
      </c>
      <c r="AR360" s="9">
        <f>AI360/(COUNTIFS(Modelling_new[Date],"&lt;="&amp;Modelling_new[[#This Row],[Date]],Modelling_new[Month Year],Modelling_new[[#This Row],[Month Year]])*24*Modelling_new[[#This Row],[MTD DC Capcity]])</f>
        <v>0.23900865152469605</v>
      </c>
      <c r="AS360" s="28">
        <f>AJ360/(COUNTIFS(Modelling_new[Date],"&lt;="&amp;Modelling_new[[#This Row],[Date]],Modelling_new[Finacial Year],Modelling_new[[#This Row],[Finacial Year]],Modelling_new[Target E_Grid YTD
MWh],"&gt;"&amp;0)*24*Modelling_new[[#This Row],[YTD DC Capcity]])</f>
        <v>0.21767790954767394</v>
      </c>
      <c r="AT360" s="5">
        <v>12.8</v>
      </c>
      <c r="AU360" s="9">
        <f>Modelling_new[[#This Row],[Comisined DC ]]/$AO$1</f>
        <v>1</v>
      </c>
      <c r="AV360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60" s="5">
        <f>AVERAGEIFS(Modelling_new[[Comisined DC ]],Modelling_new[Date],"&lt;="&amp;Modelling_new[[#This Row],[Date]],Modelling_new[[Comisined DC ]],"&gt;"&amp;0,Modelling_new[Finacial Year],Modelling_new[[#This Row],[Finacial Year]])</f>
        <v>12.799999999999985</v>
      </c>
      <c r="BD360" s="27">
        <f t="shared" si="127"/>
        <v>45359</v>
      </c>
      <c r="BE360" s="5">
        <f>MONTH(Modelling[[#This Row],[Date]])</f>
        <v>3</v>
      </c>
      <c r="BF360" s="25">
        <f>YEAR(BD360)+IF(MONTH(Modelling[[#This Row],[Date]])&gt;=4,1,0)</f>
        <v>2024</v>
      </c>
      <c r="BG360" s="3">
        <f t="shared" si="123"/>
        <v>2024</v>
      </c>
      <c r="BH360" s="3" t="s">
        <v>626</v>
      </c>
      <c r="BI360" s="5" t="s">
        <v>626</v>
      </c>
      <c r="BJ360" s="102">
        <v>45352</v>
      </c>
      <c r="BK360" s="5">
        <f t="shared" si="124"/>
        <v>31</v>
      </c>
      <c r="BL360" s="5">
        <f t="shared" si="125"/>
        <v>3</v>
      </c>
      <c r="BM360" s="4">
        <f>Modelling_old[[#This Row],[Target E_Grid daily
MWh]]+Modelling_new[[#This Row],[Target E_Grid daily
MWh]]</f>
        <v>127.93958678064469</v>
      </c>
      <c r="BN360" s="4">
        <f>Modelling_old[[#This Row],[Target E_Grid MTD
MWh]]+Modelling_new[[#This Row],[Target E_Grid MTD
MWh]]</f>
        <v>1023.5166942451574</v>
      </c>
      <c r="BO360" s="4">
        <f>Modelling_old[[#This Row],[Target E_Grid YTD
MWh]]+Modelling_new[[#This Row],[Target E_Grid YTD
MWh]]</f>
        <v>20693.333491545141</v>
      </c>
      <c r="BP36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60" s="4">
        <f>SUMIFS(Modelling[Target POA Daily (KWh/m2)],Modelling[Date],"&lt;="&amp;Modelling[[#This Row],[Date]],Modelling[Month Year],Modelling[[#This Row],[Month Year]])</f>
        <v>55.103337705305371</v>
      </c>
      <c r="BR360" s="4">
        <f>SUMIFS(Modelling[Target POA Daily (KWh/m2)],Modelling[Date],"&lt;="&amp;Modelling[[#This Row],[Date]],Modelling[Finacial Year],Modelling[[#This Row],[Finacial Year]])</f>
        <v>1999.900436878291</v>
      </c>
      <c r="BS360" s="9">
        <f>BM360/Modelling[[#This Row],[Comisined DC ]]/BP360</f>
        <v>0.76428502649716468</v>
      </c>
      <c r="BT360" s="9">
        <f>BN360/BQ360/Modelling[[#This Row],[Comisined DC ]]</f>
        <v>0.76428502649716457</v>
      </c>
      <c r="BU360" s="9">
        <f>BO360/BR360/Modelling[[#This Row],[Comisined DC ]]</f>
        <v>0.42575563794887245</v>
      </c>
      <c r="BV360" s="9">
        <f>BM360/(24*Modelling[[#This Row],[Comisined DC ]])</f>
        <v>0.2193471662405288</v>
      </c>
      <c r="BW360" s="9">
        <f>BN360/((COUNTIFS(Modelling[Date],"&lt;="&amp;Modelling[[#This Row],[Date]],Modelling[Month Year],Modelling[[#This Row],[Month Year]])*24*Modelling[[#This Row],[MTD DC Capcity]]))</f>
        <v>0.21934716624052877</v>
      </c>
      <c r="BX360" s="28">
        <f>BO360/((COUNTIFS(Modelling[Date],"&lt;="&amp;Modelling[[#This Row],[Date]],Modelling[Finacial Year],Modelling[[#This Row],[Finacial Year]])*24*Modelling[[#This Row],[MTD DC Capcity]]))</f>
        <v>0.10343402409345789</v>
      </c>
      <c r="BY360" s="4">
        <f>Modelling_old[[#This Row],[DC Capcity]]+Modelling_new[[#This Row],[Comisined DC ]]</f>
        <v>24.303100000000001</v>
      </c>
      <c r="BZ360" s="4">
        <v>0</v>
      </c>
      <c r="CA360" s="4">
        <f>AVERAGEIFS(Modelling[[Comisined DC ]],Modelling[Date],"&lt;="&amp;Modelling[[#This Row],[Date]],Modelling[Month Year],Modelling[[#This Row],[Month Year]])</f>
        <v>24.303100000000001</v>
      </c>
      <c r="CB360" s="4">
        <f>AVERAGEIFS(Modelling[[Comisined DC ]],Modelling[Date],"&lt;="&amp;Modelling[[#This Row],[Date]],Modelling[Finacial Year],Modelling[[#This Row],[Finacial Year]])</f>
        <v>13.930261224489737</v>
      </c>
      <c r="CG360">
        <f t="shared" si="119"/>
        <v>8</v>
      </c>
      <c r="CH360">
        <f t="shared" si="128"/>
        <v>343</v>
      </c>
    </row>
    <row r="361" spans="1:86" x14ac:dyDescent="0.35">
      <c r="A361" s="27">
        <v>45360</v>
      </c>
      <c r="B361" s="5">
        <f>MONTH(Modelling_old[[#This Row],[Date]])</f>
        <v>3</v>
      </c>
      <c r="C361" s="25">
        <v>2024</v>
      </c>
      <c r="D361" s="3">
        <f t="shared" si="129"/>
        <v>2024</v>
      </c>
      <c r="E361" s="3" t="s">
        <v>626</v>
      </c>
      <c r="F361" s="5" t="s">
        <v>626</v>
      </c>
      <c r="G361" s="102">
        <v>45352</v>
      </c>
      <c r="H361" s="5">
        <f t="shared" si="130"/>
        <v>31</v>
      </c>
      <c r="I361" s="5">
        <f t="shared" si="131"/>
        <v>3</v>
      </c>
      <c r="J361" s="4">
        <f t="shared" si="132"/>
        <v>54.516129032258064</v>
      </c>
      <c r="K361" s="4">
        <f>SUM($J$353:J361)</f>
        <v>490.64516129032251</v>
      </c>
      <c r="L361" s="4">
        <f>SUM($J$18:J361)</f>
        <v>16200.645161290317</v>
      </c>
      <c r="M361" s="4">
        <f t="shared" si="133"/>
        <v>6.9</v>
      </c>
      <c r="N361" s="4">
        <f>SUM($M$353:M361)</f>
        <v>62.099999999999994</v>
      </c>
      <c r="O361" s="4">
        <f>SUM($M$18:M361)</f>
        <v>2021.6928571428534</v>
      </c>
      <c r="P361" s="9">
        <f t="shared" si="134"/>
        <v>0.68684861172593881</v>
      </c>
      <c r="Q361" s="26">
        <f t="shared" si="135"/>
        <v>0.68684861172593881</v>
      </c>
      <c r="R361" s="26">
        <f t="shared" si="136"/>
        <v>0.69663010384940249</v>
      </c>
      <c r="S361" s="9">
        <f t="shared" si="137"/>
        <v>0.19746897587120743</v>
      </c>
      <c r="T361" s="9">
        <f>K361/((COUNT($K$353:K361))*24*$Q$1)</f>
        <v>0.19746897587120738</v>
      </c>
      <c r="U361" s="28">
        <f>L361/((COUNT($L$18:L361))*24*$Q$1)</f>
        <v>0.17058770651926131</v>
      </c>
      <c r="V361" s="134">
        <v>11.5031</v>
      </c>
      <c r="Y361" s="27">
        <f t="shared" si="126"/>
        <v>45360</v>
      </c>
      <c r="Z361" s="5">
        <f>MONTH(Modelling_new[[#This Row],[Date]])</f>
        <v>3</v>
      </c>
      <c r="AA361" s="25">
        <f>YEAR(Y361)+IF(MONTH(Modelling_new[[#This Row],[Date]])&gt;=4,1,0)</f>
        <v>2024</v>
      </c>
      <c r="AB361" s="3">
        <f t="shared" si="120"/>
        <v>2024</v>
      </c>
      <c r="AC361" s="3" t="s">
        <v>626</v>
      </c>
      <c r="AD361" s="5" t="s">
        <v>626</v>
      </c>
      <c r="AE361" s="102">
        <v>45352</v>
      </c>
      <c r="AF361" s="5">
        <f t="shared" si="121"/>
        <v>31</v>
      </c>
      <c r="AG361" s="5">
        <f t="shared" si="122"/>
        <v>3</v>
      </c>
      <c r="AH361" s="4">
        <f>(VLOOKUP(AG361,$AA$2:$AK$13,10,0)/AF361)*Modelling_new[[#This Row],[Factor]]</f>
        <v>73.423457748386625</v>
      </c>
      <c r="AI361" s="4">
        <f>SUMIFS(Modelling_new[Target E_Grid daily
MWh],Modelling_new[Month Year],Modelling_new[[#This Row],[Month Year]],Modelling_new[Date],"&lt;="&amp;Modelling_new[[#This Row],[Date]])</f>
        <v>660.81111973547968</v>
      </c>
      <c r="AJ361" s="4">
        <f>SUMIFS(Modelling_new[Target E_Grid daily
MWh],Modelling_new[Finacial Year],Modelling_new[[#This Row],[Finacial Year]],Modelling_new[Date],"&lt;="&amp;Modelling_new[[#This Row],[Date]])</f>
        <v>4620.627917035471</v>
      </c>
      <c r="AK361" s="4">
        <f t="shared" si="138"/>
        <v>6.877058658064521</v>
      </c>
      <c r="AL361" s="4">
        <f>SUMIFS(Modelling_new[Target POA Daily (KWh/m2)],Modelling_new[Month Year],Modelling_new[[#This Row],[Month Year]],Modelling_new[Date],"&lt;="&amp;Modelling_new[[#This Row],[Date]])</f>
        <v>61.893527922580688</v>
      </c>
      <c r="AM361" s="4">
        <f>SUMIFS(Modelling_new[Target POA Daily (KWh/m2)],Modelling_new[Finacial Year],Modelling_new[[#This Row],[Finacial Year]],Modelling_new[Date],"&lt;="&amp;Modelling_new[[#This Row],[Date]])</f>
        <v>423.33548427972397</v>
      </c>
      <c r="AN361" s="9">
        <f>AH361/Modelling_new[[#This Row],[Comisined DC ]]/AK361</f>
        <v>0.83410770822290803</v>
      </c>
      <c r="AO361" s="9">
        <f>AI361/AL361/Modelling_new[[#This Row],[MTD DC Capcity]]</f>
        <v>0.83410770822290825</v>
      </c>
      <c r="AP361" s="9">
        <f>AJ361/AM361/Modelling_new[[#This Row],[YTD DC Capcity]]</f>
        <v>0.8527198154262694</v>
      </c>
      <c r="AQ361" s="9">
        <f>AH361/(24*Modelling_new[[#This Row],[Comisined DC ]])</f>
        <v>0.239008651524696</v>
      </c>
      <c r="AR361" s="9">
        <f>AI361/(COUNTIFS(Modelling_new[Date],"&lt;="&amp;Modelling_new[[#This Row],[Date]],Modelling_new[Month Year],Modelling_new[[#This Row],[Month Year]])*24*Modelling_new[[#This Row],[MTD DC Capcity]])</f>
        <v>0.23900865152469608</v>
      </c>
      <c r="AS361" s="28">
        <f>AJ361/(COUNTIFS(Modelling_new[Date],"&lt;="&amp;Modelling_new[[#This Row],[Date]],Modelling_new[Finacial Year],Modelling_new[[#This Row],[Finacial Year]],Modelling_new[Target E_Grid YTD
MWh],"&gt;"&amp;0)*24*Modelling_new[[#This Row],[YTD DC Capcity]])</f>
        <v>0.21798705073574676</v>
      </c>
      <c r="AT361" s="5">
        <v>12.8</v>
      </c>
      <c r="AU361" s="9">
        <f>Modelling_new[[#This Row],[Comisined DC ]]/$AO$1</f>
        <v>1</v>
      </c>
      <c r="AV361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61" s="5">
        <f>AVERAGEIFS(Modelling_new[[Comisined DC ]],Modelling_new[Date],"&lt;="&amp;Modelling_new[[#This Row],[Date]],Modelling_new[[Comisined DC ]],"&gt;"&amp;0,Modelling_new[Finacial Year],Modelling_new[[#This Row],[Finacial Year]])</f>
        <v>12.799999999999985</v>
      </c>
      <c r="BD361" s="27">
        <f t="shared" si="127"/>
        <v>45360</v>
      </c>
      <c r="BE361" s="5">
        <f>MONTH(Modelling[[#This Row],[Date]])</f>
        <v>3</v>
      </c>
      <c r="BF361" s="25">
        <f>YEAR(BD361)+IF(MONTH(Modelling[[#This Row],[Date]])&gt;=4,1,0)</f>
        <v>2024</v>
      </c>
      <c r="BG361" s="3">
        <f t="shared" si="123"/>
        <v>2024</v>
      </c>
      <c r="BH361" s="3" t="s">
        <v>626</v>
      </c>
      <c r="BI361" s="5" t="s">
        <v>626</v>
      </c>
      <c r="BJ361" s="102">
        <v>45352</v>
      </c>
      <c r="BK361" s="5">
        <f t="shared" si="124"/>
        <v>31</v>
      </c>
      <c r="BL361" s="5">
        <f t="shared" si="125"/>
        <v>3</v>
      </c>
      <c r="BM361" s="4">
        <f>Modelling_old[[#This Row],[Target E_Grid daily
MWh]]+Modelling_new[[#This Row],[Target E_Grid daily
MWh]]</f>
        <v>127.93958678064469</v>
      </c>
      <c r="BN361" s="4">
        <f>Modelling_old[[#This Row],[Target E_Grid MTD
MWh]]+Modelling_new[[#This Row],[Target E_Grid MTD
MWh]]</f>
        <v>1151.4562810258021</v>
      </c>
      <c r="BO361" s="4">
        <f>Modelling_old[[#This Row],[Target E_Grid YTD
MWh]]+Modelling_new[[#This Row],[Target E_Grid YTD
MWh]]</f>
        <v>20821.273078325787</v>
      </c>
      <c r="BP36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61" s="4">
        <f>SUMIFS(Modelling[Target POA Daily (KWh/m2)],Modelling[Date],"&lt;="&amp;Modelling[[#This Row],[Date]],Modelling[Month Year],Modelling[[#This Row],[Month Year]])</f>
        <v>61.991254918468542</v>
      </c>
      <c r="BR361" s="4">
        <f>SUMIFS(Modelling[Target POA Daily (KWh/m2)],Modelling[Date],"&lt;="&amp;Modelling[[#This Row],[Date]],Modelling[Finacial Year],Modelling[[#This Row],[Finacial Year]])</f>
        <v>2006.788354091454</v>
      </c>
      <c r="BS361" s="9">
        <f>BM361/Modelling[[#This Row],[Comisined DC ]]/BP361</f>
        <v>0.76428502649716468</v>
      </c>
      <c r="BT361" s="9">
        <f>BN361/BQ361/Modelling[[#This Row],[Comisined DC ]]</f>
        <v>0.76428502649716457</v>
      </c>
      <c r="BU361" s="9">
        <f>BO361/BR361/Modelling[[#This Row],[Comisined DC ]]</f>
        <v>0.42691757532896013</v>
      </c>
      <c r="BV361" s="9">
        <f>BM361/(24*Modelling[[#This Row],[Comisined DC ]])</f>
        <v>0.2193471662405288</v>
      </c>
      <c r="BW361" s="9">
        <f>BN361/((COUNTIFS(Modelling[Date],"&lt;="&amp;Modelling[[#This Row],[Date]],Modelling[Month Year],Modelling[[#This Row],[Month Year]])*24*Modelling[[#This Row],[MTD DC Capcity]]))</f>
        <v>0.21934716624052877</v>
      </c>
      <c r="BX361" s="28">
        <f>BO361/((COUNTIFS(Modelling[Date],"&lt;="&amp;Modelling[[#This Row],[Date]],Modelling[Finacial Year],Modelling[[#This Row],[Finacial Year]])*24*Modelling[[#This Row],[MTD DC Capcity]]))</f>
        <v>0.10377098090202497</v>
      </c>
      <c r="BY361" s="4">
        <f>Modelling_old[[#This Row],[DC Capcity]]+Modelling_new[[#This Row],[Comisined DC ]]</f>
        <v>24.303100000000001</v>
      </c>
      <c r="BZ361" s="4">
        <v>0</v>
      </c>
      <c r="CA361" s="4">
        <f>AVERAGEIFS(Modelling[[Comisined DC ]],Modelling[Date],"&lt;="&amp;Modelling[[#This Row],[Date]],Modelling[Month Year],Modelling[[#This Row],[Month Year]])</f>
        <v>24.303100000000001</v>
      </c>
      <c r="CB361" s="4">
        <f>AVERAGEIFS(Modelling[[Comisined DC ]],Modelling[Date],"&lt;="&amp;Modelling[[#This Row],[Date]],Modelling[Finacial Year],Modelling[[#This Row],[Finacial Year]])</f>
        <v>13.960414825581337</v>
      </c>
      <c r="CG361">
        <f t="shared" si="119"/>
        <v>9</v>
      </c>
      <c r="CH361">
        <f t="shared" si="128"/>
        <v>344</v>
      </c>
    </row>
    <row r="362" spans="1:86" x14ac:dyDescent="0.35">
      <c r="A362" s="27">
        <v>45361</v>
      </c>
      <c r="B362" s="5">
        <f>MONTH(Modelling_old[[#This Row],[Date]])</f>
        <v>3</v>
      </c>
      <c r="C362" s="25">
        <v>2024</v>
      </c>
      <c r="D362" s="3">
        <f t="shared" si="129"/>
        <v>2024</v>
      </c>
      <c r="E362" s="3" t="s">
        <v>626</v>
      </c>
      <c r="F362" s="5" t="s">
        <v>626</v>
      </c>
      <c r="G362" s="102">
        <v>45352</v>
      </c>
      <c r="H362" s="5">
        <f t="shared" si="130"/>
        <v>31</v>
      </c>
      <c r="I362" s="5">
        <f t="shared" si="131"/>
        <v>3</v>
      </c>
      <c r="J362" s="4">
        <f t="shared" si="132"/>
        <v>54.516129032258064</v>
      </c>
      <c r="K362" s="4">
        <f>SUM($J$353:J362)</f>
        <v>545.16129032258061</v>
      </c>
      <c r="L362" s="4">
        <f>SUM($J$18:J362)</f>
        <v>16255.161290322574</v>
      </c>
      <c r="M362" s="4">
        <f t="shared" si="133"/>
        <v>6.9</v>
      </c>
      <c r="N362" s="4">
        <f>SUM($M$353:M362)</f>
        <v>69</v>
      </c>
      <c r="O362" s="4">
        <f>SUM($M$18:M362)</f>
        <v>2028.5928571428535</v>
      </c>
      <c r="P362" s="9">
        <f t="shared" si="134"/>
        <v>0.68684861172593881</v>
      </c>
      <c r="Q362" s="26">
        <f t="shared" si="135"/>
        <v>0.68684861172593881</v>
      </c>
      <c r="R362" s="26">
        <f t="shared" si="136"/>
        <v>0.69659683335088218</v>
      </c>
      <c r="S362" s="9">
        <f t="shared" si="137"/>
        <v>0.19746897587120743</v>
      </c>
      <c r="T362" s="9">
        <f>K362/((COUNT($K$353:K362))*24*$Q$1)</f>
        <v>0.1974689758712074</v>
      </c>
      <c r="U362" s="28">
        <f>L362/((COUNT($L$18:L362))*24*$Q$1)</f>
        <v>0.17066562324202056</v>
      </c>
      <c r="V362" s="134">
        <v>11.5031</v>
      </c>
      <c r="Y362" s="27">
        <f t="shared" si="126"/>
        <v>45361</v>
      </c>
      <c r="Z362" s="5">
        <f>MONTH(Modelling_new[[#This Row],[Date]])</f>
        <v>3</v>
      </c>
      <c r="AA362" s="25">
        <f>YEAR(Y362)+IF(MONTH(Modelling_new[[#This Row],[Date]])&gt;=4,1,0)</f>
        <v>2024</v>
      </c>
      <c r="AB362" s="3">
        <f t="shared" si="120"/>
        <v>2024</v>
      </c>
      <c r="AC362" s="3" t="s">
        <v>626</v>
      </c>
      <c r="AD362" s="5" t="s">
        <v>626</v>
      </c>
      <c r="AE362" s="102">
        <v>45352</v>
      </c>
      <c r="AF362" s="5">
        <f t="shared" si="121"/>
        <v>31</v>
      </c>
      <c r="AG362" s="5">
        <f t="shared" si="122"/>
        <v>3</v>
      </c>
      <c r="AH362" s="4">
        <f>(VLOOKUP(AG362,$AA$2:$AK$13,10,0)/AF362)*Modelling_new[[#This Row],[Factor]]</f>
        <v>73.423457748386625</v>
      </c>
      <c r="AI362" s="4">
        <f>SUMIFS(Modelling_new[Target E_Grid daily
MWh],Modelling_new[Month Year],Modelling_new[[#This Row],[Month Year]],Modelling_new[Date],"&lt;="&amp;Modelling_new[[#This Row],[Date]])</f>
        <v>734.23457748386636</v>
      </c>
      <c r="AJ362" s="4">
        <f>SUMIFS(Modelling_new[Target E_Grid daily
MWh],Modelling_new[Finacial Year],Modelling_new[[#This Row],[Finacial Year]],Modelling_new[Date],"&lt;="&amp;Modelling_new[[#This Row],[Date]])</f>
        <v>4694.0513747838577</v>
      </c>
      <c r="AK362" s="4">
        <f t="shared" si="138"/>
        <v>6.877058658064521</v>
      </c>
      <c r="AL362" s="4">
        <f>SUMIFS(Modelling_new[Target POA Daily (KWh/m2)],Modelling_new[Month Year],Modelling_new[[#This Row],[Month Year]],Modelling_new[Date],"&lt;="&amp;Modelling_new[[#This Row],[Date]])</f>
        <v>68.770586580645215</v>
      </c>
      <c r="AM362" s="4">
        <f>SUMIFS(Modelling_new[Target POA Daily (KWh/m2)],Modelling_new[Finacial Year],Modelling_new[[#This Row],[Finacial Year]],Modelling_new[Date],"&lt;="&amp;Modelling_new[[#This Row],[Date]])</f>
        <v>430.2125429377885</v>
      </c>
      <c r="AN362" s="9">
        <f>AH362/Modelling_new[[#This Row],[Comisined DC ]]/AK362</f>
        <v>0.83410770822290803</v>
      </c>
      <c r="AO362" s="9">
        <f>AI362/AL362/Modelling_new[[#This Row],[MTD DC Capcity]]</f>
        <v>0.83410770822290825</v>
      </c>
      <c r="AP362" s="9">
        <f>AJ362/AM362/Modelling_new[[#This Row],[YTD DC Capcity]]</f>
        <v>0.85242229608358921</v>
      </c>
      <c r="AQ362" s="9">
        <f>AH362/(24*Modelling_new[[#This Row],[Comisined DC ]])</f>
        <v>0.239008651524696</v>
      </c>
      <c r="AR362" s="9">
        <f>AI362/(COUNTIFS(Modelling_new[Date],"&lt;="&amp;Modelling_new[[#This Row],[Date]],Modelling_new[Month Year],Modelling_new[[#This Row],[Month Year]])*24*Modelling_new[[#This Row],[MTD DC Capcity]])</f>
        <v>0.23900865152469611</v>
      </c>
      <c r="AS362" s="28">
        <f>AJ362/(COUNTIFS(Modelling_new[Date],"&lt;="&amp;Modelling_new[[#This Row],[Date]],Modelling_new[Finacial Year],Modelling_new[[#This Row],[Finacial Year]],Modelling_new[Target E_Grid YTD
MWh],"&gt;"&amp;0)*24*Modelling_new[[#This Row],[YTD DC Capcity]])</f>
        <v>0.21828735931844606</v>
      </c>
      <c r="AT362" s="5">
        <v>12.8</v>
      </c>
      <c r="AU362" s="9">
        <f>Modelling_new[[#This Row],[Comisined DC ]]/$AO$1</f>
        <v>1</v>
      </c>
      <c r="AV362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62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362" s="27">
        <f t="shared" si="127"/>
        <v>45361</v>
      </c>
      <c r="BE362" s="5">
        <f>MONTH(Modelling[[#This Row],[Date]])</f>
        <v>3</v>
      </c>
      <c r="BF362" s="25">
        <f>YEAR(BD362)+IF(MONTH(Modelling[[#This Row],[Date]])&gt;=4,1,0)</f>
        <v>2024</v>
      </c>
      <c r="BG362" s="3">
        <f t="shared" si="123"/>
        <v>2024</v>
      </c>
      <c r="BH362" s="3" t="s">
        <v>626</v>
      </c>
      <c r="BI362" s="5" t="s">
        <v>626</v>
      </c>
      <c r="BJ362" s="102">
        <v>45352</v>
      </c>
      <c r="BK362" s="5">
        <f t="shared" si="124"/>
        <v>31</v>
      </c>
      <c r="BL362" s="5">
        <f t="shared" si="125"/>
        <v>3</v>
      </c>
      <c r="BM362" s="4">
        <f>Modelling_old[[#This Row],[Target E_Grid daily
MWh]]+Modelling_new[[#This Row],[Target E_Grid daily
MWh]]</f>
        <v>127.93958678064469</v>
      </c>
      <c r="BN362" s="4">
        <f>Modelling_old[[#This Row],[Target E_Grid MTD
MWh]]+Modelling_new[[#This Row],[Target E_Grid MTD
MWh]]</f>
        <v>1279.3958678064469</v>
      </c>
      <c r="BO362" s="4">
        <f>Modelling_old[[#This Row],[Target E_Grid YTD
MWh]]+Modelling_new[[#This Row],[Target E_Grid YTD
MWh]]</f>
        <v>20949.212665106432</v>
      </c>
      <c r="BP36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62" s="4">
        <f>SUMIFS(Modelling[Target POA Daily (KWh/m2)],Modelling[Date],"&lt;="&amp;Modelling[[#This Row],[Date]],Modelling[Month Year],Modelling[[#This Row],[Month Year]])</f>
        <v>68.879172131631719</v>
      </c>
      <c r="BR362" s="4">
        <f>SUMIFS(Modelling[Target POA Daily (KWh/m2)],Modelling[Date],"&lt;="&amp;Modelling[[#This Row],[Date]],Modelling[Finacial Year],Modelling[[#This Row],[Finacial Year]])</f>
        <v>2013.6762713046171</v>
      </c>
      <c r="BS362" s="9">
        <f>BM362/Modelling[[#This Row],[Comisined DC ]]/BP362</f>
        <v>0.76428502649716468</v>
      </c>
      <c r="BT362" s="9">
        <f>BN362/BQ362/Modelling[[#This Row],[Comisined DC ]]</f>
        <v>0.76428502649716457</v>
      </c>
      <c r="BU362" s="9">
        <f>BO362/BR362/Modelling[[#This Row],[Comisined DC ]]</f>
        <v>0.42807156373671795</v>
      </c>
      <c r="BV362" s="9">
        <f>BM362/(24*Modelling[[#This Row],[Comisined DC ]])</f>
        <v>0.2193471662405288</v>
      </c>
      <c r="BW362" s="9">
        <f>BN362/((COUNTIFS(Modelling[Date],"&lt;="&amp;Modelling[[#This Row],[Date]],Modelling[Month Year],Modelling[[#This Row],[Month Year]])*24*Modelling[[#This Row],[MTD DC Capcity]]))</f>
        <v>0.21934716624052877</v>
      </c>
      <c r="BX362" s="28">
        <f>BO362/((COUNTIFS(Modelling[Date],"&lt;="&amp;Modelling[[#This Row],[Date]],Modelling[Finacial Year],Modelling[[#This Row],[Finacial Year]])*24*Modelling[[#This Row],[MTD DC Capcity]]))</f>
        <v>0.10410598433778875</v>
      </c>
      <c r="BY362" s="4">
        <f>Modelling_old[[#This Row],[DC Capcity]]+Modelling_new[[#This Row],[Comisined DC ]]</f>
        <v>24.303100000000001</v>
      </c>
      <c r="BZ362" s="4">
        <v>0</v>
      </c>
      <c r="CA362" s="4">
        <f>AVERAGEIFS(Modelling[[Comisined DC ]],Modelling[Date],"&lt;="&amp;Modelling[[#This Row],[Date]],Modelling[Month Year],Modelling[[#This Row],[Month Year]])</f>
        <v>24.303100000000001</v>
      </c>
      <c r="CB362" s="4">
        <f>AVERAGEIFS(Modelling[[Comisined DC ]],Modelling[Date],"&lt;="&amp;Modelling[[#This Row],[Date]],Modelling[Finacial Year],Modelling[[#This Row],[Finacial Year]])</f>
        <v>13.990393623188348</v>
      </c>
      <c r="CG362">
        <f t="shared" si="119"/>
        <v>10</v>
      </c>
      <c r="CH362">
        <f t="shared" si="128"/>
        <v>345</v>
      </c>
    </row>
    <row r="363" spans="1:86" x14ac:dyDescent="0.35">
      <c r="A363" s="27">
        <v>45362</v>
      </c>
      <c r="B363" s="5">
        <f>MONTH(Modelling_old[[#This Row],[Date]])</f>
        <v>3</v>
      </c>
      <c r="C363" s="25">
        <v>2024</v>
      </c>
      <c r="D363" s="3">
        <f t="shared" si="129"/>
        <v>2024</v>
      </c>
      <c r="E363" s="3" t="s">
        <v>626</v>
      </c>
      <c r="F363" s="5" t="s">
        <v>626</v>
      </c>
      <c r="G363" s="102">
        <v>45352</v>
      </c>
      <c r="H363" s="5">
        <f t="shared" si="130"/>
        <v>31</v>
      </c>
      <c r="I363" s="5">
        <f t="shared" si="131"/>
        <v>3</v>
      </c>
      <c r="J363" s="4">
        <f t="shared" si="132"/>
        <v>54.516129032258064</v>
      </c>
      <c r="K363" s="4">
        <f>SUM($J$353:J363)</f>
        <v>599.67741935483866</v>
      </c>
      <c r="L363" s="4">
        <f>SUM($J$18:J363)</f>
        <v>16309.677419354832</v>
      </c>
      <c r="M363" s="4">
        <f t="shared" si="133"/>
        <v>6.9</v>
      </c>
      <c r="N363" s="4">
        <f>SUM($M$353:M363)</f>
        <v>75.900000000000006</v>
      </c>
      <c r="O363" s="4">
        <f>SUM($M$18:M363)</f>
        <v>2035.4928571428536</v>
      </c>
      <c r="P363" s="9">
        <f t="shared" si="134"/>
        <v>0.68684861172593881</v>
      </c>
      <c r="Q363" s="26">
        <f t="shared" si="135"/>
        <v>0.6868486117259387</v>
      </c>
      <c r="R363" s="26">
        <f t="shared" si="136"/>
        <v>0.6965637884158552</v>
      </c>
      <c r="S363" s="9">
        <f t="shared" si="137"/>
        <v>0.19746897587120743</v>
      </c>
      <c r="T363" s="9">
        <f>K363/((COUNT($K$353:K363))*24*$Q$1)</f>
        <v>0.1974689758712074</v>
      </c>
      <c r="U363" s="28">
        <f>L363/((COUNT($L$18:L363))*24*$Q$1)</f>
        <v>0.17074308957909912</v>
      </c>
      <c r="V363" s="134">
        <v>11.5031</v>
      </c>
      <c r="Y363" s="27">
        <f t="shared" si="126"/>
        <v>45362</v>
      </c>
      <c r="Z363" s="5">
        <f>MONTH(Modelling_new[[#This Row],[Date]])</f>
        <v>3</v>
      </c>
      <c r="AA363" s="25">
        <f>YEAR(Y363)+IF(MONTH(Modelling_new[[#This Row],[Date]])&gt;=4,1,0)</f>
        <v>2024</v>
      </c>
      <c r="AB363" s="3">
        <f t="shared" si="120"/>
        <v>2024</v>
      </c>
      <c r="AC363" s="3" t="s">
        <v>626</v>
      </c>
      <c r="AD363" s="5" t="s">
        <v>626</v>
      </c>
      <c r="AE363" s="102">
        <v>45352</v>
      </c>
      <c r="AF363" s="5">
        <f t="shared" si="121"/>
        <v>31</v>
      </c>
      <c r="AG363" s="5">
        <f t="shared" si="122"/>
        <v>3</v>
      </c>
      <c r="AH363" s="4">
        <f>(VLOOKUP(AG363,$AA$2:$AK$13,10,0)/AF363)*Modelling_new[[#This Row],[Factor]]</f>
        <v>73.423457748386625</v>
      </c>
      <c r="AI363" s="4">
        <f>SUMIFS(Modelling_new[Target E_Grid daily
MWh],Modelling_new[Month Year],Modelling_new[[#This Row],[Month Year]],Modelling_new[Date],"&lt;="&amp;Modelling_new[[#This Row],[Date]])</f>
        <v>807.65803523225304</v>
      </c>
      <c r="AJ363" s="4">
        <f>SUMIFS(Modelling_new[Target E_Grid daily
MWh],Modelling_new[Finacial Year],Modelling_new[[#This Row],[Finacial Year]],Modelling_new[Date],"&lt;="&amp;Modelling_new[[#This Row],[Date]])</f>
        <v>4767.4748325322444</v>
      </c>
      <c r="AK363" s="4">
        <f t="shared" si="138"/>
        <v>6.877058658064521</v>
      </c>
      <c r="AL363" s="4">
        <f>SUMIFS(Modelling_new[Target POA Daily (KWh/m2)],Modelling_new[Month Year],Modelling_new[[#This Row],[Month Year]],Modelling_new[Date],"&lt;="&amp;Modelling_new[[#This Row],[Date]])</f>
        <v>75.647645238709742</v>
      </c>
      <c r="AM363" s="4">
        <f>SUMIFS(Modelling_new[Target POA Daily (KWh/m2)],Modelling_new[Finacial Year],Modelling_new[[#This Row],[Finacial Year]],Modelling_new[Date],"&lt;="&amp;Modelling_new[[#This Row],[Date]])</f>
        <v>437.08960159585303</v>
      </c>
      <c r="AN363" s="9">
        <f>AH363/Modelling_new[[#This Row],[Comisined DC ]]/AK363</f>
        <v>0.83410770822290803</v>
      </c>
      <c r="AO363" s="9">
        <f>AI363/AL363/Modelling_new[[#This Row],[MTD DC Capcity]]</f>
        <v>0.83410770822290825</v>
      </c>
      <c r="AP363" s="9">
        <f>AJ363/AM363/Modelling_new[[#This Row],[YTD DC Capcity]]</f>
        <v>0.85213413893101375</v>
      </c>
      <c r="AQ363" s="9">
        <f>AH363/(24*Modelling_new[[#This Row],[Comisined DC ]])</f>
        <v>0.239008651524696</v>
      </c>
      <c r="AR363" s="9">
        <f>AI363/(COUNTIFS(Modelling_new[Date],"&lt;="&amp;Modelling_new[[#This Row],[Date]],Modelling_new[Month Year],Modelling_new[[#This Row],[Month Year]])*24*Modelling_new[[#This Row],[MTD DC Capcity]])</f>
        <v>0.23900865152469611</v>
      </c>
      <c r="AS363" s="28">
        <f>AJ363/(COUNTIFS(Modelling_new[Date],"&lt;="&amp;Modelling_new[[#This Row],[Date]],Modelling_new[Finacial Year],Modelling_new[[#This Row],[Finacial Year]],Modelling_new[Target E_Grid YTD
MWh],"&gt;"&amp;0)*24*Modelling_new[[#This Row],[YTD DC Capcity]])</f>
        <v>0.21857920850444956</v>
      </c>
      <c r="AT363" s="5">
        <v>12.8</v>
      </c>
      <c r="AU363" s="9">
        <f>Modelling_new[[#This Row],[Comisined DC ]]/$AO$1</f>
        <v>1</v>
      </c>
      <c r="AV36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63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363" s="27">
        <f t="shared" si="127"/>
        <v>45362</v>
      </c>
      <c r="BE363" s="5">
        <f>MONTH(Modelling[[#This Row],[Date]])</f>
        <v>3</v>
      </c>
      <c r="BF363" s="25">
        <f>YEAR(BD363)+IF(MONTH(Modelling[[#This Row],[Date]])&gt;=4,1,0)</f>
        <v>2024</v>
      </c>
      <c r="BG363" s="3">
        <f t="shared" si="123"/>
        <v>2024</v>
      </c>
      <c r="BH363" s="3" t="s">
        <v>626</v>
      </c>
      <c r="BI363" s="5" t="s">
        <v>626</v>
      </c>
      <c r="BJ363" s="102">
        <v>45352</v>
      </c>
      <c r="BK363" s="5">
        <f t="shared" si="124"/>
        <v>31</v>
      </c>
      <c r="BL363" s="5">
        <f t="shared" si="125"/>
        <v>3</v>
      </c>
      <c r="BM363" s="4">
        <f>Modelling_old[[#This Row],[Target E_Grid daily
MWh]]+Modelling_new[[#This Row],[Target E_Grid daily
MWh]]</f>
        <v>127.93958678064469</v>
      </c>
      <c r="BN363" s="4">
        <f>Modelling_old[[#This Row],[Target E_Grid MTD
MWh]]+Modelling_new[[#This Row],[Target E_Grid MTD
MWh]]</f>
        <v>1407.3354545870916</v>
      </c>
      <c r="BO363" s="4">
        <f>Modelling_old[[#This Row],[Target E_Grid YTD
MWh]]+Modelling_new[[#This Row],[Target E_Grid YTD
MWh]]</f>
        <v>21077.152251887077</v>
      </c>
      <c r="BP36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63" s="4">
        <f>SUMIFS(Modelling[Target POA Daily (KWh/m2)],Modelling[Date],"&lt;="&amp;Modelling[[#This Row],[Date]],Modelling[Month Year],Modelling[[#This Row],[Month Year]])</f>
        <v>75.767089344794897</v>
      </c>
      <c r="BR363" s="4">
        <f>SUMIFS(Modelling[Target POA Daily (KWh/m2)],Modelling[Date],"&lt;="&amp;Modelling[[#This Row],[Date]],Modelling[Finacial Year],Modelling[[#This Row],[Finacial Year]])</f>
        <v>2020.5641885177802</v>
      </c>
      <c r="BS363" s="9">
        <f>BM363/Modelling[[#This Row],[Comisined DC ]]/BP363</f>
        <v>0.76428502649716468</v>
      </c>
      <c r="BT363" s="9">
        <f>BN363/BQ363/Modelling[[#This Row],[Comisined DC ]]</f>
        <v>0.76428502649716457</v>
      </c>
      <c r="BU363" s="9">
        <f>BO363/BR363/Modelling[[#This Row],[Comisined DC ]]</f>
        <v>0.42921768446408948</v>
      </c>
      <c r="BV363" s="9">
        <f>BM363/(24*Modelling[[#This Row],[Comisined DC ]])</f>
        <v>0.2193471662405288</v>
      </c>
      <c r="BW363" s="9">
        <f>BN363/((COUNTIFS(Modelling[Date],"&lt;="&amp;Modelling[[#This Row],[Date]],Modelling[Month Year],Modelling[[#This Row],[Month Year]])*24*Modelling[[#This Row],[MTD DC Capcity]]))</f>
        <v>0.21934716624052877</v>
      </c>
      <c r="BX363" s="28">
        <f>BO363/((COUNTIFS(Modelling[Date],"&lt;="&amp;Modelling[[#This Row],[Date]],Modelling[Finacial Year],Modelling[[#This Row],[Finacial Year]])*24*Modelling[[#This Row],[MTD DC Capcity]]))</f>
        <v>0.10443905133750765</v>
      </c>
      <c r="BY363" s="4">
        <f>Modelling_old[[#This Row],[DC Capcity]]+Modelling_new[[#This Row],[Comisined DC ]]</f>
        <v>24.303100000000001</v>
      </c>
      <c r="BZ363" s="4">
        <v>0</v>
      </c>
      <c r="CA363" s="4">
        <f>AVERAGEIFS(Modelling[[Comisined DC ]],Modelling[Date],"&lt;="&amp;Modelling[[#This Row],[Date]],Modelling[Month Year],Modelling[[#This Row],[Month Year]])</f>
        <v>24.303100000000004</v>
      </c>
      <c r="CB363" s="4">
        <f>AVERAGEIFS(Modelling[[Comisined DC ]],Modelling[Date],"&lt;="&amp;Modelling[[#This Row],[Date]],Modelling[Finacial Year],Modelling[[#This Row],[Finacial Year]])</f>
        <v>14.020199132947919</v>
      </c>
      <c r="CG363">
        <f t="shared" si="119"/>
        <v>11</v>
      </c>
      <c r="CH363">
        <f t="shared" si="128"/>
        <v>346</v>
      </c>
    </row>
    <row r="364" spans="1:86" x14ac:dyDescent="0.35">
      <c r="A364" s="27">
        <v>45363</v>
      </c>
      <c r="B364" s="5">
        <f>MONTH(Modelling_old[[#This Row],[Date]])</f>
        <v>3</v>
      </c>
      <c r="C364" s="25">
        <v>2024</v>
      </c>
      <c r="D364" s="3">
        <f t="shared" si="129"/>
        <v>2024</v>
      </c>
      <c r="E364" s="3" t="s">
        <v>626</v>
      </c>
      <c r="F364" s="5" t="s">
        <v>626</v>
      </c>
      <c r="G364" s="102">
        <v>45352</v>
      </c>
      <c r="H364" s="5">
        <f t="shared" si="130"/>
        <v>31</v>
      </c>
      <c r="I364" s="5">
        <f t="shared" si="131"/>
        <v>3</v>
      </c>
      <c r="J364" s="4">
        <f t="shared" si="132"/>
        <v>54.516129032258064</v>
      </c>
      <c r="K364" s="4">
        <f>SUM($J$353:J364)</f>
        <v>654.19354838709671</v>
      </c>
      <c r="L364" s="4">
        <f>SUM($J$18:J364)</f>
        <v>16364.193548387089</v>
      </c>
      <c r="M364" s="4">
        <f t="shared" si="133"/>
        <v>6.9</v>
      </c>
      <c r="N364" s="4">
        <f>SUM($M$353:M364)</f>
        <v>82.800000000000011</v>
      </c>
      <c r="O364" s="4">
        <f>SUM($M$18:M364)</f>
        <v>2042.3928571428537</v>
      </c>
      <c r="P364" s="9">
        <f t="shared" si="134"/>
        <v>0.68684861172593881</v>
      </c>
      <c r="Q364" s="26">
        <f t="shared" si="135"/>
        <v>0.6868486117259387</v>
      </c>
      <c r="R364" s="26">
        <f t="shared" si="136"/>
        <v>0.69653096675819715</v>
      </c>
      <c r="S364" s="9">
        <f t="shared" si="137"/>
        <v>0.19746897587120743</v>
      </c>
      <c r="T364" s="9">
        <f>K364/((COUNT($K$353:K364))*24*$Q$1)</f>
        <v>0.1974689758712074</v>
      </c>
      <c r="U364" s="28">
        <f>L364/((COUNT($L$18:L364))*24*$Q$1)</f>
        <v>0.17082010942432135</v>
      </c>
      <c r="V364" s="134">
        <v>11.5031</v>
      </c>
      <c r="Y364" s="27">
        <f t="shared" si="126"/>
        <v>45363</v>
      </c>
      <c r="Z364" s="5">
        <f>MONTH(Modelling_new[[#This Row],[Date]])</f>
        <v>3</v>
      </c>
      <c r="AA364" s="25">
        <f>YEAR(Y364)+IF(MONTH(Modelling_new[[#This Row],[Date]])&gt;=4,1,0)</f>
        <v>2024</v>
      </c>
      <c r="AB364" s="3">
        <f t="shared" si="120"/>
        <v>2024</v>
      </c>
      <c r="AC364" s="3" t="s">
        <v>626</v>
      </c>
      <c r="AD364" s="5" t="s">
        <v>626</v>
      </c>
      <c r="AE364" s="102">
        <v>45352</v>
      </c>
      <c r="AF364" s="5">
        <f t="shared" si="121"/>
        <v>31</v>
      </c>
      <c r="AG364" s="5">
        <f t="shared" si="122"/>
        <v>3</v>
      </c>
      <c r="AH364" s="4">
        <f>(VLOOKUP(AG364,$AA$2:$AK$13,10,0)/AF364)*Modelling_new[[#This Row],[Factor]]</f>
        <v>73.423457748386625</v>
      </c>
      <c r="AI364" s="4">
        <f>SUMIFS(Modelling_new[Target E_Grid daily
MWh],Modelling_new[Month Year],Modelling_new[[#This Row],[Month Year]],Modelling_new[Date],"&lt;="&amp;Modelling_new[[#This Row],[Date]])</f>
        <v>881.08149298063972</v>
      </c>
      <c r="AJ364" s="4">
        <f>SUMIFS(Modelling_new[Target E_Grid daily
MWh],Modelling_new[Finacial Year],Modelling_new[[#This Row],[Finacial Year]],Modelling_new[Date],"&lt;="&amp;Modelling_new[[#This Row],[Date]])</f>
        <v>4840.898290280631</v>
      </c>
      <c r="AK364" s="4">
        <f t="shared" si="138"/>
        <v>6.877058658064521</v>
      </c>
      <c r="AL364" s="4">
        <f>SUMIFS(Modelling_new[Target POA Daily (KWh/m2)],Modelling_new[Month Year],Modelling_new[[#This Row],[Month Year]],Modelling_new[Date],"&lt;="&amp;Modelling_new[[#This Row],[Date]])</f>
        <v>82.52470389677427</v>
      </c>
      <c r="AM364" s="4">
        <f>SUMIFS(Modelling_new[Target POA Daily (KWh/m2)],Modelling_new[Finacial Year],Modelling_new[[#This Row],[Finacial Year]],Modelling_new[Date],"&lt;="&amp;Modelling_new[[#This Row],[Date]])</f>
        <v>443.96666025391755</v>
      </c>
      <c r="AN364" s="9">
        <f>AH364/Modelling_new[[#This Row],[Comisined DC ]]/AK364</f>
        <v>0.83410770822290803</v>
      </c>
      <c r="AO364" s="9">
        <f>AI364/AL364/Modelling_new[[#This Row],[MTD DC Capcity]]</f>
        <v>0.83410770822290825</v>
      </c>
      <c r="AP364" s="9">
        <f>AJ364/AM364/Modelling_new[[#This Row],[YTD DC Capcity]]</f>
        <v>0.85185490890661453</v>
      </c>
      <c r="AQ364" s="9">
        <f>AH364/(24*Modelling_new[[#This Row],[Comisined DC ]])</f>
        <v>0.239008651524696</v>
      </c>
      <c r="AR364" s="9">
        <f>AI364/(COUNTIFS(Modelling_new[Date],"&lt;="&amp;Modelling_new[[#This Row],[Date]],Modelling_new[Month Year],Modelling_new[[#This Row],[Month Year]])*24*Modelling_new[[#This Row],[MTD DC Capcity]])</f>
        <v>0.23900865152469614</v>
      </c>
      <c r="AS364" s="28">
        <f>AJ364/(COUNTIFS(Modelling_new[Date],"&lt;="&amp;Modelling_new[[#This Row],[Date]],Modelling_new[Finacial Year],Modelling_new[[#This Row],[Finacial Year]],Modelling_new[Target E_Grid YTD
MWh],"&gt;"&amp;0)*24*Modelling_new[[#This Row],[YTD DC Capcity]])</f>
        <v>0.21886295076861967</v>
      </c>
      <c r="AT364" s="5">
        <v>12.8</v>
      </c>
      <c r="AU364" s="9">
        <f>Modelling_new[[#This Row],[Comisined DC ]]/$AO$1</f>
        <v>1</v>
      </c>
      <c r="AV36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64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364" s="27">
        <f t="shared" si="127"/>
        <v>45363</v>
      </c>
      <c r="BE364" s="5">
        <f>MONTH(Modelling[[#This Row],[Date]])</f>
        <v>3</v>
      </c>
      <c r="BF364" s="25">
        <f>YEAR(BD364)+IF(MONTH(Modelling[[#This Row],[Date]])&gt;=4,1,0)</f>
        <v>2024</v>
      </c>
      <c r="BG364" s="3">
        <f t="shared" si="123"/>
        <v>2024</v>
      </c>
      <c r="BH364" s="3" t="s">
        <v>626</v>
      </c>
      <c r="BI364" s="5" t="s">
        <v>626</v>
      </c>
      <c r="BJ364" s="102">
        <v>45352</v>
      </c>
      <c r="BK364" s="5">
        <f t="shared" si="124"/>
        <v>31</v>
      </c>
      <c r="BL364" s="5">
        <f t="shared" si="125"/>
        <v>3</v>
      </c>
      <c r="BM364" s="4">
        <f>Modelling_old[[#This Row],[Target E_Grid daily
MWh]]+Modelling_new[[#This Row],[Target E_Grid daily
MWh]]</f>
        <v>127.93958678064469</v>
      </c>
      <c r="BN364" s="4">
        <f>Modelling_old[[#This Row],[Target E_Grid MTD
MWh]]+Modelling_new[[#This Row],[Target E_Grid MTD
MWh]]</f>
        <v>1535.2750413677363</v>
      </c>
      <c r="BO364" s="4">
        <f>Modelling_old[[#This Row],[Target E_Grid YTD
MWh]]+Modelling_new[[#This Row],[Target E_Grid YTD
MWh]]</f>
        <v>21205.091838667722</v>
      </c>
      <c r="BP36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64" s="4">
        <f>SUMIFS(Modelling[Target POA Daily (KWh/m2)],Modelling[Date],"&lt;="&amp;Modelling[[#This Row],[Date]],Modelling[Month Year],Modelling[[#This Row],[Month Year]])</f>
        <v>82.655006557958075</v>
      </c>
      <c r="BR364" s="4">
        <f>SUMIFS(Modelling[Target POA Daily (KWh/m2)],Modelling[Date],"&lt;="&amp;Modelling[[#This Row],[Date]],Modelling[Finacial Year],Modelling[[#This Row],[Finacial Year]])</f>
        <v>2027.4521057309432</v>
      </c>
      <c r="BS364" s="9">
        <f>BM364/Modelling[[#This Row],[Comisined DC ]]/BP364</f>
        <v>0.76428502649716468</v>
      </c>
      <c r="BT364" s="9">
        <f>BN364/BQ364/Modelling[[#This Row],[Comisined DC ]]</f>
        <v>0.76428502649716457</v>
      </c>
      <c r="BU364" s="9">
        <f>BO364/BR364/Modelling[[#This Row],[Comisined DC ]]</f>
        <v>0.43035601769831722</v>
      </c>
      <c r="BV364" s="9">
        <f>BM364/(24*Modelling[[#This Row],[Comisined DC ]])</f>
        <v>0.2193471662405288</v>
      </c>
      <c r="BW364" s="9">
        <f>BN364/((COUNTIFS(Modelling[Date],"&lt;="&amp;Modelling[[#This Row],[Date]],Modelling[Month Year],Modelling[[#This Row],[Month Year]])*24*Modelling[[#This Row],[MTD DC Capcity]]))</f>
        <v>0.2193471662405288</v>
      </c>
      <c r="BX364" s="28">
        <f>BO364/((COUNTIFS(Modelling[Date],"&lt;="&amp;Modelling[[#This Row],[Date]],Modelling[Finacial Year],Modelling[[#This Row],[Finacial Year]])*24*Modelling[[#This Row],[MTD DC Capcity]]))</f>
        <v>0.10477019864270369</v>
      </c>
      <c r="BY364" s="4">
        <f>Modelling_old[[#This Row],[DC Capcity]]+Modelling_new[[#This Row],[Comisined DC ]]</f>
        <v>24.303100000000001</v>
      </c>
      <c r="BZ364" s="4">
        <v>0</v>
      </c>
      <c r="CA364" s="4">
        <f>AVERAGEIFS(Modelling[[Comisined DC ]],Modelling[Date],"&lt;="&amp;Modelling[[#This Row],[Date]],Modelling[Month Year],Modelling[[#This Row],[Month Year]])</f>
        <v>24.303100000000001</v>
      </c>
      <c r="CB364" s="4">
        <f>AVERAGEIFS(Modelling[[Comisined DC ]],Modelling[Date],"&lt;="&amp;Modelling[[#This Row],[Date]],Modelling[Finacial Year],Modelling[[#This Row],[Finacial Year]])</f>
        <v>14.04983285302588</v>
      </c>
      <c r="CG364">
        <f t="shared" si="119"/>
        <v>12</v>
      </c>
      <c r="CH364">
        <f t="shared" si="128"/>
        <v>347</v>
      </c>
    </row>
    <row r="365" spans="1:86" x14ac:dyDescent="0.35">
      <c r="A365" s="27">
        <v>45364</v>
      </c>
      <c r="B365" s="5">
        <f>MONTH(Modelling_old[[#This Row],[Date]])</f>
        <v>3</v>
      </c>
      <c r="C365" s="25">
        <v>2024</v>
      </c>
      <c r="D365" s="3">
        <f t="shared" si="129"/>
        <v>2024</v>
      </c>
      <c r="E365" s="3" t="s">
        <v>626</v>
      </c>
      <c r="F365" s="5" t="s">
        <v>626</v>
      </c>
      <c r="G365" s="102">
        <v>45352</v>
      </c>
      <c r="H365" s="5">
        <f t="shared" si="130"/>
        <v>31</v>
      </c>
      <c r="I365" s="5">
        <f t="shared" si="131"/>
        <v>3</v>
      </c>
      <c r="J365" s="4">
        <f t="shared" si="132"/>
        <v>54.516129032258064</v>
      </c>
      <c r="K365" s="4">
        <f>SUM($J$353:J365)</f>
        <v>708.70967741935476</v>
      </c>
      <c r="L365" s="4">
        <f>SUM($J$18:J365)</f>
        <v>16418.709677419349</v>
      </c>
      <c r="M365" s="4">
        <f t="shared" si="133"/>
        <v>6.9</v>
      </c>
      <c r="N365" s="4">
        <f>SUM($M$353:M365)</f>
        <v>89.700000000000017</v>
      </c>
      <c r="O365" s="4">
        <f>SUM($M$18:M365)</f>
        <v>2049.2928571428538</v>
      </c>
      <c r="P365" s="9">
        <f t="shared" si="134"/>
        <v>0.68684861172593881</v>
      </c>
      <c r="Q365" s="26">
        <f t="shared" si="135"/>
        <v>0.6868486117259387</v>
      </c>
      <c r="R365" s="26">
        <f t="shared" si="136"/>
        <v>0.6964983661225731</v>
      </c>
      <c r="S365" s="9">
        <f t="shared" si="137"/>
        <v>0.19746897587120743</v>
      </c>
      <c r="T365" s="9">
        <f>K365/((COUNT($K$353:K365))*24*$Q$1)</f>
        <v>0.1974689758712074</v>
      </c>
      <c r="U365" s="28">
        <f>L365/((COUNT($L$18:L365))*24*$Q$1)</f>
        <v>0.17089668662675495</v>
      </c>
      <c r="V365" s="134">
        <v>11.5031</v>
      </c>
      <c r="Y365" s="27">
        <f t="shared" si="126"/>
        <v>45364</v>
      </c>
      <c r="Z365" s="5">
        <f>MONTH(Modelling_new[[#This Row],[Date]])</f>
        <v>3</v>
      </c>
      <c r="AA365" s="25">
        <f>YEAR(Y365)+IF(MONTH(Modelling_new[[#This Row],[Date]])&gt;=4,1,0)</f>
        <v>2024</v>
      </c>
      <c r="AB365" s="3">
        <f t="shared" si="120"/>
        <v>2024</v>
      </c>
      <c r="AC365" s="3" t="s">
        <v>626</v>
      </c>
      <c r="AD365" s="5" t="s">
        <v>626</v>
      </c>
      <c r="AE365" s="102">
        <v>45352</v>
      </c>
      <c r="AF365" s="5">
        <f t="shared" si="121"/>
        <v>31</v>
      </c>
      <c r="AG365" s="5">
        <f t="shared" si="122"/>
        <v>3</v>
      </c>
      <c r="AH365" s="4">
        <f>(VLOOKUP(AG365,$AA$2:$AK$13,10,0)/AF365)*Modelling_new[[#This Row],[Factor]]</f>
        <v>73.423457748386625</v>
      </c>
      <c r="AI365" s="4">
        <f>SUMIFS(Modelling_new[Target E_Grid daily
MWh],Modelling_new[Month Year],Modelling_new[[#This Row],[Month Year]],Modelling_new[Date],"&lt;="&amp;Modelling_new[[#This Row],[Date]])</f>
        <v>954.5049507290264</v>
      </c>
      <c r="AJ365" s="4">
        <f>SUMIFS(Modelling_new[Target E_Grid daily
MWh],Modelling_new[Finacial Year],Modelling_new[[#This Row],[Finacial Year]],Modelling_new[Date],"&lt;="&amp;Modelling_new[[#This Row],[Date]])</f>
        <v>4914.3217480290177</v>
      </c>
      <c r="AK365" s="4">
        <f t="shared" si="138"/>
        <v>6.877058658064521</v>
      </c>
      <c r="AL365" s="4">
        <f>SUMIFS(Modelling_new[Target POA Daily (KWh/m2)],Modelling_new[Month Year],Modelling_new[[#This Row],[Month Year]],Modelling_new[Date],"&lt;="&amp;Modelling_new[[#This Row],[Date]])</f>
        <v>89.401762554838797</v>
      </c>
      <c r="AM365" s="4">
        <f>SUMIFS(Modelling_new[Target POA Daily (KWh/m2)],Modelling_new[Finacial Year],Modelling_new[[#This Row],[Finacial Year]],Modelling_new[Date],"&lt;="&amp;Modelling_new[[#This Row],[Date]])</f>
        <v>450.84371891198208</v>
      </c>
      <c r="AN365" s="9">
        <f>AH365/Modelling_new[[#This Row],[Comisined DC ]]/AK365</f>
        <v>0.83410770822290803</v>
      </c>
      <c r="AO365" s="9">
        <f>AI365/AL365/Modelling_new[[#This Row],[MTD DC Capcity]]</f>
        <v>0.83410770822290814</v>
      </c>
      <c r="AP365" s="9">
        <f>AJ365/AM365/Modelling_new[[#This Row],[YTD DC Capcity]]</f>
        <v>0.85158419749377101</v>
      </c>
      <c r="AQ365" s="9">
        <f>AH365/(24*Modelling_new[[#This Row],[Comisined DC ]])</f>
        <v>0.239008651524696</v>
      </c>
      <c r="AR365" s="9">
        <f>AI365/(COUNTIFS(Modelling_new[Date],"&lt;="&amp;Modelling_new[[#This Row],[Date]],Modelling_new[Month Year],Modelling_new[[#This Row],[Month Year]])*24*Modelling_new[[#This Row],[MTD DC Capcity]])</f>
        <v>0.23900865152469608</v>
      </c>
      <c r="AS365" s="28">
        <f>AJ365/(COUNTIFS(Modelling_new[Date],"&lt;="&amp;Modelling_new[[#This Row],[Date]],Modelling_new[Finacial Year],Modelling_new[[#This Row],[Finacial Year]],Modelling_new[Target E_Grid YTD
MWh],"&gt;"&amp;0)*24*Modelling_new[[#This Row],[YTD DC Capcity]])</f>
        <v>0.21913891927212759</v>
      </c>
      <c r="AT365" s="5">
        <v>12.8</v>
      </c>
      <c r="AU365" s="9">
        <f>Modelling_new[[#This Row],[Comisined DC ]]/$AO$1</f>
        <v>1</v>
      </c>
      <c r="AV365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65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365" s="27">
        <f t="shared" si="127"/>
        <v>45364</v>
      </c>
      <c r="BE365" s="5">
        <f>MONTH(Modelling[[#This Row],[Date]])</f>
        <v>3</v>
      </c>
      <c r="BF365" s="25">
        <f>YEAR(BD365)+IF(MONTH(Modelling[[#This Row],[Date]])&gt;=4,1,0)</f>
        <v>2024</v>
      </c>
      <c r="BG365" s="3">
        <f t="shared" si="123"/>
        <v>2024</v>
      </c>
      <c r="BH365" s="3" t="s">
        <v>626</v>
      </c>
      <c r="BI365" s="5" t="s">
        <v>626</v>
      </c>
      <c r="BJ365" s="102">
        <v>45352</v>
      </c>
      <c r="BK365" s="5">
        <f t="shared" si="124"/>
        <v>31</v>
      </c>
      <c r="BL365" s="5">
        <f t="shared" si="125"/>
        <v>3</v>
      </c>
      <c r="BM365" s="4">
        <f>Modelling_old[[#This Row],[Target E_Grid daily
MWh]]+Modelling_new[[#This Row],[Target E_Grid daily
MWh]]</f>
        <v>127.93958678064469</v>
      </c>
      <c r="BN365" s="4">
        <f>Modelling_old[[#This Row],[Target E_Grid MTD
MWh]]+Modelling_new[[#This Row],[Target E_Grid MTD
MWh]]</f>
        <v>1663.2146281483811</v>
      </c>
      <c r="BO365" s="4">
        <f>Modelling_old[[#This Row],[Target E_Grid YTD
MWh]]+Modelling_new[[#This Row],[Target E_Grid YTD
MWh]]</f>
        <v>21333.031425448367</v>
      </c>
      <c r="BP36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65" s="4">
        <f>SUMIFS(Modelling[Target POA Daily (KWh/m2)],Modelling[Date],"&lt;="&amp;Modelling[[#This Row],[Date]],Modelling[Month Year],Modelling[[#This Row],[Month Year]])</f>
        <v>89.542923771121252</v>
      </c>
      <c r="BR365" s="4">
        <f>SUMIFS(Modelling[Target POA Daily (KWh/m2)],Modelling[Date],"&lt;="&amp;Modelling[[#This Row],[Date]],Modelling[Finacial Year],Modelling[[#This Row],[Finacial Year]])</f>
        <v>2034.3400229441063</v>
      </c>
      <c r="BS365" s="9">
        <f>BM365/Modelling[[#This Row],[Comisined DC ]]/BP365</f>
        <v>0.76428502649716468</v>
      </c>
      <c r="BT365" s="9">
        <f>BN365/BQ365/Modelling[[#This Row],[Comisined DC ]]</f>
        <v>0.76428502649716457</v>
      </c>
      <c r="BU365" s="9">
        <f>BO365/BR365/Modelling[[#This Row],[Comisined DC ]]</f>
        <v>0.43148664254064401</v>
      </c>
      <c r="BV365" s="9">
        <f>BM365/(24*Modelling[[#This Row],[Comisined DC ]])</f>
        <v>0.2193471662405288</v>
      </c>
      <c r="BW365" s="9">
        <f>BN365/((COUNTIFS(Modelling[Date],"&lt;="&amp;Modelling[[#This Row],[Date]],Modelling[Month Year],Modelling[[#This Row],[Month Year]])*24*Modelling[[#This Row],[MTD DC Capcity]]))</f>
        <v>0.21934716624052883</v>
      </c>
      <c r="BX365" s="28">
        <f>BO365/((COUNTIFS(Modelling[Date],"&lt;="&amp;Modelling[[#This Row],[Date]],Modelling[Finacial Year],Modelling[[#This Row],[Finacial Year]])*24*Modelling[[#This Row],[MTD DC Capcity]]))</f>
        <v>0.10509944280246757</v>
      </c>
      <c r="BY365" s="4">
        <f>Modelling_old[[#This Row],[DC Capcity]]+Modelling_new[[#This Row],[Comisined DC ]]</f>
        <v>24.303100000000001</v>
      </c>
      <c r="BZ365" s="4">
        <v>0</v>
      </c>
      <c r="CA365" s="4">
        <f>AVERAGEIFS(Modelling[[Comisined DC ]],Modelling[Date],"&lt;="&amp;Modelling[[#This Row],[Date]],Modelling[Month Year],Modelling[[#This Row],[Month Year]])</f>
        <v>24.303099999999997</v>
      </c>
      <c r="CB365" s="4">
        <f>AVERAGEIFS(Modelling[[Comisined DC ]],Modelling[Date],"&lt;="&amp;Modelling[[#This Row],[Date]],Modelling[Finacial Year],Modelling[[#This Row],[Finacial Year]])</f>
        <v>14.079296264367759</v>
      </c>
      <c r="CG365">
        <f t="shared" si="119"/>
        <v>13</v>
      </c>
      <c r="CH365">
        <f t="shared" si="128"/>
        <v>348</v>
      </c>
    </row>
    <row r="366" spans="1:86" x14ac:dyDescent="0.35">
      <c r="A366" s="27">
        <v>45365</v>
      </c>
      <c r="B366" s="5">
        <f>MONTH(Modelling_old[[#This Row],[Date]])</f>
        <v>3</v>
      </c>
      <c r="C366" s="25">
        <v>2024</v>
      </c>
      <c r="D366" s="3">
        <f t="shared" si="129"/>
        <v>2024</v>
      </c>
      <c r="E366" s="3" t="s">
        <v>626</v>
      </c>
      <c r="F366" s="5" t="s">
        <v>626</v>
      </c>
      <c r="G366" s="102">
        <v>45352</v>
      </c>
      <c r="H366" s="5">
        <f t="shared" si="130"/>
        <v>31</v>
      </c>
      <c r="I366" s="5">
        <f t="shared" si="131"/>
        <v>3</v>
      </c>
      <c r="J366" s="4">
        <f t="shared" si="132"/>
        <v>54.516129032258064</v>
      </c>
      <c r="K366" s="4">
        <f>SUM($J$353:J366)</f>
        <v>763.22580645161281</v>
      </c>
      <c r="L366" s="4">
        <f>SUM($J$18:J366)</f>
        <v>16473.225806451606</v>
      </c>
      <c r="M366" s="4">
        <f t="shared" si="133"/>
        <v>6.9</v>
      </c>
      <c r="N366" s="4">
        <f>SUM($M$353:M366)</f>
        <v>96.600000000000023</v>
      </c>
      <c r="O366" s="4">
        <f>SUM($M$18:M366)</f>
        <v>2056.1928571428539</v>
      </c>
      <c r="P366" s="9">
        <f t="shared" si="134"/>
        <v>0.68684861172593881</v>
      </c>
      <c r="Q366" s="26">
        <f t="shared" si="135"/>
        <v>0.68684861172593858</v>
      </c>
      <c r="R366" s="26">
        <f t="shared" si="136"/>
        <v>0.69646598428392137</v>
      </c>
      <c r="S366" s="9">
        <f t="shared" si="137"/>
        <v>0.19746897587120743</v>
      </c>
      <c r="T366" s="9">
        <f>K366/((COUNT($K$353:K366))*24*$Q$1)</f>
        <v>0.1974689758712074</v>
      </c>
      <c r="U366" s="28">
        <f>L366/((COUNT($L$18:L366))*24*$Q$1)</f>
        <v>0.17097282499135222</v>
      </c>
      <c r="V366" s="134">
        <v>11.5031</v>
      </c>
      <c r="Y366" s="27">
        <f t="shared" si="126"/>
        <v>45365</v>
      </c>
      <c r="Z366" s="5">
        <f>MONTH(Modelling_new[[#This Row],[Date]])</f>
        <v>3</v>
      </c>
      <c r="AA366" s="25">
        <f>YEAR(Y366)+IF(MONTH(Modelling_new[[#This Row],[Date]])&gt;=4,1,0)</f>
        <v>2024</v>
      </c>
      <c r="AB366" s="3">
        <f t="shared" si="120"/>
        <v>2024</v>
      </c>
      <c r="AC366" s="3" t="s">
        <v>626</v>
      </c>
      <c r="AD366" s="5" t="s">
        <v>626</v>
      </c>
      <c r="AE366" s="102">
        <v>45352</v>
      </c>
      <c r="AF366" s="5">
        <f t="shared" si="121"/>
        <v>31</v>
      </c>
      <c r="AG366" s="5">
        <f t="shared" si="122"/>
        <v>3</v>
      </c>
      <c r="AH366" s="4">
        <f>(VLOOKUP(AG366,$AA$2:$AK$13,10,0)/AF366)*Modelling_new[[#This Row],[Factor]]</f>
        <v>73.423457748386625</v>
      </c>
      <c r="AI366" s="4">
        <f>SUMIFS(Modelling_new[Target E_Grid daily
MWh],Modelling_new[Month Year],Modelling_new[[#This Row],[Month Year]],Modelling_new[Date],"&lt;="&amp;Modelling_new[[#This Row],[Date]])</f>
        <v>1027.9284084774131</v>
      </c>
      <c r="AJ366" s="4">
        <f>SUMIFS(Modelling_new[Target E_Grid daily
MWh],Modelling_new[Finacial Year],Modelling_new[[#This Row],[Finacial Year]],Modelling_new[Date],"&lt;="&amp;Modelling_new[[#This Row],[Date]])</f>
        <v>4987.7452057774044</v>
      </c>
      <c r="AK366" s="4">
        <f t="shared" si="138"/>
        <v>6.877058658064521</v>
      </c>
      <c r="AL366" s="4">
        <f>SUMIFS(Modelling_new[Target POA Daily (KWh/m2)],Modelling_new[Month Year],Modelling_new[[#This Row],[Month Year]],Modelling_new[Date],"&lt;="&amp;Modelling_new[[#This Row],[Date]])</f>
        <v>96.278821212903324</v>
      </c>
      <c r="AM366" s="4">
        <f>SUMIFS(Modelling_new[Target POA Daily (KWh/m2)],Modelling_new[Finacial Year],Modelling_new[[#This Row],[Finacial Year]],Modelling_new[Date],"&lt;="&amp;Modelling_new[[#This Row],[Date]])</f>
        <v>457.72077757004661</v>
      </c>
      <c r="AN366" s="9">
        <f>AH366/Modelling_new[[#This Row],[Comisined DC ]]/AK366</f>
        <v>0.83410770822290803</v>
      </c>
      <c r="AO366" s="9">
        <f>AI366/AL366/Modelling_new[[#This Row],[MTD DC Capcity]]</f>
        <v>0.83410770822290792</v>
      </c>
      <c r="AP366" s="9">
        <f>AJ366/AM366/Modelling_new[[#This Row],[YTD DC Capcity]]</f>
        <v>0.85132162072701201</v>
      </c>
      <c r="AQ366" s="9">
        <f>AH366/(24*Modelling_new[[#This Row],[Comisined DC ]])</f>
        <v>0.239008651524696</v>
      </c>
      <c r="AR366" s="9">
        <f>AI366/(COUNTIFS(Modelling_new[Date],"&lt;="&amp;Modelling_new[[#This Row],[Date]],Modelling_new[Month Year],Modelling_new[[#This Row],[Month Year]])*24*Modelling_new[[#This Row],[MTD DC Capcity]])</f>
        <v>0.23900865152469611</v>
      </c>
      <c r="AS366" s="28">
        <f>AJ366/(COUNTIFS(Modelling_new[Date],"&lt;="&amp;Modelling_new[[#This Row],[Date]],Modelling_new[Finacial Year],Modelling_new[[#This Row],[Finacial Year]],Modelling_new[Target E_Grid YTD
MWh],"&gt;"&amp;0)*24*Modelling_new[[#This Row],[YTD DC Capcity]])</f>
        <v>0.21940742916743255</v>
      </c>
      <c r="AT366" s="5">
        <v>12.8</v>
      </c>
      <c r="AU366" s="9">
        <f>Modelling_new[[#This Row],[Comisined DC ]]/$AO$1</f>
        <v>1</v>
      </c>
      <c r="AV366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66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366" s="27">
        <f t="shared" si="127"/>
        <v>45365</v>
      </c>
      <c r="BE366" s="5">
        <f>MONTH(Modelling[[#This Row],[Date]])</f>
        <v>3</v>
      </c>
      <c r="BF366" s="25">
        <f>YEAR(BD366)+IF(MONTH(Modelling[[#This Row],[Date]])&gt;=4,1,0)</f>
        <v>2024</v>
      </c>
      <c r="BG366" s="3">
        <f t="shared" si="123"/>
        <v>2024</v>
      </c>
      <c r="BH366" s="3" t="s">
        <v>626</v>
      </c>
      <c r="BI366" s="5" t="s">
        <v>626</v>
      </c>
      <c r="BJ366" s="102">
        <v>45352</v>
      </c>
      <c r="BK366" s="5">
        <f t="shared" si="124"/>
        <v>31</v>
      </c>
      <c r="BL366" s="5">
        <f t="shared" si="125"/>
        <v>3</v>
      </c>
      <c r="BM366" s="4">
        <f>Modelling_old[[#This Row],[Target E_Grid daily
MWh]]+Modelling_new[[#This Row],[Target E_Grid daily
MWh]]</f>
        <v>127.93958678064469</v>
      </c>
      <c r="BN366" s="4">
        <f>Modelling_old[[#This Row],[Target E_Grid MTD
MWh]]+Modelling_new[[#This Row],[Target E_Grid MTD
MWh]]</f>
        <v>1791.1542149290258</v>
      </c>
      <c r="BO366" s="4">
        <f>Modelling_old[[#This Row],[Target E_Grid YTD
MWh]]+Modelling_new[[#This Row],[Target E_Grid YTD
MWh]]</f>
        <v>21460.971012229013</v>
      </c>
      <c r="BP36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66" s="4">
        <f>SUMIFS(Modelling[Target POA Daily (KWh/m2)],Modelling[Date],"&lt;="&amp;Modelling[[#This Row],[Date]],Modelling[Month Year],Modelling[[#This Row],[Month Year]])</f>
        <v>96.43084098428443</v>
      </c>
      <c r="BR366" s="4">
        <f>SUMIFS(Modelling[Target POA Daily (KWh/m2)],Modelling[Date],"&lt;="&amp;Modelling[[#This Row],[Date]],Modelling[Finacial Year],Modelling[[#This Row],[Finacial Year]])</f>
        <v>2041.2279401572694</v>
      </c>
      <c r="BS366" s="9">
        <f>BM366/Modelling[[#This Row],[Comisined DC ]]/BP366</f>
        <v>0.76428502649716468</v>
      </c>
      <c r="BT366" s="9">
        <f>BN366/BQ366/Modelling[[#This Row],[Comisined DC ]]</f>
        <v>0.76428502649716445</v>
      </c>
      <c r="BU366" s="9">
        <f>BO366/BR366/Modelling[[#This Row],[Comisined DC ]]</f>
        <v>0.43260963702463601</v>
      </c>
      <c r="BV366" s="9">
        <f>BM366/(24*Modelling[[#This Row],[Comisined DC ]])</f>
        <v>0.2193471662405288</v>
      </c>
      <c r="BW366" s="9">
        <f>BN366/((COUNTIFS(Modelling[Date],"&lt;="&amp;Modelling[[#This Row],[Date]],Modelling[Month Year],Modelling[[#This Row],[Month Year]])*24*Modelling[[#This Row],[MTD DC Capcity]]))</f>
        <v>0.21934716624052886</v>
      </c>
      <c r="BX366" s="28">
        <f>BO366/((COUNTIFS(Modelling[Date],"&lt;="&amp;Modelling[[#This Row],[Date]],Modelling[Finacial Year],Modelling[[#This Row],[Finacial Year]])*24*Modelling[[#This Row],[MTD DC Capcity]]))</f>
        <v>0.1054268001762156</v>
      </c>
      <c r="BY366" s="4">
        <f>Modelling_old[[#This Row],[DC Capcity]]+Modelling_new[[#This Row],[Comisined DC ]]</f>
        <v>24.303100000000001</v>
      </c>
      <c r="BZ366" s="4">
        <v>0</v>
      </c>
      <c r="CA366" s="4">
        <f>AVERAGEIFS(Modelling[[Comisined DC ]],Modelling[Date],"&lt;="&amp;Modelling[[#This Row],[Date]],Modelling[Month Year],Modelling[[#This Row],[Month Year]])</f>
        <v>24.303099999999997</v>
      </c>
      <c r="CB366" s="4">
        <f>AVERAGEIFS(Modelling[[Comisined DC ]],Modelling[Date],"&lt;="&amp;Modelling[[#This Row],[Date]],Modelling[Finacial Year],Modelling[[#This Row],[Finacial Year]])</f>
        <v>14.108590830945502</v>
      </c>
      <c r="CG366">
        <f t="shared" si="119"/>
        <v>14</v>
      </c>
      <c r="CH366">
        <f t="shared" si="128"/>
        <v>349</v>
      </c>
    </row>
    <row r="367" spans="1:86" x14ac:dyDescent="0.35">
      <c r="A367" s="27">
        <v>45366</v>
      </c>
      <c r="B367" s="5">
        <f>MONTH(Modelling_old[[#This Row],[Date]])</f>
        <v>3</v>
      </c>
      <c r="C367" s="25">
        <v>2024</v>
      </c>
      <c r="D367" s="3">
        <f t="shared" si="129"/>
        <v>2024</v>
      </c>
      <c r="E367" s="3" t="s">
        <v>626</v>
      </c>
      <c r="F367" s="5" t="s">
        <v>626</v>
      </c>
      <c r="G367" s="102">
        <v>45352</v>
      </c>
      <c r="H367" s="5">
        <f t="shared" si="130"/>
        <v>31</v>
      </c>
      <c r="I367" s="5">
        <f t="shared" si="131"/>
        <v>3</v>
      </c>
      <c r="J367" s="4">
        <f t="shared" si="132"/>
        <v>54.516129032258064</v>
      </c>
      <c r="K367" s="4">
        <f>SUM($J$353:J367)</f>
        <v>817.74193548387086</v>
      </c>
      <c r="L367" s="4">
        <f>SUM($J$18:J367)</f>
        <v>16527.741935483864</v>
      </c>
      <c r="M367" s="4">
        <f t="shared" si="133"/>
        <v>6.9</v>
      </c>
      <c r="N367" s="4">
        <f>SUM($M$353:M367)</f>
        <v>103.50000000000003</v>
      </c>
      <c r="O367" s="4">
        <f>SUM($M$18:M367)</f>
        <v>2063.092857142854</v>
      </c>
      <c r="P367" s="9">
        <f t="shared" si="134"/>
        <v>0.68684861172593881</v>
      </c>
      <c r="Q367" s="26">
        <f t="shared" si="135"/>
        <v>0.68684861172593858</v>
      </c>
      <c r="R367" s="26">
        <f t="shared" si="136"/>
        <v>0.69643381904694701</v>
      </c>
      <c r="S367" s="9">
        <f t="shared" si="137"/>
        <v>0.19746897587120743</v>
      </c>
      <c r="T367" s="9">
        <f>K367/((COUNT($K$353:K367))*24*$Q$1)</f>
        <v>0.1974689758712074</v>
      </c>
      <c r="U367" s="28">
        <f>L367/((COUNT($L$18:L367))*24*$Q$1)</f>
        <v>0.17104852827958039</v>
      </c>
      <c r="V367" s="134">
        <v>11.5031</v>
      </c>
      <c r="Y367" s="27">
        <f t="shared" si="126"/>
        <v>45366</v>
      </c>
      <c r="Z367" s="5">
        <f>MONTH(Modelling_new[[#This Row],[Date]])</f>
        <v>3</v>
      </c>
      <c r="AA367" s="25">
        <f>YEAR(Y367)+IF(MONTH(Modelling_new[[#This Row],[Date]])&gt;=4,1,0)</f>
        <v>2024</v>
      </c>
      <c r="AB367" s="3">
        <f t="shared" si="120"/>
        <v>2024</v>
      </c>
      <c r="AC367" s="3" t="s">
        <v>626</v>
      </c>
      <c r="AD367" s="5" t="s">
        <v>626</v>
      </c>
      <c r="AE367" s="102">
        <v>45352</v>
      </c>
      <c r="AF367" s="5">
        <f t="shared" si="121"/>
        <v>31</v>
      </c>
      <c r="AG367" s="5">
        <f t="shared" si="122"/>
        <v>3</v>
      </c>
      <c r="AH367" s="4">
        <f>(VLOOKUP(AG367,$AA$2:$AK$13,10,0)/AF367)*Modelling_new[[#This Row],[Factor]]</f>
        <v>73.423457748386625</v>
      </c>
      <c r="AI367" s="4">
        <f>SUMIFS(Modelling_new[Target E_Grid daily
MWh],Modelling_new[Month Year],Modelling_new[[#This Row],[Month Year]],Modelling_new[Date],"&lt;="&amp;Modelling_new[[#This Row],[Date]])</f>
        <v>1101.3518662257998</v>
      </c>
      <c r="AJ367" s="4">
        <f>SUMIFS(Modelling_new[Target E_Grid daily
MWh],Modelling_new[Finacial Year],Modelling_new[[#This Row],[Finacial Year]],Modelling_new[Date],"&lt;="&amp;Modelling_new[[#This Row],[Date]])</f>
        <v>5061.1686635257911</v>
      </c>
      <c r="AK367" s="4">
        <f t="shared" si="138"/>
        <v>6.877058658064521</v>
      </c>
      <c r="AL367" s="4">
        <f>SUMIFS(Modelling_new[Target POA Daily (KWh/m2)],Modelling_new[Month Year],Modelling_new[[#This Row],[Month Year]],Modelling_new[Date],"&lt;="&amp;Modelling_new[[#This Row],[Date]])</f>
        <v>103.15587987096785</v>
      </c>
      <c r="AM367" s="4">
        <f>SUMIFS(Modelling_new[Target POA Daily (KWh/m2)],Modelling_new[Finacial Year],Modelling_new[[#This Row],[Finacial Year]],Modelling_new[Date],"&lt;="&amp;Modelling_new[[#This Row],[Date]])</f>
        <v>464.59783622811113</v>
      </c>
      <c r="AN367" s="9">
        <f>AH367/Modelling_new[[#This Row],[Comisined DC ]]/AK367</f>
        <v>0.83410770822290803</v>
      </c>
      <c r="AO367" s="9">
        <f>AI367/AL367/Modelling_new[[#This Row],[MTD DC Capcity]]</f>
        <v>0.83410770822290781</v>
      </c>
      <c r="AP367" s="9">
        <f>AJ367/AM367/Modelling_new[[#This Row],[YTD DC Capcity]]</f>
        <v>0.85106681737496348</v>
      </c>
      <c r="AQ367" s="9">
        <f>AH367/(24*Modelling_new[[#This Row],[Comisined DC ]])</f>
        <v>0.239008651524696</v>
      </c>
      <c r="AR367" s="9">
        <f>AI367/(COUNTIFS(Modelling_new[Date],"&lt;="&amp;Modelling_new[[#This Row],[Date]],Modelling_new[Month Year],Modelling_new[[#This Row],[Month Year]])*24*Modelling_new[[#This Row],[MTD DC Capcity]])</f>
        <v>0.23900865152469608</v>
      </c>
      <c r="AS367" s="28">
        <f>AJ367/(COUNTIFS(Modelling_new[Date],"&lt;="&amp;Modelling_new[[#This Row],[Date]],Modelling_new[Finacial Year],Modelling_new[[#This Row],[Finacial Year]],Modelling_new[Target E_Grid YTD
MWh],"&gt;"&amp;0)*24*Modelling_new[[#This Row],[YTD DC Capcity]])</f>
        <v>0.21966877879886276</v>
      </c>
      <c r="AT367" s="5">
        <v>12.8</v>
      </c>
      <c r="AU367" s="9">
        <f>Modelling_new[[#This Row],[Comisined DC ]]/$AO$1</f>
        <v>1</v>
      </c>
      <c r="AV367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67" s="5">
        <f>AVERAGEIFS(Modelling_new[[Comisined DC ]],Modelling_new[Date],"&lt;="&amp;Modelling_new[[#This Row],[Date]],Modelling_new[[Comisined DC ]],"&gt;"&amp;0,Modelling_new[Finacial Year],Modelling_new[[#This Row],[Finacial Year]])</f>
        <v>12.799999999999981</v>
      </c>
      <c r="BD367" s="27">
        <f t="shared" si="127"/>
        <v>45366</v>
      </c>
      <c r="BE367" s="5">
        <f>MONTH(Modelling[[#This Row],[Date]])</f>
        <v>3</v>
      </c>
      <c r="BF367" s="25">
        <f>YEAR(BD367)+IF(MONTH(Modelling[[#This Row],[Date]])&gt;=4,1,0)</f>
        <v>2024</v>
      </c>
      <c r="BG367" s="3">
        <f t="shared" si="123"/>
        <v>2024</v>
      </c>
      <c r="BH367" s="3" t="s">
        <v>626</v>
      </c>
      <c r="BI367" s="5" t="s">
        <v>626</v>
      </c>
      <c r="BJ367" s="102">
        <v>45352</v>
      </c>
      <c r="BK367" s="5">
        <f t="shared" si="124"/>
        <v>31</v>
      </c>
      <c r="BL367" s="5">
        <f t="shared" si="125"/>
        <v>3</v>
      </c>
      <c r="BM367" s="4">
        <f>Modelling_old[[#This Row],[Target E_Grid daily
MWh]]+Modelling_new[[#This Row],[Target E_Grid daily
MWh]]</f>
        <v>127.93958678064469</v>
      </c>
      <c r="BN367" s="4">
        <f>Modelling_old[[#This Row],[Target E_Grid MTD
MWh]]+Modelling_new[[#This Row],[Target E_Grid MTD
MWh]]</f>
        <v>1919.0938017096705</v>
      </c>
      <c r="BO367" s="4">
        <f>Modelling_old[[#This Row],[Target E_Grid YTD
MWh]]+Modelling_new[[#This Row],[Target E_Grid YTD
MWh]]</f>
        <v>21588.910599009654</v>
      </c>
      <c r="BP36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67" s="4">
        <f>SUMIFS(Modelling[Target POA Daily (KWh/m2)],Modelling[Date],"&lt;="&amp;Modelling[[#This Row],[Date]],Modelling[Month Year],Modelling[[#This Row],[Month Year]])</f>
        <v>103.31875819744761</v>
      </c>
      <c r="BR367" s="4">
        <f>SUMIFS(Modelling[Target POA Daily (KWh/m2)],Modelling[Date],"&lt;="&amp;Modelling[[#This Row],[Date]],Modelling[Finacial Year],Modelling[[#This Row],[Finacial Year]])</f>
        <v>2048.1158573704324</v>
      </c>
      <c r="BS367" s="9">
        <f>BM367/Modelling[[#This Row],[Comisined DC ]]/BP367</f>
        <v>0.76428502649716468</v>
      </c>
      <c r="BT367" s="9">
        <f>BN367/BQ367/Modelling[[#This Row],[Comisined DC ]]</f>
        <v>0.76428502649716445</v>
      </c>
      <c r="BU367" s="9">
        <f>BO367/BR367/Modelling[[#This Row],[Comisined DC ]]</f>
        <v>0.4337250781341363</v>
      </c>
      <c r="BV367" s="9">
        <f>BM367/(24*Modelling[[#This Row],[Comisined DC ]])</f>
        <v>0.2193471662405288</v>
      </c>
      <c r="BW367" s="9">
        <f>BN367/((COUNTIFS(Modelling[Date],"&lt;="&amp;Modelling[[#This Row],[Date]],Modelling[Month Year],Modelling[[#This Row],[Month Year]])*24*Modelling[[#This Row],[MTD DC Capcity]]))</f>
        <v>0.21934716624052886</v>
      </c>
      <c r="BX367" s="28">
        <f>BO367/((COUNTIFS(Modelling[Date],"&lt;="&amp;Modelling[[#This Row],[Date]],Modelling[Finacial Year],Modelling[[#This Row],[Finacial Year]])*24*Modelling[[#This Row],[MTD DC Capcity]]))</f>
        <v>0.10575228693639935</v>
      </c>
      <c r="BY367" s="4">
        <f>Modelling_old[[#This Row],[DC Capcity]]+Modelling_new[[#This Row],[Comisined DC ]]</f>
        <v>24.303100000000001</v>
      </c>
      <c r="BZ367" s="4">
        <v>0</v>
      </c>
      <c r="CA367" s="4">
        <f>AVERAGEIFS(Modelling[[Comisined DC ]],Modelling[Date],"&lt;="&amp;Modelling[[#This Row],[Date]],Modelling[Month Year],Modelling[[#This Row],[Month Year]])</f>
        <v>24.303099999999993</v>
      </c>
      <c r="CB367" s="4">
        <f>AVERAGEIFS(Modelling[[Comisined DC ]],Modelling[Date],"&lt;="&amp;Modelling[[#This Row],[Date]],Modelling[Finacial Year],Modelling[[#This Row],[Finacial Year]])</f>
        <v>14.137717999999944</v>
      </c>
      <c r="CG367">
        <f t="shared" si="119"/>
        <v>15</v>
      </c>
      <c r="CH367">
        <f t="shared" si="128"/>
        <v>350</v>
      </c>
    </row>
    <row r="368" spans="1:86" x14ac:dyDescent="0.35">
      <c r="A368" s="27">
        <v>45367</v>
      </c>
      <c r="B368" s="5">
        <f>MONTH(Modelling_old[[#This Row],[Date]])</f>
        <v>3</v>
      </c>
      <c r="C368" s="25">
        <v>2024</v>
      </c>
      <c r="D368" s="3">
        <f t="shared" si="129"/>
        <v>2024</v>
      </c>
      <c r="E368" s="3" t="s">
        <v>626</v>
      </c>
      <c r="F368" s="5" t="s">
        <v>626</v>
      </c>
      <c r="G368" s="102">
        <v>45352</v>
      </c>
      <c r="H368" s="5">
        <f t="shared" si="130"/>
        <v>31</v>
      </c>
      <c r="I368" s="5">
        <f t="shared" si="131"/>
        <v>3</v>
      </c>
      <c r="J368" s="4">
        <f t="shared" si="132"/>
        <v>54.516129032258064</v>
      </c>
      <c r="K368" s="4">
        <f>SUM($J$353:J368)</f>
        <v>872.25806451612891</v>
      </c>
      <c r="L368" s="4">
        <f>SUM($J$18:J368)</f>
        <v>16582.258064516122</v>
      </c>
      <c r="M368" s="4">
        <f t="shared" si="133"/>
        <v>6.9</v>
      </c>
      <c r="N368" s="4">
        <f>SUM($M$353:M368)</f>
        <v>110.40000000000003</v>
      </c>
      <c r="O368" s="4">
        <f>SUM($M$18:M368)</f>
        <v>2069.9928571428541</v>
      </c>
      <c r="P368" s="9">
        <f t="shared" si="134"/>
        <v>0.68684861172593881</v>
      </c>
      <c r="Q368" s="26">
        <f t="shared" si="135"/>
        <v>0.68684861172593847</v>
      </c>
      <c r="R368" s="26">
        <f t="shared" si="136"/>
        <v>0.69640186824562567</v>
      </c>
      <c r="S368" s="9">
        <f t="shared" si="137"/>
        <v>0.19746897587120743</v>
      </c>
      <c r="T368" s="9">
        <f>K368/((COUNT($K$353:K368))*24*$Q$1)</f>
        <v>0.1974689758712074</v>
      </c>
      <c r="U368" s="28">
        <f>L368/((COUNT($L$18:L368))*24*$Q$1)</f>
        <v>0.17112380021004084</v>
      </c>
      <c r="V368" s="134">
        <v>11.5031</v>
      </c>
      <c r="Y368" s="27">
        <f t="shared" si="126"/>
        <v>45367</v>
      </c>
      <c r="Z368" s="5">
        <f>MONTH(Modelling_new[[#This Row],[Date]])</f>
        <v>3</v>
      </c>
      <c r="AA368" s="25">
        <f>YEAR(Y368)+IF(MONTH(Modelling_new[[#This Row],[Date]])&gt;=4,1,0)</f>
        <v>2024</v>
      </c>
      <c r="AB368" s="3">
        <f t="shared" si="120"/>
        <v>2024</v>
      </c>
      <c r="AC368" s="3" t="s">
        <v>626</v>
      </c>
      <c r="AD368" s="5" t="s">
        <v>626</v>
      </c>
      <c r="AE368" s="102">
        <v>45352</v>
      </c>
      <c r="AF368" s="5">
        <f t="shared" si="121"/>
        <v>31</v>
      </c>
      <c r="AG368" s="5">
        <f t="shared" si="122"/>
        <v>3</v>
      </c>
      <c r="AH368" s="4">
        <f>(VLOOKUP(AG368,$AA$2:$AK$13,10,0)/AF368)*Modelling_new[[#This Row],[Factor]]</f>
        <v>73.423457748386625</v>
      </c>
      <c r="AI368" s="4">
        <f>SUMIFS(Modelling_new[Target E_Grid daily
MWh],Modelling_new[Month Year],Modelling_new[[#This Row],[Month Year]],Modelling_new[Date],"&lt;="&amp;Modelling_new[[#This Row],[Date]])</f>
        <v>1174.7753239741864</v>
      </c>
      <c r="AJ368" s="4">
        <f>SUMIFS(Modelling_new[Target E_Grid daily
MWh],Modelling_new[Finacial Year],Modelling_new[[#This Row],[Finacial Year]],Modelling_new[Date],"&lt;="&amp;Modelling_new[[#This Row],[Date]])</f>
        <v>5134.5921212741778</v>
      </c>
      <c r="AK368" s="4">
        <f t="shared" si="138"/>
        <v>6.877058658064521</v>
      </c>
      <c r="AL368" s="4">
        <f>SUMIFS(Modelling_new[Target POA Daily (KWh/m2)],Modelling_new[Month Year],Modelling_new[[#This Row],[Month Year]],Modelling_new[Date],"&lt;="&amp;Modelling_new[[#This Row],[Date]])</f>
        <v>110.03293852903238</v>
      </c>
      <c r="AM368" s="4">
        <f>SUMIFS(Modelling_new[Target POA Daily (KWh/m2)],Modelling_new[Finacial Year],Modelling_new[[#This Row],[Finacial Year]],Modelling_new[Date],"&lt;="&amp;Modelling_new[[#This Row],[Date]])</f>
        <v>471.47489488617566</v>
      </c>
      <c r="AN368" s="9">
        <f>AH368/Modelling_new[[#This Row],[Comisined DC ]]/AK368</f>
        <v>0.83410770822290803</v>
      </c>
      <c r="AO368" s="9">
        <f>AI368/AL368/Modelling_new[[#This Row],[MTD DC Capcity]]</f>
        <v>0.83410770822290781</v>
      </c>
      <c r="AP368" s="9">
        <f>AJ368/AM368/Modelling_new[[#This Row],[YTD DC Capcity]]</f>
        <v>0.85081944728231973</v>
      </c>
      <c r="AQ368" s="9">
        <f>AH368/(24*Modelling_new[[#This Row],[Comisined DC ]])</f>
        <v>0.239008651524696</v>
      </c>
      <c r="AR368" s="9">
        <f>AI368/(COUNTIFS(Modelling_new[Date],"&lt;="&amp;Modelling_new[[#This Row],[Date]],Modelling_new[Month Year],Modelling_new[[#This Row],[Month Year]])*24*Modelling_new[[#This Row],[MTD DC Capcity]])</f>
        <v>0.23900865152469611</v>
      </c>
      <c r="AS368" s="28">
        <f>AJ368/(COUNTIFS(Modelling_new[Date],"&lt;="&amp;Modelling_new[[#This Row],[Date]],Modelling_new[Finacial Year],Modelling_new[[#This Row],[Finacial Year]],Modelling_new[Target E_Grid YTD
MWh],"&gt;"&amp;0)*24*Modelling_new[[#This Row],[YTD DC Capcity]])</f>
        <v>0.21992325080841324</v>
      </c>
      <c r="AT368" s="5">
        <v>12.8</v>
      </c>
      <c r="AU368" s="9">
        <f>Modelling_new[[#This Row],[Comisined DC ]]/$AO$1</f>
        <v>1</v>
      </c>
      <c r="AV368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68" s="5">
        <f>AVERAGEIFS(Modelling_new[[Comisined DC ]],Modelling_new[Date],"&lt;="&amp;Modelling_new[[#This Row],[Date]],Modelling_new[[Comisined DC ]],"&gt;"&amp;0,Modelling_new[Finacial Year],Modelling_new[[#This Row],[Finacial Year]])</f>
        <v>12.799999999999981</v>
      </c>
      <c r="BD368" s="27">
        <f t="shared" si="127"/>
        <v>45367</v>
      </c>
      <c r="BE368" s="5">
        <f>MONTH(Modelling[[#This Row],[Date]])</f>
        <v>3</v>
      </c>
      <c r="BF368" s="25">
        <f>YEAR(BD368)+IF(MONTH(Modelling[[#This Row],[Date]])&gt;=4,1,0)</f>
        <v>2024</v>
      </c>
      <c r="BG368" s="3">
        <f t="shared" si="123"/>
        <v>2024</v>
      </c>
      <c r="BH368" s="3" t="s">
        <v>626</v>
      </c>
      <c r="BI368" s="5" t="s">
        <v>626</v>
      </c>
      <c r="BJ368" s="102">
        <v>45352</v>
      </c>
      <c r="BK368" s="5">
        <f t="shared" si="124"/>
        <v>31</v>
      </c>
      <c r="BL368" s="5">
        <f t="shared" si="125"/>
        <v>3</v>
      </c>
      <c r="BM368" s="4">
        <f>Modelling_old[[#This Row],[Target E_Grid daily
MWh]]+Modelling_new[[#This Row],[Target E_Grid daily
MWh]]</f>
        <v>127.93958678064469</v>
      </c>
      <c r="BN368" s="4">
        <f>Modelling_old[[#This Row],[Target E_Grid MTD
MWh]]+Modelling_new[[#This Row],[Target E_Grid MTD
MWh]]</f>
        <v>2047.0333884903152</v>
      </c>
      <c r="BO368" s="4">
        <f>Modelling_old[[#This Row],[Target E_Grid YTD
MWh]]+Modelling_new[[#This Row],[Target E_Grid YTD
MWh]]</f>
        <v>21716.850185790299</v>
      </c>
      <c r="BP36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68" s="4">
        <f>SUMIFS(Modelling[Target POA Daily (KWh/m2)],Modelling[Date],"&lt;="&amp;Modelling[[#This Row],[Date]],Modelling[Month Year],Modelling[[#This Row],[Month Year]])</f>
        <v>110.20667541061079</v>
      </c>
      <c r="BR368" s="4">
        <f>SUMIFS(Modelling[Target POA Daily (KWh/m2)],Modelling[Date],"&lt;="&amp;Modelling[[#This Row],[Date]],Modelling[Finacial Year],Modelling[[#This Row],[Finacial Year]])</f>
        <v>2055.0037745835957</v>
      </c>
      <c r="BS368" s="9">
        <f>BM368/Modelling[[#This Row],[Comisined DC ]]/BP368</f>
        <v>0.76428502649716468</v>
      </c>
      <c r="BT368" s="9">
        <f>BN368/BQ368/Modelling[[#This Row],[Comisined DC ]]</f>
        <v>0.76428502649716445</v>
      </c>
      <c r="BU368" s="9">
        <f>BO368/BR368/Modelling[[#This Row],[Comisined DC ]]</f>
        <v>0.43483304182085664</v>
      </c>
      <c r="BV368" s="9">
        <f>BM368/(24*Modelling[[#This Row],[Comisined DC ]])</f>
        <v>0.2193471662405288</v>
      </c>
      <c r="BW368" s="9">
        <f>BN368/((COUNTIFS(Modelling[Date],"&lt;="&amp;Modelling[[#This Row],[Date]],Modelling[Month Year],Modelling[[#This Row],[Month Year]])*24*Modelling[[#This Row],[MTD DC Capcity]]))</f>
        <v>0.21934716624052891</v>
      </c>
      <c r="BX368" s="28">
        <f>BO368/((COUNTIFS(Modelling[Date],"&lt;="&amp;Modelling[[#This Row],[Date]],Modelling[Finacial Year],Modelling[[#This Row],[Finacial Year]])*24*Modelling[[#This Row],[MTD DC Capcity]]))</f>
        <v>0.10607591907116895</v>
      </c>
      <c r="BY368" s="4">
        <f>Modelling_old[[#This Row],[DC Capcity]]+Modelling_new[[#This Row],[Comisined DC ]]</f>
        <v>24.303100000000001</v>
      </c>
      <c r="BZ368" s="4">
        <v>0</v>
      </c>
      <c r="CA368" s="4">
        <f>AVERAGEIFS(Modelling[[Comisined DC ]],Modelling[Date],"&lt;="&amp;Modelling[[#This Row],[Date]],Modelling[Month Year],Modelling[[#This Row],[Month Year]])</f>
        <v>24.303099999999993</v>
      </c>
      <c r="CB368" s="4">
        <f>AVERAGEIFS(Modelling[[Comisined DC ]],Modelling[Date],"&lt;="&amp;Modelling[[#This Row],[Date]],Modelling[Finacial Year],Modelling[[#This Row],[Finacial Year]])</f>
        <v>14.166679202279147</v>
      </c>
      <c r="CG368">
        <f t="shared" si="119"/>
        <v>16</v>
      </c>
      <c r="CH368">
        <f t="shared" si="128"/>
        <v>351</v>
      </c>
    </row>
    <row r="369" spans="1:86" x14ac:dyDescent="0.35">
      <c r="A369" s="27">
        <v>45368</v>
      </c>
      <c r="B369" s="5">
        <f>MONTH(Modelling_old[[#This Row],[Date]])</f>
        <v>3</v>
      </c>
      <c r="C369" s="25">
        <v>2024</v>
      </c>
      <c r="D369" s="3">
        <f t="shared" si="129"/>
        <v>2024</v>
      </c>
      <c r="E369" s="3" t="s">
        <v>626</v>
      </c>
      <c r="F369" s="5" t="s">
        <v>626</v>
      </c>
      <c r="G369" s="102">
        <v>45352</v>
      </c>
      <c r="H369" s="5">
        <f t="shared" si="130"/>
        <v>31</v>
      </c>
      <c r="I369" s="5">
        <f t="shared" si="131"/>
        <v>3</v>
      </c>
      <c r="J369" s="4">
        <f t="shared" si="132"/>
        <v>54.516129032258064</v>
      </c>
      <c r="K369" s="4">
        <f>SUM($J$353:J369)</f>
        <v>926.77419354838696</v>
      </c>
      <c r="L369" s="4">
        <f>SUM($J$18:J369)</f>
        <v>16636.774193548379</v>
      </c>
      <c r="M369" s="4">
        <f t="shared" si="133"/>
        <v>6.9</v>
      </c>
      <c r="N369" s="4">
        <f>SUM($M$353:M369)</f>
        <v>117.30000000000004</v>
      </c>
      <c r="O369" s="4">
        <f>SUM($M$18:M369)</f>
        <v>2076.8928571428542</v>
      </c>
      <c r="P369" s="9">
        <f t="shared" si="134"/>
        <v>0.68684861172593881</v>
      </c>
      <c r="Q369" s="26">
        <f t="shared" si="135"/>
        <v>0.68684861172593847</v>
      </c>
      <c r="R369" s="26">
        <f t="shared" si="136"/>
        <v>0.69637012974271761</v>
      </c>
      <c r="S369" s="9">
        <f t="shared" si="137"/>
        <v>0.19746897587120743</v>
      </c>
      <c r="T369" s="9">
        <f>K369/((COUNT($K$353:K369))*24*$Q$1)</f>
        <v>0.1974689758712074</v>
      </c>
      <c r="U369" s="28">
        <f>L369/((COUNT($L$18:L369))*24*$Q$1)</f>
        <v>0.17119864445907823</v>
      </c>
      <c r="V369" s="134">
        <v>11.5031</v>
      </c>
      <c r="Y369" s="27">
        <f t="shared" si="126"/>
        <v>45368</v>
      </c>
      <c r="Z369" s="5">
        <f>MONTH(Modelling_new[[#This Row],[Date]])</f>
        <v>3</v>
      </c>
      <c r="AA369" s="25">
        <f>YEAR(Y369)+IF(MONTH(Modelling_new[[#This Row],[Date]])&gt;=4,1,0)</f>
        <v>2024</v>
      </c>
      <c r="AB369" s="3">
        <f t="shared" si="120"/>
        <v>2024</v>
      </c>
      <c r="AC369" s="3" t="s">
        <v>626</v>
      </c>
      <c r="AD369" s="5" t="s">
        <v>626</v>
      </c>
      <c r="AE369" s="102">
        <v>45352</v>
      </c>
      <c r="AF369" s="5">
        <f t="shared" si="121"/>
        <v>31</v>
      </c>
      <c r="AG369" s="5">
        <f t="shared" si="122"/>
        <v>3</v>
      </c>
      <c r="AH369" s="4">
        <f>(VLOOKUP(AG369,$AA$2:$AK$13,10,0)/AF369)*Modelling_new[[#This Row],[Factor]]</f>
        <v>73.423457748386625</v>
      </c>
      <c r="AI369" s="4">
        <f>SUMIFS(Modelling_new[Target E_Grid daily
MWh],Modelling_new[Month Year],Modelling_new[[#This Row],[Month Year]],Modelling_new[Date],"&lt;="&amp;Modelling_new[[#This Row],[Date]])</f>
        <v>1248.1987817225731</v>
      </c>
      <c r="AJ369" s="4">
        <f>SUMIFS(Modelling_new[Target E_Grid daily
MWh],Modelling_new[Finacial Year],Modelling_new[[#This Row],[Finacial Year]],Modelling_new[Date],"&lt;="&amp;Modelling_new[[#This Row],[Date]])</f>
        <v>5208.0155790225645</v>
      </c>
      <c r="AK369" s="4">
        <f t="shared" si="138"/>
        <v>6.877058658064521</v>
      </c>
      <c r="AL369" s="4">
        <f>SUMIFS(Modelling_new[Target POA Daily (KWh/m2)],Modelling_new[Month Year],Modelling_new[[#This Row],[Month Year]],Modelling_new[Date],"&lt;="&amp;Modelling_new[[#This Row],[Date]])</f>
        <v>116.90999718709691</v>
      </c>
      <c r="AM369" s="4">
        <f>SUMIFS(Modelling_new[Target POA Daily (KWh/m2)],Modelling_new[Finacial Year],Modelling_new[[#This Row],[Finacial Year]],Modelling_new[Date],"&lt;="&amp;Modelling_new[[#This Row],[Date]])</f>
        <v>478.35195354424019</v>
      </c>
      <c r="AN369" s="9">
        <f>AH369/Modelling_new[[#This Row],[Comisined DC ]]/AK369</f>
        <v>0.83410770822290803</v>
      </c>
      <c r="AO369" s="9">
        <f>AI369/AL369/Modelling_new[[#This Row],[MTD DC Capcity]]</f>
        <v>0.83410770822290781</v>
      </c>
      <c r="AP369" s="9">
        <f>AJ369/AM369/Modelling_new[[#This Row],[YTD DC Capcity]]</f>
        <v>0.85057918985483705</v>
      </c>
      <c r="AQ369" s="9">
        <f>AH369/(24*Modelling_new[[#This Row],[Comisined DC ]])</f>
        <v>0.239008651524696</v>
      </c>
      <c r="AR369" s="9">
        <f>AI369/(COUNTIFS(Modelling_new[Date],"&lt;="&amp;Modelling_new[[#This Row],[Date]],Modelling_new[Month Year],Modelling_new[[#This Row],[Month Year]])*24*Modelling_new[[#This Row],[MTD DC Capcity]])</f>
        <v>0.23900865152469608</v>
      </c>
      <c r="AS369" s="28">
        <f>AJ369/(COUNTIFS(Modelling_new[Date],"&lt;="&amp;Modelling_new[[#This Row],[Date]],Modelling_new[Finacial Year],Modelling_new[[#This Row],[Finacial Year]],Modelling_new[Target E_Grid YTD
MWh],"&gt;"&amp;0)*24*Modelling_new[[#This Row],[YTD DC Capcity]])</f>
        <v>0.22017111315537796</v>
      </c>
      <c r="AT369" s="5">
        <v>12.8</v>
      </c>
      <c r="AU369" s="9">
        <f>Modelling_new[[#This Row],[Comisined DC ]]/$AO$1</f>
        <v>1</v>
      </c>
      <c r="AV369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69" s="5">
        <f>AVERAGEIFS(Modelling_new[[Comisined DC ]],Modelling_new[Date],"&lt;="&amp;Modelling_new[[#This Row],[Date]],Modelling_new[[Comisined DC ]],"&gt;"&amp;0,Modelling_new[Finacial Year],Modelling_new[[#This Row],[Finacial Year]])</f>
        <v>12.799999999999981</v>
      </c>
      <c r="BD369" s="27">
        <f t="shared" si="127"/>
        <v>45368</v>
      </c>
      <c r="BE369" s="5">
        <f>MONTH(Modelling[[#This Row],[Date]])</f>
        <v>3</v>
      </c>
      <c r="BF369" s="25">
        <f>YEAR(BD369)+IF(MONTH(Modelling[[#This Row],[Date]])&gt;=4,1,0)</f>
        <v>2024</v>
      </c>
      <c r="BG369" s="3">
        <f t="shared" si="123"/>
        <v>2024</v>
      </c>
      <c r="BH369" s="3" t="s">
        <v>626</v>
      </c>
      <c r="BI369" s="5" t="s">
        <v>626</v>
      </c>
      <c r="BJ369" s="102">
        <v>45352</v>
      </c>
      <c r="BK369" s="5">
        <f t="shared" si="124"/>
        <v>31</v>
      </c>
      <c r="BL369" s="5">
        <f t="shared" si="125"/>
        <v>3</v>
      </c>
      <c r="BM369" s="4">
        <f>Modelling_old[[#This Row],[Target E_Grid daily
MWh]]+Modelling_new[[#This Row],[Target E_Grid daily
MWh]]</f>
        <v>127.93958678064469</v>
      </c>
      <c r="BN369" s="4">
        <f>Modelling_old[[#This Row],[Target E_Grid MTD
MWh]]+Modelling_new[[#This Row],[Target E_Grid MTD
MWh]]</f>
        <v>2174.97297527096</v>
      </c>
      <c r="BO369" s="4">
        <f>Modelling_old[[#This Row],[Target E_Grid YTD
MWh]]+Modelling_new[[#This Row],[Target E_Grid YTD
MWh]]</f>
        <v>21844.789772570944</v>
      </c>
      <c r="BP36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69" s="4">
        <f>SUMIFS(Modelling[Target POA Daily (KWh/m2)],Modelling[Date],"&lt;="&amp;Modelling[[#This Row],[Date]],Modelling[Month Year],Modelling[[#This Row],[Month Year]])</f>
        <v>117.09459262377396</v>
      </c>
      <c r="BR369" s="4">
        <f>SUMIFS(Modelling[Target POA Daily (KWh/m2)],Modelling[Date],"&lt;="&amp;Modelling[[#This Row],[Date]],Modelling[Finacial Year],Modelling[[#This Row],[Finacial Year]])</f>
        <v>2061.891691796759</v>
      </c>
      <c r="BS369" s="9">
        <f>BM369/Modelling[[#This Row],[Comisined DC ]]/BP369</f>
        <v>0.76428502649716468</v>
      </c>
      <c r="BT369" s="9">
        <f>BN369/BQ369/Modelling[[#This Row],[Comisined DC ]]</f>
        <v>0.76428502649716445</v>
      </c>
      <c r="BU369" s="9">
        <f>BO369/BR369/Modelling[[#This Row],[Comisined DC ]]</f>
        <v>0.43593360302161754</v>
      </c>
      <c r="BV369" s="9">
        <f>BM369/(24*Modelling[[#This Row],[Comisined DC ]])</f>
        <v>0.2193471662405288</v>
      </c>
      <c r="BW369" s="9">
        <f>BN369/((COUNTIFS(Modelling[Date],"&lt;="&amp;Modelling[[#This Row],[Date]],Modelling[Month Year],Modelling[[#This Row],[Month Year]])*24*Modelling[[#This Row],[MTD DC Capcity]]))</f>
        <v>0.21934716624052888</v>
      </c>
      <c r="BX369" s="28">
        <f>BO369/((COUNTIFS(Modelling[Date],"&lt;="&amp;Modelling[[#This Row],[Date]],Modelling[Finacial Year],Modelling[[#This Row],[Finacial Year]])*24*Modelling[[#This Row],[MTD DC Capcity]]))</f>
        <v>0.106397712386991</v>
      </c>
      <c r="BY369" s="4">
        <f>Modelling_old[[#This Row],[DC Capcity]]+Modelling_new[[#This Row],[Comisined DC ]]</f>
        <v>24.303100000000001</v>
      </c>
      <c r="BZ369" s="4">
        <v>0</v>
      </c>
      <c r="CA369" s="4">
        <f>AVERAGEIFS(Modelling[[Comisined DC ]],Modelling[Date],"&lt;="&amp;Modelling[[#This Row],[Date]],Modelling[Month Year],Modelling[[#This Row],[Month Year]])</f>
        <v>24.303099999999993</v>
      </c>
      <c r="CB369" s="4">
        <f>AVERAGEIFS(Modelling[[Comisined DC ]],Modelling[Date],"&lt;="&amp;Modelling[[#This Row],[Date]],Modelling[Finacial Year],Modelling[[#This Row],[Finacial Year]])</f>
        <v>14.195475852272672</v>
      </c>
      <c r="CG369">
        <f t="shared" si="119"/>
        <v>17</v>
      </c>
      <c r="CH369">
        <f t="shared" si="128"/>
        <v>352</v>
      </c>
    </row>
    <row r="370" spans="1:86" x14ac:dyDescent="0.35">
      <c r="A370" s="27">
        <v>45369</v>
      </c>
      <c r="B370" s="5">
        <f>MONTH(Modelling_old[[#This Row],[Date]])</f>
        <v>3</v>
      </c>
      <c r="C370" s="25">
        <v>2024</v>
      </c>
      <c r="D370" s="3">
        <f t="shared" si="129"/>
        <v>2024</v>
      </c>
      <c r="E370" s="3" t="s">
        <v>626</v>
      </c>
      <c r="F370" s="5" t="s">
        <v>626</v>
      </c>
      <c r="G370" s="102">
        <v>45352</v>
      </c>
      <c r="H370" s="5">
        <f t="shared" si="130"/>
        <v>31</v>
      </c>
      <c r="I370" s="5">
        <f t="shared" si="131"/>
        <v>3</v>
      </c>
      <c r="J370" s="4">
        <f t="shared" si="132"/>
        <v>54.516129032258064</v>
      </c>
      <c r="K370" s="4">
        <f>SUM($J$353:J370)</f>
        <v>981.29032258064501</v>
      </c>
      <c r="L370" s="4">
        <f>SUM($J$18:J370)</f>
        <v>16691.290322580637</v>
      </c>
      <c r="M370" s="4">
        <f t="shared" si="133"/>
        <v>6.9</v>
      </c>
      <c r="N370" s="4">
        <f>SUM($M$353:M370)</f>
        <v>124.20000000000005</v>
      </c>
      <c r="O370" s="4">
        <f>SUM($M$18:M370)</f>
        <v>2083.7928571428542</v>
      </c>
      <c r="P370" s="9">
        <f t="shared" si="134"/>
        <v>0.68684861172593881</v>
      </c>
      <c r="Q370" s="26">
        <f t="shared" si="135"/>
        <v>0.68684861172593847</v>
      </c>
      <c r="R370" s="26">
        <f t="shared" si="136"/>
        <v>0.69633860142929116</v>
      </c>
      <c r="S370" s="9">
        <f t="shared" si="137"/>
        <v>0.19746897587120743</v>
      </c>
      <c r="T370" s="9">
        <f>K370/((COUNT($K$353:K370))*24*$Q$1)</f>
        <v>0.19746897587120738</v>
      </c>
      <c r="U370" s="28">
        <f>L370/((COUNT($L$18:L370))*24*$Q$1)</f>
        <v>0.17127306466137887</v>
      </c>
      <c r="V370" s="134">
        <v>11.5031</v>
      </c>
      <c r="Y370" s="27">
        <f t="shared" si="126"/>
        <v>45369</v>
      </c>
      <c r="Z370" s="5">
        <f>MONTH(Modelling_new[[#This Row],[Date]])</f>
        <v>3</v>
      </c>
      <c r="AA370" s="25">
        <f>YEAR(Y370)+IF(MONTH(Modelling_new[[#This Row],[Date]])&gt;=4,1,0)</f>
        <v>2024</v>
      </c>
      <c r="AB370" s="3">
        <f t="shared" si="120"/>
        <v>2024</v>
      </c>
      <c r="AC370" s="3" t="s">
        <v>626</v>
      </c>
      <c r="AD370" s="5" t="s">
        <v>626</v>
      </c>
      <c r="AE370" s="102">
        <v>45352</v>
      </c>
      <c r="AF370" s="5">
        <f t="shared" si="121"/>
        <v>31</v>
      </c>
      <c r="AG370" s="5">
        <f t="shared" si="122"/>
        <v>3</v>
      </c>
      <c r="AH370" s="4">
        <f>(VLOOKUP(AG370,$AA$2:$AK$13,10,0)/AF370)*Modelling_new[[#This Row],[Factor]]</f>
        <v>73.423457748386625</v>
      </c>
      <c r="AI370" s="4">
        <f>SUMIFS(Modelling_new[Target E_Grid daily
MWh],Modelling_new[Month Year],Modelling_new[[#This Row],[Month Year]],Modelling_new[Date],"&lt;="&amp;Modelling_new[[#This Row],[Date]])</f>
        <v>1321.6222394709598</v>
      </c>
      <c r="AJ370" s="4">
        <f>SUMIFS(Modelling_new[Target E_Grid daily
MWh],Modelling_new[Finacial Year],Modelling_new[[#This Row],[Finacial Year]],Modelling_new[Date],"&lt;="&amp;Modelling_new[[#This Row],[Date]])</f>
        <v>5281.4390367709511</v>
      </c>
      <c r="AK370" s="4">
        <f t="shared" si="138"/>
        <v>6.877058658064521</v>
      </c>
      <c r="AL370" s="4">
        <f>SUMIFS(Modelling_new[Target POA Daily (KWh/m2)],Modelling_new[Month Year],Modelling_new[[#This Row],[Month Year]],Modelling_new[Date],"&lt;="&amp;Modelling_new[[#This Row],[Date]])</f>
        <v>123.78705584516143</v>
      </c>
      <c r="AM370" s="4">
        <f>SUMIFS(Modelling_new[Target POA Daily (KWh/m2)],Modelling_new[Finacial Year],Modelling_new[[#This Row],[Finacial Year]],Modelling_new[Date],"&lt;="&amp;Modelling_new[[#This Row],[Date]])</f>
        <v>485.22901220230472</v>
      </c>
      <c r="AN370" s="9">
        <f>AH370/Modelling_new[[#This Row],[Comisined DC ]]/AK370</f>
        <v>0.83410770822290803</v>
      </c>
      <c r="AO370" s="9">
        <f>AI370/AL370/Modelling_new[[#This Row],[MTD DC Capcity]]</f>
        <v>0.8341077082229077</v>
      </c>
      <c r="AP370" s="9">
        <f>AJ370/AM370/Modelling_new[[#This Row],[YTD DC Capcity]]</f>
        <v>0.85034574267315699</v>
      </c>
      <c r="AQ370" s="9">
        <f>AH370/(24*Modelling_new[[#This Row],[Comisined DC ]])</f>
        <v>0.239008651524696</v>
      </c>
      <c r="AR370" s="9">
        <f>AI370/(COUNTIFS(Modelling_new[Date],"&lt;="&amp;Modelling_new[[#This Row],[Date]],Modelling_new[Month Year],Modelling_new[[#This Row],[Month Year]])*24*Modelling_new[[#This Row],[MTD DC Capcity]])</f>
        <v>0.23900865152469605</v>
      </c>
      <c r="AS370" s="28">
        <f>AJ370/(COUNTIFS(Modelling_new[Date],"&lt;="&amp;Modelling_new[[#This Row],[Date]],Modelling_new[Finacial Year],Modelling_new[[#This Row],[Finacial Year]],Modelling_new[Target E_Grid YTD
MWh],"&gt;"&amp;0)*24*Modelling_new[[#This Row],[YTD DC Capcity]])</f>
        <v>0.22041262005754869</v>
      </c>
      <c r="AT370" s="5">
        <v>12.8</v>
      </c>
      <c r="AU370" s="9">
        <f>Modelling_new[[#This Row],[Comisined DC ]]/$AO$1</f>
        <v>1</v>
      </c>
      <c r="AV37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70" s="5">
        <f>AVERAGEIFS(Modelling_new[[Comisined DC ]],Modelling_new[Date],"&lt;="&amp;Modelling_new[[#This Row],[Date]],Modelling_new[[Comisined DC ]],"&gt;"&amp;0,Modelling_new[Finacial Year],Modelling_new[[#This Row],[Finacial Year]])</f>
        <v>12.799999999999981</v>
      </c>
      <c r="BD370" s="27">
        <f t="shared" si="127"/>
        <v>45369</v>
      </c>
      <c r="BE370" s="5">
        <f>MONTH(Modelling[[#This Row],[Date]])</f>
        <v>3</v>
      </c>
      <c r="BF370" s="25">
        <f>YEAR(BD370)+IF(MONTH(Modelling[[#This Row],[Date]])&gt;=4,1,0)</f>
        <v>2024</v>
      </c>
      <c r="BG370" s="3">
        <f t="shared" si="123"/>
        <v>2024</v>
      </c>
      <c r="BH370" s="3" t="s">
        <v>626</v>
      </c>
      <c r="BI370" s="5" t="s">
        <v>626</v>
      </c>
      <c r="BJ370" s="102">
        <v>45352</v>
      </c>
      <c r="BK370" s="5">
        <f t="shared" si="124"/>
        <v>31</v>
      </c>
      <c r="BL370" s="5">
        <f t="shared" si="125"/>
        <v>3</v>
      </c>
      <c r="BM370" s="4">
        <f>Modelling_old[[#This Row],[Target E_Grid daily
MWh]]+Modelling_new[[#This Row],[Target E_Grid daily
MWh]]</f>
        <v>127.93958678064469</v>
      </c>
      <c r="BN370" s="4">
        <f>Modelling_old[[#This Row],[Target E_Grid MTD
MWh]]+Modelling_new[[#This Row],[Target E_Grid MTD
MWh]]</f>
        <v>2302.9125620516047</v>
      </c>
      <c r="BO370" s="4">
        <f>Modelling_old[[#This Row],[Target E_Grid YTD
MWh]]+Modelling_new[[#This Row],[Target E_Grid YTD
MWh]]</f>
        <v>21972.729359351586</v>
      </c>
      <c r="BP37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70" s="4">
        <f>SUMIFS(Modelling[Target POA Daily (KWh/m2)],Modelling[Date],"&lt;="&amp;Modelling[[#This Row],[Date]],Modelling[Month Year],Modelling[[#This Row],[Month Year]])</f>
        <v>123.98250983693714</v>
      </c>
      <c r="BR370" s="4">
        <f>SUMIFS(Modelling[Target POA Daily (KWh/m2)],Modelling[Date],"&lt;="&amp;Modelling[[#This Row],[Date]],Modelling[Finacial Year],Modelling[[#This Row],[Finacial Year]])</f>
        <v>2068.7796090099223</v>
      </c>
      <c r="BS370" s="9">
        <f>BM370/Modelling[[#This Row],[Comisined DC ]]/BP370</f>
        <v>0.76428502649716468</v>
      </c>
      <c r="BT370" s="9">
        <f>BN370/BQ370/Modelling[[#This Row],[Comisined DC ]]</f>
        <v>0.76428502649716445</v>
      </c>
      <c r="BU370" s="9">
        <f>BO370/BR370/Modelling[[#This Row],[Comisined DC ]]</f>
        <v>0.43702683567524275</v>
      </c>
      <c r="BV370" s="9">
        <f>BM370/(24*Modelling[[#This Row],[Comisined DC ]])</f>
        <v>0.2193471662405288</v>
      </c>
      <c r="BW370" s="9">
        <f>BN370/((COUNTIFS(Modelling[Date],"&lt;="&amp;Modelling[[#This Row],[Date]],Modelling[Month Year],Modelling[[#This Row],[Month Year]])*24*Modelling[[#This Row],[MTD DC Capcity]]))</f>
        <v>0.21934716624052891</v>
      </c>
      <c r="BX370" s="28">
        <f>BO370/((COUNTIFS(Modelling[Date],"&lt;="&amp;Modelling[[#This Row],[Date]],Modelling[Finacial Year],Modelling[[#This Row],[Finacial Year]])*24*Modelling[[#This Row],[MTD DC Capcity]]))</f>
        <v>0.10671768251122199</v>
      </c>
      <c r="BY370" s="4">
        <f>Modelling_old[[#This Row],[DC Capcity]]+Modelling_new[[#This Row],[Comisined DC ]]</f>
        <v>24.303100000000001</v>
      </c>
      <c r="BZ370" s="4">
        <v>0</v>
      </c>
      <c r="CA370" s="4">
        <f>AVERAGEIFS(Modelling[[Comisined DC ]],Modelling[Date],"&lt;="&amp;Modelling[[#This Row],[Date]],Modelling[Month Year],Modelling[[#This Row],[Month Year]])</f>
        <v>24.30309999999999</v>
      </c>
      <c r="CB370" s="4">
        <f>AVERAGEIFS(Modelling[[Comisined DC ]],Modelling[Date],"&lt;="&amp;Modelling[[#This Row],[Date]],Modelling[Finacial Year],Modelling[[#This Row],[Finacial Year]])</f>
        <v>14.224109348441873</v>
      </c>
      <c r="CG370">
        <f t="shared" si="119"/>
        <v>18</v>
      </c>
      <c r="CH370">
        <f t="shared" si="128"/>
        <v>353</v>
      </c>
    </row>
    <row r="371" spans="1:86" x14ac:dyDescent="0.35">
      <c r="A371" s="27">
        <v>45370</v>
      </c>
      <c r="B371" s="5">
        <f>MONTH(Modelling_old[[#This Row],[Date]])</f>
        <v>3</v>
      </c>
      <c r="C371" s="25">
        <v>2024</v>
      </c>
      <c r="D371" s="3">
        <f t="shared" si="129"/>
        <v>2024</v>
      </c>
      <c r="E371" s="3" t="s">
        <v>626</v>
      </c>
      <c r="F371" s="5" t="s">
        <v>626</v>
      </c>
      <c r="G371" s="102">
        <v>45352</v>
      </c>
      <c r="H371" s="5">
        <f t="shared" si="130"/>
        <v>31</v>
      </c>
      <c r="I371" s="5">
        <f t="shared" si="131"/>
        <v>3</v>
      </c>
      <c r="J371" s="4">
        <f t="shared" si="132"/>
        <v>54.516129032258064</v>
      </c>
      <c r="K371" s="4">
        <f>SUM($J$353:J371)</f>
        <v>1035.8064516129032</v>
      </c>
      <c r="L371" s="4">
        <f>SUM($J$18:J371)</f>
        <v>16745.806451612894</v>
      </c>
      <c r="M371" s="4">
        <f t="shared" si="133"/>
        <v>6.9</v>
      </c>
      <c r="N371" s="4">
        <f>SUM($M$353:M371)</f>
        <v>131.10000000000005</v>
      </c>
      <c r="O371" s="4">
        <f>SUM($M$18:M371)</f>
        <v>2090.6928571428543</v>
      </c>
      <c r="P371" s="9">
        <f t="shared" si="134"/>
        <v>0.68684861172593881</v>
      </c>
      <c r="Q371" s="26">
        <f t="shared" si="135"/>
        <v>0.68684861172593847</v>
      </c>
      <c r="R371" s="26">
        <f t="shared" si="136"/>
        <v>0.69630728122425511</v>
      </c>
      <c r="S371" s="9">
        <f t="shared" si="137"/>
        <v>0.19746897587120743</v>
      </c>
      <c r="T371" s="9">
        <f>K371/((COUNT($K$353:K371))*24*$Q$1)</f>
        <v>0.1974689758712074</v>
      </c>
      <c r="U371" s="28">
        <f>L371/((COUNT($L$18:L371))*24*$Q$1)</f>
        <v>0.17134706441055919</v>
      </c>
      <c r="V371" s="134">
        <v>11.5031</v>
      </c>
      <c r="Y371" s="27">
        <f t="shared" si="126"/>
        <v>45370</v>
      </c>
      <c r="Z371" s="5">
        <f>MONTH(Modelling_new[[#This Row],[Date]])</f>
        <v>3</v>
      </c>
      <c r="AA371" s="25">
        <f>YEAR(Y371)+IF(MONTH(Modelling_new[[#This Row],[Date]])&gt;=4,1,0)</f>
        <v>2024</v>
      </c>
      <c r="AB371" s="3">
        <f t="shared" si="120"/>
        <v>2024</v>
      </c>
      <c r="AC371" s="3" t="s">
        <v>626</v>
      </c>
      <c r="AD371" s="5" t="s">
        <v>626</v>
      </c>
      <c r="AE371" s="102">
        <v>45352</v>
      </c>
      <c r="AF371" s="5">
        <f t="shared" si="121"/>
        <v>31</v>
      </c>
      <c r="AG371" s="5">
        <f t="shared" si="122"/>
        <v>3</v>
      </c>
      <c r="AH371" s="4">
        <f>(VLOOKUP(AG371,$AA$2:$AK$13,10,0)/AF371)*Modelling_new[[#This Row],[Factor]]</f>
        <v>73.423457748386625</v>
      </c>
      <c r="AI371" s="4">
        <f>SUMIFS(Modelling_new[Target E_Grid daily
MWh],Modelling_new[Month Year],Modelling_new[[#This Row],[Month Year]],Modelling_new[Date],"&lt;="&amp;Modelling_new[[#This Row],[Date]])</f>
        <v>1395.0456972193465</v>
      </c>
      <c r="AJ371" s="4">
        <f>SUMIFS(Modelling_new[Target E_Grid daily
MWh],Modelling_new[Finacial Year],Modelling_new[[#This Row],[Finacial Year]],Modelling_new[Date],"&lt;="&amp;Modelling_new[[#This Row],[Date]])</f>
        <v>5354.8624945193378</v>
      </c>
      <c r="AK371" s="4">
        <f t="shared" si="138"/>
        <v>6.877058658064521</v>
      </c>
      <c r="AL371" s="4">
        <f>SUMIFS(Modelling_new[Target POA Daily (KWh/m2)],Modelling_new[Month Year],Modelling_new[[#This Row],[Month Year]],Modelling_new[Date],"&lt;="&amp;Modelling_new[[#This Row],[Date]])</f>
        <v>130.66411450322596</v>
      </c>
      <c r="AM371" s="4">
        <f>SUMIFS(Modelling_new[Target POA Daily (KWh/m2)],Modelling_new[Finacial Year],Modelling_new[[#This Row],[Finacial Year]],Modelling_new[Date],"&lt;="&amp;Modelling_new[[#This Row],[Date]])</f>
        <v>492.10607086036924</v>
      </c>
      <c r="AN371" s="9">
        <f>AH371/Modelling_new[[#This Row],[Comisined DC ]]/AK371</f>
        <v>0.83410770822290803</v>
      </c>
      <c r="AO371" s="9">
        <f>AI371/AL371/Modelling_new[[#This Row],[MTD DC Capcity]]</f>
        <v>0.8341077082229077</v>
      </c>
      <c r="AP371" s="9">
        <f>AJ371/AM371/Modelling_new[[#This Row],[YTD DC Capcity]]</f>
        <v>0.85011882022285923</v>
      </c>
      <c r="AQ371" s="9">
        <f>AH371/(24*Modelling_new[[#This Row],[Comisined DC ]])</f>
        <v>0.239008651524696</v>
      </c>
      <c r="AR371" s="9">
        <f>AI371/(COUNTIFS(Modelling_new[Date],"&lt;="&amp;Modelling_new[[#This Row],[Date]],Modelling_new[Month Year],Modelling_new[[#This Row],[Month Year]])*24*Modelling_new[[#This Row],[MTD DC Capcity]])</f>
        <v>0.23900865152469608</v>
      </c>
      <c r="AS371" s="28">
        <f>AJ371/(COUNTIFS(Modelling_new[Date],"&lt;="&amp;Modelling_new[[#This Row],[Date]],Modelling_new[Finacial Year],Modelling_new[[#This Row],[Finacial Year]],Modelling_new[Target E_Grid YTD
MWh],"&gt;"&amp;0)*24*Modelling_new[[#This Row],[YTD DC Capcity]])</f>
        <v>0.22064801286093033</v>
      </c>
      <c r="AT371" s="5">
        <v>12.8</v>
      </c>
      <c r="AU371" s="9">
        <f>Modelling_new[[#This Row],[Comisined DC ]]/$AO$1</f>
        <v>1</v>
      </c>
      <c r="AV37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71" s="5">
        <f>AVERAGEIFS(Modelling_new[[Comisined DC ]],Modelling_new[Date],"&lt;="&amp;Modelling_new[[#This Row],[Date]],Modelling_new[[Comisined DC ]],"&gt;"&amp;0,Modelling_new[Finacial Year],Modelling_new[[#This Row],[Finacial Year]])</f>
        <v>12.799999999999981</v>
      </c>
      <c r="BD371" s="27">
        <f t="shared" si="127"/>
        <v>45370</v>
      </c>
      <c r="BE371" s="5">
        <f>MONTH(Modelling[[#This Row],[Date]])</f>
        <v>3</v>
      </c>
      <c r="BF371" s="25">
        <f>YEAR(BD371)+IF(MONTH(Modelling[[#This Row],[Date]])&gt;=4,1,0)</f>
        <v>2024</v>
      </c>
      <c r="BG371" s="3">
        <f t="shared" si="123"/>
        <v>2024</v>
      </c>
      <c r="BH371" s="3" t="s">
        <v>626</v>
      </c>
      <c r="BI371" s="5" t="s">
        <v>626</v>
      </c>
      <c r="BJ371" s="102">
        <v>45352</v>
      </c>
      <c r="BK371" s="5">
        <f t="shared" si="124"/>
        <v>31</v>
      </c>
      <c r="BL371" s="5">
        <f t="shared" si="125"/>
        <v>3</v>
      </c>
      <c r="BM371" s="4">
        <f>Modelling_old[[#This Row],[Target E_Grid daily
MWh]]+Modelling_new[[#This Row],[Target E_Grid daily
MWh]]</f>
        <v>127.93958678064469</v>
      </c>
      <c r="BN371" s="4">
        <f>Modelling_old[[#This Row],[Target E_Grid MTD
MWh]]+Modelling_new[[#This Row],[Target E_Grid MTD
MWh]]</f>
        <v>2430.8521488322494</v>
      </c>
      <c r="BO371" s="4">
        <f>Modelling_old[[#This Row],[Target E_Grid YTD
MWh]]+Modelling_new[[#This Row],[Target E_Grid YTD
MWh]]</f>
        <v>22100.668946132231</v>
      </c>
      <c r="BP37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71" s="4">
        <f>SUMIFS(Modelling[Target POA Daily (KWh/m2)],Modelling[Date],"&lt;="&amp;Modelling[[#This Row],[Date]],Modelling[Month Year],Modelling[[#This Row],[Month Year]])</f>
        <v>130.87042705010032</v>
      </c>
      <c r="BR371" s="4">
        <f>SUMIFS(Modelling[Target POA Daily (KWh/m2)],Modelling[Date],"&lt;="&amp;Modelling[[#This Row],[Date]],Modelling[Finacial Year],Modelling[[#This Row],[Finacial Year]])</f>
        <v>2075.6675262230856</v>
      </c>
      <c r="BS371" s="9">
        <f>BM371/Modelling[[#This Row],[Comisined DC ]]/BP371</f>
        <v>0.76428502649716468</v>
      </c>
      <c r="BT371" s="9">
        <f>BN371/BQ371/Modelling[[#This Row],[Comisined DC ]]</f>
        <v>0.76428502649716445</v>
      </c>
      <c r="BU371" s="9">
        <f>BO371/BR371/Modelling[[#This Row],[Comisined DC ]]</f>
        <v>0.43811281273911895</v>
      </c>
      <c r="BV371" s="9">
        <f>BM371/(24*Modelling[[#This Row],[Comisined DC ]])</f>
        <v>0.2193471662405288</v>
      </c>
      <c r="BW371" s="9">
        <f>BN371/((COUNTIFS(Modelling[Date],"&lt;="&amp;Modelling[[#This Row],[Date]],Modelling[Month Year],Modelling[[#This Row],[Month Year]])*24*Modelling[[#This Row],[MTD DC Capcity]]))</f>
        <v>0.21934716624052891</v>
      </c>
      <c r="BX371" s="28">
        <f>BO371/((COUNTIFS(Modelling[Date],"&lt;="&amp;Modelling[[#This Row],[Date]],Modelling[Finacial Year],Modelling[[#This Row],[Finacial Year]])*24*Modelling[[#This Row],[MTD DC Capcity]]))</f>
        <v>0.10703584489463812</v>
      </c>
      <c r="BY371" s="4">
        <f>Modelling_old[[#This Row],[DC Capcity]]+Modelling_new[[#This Row],[Comisined DC ]]</f>
        <v>24.303100000000001</v>
      </c>
      <c r="BZ371" s="4">
        <v>0</v>
      </c>
      <c r="CA371" s="4">
        <f>AVERAGEIFS(Modelling[[Comisined DC ]],Modelling[Date],"&lt;="&amp;Modelling[[#This Row],[Date]],Modelling[Month Year],Modelling[[#This Row],[Month Year]])</f>
        <v>24.30309999999999</v>
      </c>
      <c r="CB371" s="4">
        <f>AVERAGEIFS(Modelling[[Comisined DC ]],Modelling[Date],"&lt;="&amp;Modelling[[#This Row],[Date]],Modelling[Finacial Year],Modelling[[#This Row],[Finacial Year]])</f>
        <v>14.252581073446274</v>
      </c>
      <c r="CG371">
        <f t="shared" si="119"/>
        <v>19</v>
      </c>
      <c r="CH371">
        <f t="shared" si="128"/>
        <v>354</v>
      </c>
    </row>
    <row r="372" spans="1:86" x14ac:dyDescent="0.35">
      <c r="A372" s="27">
        <v>45371</v>
      </c>
      <c r="B372" s="5">
        <f>MONTH(Modelling_old[[#This Row],[Date]])</f>
        <v>3</v>
      </c>
      <c r="C372" s="25">
        <v>2024</v>
      </c>
      <c r="D372" s="3">
        <f t="shared" si="129"/>
        <v>2024</v>
      </c>
      <c r="E372" s="3" t="s">
        <v>626</v>
      </c>
      <c r="F372" s="5" t="s">
        <v>626</v>
      </c>
      <c r="G372" s="102">
        <v>45352</v>
      </c>
      <c r="H372" s="5">
        <f t="shared" si="130"/>
        <v>31</v>
      </c>
      <c r="I372" s="5">
        <f t="shared" si="131"/>
        <v>3</v>
      </c>
      <c r="J372" s="4">
        <f t="shared" si="132"/>
        <v>54.516129032258064</v>
      </c>
      <c r="K372" s="4">
        <f>SUM($J$353:J372)</f>
        <v>1090.3225806451612</v>
      </c>
      <c r="L372" s="4">
        <f>SUM($J$18:J372)</f>
        <v>16800.322580645152</v>
      </c>
      <c r="M372" s="4">
        <f t="shared" si="133"/>
        <v>6.9</v>
      </c>
      <c r="N372" s="4">
        <f>SUM($M$353:M372)</f>
        <v>138.00000000000006</v>
      </c>
      <c r="O372" s="4">
        <f>SUM($M$18:M372)</f>
        <v>2097.5928571428544</v>
      </c>
      <c r="P372" s="9">
        <f t="shared" si="134"/>
        <v>0.68684861172593881</v>
      </c>
      <c r="Q372" s="26">
        <f t="shared" si="135"/>
        <v>0.68684861172593847</v>
      </c>
      <c r="R372" s="26">
        <f t="shared" si="136"/>
        <v>0.69627616707390116</v>
      </c>
      <c r="S372" s="9">
        <f t="shared" si="137"/>
        <v>0.19746897587120743</v>
      </c>
      <c r="T372" s="9">
        <f>K372/((COUNT($K$353:K372))*24*$Q$1)</f>
        <v>0.1974689758712074</v>
      </c>
      <c r="U372" s="28">
        <f>L372/((COUNT($L$18:L372))*24*$Q$1)</f>
        <v>0.17142064725974412</v>
      </c>
      <c r="V372" s="134">
        <v>11.5031</v>
      </c>
      <c r="Y372" s="27">
        <f t="shared" si="126"/>
        <v>45371</v>
      </c>
      <c r="Z372" s="5">
        <f>MONTH(Modelling_new[[#This Row],[Date]])</f>
        <v>3</v>
      </c>
      <c r="AA372" s="25">
        <f>YEAR(Y372)+IF(MONTH(Modelling_new[[#This Row],[Date]])&gt;=4,1,0)</f>
        <v>2024</v>
      </c>
      <c r="AB372" s="3">
        <f t="shared" si="120"/>
        <v>2024</v>
      </c>
      <c r="AC372" s="3" t="s">
        <v>626</v>
      </c>
      <c r="AD372" s="5" t="s">
        <v>626</v>
      </c>
      <c r="AE372" s="102">
        <v>45352</v>
      </c>
      <c r="AF372" s="5">
        <f t="shared" si="121"/>
        <v>31</v>
      </c>
      <c r="AG372" s="5">
        <f t="shared" si="122"/>
        <v>3</v>
      </c>
      <c r="AH372" s="4">
        <f>(VLOOKUP(AG372,$AA$2:$AK$13,10,0)/AF372)*Modelling_new[[#This Row],[Factor]]</f>
        <v>73.423457748386625</v>
      </c>
      <c r="AI372" s="4">
        <f>SUMIFS(Modelling_new[Target E_Grid daily
MWh],Modelling_new[Month Year],Modelling_new[[#This Row],[Month Year]],Modelling_new[Date],"&lt;="&amp;Modelling_new[[#This Row],[Date]])</f>
        <v>1468.4691549677332</v>
      </c>
      <c r="AJ372" s="4">
        <f>SUMIFS(Modelling_new[Target E_Grid daily
MWh],Modelling_new[Finacial Year],Modelling_new[[#This Row],[Finacial Year]],Modelling_new[Date],"&lt;="&amp;Modelling_new[[#This Row],[Date]])</f>
        <v>5428.2859522677245</v>
      </c>
      <c r="AK372" s="4">
        <f t="shared" si="138"/>
        <v>6.877058658064521</v>
      </c>
      <c r="AL372" s="4">
        <f>SUMIFS(Modelling_new[Target POA Daily (KWh/m2)],Modelling_new[Month Year],Modelling_new[[#This Row],[Month Year]],Modelling_new[Date],"&lt;="&amp;Modelling_new[[#This Row],[Date]])</f>
        <v>137.54117316129049</v>
      </c>
      <c r="AM372" s="4">
        <f>SUMIFS(Modelling_new[Target POA Daily (KWh/m2)],Modelling_new[Finacial Year],Modelling_new[[#This Row],[Finacial Year]],Modelling_new[Date],"&lt;="&amp;Modelling_new[[#This Row],[Date]])</f>
        <v>498.98312951843377</v>
      </c>
      <c r="AN372" s="9">
        <f>AH372/Modelling_new[[#This Row],[Comisined DC ]]/AK372</f>
        <v>0.83410770822290803</v>
      </c>
      <c r="AO372" s="9">
        <f>AI372/AL372/Modelling_new[[#This Row],[MTD DC Capcity]]</f>
        <v>0.83410770822290781</v>
      </c>
      <c r="AP372" s="9">
        <f>AJ372/AM372/Modelling_new[[#This Row],[YTD DC Capcity]]</f>
        <v>0.84989815272953007</v>
      </c>
      <c r="AQ372" s="9">
        <f>AH372/(24*Modelling_new[[#This Row],[Comisined DC ]])</f>
        <v>0.239008651524696</v>
      </c>
      <c r="AR372" s="9">
        <f>AI372/(COUNTIFS(Modelling_new[Date],"&lt;="&amp;Modelling_new[[#This Row],[Date]],Modelling_new[Month Year],Modelling_new[[#This Row],[Month Year]])*24*Modelling_new[[#This Row],[MTD DC Capcity]])</f>
        <v>0.23900865152469611</v>
      </c>
      <c r="AS372" s="28">
        <f>AJ372/(COUNTIFS(Modelling_new[Date],"&lt;="&amp;Modelling_new[[#This Row],[Date]],Modelling_new[Finacial Year],Modelling_new[[#This Row],[Finacial Year]],Modelling_new[Target E_Grid YTD
MWh],"&gt;"&amp;0)*24*Modelling_new[[#This Row],[YTD DC Capcity]])</f>
        <v>0.22087752084422743</v>
      </c>
      <c r="AT372" s="5">
        <v>12.8</v>
      </c>
      <c r="AU372" s="9">
        <f>Modelling_new[[#This Row],[Comisined DC ]]/$AO$1</f>
        <v>1</v>
      </c>
      <c r="AV372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72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372" s="27">
        <f t="shared" si="127"/>
        <v>45371</v>
      </c>
      <c r="BE372" s="5">
        <f>MONTH(Modelling[[#This Row],[Date]])</f>
        <v>3</v>
      </c>
      <c r="BF372" s="25">
        <f>YEAR(BD372)+IF(MONTH(Modelling[[#This Row],[Date]])&gt;=4,1,0)</f>
        <v>2024</v>
      </c>
      <c r="BG372" s="3">
        <f t="shared" si="123"/>
        <v>2024</v>
      </c>
      <c r="BH372" s="3" t="s">
        <v>626</v>
      </c>
      <c r="BI372" s="5" t="s">
        <v>626</v>
      </c>
      <c r="BJ372" s="102">
        <v>45352</v>
      </c>
      <c r="BK372" s="5">
        <f t="shared" si="124"/>
        <v>31</v>
      </c>
      <c r="BL372" s="5">
        <f t="shared" si="125"/>
        <v>3</v>
      </c>
      <c r="BM372" s="4">
        <f>Modelling_old[[#This Row],[Target E_Grid daily
MWh]]+Modelling_new[[#This Row],[Target E_Grid daily
MWh]]</f>
        <v>127.93958678064469</v>
      </c>
      <c r="BN372" s="4">
        <f>Modelling_old[[#This Row],[Target E_Grid MTD
MWh]]+Modelling_new[[#This Row],[Target E_Grid MTD
MWh]]</f>
        <v>2558.7917356128946</v>
      </c>
      <c r="BO372" s="4">
        <f>Modelling_old[[#This Row],[Target E_Grid YTD
MWh]]+Modelling_new[[#This Row],[Target E_Grid YTD
MWh]]</f>
        <v>22228.608532912876</v>
      </c>
      <c r="BP37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72" s="4">
        <f>SUMIFS(Modelling[Target POA Daily (KWh/m2)],Modelling[Date],"&lt;="&amp;Modelling[[#This Row],[Date]],Modelling[Month Year],Modelling[[#This Row],[Month Year]])</f>
        <v>137.7583442632635</v>
      </c>
      <c r="BR372" s="4">
        <f>SUMIFS(Modelling[Target POA Daily (KWh/m2)],Modelling[Date],"&lt;="&amp;Modelling[[#This Row],[Date]],Modelling[Finacial Year],Modelling[[#This Row],[Finacial Year]])</f>
        <v>2082.5554434362489</v>
      </c>
      <c r="BS372" s="9">
        <f>BM372/Modelling[[#This Row],[Comisined DC ]]/BP372</f>
        <v>0.76428502649716468</v>
      </c>
      <c r="BT372" s="9">
        <f>BN372/BQ372/Modelling[[#This Row],[Comisined DC ]]</f>
        <v>0.76428502649716457</v>
      </c>
      <c r="BU372" s="9">
        <f>BO372/BR372/Modelling[[#This Row],[Comisined DC ]]</f>
        <v>0.43919160620542519</v>
      </c>
      <c r="BV372" s="9">
        <f>BM372/(24*Modelling[[#This Row],[Comisined DC ]])</f>
        <v>0.2193471662405288</v>
      </c>
      <c r="BW372" s="9">
        <f>BN372/((COUNTIFS(Modelling[Date],"&lt;="&amp;Modelling[[#This Row],[Date]],Modelling[Month Year],Modelling[[#This Row],[Month Year]])*24*Modelling[[#This Row],[MTD DC Capcity]]))</f>
        <v>0.21934716624052894</v>
      </c>
      <c r="BX372" s="28">
        <f>BO372/((COUNTIFS(Modelling[Date],"&lt;="&amp;Modelling[[#This Row],[Date]],Modelling[Finacial Year],Modelling[[#This Row],[Finacial Year]])*24*Modelling[[#This Row],[MTD DC Capcity]]))</f>
        <v>0.10735221481392231</v>
      </c>
      <c r="BY372" s="4">
        <f>Modelling_old[[#This Row],[DC Capcity]]+Modelling_new[[#This Row],[Comisined DC ]]</f>
        <v>24.303100000000001</v>
      </c>
      <c r="BZ372" s="4">
        <v>0</v>
      </c>
      <c r="CA372" s="4">
        <f>AVERAGEIFS(Modelling[[Comisined DC ]],Modelling[Date],"&lt;="&amp;Modelling[[#This Row],[Date]],Modelling[Month Year],Modelling[[#This Row],[Month Year]])</f>
        <v>24.30309999999999</v>
      </c>
      <c r="CB372" s="4">
        <f>AVERAGEIFS(Modelling[[Comisined DC ]],Modelling[Date],"&lt;="&amp;Modelling[[#This Row],[Date]],Modelling[Finacial Year],Modelling[[#This Row],[Finacial Year]])</f>
        <v>14.280892394366143</v>
      </c>
      <c r="CG372">
        <f t="shared" si="119"/>
        <v>20</v>
      </c>
      <c r="CH372">
        <f t="shared" si="128"/>
        <v>355</v>
      </c>
    </row>
    <row r="373" spans="1:86" x14ac:dyDescent="0.35">
      <c r="A373" s="27">
        <v>45372</v>
      </c>
      <c r="B373" s="5">
        <f>MONTH(Modelling_old[[#This Row],[Date]])</f>
        <v>3</v>
      </c>
      <c r="C373" s="25">
        <v>2024</v>
      </c>
      <c r="D373" s="3">
        <f t="shared" si="129"/>
        <v>2024</v>
      </c>
      <c r="E373" s="3" t="s">
        <v>626</v>
      </c>
      <c r="F373" s="5" t="s">
        <v>626</v>
      </c>
      <c r="G373" s="102">
        <v>45352</v>
      </c>
      <c r="H373" s="5">
        <f t="shared" si="130"/>
        <v>31</v>
      </c>
      <c r="I373" s="5">
        <f t="shared" si="131"/>
        <v>3</v>
      </c>
      <c r="J373" s="4">
        <f t="shared" si="132"/>
        <v>54.516129032258064</v>
      </c>
      <c r="K373" s="4">
        <f>SUM($J$353:J373)</f>
        <v>1144.8387096774193</v>
      </c>
      <c r="L373" s="4">
        <f>SUM($J$18:J373)</f>
        <v>16854.838709677409</v>
      </c>
      <c r="M373" s="4">
        <f t="shared" si="133"/>
        <v>6.9</v>
      </c>
      <c r="N373" s="4">
        <f>SUM($M$353:M373)</f>
        <v>144.90000000000006</v>
      </c>
      <c r="O373" s="4">
        <f>SUM($M$18:M373)</f>
        <v>2104.4928571428545</v>
      </c>
      <c r="P373" s="9">
        <f t="shared" si="134"/>
        <v>0.68684861172593881</v>
      </c>
      <c r="Q373" s="26">
        <f t="shared" si="135"/>
        <v>0.68684861172593847</v>
      </c>
      <c r="R373" s="26">
        <f t="shared" si="136"/>
        <v>0.69624525695145512</v>
      </c>
      <c r="S373" s="9">
        <f t="shared" si="137"/>
        <v>0.19746897587120743</v>
      </c>
      <c r="T373" s="9">
        <f>K373/((COUNT($K$353:K373))*24*$Q$1)</f>
        <v>0.1974689758712074</v>
      </c>
      <c r="U373" s="28">
        <f>L373/((COUNT($L$18:L373))*24*$Q$1)</f>
        <v>0.17149381672213587</v>
      </c>
      <c r="V373" s="134">
        <v>11.5031</v>
      </c>
      <c r="Y373" s="27">
        <f t="shared" si="126"/>
        <v>45372</v>
      </c>
      <c r="Z373" s="5">
        <f>MONTH(Modelling_new[[#This Row],[Date]])</f>
        <v>3</v>
      </c>
      <c r="AA373" s="25">
        <f>YEAR(Y373)+IF(MONTH(Modelling_new[[#This Row],[Date]])&gt;=4,1,0)</f>
        <v>2024</v>
      </c>
      <c r="AB373" s="3">
        <f t="shared" si="120"/>
        <v>2024</v>
      </c>
      <c r="AC373" s="3" t="s">
        <v>626</v>
      </c>
      <c r="AD373" s="5" t="s">
        <v>626</v>
      </c>
      <c r="AE373" s="102">
        <v>45352</v>
      </c>
      <c r="AF373" s="5">
        <f t="shared" si="121"/>
        <v>31</v>
      </c>
      <c r="AG373" s="5">
        <f t="shared" si="122"/>
        <v>3</v>
      </c>
      <c r="AH373" s="4">
        <f>(VLOOKUP(AG373,$AA$2:$AK$13,10,0)/AF373)*Modelling_new[[#This Row],[Factor]]</f>
        <v>73.423457748386625</v>
      </c>
      <c r="AI373" s="4">
        <f>SUMIFS(Modelling_new[Target E_Grid daily
MWh],Modelling_new[Month Year],Modelling_new[[#This Row],[Month Year]],Modelling_new[Date],"&lt;="&amp;Modelling_new[[#This Row],[Date]])</f>
        <v>1541.8926127161199</v>
      </c>
      <c r="AJ373" s="4">
        <f>SUMIFS(Modelling_new[Target E_Grid daily
MWh],Modelling_new[Finacial Year],Modelling_new[[#This Row],[Finacial Year]],Modelling_new[Date],"&lt;="&amp;Modelling_new[[#This Row],[Date]])</f>
        <v>5501.7094100161112</v>
      </c>
      <c r="AK373" s="4">
        <f t="shared" si="138"/>
        <v>6.877058658064521</v>
      </c>
      <c r="AL373" s="4">
        <f>SUMIFS(Modelling_new[Target POA Daily (KWh/m2)],Modelling_new[Month Year],Modelling_new[[#This Row],[Month Year]],Modelling_new[Date],"&lt;="&amp;Modelling_new[[#This Row],[Date]])</f>
        <v>144.41823181935501</v>
      </c>
      <c r="AM373" s="4">
        <f>SUMIFS(Modelling_new[Target POA Daily (KWh/m2)],Modelling_new[Finacial Year],Modelling_new[[#This Row],[Finacial Year]],Modelling_new[Date],"&lt;="&amp;Modelling_new[[#This Row],[Date]])</f>
        <v>505.8601881764983</v>
      </c>
      <c r="AN373" s="9">
        <f>AH373/Modelling_new[[#This Row],[Comisined DC ]]/AK373</f>
        <v>0.83410770822290803</v>
      </c>
      <c r="AO373" s="9">
        <f>AI373/AL373/Modelling_new[[#This Row],[MTD DC Capcity]]</f>
        <v>0.83410770822290781</v>
      </c>
      <c r="AP373" s="9">
        <f>AJ373/AM373/Modelling_new[[#This Row],[YTD DC Capcity]]</f>
        <v>0.84968348508885172</v>
      </c>
      <c r="AQ373" s="9">
        <f>AH373/(24*Modelling_new[[#This Row],[Comisined DC ]])</f>
        <v>0.239008651524696</v>
      </c>
      <c r="AR373" s="9">
        <f>AI373/(COUNTIFS(Modelling_new[Date],"&lt;="&amp;Modelling_new[[#This Row],[Date]],Modelling_new[Month Year],Modelling_new[[#This Row],[Month Year]])*24*Modelling_new[[#This Row],[MTD DC Capcity]])</f>
        <v>0.23900865152469611</v>
      </c>
      <c r="AS373" s="28">
        <f>AJ373/(COUNTIFS(Modelling_new[Date],"&lt;="&amp;Modelling_new[[#This Row],[Date]],Modelling_new[Finacial Year],Modelling_new[[#This Row],[Finacial Year]],Modelling_new[Target E_Grid YTD
MWh],"&gt;"&amp;0)*24*Modelling_new[[#This Row],[YTD DC Capcity]])</f>
        <v>0.22110136196373939</v>
      </c>
      <c r="AT373" s="5">
        <v>12.8</v>
      </c>
      <c r="AU373" s="9">
        <f>Modelling_new[[#This Row],[Comisined DC ]]/$AO$1</f>
        <v>1</v>
      </c>
      <c r="AV373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73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373" s="27">
        <f t="shared" si="127"/>
        <v>45372</v>
      </c>
      <c r="BE373" s="5">
        <f>MONTH(Modelling[[#This Row],[Date]])</f>
        <v>3</v>
      </c>
      <c r="BF373" s="25">
        <f>YEAR(BD373)+IF(MONTH(Modelling[[#This Row],[Date]])&gt;=4,1,0)</f>
        <v>2024</v>
      </c>
      <c r="BG373" s="3">
        <f t="shared" si="123"/>
        <v>2024</v>
      </c>
      <c r="BH373" s="3" t="s">
        <v>626</v>
      </c>
      <c r="BI373" s="5" t="s">
        <v>626</v>
      </c>
      <c r="BJ373" s="102">
        <v>45352</v>
      </c>
      <c r="BK373" s="5">
        <f t="shared" si="124"/>
        <v>31</v>
      </c>
      <c r="BL373" s="5">
        <f t="shared" si="125"/>
        <v>3</v>
      </c>
      <c r="BM373" s="4">
        <f>Modelling_old[[#This Row],[Target E_Grid daily
MWh]]+Modelling_new[[#This Row],[Target E_Grid daily
MWh]]</f>
        <v>127.93958678064469</v>
      </c>
      <c r="BN373" s="4">
        <f>Modelling_old[[#This Row],[Target E_Grid MTD
MWh]]+Modelling_new[[#This Row],[Target E_Grid MTD
MWh]]</f>
        <v>2686.7313223935389</v>
      </c>
      <c r="BO373" s="4">
        <f>Modelling_old[[#This Row],[Target E_Grid YTD
MWh]]+Modelling_new[[#This Row],[Target E_Grid YTD
MWh]]</f>
        <v>22356.548119693522</v>
      </c>
      <c r="BP373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73" s="4">
        <f>SUMIFS(Modelling[Target POA Daily (KWh/m2)],Modelling[Date],"&lt;="&amp;Modelling[[#This Row],[Date]],Modelling[Month Year],Modelling[[#This Row],[Month Year]])</f>
        <v>144.64626147642667</v>
      </c>
      <c r="BR373" s="4">
        <f>SUMIFS(Modelling[Target POA Daily (KWh/m2)],Modelling[Date],"&lt;="&amp;Modelling[[#This Row],[Date]],Modelling[Finacial Year],Modelling[[#This Row],[Finacial Year]])</f>
        <v>2089.4433606494122</v>
      </c>
      <c r="BS373" s="9">
        <f>BM373/Modelling[[#This Row],[Comisined DC ]]/BP373</f>
        <v>0.76428502649716468</v>
      </c>
      <c r="BT373" s="9">
        <f>BN373/BQ373/Modelling[[#This Row],[Comisined DC ]]</f>
        <v>0.76428502649716445</v>
      </c>
      <c r="BU373" s="9">
        <f>BO373/BR373/Modelling[[#This Row],[Comisined DC ]]</f>
        <v>0.44026328711704255</v>
      </c>
      <c r="BV373" s="9">
        <f>BM373/(24*Modelling[[#This Row],[Comisined DC ]])</f>
        <v>0.2193471662405288</v>
      </c>
      <c r="BW373" s="9">
        <f>BN373/((COUNTIFS(Modelling[Date],"&lt;="&amp;Modelling[[#This Row],[Date]],Modelling[Month Year],Modelling[[#This Row],[Month Year]])*24*Modelling[[#This Row],[MTD DC Capcity]]))</f>
        <v>0.21934716624052894</v>
      </c>
      <c r="BX373" s="28">
        <f>BO373/((COUNTIFS(Modelling[Date],"&lt;="&amp;Modelling[[#This Row],[Date]],Modelling[Finacial Year],Modelling[[#This Row],[Finacial Year]])*24*Modelling[[#This Row],[MTD DC Capcity]]))</f>
        <v>0.10766680737410941</v>
      </c>
      <c r="BY373" s="4">
        <f>Modelling_old[[#This Row],[DC Capcity]]+Modelling_new[[#This Row],[Comisined DC ]]</f>
        <v>24.303100000000001</v>
      </c>
      <c r="BZ373" s="4">
        <v>0</v>
      </c>
      <c r="CA373" s="4">
        <f>AVERAGEIFS(Modelling[[Comisined DC ]],Modelling[Date],"&lt;="&amp;Modelling[[#This Row],[Date]],Modelling[Month Year],Modelling[[#This Row],[Month Year]])</f>
        <v>24.30309999999999</v>
      </c>
      <c r="CB373" s="4">
        <f>AVERAGEIFS(Modelling[[Comisined DC ]],Modelling[Date],"&lt;="&amp;Modelling[[#This Row],[Date]],Modelling[Finacial Year],Modelling[[#This Row],[Finacial Year]])</f>
        <v>14.309044662921295</v>
      </c>
      <c r="CG373">
        <f t="shared" si="119"/>
        <v>21</v>
      </c>
      <c r="CH373">
        <f t="shared" si="128"/>
        <v>356</v>
      </c>
    </row>
    <row r="374" spans="1:86" x14ac:dyDescent="0.35">
      <c r="A374" s="27">
        <v>45373</v>
      </c>
      <c r="B374" s="5">
        <f>MONTH(Modelling_old[[#This Row],[Date]])</f>
        <v>3</v>
      </c>
      <c r="C374" s="25">
        <v>2024</v>
      </c>
      <c r="D374" s="3">
        <f t="shared" si="129"/>
        <v>2024</v>
      </c>
      <c r="E374" s="3" t="s">
        <v>626</v>
      </c>
      <c r="F374" s="5" t="s">
        <v>626</v>
      </c>
      <c r="G374" s="102">
        <v>45352</v>
      </c>
      <c r="H374" s="5">
        <f t="shared" si="130"/>
        <v>31</v>
      </c>
      <c r="I374" s="5">
        <f t="shared" si="131"/>
        <v>3</v>
      </c>
      <c r="J374" s="4">
        <f t="shared" si="132"/>
        <v>54.516129032258064</v>
      </c>
      <c r="K374" s="4">
        <f>SUM($J$353:J374)</f>
        <v>1199.3548387096773</v>
      </c>
      <c r="L374" s="4">
        <f>SUM($J$18:J374)</f>
        <v>16909.354838709667</v>
      </c>
      <c r="M374" s="4">
        <f t="shared" si="133"/>
        <v>6.9</v>
      </c>
      <c r="N374" s="4">
        <f>SUM($M$353:M374)</f>
        <v>151.80000000000007</v>
      </c>
      <c r="O374" s="4">
        <f>SUM($M$18:M374)</f>
        <v>2111.3928571428546</v>
      </c>
      <c r="P374" s="9">
        <f t="shared" si="134"/>
        <v>0.68684861172593881</v>
      </c>
      <c r="Q374" s="26">
        <f t="shared" si="135"/>
        <v>0.68684861172593847</v>
      </c>
      <c r="R374" s="26">
        <f t="shared" si="136"/>
        <v>0.69621454885663669</v>
      </c>
      <c r="S374" s="9">
        <f t="shared" si="137"/>
        <v>0.19746897587120743</v>
      </c>
      <c r="T374" s="9">
        <f>K374/((COUNT($K$353:K374))*24*$Q$1)</f>
        <v>0.1974689758712074</v>
      </c>
      <c r="U374" s="28">
        <f>L374/((COUNT($L$18:L374))*24*$Q$1)</f>
        <v>0.17156657627157304</v>
      </c>
      <c r="V374" s="134">
        <v>11.5031</v>
      </c>
      <c r="Y374" s="27">
        <f t="shared" si="126"/>
        <v>45373</v>
      </c>
      <c r="Z374" s="5">
        <f>MONTH(Modelling_new[[#This Row],[Date]])</f>
        <v>3</v>
      </c>
      <c r="AA374" s="25">
        <f>YEAR(Y374)+IF(MONTH(Modelling_new[[#This Row],[Date]])&gt;=4,1,0)</f>
        <v>2024</v>
      </c>
      <c r="AB374" s="3">
        <f t="shared" si="120"/>
        <v>2024</v>
      </c>
      <c r="AC374" s="3" t="s">
        <v>626</v>
      </c>
      <c r="AD374" s="5" t="s">
        <v>626</v>
      </c>
      <c r="AE374" s="102">
        <v>45352</v>
      </c>
      <c r="AF374" s="5">
        <f t="shared" si="121"/>
        <v>31</v>
      </c>
      <c r="AG374" s="5">
        <f t="shared" si="122"/>
        <v>3</v>
      </c>
      <c r="AH374" s="4">
        <f>(VLOOKUP(AG374,$AA$2:$AK$13,10,0)/AF374)*Modelling_new[[#This Row],[Factor]]</f>
        <v>73.423457748386625</v>
      </c>
      <c r="AI374" s="4">
        <f>SUMIFS(Modelling_new[Target E_Grid daily
MWh],Modelling_new[Month Year],Modelling_new[[#This Row],[Month Year]],Modelling_new[Date],"&lt;="&amp;Modelling_new[[#This Row],[Date]])</f>
        <v>1615.3160704645065</v>
      </c>
      <c r="AJ374" s="4">
        <f>SUMIFS(Modelling_new[Target E_Grid daily
MWh],Modelling_new[Finacial Year],Modelling_new[[#This Row],[Finacial Year]],Modelling_new[Date],"&lt;="&amp;Modelling_new[[#This Row],[Date]])</f>
        <v>5575.1328677644979</v>
      </c>
      <c r="AK374" s="4">
        <f t="shared" si="138"/>
        <v>6.877058658064521</v>
      </c>
      <c r="AL374" s="4">
        <f>SUMIFS(Modelling_new[Target POA Daily (KWh/m2)],Modelling_new[Month Year],Modelling_new[[#This Row],[Month Year]],Modelling_new[Date],"&lt;="&amp;Modelling_new[[#This Row],[Date]])</f>
        <v>151.29529047741954</v>
      </c>
      <c r="AM374" s="4">
        <f>SUMIFS(Modelling_new[Target POA Daily (KWh/m2)],Modelling_new[Finacial Year],Modelling_new[[#This Row],[Finacial Year]],Modelling_new[Date],"&lt;="&amp;Modelling_new[[#This Row],[Date]])</f>
        <v>512.73724683456282</v>
      </c>
      <c r="AN374" s="9">
        <f>AH374/Modelling_new[[#This Row],[Comisined DC ]]/AK374</f>
        <v>0.83410770822290803</v>
      </c>
      <c r="AO374" s="9">
        <f>AI374/AL374/Modelling_new[[#This Row],[MTD DC Capcity]]</f>
        <v>0.8341077082229077</v>
      </c>
      <c r="AP374" s="9">
        <f>AJ374/AM374/Modelling_new[[#This Row],[YTD DC Capcity]]</f>
        <v>0.84947457588279474</v>
      </c>
      <c r="AQ374" s="9">
        <f>AH374/(24*Modelling_new[[#This Row],[Comisined DC ]])</f>
        <v>0.239008651524696</v>
      </c>
      <c r="AR374" s="9">
        <f>AI374/(COUNTIFS(Modelling_new[Date],"&lt;="&amp;Modelling_new[[#This Row],[Date]],Modelling_new[Month Year],Modelling_new[[#This Row],[Month Year]])*24*Modelling_new[[#This Row],[MTD DC Capcity]])</f>
        <v>0.23900865152469608</v>
      </c>
      <c r="AS374" s="28">
        <f>AJ374/(COUNTIFS(Modelling_new[Date],"&lt;="&amp;Modelling_new[[#This Row],[Date]],Modelling_new[Finacial Year],Modelling_new[[#This Row],[Finacial Year]],Modelling_new[Target E_Grid YTD
MWh],"&gt;"&amp;0)*24*Modelling_new[[#This Row],[YTD DC Capcity]])</f>
        <v>0.22131974354375109</v>
      </c>
      <c r="AT374" s="5">
        <v>12.8</v>
      </c>
      <c r="AU374" s="9">
        <f>Modelling_new[[#This Row],[Comisined DC ]]/$AO$1</f>
        <v>1</v>
      </c>
      <c r="AV374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74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374" s="27">
        <f t="shared" si="127"/>
        <v>45373</v>
      </c>
      <c r="BE374" s="5">
        <f>MONTH(Modelling[[#This Row],[Date]])</f>
        <v>3</v>
      </c>
      <c r="BF374" s="25">
        <f>YEAR(BD374)+IF(MONTH(Modelling[[#This Row],[Date]])&gt;=4,1,0)</f>
        <v>2024</v>
      </c>
      <c r="BG374" s="3">
        <f t="shared" si="123"/>
        <v>2024</v>
      </c>
      <c r="BH374" s="3" t="s">
        <v>626</v>
      </c>
      <c r="BI374" s="5" t="s">
        <v>626</v>
      </c>
      <c r="BJ374" s="102">
        <v>45352</v>
      </c>
      <c r="BK374" s="5">
        <f t="shared" si="124"/>
        <v>31</v>
      </c>
      <c r="BL374" s="5">
        <f t="shared" si="125"/>
        <v>3</v>
      </c>
      <c r="BM374" s="4">
        <f>Modelling_old[[#This Row],[Target E_Grid daily
MWh]]+Modelling_new[[#This Row],[Target E_Grid daily
MWh]]</f>
        <v>127.93958678064469</v>
      </c>
      <c r="BN374" s="4">
        <f>Modelling_old[[#This Row],[Target E_Grid MTD
MWh]]+Modelling_new[[#This Row],[Target E_Grid MTD
MWh]]</f>
        <v>2814.6709091741841</v>
      </c>
      <c r="BO374" s="4">
        <f>Modelling_old[[#This Row],[Target E_Grid YTD
MWh]]+Modelling_new[[#This Row],[Target E_Grid YTD
MWh]]</f>
        <v>22484.487706474167</v>
      </c>
      <c r="BP374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74" s="4">
        <f>SUMIFS(Modelling[Target POA Daily (KWh/m2)],Modelling[Date],"&lt;="&amp;Modelling[[#This Row],[Date]],Modelling[Month Year],Modelling[[#This Row],[Month Year]])</f>
        <v>151.53417868958985</v>
      </c>
      <c r="BR374" s="4">
        <f>SUMIFS(Modelling[Target POA Daily (KWh/m2)],Modelling[Date],"&lt;="&amp;Modelling[[#This Row],[Date]],Modelling[Finacial Year],Modelling[[#This Row],[Finacial Year]])</f>
        <v>2096.3312778625755</v>
      </c>
      <c r="BS374" s="9">
        <f>BM374/Modelling[[#This Row],[Comisined DC ]]/BP374</f>
        <v>0.76428502649716468</v>
      </c>
      <c r="BT374" s="9">
        <f>BN374/BQ374/Modelling[[#This Row],[Comisined DC ]]</f>
        <v>0.76428502649716457</v>
      </c>
      <c r="BU374" s="9">
        <f>BO374/BR374/Modelling[[#This Row],[Comisined DC ]]</f>
        <v>0.44132792558314937</v>
      </c>
      <c r="BV374" s="9">
        <f>BM374/(24*Modelling[[#This Row],[Comisined DC ]])</f>
        <v>0.2193471662405288</v>
      </c>
      <c r="BW374" s="9">
        <f>BN374/((COUNTIFS(Modelling[Date],"&lt;="&amp;Modelling[[#This Row],[Date]],Modelling[Month Year],Modelling[[#This Row],[Month Year]])*24*Modelling[[#This Row],[MTD DC Capcity]]))</f>
        <v>0.219347166240529</v>
      </c>
      <c r="BX374" s="28">
        <f>BO374/((COUNTIFS(Modelling[Date],"&lt;="&amp;Modelling[[#This Row],[Date]],Modelling[Finacial Year],Modelling[[#This Row],[Finacial Year]])*24*Modelling[[#This Row],[MTD DC Capcity]]))</f>
        <v>0.10797963751099016</v>
      </c>
      <c r="BY374" s="4">
        <f>Modelling_old[[#This Row],[DC Capcity]]+Modelling_new[[#This Row],[Comisined DC ]]</f>
        <v>24.303100000000001</v>
      </c>
      <c r="BZ374" s="4">
        <v>0</v>
      </c>
      <c r="CA374" s="4">
        <f>AVERAGEIFS(Modelling[[Comisined DC ]],Modelling[Date],"&lt;="&amp;Modelling[[#This Row],[Date]],Modelling[Month Year],Modelling[[#This Row],[Month Year]])</f>
        <v>24.303099999999986</v>
      </c>
      <c r="CB374" s="4">
        <f>AVERAGEIFS(Modelling[[Comisined DC ]],Modelling[Date],"&lt;="&amp;Modelling[[#This Row],[Date]],Modelling[Finacial Year],Modelling[[#This Row],[Finacial Year]])</f>
        <v>14.337039215686222</v>
      </c>
      <c r="CG374">
        <f t="shared" si="119"/>
        <v>22</v>
      </c>
      <c r="CH374">
        <f t="shared" si="128"/>
        <v>357</v>
      </c>
    </row>
    <row r="375" spans="1:86" x14ac:dyDescent="0.35">
      <c r="A375" s="27">
        <v>45374</v>
      </c>
      <c r="B375" s="5">
        <f>MONTH(Modelling_old[[#This Row],[Date]])</f>
        <v>3</v>
      </c>
      <c r="C375" s="25">
        <v>2024</v>
      </c>
      <c r="D375" s="3">
        <f t="shared" si="129"/>
        <v>2024</v>
      </c>
      <c r="E375" s="3" t="s">
        <v>626</v>
      </c>
      <c r="F375" s="5" t="s">
        <v>626</v>
      </c>
      <c r="G375" s="102">
        <v>45352</v>
      </c>
      <c r="H375" s="5">
        <f t="shared" si="130"/>
        <v>31</v>
      </c>
      <c r="I375" s="5">
        <f t="shared" si="131"/>
        <v>3</v>
      </c>
      <c r="J375" s="4">
        <f t="shared" si="132"/>
        <v>54.516129032258064</v>
      </c>
      <c r="K375" s="4">
        <f>SUM($J$353:J375)</f>
        <v>1253.8709677419354</v>
      </c>
      <c r="L375" s="4">
        <f>SUM($J$18:J375)</f>
        <v>16963.870967741925</v>
      </c>
      <c r="M375" s="4">
        <f t="shared" si="133"/>
        <v>6.9</v>
      </c>
      <c r="N375" s="4">
        <f>SUM($M$353:M375)</f>
        <v>158.70000000000007</v>
      </c>
      <c r="O375" s="4">
        <f>SUM($M$18:M375)</f>
        <v>2118.2928571428547</v>
      </c>
      <c r="P375" s="9">
        <f t="shared" si="134"/>
        <v>0.68684861172593881</v>
      </c>
      <c r="Q375" s="26">
        <f t="shared" si="135"/>
        <v>0.68684861172593847</v>
      </c>
      <c r="R375" s="26">
        <f t="shared" si="136"/>
        <v>0.69618404081522778</v>
      </c>
      <c r="S375" s="9">
        <f t="shared" si="137"/>
        <v>0.19746897587120743</v>
      </c>
      <c r="T375" s="9">
        <f>K375/((COUNT($K$353:K375))*24*$Q$1)</f>
        <v>0.1974689758712074</v>
      </c>
      <c r="U375" s="28">
        <f>L375/((COUNT($L$18:L375))*24*$Q$1)</f>
        <v>0.17163892934308037</v>
      </c>
      <c r="V375" s="134">
        <v>11.5031</v>
      </c>
      <c r="Y375" s="27">
        <f t="shared" si="126"/>
        <v>45374</v>
      </c>
      <c r="Z375" s="5">
        <f>MONTH(Modelling_new[[#This Row],[Date]])</f>
        <v>3</v>
      </c>
      <c r="AA375" s="25">
        <f>YEAR(Y375)+IF(MONTH(Modelling_new[[#This Row],[Date]])&gt;=4,1,0)</f>
        <v>2024</v>
      </c>
      <c r="AB375" s="3">
        <f t="shared" si="120"/>
        <v>2024</v>
      </c>
      <c r="AC375" s="3" t="s">
        <v>626</v>
      </c>
      <c r="AD375" s="5" t="s">
        <v>626</v>
      </c>
      <c r="AE375" s="102">
        <v>45352</v>
      </c>
      <c r="AF375" s="5">
        <f t="shared" si="121"/>
        <v>31</v>
      </c>
      <c r="AG375" s="5">
        <f t="shared" si="122"/>
        <v>3</v>
      </c>
      <c r="AH375" s="4">
        <f>(VLOOKUP(AG375,$AA$2:$AK$13,10,0)/AF375)*Modelling_new[[#This Row],[Factor]]</f>
        <v>73.423457748386625</v>
      </c>
      <c r="AI375" s="4">
        <f>SUMIFS(Modelling_new[Target E_Grid daily
MWh],Modelling_new[Month Year],Modelling_new[[#This Row],[Month Year]],Modelling_new[Date],"&lt;="&amp;Modelling_new[[#This Row],[Date]])</f>
        <v>1688.7395282128932</v>
      </c>
      <c r="AJ375" s="4">
        <f>SUMIFS(Modelling_new[Target E_Grid daily
MWh],Modelling_new[Finacial Year],Modelling_new[[#This Row],[Finacial Year]],Modelling_new[Date],"&lt;="&amp;Modelling_new[[#This Row],[Date]])</f>
        <v>5648.5563255128845</v>
      </c>
      <c r="AK375" s="4">
        <f t="shared" si="138"/>
        <v>6.877058658064521</v>
      </c>
      <c r="AL375" s="4">
        <f>SUMIFS(Modelling_new[Target POA Daily (KWh/m2)],Modelling_new[Month Year],Modelling_new[[#This Row],[Month Year]],Modelling_new[Date],"&lt;="&amp;Modelling_new[[#This Row],[Date]])</f>
        <v>158.17234913548407</v>
      </c>
      <c r="AM375" s="4">
        <f>SUMIFS(Modelling_new[Target POA Daily (KWh/m2)],Modelling_new[Finacial Year],Modelling_new[[#This Row],[Finacial Year]],Modelling_new[Date],"&lt;="&amp;Modelling_new[[#This Row],[Date]])</f>
        <v>519.6143054926273</v>
      </c>
      <c r="AN375" s="9">
        <f>AH375/Modelling_new[[#This Row],[Comisined DC ]]/AK375</f>
        <v>0.83410770822290803</v>
      </c>
      <c r="AO375" s="9">
        <f>AI375/AL375/Modelling_new[[#This Row],[MTD DC Capcity]]</f>
        <v>0.8341077082229077</v>
      </c>
      <c r="AP375" s="9">
        <f>AJ375/AM375/Modelling_new[[#This Row],[YTD DC Capcity]]</f>
        <v>0.84927119647393201</v>
      </c>
      <c r="AQ375" s="9">
        <f>AH375/(24*Modelling_new[[#This Row],[Comisined DC ]])</f>
        <v>0.239008651524696</v>
      </c>
      <c r="AR375" s="9">
        <f>AI375/(COUNTIFS(Modelling_new[Date],"&lt;="&amp;Modelling_new[[#This Row],[Date]],Modelling_new[Month Year],Modelling_new[[#This Row],[Month Year]])*24*Modelling_new[[#This Row],[MTD DC Capcity]])</f>
        <v>0.23900865152469608</v>
      </c>
      <c r="AS375" s="28">
        <f>AJ375/(COUNTIFS(Modelling_new[Date],"&lt;="&amp;Modelling_new[[#This Row],[Date]],Modelling_new[Finacial Year],Modelling_new[[#This Row],[Finacial Year]],Modelling_new[Target E_Grid YTD
MWh],"&gt;"&amp;0)*24*Modelling_new[[#This Row],[YTD DC Capcity]])</f>
        <v>0.22153286291701546</v>
      </c>
      <c r="AT375" s="5">
        <v>12.8</v>
      </c>
      <c r="AU375" s="9">
        <f>Modelling_new[[#This Row],[Comisined DC ]]/$AO$1</f>
        <v>1</v>
      </c>
      <c r="AV37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75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375" s="27">
        <f t="shared" si="127"/>
        <v>45374</v>
      </c>
      <c r="BE375" s="5">
        <f>MONTH(Modelling[[#This Row],[Date]])</f>
        <v>3</v>
      </c>
      <c r="BF375" s="25">
        <f>YEAR(BD375)+IF(MONTH(Modelling[[#This Row],[Date]])&gt;=4,1,0)</f>
        <v>2024</v>
      </c>
      <c r="BG375" s="3">
        <f t="shared" si="123"/>
        <v>2024</v>
      </c>
      <c r="BH375" s="3" t="s">
        <v>626</v>
      </c>
      <c r="BI375" s="5" t="s">
        <v>626</v>
      </c>
      <c r="BJ375" s="102">
        <v>45352</v>
      </c>
      <c r="BK375" s="5">
        <f t="shared" si="124"/>
        <v>31</v>
      </c>
      <c r="BL375" s="5">
        <f t="shared" si="125"/>
        <v>3</v>
      </c>
      <c r="BM375" s="4">
        <f>Modelling_old[[#This Row],[Target E_Grid daily
MWh]]+Modelling_new[[#This Row],[Target E_Grid daily
MWh]]</f>
        <v>127.93958678064469</v>
      </c>
      <c r="BN375" s="4">
        <f>Modelling_old[[#This Row],[Target E_Grid MTD
MWh]]+Modelling_new[[#This Row],[Target E_Grid MTD
MWh]]</f>
        <v>2942.6104959548284</v>
      </c>
      <c r="BO375" s="4">
        <f>Modelling_old[[#This Row],[Target E_Grid YTD
MWh]]+Modelling_new[[#This Row],[Target E_Grid YTD
MWh]]</f>
        <v>22612.427293254808</v>
      </c>
      <c r="BP375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75" s="4">
        <f>SUMIFS(Modelling[Target POA Daily (KWh/m2)],Modelling[Date],"&lt;="&amp;Modelling[[#This Row],[Date]],Modelling[Month Year],Modelling[[#This Row],[Month Year]])</f>
        <v>158.42209590275303</v>
      </c>
      <c r="BR375" s="4">
        <f>SUMIFS(Modelling[Target POA Daily (KWh/m2)],Modelling[Date],"&lt;="&amp;Modelling[[#This Row],[Date]],Modelling[Finacial Year],Modelling[[#This Row],[Finacial Year]])</f>
        <v>2103.2191950757388</v>
      </c>
      <c r="BS375" s="9">
        <f>BM375/Modelling[[#This Row],[Comisined DC ]]/BP375</f>
        <v>0.76428502649716468</v>
      </c>
      <c r="BT375" s="9">
        <f>BN375/BQ375/Modelling[[#This Row],[Comisined DC ]]</f>
        <v>0.76428502649716445</v>
      </c>
      <c r="BU375" s="9">
        <f>BO375/BR375/Modelling[[#This Row],[Comisined DC ]]</f>
        <v>0.44238559079451056</v>
      </c>
      <c r="BV375" s="9">
        <f>BM375/(24*Modelling[[#This Row],[Comisined DC ]])</f>
        <v>0.2193471662405288</v>
      </c>
      <c r="BW375" s="9">
        <f>BN375/((COUNTIFS(Modelling[Date],"&lt;="&amp;Modelling[[#This Row],[Date]],Modelling[Month Year],Modelling[[#This Row],[Month Year]])*24*Modelling[[#This Row],[MTD DC Capcity]]))</f>
        <v>0.21934716624052894</v>
      </c>
      <c r="BX375" s="28">
        <f>BO375/((COUNTIFS(Modelling[Date],"&lt;="&amp;Modelling[[#This Row],[Date]],Modelling[Finacial Year],Modelling[[#This Row],[Finacial Year]])*24*Modelling[[#This Row],[MTD DC Capcity]]))</f>
        <v>0.10829071999347489</v>
      </c>
      <c r="BY375" s="4">
        <f>Modelling_old[[#This Row],[DC Capcity]]+Modelling_new[[#This Row],[Comisined DC ]]</f>
        <v>24.303100000000001</v>
      </c>
      <c r="BZ375" s="4">
        <v>0</v>
      </c>
      <c r="CA375" s="4">
        <f>AVERAGEIFS(Modelling[[Comisined DC ]],Modelling[Date],"&lt;="&amp;Modelling[[#This Row],[Date]],Modelling[Month Year],Modelling[[#This Row],[Month Year]])</f>
        <v>24.303099999999986</v>
      </c>
      <c r="CB375" s="4">
        <f>AVERAGEIFS(Modelling[[Comisined DC ]],Modelling[Date],"&lt;="&amp;Modelling[[#This Row],[Date]],Modelling[Finacial Year],Modelling[[#This Row],[Finacial Year]])</f>
        <v>14.364877374301624</v>
      </c>
      <c r="CG375">
        <f t="shared" si="119"/>
        <v>23</v>
      </c>
      <c r="CH375">
        <f t="shared" si="128"/>
        <v>358</v>
      </c>
    </row>
    <row r="376" spans="1:86" x14ac:dyDescent="0.35">
      <c r="A376" s="27">
        <v>45375</v>
      </c>
      <c r="B376" s="5">
        <f>MONTH(Modelling_old[[#This Row],[Date]])</f>
        <v>3</v>
      </c>
      <c r="C376" s="25">
        <v>2024</v>
      </c>
      <c r="D376" s="3">
        <f t="shared" si="129"/>
        <v>2024</v>
      </c>
      <c r="E376" s="3" t="s">
        <v>626</v>
      </c>
      <c r="F376" s="5" t="s">
        <v>626</v>
      </c>
      <c r="G376" s="102">
        <v>45352</v>
      </c>
      <c r="H376" s="5">
        <f t="shared" si="130"/>
        <v>31</v>
      </c>
      <c r="I376" s="5">
        <f t="shared" si="131"/>
        <v>3</v>
      </c>
      <c r="J376" s="4">
        <f t="shared" si="132"/>
        <v>54.516129032258064</v>
      </c>
      <c r="K376" s="4">
        <f>SUM($J$353:J376)</f>
        <v>1308.3870967741934</v>
      </c>
      <c r="L376" s="4">
        <f>SUM($J$18:J376)</f>
        <v>17018.387096774182</v>
      </c>
      <c r="M376" s="4">
        <f t="shared" si="133"/>
        <v>6.9</v>
      </c>
      <c r="N376" s="4">
        <f>SUM($M$353:M376)</f>
        <v>165.60000000000008</v>
      </c>
      <c r="O376" s="4">
        <f>SUM($M$18:M376)</f>
        <v>2125.1928571428548</v>
      </c>
      <c r="P376" s="9">
        <f t="shared" si="134"/>
        <v>0.68684861172593881</v>
      </c>
      <c r="Q376" s="26">
        <f t="shared" si="135"/>
        <v>0.68684861172593847</v>
      </c>
      <c r="R376" s="26">
        <f t="shared" si="136"/>
        <v>0.69615373087864973</v>
      </c>
      <c r="S376" s="9">
        <f t="shared" si="137"/>
        <v>0.19746897587120743</v>
      </c>
      <c r="T376" s="9">
        <f>K376/((COUNT($K$353:K376))*24*$Q$1)</f>
        <v>0.1974689758712074</v>
      </c>
      <c r="U376" s="28">
        <f>L376/((COUNT($L$18:L376))*24*$Q$1)</f>
        <v>0.17171087933340942</v>
      </c>
      <c r="V376" s="134">
        <v>11.5031</v>
      </c>
      <c r="Y376" s="27">
        <f t="shared" si="126"/>
        <v>45375</v>
      </c>
      <c r="Z376" s="5">
        <f>MONTH(Modelling_new[[#This Row],[Date]])</f>
        <v>3</v>
      </c>
      <c r="AA376" s="25">
        <f>YEAR(Y376)+IF(MONTH(Modelling_new[[#This Row],[Date]])&gt;=4,1,0)</f>
        <v>2024</v>
      </c>
      <c r="AB376" s="3">
        <f t="shared" si="120"/>
        <v>2024</v>
      </c>
      <c r="AC376" s="3" t="s">
        <v>626</v>
      </c>
      <c r="AD376" s="5" t="s">
        <v>626</v>
      </c>
      <c r="AE376" s="102">
        <v>45352</v>
      </c>
      <c r="AF376" s="5">
        <f t="shared" si="121"/>
        <v>31</v>
      </c>
      <c r="AG376" s="5">
        <f t="shared" si="122"/>
        <v>3</v>
      </c>
      <c r="AH376" s="4">
        <f>(VLOOKUP(AG376,$AA$2:$AK$13,10,0)/AF376)*Modelling_new[[#This Row],[Factor]]</f>
        <v>73.423457748386625</v>
      </c>
      <c r="AI376" s="4">
        <f>SUMIFS(Modelling_new[Target E_Grid daily
MWh],Modelling_new[Month Year],Modelling_new[[#This Row],[Month Year]],Modelling_new[Date],"&lt;="&amp;Modelling_new[[#This Row],[Date]])</f>
        <v>1762.1629859612799</v>
      </c>
      <c r="AJ376" s="4">
        <f>SUMIFS(Modelling_new[Target E_Grid daily
MWh],Modelling_new[Finacial Year],Modelling_new[[#This Row],[Finacial Year]],Modelling_new[Date],"&lt;="&amp;Modelling_new[[#This Row],[Date]])</f>
        <v>5721.9797832612712</v>
      </c>
      <c r="AK376" s="4">
        <f t="shared" si="138"/>
        <v>6.877058658064521</v>
      </c>
      <c r="AL376" s="4">
        <f>SUMIFS(Modelling_new[Target POA Daily (KWh/m2)],Modelling_new[Month Year],Modelling_new[[#This Row],[Month Year]],Modelling_new[Date],"&lt;="&amp;Modelling_new[[#This Row],[Date]])</f>
        <v>165.0494077935486</v>
      </c>
      <c r="AM376" s="4">
        <f>SUMIFS(Modelling_new[Target POA Daily (KWh/m2)],Modelling_new[Finacial Year],Modelling_new[[#This Row],[Finacial Year]],Modelling_new[Date],"&lt;="&amp;Modelling_new[[#This Row],[Date]])</f>
        <v>526.49136415069177</v>
      </c>
      <c r="AN376" s="9">
        <f>AH376/Modelling_new[[#This Row],[Comisined DC ]]/AK376</f>
        <v>0.83410770822290803</v>
      </c>
      <c r="AO376" s="9">
        <f>AI376/AL376/Modelling_new[[#This Row],[MTD DC Capcity]]</f>
        <v>0.8341077082229077</v>
      </c>
      <c r="AP376" s="9">
        <f>AJ376/AM376/Modelling_new[[#This Row],[YTD DC Capcity]]</f>
        <v>0.84907313017073383</v>
      </c>
      <c r="AQ376" s="9">
        <f>AH376/(24*Modelling_new[[#This Row],[Comisined DC ]])</f>
        <v>0.239008651524696</v>
      </c>
      <c r="AR376" s="9">
        <f>AI376/(COUNTIFS(Modelling_new[Date],"&lt;="&amp;Modelling_new[[#This Row],[Date]],Modelling_new[Month Year],Modelling_new[[#This Row],[Month Year]])*24*Modelling_new[[#This Row],[MTD DC Capcity]])</f>
        <v>0.23900865152469608</v>
      </c>
      <c r="AS376" s="28">
        <f>AJ376/(COUNTIFS(Modelling_new[Date],"&lt;="&amp;Modelling_new[[#This Row],[Date]],Modelling_new[Finacial Year],Modelling_new[[#This Row],[Finacial Year]],Modelling_new[Target E_Grid YTD
MWh],"&gt;"&amp;0)*24*Modelling_new[[#This Row],[YTD DC Capcity]])</f>
        <v>0.22174090801948787</v>
      </c>
      <c r="AT376" s="5">
        <v>12.8</v>
      </c>
      <c r="AU376" s="9">
        <f>Modelling_new[[#This Row],[Comisined DC ]]/$AO$1</f>
        <v>1</v>
      </c>
      <c r="AV37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76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376" s="27">
        <f t="shared" si="127"/>
        <v>45375</v>
      </c>
      <c r="BE376" s="5">
        <f>MONTH(Modelling[[#This Row],[Date]])</f>
        <v>3</v>
      </c>
      <c r="BF376" s="25">
        <f>YEAR(BD376)+IF(MONTH(Modelling[[#This Row],[Date]])&gt;=4,1,0)</f>
        <v>2024</v>
      </c>
      <c r="BG376" s="3">
        <f t="shared" si="123"/>
        <v>2024</v>
      </c>
      <c r="BH376" s="3" t="s">
        <v>626</v>
      </c>
      <c r="BI376" s="5" t="s">
        <v>626</v>
      </c>
      <c r="BJ376" s="102">
        <v>45352</v>
      </c>
      <c r="BK376" s="5">
        <f t="shared" si="124"/>
        <v>31</v>
      </c>
      <c r="BL376" s="5">
        <f t="shared" si="125"/>
        <v>3</v>
      </c>
      <c r="BM376" s="4">
        <f>Modelling_old[[#This Row],[Target E_Grid daily
MWh]]+Modelling_new[[#This Row],[Target E_Grid daily
MWh]]</f>
        <v>127.93958678064469</v>
      </c>
      <c r="BN376" s="4">
        <f>Modelling_old[[#This Row],[Target E_Grid MTD
MWh]]+Modelling_new[[#This Row],[Target E_Grid MTD
MWh]]</f>
        <v>3070.5500827354736</v>
      </c>
      <c r="BO376" s="4">
        <f>Modelling_old[[#This Row],[Target E_Grid YTD
MWh]]+Modelling_new[[#This Row],[Target E_Grid YTD
MWh]]</f>
        <v>22740.366880035454</v>
      </c>
      <c r="BP376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76" s="4">
        <f>SUMIFS(Modelling[Target POA Daily (KWh/m2)],Modelling[Date],"&lt;="&amp;Modelling[[#This Row],[Date]],Modelling[Month Year],Modelling[[#This Row],[Month Year]])</f>
        <v>165.31001311591621</v>
      </c>
      <c r="BR376" s="4">
        <f>SUMIFS(Modelling[Target POA Daily (KWh/m2)],Modelling[Date],"&lt;="&amp;Modelling[[#This Row],[Date]],Modelling[Finacial Year],Modelling[[#This Row],[Finacial Year]])</f>
        <v>2110.107112288902</v>
      </c>
      <c r="BS376" s="9">
        <f>BM376/Modelling[[#This Row],[Comisined DC ]]/BP376</f>
        <v>0.76428502649716468</v>
      </c>
      <c r="BT376" s="9">
        <f>BN376/BQ376/Modelling[[#This Row],[Comisined DC ]]</f>
        <v>0.76428502649716445</v>
      </c>
      <c r="BU376" s="9">
        <f>BO376/BR376/Modelling[[#This Row],[Comisined DC ]]</f>
        <v>0.44343635103846746</v>
      </c>
      <c r="BV376" s="9">
        <f>BM376/(24*Modelling[[#This Row],[Comisined DC ]])</f>
        <v>0.2193471662405288</v>
      </c>
      <c r="BW376" s="9">
        <f>BN376/((COUNTIFS(Modelling[Date],"&lt;="&amp;Modelling[[#This Row],[Date]],Modelling[Month Year],Modelling[[#This Row],[Month Year]])*24*Modelling[[#This Row],[MTD DC Capcity]]))</f>
        <v>0.219347166240529</v>
      </c>
      <c r="BX376" s="28">
        <f>BO376/((COUNTIFS(Modelling[Date],"&lt;="&amp;Modelling[[#This Row],[Date]],Modelling[Finacial Year],Modelling[[#This Row],[Finacial Year]])*24*Modelling[[#This Row],[MTD DC Capcity]]))</f>
        <v>0.10860006942591795</v>
      </c>
      <c r="BY376" s="4">
        <f>Modelling_old[[#This Row],[DC Capcity]]+Modelling_new[[#This Row],[Comisined DC ]]</f>
        <v>24.303100000000001</v>
      </c>
      <c r="BZ376" s="4">
        <v>0</v>
      </c>
      <c r="CA376" s="4">
        <f>AVERAGEIFS(Modelling[[Comisined DC ]],Modelling[Date],"&lt;="&amp;Modelling[[#This Row],[Date]],Modelling[Month Year],Modelling[[#This Row],[Month Year]])</f>
        <v>24.303099999999986</v>
      </c>
      <c r="CB376" s="4">
        <f>AVERAGEIFS(Modelling[[Comisined DC ]],Modelling[Date],"&lt;="&amp;Modelling[[#This Row],[Date]],Modelling[Finacial Year],Modelling[[#This Row],[Finacial Year]])</f>
        <v>14.392560445682399</v>
      </c>
      <c r="CG376">
        <f t="shared" si="119"/>
        <v>24</v>
      </c>
      <c r="CH376">
        <f t="shared" si="128"/>
        <v>359</v>
      </c>
    </row>
    <row r="377" spans="1:86" x14ac:dyDescent="0.35">
      <c r="A377" s="27">
        <v>45376</v>
      </c>
      <c r="B377" s="5">
        <f>MONTH(Modelling_old[[#This Row],[Date]])</f>
        <v>3</v>
      </c>
      <c r="C377" s="25">
        <v>2024</v>
      </c>
      <c r="D377" s="3">
        <f t="shared" si="129"/>
        <v>2024</v>
      </c>
      <c r="E377" s="3" t="s">
        <v>626</v>
      </c>
      <c r="F377" s="5" t="s">
        <v>626</v>
      </c>
      <c r="G377" s="102">
        <v>45352</v>
      </c>
      <c r="H377" s="5">
        <f t="shared" si="130"/>
        <v>31</v>
      </c>
      <c r="I377" s="5">
        <f t="shared" si="131"/>
        <v>3</v>
      </c>
      <c r="J377" s="4">
        <f t="shared" si="132"/>
        <v>54.516129032258064</v>
      </c>
      <c r="K377" s="4">
        <f>SUM($J$353:J377)</f>
        <v>1362.9032258064515</v>
      </c>
      <c r="L377" s="4">
        <f>SUM($J$18:J377)</f>
        <v>17072.90322580644</v>
      </c>
      <c r="M377" s="4">
        <f t="shared" si="133"/>
        <v>6.9</v>
      </c>
      <c r="N377" s="4">
        <f>SUM($M$353:M377)</f>
        <v>172.50000000000009</v>
      </c>
      <c r="O377" s="4">
        <f>SUM($M$18:M377)</f>
        <v>2132.0928571428549</v>
      </c>
      <c r="P377" s="9">
        <f t="shared" si="134"/>
        <v>0.68684861172593881</v>
      </c>
      <c r="Q377" s="26">
        <f t="shared" si="135"/>
        <v>0.68684861172593847</v>
      </c>
      <c r="R377" s="26">
        <f t="shared" si="136"/>
        <v>0.69612361712354809</v>
      </c>
      <c r="S377" s="9">
        <f t="shared" si="137"/>
        <v>0.19746897587120743</v>
      </c>
      <c r="T377" s="9">
        <f>K377/((COUNT($K$353:K377))*24*$Q$1)</f>
        <v>0.1974689758712074</v>
      </c>
      <c r="U377" s="28">
        <f>L377/((COUNT($L$18:L377))*24*$Q$1)</f>
        <v>0.17178242960156997</v>
      </c>
      <c r="V377" s="134">
        <v>11.5031</v>
      </c>
      <c r="Y377" s="27">
        <f t="shared" si="126"/>
        <v>45376</v>
      </c>
      <c r="Z377" s="5">
        <f>MONTH(Modelling_new[[#This Row],[Date]])</f>
        <v>3</v>
      </c>
      <c r="AA377" s="25">
        <f>YEAR(Y377)+IF(MONTH(Modelling_new[[#This Row],[Date]])&gt;=4,1,0)</f>
        <v>2024</v>
      </c>
      <c r="AB377" s="3">
        <f t="shared" si="120"/>
        <v>2024</v>
      </c>
      <c r="AC377" s="3" t="s">
        <v>626</v>
      </c>
      <c r="AD377" s="5" t="s">
        <v>626</v>
      </c>
      <c r="AE377" s="102">
        <v>45352</v>
      </c>
      <c r="AF377" s="5">
        <f t="shared" si="121"/>
        <v>31</v>
      </c>
      <c r="AG377" s="5">
        <f t="shared" si="122"/>
        <v>3</v>
      </c>
      <c r="AH377" s="4">
        <f>(VLOOKUP(AG377,$AA$2:$AK$13,10,0)/AF377)*Modelling_new[[#This Row],[Factor]]</f>
        <v>73.423457748386625</v>
      </c>
      <c r="AI377" s="4">
        <f>SUMIFS(Modelling_new[Target E_Grid daily
MWh],Modelling_new[Month Year],Modelling_new[[#This Row],[Month Year]],Modelling_new[Date],"&lt;="&amp;Modelling_new[[#This Row],[Date]])</f>
        <v>1835.5864437096666</v>
      </c>
      <c r="AJ377" s="4">
        <f>SUMIFS(Modelling_new[Target E_Grid daily
MWh],Modelling_new[Finacial Year],Modelling_new[[#This Row],[Finacial Year]],Modelling_new[Date],"&lt;="&amp;Modelling_new[[#This Row],[Date]])</f>
        <v>5795.4032410096579</v>
      </c>
      <c r="AK377" s="4">
        <f t="shared" si="138"/>
        <v>6.877058658064521</v>
      </c>
      <c r="AL377" s="4">
        <f>SUMIFS(Modelling_new[Target POA Daily (KWh/m2)],Modelling_new[Month Year],Modelling_new[[#This Row],[Month Year]],Modelling_new[Date],"&lt;="&amp;Modelling_new[[#This Row],[Date]])</f>
        <v>171.92646645161312</v>
      </c>
      <c r="AM377" s="4">
        <f>SUMIFS(Modelling_new[Target POA Daily (KWh/m2)],Modelling_new[Finacial Year],Modelling_new[[#This Row],[Finacial Year]],Modelling_new[Date],"&lt;="&amp;Modelling_new[[#This Row],[Date]])</f>
        <v>533.36842280875624</v>
      </c>
      <c r="AN377" s="9">
        <f>AH377/Modelling_new[[#This Row],[Comisined DC ]]/AK377</f>
        <v>0.83410770822290803</v>
      </c>
      <c r="AO377" s="9">
        <f>AI377/AL377/Modelling_new[[#This Row],[MTD DC Capcity]]</f>
        <v>0.8341077082229077</v>
      </c>
      <c r="AP377" s="9">
        <f>AJ377/AM377/Modelling_new[[#This Row],[YTD DC Capcity]]</f>
        <v>0.84888017145743799</v>
      </c>
      <c r="AQ377" s="9">
        <f>AH377/(24*Modelling_new[[#This Row],[Comisined DC ]])</f>
        <v>0.239008651524696</v>
      </c>
      <c r="AR377" s="9">
        <f>AI377/(COUNTIFS(Modelling_new[Date],"&lt;="&amp;Modelling_new[[#This Row],[Date]],Modelling_new[Month Year],Modelling_new[[#This Row],[Month Year]])*24*Modelling_new[[#This Row],[MTD DC Capcity]])</f>
        <v>0.23900865152469608</v>
      </c>
      <c r="AS377" s="28">
        <f>AJ377/(COUNTIFS(Modelling_new[Date],"&lt;="&amp;Modelling_new[[#This Row],[Date]],Modelling_new[Finacial Year],Modelling_new[[#This Row],[Finacial Year]],Modelling_new[Target E_Grid YTD
MWh],"&gt;"&amp;0)*24*Modelling_new[[#This Row],[YTD DC Capcity]])</f>
        <v>0.22194405794307856</v>
      </c>
      <c r="AT377" s="5">
        <v>12.8</v>
      </c>
      <c r="AU377" s="9">
        <f>Modelling_new[[#This Row],[Comisined DC ]]/$AO$1</f>
        <v>1</v>
      </c>
      <c r="AV377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77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377" s="27">
        <f t="shared" si="127"/>
        <v>45376</v>
      </c>
      <c r="BE377" s="5">
        <f>MONTH(Modelling[[#This Row],[Date]])</f>
        <v>3</v>
      </c>
      <c r="BF377" s="25">
        <f>YEAR(BD377)+IF(MONTH(Modelling[[#This Row],[Date]])&gt;=4,1,0)</f>
        <v>2024</v>
      </c>
      <c r="BG377" s="3">
        <f t="shared" si="123"/>
        <v>2024</v>
      </c>
      <c r="BH377" s="3" t="s">
        <v>626</v>
      </c>
      <c r="BI377" s="5" t="s">
        <v>626</v>
      </c>
      <c r="BJ377" s="102">
        <v>45352</v>
      </c>
      <c r="BK377" s="5">
        <f t="shared" si="124"/>
        <v>31</v>
      </c>
      <c r="BL377" s="5">
        <f t="shared" si="125"/>
        <v>3</v>
      </c>
      <c r="BM377" s="4">
        <f>Modelling_old[[#This Row],[Target E_Grid daily
MWh]]+Modelling_new[[#This Row],[Target E_Grid daily
MWh]]</f>
        <v>127.93958678064469</v>
      </c>
      <c r="BN377" s="4">
        <f>Modelling_old[[#This Row],[Target E_Grid MTD
MWh]]+Modelling_new[[#This Row],[Target E_Grid MTD
MWh]]</f>
        <v>3198.4896695161178</v>
      </c>
      <c r="BO377" s="4">
        <f>Modelling_old[[#This Row],[Target E_Grid YTD
MWh]]+Modelling_new[[#This Row],[Target E_Grid YTD
MWh]]</f>
        <v>22868.306466816099</v>
      </c>
      <c r="BP377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77" s="4">
        <f>SUMIFS(Modelling[Target POA Daily (KWh/m2)],Modelling[Date],"&lt;="&amp;Modelling[[#This Row],[Date]],Modelling[Month Year],Modelling[[#This Row],[Month Year]])</f>
        <v>172.19793032907938</v>
      </c>
      <c r="BR377" s="4">
        <f>SUMIFS(Modelling[Target POA Daily (KWh/m2)],Modelling[Date],"&lt;="&amp;Modelling[[#This Row],[Date]],Modelling[Finacial Year],Modelling[[#This Row],[Finacial Year]])</f>
        <v>2116.9950295020653</v>
      </c>
      <c r="BS377" s="9">
        <f>BM377/Modelling[[#This Row],[Comisined DC ]]/BP377</f>
        <v>0.76428502649716468</v>
      </c>
      <c r="BT377" s="9">
        <f>BN377/BQ377/Modelling[[#This Row],[Comisined DC ]]</f>
        <v>0.76428502649716445</v>
      </c>
      <c r="BU377" s="9">
        <f>BO377/BR377/Modelling[[#This Row],[Comisined DC ]]</f>
        <v>0.44448027371363424</v>
      </c>
      <c r="BV377" s="9">
        <f>BM377/(24*Modelling[[#This Row],[Comisined DC ]])</f>
        <v>0.2193471662405288</v>
      </c>
      <c r="BW377" s="9">
        <f>BN377/((COUNTIFS(Modelling[Date],"&lt;="&amp;Modelling[[#This Row],[Date]],Modelling[Month Year],Modelling[[#This Row],[Month Year]])*24*Modelling[[#This Row],[MTD DC Capcity]]))</f>
        <v>0.21934716624052897</v>
      </c>
      <c r="BX377" s="28">
        <f>BO377/((COUNTIFS(Modelling[Date],"&lt;="&amp;Modelling[[#This Row],[Date]],Modelling[Finacial Year],Modelling[[#This Row],[Finacial Year]])*24*Modelling[[#This Row],[MTD DC Capcity]]))</f>
        <v>0.10890770025040297</v>
      </c>
      <c r="BY377" s="4">
        <f>Modelling_old[[#This Row],[DC Capcity]]+Modelling_new[[#This Row],[Comisined DC ]]</f>
        <v>24.303100000000001</v>
      </c>
      <c r="BZ377" s="4">
        <v>0</v>
      </c>
      <c r="CA377" s="4">
        <f>AVERAGEIFS(Modelling[[Comisined DC ]],Modelling[Date],"&lt;="&amp;Modelling[[#This Row],[Date]],Modelling[Month Year],Modelling[[#This Row],[Month Year]])</f>
        <v>24.303099999999986</v>
      </c>
      <c r="CB377" s="4">
        <f>AVERAGEIFS(Modelling[[Comisined DC ]],Modelling[Date],"&lt;="&amp;Modelling[[#This Row],[Date]],Modelling[Finacial Year],Modelling[[#This Row],[Finacial Year]])</f>
        <v>14.420089722222171</v>
      </c>
      <c r="CG377">
        <f t="shared" si="119"/>
        <v>25</v>
      </c>
      <c r="CH377">
        <f t="shared" si="128"/>
        <v>360</v>
      </c>
    </row>
    <row r="378" spans="1:86" x14ac:dyDescent="0.35">
      <c r="A378" s="27">
        <v>45377</v>
      </c>
      <c r="B378" s="5">
        <f>MONTH(Modelling_old[[#This Row],[Date]])</f>
        <v>3</v>
      </c>
      <c r="C378" s="25">
        <v>2024</v>
      </c>
      <c r="D378" s="3">
        <f t="shared" si="129"/>
        <v>2024</v>
      </c>
      <c r="E378" s="3" t="s">
        <v>626</v>
      </c>
      <c r="F378" s="5" t="s">
        <v>626</v>
      </c>
      <c r="G378" s="102">
        <v>45352</v>
      </c>
      <c r="H378" s="5">
        <f t="shared" si="130"/>
        <v>31</v>
      </c>
      <c r="I378" s="5">
        <f t="shared" si="131"/>
        <v>3</v>
      </c>
      <c r="J378" s="4">
        <f t="shared" si="132"/>
        <v>54.516129032258064</v>
      </c>
      <c r="K378" s="4">
        <f>SUM($J$353:J378)</f>
        <v>1417.4193548387095</v>
      </c>
      <c r="L378" s="4">
        <f>SUM($J$18:J378)</f>
        <v>17127.419354838697</v>
      </c>
      <c r="M378" s="4">
        <f t="shared" si="133"/>
        <v>6.9</v>
      </c>
      <c r="N378" s="4">
        <f>SUM($M$353:M378)</f>
        <v>179.40000000000009</v>
      </c>
      <c r="O378" s="4">
        <f>SUM($M$18:M378)</f>
        <v>2138.992857142855</v>
      </c>
      <c r="P378" s="9">
        <f t="shared" si="134"/>
        <v>0.68684861172593881</v>
      </c>
      <c r="Q378" s="26">
        <f t="shared" si="135"/>
        <v>0.68684861172593847</v>
      </c>
      <c r="R378" s="26">
        <f t="shared" si="136"/>
        <v>0.69609369765138629</v>
      </c>
      <c r="S378" s="9">
        <f t="shared" si="137"/>
        <v>0.19746897587120743</v>
      </c>
      <c r="T378" s="9">
        <f>K378/((COUNT($K$353:K378))*24*$Q$1)</f>
        <v>0.1974689758712074</v>
      </c>
      <c r="U378" s="28">
        <f>L378/((COUNT($L$18:L378))*24*$Q$1)</f>
        <v>0.17185358346935289</v>
      </c>
      <c r="V378" s="134">
        <v>11.5031</v>
      </c>
      <c r="Y378" s="27">
        <f t="shared" si="126"/>
        <v>45377</v>
      </c>
      <c r="Z378" s="5">
        <f>MONTH(Modelling_new[[#This Row],[Date]])</f>
        <v>3</v>
      </c>
      <c r="AA378" s="25">
        <f>YEAR(Y378)+IF(MONTH(Modelling_new[[#This Row],[Date]])&gt;=4,1,0)</f>
        <v>2024</v>
      </c>
      <c r="AB378" s="3">
        <f t="shared" si="120"/>
        <v>2024</v>
      </c>
      <c r="AC378" s="3" t="s">
        <v>626</v>
      </c>
      <c r="AD378" s="5" t="s">
        <v>626</v>
      </c>
      <c r="AE378" s="102">
        <v>45352</v>
      </c>
      <c r="AF378" s="5">
        <f t="shared" si="121"/>
        <v>31</v>
      </c>
      <c r="AG378" s="5">
        <f t="shared" si="122"/>
        <v>3</v>
      </c>
      <c r="AH378" s="4">
        <f>(VLOOKUP(AG378,$AA$2:$AK$13,10,0)/AF378)*Modelling_new[[#This Row],[Factor]]</f>
        <v>73.423457748386625</v>
      </c>
      <c r="AI378" s="4">
        <f>SUMIFS(Modelling_new[Target E_Grid daily
MWh],Modelling_new[Month Year],Modelling_new[[#This Row],[Month Year]],Modelling_new[Date],"&lt;="&amp;Modelling_new[[#This Row],[Date]])</f>
        <v>1909.0099014580533</v>
      </c>
      <c r="AJ378" s="4">
        <f>SUMIFS(Modelling_new[Target E_Grid daily
MWh],Modelling_new[Finacial Year],Modelling_new[[#This Row],[Finacial Year]],Modelling_new[Date],"&lt;="&amp;Modelling_new[[#This Row],[Date]])</f>
        <v>5868.8266987580446</v>
      </c>
      <c r="AK378" s="4">
        <f t="shared" si="138"/>
        <v>6.877058658064521</v>
      </c>
      <c r="AL378" s="4">
        <f>SUMIFS(Modelling_new[Target POA Daily (KWh/m2)],Modelling_new[Month Year],Modelling_new[[#This Row],[Month Year]],Modelling_new[Date],"&lt;="&amp;Modelling_new[[#This Row],[Date]])</f>
        <v>178.80352510967765</v>
      </c>
      <c r="AM378" s="4">
        <f>SUMIFS(Modelling_new[Target POA Daily (KWh/m2)],Modelling_new[Finacial Year],Modelling_new[[#This Row],[Finacial Year]],Modelling_new[Date],"&lt;="&amp;Modelling_new[[#This Row],[Date]])</f>
        <v>540.24548146682071</v>
      </c>
      <c r="AN378" s="9">
        <f>AH378/Modelling_new[[#This Row],[Comisined DC ]]/AK378</f>
        <v>0.83410770822290803</v>
      </c>
      <c r="AO378" s="9">
        <f>AI378/AL378/Modelling_new[[#This Row],[MTD DC Capcity]]</f>
        <v>0.8341077082229077</v>
      </c>
      <c r="AP378" s="9">
        <f>AJ378/AM378/Modelling_new[[#This Row],[YTD DC Capcity]]</f>
        <v>0.84869212528273974</v>
      </c>
      <c r="AQ378" s="9">
        <f>AH378/(24*Modelling_new[[#This Row],[Comisined DC ]])</f>
        <v>0.239008651524696</v>
      </c>
      <c r="AR378" s="9">
        <f>AI378/(COUNTIFS(Modelling_new[Date],"&lt;="&amp;Modelling_new[[#This Row],[Date]],Modelling_new[Month Year],Modelling_new[[#This Row],[Month Year]])*24*Modelling_new[[#This Row],[MTD DC Capcity]])</f>
        <v>0.23900865152469611</v>
      </c>
      <c r="AS378" s="28">
        <f>AJ378/(COUNTIFS(Modelling_new[Date],"&lt;="&amp;Modelling_new[[#This Row],[Date]],Modelling_new[Finacial Year],Modelling_new[[#This Row],[Finacial Year]],Modelling_new[Target E_Grid YTD
MWh],"&gt;"&amp;0)*24*Modelling_new[[#This Row],[YTD DC Capcity]])</f>
        <v>0.22214248344984158</v>
      </c>
      <c r="AT378" s="5">
        <v>12.8</v>
      </c>
      <c r="AU378" s="9">
        <f>Modelling_new[[#This Row],[Comisined DC ]]/$AO$1</f>
        <v>1</v>
      </c>
      <c r="AV378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78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378" s="27">
        <f t="shared" si="127"/>
        <v>45377</v>
      </c>
      <c r="BE378" s="5">
        <f>MONTH(Modelling[[#This Row],[Date]])</f>
        <v>3</v>
      </c>
      <c r="BF378" s="25">
        <f>YEAR(BD378)+IF(MONTH(Modelling[[#This Row],[Date]])&gt;=4,1,0)</f>
        <v>2024</v>
      </c>
      <c r="BG378" s="3">
        <f t="shared" si="123"/>
        <v>2024</v>
      </c>
      <c r="BH378" s="3" t="s">
        <v>626</v>
      </c>
      <c r="BI378" s="5" t="s">
        <v>626</v>
      </c>
      <c r="BJ378" s="102">
        <v>45352</v>
      </c>
      <c r="BK378" s="5">
        <f t="shared" si="124"/>
        <v>31</v>
      </c>
      <c r="BL378" s="5">
        <f t="shared" si="125"/>
        <v>3</v>
      </c>
      <c r="BM378" s="4">
        <f>Modelling_old[[#This Row],[Target E_Grid daily
MWh]]+Modelling_new[[#This Row],[Target E_Grid daily
MWh]]</f>
        <v>127.93958678064469</v>
      </c>
      <c r="BN378" s="4">
        <f>Modelling_old[[#This Row],[Target E_Grid MTD
MWh]]+Modelling_new[[#This Row],[Target E_Grid MTD
MWh]]</f>
        <v>3326.429256296763</v>
      </c>
      <c r="BO378" s="4">
        <f>Modelling_old[[#This Row],[Target E_Grid YTD
MWh]]+Modelling_new[[#This Row],[Target E_Grid YTD
MWh]]</f>
        <v>22996.24605359674</v>
      </c>
      <c r="BP378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78" s="4">
        <f>SUMIFS(Modelling[Target POA Daily (KWh/m2)],Modelling[Date],"&lt;="&amp;Modelling[[#This Row],[Date]],Modelling[Month Year],Modelling[[#This Row],[Month Year]])</f>
        <v>179.08584754224256</v>
      </c>
      <c r="BR378" s="4">
        <f>SUMIFS(Modelling[Target POA Daily (KWh/m2)],Modelling[Date],"&lt;="&amp;Modelling[[#This Row],[Date]],Modelling[Finacial Year],Modelling[[#This Row],[Finacial Year]])</f>
        <v>2123.8829467152286</v>
      </c>
      <c r="BS378" s="9">
        <f>BM378/Modelling[[#This Row],[Comisined DC ]]/BP378</f>
        <v>0.76428502649716468</v>
      </c>
      <c r="BT378" s="9">
        <f>BN378/BQ378/Modelling[[#This Row],[Comisined DC ]]</f>
        <v>0.76428502649716445</v>
      </c>
      <c r="BU378" s="9">
        <f>BO378/BR378/Modelling[[#This Row],[Comisined DC ]]</f>
        <v>0.44551742534430938</v>
      </c>
      <c r="BV378" s="9">
        <f>BM378/(24*Modelling[[#This Row],[Comisined DC ]])</f>
        <v>0.2193471662405288</v>
      </c>
      <c r="BW378" s="9">
        <f>BN378/((COUNTIFS(Modelling[Date],"&lt;="&amp;Modelling[[#This Row],[Date]],Modelling[Month Year],Modelling[[#This Row],[Month Year]])*24*Modelling[[#This Row],[MTD DC Capcity]]))</f>
        <v>0.219347166240529</v>
      </c>
      <c r="BX378" s="28">
        <f>BO378/((COUNTIFS(Modelling[Date],"&lt;="&amp;Modelling[[#This Row],[Date]],Modelling[Finacial Year],Modelling[[#This Row],[Finacial Year]])*24*Modelling[[#This Row],[MTD DC Capcity]]))</f>
        <v>0.10921362674899056</v>
      </c>
      <c r="BY378" s="4">
        <f>Modelling_old[[#This Row],[DC Capcity]]+Modelling_new[[#This Row],[Comisined DC ]]</f>
        <v>24.303100000000001</v>
      </c>
      <c r="BZ378" s="4">
        <v>0</v>
      </c>
      <c r="CA378" s="4">
        <f>AVERAGEIFS(Modelling[[Comisined DC ]],Modelling[Date],"&lt;="&amp;Modelling[[#This Row],[Date]],Modelling[Month Year],Modelling[[#This Row],[Month Year]])</f>
        <v>24.303099999999986</v>
      </c>
      <c r="CB378" s="4">
        <f>AVERAGEIFS(Modelling[[Comisined DC ]],Modelling[Date],"&lt;="&amp;Modelling[[#This Row],[Date]],Modelling[Finacial Year],Modelling[[#This Row],[Finacial Year]])</f>
        <v>14.447466481994409</v>
      </c>
      <c r="CG378">
        <f t="shared" si="119"/>
        <v>26</v>
      </c>
      <c r="CH378">
        <f t="shared" si="128"/>
        <v>361</v>
      </c>
    </row>
    <row r="379" spans="1:86" x14ac:dyDescent="0.35">
      <c r="A379" s="27">
        <v>45378</v>
      </c>
      <c r="B379" s="5">
        <f>MONTH(Modelling_old[[#This Row],[Date]])</f>
        <v>3</v>
      </c>
      <c r="C379" s="25">
        <v>2024</v>
      </c>
      <c r="D379" s="3">
        <f t="shared" si="129"/>
        <v>2024</v>
      </c>
      <c r="E379" s="3" t="s">
        <v>626</v>
      </c>
      <c r="F379" s="5" t="s">
        <v>626</v>
      </c>
      <c r="G379" s="102">
        <v>45352</v>
      </c>
      <c r="H379" s="5">
        <f t="shared" si="130"/>
        <v>31</v>
      </c>
      <c r="I379" s="5">
        <f t="shared" si="131"/>
        <v>3</v>
      </c>
      <c r="J379" s="4">
        <f t="shared" si="132"/>
        <v>54.516129032258064</v>
      </c>
      <c r="K379" s="4">
        <f>SUM($J$353:J379)</f>
        <v>1471.9354838709676</v>
      </c>
      <c r="L379" s="4">
        <f>SUM($J$18:J379)</f>
        <v>17181.935483870955</v>
      </c>
      <c r="M379" s="4">
        <f t="shared" si="133"/>
        <v>6.9</v>
      </c>
      <c r="N379" s="4">
        <f>SUM($M$353:M379)</f>
        <v>186.3000000000001</v>
      </c>
      <c r="O379" s="4">
        <f>SUM($M$18:M379)</f>
        <v>2145.8928571428551</v>
      </c>
      <c r="P379" s="9">
        <f t="shared" si="134"/>
        <v>0.68684861172593881</v>
      </c>
      <c r="Q379" s="26">
        <f t="shared" si="135"/>
        <v>0.68684861172593847</v>
      </c>
      <c r="R379" s="26">
        <f t="shared" si="136"/>
        <v>0.69606397058804592</v>
      </c>
      <c r="S379" s="9">
        <f t="shared" si="137"/>
        <v>0.19746897587120743</v>
      </c>
      <c r="T379" s="9">
        <f>K379/((COUNT($K$353:K379))*24*$Q$1)</f>
        <v>0.1974689758712074</v>
      </c>
      <c r="U379" s="28">
        <f>L379/((COUNT($L$18:L379))*24*$Q$1)</f>
        <v>0.17192434422184419</v>
      </c>
      <c r="V379" s="134">
        <v>11.5031</v>
      </c>
      <c r="Y379" s="27">
        <f t="shared" si="126"/>
        <v>45378</v>
      </c>
      <c r="Z379" s="5">
        <f>MONTH(Modelling_new[[#This Row],[Date]])</f>
        <v>3</v>
      </c>
      <c r="AA379" s="25">
        <f>YEAR(Y379)+IF(MONTH(Modelling_new[[#This Row],[Date]])&gt;=4,1,0)</f>
        <v>2024</v>
      </c>
      <c r="AB379" s="3">
        <f t="shared" si="120"/>
        <v>2024</v>
      </c>
      <c r="AC379" s="3" t="s">
        <v>626</v>
      </c>
      <c r="AD379" s="5" t="s">
        <v>626</v>
      </c>
      <c r="AE379" s="102">
        <v>45352</v>
      </c>
      <c r="AF379" s="5">
        <f t="shared" si="121"/>
        <v>31</v>
      </c>
      <c r="AG379" s="5">
        <f t="shared" si="122"/>
        <v>3</v>
      </c>
      <c r="AH379" s="4">
        <f>(VLOOKUP(AG379,$AA$2:$AK$13,10,0)/AF379)*Modelling_new[[#This Row],[Factor]]</f>
        <v>73.423457748386625</v>
      </c>
      <c r="AI379" s="4">
        <f>SUMIFS(Modelling_new[Target E_Grid daily
MWh],Modelling_new[Month Year],Modelling_new[[#This Row],[Month Year]],Modelling_new[Date],"&lt;="&amp;Modelling_new[[#This Row],[Date]])</f>
        <v>1982.4333592064399</v>
      </c>
      <c r="AJ379" s="4">
        <f>SUMIFS(Modelling_new[Target E_Grid daily
MWh],Modelling_new[Finacial Year],Modelling_new[[#This Row],[Finacial Year]],Modelling_new[Date],"&lt;="&amp;Modelling_new[[#This Row],[Date]])</f>
        <v>5942.2501565064313</v>
      </c>
      <c r="AK379" s="4">
        <f t="shared" si="138"/>
        <v>6.877058658064521</v>
      </c>
      <c r="AL379" s="4">
        <f>SUMIFS(Modelling_new[Target POA Daily (KWh/m2)],Modelling_new[Month Year],Modelling_new[[#This Row],[Month Year]],Modelling_new[Date],"&lt;="&amp;Modelling_new[[#This Row],[Date]])</f>
        <v>185.68058376774218</v>
      </c>
      <c r="AM379" s="4">
        <f>SUMIFS(Modelling_new[Target POA Daily (KWh/m2)],Modelling_new[Finacial Year],Modelling_new[[#This Row],[Finacial Year]],Modelling_new[Date],"&lt;="&amp;Modelling_new[[#This Row],[Date]])</f>
        <v>547.12254012488518</v>
      </c>
      <c r="AN379" s="9">
        <f>AH379/Modelling_new[[#This Row],[Comisined DC ]]/AK379</f>
        <v>0.83410770822290803</v>
      </c>
      <c r="AO379" s="9">
        <f>AI379/AL379/Modelling_new[[#This Row],[MTD DC Capcity]]</f>
        <v>0.8341077082229077</v>
      </c>
      <c r="AP379" s="9">
        <f>AJ379/AM379/Modelling_new[[#This Row],[YTD DC Capcity]]</f>
        <v>0.84850880640212634</v>
      </c>
      <c r="AQ379" s="9">
        <f>AH379/(24*Modelling_new[[#This Row],[Comisined DC ]])</f>
        <v>0.239008651524696</v>
      </c>
      <c r="AR379" s="9">
        <f>AI379/(COUNTIFS(Modelling_new[Date],"&lt;="&amp;Modelling_new[[#This Row],[Date]],Modelling_new[Month Year],Modelling_new[[#This Row],[Month Year]])*24*Modelling_new[[#This Row],[MTD DC Capcity]])</f>
        <v>0.23900865152469608</v>
      </c>
      <c r="AS379" s="28">
        <f>AJ379/(COUNTIFS(Modelling_new[Date],"&lt;="&amp;Modelling_new[[#This Row],[Date]],Modelling_new[Finacial Year],Modelling_new[[#This Row],[Finacial Year]],Modelling_new[Target E_Grid YTD
MWh],"&gt;"&amp;0)*24*Modelling_new[[#This Row],[YTD DC Capcity]])</f>
        <v>0.22233634745070199</v>
      </c>
      <c r="AT379" s="5">
        <v>12.8</v>
      </c>
      <c r="AU379" s="9">
        <f>Modelling_new[[#This Row],[Comisined DC ]]/$AO$1</f>
        <v>1</v>
      </c>
      <c r="AV37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379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379" s="27">
        <f t="shared" si="127"/>
        <v>45378</v>
      </c>
      <c r="BE379" s="5">
        <f>MONTH(Modelling[[#This Row],[Date]])</f>
        <v>3</v>
      </c>
      <c r="BF379" s="25">
        <f>YEAR(BD379)+IF(MONTH(Modelling[[#This Row],[Date]])&gt;=4,1,0)</f>
        <v>2024</v>
      </c>
      <c r="BG379" s="3">
        <f t="shared" si="123"/>
        <v>2024</v>
      </c>
      <c r="BH379" s="3" t="s">
        <v>626</v>
      </c>
      <c r="BI379" s="5" t="s">
        <v>626</v>
      </c>
      <c r="BJ379" s="102">
        <v>45352</v>
      </c>
      <c r="BK379" s="5">
        <f t="shared" si="124"/>
        <v>31</v>
      </c>
      <c r="BL379" s="5">
        <f t="shared" si="125"/>
        <v>3</v>
      </c>
      <c r="BM379" s="4">
        <f>Modelling_old[[#This Row],[Target E_Grid daily
MWh]]+Modelling_new[[#This Row],[Target E_Grid daily
MWh]]</f>
        <v>127.93958678064469</v>
      </c>
      <c r="BN379" s="4">
        <f>Modelling_old[[#This Row],[Target E_Grid MTD
MWh]]+Modelling_new[[#This Row],[Target E_Grid MTD
MWh]]</f>
        <v>3454.3688430774073</v>
      </c>
      <c r="BO379" s="4">
        <f>Modelling_old[[#This Row],[Target E_Grid YTD
MWh]]+Modelling_new[[#This Row],[Target E_Grid YTD
MWh]]</f>
        <v>23124.185640377385</v>
      </c>
      <c r="BP379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79" s="4">
        <f>SUMIFS(Modelling[Target POA Daily (KWh/m2)],Modelling[Date],"&lt;="&amp;Modelling[[#This Row],[Date]],Modelling[Month Year],Modelling[[#This Row],[Month Year]])</f>
        <v>185.97376475540574</v>
      </c>
      <c r="BR379" s="4">
        <f>SUMIFS(Modelling[Target POA Daily (KWh/m2)],Modelling[Date],"&lt;="&amp;Modelling[[#This Row],[Date]],Modelling[Finacial Year],Modelling[[#This Row],[Finacial Year]])</f>
        <v>2130.7708639283919</v>
      </c>
      <c r="BS379" s="9">
        <f>BM379/Modelling[[#This Row],[Comisined DC ]]/BP379</f>
        <v>0.76428502649716468</v>
      </c>
      <c r="BT379" s="9">
        <f>BN379/BQ379/Modelling[[#This Row],[Comisined DC ]]</f>
        <v>0.76428502649716445</v>
      </c>
      <c r="BU379" s="9">
        <f>BO379/BR379/Modelling[[#This Row],[Comisined DC ]]</f>
        <v>0.44654787159460746</v>
      </c>
      <c r="BV379" s="9">
        <f>BM379/(24*Modelling[[#This Row],[Comisined DC ]])</f>
        <v>0.2193471662405288</v>
      </c>
      <c r="BW379" s="9">
        <f>BN379/((COUNTIFS(Modelling[Date],"&lt;="&amp;Modelling[[#This Row],[Date]],Modelling[Month Year],Modelling[[#This Row],[Month Year]])*24*Modelling[[#This Row],[MTD DC Capcity]]))</f>
        <v>0.21934716624052894</v>
      </c>
      <c r="BX379" s="28">
        <f>BO379/((COUNTIFS(Modelling[Date],"&lt;="&amp;Modelling[[#This Row],[Date]],Modelling[Finacial Year],Modelling[[#This Row],[Finacial Year]])*24*Modelling[[#This Row],[MTD DC Capcity]]))</f>
        <v>0.10951786304592852</v>
      </c>
      <c r="BY379" s="4">
        <f>Modelling_old[[#This Row],[DC Capcity]]+Modelling_new[[#This Row],[Comisined DC ]]</f>
        <v>24.303100000000001</v>
      </c>
      <c r="BZ379" s="4">
        <v>0</v>
      </c>
      <c r="CA379" s="4">
        <f>AVERAGEIFS(Modelling[[Comisined DC ]],Modelling[Date],"&lt;="&amp;Modelling[[#This Row],[Date]],Modelling[Month Year],Modelling[[#This Row],[Month Year]])</f>
        <v>24.303099999999986</v>
      </c>
      <c r="CB379" s="4">
        <f>AVERAGEIFS(Modelling[[Comisined DC ]],Modelling[Date],"&lt;="&amp;Modelling[[#This Row],[Date]],Modelling[Finacial Year],Modelling[[#This Row],[Finacial Year]])</f>
        <v>14.474691988950225</v>
      </c>
      <c r="CG379">
        <f t="shared" si="119"/>
        <v>27</v>
      </c>
      <c r="CH379">
        <f t="shared" si="128"/>
        <v>362</v>
      </c>
    </row>
    <row r="380" spans="1:86" x14ac:dyDescent="0.35">
      <c r="A380" s="27">
        <v>45379</v>
      </c>
      <c r="B380" s="5">
        <f>MONTH(Modelling_old[[#This Row],[Date]])</f>
        <v>3</v>
      </c>
      <c r="C380" s="25">
        <v>2024</v>
      </c>
      <c r="D380" s="3">
        <f t="shared" si="129"/>
        <v>2024</v>
      </c>
      <c r="E380" s="3" t="s">
        <v>626</v>
      </c>
      <c r="F380" s="5" t="s">
        <v>626</v>
      </c>
      <c r="G380" s="102">
        <v>45352</v>
      </c>
      <c r="H380" s="5">
        <f t="shared" si="130"/>
        <v>31</v>
      </c>
      <c r="I380" s="5">
        <f t="shared" si="131"/>
        <v>3</v>
      </c>
      <c r="J380" s="4">
        <f t="shared" si="132"/>
        <v>54.516129032258064</v>
      </c>
      <c r="K380" s="4">
        <f>SUM($J$353:J380)</f>
        <v>1526.4516129032256</v>
      </c>
      <c r="L380" s="4">
        <f>SUM($J$18:J380)</f>
        <v>17236.451612903213</v>
      </c>
      <c r="M380" s="4">
        <f t="shared" si="133"/>
        <v>6.9</v>
      </c>
      <c r="N380" s="4">
        <f>SUM($M$353:M380)</f>
        <v>193.2000000000001</v>
      </c>
      <c r="O380" s="4">
        <f>SUM($M$18:M380)</f>
        <v>2152.7928571428552</v>
      </c>
      <c r="P380" s="9">
        <f t="shared" si="134"/>
        <v>0.68684861172593881</v>
      </c>
      <c r="Q380" s="26">
        <f t="shared" si="135"/>
        <v>0.68684861172593836</v>
      </c>
      <c r="R380" s="26">
        <f t="shared" si="136"/>
        <v>0.69603443408343646</v>
      </c>
      <c r="S380" s="9">
        <f t="shared" si="137"/>
        <v>0.19746897587120743</v>
      </c>
      <c r="T380" s="9">
        <f>K380/((COUNT($K$353:K380))*24*$Q$1)</f>
        <v>0.1974689758712074</v>
      </c>
      <c r="U380" s="28">
        <f>L380/((COUNT($L$18:L380))*24*$Q$1)</f>
        <v>0.1719947151079306</v>
      </c>
      <c r="V380" s="134">
        <v>11.5031</v>
      </c>
      <c r="Y380" s="27">
        <f t="shared" si="126"/>
        <v>45379</v>
      </c>
      <c r="Z380" s="5">
        <f>MONTH(Modelling_new[[#This Row],[Date]])</f>
        <v>3</v>
      </c>
      <c r="AA380" s="25">
        <f>YEAR(Y380)+IF(MONTH(Modelling_new[[#This Row],[Date]])&gt;=4,1,0)</f>
        <v>2024</v>
      </c>
      <c r="AB380" s="3">
        <f t="shared" si="120"/>
        <v>2024</v>
      </c>
      <c r="AC380" s="3" t="s">
        <v>626</v>
      </c>
      <c r="AD380" s="5" t="s">
        <v>626</v>
      </c>
      <c r="AE380" s="102">
        <v>45352</v>
      </c>
      <c r="AF380" s="5">
        <f t="shared" si="121"/>
        <v>31</v>
      </c>
      <c r="AG380" s="5">
        <f t="shared" si="122"/>
        <v>3</v>
      </c>
      <c r="AH380" s="4">
        <f>(VLOOKUP(AG380,$AA$2:$AK$13,10,0)/AF380)*Modelling_new[[#This Row],[Factor]]</f>
        <v>73.423457748386625</v>
      </c>
      <c r="AI380" s="4">
        <f>SUMIFS(Modelling_new[Target E_Grid daily
MWh],Modelling_new[Month Year],Modelling_new[[#This Row],[Month Year]],Modelling_new[Date],"&lt;="&amp;Modelling_new[[#This Row],[Date]])</f>
        <v>2055.8568169548266</v>
      </c>
      <c r="AJ380" s="4">
        <f>SUMIFS(Modelling_new[Target E_Grid daily
MWh],Modelling_new[Finacial Year],Modelling_new[[#This Row],[Finacial Year]],Modelling_new[Date],"&lt;="&amp;Modelling_new[[#This Row],[Date]])</f>
        <v>6015.6736142548179</v>
      </c>
      <c r="AK380" s="4">
        <f t="shared" si="138"/>
        <v>6.877058658064521</v>
      </c>
      <c r="AL380" s="4">
        <f>SUMIFS(Modelling_new[Target POA Daily (KWh/m2)],Modelling_new[Month Year],Modelling_new[[#This Row],[Month Year]],Modelling_new[Date],"&lt;="&amp;Modelling_new[[#This Row],[Date]])</f>
        <v>192.5576424258067</v>
      </c>
      <c r="AM380" s="4">
        <f>SUMIFS(Modelling_new[Target POA Daily (KWh/m2)],Modelling_new[Finacial Year],Modelling_new[[#This Row],[Finacial Year]],Modelling_new[Date],"&lt;="&amp;Modelling_new[[#This Row],[Date]])</f>
        <v>553.99959878294965</v>
      </c>
      <c r="AN380" s="9">
        <f>AH380/Modelling_new[[#This Row],[Comisined DC ]]/AK380</f>
        <v>0.83410770822290803</v>
      </c>
      <c r="AO380" s="9">
        <f>AI380/AL380/Modelling_new[[#This Row],[MTD DC Capcity]]</f>
        <v>0.83410770822290758</v>
      </c>
      <c r="AP380" s="9">
        <f>AJ380/AM380/Modelling_new[[#This Row],[YTD DC Capcity]]</f>
        <v>0.84833003876919566</v>
      </c>
      <c r="AQ380" s="9">
        <f>AH380/(24*Modelling_new[[#This Row],[Comisined DC ]])</f>
        <v>0.239008651524696</v>
      </c>
      <c r="AR380" s="9">
        <f>AI380/(COUNTIFS(Modelling_new[Date],"&lt;="&amp;Modelling_new[[#This Row],[Date]],Modelling_new[Month Year],Modelling_new[[#This Row],[Month Year]])*24*Modelling_new[[#This Row],[MTD DC Capcity]])</f>
        <v>0.23900865152469605</v>
      </c>
      <c r="AS380" s="28">
        <f>AJ380/(COUNTIFS(Modelling_new[Date],"&lt;="&amp;Modelling_new[[#This Row],[Date]],Modelling_new[Finacial Year],Modelling_new[[#This Row],[Finacial Year]],Modelling_new[Target E_Grid YTD
MWh],"&gt;"&amp;0)*24*Modelling_new[[#This Row],[YTD DC Capcity]])</f>
        <v>0.22252580545154285</v>
      </c>
      <c r="AT380" s="5">
        <v>12.8</v>
      </c>
      <c r="AU380" s="9">
        <f>Modelling_new[[#This Row],[Comisined DC ]]/$AO$1</f>
        <v>1</v>
      </c>
      <c r="AV380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380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380" s="27">
        <f t="shared" si="127"/>
        <v>45379</v>
      </c>
      <c r="BE380" s="5">
        <f>MONTH(Modelling[[#This Row],[Date]])</f>
        <v>3</v>
      </c>
      <c r="BF380" s="25">
        <f>YEAR(BD380)+IF(MONTH(Modelling[[#This Row],[Date]])&gt;=4,1,0)</f>
        <v>2024</v>
      </c>
      <c r="BG380" s="3">
        <f t="shared" si="123"/>
        <v>2024</v>
      </c>
      <c r="BH380" s="3" t="s">
        <v>626</v>
      </c>
      <c r="BI380" s="5" t="s">
        <v>626</v>
      </c>
      <c r="BJ380" s="102">
        <v>45352</v>
      </c>
      <c r="BK380" s="5">
        <f t="shared" si="124"/>
        <v>31</v>
      </c>
      <c r="BL380" s="5">
        <f t="shared" si="125"/>
        <v>3</v>
      </c>
      <c r="BM380" s="4">
        <f>Modelling_old[[#This Row],[Target E_Grid daily
MWh]]+Modelling_new[[#This Row],[Target E_Grid daily
MWh]]</f>
        <v>127.93958678064469</v>
      </c>
      <c r="BN380" s="4">
        <f>Modelling_old[[#This Row],[Target E_Grid MTD
MWh]]+Modelling_new[[#This Row],[Target E_Grid MTD
MWh]]</f>
        <v>3582.3084298580525</v>
      </c>
      <c r="BO380" s="4">
        <f>Modelling_old[[#This Row],[Target E_Grid YTD
MWh]]+Modelling_new[[#This Row],[Target E_Grid YTD
MWh]]</f>
        <v>23252.125227158031</v>
      </c>
      <c r="BP380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80" s="4">
        <f>SUMIFS(Modelling[Target POA Daily (KWh/m2)],Modelling[Date],"&lt;="&amp;Modelling[[#This Row],[Date]],Modelling[Month Year],Modelling[[#This Row],[Month Year]])</f>
        <v>192.86168196856892</v>
      </c>
      <c r="BR380" s="4">
        <f>SUMIFS(Modelling[Target POA Daily (KWh/m2)],Modelling[Date],"&lt;="&amp;Modelling[[#This Row],[Date]],Modelling[Finacial Year],Modelling[[#This Row],[Finacial Year]])</f>
        <v>2137.6587811415552</v>
      </c>
      <c r="BS380" s="9">
        <f>BM380/Modelling[[#This Row],[Comisined DC ]]/BP380</f>
        <v>0.76428502649716468</v>
      </c>
      <c r="BT380" s="9">
        <f>BN380/BQ380/Modelling[[#This Row],[Comisined DC ]]</f>
        <v>0.76428502649716445</v>
      </c>
      <c r="BU380" s="9">
        <f>BO380/BR380/Modelling[[#This Row],[Comisined DC ]]</f>
        <v>0.44757167728231689</v>
      </c>
      <c r="BV380" s="9">
        <f>BM380/(24*Modelling[[#This Row],[Comisined DC ]])</f>
        <v>0.2193471662405288</v>
      </c>
      <c r="BW380" s="9">
        <f>BN380/((COUNTIFS(Modelling[Date],"&lt;="&amp;Modelling[[#This Row],[Date]],Modelling[Month Year],Modelling[[#This Row],[Month Year]])*24*Modelling[[#This Row],[MTD DC Capcity]]))</f>
        <v>0.21934716624052902</v>
      </c>
      <c r="BX380" s="28">
        <f>BO380/((COUNTIFS(Modelling[Date],"&lt;="&amp;Modelling[[#This Row],[Date]],Modelling[Finacial Year],Modelling[[#This Row],[Finacial Year]])*24*Modelling[[#This Row],[MTD DC Capcity]]))</f>
        <v>0.10982042310982551</v>
      </c>
      <c r="BY380" s="4">
        <f>Modelling_old[[#This Row],[DC Capcity]]+Modelling_new[[#This Row],[Comisined DC ]]</f>
        <v>24.303100000000001</v>
      </c>
      <c r="BZ380" s="4">
        <v>0</v>
      </c>
      <c r="CA380" s="4">
        <f>AVERAGEIFS(Modelling[[Comisined DC ]],Modelling[Date],"&lt;="&amp;Modelling[[#This Row],[Date]],Modelling[Month Year],Modelling[[#This Row],[Month Year]])</f>
        <v>24.303099999999983</v>
      </c>
      <c r="CB380" s="4">
        <f>AVERAGEIFS(Modelling[[Comisined DC ]],Modelling[Date],"&lt;="&amp;Modelling[[#This Row],[Date]],Modelling[Finacial Year],Modelling[[#This Row],[Finacial Year]])</f>
        <v>14.501767493112897</v>
      </c>
      <c r="CG380">
        <f t="shared" si="119"/>
        <v>28</v>
      </c>
      <c r="CH380">
        <f t="shared" si="128"/>
        <v>363</v>
      </c>
    </row>
    <row r="381" spans="1:86" x14ac:dyDescent="0.35">
      <c r="A381" s="27">
        <v>45380</v>
      </c>
      <c r="B381" s="5">
        <f>MONTH(Modelling_old[[#This Row],[Date]])</f>
        <v>3</v>
      </c>
      <c r="C381" s="25">
        <v>2024</v>
      </c>
      <c r="D381" s="3">
        <f t="shared" si="129"/>
        <v>2024</v>
      </c>
      <c r="E381" s="3" t="s">
        <v>626</v>
      </c>
      <c r="F381" s="5" t="s">
        <v>626</v>
      </c>
      <c r="G381" s="102">
        <v>45352</v>
      </c>
      <c r="H381" s="5">
        <f t="shared" si="130"/>
        <v>31</v>
      </c>
      <c r="I381" s="5">
        <f t="shared" si="131"/>
        <v>3</v>
      </c>
      <c r="J381" s="4">
        <f t="shared" si="132"/>
        <v>54.516129032258064</v>
      </c>
      <c r="K381" s="4">
        <f>SUM($J$353:J381)</f>
        <v>1580.9677419354837</v>
      </c>
      <c r="L381" s="4">
        <f>SUM($J$18:J381)</f>
        <v>17290.96774193547</v>
      </c>
      <c r="M381" s="4">
        <f t="shared" si="133"/>
        <v>6.9</v>
      </c>
      <c r="N381" s="4">
        <f>SUM($M$353:M381)</f>
        <v>200.10000000000011</v>
      </c>
      <c r="O381" s="4">
        <f>SUM($M$18:M381)</f>
        <v>2159.6928571428552</v>
      </c>
      <c r="P381" s="9">
        <f t="shared" si="134"/>
        <v>0.68684861172593881</v>
      </c>
      <c r="Q381" s="26">
        <f t="shared" si="135"/>
        <v>0.68684861172593836</v>
      </c>
      <c r="R381" s="26">
        <f t="shared" si="136"/>
        <v>0.6960050863111098</v>
      </c>
      <c r="S381" s="9">
        <f t="shared" si="137"/>
        <v>0.19746897587120743</v>
      </c>
      <c r="T381" s="9">
        <f>K381/((COUNT($K$353:K381))*24*$Q$1)</f>
        <v>0.1974689758712074</v>
      </c>
      <c r="U381" s="28">
        <f>L381/((COUNT($L$18:L381))*24*$Q$1)</f>
        <v>0.17206469934079671</v>
      </c>
      <c r="V381" s="134">
        <v>11.5031</v>
      </c>
      <c r="Y381" s="27">
        <f t="shared" si="126"/>
        <v>45380</v>
      </c>
      <c r="Z381" s="5">
        <f>MONTH(Modelling_new[[#This Row],[Date]])</f>
        <v>3</v>
      </c>
      <c r="AA381" s="25">
        <f>YEAR(Y381)+IF(MONTH(Modelling_new[[#This Row],[Date]])&gt;=4,1,0)</f>
        <v>2024</v>
      </c>
      <c r="AB381" s="3">
        <f t="shared" si="120"/>
        <v>2024</v>
      </c>
      <c r="AC381" s="3" t="s">
        <v>626</v>
      </c>
      <c r="AD381" s="5" t="s">
        <v>626</v>
      </c>
      <c r="AE381" s="102">
        <v>45352</v>
      </c>
      <c r="AF381" s="5">
        <f t="shared" si="121"/>
        <v>31</v>
      </c>
      <c r="AG381" s="5">
        <f t="shared" si="122"/>
        <v>3</v>
      </c>
      <c r="AH381" s="4">
        <f>(VLOOKUP(AG381,$AA$2:$AK$13,10,0)/AF381)*Modelling_new[[#This Row],[Factor]]</f>
        <v>73.423457748386625</v>
      </c>
      <c r="AI381" s="4">
        <f>SUMIFS(Modelling_new[Target E_Grid daily
MWh],Modelling_new[Month Year],Modelling_new[[#This Row],[Month Year]],Modelling_new[Date],"&lt;="&amp;Modelling_new[[#This Row],[Date]])</f>
        <v>2129.2802747032133</v>
      </c>
      <c r="AJ381" s="4">
        <f>SUMIFS(Modelling_new[Target E_Grid daily
MWh],Modelling_new[Finacial Year],Modelling_new[[#This Row],[Finacial Year]],Modelling_new[Date],"&lt;="&amp;Modelling_new[[#This Row],[Date]])</f>
        <v>6089.0970720032046</v>
      </c>
      <c r="AK381" s="4">
        <f t="shared" si="138"/>
        <v>6.877058658064521</v>
      </c>
      <c r="AL381" s="4">
        <f>SUMIFS(Modelling_new[Target POA Daily (KWh/m2)],Modelling_new[Month Year],Modelling_new[[#This Row],[Month Year]],Modelling_new[Date],"&lt;="&amp;Modelling_new[[#This Row],[Date]])</f>
        <v>199.43470108387123</v>
      </c>
      <c r="AM381" s="4">
        <f>SUMIFS(Modelling_new[Target POA Daily (KWh/m2)],Modelling_new[Finacial Year],Modelling_new[[#This Row],[Finacial Year]],Modelling_new[Date],"&lt;="&amp;Modelling_new[[#This Row],[Date]])</f>
        <v>560.87665744101412</v>
      </c>
      <c r="AN381" s="9">
        <f>AH381/Modelling_new[[#This Row],[Comisined DC ]]/AK381</f>
        <v>0.83410770822290803</v>
      </c>
      <c r="AO381" s="9">
        <f>AI381/AL381/Modelling_new[[#This Row],[MTD DC Capcity]]</f>
        <v>0.83410770822290758</v>
      </c>
      <c r="AP381" s="9">
        <f>AJ381/AM381/Modelling_new[[#This Row],[YTD DC Capcity]]</f>
        <v>0.8481556549717536</v>
      </c>
      <c r="AQ381" s="9">
        <f>AH381/(24*Modelling_new[[#This Row],[Comisined DC ]])</f>
        <v>0.239008651524696</v>
      </c>
      <c r="AR381" s="9">
        <f>AI381/(COUNTIFS(Modelling_new[Date],"&lt;="&amp;Modelling_new[[#This Row],[Date]],Modelling_new[Month Year],Modelling_new[[#This Row],[Month Year]])*24*Modelling_new[[#This Row],[MTD DC Capcity]])</f>
        <v>0.23900865152469605</v>
      </c>
      <c r="AS381" s="28">
        <f>AJ381/(COUNTIFS(Modelling_new[Date],"&lt;="&amp;Modelling_new[[#This Row],[Date]],Modelling_new[Finacial Year],Modelling_new[[#This Row],[Finacial Year]],Modelling_new[Target E_Grid YTD
MWh],"&gt;"&amp;0)*24*Modelling_new[[#This Row],[YTD DC Capcity]])</f>
        <v>0.22271100596921872</v>
      </c>
      <c r="AT381" s="5">
        <v>12.8</v>
      </c>
      <c r="AU381" s="9">
        <f>Modelling_new[[#This Row],[Comisined DC ]]/$AO$1</f>
        <v>1</v>
      </c>
      <c r="AV381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381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381" s="27">
        <f t="shared" si="127"/>
        <v>45380</v>
      </c>
      <c r="BE381" s="5">
        <f>MONTH(Modelling[[#This Row],[Date]])</f>
        <v>3</v>
      </c>
      <c r="BF381" s="25">
        <f>YEAR(BD381)+IF(MONTH(Modelling[[#This Row],[Date]])&gt;=4,1,0)</f>
        <v>2024</v>
      </c>
      <c r="BG381" s="3">
        <f t="shared" si="123"/>
        <v>2024</v>
      </c>
      <c r="BH381" s="3" t="s">
        <v>626</v>
      </c>
      <c r="BI381" s="5" t="s">
        <v>626</v>
      </c>
      <c r="BJ381" s="102">
        <v>45352</v>
      </c>
      <c r="BK381" s="5">
        <f t="shared" si="124"/>
        <v>31</v>
      </c>
      <c r="BL381" s="5">
        <f t="shared" si="125"/>
        <v>3</v>
      </c>
      <c r="BM381" s="4">
        <f>Modelling_old[[#This Row],[Target E_Grid daily
MWh]]+Modelling_new[[#This Row],[Target E_Grid daily
MWh]]</f>
        <v>127.93958678064469</v>
      </c>
      <c r="BN381" s="4">
        <f>Modelling_old[[#This Row],[Target E_Grid MTD
MWh]]+Modelling_new[[#This Row],[Target E_Grid MTD
MWh]]</f>
        <v>3710.2480166386968</v>
      </c>
      <c r="BO381" s="4">
        <f>Modelling_old[[#This Row],[Target E_Grid YTD
MWh]]+Modelling_new[[#This Row],[Target E_Grid YTD
MWh]]</f>
        <v>23380.064813938676</v>
      </c>
      <c r="BP381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81" s="4">
        <f>SUMIFS(Modelling[Target POA Daily (KWh/m2)],Modelling[Date],"&lt;="&amp;Modelling[[#This Row],[Date]],Modelling[Month Year],Modelling[[#This Row],[Month Year]])</f>
        <v>199.74959918173209</v>
      </c>
      <c r="BR381" s="4">
        <f>SUMIFS(Modelling[Target POA Daily (KWh/m2)],Modelling[Date],"&lt;="&amp;Modelling[[#This Row],[Date]],Modelling[Finacial Year],Modelling[[#This Row],[Finacial Year]])</f>
        <v>2144.5466983547185</v>
      </c>
      <c r="BS381" s="9">
        <f>BM381/Modelling[[#This Row],[Comisined DC ]]/BP381</f>
        <v>0.76428502649716468</v>
      </c>
      <c r="BT381" s="9">
        <f>BN381/BQ381/Modelling[[#This Row],[Comisined DC ]]</f>
        <v>0.76428502649716423</v>
      </c>
      <c r="BU381" s="9">
        <f>BO381/BR381/Modelling[[#This Row],[Comisined DC ]]</f>
        <v>0.44858890639249166</v>
      </c>
      <c r="BV381" s="9">
        <f>BM381/(24*Modelling[[#This Row],[Comisined DC ]])</f>
        <v>0.2193471662405288</v>
      </c>
      <c r="BW381" s="9">
        <f>BN381/((COUNTIFS(Modelling[Date],"&lt;="&amp;Modelling[[#This Row],[Date]],Modelling[Month Year],Modelling[[#This Row],[Month Year]])*24*Modelling[[#This Row],[MTD DC Capcity]]))</f>
        <v>0.21934716624052902</v>
      </c>
      <c r="BX381" s="28">
        <f>BO381/((COUNTIFS(Modelling[Date],"&lt;="&amp;Modelling[[#This Row],[Date]],Modelling[Finacial Year],Modelling[[#This Row],[Finacial Year]])*24*Modelling[[#This Row],[MTD DC Capcity]]))</f>
        <v>0.11012132075578898</v>
      </c>
      <c r="BY381" s="4">
        <f>Modelling_old[[#This Row],[DC Capcity]]+Modelling_new[[#This Row],[Comisined DC ]]</f>
        <v>24.303100000000001</v>
      </c>
      <c r="BZ381" s="4">
        <v>0</v>
      </c>
      <c r="CA381" s="4">
        <f>AVERAGEIFS(Modelling[[Comisined DC ]],Modelling[Date],"&lt;="&amp;Modelling[[#This Row],[Date]],Modelling[Month Year],Modelling[[#This Row],[Month Year]])</f>
        <v>24.303099999999983</v>
      </c>
      <c r="CB381" s="4">
        <f>AVERAGEIFS(Modelling[[Comisined DC ]],Modelling[Date],"&lt;="&amp;Modelling[[#This Row],[Date]],Modelling[Finacial Year],Modelling[[#This Row],[Finacial Year]])</f>
        <v>14.528694230769181</v>
      </c>
      <c r="CG381">
        <f t="shared" si="119"/>
        <v>29</v>
      </c>
      <c r="CH381">
        <f t="shared" si="128"/>
        <v>364</v>
      </c>
    </row>
    <row r="382" spans="1:86" x14ac:dyDescent="0.35">
      <c r="A382" s="27">
        <v>45381</v>
      </c>
      <c r="B382" s="5">
        <f>MONTH(Modelling_old[[#This Row],[Date]])</f>
        <v>3</v>
      </c>
      <c r="C382" s="25">
        <v>2024</v>
      </c>
      <c r="D382" s="3">
        <f t="shared" si="129"/>
        <v>2024</v>
      </c>
      <c r="E382" s="3" t="s">
        <v>626</v>
      </c>
      <c r="F382" s="5" t="s">
        <v>626</v>
      </c>
      <c r="G382" s="102">
        <v>45352</v>
      </c>
      <c r="H382" s="5">
        <f t="shared" si="130"/>
        <v>31</v>
      </c>
      <c r="I382" s="5">
        <f t="shared" si="131"/>
        <v>3</v>
      </c>
      <c r="J382" s="4">
        <f t="shared" si="132"/>
        <v>54.516129032258064</v>
      </c>
      <c r="K382" s="4">
        <f>SUM($J$353:J382)</f>
        <v>1635.4838709677417</v>
      </c>
      <c r="L382" s="4">
        <f>SUM($J$18:J748)</f>
        <v>34607.999999999854</v>
      </c>
      <c r="M382" s="4">
        <f t="shared" si="133"/>
        <v>6.9</v>
      </c>
      <c r="N382" s="4">
        <f>SUM($M$353:M382)</f>
        <v>207.00000000000011</v>
      </c>
      <c r="O382" s="4">
        <f>SUM($M$18:M748)</f>
        <v>4340.0928571428612</v>
      </c>
      <c r="P382" s="9">
        <f t="shared" si="134"/>
        <v>0.68684861172593881</v>
      </c>
      <c r="Q382" s="26">
        <f t="shared" si="135"/>
        <v>0.68684861172593836</v>
      </c>
      <c r="R382" s="26">
        <f t="shared" si="136"/>
        <v>0.69320643469525633</v>
      </c>
      <c r="S382" s="9">
        <f t="shared" si="137"/>
        <v>0.19746897587120743</v>
      </c>
      <c r="T382" s="9">
        <f>K382/((COUNT($K$353:K382))*24*$Q$1)</f>
        <v>0.1974689758712074</v>
      </c>
      <c r="U382" s="28">
        <f>L382/((COUNT($L$18:L382))*24*$Q$1)</f>
        <v>0.34344523924045106</v>
      </c>
      <c r="V382" s="134">
        <v>11.5031</v>
      </c>
      <c r="Y382" s="27">
        <f t="shared" si="126"/>
        <v>45381</v>
      </c>
      <c r="Z382" s="5">
        <f>MONTH(Modelling_new[[#This Row],[Date]])</f>
        <v>3</v>
      </c>
      <c r="AA382" s="25">
        <f>YEAR(Y382)+IF(MONTH(Modelling_new[[#This Row],[Date]])&gt;=4,1,0)</f>
        <v>2024</v>
      </c>
      <c r="AB382" s="3">
        <f t="shared" si="120"/>
        <v>2024</v>
      </c>
      <c r="AC382" s="3" t="s">
        <v>626</v>
      </c>
      <c r="AD382" s="5" t="s">
        <v>626</v>
      </c>
      <c r="AE382" s="102">
        <v>45352</v>
      </c>
      <c r="AF382" s="5">
        <f t="shared" si="121"/>
        <v>31</v>
      </c>
      <c r="AG382" s="5">
        <f t="shared" si="122"/>
        <v>3</v>
      </c>
      <c r="AH382" s="4">
        <f>(VLOOKUP(AG382,$AA$2:$AK$13,10,0)/AF382)*Modelling_new[[#This Row],[Factor]]</f>
        <v>73.423457748386625</v>
      </c>
      <c r="AI382" s="4">
        <f>SUMIFS(Modelling_new[Target E_Grid daily
MWh],Modelling_new[Month Year],Modelling_new[[#This Row],[Month Year]],Modelling_new[Date],"&lt;="&amp;Modelling_new[[#This Row],[Date]])</f>
        <v>2202.7037324516</v>
      </c>
      <c r="AJ382" s="4">
        <f>SUMIFS(Modelling_new[Target E_Grid daily
MWh],Modelling_new[Finacial Year],Modelling_new[[#This Row],[Finacial Year]],Modelling_new[Date],"&lt;="&amp;Modelling_new[[#This Row],[Date]])</f>
        <v>6162.5205297515913</v>
      </c>
      <c r="AK382" s="4">
        <f t="shared" si="138"/>
        <v>6.877058658064521</v>
      </c>
      <c r="AL382" s="4">
        <f>SUMIFS(Modelling_new[Target POA Daily (KWh/m2)],Modelling_new[Month Year],Modelling_new[[#This Row],[Month Year]],Modelling_new[Date],"&lt;="&amp;Modelling_new[[#This Row],[Date]])</f>
        <v>206.31175974193576</v>
      </c>
      <c r="AM382" s="4">
        <f>SUMIFS(Modelling_new[Target POA Daily (KWh/m2)],Modelling_new[Finacial Year],Modelling_new[[#This Row],[Finacial Year]],Modelling_new[Date],"&lt;="&amp;Modelling_new[[#This Row],[Date]])</f>
        <v>567.75371609907859</v>
      </c>
      <c r="AN382" s="9">
        <f>AH382/Modelling_new[[#This Row],[Comisined DC ]]/AK382</f>
        <v>0.83410770822290803</v>
      </c>
      <c r="AO382" s="9">
        <f>AI382/AL382/Modelling_new[[#This Row],[MTD DC Capcity]]</f>
        <v>0.83410770822290758</v>
      </c>
      <c r="AP382" s="9">
        <f>AJ382/AM382/Modelling_new[[#This Row],[YTD DC Capcity]]</f>
        <v>0.84798549570889414</v>
      </c>
      <c r="AQ382" s="9">
        <f>AH382/(24*Modelling_new[[#This Row],[Comisined DC ]])</f>
        <v>0.239008651524696</v>
      </c>
      <c r="AR382" s="9">
        <f>AI382/(COUNTIFS(Modelling_new[Date],"&lt;="&amp;Modelling_new[[#This Row],[Date]],Modelling_new[Month Year],Modelling_new[[#This Row],[Month Year]])*24*Modelling_new[[#This Row],[MTD DC Capcity]])</f>
        <v>0.23900865152469608</v>
      </c>
      <c r="AS382" s="28">
        <f>AJ382/(COUNTIFS(Modelling_new[Date],"&lt;="&amp;Modelling_new[[#This Row],[Date]],Modelling_new[Finacial Year],Modelling_new[[#This Row],[Finacial Year]],Modelling_new[Target E_Grid YTD
MWh],"&gt;"&amp;0)*24*Modelling_new[[#This Row],[YTD DC Capcity]])</f>
        <v>0.22289209091983514</v>
      </c>
      <c r="AT382" s="5">
        <v>12.8</v>
      </c>
      <c r="AU382" s="9">
        <f>Modelling_new[[#This Row],[Comisined DC ]]/$AO$1</f>
        <v>1</v>
      </c>
      <c r="AV382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382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382" s="27">
        <f t="shared" si="127"/>
        <v>45381</v>
      </c>
      <c r="BE382" s="5">
        <f>MONTH(Modelling[[#This Row],[Date]])</f>
        <v>3</v>
      </c>
      <c r="BF382" s="25">
        <f>YEAR(BD382)+IF(MONTH(Modelling[[#This Row],[Date]])&gt;=4,1,0)</f>
        <v>2024</v>
      </c>
      <c r="BG382" s="3">
        <f t="shared" si="123"/>
        <v>2024</v>
      </c>
      <c r="BH382" s="3" t="s">
        <v>626</v>
      </c>
      <c r="BI382" s="5" t="s">
        <v>626</v>
      </c>
      <c r="BJ382" s="102">
        <v>45352</v>
      </c>
      <c r="BK382" s="5">
        <f t="shared" si="124"/>
        <v>31</v>
      </c>
      <c r="BL382" s="5">
        <f t="shared" si="125"/>
        <v>3</v>
      </c>
      <c r="BM382" s="4">
        <f>Modelling_old[[#This Row],[Target E_Grid daily
MWh]]+Modelling_new[[#This Row],[Target E_Grid daily
MWh]]</f>
        <v>127.93958678064469</v>
      </c>
      <c r="BN382" s="4">
        <f>Modelling_old[[#This Row],[Target E_Grid MTD
MWh]]+Modelling_new[[#This Row],[Target E_Grid MTD
MWh]]</f>
        <v>3838.1876034193419</v>
      </c>
      <c r="BO382" s="4">
        <f>Modelling_old[[#This Row],[Target E_Grid YTD
MWh]]+Modelling_new[[#This Row],[Target E_Grid YTD
MWh]]</f>
        <v>40770.520529751448</v>
      </c>
      <c r="BP382" s="4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82" s="4">
        <f>SUMIFS(Modelling[Target POA Daily (KWh/m2)],Modelling[Date],"&lt;="&amp;Modelling[[#This Row],[Date]],Modelling[Month Year],Modelling[[#This Row],[Month Year]])</f>
        <v>206.63751639489527</v>
      </c>
      <c r="BR382" s="4">
        <f>SUMIFS(Modelling[Target POA Daily (KWh/m2)],Modelling[Date],"&lt;="&amp;Modelling[[#This Row],[Date]],Modelling[Finacial Year],Modelling[[#This Row],[Finacial Year]])</f>
        <v>2151.4346155678818</v>
      </c>
      <c r="BS382" s="9">
        <f>BM382/Modelling[[#This Row],[Comisined DC ]]/BP382</f>
        <v>0.76428502649716468</v>
      </c>
      <c r="BT382" s="9">
        <f>BN382/BQ382/Modelling[[#This Row],[Comisined DC ]]</f>
        <v>0.76428502649716445</v>
      </c>
      <c r="BU382" s="9">
        <f>BO382/BR382/Modelling[[#This Row],[Comisined DC ]]</f>
        <v>0.77975187983458905</v>
      </c>
      <c r="BV382" s="9">
        <f>BM382/(24*Modelling[[#This Row],[Comisined DC ]])</f>
        <v>0.2193471662405288</v>
      </c>
      <c r="BW382" s="9">
        <f>BN382/((COUNTIFS(Modelling[Date],"&lt;="&amp;Modelling[[#This Row],[Date]],Modelling[Month Year],Modelling[[#This Row],[Month Year]])*24*Modelling[[#This Row],[MTD DC Capcity]]))</f>
        <v>0.219347166240529</v>
      </c>
      <c r="BX382" s="28">
        <f>BO382/((COUNTIFS(Modelling[Date],"&lt;="&amp;Modelling[[#This Row],[Date]],Modelling[Finacial Year],Modelling[[#This Row],[Finacial Year]])*24*Modelling[[#This Row],[MTD DC Capcity]]))</f>
        <v>0.19150515819980177</v>
      </c>
      <c r="BY382" s="4">
        <f>Modelling_old[[#This Row],[DC Capcity]]+Modelling_new[[#This Row],[Comisined DC ]]</f>
        <v>24.303100000000001</v>
      </c>
      <c r="BZ382" s="4">
        <v>0</v>
      </c>
      <c r="CA382" s="4">
        <f>AVERAGEIFS(Modelling[[Comisined DC ]],Modelling[Date],"&lt;="&amp;Modelling[[#This Row],[Date]],Modelling[Month Year],Modelling[[#This Row],[Month Year]])</f>
        <v>24.303099999999983</v>
      </c>
      <c r="CB382" s="4">
        <f>AVERAGEIFS(Modelling[[Comisined DC ]],Modelling[Date],"&lt;="&amp;Modelling[[#This Row],[Date]],Modelling[Finacial Year],Modelling[[#This Row],[Finacial Year]])</f>
        <v>14.555473424657485</v>
      </c>
      <c r="CG382">
        <f t="shared" si="119"/>
        <v>30</v>
      </c>
      <c r="CH382">
        <f t="shared" si="128"/>
        <v>365</v>
      </c>
    </row>
    <row r="383" spans="1:86" x14ac:dyDescent="0.35">
      <c r="A383" s="27">
        <f>A382+1</f>
        <v>45382</v>
      </c>
      <c r="B383" s="5">
        <f>MONTH(Modelling_old[[#This Row],[Date]])</f>
        <v>3</v>
      </c>
      <c r="C383" s="25">
        <v>2024</v>
      </c>
      <c r="D383" s="3">
        <f t="shared" si="129"/>
        <v>2024</v>
      </c>
      <c r="E383" s="3" t="s">
        <v>626</v>
      </c>
      <c r="F383" s="5" t="s">
        <v>626</v>
      </c>
      <c r="G383" s="102">
        <v>45352</v>
      </c>
      <c r="H383" s="5">
        <f t="shared" si="130"/>
        <v>31</v>
      </c>
      <c r="I383" s="5">
        <f t="shared" si="131"/>
        <v>3</v>
      </c>
      <c r="J383" s="4">
        <f t="shared" si="132"/>
        <v>54.516129032258064</v>
      </c>
      <c r="K383" s="4">
        <f>SUM($J$353:J383)</f>
        <v>1689.9999999999998</v>
      </c>
      <c r="L383" s="4">
        <f>SUM($J$18:J748)</f>
        <v>34607.999999999854</v>
      </c>
      <c r="M383" s="135">
        <f t="shared" si="133"/>
        <v>6.9</v>
      </c>
      <c r="N383" s="4">
        <f>SUM($M$353:M383)</f>
        <v>213.90000000000012</v>
      </c>
      <c r="O383" s="4">
        <f>SUM($M$18:M748)</f>
        <v>4340.0928571428612</v>
      </c>
      <c r="P383" s="9">
        <f t="shared" si="134"/>
        <v>0.68684861172593881</v>
      </c>
      <c r="Q383" s="26">
        <f t="shared" si="135"/>
        <v>0.68684861172593836</v>
      </c>
      <c r="R383" s="26">
        <f t="shared" si="136"/>
        <v>0.69320643469525633</v>
      </c>
      <c r="S383" s="9">
        <f t="shared" si="137"/>
        <v>0.19746897587120743</v>
      </c>
      <c r="T383" s="9">
        <f>K383/((COUNT($K$353:K383))*24*$Q$1)</f>
        <v>0.1974689758712074</v>
      </c>
      <c r="U383" s="28">
        <f>L383/((COUNT($L$18:L748))*24*$Q$1)</f>
        <v>0.1714877049559024</v>
      </c>
      <c r="V383" s="134">
        <v>11.5031</v>
      </c>
      <c r="Y383" s="27">
        <f t="shared" si="126"/>
        <v>45382</v>
      </c>
      <c r="Z383" s="5">
        <f>MONTH(Modelling_new[[#This Row],[Date]])</f>
        <v>3</v>
      </c>
      <c r="AA383" s="25">
        <f>YEAR(Y383)+IF(MONTH(Modelling_new[[#This Row],[Date]])&gt;=4,1,0)</f>
        <v>2024</v>
      </c>
      <c r="AB383" s="3">
        <f t="shared" si="120"/>
        <v>2024</v>
      </c>
      <c r="AC383" s="3" t="s">
        <v>626</v>
      </c>
      <c r="AD383" s="5" t="s">
        <v>626</v>
      </c>
      <c r="AE383" s="102">
        <v>45352</v>
      </c>
      <c r="AF383" s="5">
        <f t="shared" si="121"/>
        <v>31</v>
      </c>
      <c r="AG383" s="5">
        <f t="shared" si="122"/>
        <v>3</v>
      </c>
      <c r="AH383" s="4">
        <f>(VLOOKUP(AG383,$AA$2:$AK$13,10,0)/AF383)*Modelling_new[[#This Row],[Factor]]</f>
        <v>73.423457748386625</v>
      </c>
      <c r="AI383" s="4">
        <f>SUMIFS(Modelling_new[Target E_Grid daily
MWh],Modelling_new[Month Year],Modelling_new[[#This Row],[Month Year]],Modelling_new[Date],"&lt;="&amp;Modelling_new[[#This Row],[Date]])</f>
        <v>2276.1271901999867</v>
      </c>
      <c r="AJ383" s="4">
        <f>SUMIFS(Modelling_new[Target E_Grid daily
MWh],Modelling_new[Finacial Year],Modelling_new[[#This Row],[Finacial Year]],Modelling_new[Date],"&lt;="&amp;Modelling_new[[#This Row],[Date]])</f>
        <v>6235.943987499978</v>
      </c>
      <c r="AK383" s="135">
        <f t="shared" si="138"/>
        <v>6.877058658064521</v>
      </c>
      <c r="AL383" s="4">
        <f>SUMIFS(Modelling_new[Target POA Daily (KWh/m2)],Modelling_new[Month Year],Modelling_new[[#This Row],[Month Year]],Modelling_new[Date],"&lt;="&amp;Modelling_new[[#This Row],[Date]])</f>
        <v>213.18881840000029</v>
      </c>
      <c r="AM383" s="4">
        <f>SUMIFS(Modelling_new[Target POA Daily (KWh/m2)],Modelling_new[Finacial Year],Modelling_new[[#This Row],[Finacial Year]],Modelling_new[Date],"&lt;="&amp;Modelling_new[[#This Row],[Date]])</f>
        <v>574.63077475714306</v>
      </c>
      <c r="AN383" s="9">
        <f>AH383/Modelling_new[[#This Row],[Comisined DC ]]/AK383</f>
        <v>0.83410770822290803</v>
      </c>
      <c r="AO383" s="9">
        <f>AI383/AL383/Modelling_new[[#This Row],[MTD DC Capcity]]</f>
        <v>0.83410770822290758</v>
      </c>
      <c r="AP383" s="9">
        <f>AJ383/AM383/Modelling_new[[#This Row],[YTD DC Capcity]]</f>
        <v>0.84781940930562849</v>
      </c>
      <c r="AQ383" s="9">
        <f>AH383/(24*Modelling_new[[#This Row],[Comisined DC ]])</f>
        <v>0.239008651524696</v>
      </c>
      <c r="AR383" s="9">
        <f>AI383/(COUNTIFS(Modelling_new[Date],"&lt;="&amp;Modelling_new[[#This Row],[Date]],Modelling_new[Month Year],Modelling_new[[#This Row],[Month Year]])*24*Modelling_new[[#This Row],[MTD DC Capcity]])</f>
        <v>0.23900865152469608</v>
      </c>
      <c r="AS383" s="28">
        <f>AJ383/(COUNTIFS(Modelling_new[Date],"&lt;="&amp;Modelling_new[[#This Row],[Date]],Modelling_new[Finacial Year],Modelling_new[[#This Row],[Finacial Year]],Modelling_new[Target E_Grid YTD
MWh],"&gt;"&amp;0)*24*Modelling_new[[#This Row],[YTD DC Capcity]])</f>
        <v>0.22306919598142705</v>
      </c>
      <c r="AT383" s="5">
        <v>12.8</v>
      </c>
      <c r="AU383" s="9">
        <f>Modelling_new[[#This Row],[Comisined DC ]]/$AO$1</f>
        <v>1</v>
      </c>
      <c r="AV383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383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383" s="27">
        <f t="shared" si="127"/>
        <v>45382</v>
      </c>
      <c r="BE383" s="5">
        <f>MONTH(Modelling[[#This Row],[Date]])</f>
        <v>3</v>
      </c>
      <c r="BF383" s="25">
        <f>YEAR(BD383)+IF(MONTH(Modelling[[#This Row],[Date]])&gt;=4,1,0)</f>
        <v>2024</v>
      </c>
      <c r="BG383" s="3">
        <f t="shared" si="123"/>
        <v>2024</v>
      </c>
      <c r="BH383" s="3" t="s">
        <v>626</v>
      </c>
      <c r="BI383" s="5" t="s">
        <v>626</v>
      </c>
      <c r="BJ383" s="102">
        <v>45352</v>
      </c>
      <c r="BK383" s="5">
        <f t="shared" si="124"/>
        <v>31</v>
      </c>
      <c r="BL383" s="5">
        <f t="shared" si="125"/>
        <v>3</v>
      </c>
      <c r="BM383" s="4">
        <f>Modelling_old[[#This Row],[Target E_Grid daily
MWh]]+Modelling_new[[#This Row],[Target E_Grid daily
MWh]]</f>
        <v>127.93958678064469</v>
      </c>
      <c r="BN383" s="4">
        <f>Modelling_old[[#This Row],[Target E_Grid MTD
MWh]]+Modelling_new[[#This Row],[Target E_Grid MTD
MWh]]</f>
        <v>3966.1271901999862</v>
      </c>
      <c r="BO383" s="4">
        <f>Modelling_old[[#This Row],[Target E_Grid YTD
MWh]]+Modelling_new[[#This Row],[Target E_Grid YTD
MWh]]</f>
        <v>40843.943987499835</v>
      </c>
      <c r="BP383" s="135">
        <f>IFERROR((Modelling_old[[#This Row],[Target POA Daily (KWh/m2)]]*(Modelling_old[[#This Row],[DC Capcity]]/Modelling[[#This Row],[Comisined DC ]])),"")+IFERROR((Modelling_new[[#This Row],[Target POA Daily (KWh/m2)]]*(Modelling_new[[#This Row],[Comisined DC ]]/Modelling[[#This Row],[Comisined DC ]])),"")</f>
        <v>6.8879172131631714</v>
      </c>
      <c r="BQ383" s="4">
        <f>SUMIFS(Modelling[Target POA Daily (KWh/m2)],Modelling[Date],"&lt;="&amp;Modelling[[#This Row],[Date]],Modelling[Month Year],Modelling[[#This Row],[Month Year]])</f>
        <v>213.52543360805845</v>
      </c>
      <c r="BR383" s="4">
        <f>SUMIFS(Modelling[Target POA Daily (KWh/m2)],Modelling[Date],"&lt;="&amp;Modelling[[#This Row],[Date]],Modelling[Finacial Year],Modelling[[#This Row],[Finacial Year]])</f>
        <v>2158.3225327810451</v>
      </c>
      <c r="BS383" s="9">
        <f>BM383/Modelling[[#This Row],[Comisined DC ]]/BP383</f>
        <v>0.76428502649716468</v>
      </c>
      <c r="BT383" s="9">
        <f>BN383/BQ383/Modelling[[#This Row],[Comisined DC ]]</f>
        <v>0.76428502649716423</v>
      </c>
      <c r="BU383" s="9">
        <f>BO383/BR383/Modelling[[#This Row],[Comisined DC ]]</f>
        <v>0.77866320550382329</v>
      </c>
      <c r="BV383" s="9">
        <f>BM383/(24*Modelling[[#This Row],[Comisined DC ]])</f>
        <v>0.2193471662405288</v>
      </c>
      <c r="BW383" s="9">
        <f>BN383/((COUNTIFS(Modelling[Date],"&lt;="&amp;Modelling[[#This Row],[Date]],Modelling[Month Year],Modelling[[#This Row],[Month Year]])*24*Modelling[[#This Row],[MTD DC Capcity]]))</f>
        <v>0.219347166240529</v>
      </c>
      <c r="BX383" s="28">
        <f>BO383/((COUNTIFS(Modelling[Date],"&lt;="&amp;Modelling[[#This Row],[Date]],Modelling[Finacial Year],Modelling[[#This Row],[Finacial Year]])*24*Modelling[[#This Row],[MTD DC Capcity]]))</f>
        <v>0.19132585859362711</v>
      </c>
      <c r="BY383" s="4">
        <f>Modelling_old[[#This Row],[DC Capcity]]+Modelling_new[[#This Row],[Comisined DC ]]</f>
        <v>24.303100000000001</v>
      </c>
      <c r="BZ383" s="4">
        <v>0</v>
      </c>
      <c r="CA383" s="4">
        <f>AVERAGEIFS(Modelling[[Comisined DC ]],Modelling[Date],"&lt;="&amp;Modelling[[#This Row],[Date]],Modelling[Month Year],Modelling[[#This Row],[Month Year]])</f>
        <v>24.303099999999983</v>
      </c>
      <c r="CB383" s="4">
        <f>AVERAGEIFS(Modelling[[Comisined DC ]],Modelling[Date],"&lt;="&amp;Modelling[[#This Row],[Date]],Modelling[Finacial Year],Modelling[[#This Row],[Finacial Year]])</f>
        <v>14.582106284152957</v>
      </c>
      <c r="CG383">
        <f t="shared" si="119"/>
        <v>31</v>
      </c>
      <c r="CH383">
        <f t="shared" si="128"/>
        <v>366</v>
      </c>
    </row>
    <row r="384" spans="1:86" x14ac:dyDescent="0.35">
      <c r="A384" s="27">
        <f t="shared" ref="A384:A447" si="139">A383+1</f>
        <v>45383</v>
      </c>
      <c r="B384" s="5">
        <f>MONTH(Modelling_old[[#This Row],[Date]])</f>
        <v>4</v>
      </c>
      <c r="C384" s="25">
        <f t="shared" ref="C384:C447" si="140">YEAR(A384)+(MONTH(A384)&gt;=B384)</f>
        <v>2025</v>
      </c>
      <c r="D384" s="3">
        <f t="shared" ref="D384:D447" si="141">YEAR(A384)</f>
        <v>2024</v>
      </c>
      <c r="E384" s="3" t="s">
        <v>627</v>
      </c>
      <c r="F384" s="3" t="s">
        <v>627</v>
      </c>
      <c r="G384" s="102">
        <f>DATE(Modelling_old[[#This Row],[Calendor Year]],Modelling_old[[#This Row],[Start Month]],1)</f>
        <v>45383</v>
      </c>
      <c r="H384" s="5">
        <f t="shared" ref="H384:H447" si="142">DAY(EOMONTH(G384,0))</f>
        <v>30</v>
      </c>
      <c r="I384" s="5">
        <f t="shared" ref="I384:I447" si="143">MONTH(A384)</f>
        <v>4</v>
      </c>
      <c r="J384" s="4">
        <f>_xlfn.XLOOKUP(Modelling_old[[#This Row],[Month]],$C$1:$C$14,$N$1:$N$14)/Modelling_old[[#This Row],[Total Days]]</f>
        <v>50.97</v>
      </c>
      <c r="K384" s="4">
        <f>SUM($J$384:J384)</f>
        <v>50.97</v>
      </c>
      <c r="L384" s="4">
        <f>SUM($J$384:J384)</f>
        <v>50.97</v>
      </c>
      <c r="M384" s="4">
        <f t="shared" ref="M384:M447" si="144">VLOOKUP(I384,$C$2:$M$13,11,0)</f>
        <v>6.6233333333333331</v>
      </c>
      <c r="N384" s="4">
        <f>SUM($M$384:M384)</f>
        <v>6.6233333333333331</v>
      </c>
      <c r="O384" s="4">
        <f>SUM($M$384:M384)</f>
        <v>6.6233333333333331</v>
      </c>
      <c r="P384" s="323">
        <f t="shared" ref="P384:P447" si="145">J384/$Q$1/M384</f>
        <v>0.66899539130820584</v>
      </c>
      <c r="Q384" s="337">
        <f t="shared" ref="Q384:Q447" si="146">K384/N384/$Q$1</f>
        <v>0.66899539130820584</v>
      </c>
      <c r="R384" s="337">
        <f t="shared" ref="R384:R447" si="147">L384/O384/$Q$1</f>
        <v>0.66899539130820584</v>
      </c>
      <c r="S384" s="323">
        <f t="shared" ref="S384:S447" si="148">J384/(24*$Q$1)</f>
        <v>0.18462414479575073</v>
      </c>
      <c r="T384" s="9">
        <f>Modelling_old[[#This Row],[Target E_Grid MTD
MWh]]/Modelling_old[[#This Row],[DC Capcity]]/(24*CG384)</f>
        <v>0.18462414479575071</v>
      </c>
      <c r="U384" s="338">
        <f>Modelling_old[[#This Row],[Target E_Grid YTD
MWh]]/Modelling_old[[#This Row],[DC Capcity]]/(24*CH384)</f>
        <v>0.18462414479575071</v>
      </c>
      <c r="V384" s="134">
        <v>11.5031</v>
      </c>
      <c r="Y384" s="27">
        <f t="shared" si="126"/>
        <v>45383</v>
      </c>
      <c r="Z384" s="5">
        <f>MONTH(Modelling_new[[#This Row],[Date]])</f>
        <v>4</v>
      </c>
      <c r="AA384" s="25">
        <f>YEAR(Y384)+IF(MONTH(Modelling_new[[#This Row],[Date]])&gt;=4,1,0)</f>
        <v>2025</v>
      </c>
      <c r="AB384" s="3">
        <f t="shared" ref="AB384:AB447" si="149">YEAR(Y384)</f>
        <v>2024</v>
      </c>
      <c r="AC384" s="3" t="s">
        <v>627</v>
      </c>
      <c r="AD384" s="3" t="s">
        <v>627</v>
      </c>
      <c r="AE384" s="102">
        <f>DATE(Modelling_old[[#This Row],[Calendor Year]],Modelling_old[[#This Row],[Start Month]],1)</f>
        <v>45383</v>
      </c>
      <c r="AF384" s="5">
        <f t="shared" ref="AF384:AF447" si="150">DAY(EOMONTH(AE384,0))</f>
        <v>30</v>
      </c>
      <c r="AG384" s="5">
        <f t="shared" ref="AG384:AG447" si="151">MONTH(Y384)</f>
        <v>4</v>
      </c>
      <c r="AH384" s="4">
        <f>_xlfn.XLOOKUP(Modelling_new[[#This Row],[Month]],$AA$1:$AA$14,$AL$1:$AL$14)/Modelling_new[[#This Row],[Total Days]]</f>
        <v>72.38321964602072</v>
      </c>
      <c r="AI384" s="4">
        <f>SUM($AH$384:AH384)</f>
        <v>72.38321964602072</v>
      </c>
      <c r="AJ384" s="4">
        <f>SUM($AH$384:AH384)</f>
        <v>72.38321964602072</v>
      </c>
      <c r="AK384" s="4">
        <f t="shared" ref="AK384:AK447" si="152">VLOOKUP(AG384,$C$2:$M$13,11,0)</f>
        <v>6.6233333333333331</v>
      </c>
      <c r="AL384" s="4">
        <f>SUM($AK$384:AK384)</f>
        <v>6.6233333333333331</v>
      </c>
      <c r="AM384" s="4">
        <f>SUM($AK$384:AK384)</f>
        <v>6.6233333333333331</v>
      </c>
      <c r="AN384" s="323">
        <f t="shared" ref="AN384:AN447" si="153">AH384/$Q$1/AK384</f>
        <v>0.95004984012629889</v>
      </c>
      <c r="AO384" s="323">
        <f t="shared" ref="AO384:AO447" si="154">AI384/AL384/$Q$1</f>
        <v>0.95004984012629878</v>
      </c>
      <c r="AP384" s="323">
        <f t="shared" ref="AP384:AP447" si="155">AJ384/AM384/$Q$1</f>
        <v>0.95004984012629878</v>
      </c>
      <c r="AQ384" s="323">
        <f t="shared" ref="AQ384:AQ447" si="156">AH384/(24*$Q$1)</f>
        <v>0.26218736560152167</v>
      </c>
      <c r="AR384" s="323">
        <f>Modelling_new[[#This Row],[Target E_Grid MTD
MWh]]/Modelling_new[[#This Row],[MTD DC Capcity]]/(24*CG384)</f>
        <v>0.23562245978522367</v>
      </c>
      <c r="AS384" s="323">
        <f>Modelling_new[[#This Row],[Target E_Grid YTD
MWh]]/Modelling_new[[#This Row],[YTD DC Capcity]]/(24*CH384)</f>
        <v>0.23562245978522367</v>
      </c>
      <c r="AT384" s="5">
        <v>12.8</v>
      </c>
      <c r="AU384" s="9">
        <f>Modelling_new[[#This Row],[Comisined DC ]]/$AO$1</f>
        <v>1</v>
      </c>
      <c r="AV384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84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384" s="27">
        <f t="shared" si="127"/>
        <v>45383</v>
      </c>
      <c r="BE384" s="5">
        <f>MONTH(Modelling[[#This Row],[Date]])</f>
        <v>4</v>
      </c>
      <c r="BF384" s="25">
        <f>YEAR(BD384)+IF(MONTH(Modelling[[#This Row],[Date]])&gt;=4,1,0)</f>
        <v>2025</v>
      </c>
      <c r="BG384" s="3">
        <f t="shared" ref="BG384:BG447" si="157">YEAR(BD384)</f>
        <v>2024</v>
      </c>
      <c r="BH384" s="3" t="s">
        <v>627</v>
      </c>
      <c r="BI384" s="3" t="s">
        <v>627</v>
      </c>
      <c r="BJ384" s="102">
        <f>DATE(Modelling_old[[#This Row],[Calendor Year]],Modelling_old[[#This Row],[Start Month]],1)</f>
        <v>45383</v>
      </c>
      <c r="BK384" s="5">
        <f t="shared" ref="BK384:BK447" si="158">DAY(EOMONTH(BJ384,0))</f>
        <v>30</v>
      </c>
      <c r="BL384" s="5">
        <f t="shared" ref="BL384:BL447" si="159">MONTH(BD384)</f>
        <v>4</v>
      </c>
      <c r="BM384" s="4">
        <f>Modelling_old[[#This Row],[Target E_Grid daily
MWh]]+Modelling_new[[#This Row],[Target E_Grid daily
MWh]]</f>
        <v>123.35321964602072</v>
      </c>
      <c r="BN384" s="4">
        <f>Modelling_old[[#This Row],[Target E_Grid MTD
MWh]]+Modelling_new[[#This Row],[Target E_Grid MTD
MWh]]</f>
        <v>123.35321964602072</v>
      </c>
      <c r="BO384" s="4">
        <f>Modelling_old[[#This Row],[Target E_Grid YTD
MWh]]+Modelling_new[[#This Row],[Target E_Grid YTD
MWh]]</f>
        <v>123.35321964602072</v>
      </c>
      <c r="BP384" s="4">
        <f>AVERAGE(Modelling_old[[#This Row],[Target POA Daily (KWh/m2)]],Modelling_new[[#This Row],[Target POA Daily (KWh/m2)]])</f>
        <v>6.6233333333333331</v>
      </c>
      <c r="BQ384" s="4">
        <f>SUM($BP$384:BP384)</f>
        <v>6.6233333333333331</v>
      </c>
      <c r="BR384" s="4">
        <f>SUM($BP$384:BP384)</f>
        <v>6.6233333333333331</v>
      </c>
      <c r="BS384" s="323">
        <f>BM384/Modelling[[#This Row],[Comisined DC ]]/BP384</f>
        <v>0.76632360487815343</v>
      </c>
      <c r="BT384" s="337">
        <f>BN384/BQ384/Modelling[[#This Row],[Comisined DC ]]</f>
        <v>0.76632360487815343</v>
      </c>
      <c r="BU384" s="337">
        <f>BO384/BR384/Modelling[[#This Row],[Comisined DC ]]</f>
        <v>0.76632360487815343</v>
      </c>
      <c r="BV384" s="323">
        <f>BM384/(24*Modelling[[#This Row],[Comisined DC ]])</f>
        <v>0.21148402817956816</v>
      </c>
      <c r="BW384" s="323">
        <f>Modelling[[#This Row],[Target E_Grid MTD
MWh]]/Modelling[[#This Row],[MTD DC Capcity]]/(24*CG384)</f>
        <v>0.21148402817956816</v>
      </c>
      <c r="BX384" s="338">
        <f>Modelling[[#This Row],[Target E_Grid YTD
MWh]]/Modelling[[#This Row],[YTD DC Capcity]]/(24*CH384)</f>
        <v>0.21148402817956816</v>
      </c>
      <c r="BY384" s="4">
        <f>Modelling_old[[#This Row],[DC Capcity]]+Modelling_new[[#This Row],[Comisined DC ]]</f>
        <v>24.303100000000001</v>
      </c>
      <c r="BZ384" s="4">
        <v>0</v>
      </c>
      <c r="CA384">
        <f>AVERAGEIFS(Modelling[[Comisined DC ]],Modelling[Date],"&lt;="&amp;Modelling[[#This Row],[Date]],Modelling[Month Year],Modelling[[#This Row],[Month Year]])</f>
        <v>24.303100000000001</v>
      </c>
      <c r="CB384">
        <f>AVERAGEIFS(Modelling[[Comisined DC ]],Modelling[Date],"&lt;="&amp;Modelling[[#This Row],[Date]],Modelling[Finacial Year],Modelling[[#This Row],[Finacial Year]])</f>
        <v>24.303100000000001</v>
      </c>
      <c r="CG384">
        <v>1</v>
      </c>
      <c r="CH384">
        <v>1</v>
      </c>
    </row>
    <row r="385" spans="1:86" x14ac:dyDescent="0.35">
      <c r="A385" s="27">
        <f t="shared" si="139"/>
        <v>45384</v>
      </c>
      <c r="B385" s="5">
        <f>MONTH(Modelling_old[[#This Row],[Date]])</f>
        <v>4</v>
      </c>
      <c r="C385" s="25">
        <f t="shared" si="140"/>
        <v>2025</v>
      </c>
      <c r="D385" s="3">
        <f t="shared" si="141"/>
        <v>2024</v>
      </c>
      <c r="E385" s="3" t="s">
        <v>627</v>
      </c>
      <c r="F385" s="3" t="s">
        <v>627</v>
      </c>
      <c r="G385" s="102">
        <f>DATE(Modelling_old[[#This Row],[Calendor Year]],Modelling_old[[#This Row],[Start Month]],1)</f>
        <v>45383</v>
      </c>
      <c r="H385" s="5">
        <f t="shared" si="142"/>
        <v>30</v>
      </c>
      <c r="I385" s="5">
        <f t="shared" si="143"/>
        <v>4</v>
      </c>
      <c r="J385" s="4">
        <f>_xlfn.XLOOKUP(Modelling_old[[#This Row],[Month]],$C$1:$C$14,$N$1:$N$14)/Modelling_old[[#This Row],[Total Days]]</f>
        <v>50.97</v>
      </c>
      <c r="K385" s="4">
        <f>SUM($J$384:J385)</f>
        <v>101.94</v>
      </c>
      <c r="L385" s="4">
        <f>SUM($J$384:J385)</f>
        <v>101.94</v>
      </c>
      <c r="M385" s="4">
        <f t="shared" si="144"/>
        <v>6.6233333333333331</v>
      </c>
      <c r="N385" s="4">
        <f>SUM($M$384:M385)</f>
        <v>13.246666666666666</v>
      </c>
      <c r="O385" s="4">
        <f>SUM($M$384:M385)</f>
        <v>13.246666666666666</v>
      </c>
      <c r="P385" s="323">
        <f t="shared" si="145"/>
        <v>0.66899539130820584</v>
      </c>
      <c r="Q385" s="337">
        <f t="shared" si="146"/>
        <v>0.66899539130820584</v>
      </c>
      <c r="R385" s="337">
        <f t="shared" si="147"/>
        <v>0.66899539130820584</v>
      </c>
      <c r="S385" s="323">
        <f t="shared" si="148"/>
        <v>0.18462414479575073</v>
      </c>
      <c r="T385" s="9">
        <f>Modelling_old[[#This Row],[Target E_Grid MTD
MWh]]/Modelling_old[[#This Row],[DC Capcity]]/(24*CG385)</f>
        <v>0.18462414479575071</v>
      </c>
      <c r="U385" s="338">
        <f>Modelling_old[[#This Row],[Target E_Grid YTD
MWh]]/Modelling_old[[#This Row],[DC Capcity]]/(24*CH385)</f>
        <v>0.18462414479575071</v>
      </c>
      <c r="V385" s="134">
        <v>11.5031</v>
      </c>
      <c r="Y385" s="27">
        <f t="shared" si="126"/>
        <v>45384</v>
      </c>
      <c r="Z385" s="5">
        <f>MONTH(Modelling_new[[#This Row],[Date]])</f>
        <v>4</v>
      </c>
      <c r="AA385" s="25">
        <f>YEAR(Y385)+IF(MONTH(Modelling_new[[#This Row],[Date]])&gt;=4,1,0)</f>
        <v>2025</v>
      </c>
      <c r="AB385" s="3">
        <f t="shared" si="149"/>
        <v>2024</v>
      </c>
      <c r="AC385" s="3" t="s">
        <v>627</v>
      </c>
      <c r="AD385" s="3" t="s">
        <v>627</v>
      </c>
      <c r="AE385" s="102">
        <f>DATE(Modelling_old[[#This Row],[Calendor Year]],Modelling_old[[#This Row],[Start Month]],1)</f>
        <v>45383</v>
      </c>
      <c r="AF385" s="5">
        <f t="shared" si="150"/>
        <v>30</v>
      </c>
      <c r="AG385" s="5">
        <f t="shared" si="151"/>
        <v>4</v>
      </c>
      <c r="AH385" s="4">
        <f>_xlfn.XLOOKUP(Modelling_new[[#This Row],[Month]],$AA$1:$AA$14,$AL$1:$AL$14)/Modelling_new[[#This Row],[Total Days]]</f>
        <v>72.38321964602072</v>
      </c>
      <c r="AI385" s="4">
        <f>SUM($AH$384:AH385)</f>
        <v>144.76643929204144</v>
      </c>
      <c r="AJ385" s="4">
        <f>SUM($AH$384:AH385)</f>
        <v>144.76643929204144</v>
      </c>
      <c r="AK385" s="4">
        <f t="shared" si="152"/>
        <v>6.6233333333333331</v>
      </c>
      <c r="AL385" s="4">
        <f>SUM($AK$384:AK385)</f>
        <v>13.246666666666666</v>
      </c>
      <c r="AM385" s="4">
        <f>SUM($AK$384:AK385)</f>
        <v>13.246666666666666</v>
      </c>
      <c r="AN385" s="323">
        <f t="shared" si="153"/>
        <v>0.95004984012629889</v>
      </c>
      <c r="AO385" s="323">
        <f t="shared" si="154"/>
        <v>0.95004984012629878</v>
      </c>
      <c r="AP385" s="323">
        <f t="shared" si="155"/>
        <v>0.95004984012629878</v>
      </c>
      <c r="AQ385" s="323">
        <f t="shared" si="156"/>
        <v>0.26218736560152167</v>
      </c>
      <c r="AR385" s="323">
        <f>Modelling_new[[#This Row],[Target E_Grid MTD
MWh]]/Modelling_new[[#This Row],[MTD DC Capcity]]/(24*CG385)</f>
        <v>0.23562245978522367</v>
      </c>
      <c r="AS385" s="323">
        <f>Modelling_new[[#This Row],[Target E_Grid YTD
MWh]]/Modelling_new[[#This Row],[YTD DC Capcity]]/(24*CH385)</f>
        <v>0.23562245978522367</v>
      </c>
      <c r="AT385" s="5">
        <v>12.8</v>
      </c>
      <c r="AU385" s="9">
        <f>Modelling_new[[#This Row],[Comisined DC ]]/$AO$1</f>
        <v>1</v>
      </c>
      <c r="AV385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85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385" s="27">
        <f t="shared" si="127"/>
        <v>45384</v>
      </c>
      <c r="BE385" s="5">
        <f>MONTH(Modelling[[#This Row],[Date]])</f>
        <v>4</v>
      </c>
      <c r="BF385" s="25">
        <f>YEAR(BD385)+IF(MONTH(Modelling[[#This Row],[Date]])&gt;=4,1,0)</f>
        <v>2025</v>
      </c>
      <c r="BG385" s="3">
        <f t="shared" si="157"/>
        <v>2024</v>
      </c>
      <c r="BH385" s="3" t="s">
        <v>627</v>
      </c>
      <c r="BI385" s="3" t="s">
        <v>627</v>
      </c>
      <c r="BJ385" s="102">
        <f>DATE(Modelling_old[[#This Row],[Calendor Year]],Modelling_old[[#This Row],[Start Month]],1)</f>
        <v>45383</v>
      </c>
      <c r="BK385" s="5">
        <f t="shared" si="158"/>
        <v>30</v>
      </c>
      <c r="BL385" s="5">
        <f t="shared" si="159"/>
        <v>4</v>
      </c>
      <c r="BM385" s="4">
        <f>Modelling_old[[#This Row],[Target E_Grid daily
MWh]]+Modelling_new[[#This Row],[Target E_Grid daily
MWh]]</f>
        <v>123.35321964602072</v>
      </c>
      <c r="BN385" s="4">
        <f>Modelling_old[[#This Row],[Target E_Grid MTD
MWh]]+Modelling_new[[#This Row],[Target E_Grid MTD
MWh]]</f>
        <v>246.70643929204144</v>
      </c>
      <c r="BO385" s="4">
        <f>Modelling_old[[#This Row],[Target E_Grid YTD
MWh]]+Modelling_new[[#This Row],[Target E_Grid YTD
MWh]]</f>
        <v>246.70643929204144</v>
      </c>
      <c r="BP385" s="4">
        <f>AVERAGE(Modelling_old[[#This Row],[Target POA Daily (KWh/m2)]],Modelling_new[[#This Row],[Target POA Daily (KWh/m2)]])</f>
        <v>6.6233333333333331</v>
      </c>
      <c r="BQ385" s="4">
        <f>SUM($BP$384:BP385)</f>
        <v>13.246666666666666</v>
      </c>
      <c r="BR385" s="4">
        <f>SUM($BP$384:BP385)</f>
        <v>13.246666666666666</v>
      </c>
      <c r="BS385" s="323">
        <f>BM385/Modelling[[#This Row],[Comisined DC ]]/BP385</f>
        <v>0.76632360487815343</v>
      </c>
      <c r="BT385" s="337">
        <f>BN385/BQ385/Modelling[[#This Row],[Comisined DC ]]</f>
        <v>0.76632360487815343</v>
      </c>
      <c r="BU385" s="337">
        <f>BO385/BR385/Modelling[[#This Row],[Comisined DC ]]</f>
        <v>0.76632360487815343</v>
      </c>
      <c r="BV385" s="323">
        <f>BM385/(24*Modelling[[#This Row],[Comisined DC ]])</f>
        <v>0.21148402817956816</v>
      </c>
      <c r="BW385" s="323">
        <f>Modelling[[#This Row],[Target E_Grid MTD
MWh]]/Modelling[[#This Row],[MTD DC Capcity]]/(24*CG385)</f>
        <v>0.21148402817956816</v>
      </c>
      <c r="BX385" s="338">
        <f>Modelling[[#This Row],[Target E_Grid YTD
MWh]]/Modelling[[#This Row],[YTD DC Capcity]]/(24*CH385)</f>
        <v>0.21148402817956816</v>
      </c>
      <c r="BY385" s="4">
        <f>Modelling_old[[#This Row],[DC Capcity]]+Modelling_new[[#This Row],[Comisined DC ]]</f>
        <v>24.303100000000001</v>
      </c>
      <c r="BZ385" s="4">
        <v>0</v>
      </c>
      <c r="CA385">
        <f>AVERAGEIFS(Modelling[[Comisined DC ]],Modelling[Date],"&lt;="&amp;Modelling[[#This Row],[Date]],Modelling[Month Year],Modelling[[#This Row],[Month Year]])</f>
        <v>24.303100000000001</v>
      </c>
      <c r="CB385">
        <f>AVERAGEIFS(Modelling[[Comisined DC ]],Modelling[Date],"&lt;="&amp;Modelling[[#This Row],[Date]],Modelling[Finacial Year],Modelling[[#This Row],[Finacial Year]])</f>
        <v>24.303100000000001</v>
      </c>
      <c r="CG385">
        <f>CG384+1</f>
        <v>2</v>
      </c>
      <c r="CH385">
        <f>CH384+1</f>
        <v>2</v>
      </c>
    </row>
    <row r="386" spans="1:86" x14ac:dyDescent="0.35">
      <c r="A386" s="27">
        <f t="shared" si="139"/>
        <v>45385</v>
      </c>
      <c r="B386" s="5">
        <f>MONTH(Modelling_old[[#This Row],[Date]])</f>
        <v>4</v>
      </c>
      <c r="C386" s="25">
        <f t="shared" si="140"/>
        <v>2025</v>
      </c>
      <c r="D386" s="3">
        <f t="shared" si="141"/>
        <v>2024</v>
      </c>
      <c r="E386" s="3" t="s">
        <v>627</v>
      </c>
      <c r="F386" s="3" t="s">
        <v>627</v>
      </c>
      <c r="G386" s="102">
        <f>DATE(Modelling_old[[#This Row],[Calendor Year]],Modelling_old[[#This Row],[Start Month]],1)</f>
        <v>45383</v>
      </c>
      <c r="H386" s="5">
        <f t="shared" si="142"/>
        <v>30</v>
      </c>
      <c r="I386" s="5">
        <f t="shared" si="143"/>
        <v>4</v>
      </c>
      <c r="J386" s="4">
        <f>_xlfn.XLOOKUP(Modelling_old[[#This Row],[Month]],$C$1:$C$14,$N$1:$N$14)/Modelling_old[[#This Row],[Total Days]]</f>
        <v>50.97</v>
      </c>
      <c r="K386" s="4">
        <f>SUM($J$384:J386)</f>
        <v>152.91</v>
      </c>
      <c r="L386" s="4">
        <f>SUM($J$384:J386)</f>
        <v>152.91</v>
      </c>
      <c r="M386" s="4">
        <f t="shared" si="144"/>
        <v>6.6233333333333331</v>
      </c>
      <c r="N386" s="4">
        <f>SUM($M$384:M386)</f>
        <v>19.869999999999997</v>
      </c>
      <c r="O386" s="4">
        <f>SUM($M$384:M386)</f>
        <v>19.869999999999997</v>
      </c>
      <c r="P386" s="323">
        <f t="shared" si="145"/>
        <v>0.66899539130820584</v>
      </c>
      <c r="Q386" s="337">
        <f t="shared" si="146"/>
        <v>0.66899539130820596</v>
      </c>
      <c r="R386" s="337">
        <f t="shared" si="147"/>
        <v>0.66899539130820596</v>
      </c>
      <c r="S386" s="323">
        <f t="shared" si="148"/>
        <v>0.18462414479575073</v>
      </c>
      <c r="T386" s="9">
        <f>Modelling_old[[#This Row],[Target E_Grid MTD
MWh]]/Modelling_old[[#This Row],[DC Capcity]]/(24*CG386)</f>
        <v>0.18462414479575073</v>
      </c>
      <c r="U386" s="338">
        <f>Modelling_old[[#This Row],[Target E_Grid YTD
MWh]]/Modelling_old[[#This Row],[DC Capcity]]/(24*CH386)</f>
        <v>0.18462414479575073</v>
      </c>
      <c r="V386" s="134">
        <v>11.5031</v>
      </c>
      <c r="Y386" s="27">
        <f t="shared" si="126"/>
        <v>45385</v>
      </c>
      <c r="Z386" s="5">
        <f>MONTH(Modelling_new[[#This Row],[Date]])</f>
        <v>4</v>
      </c>
      <c r="AA386" s="25">
        <f>YEAR(Y386)+IF(MONTH(Modelling_new[[#This Row],[Date]])&gt;=4,1,0)</f>
        <v>2025</v>
      </c>
      <c r="AB386" s="3">
        <f t="shared" si="149"/>
        <v>2024</v>
      </c>
      <c r="AC386" s="3" t="s">
        <v>627</v>
      </c>
      <c r="AD386" s="3" t="s">
        <v>627</v>
      </c>
      <c r="AE386" s="102">
        <f>DATE(Modelling_old[[#This Row],[Calendor Year]],Modelling_old[[#This Row],[Start Month]],1)</f>
        <v>45383</v>
      </c>
      <c r="AF386" s="5">
        <f t="shared" si="150"/>
        <v>30</v>
      </c>
      <c r="AG386" s="5">
        <f t="shared" si="151"/>
        <v>4</v>
      </c>
      <c r="AH386" s="4">
        <f>_xlfn.XLOOKUP(Modelling_new[[#This Row],[Month]],$AA$1:$AA$14,$AL$1:$AL$14)/Modelling_new[[#This Row],[Total Days]]</f>
        <v>72.38321964602072</v>
      </c>
      <c r="AI386" s="4">
        <f>SUM($AH$384:AH386)</f>
        <v>217.14965893806215</v>
      </c>
      <c r="AJ386" s="4">
        <f>SUM($AH$384:AH386)</f>
        <v>217.14965893806215</v>
      </c>
      <c r="AK386" s="4">
        <f t="shared" si="152"/>
        <v>6.6233333333333331</v>
      </c>
      <c r="AL386" s="4">
        <f>SUM($AK$384:AK386)</f>
        <v>19.869999999999997</v>
      </c>
      <c r="AM386" s="4">
        <f>SUM($AK$384:AK386)</f>
        <v>19.869999999999997</v>
      </c>
      <c r="AN386" s="323">
        <f t="shared" si="153"/>
        <v>0.95004984012629889</v>
      </c>
      <c r="AO386" s="323">
        <f t="shared" si="154"/>
        <v>0.95004984012629878</v>
      </c>
      <c r="AP386" s="323">
        <f t="shared" si="155"/>
        <v>0.95004984012629878</v>
      </c>
      <c r="AQ386" s="323">
        <f t="shared" si="156"/>
        <v>0.26218736560152167</v>
      </c>
      <c r="AR386" s="323">
        <f>Modelling_new[[#This Row],[Target E_Grid MTD
MWh]]/Modelling_new[[#This Row],[MTD DC Capcity]]/(24*CG386)</f>
        <v>0.23562245978522364</v>
      </c>
      <c r="AS386" s="323">
        <f>Modelling_new[[#This Row],[Target E_Grid YTD
MWh]]/Modelling_new[[#This Row],[YTD DC Capcity]]/(24*CH386)</f>
        <v>0.23562245978522364</v>
      </c>
      <c r="AT386" s="5">
        <v>12.8</v>
      </c>
      <c r="AU386" s="9">
        <f>Modelling_new[[#This Row],[Comisined DC ]]/$AO$1</f>
        <v>1</v>
      </c>
      <c r="AV386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86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386" s="27">
        <f t="shared" si="127"/>
        <v>45385</v>
      </c>
      <c r="BE386" s="5">
        <f>MONTH(Modelling[[#This Row],[Date]])</f>
        <v>4</v>
      </c>
      <c r="BF386" s="25">
        <f>YEAR(BD386)+IF(MONTH(Modelling[[#This Row],[Date]])&gt;=4,1,0)</f>
        <v>2025</v>
      </c>
      <c r="BG386" s="3">
        <f t="shared" si="157"/>
        <v>2024</v>
      </c>
      <c r="BH386" s="3" t="s">
        <v>627</v>
      </c>
      <c r="BI386" s="3" t="s">
        <v>627</v>
      </c>
      <c r="BJ386" s="102">
        <f>DATE(Modelling_old[[#This Row],[Calendor Year]],Modelling_old[[#This Row],[Start Month]],1)</f>
        <v>45383</v>
      </c>
      <c r="BK386" s="5">
        <f t="shared" si="158"/>
        <v>30</v>
      </c>
      <c r="BL386" s="5">
        <f t="shared" si="159"/>
        <v>4</v>
      </c>
      <c r="BM386" s="4">
        <f>Modelling_old[[#This Row],[Target E_Grid daily
MWh]]+Modelling_new[[#This Row],[Target E_Grid daily
MWh]]</f>
        <v>123.35321964602072</v>
      </c>
      <c r="BN386" s="4">
        <f>Modelling_old[[#This Row],[Target E_Grid MTD
MWh]]+Modelling_new[[#This Row],[Target E_Grid MTD
MWh]]</f>
        <v>370.05965893806217</v>
      </c>
      <c r="BO386" s="4">
        <f>Modelling_old[[#This Row],[Target E_Grid YTD
MWh]]+Modelling_new[[#This Row],[Target E_Grid YTD
MWh]]</f>
        <v>370.05965893806217</v>
      </c>
      <c r="BP386" s="4">
        <f>AVERAGE(Modelling_old[[#This Row],[Target POA Daily (KWh/m2)]],Modelling_new[[#This Row],[Target POA Daily (KWh/m2)]])</f>
        <v>6.6233333333333331</v>
      </c>
      <c r="BQ386" s="4">
        <f>SUM($BP$384:BP386)</f>
        <v>19.869999999999997</v>
      </c>
      <c r="BR386" s="4">
        <f>SUM($BP$384:BP386)</f>
        <v>19.869999999999997</v>
      </c>
      <c r="BS386" s="323">
        <f>BM386/Modelling[[#This Row],[Comisined DC ]]/BP386</f>
        <v>0.76632360487815343</v>
      </c>
      <c r="BT386" s="337">
        <f>BN386/BQ386/Modelling[[#This Row],[Comisined DC ]]</f>
        <v>0.76632360487815354</v>
      </c>
      <c r="BU386" s="337">
        <f>BO386/BR386/Modelling[[#This Row],[Comisined DC ]]</f>
        <v>0.76632360487815354</v>
      </c>
      <c r="BV386" s="323">
        <f>BM386/(24*Modelling[[#This Row],[Comisined DC ]])</f>
        <v>0.21148402817956816</v>
      </c>
      <c r="BW386" s="323">
        <f>Modelling[[#This Row],[Target E_Grid MTD
MWh]]/Modelling[[#This Row],[MTD DC Capcity]]/(24*CG386)</f>
        <v>0.21148402817956816</v>
      </c>
      <c r="BX386" s="338">
        <f>Modelling[[#This Row],[Target E_Grid YTD
MWh]]/Modelling[[#This Row],[YTD DC Capcity]]/(24*CH386)</f>
        <v>0.21148402817956816</v>
      </c>
      <c r="BY386" s="4">
        <f>Modelling_old[[#This Row],[DC Capcity]]+Modelling_new[[#This Row],[Comisined DC ]]</f>
        <v>24.303100000000001</v>
      </c>
      <c r="BZ386" s="4">
        <v>0</v>
      </c>
      <c r="CA386">
        <f>AVERAGEIFS(Modelling[[Comisined DC ]],Modelling[Date],"&lt;="&amp;Modelling[[#This Row],[Date]],Modelling[Month Year],Modelling[[#This Row],[Month Year]])</f>
        <v>24.303100000000001</v>
      </c>
      <c r="CB386">
        <f>AVERAGEIFS(Modelling[[Comisined DC ]],Modelling[Date],"&lt;="&amp;Modelling[[#This Row],[Date]],Modelling[Finacial Year],Modelling[[#This Row],[Finacial Year]])</f>
        <v>24.303100000000001</v>
      </c>
      <c r="CG386">
        <f t="shared" ref="CG386:CG449" si="160">CG385+1</f>
        <v>3</v>
      </c>
      <c r="CH386">
        <f t="shared" ref="CH386:CH449" si="161">CH385+1</f>
        <v>3</v>
      </c>
    </row>
    <row r="387" spans="1:86" x14ac:dyDescent="0.35">
      <c r="A387" s="27">
        <f t="shared" si="139"/>
        <v>45386</v>
      </c>
      <c r="B387" s="5">
        <f>MONTH(Modelling_old[[#This Row],[Date]])</f>
        <v>4</v>
      </c>
      <c r="C387" s="25">
        <f t="shared" si="140"/>
        <v>2025</v>
      </c>
      <c r="D387" s="3">
        <f t="shared" si="141"/>
        <v>2024</v>
      </c>
      <c r="E387" s="3" t="s">
        <v>627</v>
      </c>
      <c r="F387" s="3" t="s">
        <v>627</v>
      </c>
      <c r="G387" s="102">
        <f>DATE(Modelling_old[[#This Row],[Calendor Year]],Modelling_old[[#This Row],[Start Month]],1)</f>
        <v>45383</v>
      </c>
      <c r="H387" s="5">
        <f t="shared" si="142"/>
        <v>30</v>
      </c>
      <c r="I387" s="5">
        <f t="shared" si="143"/>
        <v>4</v>
      </c>
      <c r="J387" s="4">
        <f>_xlfn.XLOOKUP(Modelling_old[[#This Row],[Month]],$C$1:$C$14,$N$1:$N$14)/Modelling_old[[#This Row],[Total Days]]</f>
        <v>50.97</v>
      </c>
      <c r="K387" s="4">
        <f>SUM($J$384:J387)</f>
        <v>203.88</v>
      </c>
      <c r="L387" s="4">
        <f>SUM($J$384:J387)</f>
        <v>203.88</v>
      </c>
      <c r="M387" s="4">
        <f t="shared" si="144"/>
        <v>6.6233333333333331</v>
      </c>
      <c r="N387" s="4">
        <f>SUM($M$384:M387)</f>
        <v>26.493333333333332</v>
      </c>
      <c r="O387" s="4">
        <f>SUM($M$384:M387)</f>
        <v>26.493333333333332</v>
      </c>
      <c r="P387" s="323">
        <f t="shared" si="145"/>
        <v>0.66899539130820584</v>
      </c>
      <c r="Q387" s="337">
        <f t="shared" si="146"/>
        <v>0.66899539130820584</v>
      </c>
      <c r="R387" s="337">
        <f t="shared" si="147"/>
        <v>0.66899539130820584</v>
      </c>
      <c r="S387" s="323">
        <f t="shared" si="148"/>
        <v>0.18462414479575073</v>
      </c>
      <c r="T387" s="9">
        <f>Modelling_old[[#This Row],[Target E_Grid MTD
MWh]]/Modelling_old[[#This Row],[DC Capcity]]/(24*CG387)</f>
        <v>0.18462414479575071</v>
      </c>
      <c r="U387" s="338">
        <f>Modelling_old[[#This Row],[Target E_Grid YTD
MWh]]/Modelling_old[[#This Row],[DC Capcity]]/(24*CH387)</f>
        <v>0.18462414479575071</v>
      </c>
      <c r="V387" s="134">
        <v>11.5031</v>
      </c>
      <c r="Y387" s="27">
        <f t="shared" si="126"/>
        <v>45386</v>
      </c>
      <c r="Z387" s="5">
        <f>MONTH(Modelling_new[[#This Row],[Date]])</f>
        <v>4</v>
      </c>
      <c r="AA387" s="25">
        <f>YEAR(Y387)+IF(MONTH(Modelling_new[[#This Row],[Date]])&gt;=4,1,0)</f>
        <v>2025</v>
      </c>
      <c r="AB387" s="3">
        <f t="shared" si="149"/>
        <v>2024</v>
      </c>
      <c r="AC387" s="3" t="s">
        <v>627</v>
      </c>
      <c r="AD387" s="3" t="s">
        <v>627</v>
      </c>
      <c r="AE387" s="102">
        <f>DATE(Modelling_old[[#This Row],[Calendor Year]],Modelling_old[[#This Row],[Start Month]],1)</f>
        <v>45383</v>
      </c>
      <c r="AF387" s="5">
        <f t="shared" si="150"/>
        <v>30</v>
      </c>
      <c r="AG387" s="5">
        <f t="shared" si="151"/>
        <v>4</v>
      </c>
      <c r="AH387" s="4">
        <f>_xlfn.XLOOKUP(Modelling_new[[#This Row],[Month]],$AA$1:$AA$14,$AL$1:$AL$14)/Modelling_new[[#This Row],[Total Days]]</f>
        <v>72.38321964602072</v>
      </c>
      <c r="AI387" s="4">
        <f>SUM($AH$384:AH387)</f>
        <v>289.53287858408288</v>
      </c>
      <c r="AJ387" s="4">
        <f>SUM($AH$384:AH387)</f>
        <v>289.53287858408288</v>
      </c>
      <c r="AK387" s="4">
        <f t="shared" si="152"/>
        <v>6.6233333333333331</v>
      </c>
      <c r="AL387" s="4">
        <f>SUM($AK$384:AK387)</f>
        <v>26.493333333333332</v>
      </c>
      <c r="AM387" s="4">
        <f>SUM($AK$384:AK387)</f>
        <v>26.493333333333332</v>
      </c>
      <c r="AN387" s="323">
        <f t="shared" si="153"/>
        <v>0.95004984012629889</v>
      </c>
      <c r="AO387" s="323">
        <f t="shared" si="154"/>
        <v>0.95004984012629878</v>
      </c>
      <c r="AP387" s="323">
        <f t="shared" si="155"/>
        <v>0.95004984012629878</v>
      </c>
      <c r="AQ387" s="323">
        <f t="shared" si="156"/>
        <v>0.26218736560152167</v>
      </c>
      <c r="AR387" s="323">
        <f>Modelling_new[[#This Row],[Target E_Grid MTD
MWh]]/Modelling_new[[#This Row],[MTD DC Capcity]]/(24*CG387)</f>
        <v>0.23562245978522367</v>
      </c>
      <c r="AS387" s="323">
        <f>Modelling_new[[#This Row],[Target E_Grid YTD
MWh]]/Modelling_new[[#This Row],[YTD DC Capcity]]/(24*CH387)</f>
        <v>0.23562245978522367</v>
      </c>
      <c r="AT387" s="5">
        <v>12.8</v>
      </c>
      <c r="AU387" s="9">
        <f>Modelling_new[[#This Row],[Comisined DC ]]/$AO$1</f>
        <v>1</v>
      </c>
      <c r="AV38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87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387" s="27">
        <f t="shared" si="127"/>
        <v>45386</v>
      </c>
      <c r="BE387" s="5">
        <f>MONTH(Modelling[[#This Row],[Date]])</f>
        <v>4</v>
      </c>
      <c r="BF387" s="25">
        <f>YEAR(BD387)+IF(MONTH(Modelling[[#This Row],[Date]])&gt;=4,1,0)</f>
        <v>2025</v>
      </c>
      <c r="BG387" s="3">
        <f t="shared" si="157"/>
        <v>2024</v>
      </c>
      <c r="BH387" s="3" t="s">
        <v>627</v>
      </c>
      <c r="BI387" s="3" t="s">
        <v>627</v>
      </c>
      <c r="BJ387" s="102">
        <f>DATE(Modelling_old[[#This Row],[Calendor Year]],Modelling_old[[#This Row],[Start Month]],1)</f>
        <v>45383</v>
      </c>
      <c r="BK387" s="5">
        <f t="shared" si="158"/>
        <v>30</v>
      </c>
      <c r="BL387" s="5">
        <f t="shared" si="159"/>
        <v>4</v>
      </c>
      <c r="BM387" s="4">
        <f>Modelling_old[[#This Row],[Target E_Grid daily
MWh]]+Modelling_new[[#This Row],[Target E_Grid daily
MWh]]</f>
        <v>123.35321964602072</v>
      </c>
      <c r="BN387" s="4">
        <f>Modelling_old[[#This Row],[Target E_Grid MTD
MWh]]+Modelling_new[[#This Row],[Target E_Grid MTD
MWh]]</f>
        <v>493.41287858408288</v>
      </c>
      <c r="BO387" s="4">
        <f>Modelling_old[[#This Row],[Target E_Grid YTD
MWh]]+Modelling_new[[#This Row],[Target E_Grid YTD
MWh]]</f>
        <v>493.41287858408288</v>
      </c>
      <c r="BP387" s="4">
        <f>AVERAGE(Modelling_old[[#This Row],[Target POA Daily (KWh/m2)]],Modelling_new[[#This Row],[Target POA Daily (KWh/m2)]])</f>
        <v>6.6233333333333331</v>
      </c>
      <c r="BQ387" s="4">
        <f>SUM($BP$384:BP387)</f>
        <v>26.493333333333332</v>
      </c>
      <c r="BR387" s="4">
        <f>SUM($BP$384:BP387)</f>
        <v>26.493333333333332</v>
      </c>
      <c r="BS387" s="323">
        <f>BM387/Modelling[[#This Row],[Comisined DC ]]/BP387</f>
        <v>0.76632360487815343</v>
      </c>
      <c r="BT387" s="337">
        <f>BN387/BQ387/Modelling[[#This Row],[Comisined DC ]]</f>
        <v>0.76632360487815343</v>
      </c>
      <c r="BU387" s="337">
        <f>BO387/BR387/Modelling[[#This Row],[Comisined DC ]]</f>
        <v>0.76632360487815343</v>
      </c>
      <c r="BV387" s="323">
        <f>BM387/(24*Modelling[[#This Row],[Comisined DC ]])</f>
        <v>0.21148402817956816</v>
      </c>
      <c r="BW387" s="323">
        <f>Modelling[[#This Row],[Target E_Grid MTD
MWh]]/Modelling[[#This Row],[MTD DC Capcity]]/(24*CG387)</f>
        <v>0.21148402817956816</v>
      </c>
      <c r="BX387" s="338">
        <f>Modelling[[#This Row],[Target E_Grid YTD
MWh]]/Modelling[[#This Row],[YTD DC Capcity]]/(24*CH387)</f>
        <v>0.21148402817956816</v>
      </c>
      <c r="BY387" s="4">
        <f>Modelling_old[[#This Row],[DC Capcity]]+Modelling_new[[#This Row],[Comisined DC ]]</f>
        <v>24.303100000000001</v>
      </c>
      <c r="BZ387" s="4">
        <v>0</v>
      </c>
      <c r="CA387">
        <f>AVERAGEIFS(Modelling[[Comisined DC ]],Modelling[Date],"&lt;="&amp;Modelling[[#This Row],[Date]],Modelling[Month Year],Modelling[[#This Row],[Month Year]])</f>
        <v>24.303100000000001</v>
      </c>
      <c r="CB387">
        <f>AVERAGEIFS(Modelling[[Comisined DC ]],Modelling[Date],"&lt;="&amp;Modelling[[#This Row],[Date]],Modelling[Finacial Year],Modelling[[#This Row],[Finacial Year]])</f>
        <v>24.303100000000001</v>
      </c>
      <c r="CG387">
        <f t="shared" si="160"/>
        <v>4</v>
      </c>
      <c r="CH387">
        <f t="shared" si="161"/>
        <v>4</v>
      </c>
    </row>
    <row r="388" spans="1:86" x14ac:dyDescent="0.35">
      <c r="A388" s="27">
        <f t="shared" si="139"/>
        <v>45387</v>
      </c>
      <c r="B388" s="5">
        <f>MONTH(Modelling_old[[#This Row],[Date]])</f>
        <v>4</v>
      </c>
      <c r="C388" s="25">
        <f t="shared" si="140"/>
        <v>2025</v>
      </c>
      <c r="D388" s="3">
        <f t="shared" si="141"/>
        <v>2024</v>
      </c>
      <c r="E388" s="3" t="s">
        <v>627</v>
      </c>
      <c r="F388" s="3" t="s">
        <v>627</v>
      </c>
      <c r="G388" s="102">
        <f>DATE(Modelling_old[[#This Row],[Calendor Year]],Modelling_old[[#This Row],[Start Month]],1)</f>
        <v>45383</v>
      </c>
      <c r="H388" s="5">
        <f t="shared" si="142"/>
        <v>30</v>
      </c>
      <c r="I388" s="5">
        <f t="shared" si="143"/>
        <v>4</v>
      </c>
      <c r="J388" s="4">
        <f>_xlfn.XLOOKUP(Modelling_old[[#This Row],[Month]],$C$1:$C$14,$N$1:$N$14)/Modelling_old[[#This Row],[Total Days]]</f>
        <v>50.97</v>
      </c>
      <c r="K388" s="4">
        <f>SUM($J$384:J388)</f>
        <v>254.85</v>
      </c>
      <c r="L388" s="4">
        <f>SUM($J$384:J388)</f>
        <v>254.85</v>
      </c>
      <c r="M388" s="4">
        <f t="shared" si="144"/>
        <v>6.6233333333333331</v>
      </c>
      <c r="N388" s="4">
        <f>SUM($M$384:M388)</f>
        <v>33.116666666666667</v>
      </c>
      <c r="O388" s="4">
        <f>SUM($M$384:M388)</f>
        <v>33.116666666666667</v>
      </c>
      <c r="P388" s="323">
        <f t="shared" si="145"/>
        <v>0.66899539130820584</v>
      </c>
      <c r="Q388" s="337">
        <f t="shared" si="146"/>
        <v>0.66899539130820584</v>
      </c>
      <c r="R388" s="337">
        <f t="shared" si="147"/>
        <v>0.66899539130820584</v>
      </c>
      <c r="S388" s="323">
        <f t="shared" si="148"/>
        <v>0.18462414479575073</v>
      </c>
      <c r="T388" s="9">
        <f>Modelling_old[[#This Row],[Target E_Grid MTD
MWh]]/Modelling_old[[#This Row],[DC Capcity]]/(24*CG388)</f>
        <v>0.18462414479575071</v>
      </c>
      <c r="U388" s="338">
        <f>Modelling_old[[#This Row],[Target E_Grid YTD
MWh]]/Modelling_old[[#This Row],[DC Capcity]]/(24*CH388)</f>
        <v>0.18462414479575071</v>
      </c>
      <c r="V388" s="134">
        <v>11.5031</v>
      </c>
      <c r="Y388" s="27">
        <f t="shared" si="126"/>
        <v>45387</v>
      </c>
      <c r="Z388" s="5">
        <f>MONTH(Modelling_new[[#This Row],[Date]])</f>
        <v>4</v>
      </c>
      <c r="AA388" s="25">
        <f>YEAR(Y388)+IF(MONTH(Modelling_new[[#This Row],[Date]])&gt;=4,1,0)</f>
        <v>2025</v>
      </c>
      <c r="AB388" s="3">
        <f t="shared" si="149"/>
        <v>2024</v>
      </c>
      <c r="AC388" s="3" t="s">
        <v>627</v>
      </c>
      <c r="AD388" s="3" t="s">
        <v>627</v>
      </c>
      <c r="AE388" s="102">
        <f>DATE(Modelling_old[[#This Row],[Calendor Year]],Modelling_old[[#This Row],[Start Month]],1)</f>
        <v>45383</v>
      </c>
      <c r="AF388" s="5">
        <f t="shared" si="150"/>
        <v>30</v>
      </c>
      <c r="AG388" s="5">
        <f t="shared" si="151"/>
        <v>4</v>
      </c>
      <c r="AH388" s="4">
        <f>_xlfn.XLOOKUP(Modelling_new[[#This Row],[Month]],$AA$1:$AA$14,$AL$1:$AL$14)/Modelling_new[[#This Row],[Total Days]]</f>
        <v>72.38321964602072</v>
      </c>
      <c r="AI388" s="4">
        <f>SUM($AH$384:AH388)</f>
        <v>361.91609823010361</v>
      </c>
      <c r="AJ388" s="4">
        <f>SUM($AH$384:AH388)</f>
        <v>361.91609823010361</v>
      </c>
      <c r="AK388" s="4">
        <f t="shared" si="152"/>
        <v>6.6233333333333331</v>
      </c>
      <c r="AL388" s="4">
        <f>SUM($AK$384:AK388)</f>
        <v>33.116666666666667</v>
      </c>
      <c r="AM388" s="4">
        <f>SUM($AK$384:AK388)</f>
        <v>33.116666666666667</v>
      </c>
      <c r="AN388" s="323">
        <f t="shared" si="153"/>
        <v>0.95004984012629889</v>
      </c>
      <c r="AO388" s="323">
        <f t="shared" si="154"/>
        <v>0.95004984012629878</v>
      </c>
      <c r="AP388" s="323">
        <f t="shared" si="155"/>
        <v>0.95004984012629878</v>
      </c>
      <c r="AQ388" s="323">
        <f t="shared" si="156"/>
        <v>0.26218736560152167</v>
      </c>
      <c r="AR388" s="323">
        <f>Modelling_new[[#This Row],[Target E_Grid MTD
MWh]]/Modelling_new[[#This Row],[MTD DC Capcity]]/(24*CG388)</f>
        <v>0.2356224597852237</v>
      </c>
      <c r="AS388" s="323">
        <f>Modelling_new[[#This Row],[Target E_Grid YTD
MWh]]/Modelling_new[[#This Row],[YTD DC Capcity]]/(24*CH388)</f>
        <v>0.2356224597852237</v>
      </c>
      <c r="AT388" s="5">
        <v>12.8</v>
      </c>
      <c r="AU388" s="9">
        <f>Modelling_new[[#This Row],[Comisined DC ]]/$AO$1</f>
        <v>1</v>
      </c>
      <c r="AV38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88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388" s="27">
        <f t="shared" si="127"/>
        <v>45387</v>
      </c>
      <c r="BE388" s="5">
        <f>MONTH(Modelling[[#This Row],[Date]])</f>
        <v>4</v>
      </c>
      <c r="BF388" s="25">
        <f>YEAR(BD388)+IF(MONTH(Modelling[[#This Row],[Date]])&gt;=4,1,0)</f>
        <v>2025</v>
      </c>
      <c r="BG388" s="3">
        <f t="shared" si="157"/>
        <v>2024</v>
      </c>
      <c r="BH388" s="3" t="s">
        <v>627</v>
      </c>
      <c r="BI388" s="3" t="s">
        <v>627</v>
      </c>
      <c r="BJ388" s="102">
        <f>DATE(Modelling_old[[#This Row],[Calendor Year]],Modelling_old[[#This Row],[Start Month]],1)</f>
        <v>45383</v>
      </c>
      <c r="BK388" s="5">
        <f t="shared" si="158"/>
        <v>30</v>
      </c>
      <c r="BL388" s="5">
        <f t="shared" si="159"/>
        <v>4</v>
      </c>
      <c r="BM388" s="4">
        <f>Modelling_old[[#This Row],[Target E_Grid daily
MWh]]+Modelling_new[[#This Row],[Target E_Grid daily
MWh]]</f>
        <v>123.35321964602072</v>
      </c>
      <c r="BN388" s="4">
        <f>Modelling_old[[#This Row],[Target E_Grid MTD
MWh]]+Modelling_new[[#This Row],[Target E_Grid MTD
MWh]]</f>
        <v>616.76609823010358</v>
      </c>
      <c r="BO388" s="4">
        <f>Modelling_old[[#This Row],[Target E_Grid YTD
MWh]]+Modelling_new[[#This Row],[Target E_Grid YTD
MWh]]</f>
        <v>616.76609823010358</v>
      </c>
      <c r="BP388" s="4">
        <f>AVERAGE(Modelling_old[[#This Row],[Target POA Daily (KWh/m2)]],Modelling_new[[#This Row],[Target POA Daily (KWh/m2)]])</f>
        <v>6.6233333333333331</v>
      </c>
      <c r="BQ388" s="4">
        <f>SUM($BP$384:BP388)</f>
        <v>33.116666666666667</v>
      </c>
      <c r="BR388" s="4">
        <f>SUM($BP$384:BP388)</f>
        <v>33.116666666666667</v>
      </c>
      <c r="BS388" s="323">
        <f>BM388/Modelling[[#This Row],[Comisined DC ]]/BP388</f>
        <v>0.76632360487815343</v>
      </c>
      <c r="BT388" s="337">
        <f>BN388/BQ388/Modelling[[#This Row],[Comisined DC ]]</f>
        <v>0.76632360487815343</v>
      </c>
      <c r="BU388" s="337">
        <f>BO388/BR388/Modelling[[#This Row],[Comisined DC ]]</f>
        <v>0.76632360487815343</v>
      </c>
      <c r="BV388" s="323">
        <f>BM388/(24*Modelling[[#This Row],[Comisined DC ]])</f>
        <v>0.21148402817956816</v>
      </c>
      <c r="BW388" s="323">
        <f>Modelling[[#This Row],[Target E_Grid MTD
MWh]]/Modelling[[#This Row],[MTD DC Capcity]]/(24*CG388)</f>
        <v>0.21148402817956816</v>
      </c>
      <c r="BX388" s="338">
        <f>Modelling[[#This Row],[Target E_Grid YTD
MWh]]/Modelling[[#This Row],[YTD DC Capcity]]/(24*CH388)</f>
        <v>0.21148402817956816</v>
      </c>
      <c r="BY388" s="4">
        <f>Modelling_old[[#This Row],[DC Capcity]]+Modelling_new[[#This Row],[Comisined DC ]]</f>
        <v>24.303100000000001</v>
      </c>
      <c r="BZ388" s="4">
        <v>0</v>
      </c>
      <c r="CA388">
        <f>AVERAGEIFS(Modelling[[Comisined DC ]],Modelling[Date],"&lt;="&amp;Modelling[[#This Row],[Date]],Modelling[Month Year],Modelling[[#This Row],[Month Year]])</f>
        <v>24.303100000000001</v>
      </c>
      <c r="CB388">
        <f>AVERAGEIFS(Modelling[[Comisined DC ]],Modelling[Date],"&lt;="&amp;Modelling[[#This Row],[Date]],Modelling[Finacial Year],Modelling[[#This Row],[Finacial Year]])</f>
        <v>24.303100000000001</v>
      </c>
      <c r="CG388">
        <f t="shared" si="160"/>
        <v>5</v>
      </c>
      <c r="CH388">
        <f t="shared" si="161"/>
        <v>5</v>
      </c>
    </row>
    <row r="389" spans="1:86" x14ac:dyDescent="0.35">
      <c r="A389" s="27">
        <f t="shared" si="139"/>
        <v>45388</v>
      </c>
      <c r="B389" s="5">
        <f>MONTH(Modelling_old[[#This Row],[Date]])</f>
        <v>4</v>
      </c>
      <c r="C389" s="25">
        <f t="shared" si="140"/>
        <v>2025</v>
      </c>
      <c r="D389" s="3">
        <f t="shared" si="141"/>
        <v>2024</v>
      </c>
      <c r="E389" s="3" t="s">
        <v>627</v>
      </c>
      <c r="F389" s="3" t="s">
        <v>627</v>
      </c>
      <c r="G389" s="102">
        <f>DATE(Modelling_old[[#This Row],[Calendor Year]],Modelling_old[[#This Row],[Start Month]],1)</f>
        <v>45383</v>
      </c>
      <c r="H389" s="5">
        <f t="shared" si="142"/>
        <v>30</v>
      </c>
      <c r="I389" s="5">
        <f t="shared" si="143"/>
        <v>4</v>
      </c>
      <c r="J389" s="4">
        <f>_xlfn.XLOOKUP(Modelling_old[[#This Row],[Month]],$C$1:$C$14,$N$1:$N$14)/Modelling_old[[#This Row],[Total Days]]</f>
        <v>50.97</v>
      </c>
      <c r="K389" s="4">
        <f>SUM($J$384:J389)</f>
        <v>305.82</v>
      </c>
      <c r="L389" s="4">
        <f>SUM($J$384:J389)</f>
        <v>305.82</v>
      </c>
      <c r="M389" s="4">
        <f t="shared" si="144"/>
        <v>6.6233333333333331</v>
      </c>
      <c r="N389" s="4">
        <f>SUM($M$384:M389)</f>
        <v>39.74</v>
      </c>
      <c r="O389" s="4">
        <f>SUM($M$384:M389)</f>
        <v>39.74</v>
      </c>
      <c r="P389" s="323">
        <f t="shared" si="145"/>
        <v>0.66899539130820584</v>
      </c>
      <c r="Q389" s="337">
        <f t="shared" si="146"/>
        <v>0.66899539130820584</v>
      </c>
      <c r="R389" s="337">
        <f t="shared" si="147"/>
        <v>0.66899539130820584</v>
      </c>
      <c r="S389" s="323">
        <f t="shared" si="148"/>
        <v>0.18462414479575073</v>
      </c>
      <c r="T389" s="9">
        <f>Modelling_old[[#This Row],[Target E_Grid MTD
MWh]]/Modelling_old[[#This Row],[DC Capcity]]/(24*CG389)</f>
        <v>0.18462414479575073</v>
      </c>
      <c r="U389" s="338">
        <f>Modelling_old[[#This Row],[Target E_Grid YTD
MWh]]/Modelling_old[[#This Row],[DC Capcity]]/(24*CH389)</f>
        <v>0.18462414479575073</v>
      </c>
      <c r="V389" s="134">
        <v>11.5031</v>
      </c>
      <c r="Y389" s="27">
        <f t="shared" si="126"/>
        <v>45388</v>
      </c>
      <c r="Z389" s="5">
        <f>MONTH(Modelling_new[[#This Row],[Date]])</f>
        <v>4</v>
      </c>
      <c r="AA389" s="25">
        <f>YEAR(Y389)+IF(MONTH(Modelling_new[[#This Row],[Date]])&gt;=4,1,0)</f>
        <v>2025</v>
      </c>
      <c r="AB389" s="3">
        <f t="shared" si="149"/>
        <v>2024</v>
      </c>
      <c r="AC389" s="3" t="s">
        <v>627</v>
      </c>
      <c r="AD389" s="3" t="s">
        <v>627</v>
      </c>
      <c r="AE389" s="102">
        <f>DATE(Modelling_old[[#This Row],[Calendor Year]],Modelling_old[[#This Row],[Start Month]],1)</f>
        <v>45383</v>
      </c>
      <c r="AF389" s="5">
        <f t="shared" si="150"/>
        <v>30</v>
      </c>
      <c r="AG389" s="5">
        <f t="shared" si="151"/>
        <v>4</v>
      </c>
      <c r="AH389" s="4">
        <f>_xlfn.XLOOKUP(Modelling_new[[#This Row],[Month]],$AA$1:$AA$14,$AL$1:$AL$14)/Modelling_new[[#This Row],[Total Days]]</f>
        <v>72.38321964602072</v>
      </c>
      <c r="AI389" s="4">
        <f>SUM($AH$384:AH389)</f>
        <v>434.29931787612435</v>
      </c>
      <c r="AJ389" s="4">
        <f>SUM($AH$384:AH389)</f>
        <v>434.29931787612435</v>
      </c>
      <c r="AK389" s="4">
        <f t="shared" si="152"/>
        <v>6.6233333333333331</v>
      </c>
      <c r="AL389" s="4">
        <f>SUM($AK$384:AK389)</f>
        <v>39.74</v>
      </c>
      <c r="AM389" s="4">
        <f>SUM($AK$384:AK389)</f>
        <v>39.74</v>
      </c>
      <c r="AN389" s="323">
        <f t="shared" si="153"/>
        <v>0.95004984012629889</v>
      </c>
      <c r="AO389" s="323">
        <f t="shared" si="154"/>
        <v>0.95004984012629878</v>
      </c>
      <c r="AP389" s="323">
        <f t="shared" si="155"/>
        <v>0.95004984012629878</v>
      </c>
      <c r="AQ389" s="323">
        <f t="shared" si="156"/>
        <v>0.26218736560152167</v>
      </c>
      <c r="AR389" s="323">
        <f>Modelling_new[[#This Row],[Target E_Grid MTD
MWh]]/Modelling_new[[#This Row],[MTD DC Capcity]]/(24*CG389)</f>
        <v>0.23562245978522375</v>
      </c>
      <c r="AS389" s="323">
        <f>Modelling_new[[#This Row],[Target E_Grid YTD
MWh]]/Modelling_new[[#This Row],[YTD DC Capcity]]/(24*CH389)</f>
        <v>0.23562245978522375</v>
      </c>
      <c r="AT389" s="5">
        <v>12.8</v>
      </c>
      <c r="AU389" s="9">
        <f>Modelling_new[[#This Row],[Comisined DC ]]/$AO$1</f>
        <v>1</v>
      </c>
      <c r="AV389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89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89" s="27">
        <f t="shared" si="127"/>
        <v>45388</v>
      </c>
      <c r="BE389" s="5">
        <f>MONTH(Modelling[[#This Row],[Date]])</f>
        <v>4</v>
      </c>
      <c r="BF389" s="25">
        <f>YEAR(BD389)+IF(MONTH(Modelling[[#This Row],[Date]])&gt;=4,1,0)</f>
        <v>2025</v>
      </c>
      <c r="BG389" s="3">
        <f t="shared" si="157"/>
        <v>2024</v>
      </c>
      <c r="BH389" s="3" t="s">
        <v>627</v>
      </c>
      <c r="BI389" s="3" t="s">
        <v>627</v>
      </c>
      <c r="BJ389" s="102">
        <f>DATE(Modelling_old[[#This Row],[Calendor Year]],Modelling_old[[#This Row],[Start Month]],1)</f>
        <v>45383</v>
      </c>
      <c r="BK389" s="5">
        <f t="shared" si="158"/>
        <v>30</v>
      </c>
      <c r="BL389" s="5">
        <f t="shared" si="159"/>
        <v>4</v>
      </c>
      <c r="BM389" s="4">
        <f>Modelling_old[[#This Row],[Target E_Grid daily
MWh]]+Modelling_new[[#This Row],[Target E_Grid daily
MWh]]</f>
        <v>123.35321964602072</v>
      </c>
      <c r="BN389" s="4">
        <f>Modelling_old[[#This Row],[Target E_Grid MTD
MWh]]+Modelling_new[[#This Row],[Target E_Grid MTD
MWh]]</f>
        <v>740.11931787612434</v>
      </c>
      <c r="BO389" s="4">
        <f>Modelling_old[[#This Row],[Target E_Grid YTD
MWh]]+Modelling_new[[#This Row],[Target E_Grid YTD
MWh]]</f>
        <v>740.11931787612434</v>
      </c>
      <c r="BP389" s="4">
        <f>AVERAGE(Modelling_old[[#This Row],[Target POA Daily (KWh/m2)]],Modelling_new[[#This Row],[Target POA Daily (KWh/m2)]])</f>
        <v>6.6233333333333331</v>
      </c>
      <c r="BQ389" s="4">
        <f>SUM($BP$384:BP389)</f>
        <v>39.74</v>
      </c>
      <c r="BR389" s="4">
        <f>SUM($BP$384:BP389)</f>
        <v>39.74</v>
      </c>
      <c r="BS389" s="323">
        <f>BM389/Modelling[[#This Row],[Comisined DC ]]/BP389</f>
        <v>0.76632360487815343</v>
      </c>
      <c r="BT389" s="337">
        <f>BN389/BQ389/Modelling[[#This Row],[Comisined DC ]]</f>
        <v>0.76632360487815343</v>
      </c>
      <c r="BU389" s="337">
        <f>BO389/BR389/Modelling[[#This Row],[Comisined DC ]]</f>
        <v>0.76632360487815343</v>
      </c>
      <c r="BV389" s="323">
        <f>BM389/(24*Modelling[[#This Row],[Comisined DC ]])</f>
        <v>0.21148402817956816</v>
      </c>
      <c r="BW389" s="323">
        <f>Modelling[[#This Row],[Target E_Grid MTD
MWh]]/Modelling[[#This Row],[MTD DC Capcity]]/(24*CG389)</f>
        <v>0.21148402817956816</v>
      </c>
      <c r="BX389" s="338">
        <f>Modelling[[#This Row],[Target E_Grid YTD
MWh]]/Modelling[[#This Row],[YTD DC Capcity]]/(24*CH389)</f>
        <v>0.21148402817956816</v>
      </c>
      <c r="BY389" s="4">
        <f>Modelling_old[[#This Row],[DC Capcity]]+Modelling_new[[#This Row],[Comisined DC ]]</f>
        <v>24.303100000000001</v>
      </c>
      <c r="BZ389" s="4">
        <v>0</v>
      </c>
      <c r="CA389">
        <f>AVERAGEIFS(Modelling[[Comisined DC ]],Modelling[Date],"&lt;="&amp;Modelling[[#This Row],[Date]],Modelling[Month Year],Modelling[[#This Row],[Month Year]])</f>
        <v>24.303100000000001</v>
      </c>
      <c r="CB389">
        <f>AVERAGEIFS(Modelling[[Comisined DC ]],Modelling[Date],"&lt;="&amp;Modelling[[#This Row],[Date]],Modelling[Finacial Year],Modelling[[#This Row],[Finacial Year]])</f>
        <v>24.303100000000001</v>
      </c>
      <c r="CG389">
        <f t="shared" si="160"/>
        <v>6</v>
      </c>
      <c r="CH389">
        <f t="shared" si="161"/>
        <v>6</v>
      </c>
    </row>
    <row r="390" spans="1:86" x14ac:dyDescent="0.35">
      <c r="A390" s="27">
        <f t="shared" si="139"/>
        <v>45389</v>
      </c>
      <c r="B390" s="5">
        <f>MONTH(Modelling_old[[#This Row],[Date]])</f>
        <v>4</v>
      </c>
      <c r="C390" s="25">
        <f t="shared" si="140"/>
        <v>2025</v>
      </c>
      <c r="D390" s="3">
        <f t="shared" si="141"/>
        <v>2024</v>
      </c>
      <c r="E390" s="3" t="s">
        <v>627</v>
      </c>
      <c r="F390" s="3" t="s">
        <v>627</v>
      </c>
      <c r="G390" s="102">
        <f>DATE(Modelling_old[[#This Row],[Calendor Year]],Modelling_old[[#This Row],[Start Month]],1)</f>
        <v>45383</v>
      </c>
      <c r="H390" s="5">
        <f t="shared" si="142"/>
        <v>30</v>
      </c>
      <c r="I390" s="5">
        <f t="shared" si="143"/>
        <v>4</v>
      </c>
      <c r="J390" s="4">
        <f>_xlfn.XLOOKUP(Modelling_old[[#This Row],[Month]],$C$1:$C$14,$N$1:$N$14)/Modelling_old[[#This Row],[Total Days]]</f>
        <v>50.97</v>
      </c>
      <c r="K390" s="4">
        <f>SUM($J$384:J390)</f>
        <v>356.78999999999996</v>
      </c>
      <c r="L390" s="4">
        <f>SUM($J$384:J390)</f>
        <v>356.78999999999996</v>
      </c>
      <c r="M390" s="4">
        <f t="shared" si="144"/>
        <v>6.6233333333333331</v>
      </c>
      <c r="N390" s="4">
        <f>SUM($M$384:M390)</f>
        <v>46.363333333333337</v>
      </c>
      <c r="O390" s="4">
        <f>SUM($M$384:M390)</f>
        <v>46.363333333333337</v>
      </c>
      <c r="P390" s="323">
        <f t="shared" si="145"/>
        <v>0.66899539130820584</v>
      </c>
      <c r="Q390" s="337">
        <f t="shared" si="146"/>
        <v>0.66899539130820584</v>
      </c>
      <c r="R390" s="337">
        <f t="shared" si="147"/>
        <v>0.66899539130820584</v>
      </c>
      <c r="S390" s="323">
        <f t="shared" si="148"/>
        <v>0.18462414479575073</v>
      </c>
      <c r="T390" s="9">
        <f>Modelling_old[[#This Row],[Target E_Grid MTD
MWh]]/Modelling_old[[#This Row],[DC Capcity]]/(24*CG390)</f>
        <v>0.18462414479575071</v>
      </c>
      <c r="U390" s="338">
        <f>Modelling_old[[#This Row],[Target E_Grid YTD
MWh]]/Modelling_old[[#This Row],[DC Capcity]]/(24*CH390)</f>
        <v>0.18462414479575071</v>
      </c>
      <c r="V390" s="134">
        <v>11.5031</v>
      </c>
      <c r="Y390" s="27">
        <f t="shared" si="126"/>
        <v>45389</v>
      </c>
      <c r="Z390" s="5">
        <f>MONTH(Modelling_new[[#This Row],[Date]])</f>
        <v>4</v>
      </c>
      <c r="AA390" s="25">
        <f>YEAR(Y390)+IF(MONTH(Modelling_new[[#This Row],[Date]])&gt;=4,1,0)</f>
        <v>2025</v>
      </c>
      <c r="AB390" s="3">
        <f t="shared" si="149"/>
        <v>2024</v>
      </c>
      <c r="AC390" s="3" t="s">
        <v>627</v>
      </c>
      <c r="AD390" s="3" t="s">
        <v>627</v>
      </c>
      <c r="AE390" s="102">
        <f>DATE(Modelling_old[[#This Row],[Calendor Year]],Modelling_old[[#This Row],[Start Month]],1)</f>
        <v>45383</v>
      </c>
      <c r="AF390" s="5">
        <f t="shared" si="150"/>
        <v>30</v>
      </c>
      <c r="AG390" s="5">
        <f t="shared" si="151"/>
        <v>4</v>
      </c>
      <c r="AH390" s="4">
        <f>_xlfn.XLOOKUP(Modelling_new[[#This Row],[Month]],$AA$1:$AA$14,$AL$1:$AL$14)/Modelling_new[[#This Row],[Total Days]]</f>
        <v>72.38321964602072</v>
      </c>
      <c r="AI390" s="4">
        <f>SUM($AH$384:AH390)</f>
        <v>506.68253752214508</v>
      </c>
      <c r="AJ390" s="4">
        <f>SUM($AH$384:AH390)</f>
        <v>506.68253752214508</v>
      </c>
      <c r="AK390" s="4">
        <f t="shared" si="152"/>
        <v>6.6233333333333331</v>
      </c>
      <c r="AL390" s="4">
        <f>SUM($AK$384:AK390)</f>
        <v>46.363333333333337</v>
      </c>
      <c r="AM390" s="4">
        <f>SUM($AK$384:AK390)</f>
        <v>46.363333333333337</v>
      </c>
      <c r="AN390" s="323">
        <f t="shared" si="153"/>
        <v>0.95004984012629889</v>
      </c>
      <c r="AO390" s="323">
        <f t="shared" si="154"/>
        <v>0.95004984012629878</v>
      </c>
      <c r="AP390" s="323">
        <f t="shared" si="155"/>
        <v>0.95004984012629878</v>
      </c>
      <c r="AQ390" s="323">
        <f t="shared" si="156"/>
        <v>0.26218736560152167</v>
      </c>
      <c r="AR390" s="323">
        <f>Modelling_new[[#This Row],[Target E_Grid MTD
MWh]]/Modelling_new[[#This Row],[MTD DC Capcity]]/(24*CG390)</f>
        <v>0.23562245978522375</v>
      </c>
      <c r="AS390" s="323">
        <f>Modelling_new[[#This Row],[Target E_Grid YTD
MWh]]/Modelling_new[[#This Row],[YTD DC Capcity]]/(24*CH390)</f>
        <v>0.23562245978522375</v>
      </c>
      <c r="AT390" s="5">
        <v>12.8</v>
      </c>
      <c r="AU390" s="9">
        <f>Modelling_new[[#This Row],[Comisined DC ]]/$AO$1</f>
        <v>1</v>
      </c>
      <c r="AV390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90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90" s="27">
        <f t="shared" si="127"/>
        <v>45389</v>
      </c>
      <c r="BE390" s="5">
        <f>MONTH(Modelling[[#This Row],[Date]])</f>
        <v>4</v>
      </c>
      <c r="BF390" s="25">
        <f>YEAR(BD390)+IF(MONTH(Modelling[[#This Row],[Date]])&gt;=4,1,0)</f>
        <v>2025</v>
      </c>
      <c r="BG390" s="3">
        <f t="shared" si="157"/>
        <v>2024</v>
      </c>
      <c r="BH390" s="3" t="s">
        <v>627</v>
      </c>
      <c r="BI390" s="3" t="s">
        <v>627</v>
      </c>
      <c r="BJ390" s="102">
        <f>DATE(Modelling_old[[#This Row],[Calendor Year]],Modelling_old[[#This Row],[Start Month]],1)</f>
        <v>45383</v>
      </c>
      <c r="BK390" s="5">
        <f t="shared" si="158"/>
        <v>30</v>
      </c>
      <c r="BL390" s="5">
        <f t="shared" si="159"/>
        <v>4</v>
      </c>
      <c r="BM390" s="4">
        <f>Modelling_old[[#This Row],[Target E_Grid daily
MWh]]+Modelling_new[[#This Row],[Target E_Grid daily
MWh]]</f>
        <v>123.35321964602072</v>
      </c>
      <c r="BN390" s="4">
        <f>Modelling_old[[#This Row],[Target E_Grid MTD
MWh]]+Modelling_new[[#This Row],[Target E_Grid MTD
MWh]]</f>
        <v>863.4725375221451</v>
      </c>
      <c r="BO390" s="4">
        <f>Modelling_old[[#This Row],[Target E_Grid YTD
MWh]]+Modelling_new[[#This Row],[Target E_Grid YTD
MWh]]</f>
        <v>863.4725375221451</v>
      </c>
      <c r="BP390" s="4">
        <f>AVERAGE(Modelling_old[[#This Row],[Target POA Daily (KWh/m2)]],Modelling_new[[#This Row],[Target POA Daily (KWh/m2)]])</f>
        <v>6.6233333333333331</v>
      </c>
      <c r="BQ390" s="4">
        <f>SUM($BP$384:BP390)</f>
        <v>46.363333333333337</v>
      </c>
      <c r="BR390" s="4">
        <f>SUM($BP$384:BP390)</f>
        <v>46.363333333333337</v>
      </c>
      <c r="BS390" s="323">
        <f>BM390/Modelling[[#This Row],[Comisined DC ]]/BP390</f>
        <v>0.76632360487815343</v>
      </c>
      <c r="BT390" s="337">
        <f>BN390/BQ390/Modelling[[#This Row],[Comisined DC ]]</f>
        <v>0.76632360487815343</v>
      </c>
      <c r="BU390" s="337">
        <f>BO390/BR390/Modelling[[#This Row],[Comisined DC ]]</f>
        <v>0.76632360487815343</v>
      </c>
      <c r="BV390" s="323">
        <f>BM390/(24*Modelling[[#This Row],[Comisined DC ]])</f>
        <v>0.21148402817956816</v>
      </c>
      <c r="BW390" s="323">
        <f>Modelling[[#This Row],[Target E_Grid MTD
MWh]]/Modelling[[#This Row],[MTD DC Capcity]]/(24*CG390)</f>
        <v>0.21148402817956816</v>
      </c>
      <c r="BX390" s="338">
        <f>Modelling[[#This Row],[Target E_Grid YTD
MWh]]/Modelling[[#This Row],[YTD DC Capcity]]/(24*CH390)</f>
        <v>0.21148402817956816</v>
      </c>
      <c r="BY390" s="4">
        <f>Modelling_old[[#This Row],[DC Capcity]]+Modelling_new[[#This Row],[Comisined DC ]]</f>
        <v>24.303100000000001</v>
      </c>
      <c r="BZ390" s="4">
        <v>0</v>
      </c>
      <c r="CA390">
        <f>AVERAGEIFS(Modelling[[Comisined DC ]],Modelling[Date],"&lt;="&amp;Modelling[[#This Row],[Date]],Modelling[Month Year],Modelling[[#This Row],[Month Year]])</f>
        <v>24.303100000000001</v>
      </c>
      <c r="CB390">
        <f>AVERAGEIFS(Modelling[[Comisined DC ]],Modelling[Date],"&lt;="&amp;Modelling[[#This Row],[Date]],Modelling[Finacial Year],Modelling[[#This Row],[Finacial Year]])</f>
        <v>24.303100000000001</v>
      </c>
      <c r="CG390">
        <f t="shared" si="160"/>
        <v>7</v>
      </c>
      <c r="CH390">
        <f t="shared" si="161"/>
        <v>7</v>
      </c>
    </row>
    <row r="391" spans="1:86" x14ac:dyDescent="0.35">
      <c r="A391" s="27">
        <f t="shared" si="139"/>
        <v>45390</v>
      </c>
      <c r="B391" s="5">
        <f>MONTH(Modelling_old[[#This Row],[Date]])</f>
        <v>4</v>
      </c>
      <c r="C391" s="25">
        <f t="shared" si="140"/>
        <v>2025</v>
      </c>
      <c r="D391" s="3">
        <f t="shared" si="141"/>
        <v>2024</v>
      </c>
      <c r="E391" s="3" t="s">
        <v>627</v>
      </c>
      <c r="F391" s="3" t="s">
        <v>627</v>
      </c>
      <c r="G391" s="102">
        <f>DATE(Modelling_old[[#This Row],[Calendor Year]],Modelling_old[[#This Row],[Start Month]],1)</f>
        <v>45383</v>
      </c>
      <c r="H391" s="5">
        <f t="shared" si="142"/>
        <v>30</v>
      </c>
      <c r="I391" s="5">
        <f t="shared" si="143"/>
        <v>4</v>
      </c>
      <c r="J391" s="4">
        <f>_xlfn.XLOOKUP(Modelling_old[[#This Row],[Month]],$C$1:$C$14,$N$1:$N$14)/Modelling_old[[#This Row],[Total Days]]</f>
        <v>50.97</v>
      </c>
      <c r="K391" s="4">
        <f>SUM($J$384:J391)</f>
        <v>407.76</v>
      </c>
      <c r="L391" s="4">
        <f>SUM($J$384:J391)</f>
        <v>407.76</v>
      </c>
      <c r="M391" s="4">
        <f t="shared" si="144"/>
        <v>6.6233333333333331</v>
      </c>
      <c r="N391" s="4">
        <f>SUM($M$384:M391)</f>
        <v>52.986666666666672</v>
      </c>
      <c r="O391" s="4">
        <f>SUM($M$384:M391)</f>
        <v>52.986666666666672</v>
      </c>
      <c r="P391" s="323">
        <f t="shared" si="145"/>
        <v>0.66899539130820584</v>
      </c>
      <c r="Q391" s="337">
        <f t="shared" si="146"/>
        <v>0.66899539130820584</v>
      </c>
      <c r="R391" s="337">
        <f t="shared" si="147"/>
        <v>0.66899539130820584</v>
      </c>
      <c r="S391" s="323">
        <f t="shared" si="148"/>
        <v>0.18462414479575073</v>
      </c>
      <c r="T391" s="9">
        <f>Modelling_old[[#This Row],[Target E_Grid MTD
MWh]]/Modelling_old[[#This Row],[DC Capcity]]/(24*CG391)</f>
        <v>0.18462414479575071</v>
      </c>
      <c r="U391" s="338">
        <f>Modelling_old[[#This Row],[Target E_Grid YTD
MWh]]/Modelling_old[[#This Row],[DC Capcity]]/(24*CH391)</f>
        <v>0.18462414479575071</v>
      </c>
      <c r="V391" s="134">
        <v>11.5031</v>
      </c>
      <c r="Y391" s="27">
        <f t="shared" si="126"/>
        <v>45390</v>
      </c>
      <c r="Z391" s="5">
        <f>MONTH(Modelling_new[[#This Row],[Date]])</f>
        <v>4</v>
      </c>
      <c r="AA391" s="25">
        <f>YEAR(Y391)+IF(MONTH(Modelling_new[[#This Row],[Date]])&gt;=4,1,0)</f>
        <v>2025</v>
      </c>
      <c r="AB391" s="3">
        <f t="shared" si="149"/>
        <v>2024</v>
      </c>
      <c r="AC391" s="3" t="s">
        <v>627</v>
      </c>
      <c r="AD391" s="3" t="s">
        <v>627</v>
      </c>
      <c r="AE391" s="102">
        <f>DATE(Modelling_old[[#This Row],[Calendor Year]],Modelling_old[[#This Row],[Start Month]],1)</f>
        <v>45383</v>
      </c>
      <c r="AF391" s="5">
        <f t="shared" si="150"/>
        <v>30</v>
      </c>
      <c r="AG391" s="5">
        <f t="shared" si="151"/>
        <v>4</v>
      </c>
      <c r="AH391" s="4">
        <f>_xlfn.XLOOKUP(Modelling_new[[#This Row],[Month]],$AA$1:$AA$14,$AL$1:$AL$14)/Modelling_new[[#This Row],[Total Days]]</f>
        <v>72.38321964602072</v>
      </c>
      <c r="AI391" s="4">
        <f>SUM($AH$384:AH391)</f>
        <v>579.06575716816576</v>
      </c>
      <c r="AJ391" s="4">
        <f>SUM($AH$384:AH391)</f>
        <v>579.06575716816576</v>
      </c>
      <c r="AK391" s="4">
        <f t="shared" si="152"/>
        <v>6.6233333333333331</v>
      </c>
      <c r="AL391" s="4">
        <f>SUM($AK$384:AK391)</f>
        <v>52.986666666666672</v>
      </c>
      <c r="AM391" s="4">
        <f>SUM($AK$384:AK391)</f>
        <v>52.986666666666672</v>
      </c>
      <c r="AN391" s="323">
        <f t="shared" si="153"/>
        <v>0.95004984012629889</v>
      </c>
      <c r="AO391" s="323">
        <f t="shared" si="154"/>
        <v>0.95004984012629867</v>
      </c>
      <c r="AP391" s="323">
        <f t="shared" si="155"/>
        <v>0.95004984012629867</v>
      </c>
      <c r="AQ391" s="323">
        <f t="shared" si="156"/>
        <v>0.26218736560152167</v>
      </c>
      <c r="AR391" s="323">
        <f>Modelling_new[[#This Row],[Target E_Grid MTD
MWh]]/Modelling_new[[#This Row],[MTD DC Capcity]]/(24*CG391)</f>
        <v>0.2356224597852237</v>
      </c>
      <c r="AS391" s="323">
        <f>Modelling_new[[#This Row],[Target E_Grid YTD
MWh]]/Modelling_new[[#This Row],[YTD DC Capcity]]/(24*CH391)</f>
        <v>0.2356224597852237</v>
      </c>
      <c r="AT391" s="5">
        <v>12.8</v>
      </c>
      <c r="AU391" s="9">
        <f>Modelling_new[[#This Row],[Comisined DC ]]/$AO$1</f>
        <v>1</v>
      </c>
      <c r="AV391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91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91" s="27">
        <f t="shared" si="127"/>
        <v>45390</v>
      </c>
      <c r="BE391" s="5">
        <f>MONTH(Modelling[[#This Row],[Date]])</f>
        <v>4</v>
      </c>
      <c r="BF391" s="25">
        <f>YEAR(BD391)+IF(MONTH(Modelling[[#This Row],[Date]])&gt;=4,1,0)</f>
        <v>2025</v>
      </c>
      <c r="BG391" s="3">
        <f t="shared" si="157"/>
        <v>2024</v>
      </c>
      <c r="BH391" s="3" t="s">
        <v>627</v>
      </c>
      <c r="BI391" s="3" t="s">
        <v>627</v>
      </c>
      <c r="BJ391" s="102">
        <f>DATE(Modelling_old[[#This Row],[Calendor Year]],Modelling_old[[#This Row],[Start Month]],1)</f>
        <v>45383</v>
      </c>
      <c r="BK391" s="5">
        <f t="shared" si="158"/>
        <v>30</v>
      </c>
      <c r="BL391" s="5">
        <f t="shared" si="159"/>
        <v>4</v>
      </c>
      <c r="BM391" s="4">
        <f>Modelling_old[[#This Row],[Target E_Grid daily
MWh]]+Modelling_new[[#This Row],[Target E_Grid daily
MWh]]</f>
        <v>123.35321964602072</v>
      </c>
      <c r="BN391" s="4">
        <f>Modelling_old[[#This Row],[Target E_Grid MTD
MWh]]+Modelling_new[[#This Row],[Target E_Grid MTD
MWh]]</f>
        <v>986.82575716816575</v>
      </c>
      <c r="BO391" s="4">
        <f>Modelling_old[[#This Row],[Target E_Grid YTD
MWh]]+Modelling_new[[#This Row],[Target E_Grid YTD
MWh]]</f>
        <v>986.82575716816575</v>
      </c>
      <c r="BP391" s="4">
        <f>AVERAGE(Modelling_old[[#This Row],[Target POA Daily (KWh/m2)]],Modelling_new[[#This Row],[Target POA Daily (KWh/m2)]])</f>
        <v>6.6233333333333331</v>
      </c>
      <c r="BQ391" s="4">
        <f>SUM($BP$384:BP391)</f>
        <v>52.986666666666672</v>
      </c>
      <c r="BR391" s="4">
        <f>SUM($BP$384:BP391)</f>
        <v>52.986666666666672</v>
      </c>
      <c r="BS391" s="323">
        <f>BM391/Modelling[[#This Row],[Comisined DC ]]/BP391</f>
        <v>0.76632360487815343</v>
      </c>
      <c r="BT391" s="337">
        <f>BN391/BQ391/Modelling[[#This Row],[Comisined DC ]]</f>
        <v>0.76632360487815343</v>
      </c>
      <c r="BU391" s="337">
        <f>BO391/BR391/Modelling[[#This Row],[Comisined DC ]]</f>
        <v>0.76632360487815343</v>
      </c>
      <c r="BV391" s="323">
        <f>BM391/(24*Modelling[[#This Row],[Comisined DC ]])</f>
        <v>0.21148402817956816</v>
      </c>
      <c r="BW391" s="323">
        <f>Modelling[[#This Row],[Target E_Grid MTD
MWh]]/Modelling[[#This Row],[MTD DC Capcity]]/(24*CG391)</f>
        <v>0.21148402817956816</v>
      </c>
      <c r="BX391" s="338">
        <f>Modelling[[#This Row],[Target E_Grid YTD
MWh]]/Modelling[[#This Row],[YTD DC Capcity]]/(24*CH391)</f>
        <v>0.21148402817956816</v>
      </c>
      <c r="BY391" s="4">
        <f>Modelling_old[[#This Row],[DC Capcity]]+Modelling_new[[#This Row],[Comisined DC ]]</f>
        <v>24.303100000000001</v>
      </c>
      <c r="BZ391" s="4">
        <v>0</v>
      </c>
      <c r="CA391">
        <f>AVERAGEIFS(Modelling[[Comisined DC ]],Modelling[Date],"&lt;="&amp;Modelling[[#This Row],[Date]],Modelling[Month Year],Modelling[[#This Row],[Month Year]])</f>
        <v>24.303100000000001</v>
      </c>
      <c r="CB391">
        <f>AVERAGEIFS(Modelling[[Comisined DC ]],Modelling[Date],"&lt;="&amp;Modelling[[#This Row],[Date]],Modelling[Finacial Year],Modelling[[#This Row],[Finacial Year]])</f>
        <v>24.303100000000001</v>
      </c>
      <c r="CG391">
        <f t="shared" si="160"/>
        <v>8</v>
      </c>
      <c r="CH391">
        <f t="shared" si="161"/>
        <v>8</v>
      </c>
    </row>
    <row r="392" spans="1:86" x14ac:dyDescent="0.35">
      <c r="A392" s="27">
        <f t="shared" si="139"/>
        <v>45391</v>
      </c>
      <c r="B392" s="5">
        <f>MONTH(Modelling_old[[#This Row],[Date]])</f>
        <v>4</v>
      </c>
      <c r="C392" s="25">
        <f t="shared" si="140"/>
        <v>2025</v>
      </c>
      <c r="D392" s="3">
        <f t="shared" si="141"/>
        <v>2024</v>
      </c>
      <c r="E392" s="3" t="s">
        <v>627</v>
      </c>
      <c r="F392" s="3" t="s">
        <v>627</v>
      </c>
      <c r="G392" s="102">
        <f>DATE(Modelling_old[[#This Row],[Calendor Year]],Modelling_old[[#This Row],[Start Month]],1)</f>
        <v>45383</v>
      </c>
      <c r="H392" s="5">
        <f t="shared" si="142"/>
        <v>30</v>
      </c>
      <c r="I392" s="5">
        <f t="shared" si="143"/>
        <v>4</v>
      </c>
      <c r="J392" s="4">
        <f>_xlfn.XLOOKUP(Modelling_old[[#This Row],[Month]],$C$1:$C$14,$N$1:$N$14)/Modelling_old[[#This Row],[Total Days]]</f>
        <v>50.97</v>
      </c>
      <c r="K392" s="4">
        <f>SUM($J$384:J392)</f>
        <v>458.73</v>
      </c>
      <c r="L392" s="4">
        <f>SUM($J$384:J392)</f>
        <v>458.73</v>
      </c>
      <c r="M392" s="4">
        <f t="shared" si="144"/>
        <v>6.6233333333333331</v>
      </c>
      <c r="N392" s="4">
        <f>SUM($M$384:M392)</f>
        <v>59.610000000000007</v>
      </c>
      <c r="O392" s="4">
        <f>SUM($M$384:M392)</f>
        <v>59.610000000000007</v>
      </c>
      <c r="P392" s="323">
        <f t="shared" si="145"/>
        <v>0.66899539130820584</v>
      </c>
      <c r="Q392" s="337">
        <f t="shared" si="146"/>
        <v>0.66899539130820584</v>
      </c>
      <c r="R392" s="337">
        <f t="shared" si="147"/>
        <v>0.66899539130820584</v>
      </c>
      <c r="S392" s="323">
        <f t="shared" si="148"/>
        <v>0.18462414479575073</v>
      </c>
      <c r="T392" s="9">
        <f>Modelling_old[[#This Row],[Target E_Grid MTD
MWh]]/Modelling_old[[#This Row],[DC Capcity]]/(24*CG392)</f>
        <v>0.18462414479575071</v>
      </c>
      <c r="U392" s="338">
        <f>Modelling_old[[#This Row],[Target E_Grid YTD
MWh]]/Modelling_old[[#This Row],[DC Capcity]]/(24*CH392)</f>
        <v>0.18462414479575071</v>
      </c>
      <c r="V392" s="134">
        <v>11.5031</v>
      </c>
      <c r="Y392" s="27">
        <f t="shared" si="126"/>
        <v>45391</v>
      </c>
      <c r="Z392" s="5">
        <f>MONTH(Modelling_new[[#This Row],[Date]])</f>
        <v>4</v>
      </c>
      <c r="AA392" s="25">
        <f>YEAR(Y392)+IF(MONTH(Modelling_new[[#This Row],[Date]])&gt;=4,1,0)</f>
        <v>2025</v>
      </c>
      <c r="AB392" s="3">
        <f t="shared" si="149"/>
        <v>2024</v>
      </c>
      <c r="AC392" s="3" t="s">
        <v>627</v>
      </c>
      <c r="AD392" s="3" t="s">
        <v>627</v>
      </c>
      <c r="AE392" s="102">
        <f>DATE(Modelling_old[[#This Row],[Calendor Year]],Modelling_old[[#This Row],[Start Month]],1)</f>
        <v>45383</v>
      </c>
      <c r="AF392" s="5">
        <f t="shared" si="150"/>
        <v>30</v>
      </c>
      <c r="AG392" s="5">
        <f t="shared" si="151"/>
        <v>4</v>
      </c>
      <c r="AH392" s="4">
        <f>_xlfn.XLOOKUP(Modelling_new[[#This Row],[Month]],$AA$1:$AA$14,$AL$1:$AL$14)/Modelling_new[[#This Row],[Total Days]]</f>
        <v>72.38321964602072</v>
      </c>
      <c r="AI392" s="4">
        <f>SUM($AH$384:AH392)</f>
        <v>651.44897681418649</v>
      </c>
      <c r="AJ392" s="4">
        <f>SUM($AH$384:AH392)</f>
        <v>651.44897681418649</v>
      </c>
      <c r="AK392" s="4">
        <f t="shared" si="152"/>
        <v>6.6233333333333331</v>
      </c>
      <c r="AL392" s="4">
        <f>SUM($AK$384:AK392)</f>
        <v>59.610000000000007</v>
      </c>
      <c r="AM392" s="4">
        <f>SUM($AK$384:AK392)</f>
        <v>59.610000000000007</v>
      </c>
      <c r="AN392" s="323">
        <f t="shared" si="153"/>
        <v>0.95004984012629889</v>
      </c>
      <c r="AO392" s="323">
        <f t="shared" si="154"/>
        <v>0.95004984012629867</v>
      </c>
      <c r="AP392" s="323">
        <f t="shared" si="155"/>
        <v>0.95004984012629867</v>
      </c>
      <c r="AQ392" s="323">
        <f t="shared" si="156"/>
        <v>0.26218736560152167</v>
      </c>
      <c r="AR392" s="323">
        <f>Modelling_new[[#This Row],[Target E_Grid MTD
MWh]]/Modelling_new[[#This Row],[MTD DC Capcity]]/(24*CG392)</f>
        <v>0.2356224597852237</v>
      </c>
      <c r="AS392" s="323">
        <f>Modelling_new[[#This Row],[Target E_Grid YTD
MWh]]/Modelling_new[[#This Row],[YTD DC Capcity]]/(24*CH392)</f>
        <v>0.2356224597852237</v>
      </c>
      <c r="AT392" s="5">
        <v>12.8</v>
      </c>
      <c r="AU392" s="9">
        <f>Modelling_new[[#This Row],[Comisined DC ]]/$AO$1</f>
        <v>1</v>
      </c>
      <c r="AV392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92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92" s="27">
        <f t="shared" si="127"/>
        <v>45391</v>
      </c>
      <c r="BE392" s="5">
        <f>MONTH(Modelling[[#This Row],[Date]])</f>
        <v>4</v>
      </c>
      <c r="BF392" s="25">
        <f>YEAR(BD392)+IF(MONTH(Modelling[[#This Row],[Date]])&gt;=4,1,0)</f>
        <v>2025</v>
      </c>
      <c r="BG392" s="3">
        <f t="shared" si="157"/>
        <v>2024</v>
      </c>
      <c r="BH392" s="3" t="s">
        <v>627</v>
      </c>
      <c r="BI392" s="3" t="s">
        <v>627</v>
      </c>
      <c r="BJ392" s="102">
        <f>DATE(Modelling_old[[#This Row],[Calendor Year]],Modelling_old[[#This Row],[Start Month]],1)</f>
        <v>45383</v>
      </c>
      <c r="BK392" s="5">
        <f t="shared" si="158"/>
        <v>30</v>
      </c>
      <c r="BL392" s="5">
        <f t="shared" si="159"/>
        <v>4</v>
      </c>
      <c r="BM392" s="4">
        <f>Modelling_old[[#This Row],[Target E_Grid daily
MWh]]+Modelling_new[[#This Row],[Target E_Grid daily
MWh]]</f>
        <v>123.35321964602072</v>
      </c>
      <c r="BN392" s="4">
        <f>Modelling_old[[#This Row],[Target E_Grid MTD
MWh]]+Modelling_new[[#This Row],[Target E_Grid MTD
MWh]]</f>
        <v>1110.1789768141866</v>
      </c>
      <c r="BO392" s="4">
        <f>Modelling_old[[#This Row],[Target E_Grid YTD
MWh]]+Modelling_new[[#This Row],[Target E_Grid YTD
MWh]]</f>
        <v>1110.1789768141866</v>
      </c>
      <c r="BP392" s="4">
        <f>AVERAGE(Modelling_old[[#This Row],[Target POA Daily (KWh/m2)]],Modelling_new[[#This Row],[Target POA Daily (KWh/m2)]])</f>
        <v>6.6233333333333331</v>
      </c>
      <c r="BQ392" s="4">
        <f>SUM($BP$384:BP392)</f>
        <v>59.610000000000007</v>
      </c>
      <c r="BR392" s="4">
        <f>SUM($BP$384:BP392)</f>
        <v>59.610000000000007</v>
      </c>
      <c r="BS392" s="323">
        <f>BM392/Modelling[[#This Row],[Comisined DC ]]/BP392</f>
        <v>0.76632360487815343</v>
      </c>
      <c r="BT392" s="337">
        <f>BN392/BQ392/Modelling[[#This Row],[Comisined DC ]]</f>
        <v>0.76632360487815343</v>
      </c>
      <c r="BU392" s="337">
        <f>BO392/BR392/Modelling[[#This Row],[Comisined DC ]]</f>
        <v>0.76632360487815343</v>
      </c>
      <c r="BV392" s="323">
        <f>BM392/(24*Modelling[[#This Row],[Comisined DC ]])</f>
        <v>0.21148402817956816</v>
      </c>
      <c r="BW392" s="323">
        <f>Modelling[[#This Row],[Target E_Grid MTD
MWh]]/Modelling[[#This Row],[MTD DC Capcity]]/(24*CG392)</f>
        <v>0.21148402817956821</v>
      </c>
      <c r="BX392" s="338">
        <f>Modelling[[#This Row],[Target E_Grid YTD
MWh]]/Modelling[[#This Row],[YTD DC Capcity]]/(24*CH392)</f>
        <v>0.21148402817956821</v>
      </c>
      <c r="BY392" s="4">
        <f>Modelling_old[[#This Row],[DC Capcity]]+Modelling_new[[#This Row],[Comisined DC ]]</f>
        <v>24.303100000000001</v>
      </c>
      <c r="BZ392" s="4">
        <v>0</v>
      </c>
      <c r="CA392">
        <f>AVERAGEIFS(Modelling[[Comisined DC ]],Modelling[Date],"&lt;="&amp;Modelling[[#This Row],[Date]],Modelling[Month Year],Modelling[[#This Row],[Month Year]])</f>
        <v>24.303100000000001</v>
      </c>
      <c r="CB392">
        <f>AVERAGEIFS(Modelling[[Comisined DC ]],Modelling[Date],"&lt;="&amp;Modelling[[#This Row],[Date]],Modelling[Finacial Year],Modelling[[#This Row],[Finacial Year]])</f>
        <v>24.303100000000001</v>
      </c>
      <c r="CG392">
        <f t="shared" si="160"/>
        <v>9</v>
      </c>
      <c r="CH392">
        <f t="shared" si="161"/>
        <v>9</v>
      </c>
    </row>
    <row r="393" spans="1:86" x14ac:dyDescent="0.35">
      <c r="A393" s="27">
        <f t="shared" si="139"/>
        <v>45392</v>
      </c>
      <c r="B393" s="5">
        <f>MONTH(Modelling_old[[#This Row],[Date]])</f>
        <v>4</v>
      </c>
      <c r="C393" s="25">
        <f t="shared" si="140"/>
        <v>2025</v>
      </c>
      <c r="D393" s="3">
        <f t="shared" si="141"/>
        <v>2024</v>
      </c>
      <c r="E393" s="3" t="s">
        <v>627</v>
      </c>
      <c r="F393" s="3" t="s">
        <v>627</v>
      </c>
      <c r="G393" s="102">
        <f>DATE(Modelling_old[[#This Row],[Calendor Year]],Modelling_old[[#This Row],[Start Month]],1)</f>
        <v>45383</v>
      </c>
      <c r="H393" s="5">
        <f t="shared" si="142"/>
        <v>30</v>
      </c>
      <c r="I393" s="5">
        <f t="shared" si="143"/>
        <v>4</v>
      </c>
      <c r="J393" s="4">
        <f>_xlfn.XLOOKUP(Modelling_old[[#This Row],[Month]],$C$1:$C$14,$N$1:$N$14)/Modelling_old[[#This Row],[Total Days]]</f>
        <v>50.97</v>
      </c>
      <c r="K393" s="4">
        <f>SUM($J$384:J393)</f>
        <v>509.70000000000005</v>
      </c>
      <c r="L393" s="4">
        <f>SUM($J$384:J393)</f>
        <v>509.70000000000005</v>
      </c>
      <c r="M393" s="4">
        <f t="shared" si="144"/>
        <v>6.6233333333333331</v>
      </c>
      <c r="N393" s="4">
        <f>SUM($M$384:M393)</f>
        <v>66.233333333333334</v>
      </c>
      <c r="O393" s="4">
        <f>SUM($M$384:M393)</f>
        <v>66.233333333333334</v>
      </c>
      <c r="P393" s="323">
        <f t="shared" si="145"/>
        <v>0.66899539130820584</v>
      </c>
      <c r="Q393" s="337">
        <f t="shared" si="146"/>
        <v>0.66899539130820596</v>
      </c>
      <c r="R393" s="337">
        <f t="shared" si="147"/>
        <v>0.66899539130820596</v>
      </c>
      <c r="S393" s="323">
        <f t="shared" si="148"/>
        <v>0.18462414479575073</v>
      </c>
      <c r="T393" s="9">
        <f>Modelling_old[[#This Row],[Target E_Grid MTD
MWh]]/Modelling_old[[#This Row],[DC Capcity]]/(24*CG393)</f>
        <v>0.18462414479575073</v>
      </c>
      <c r="U393" s="338">
        <f>Modelling_old[[#This Row],[Target E_Grid YTD
MWh]]/Modelling_old[[#This Row],[DC Capcity]]/(24*CH393)</f>
        <v>0.18462414479575073</v>
      </c>
      <c r="V393" s="134">
        <v>11.5031</v>
      </c>
      <c r="Y393" s="27">
        <f t="shared" si="126"/>
        <v>45392</v>
      </c>
      <c r="Z393" s="5">
        <f>MONTH(Modelling_new[[#This Row],[Date]])</f>
        <v>4</v>
      </c>
      <c r="AA393" s="25">
        <f>YEAR(Y393)+IF(MONTH(Modelling_new[[#This Row],[Date]])&gt;=4,1,0)</f>
        <v>2025</v>
      </c>
      <c r="AB393" s="3">
        <f t="shared" si="149"/>
        <v>2024</v>
      </c>
      <c r="AC393" s="3" t="s">
        <v>627</v>
      </c>
      <c r="AD393" s="3" t="s">
        <v>627</v>
      </c>
      <c r="AE393" s="102">
        <f>DATE(Modelling_old[[#This Row],[Calendor Year]],Modelling_old[[#This Row],[Start Month]],1)</f>
        <v>45383</v>
      </c>
      <c r="AF393" s="5">
        <f t="shared" si="150"/>
        <v>30</v>
      </c>
      <c r="AG393" s="5">
        <f t="shared" si="151"/>
        <v>4</v>
      </c>
      <c r="AH393" s="4">
        <f>_xlfn.XLOOKUP(Modelling_new[[#This Row],[Month]],$AA$1:$AA$14,$AL$1:$AL$14)/Modelling_new[[#This Row],[Total Days]]</f>
        <v>72.38321964602072</v>
      </c>
      <c r="AI393" s="4">
        <f>SUM($AH$384:AH393)</f>
        <v>723.83219646020723</v>
      </c>
      <c r="AJ393" s="4">
        <f>SUM($AH$384:AH393)</f>
        <v>723.83219646020723</v>
      </c>
      <c r="AK393" s="4">
        <f t="shared" si="152"/>
        <v>6.6233333333333331</v>
      </c>
      <c r="AL393" s="4">
        <f>SUM($AK$384:AK393)</f>
        <v>66.233333333333334</v>
      </c>
      <c r="AM393" s="4">
        <f>SUM($AK$384:AK393)</f>
        <v>66.233333333333334</v>
      </c>
      <c r="AN393" s="323">
        <f t="shared" si="153"/>
        <v>0.95004984012629889</v>
      </c>
      <c r="AO393" s="323">
        <f t="shared" si="154"/>
        <v>0.95004984012629878</v>
      </c>
      <c r="AP393" s="323">
        <f t="shared" si="155"/>
        <v>0.95004984012629878</v>
      </c>
      <c r="AQ393" s="323">
        <f t="shared" si="156"/>
        <v>0.26218736560152167</v>
      </c>
      <c r="AR393" s="323">
        <f>Modelling_new[[#This Row],[Target E_Grid MTD
MWh]]/Modelling_new[[#This Row],[MTD DC Capcity]]/(24*CG393)</f>
        <v>0.23562245978522373</v>
      </c>
      <c r="AS393" s="323">
        <f>Modelling_new[[#This Row],[Target E_Grid YTD
MWh]]/Modelling_new[[#This Row],[YTD DC Capcity]]/(24*CH393)</f>
        <v>0.23562245978522373</v>
      </c>
      <c r="AT393" s="5">
        <v>12.8</v>
      </c>
      <c r="AU393" s="9">
        <f>Modelling_new[[#This Row],[Comisined DC ]]/$AO$1</f>
        <v>1</v>
      </c>
      <c r="AV39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93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93" s="27">
        <f t="shared" si="127"/>
        <v>45392</v>
      </c>
      <c r="BE393" s="5">
        <f>MONTH(Modelling[[#This Row],[Date]])</f>
        <v>4</v>
      </c>
      <c r="BF393" s="25">
        <f>YEAR(BD393)+IF(MONTH(Modelling[[#This Row],[Date]])&gt;=4,1,0)</f>
        <v>2025</v>
      </c>
      <c r="BG393" s="3">
        <f t="shared" si="157"/>
        <v>2024</v>
      </c>
      <c r="BH393" s="3" t="s">
        <v>627</v>
      </c>
      <c r="BI393" s="3" t="s">
        <v>627</v>
      </c>
      <c r="BJ393" s="102">
        <f>DATE(Modelling_old[[#This Row],[Calendor Year]],Modelling_old[[#This Row],[Start Month]],1)</f>
        <v>45383</v>
      </c>
      <c r="BK393" s="5">
        <f t="shared" si="158"/>
        <v>30</v>
      </c>
      <c r="BL393" s="5">
        <f t="shared" si="159"/>
        <v>4</v>
      </c>
      <c r="BM393" s="4">
        <f>Modelling_old[[#This Row],[Target E_Grid daily
MWh]]+Modelling_new[[#This Row],[Target E_Grid daily
MWh]]</f>
        <v>123.35321964602072</v>
      </c>
      <c r="BN393" s="4">
        <f>Modelling_old[[#This Row],[Target E_Grid MTD
MWh]]+Modelling_new[[#This Row],[Target E_Grid MTD
MWh]]</f>
        <v>1233.5321964602072</v>
      </c>
      <c r="BO393" s="4">
        <f>Modelling_old[[#This Row],[Target E_Grid YTD
MWh]]+Modelling_new[[#This Row],[Target E_Grid YTD
MWh]]</f>
        <v>1233.5321964602072</v>
      </c>
      <c r="BP393" s="4">
        <f>AVERAGE(Modelling_old[[#This Row],[Target POA Daily (KWh/m2)]],Modelling_new[[#This Row],[Target POA Daily (KWh/m2)]])</f>
        <v>6.6233333333333331</v>
      </c>
      <c r="BQ393" s="4">
        <f>SUM($BP$384:BP393)</f>
        <v>66.233333333333334</v>
      </c>
      <c r="BR393" s="4">
        <f>SUM($BP$384:BP393)</f>
        <v>66.233333333333334</v>
      </c>
      <c r="BS393" s="323">
        <f>BM393/Modelling[[#This Row],[Comisined DC ]]/BP393</f>
        <v>0.76632360487815343</v>
      </c>
      <c r="BT393" s="337">
        <f>BN393/BQ393/Modelling[[#This Row],[Comisined DC ]]</f>
        <v>0.76632360487815343</v>
      </c>
      <c r="BU393" s="337">
        <f>BO393/BR393/Modelling[[#This Row],[Comisined DC ]]</f>
        <v>0.76632360487815343</v>
      </c>
      <c r="BV393" s="323">
        <f>BM393/(24*Modelling[[#This Row],[Comisined DC ]])</f>
        <v>0.21148402817956816</v>
      </c>
      <c r="BW393" s="323">
        <f>Modelling[[#This Row],[Target E_Grid MTD
MWh]]/Modelling[[#This Row],[MTD DC Capcity]]/(24*CG393)</f>
        <v>0.21148402817956816</v>
      </c>
      <c r="BX393" s="338">
        <f>Modelling[[#This Row],[Target E_Grid YTD
MWh]]/Modelling[[#This Row],[YTD DC Capcity]]/(24*CH393)</f>
        <v>0.21148402817956816</v>
      </c>
      <c r="BY393" s="4">
        <f>Modelling_old[[#This Row],[DC Capcity]]+Modelling_new[[#This Row],[Comisined DC ]]</f>
        <v>24.303100000000001</v>
      </c>
      <c r="BZ393" s="4">
        <v>0</v>
      </c>
      <c r="CA393">
        <f>AVERAGEIFS(Modelling[[Comisined DC ]],Modelling[Date],"&lt;="&amp;Modelling[[#This Row],[Date]],Modelling[Month Year],Modelling[[#This Row],[Month Year]])</f>
        <v>24.303100000000001</v>
      </c>
      <c r="CB393">
        <f>AVERAGEIFS(Modelling[[Comisined DC ]],Modelling[Date],"&lt;="&amp;Modelling[[#This Row],[Date]],Modelling[Finacial Year],Modelling[[#This Row],[Finacial Year]])</f>
        <v>24.303100000000001</v>
      </c>
      <c r="CG393">
        <f t="shared" si="160"/>
        <v>10</v>
      </c>
      <c r="CH393">
        <f t="shared" si="161"/>
        <v>10</v>
      </c>
    </row>
    <row r="394" spans="1:86" x14ac:dyDescent="0.35">
      <c r="A394" s="27">
        <f t="shared" si="139"/>
        <v>45393</v>
      </c>
      <c r="B394" s="5">
        <f>MONTH(Modelling_old[[#This Row],[Date]])</f>
        <v>4</v>
      </c>
      <c r="C394" s="25">
        <f t="shared" si="140"/>
        <v>2025</v>
      </c>
      <c r="D394" s="3">
        <f t="shared" si="141"/>
        <v>2024</v>
      </c>
      <c r="E394" s="3" t="s">
        <v>627</v>
      </c>
      <c r="F394" s="3" t="s">
        <v>627</v>
      </c>
      <c r="G394" s="102">
        <f>DATE(Modelling_old[[#This Row],[Calendor Year]],Modelling_old[[#This Row],[Start Month]],1)</f>
        <v>45383</v>
      </c>
      <c r="H394" s="5">
        <f t="shared" si="142"/>
        <v>30</v>
      </c>
      <c r="I394" s="5">
        <f t="shared" si="143"/>
        <v>4</v>
      </c>
      <c r="J394" s="4">
        <f>_xlfn.XLOOKUP(Modelling_old[[#This Row],[Month]],$C$1:$C$14,$N$1:$N$14)/Modelling_old[[#This Row],[Total Days]]</f>
        <v>50.97</v>
      </c>
      <c r="K394" s="4">
        <f>SUM($J$384:J394)</f>
        <v>560.67000000000007</v>
      </c>
      <c r="L394" s="4">
        <f>SUM($J$384:J394)</f>
        <v>560.67000000000007</v>
      </c>
      <c r="M394" s="4">
        <f t="shared" si="144"/>
        <v>6.6233333333333331</v>
      </c>
      <c r="N394" s="4">
        <f>SUM($M$384:M394)</f>
        <v>72.856666666666669</v>
      </c>
      <c r="O394" s="4">
        <f>SUM($M$384:M394)</f>
        <v>72.856666666666669</v>
      </c>
      <c r="P394" s="323">
        <f t="shared" si="145"/>
        <v>0.66899539130820584</v>
      </c>
      <c r="Q394" s="337">
        <f t="shared" si="146"/>
        <v>0.66899539130820596</v>
      </c>
      <c r="R394" s="337">
        <f t="shared" si="147"/>
        <v>0.66899539130820596</v>
      </c>
      <c r="S394" s="323">
        <f t="shared" si="148"/>
        <v>0.18462414479575073</v>
      </c>
      <c r="T394" s="9">
        <f>Modelling_old[[#This Row],[Target E_Grid MTD
MWh]]/Modelling_old[[#This Row],[DC Capcity]]/(24*CG394)</f>
        <v>0.18462414479575073</v>
      </c>
      <c r="U394" s="338">
        <f>Modelling_old[[#This Row],[Target E_Grid YTD
MWh]]/Modelling_old[[#This Row],[DC Capcity]]/(24*CH394)</f>
        <v>0.18462414479575073</v>
      </c>
      <c r="V394" s="134">
        <v>11.5031</v>
      </c>
      <c r="Y394" s="27">
        <f t="shared" si="126"/>
        <v>45393</v>
      </c>
      <c r="Z394" s="5">
        <f>MONTH(Modelling_new[[#This Row],[Date]])</f>
        <v>4</v>
      </c>
      <c r="AA394" s="25">
        <f>YEAR(Y394)+IF(MONTH(Modelling_new[[#This Row],[Date]])&gt;=4,1,0)</f>
        <v>2025</v>
      </c>
      <c r="AB394" s="3">
        <f t="shared" si="149"/>
        <v>2024</v>
      </c>
      <c r="AC394" s="3" t="s">
        <v>627</v>
      </c>
      <c r="AD394" s="3" t="s">
        <v>627</v>
      </c>
      <c r="AE394" s="102">
        <f>DATE(Modelling_old[[#This Row],[Calendor Year]],Modelling_old[[#This Row],[Start Month]],1)</f>
        <v>45383</v>
      </c>
      <c r="AF394" s="5">
        <f t="shared" si="150"/>
        <v>30</v>
      </c>
      <c r="AG394" s="5">
        <f t="shared" si="151"/>
        <v>4</v>
      </c>
      <c r="AH394" s="4">
        <f>_xlfn.XLOOKUP(Modelling_new[[#This Row],[Month]],$AA$1:$AA$14,$AL$1:$AL$14)/Modelling_new[[#This Row],[Total Days]]</f>
        <v>72.38321964602072</v>
      </c>
      <c r="AI394" s="4">
        <f>SUM($AH$384:AH394)</f>
        <v>796.21541610622796</v>
      </c>
      <c r="AJ394" s="4">
        <f>SUM($AH$384:AH394)</f>
        <v>796.21541610622796</v>
      </c>
      <c r="AK394" s="4">
        <f t="shared" si="152"/>
        <v>6.6233333333333331</v>
      </c>
      <c r="AL394" s="4">
        <f>SUM($AK$384:AK394)</f>
        <v>72.856666666666669</v>
      </c>
      <c r="AM394" s="4">
        <f>SUM($AK$384:AK394)</f>
        <v>72.856666666666669</v>
      </c>
      <c r="AN394" s="323">
        <f t="shared" si="153"/>
        <v>0.95004984012629889</v>
      </c>
      <c r="AO394" s="323">
        <f t="shared" si="154"/>
        <v>0.95004984012629878</v>
      </c>
      <c r="AP394" s="323">
        <f t="shared" si="155"/>
        <v>0.95004984012629878</v>
      </c>
      <c r="AQ394" s="323">
        <f t="shared" si="156"/>
        <v>0.26218736560152167</v>
      </c>
      <c r="AR394" s="323">
        <f>Modelling_new[[#This Row],[Target E_Grid MTD
MWh]]/Modelling_new[[#This Row],[MTD DC Capcity]]/(24*CG394)</f>
        <v>0.23562245978522373</v>
      </c>
      <c r="AS394" s="323">
        <f>Modelling_new[[#This Row],[Target E_Grid YTD
MWh]]/Modelling_new[[#This Row],[YTD DC Capcity]]/(24*CH394)</f>
        <v>0.23562245978522373</v>
      </c>
      <c r="AT394" s="5">
        <v>12.8</v>
      </c>
      <c r="AU394" s="9">
        <f>Modelling_new[[#This Row],[Comisined DC ]]/$AO$1</f>
        <v>1</v>
      </c>
      <c r="AV39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94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94" s="27">
        <f t="shared" si="127"/>
        <v>45393</v>
      </c>
      <c r="BE394" s="5">
        <f>MONTH(Modelling[[#This Row],[Date]])</f>
        <v>4</v>
      </c>
      <c r="BF394" s="25">
        <f>YEAR(BD394)+IF(MONTH(Modelling[[#This Row],[Date]])&gt;=4,1,0)</f>
        <v>2025</v>
      </c>
      <c r="BG394" s="3">
        <f t="shared" si="157"/>
        <v>2024</v>
      </c>
      <c r="BH394" s="3" t="s">
        <v>627</v>
      </c>
      <c r="BI394" s="3" t="s">
        <v>627</v>
      </c>
      <c r="BJ394" s="102">
        <f>DATE(Modelling_old[[#This Row],[Calendor Year]],Modelling_old[[#This Row],[Start Month]],1)</f>
        <v>45383</v>
      </c>
      <c r="BK394" s="5">
        <f t="shared" si="158"/>
        <v>30</v>
      </c>
      <c r="BL394" s="5">
        <f t="shared" si="159"/>
        <v>4</v>
      </c>
      <c r="BM394" s="4">
        <f>Modelling_old[[#This Row],[Target E_Grid daily
MWh]]+Modelling_new[[#This Row],[Target E_Grid daily
MWh]]</f>
        <v>123.35321964602072</v>
      </c>
      <c r="BN394" s="4">
        <f>Modelling_old[[#This Row],[Target E_Grid MTD
MWh]]+Modelling_new[[#This Row],[Target E_Grid MTD
MWh]]</f>
        <v>1356.8854161062281</v>
      </c>
      <c r="BO394" s="4">
        <f>Modelling_old[[#This Row],[Target E_Grid YTD
MWh]]+Modelling_new[[#This Row],[Target E_Grid YTD
MWh]]</f>
        <v>1356.8854161062281</v>
      </c>
      <c r="BP394" s="4">
        <f>AVERAGE(Modelling_old[[#This Row],[Target POA Daily (KWh/m2)]],Modelling_new[[#This Row],[Target POA Daily (KWh/m2)]])</f>
        <v>6.6233333333333331</v>
      </c>
      <c r="BQ394" s="4">
        <f>SUM($BP$384:BP394)</f>
        <v>72.856666666666669</v>
      </c>
      <c r="BR394" s="4">
        <f>SUM($BP$384:BP394)</f>
        <v>72.856666666666669</v>
      </c>
      <c r="BS394" s="323">
        <f>BM394/Modelling[[#This Row],[Comisined DC ]]/BP394</f>
        <v>0.76632360487815343</v>
      </c>
      <c r="BT394" s="337">
        <f>BN394/BQ394/Modelling[[#This Row],[Comisined DC ]]</f>
        <v>0.76632360487815354</v>
      </c>
      <c r="BU394" s="337">
        <f>BO394/BR394/Modelling[[#This Row],[Comisined DC ]]</f>
        <v>0.76632360487815354</v>
      </c>
      <c r="BV394" s="323">
        <f>BM394/(24*Modelling[[#This Row],[Comisined DC ]])</f>
        <v>0.21148402817956816</v>
      </c>
      <c r="BW394" s="323">
        <f>Modelling[[#This Row],[Target E_Grid MTD
MWh]]/Modelling[[#This Row],[MTD DC Capcity]]/(24*CG394)</f>
        <v>0.21148402817956816</v>
      </c>
      <c r="BX394" s="338">
        <f>Modelling[[#This Row],[Target E_Grid YTD
MWh]]/Modelling[[#This Row],[YTD DC Capcity]]/(24*CH394)</f>
        <v>0.21148402817956816</v>
      </c>
      <c r="BY394" s="4">
        <f>Modelling_old[[#This Row],[DC Capcity]]+Modelling_new[[#This Row],[Comisined DC ]]</f>
        <v>24.303100000000001</v>
      </c>
      <c r="BZ394" s="4">
        <v>0</v>
      </c>
      <c r="CA394">
        <f>AVERAGEIFS(Modelling[[Comisined DC ]],Modelling[Date],"&lt;="&amp;Modelling[[#This Row],[Date]],Modelling[Month Year],Modelling[[#This Row],[Month Year]])</f>
        <v>24.303100000000004</v>
      </c>
      <c r="CB394">
        <f>AVERAGEIFS(Modelling[[Comisined DC ]],Modelling[Date],"&lt;="&amp;Modelling[[#This Row],[Date]],Modelling[Finacial Year],Modelling[[#This Row],[Finacial Year]])</f>
        <v>24.303100000000004</v>
      </c>
      <c r="CG394">
        <f t="shared" si="160"/>
        <v>11</v>
      </c>
      <c r="CH394">
        <f t="shared" si="161"/>
        <v>11</v>
      </c>
    </row>
    <row r="395" spans="1:86" x14ac:dyDescent="0.35">
      <c r="A395" s="27">
        <f t="shared" si="139"/>
        <v>45394</v>
      </c>
      <c r="B395" s="5">
        <f>MONTH(Modelling_old[[#This Row],[Date]])</f>
        <v>4</v>
      </c>
      <c r="C395" s="25">
        <f t="shared" si="140"/>
        <v>2025</v>
      </c>
      <c r="D395" s="3">
        <f t="shared" si="141"/>
        <v>2024</v>
      </c>
      <c r="E395" s="3" t="s">
        <v>627</v>
      </c>
      <c r="F395" s="3" t="s">
        <v>627</v>
      </c>
      <c r="G395" s="102">
        <f>DATE(Modelling_old[[#This Row],[Calendor Year]],Modelling_old[[#This Row],[Start Month]],1)</f>
        <v>45383</v>
      </c>
      <c r="H395" s="5">
        <f t="shared" si="142"/>
        <v>30</v>
      </c>
      <c r="I395" s="5">
        <f t="shared" si="143"/>
        <v>4</v>
      </c>
      <c r="J395" s="4">
        <f>_xlfn.XLOOKUP(Modelling_old[[#This Row],[Month]],$C$1:$C$14,$N$1:$N$14)/Modelling_old[[#This Row],[Total Days]]</f>
        <v>50.97</v>
      </c>
      <c r="K395" s="4">
        <f>SUM($J$384:J395)</f>
        <v>611.6400000000001</v>
      </c>
      <c r="L395" s="4">
        <f>SUM($J$384:J395)</f>
        <v>611.6400000000001</v>
      </c>
      <c r="M395" s="4">
        <f t="shared" si="144"/>
        <v>6.6233333333333331</v>
      </c>
      <c r="N395" s="4">
        <f>SUM($M$384:M395)</f>
        <v>79.48</v>
      </c>
      <c r="O395" s="4">
        <f>SUM($M$384:M395)</f>
        <v>79.48</v>
      </c>
      <c r="P395" s="323">
        <f t="shared" si="145"/>
        <v>0.66899539130820584</v>
      </c>
      <c r="Q395" s="337">
        <f t="shared" si="146"/>
        <v>0.66899539130820596</v>
      </c>
      <c r="R395" s="337">
        <f t="shared" si="147"/>
        <v>0.66899539130820596</v>
      </c>
      <c r="S395" s="323">
        <f t="shared" si="148"/>
        <v>0.18462414479575073</v>
      </c>
      <c r="T395" s="9">
        <f>Modelling_old[[#This Row],[Target E_Grid MTD
MWh]]/Modelling_old[[#This Row],[DC Capcity]]/(24*CG395)</f>
        <v>0.18462414479575073</v>
      </c>
      <c r="U395" s="338">
        <f>Modelling_old[[#This Row],[Target E_Grid YTD
MWh]]/Modelling_old[[#This Row],[DC Capcity]]/(24*CH395)</f>
        <v>0.18462414479575073</v>
      </c>
      <c r="V395" s="134">
        <v>11.5031</v>
      </c>
      <c r="Y395" s="27">
        <f t="shared" si="126"/>
        <v>45394</v>
      </c>
      <c r="Z395" s="5">
        <f>MONTH(Modelling_new[[#This Row],[Date]])</f>
        <v>4</v>
      </c>
      <c r="AA395" s="25">
        <f>YEAR(Y395)+IF(MONTH(Modelling_new[[#This Row],[Date]])&gt;=4,1,0)</f>
        <v>2025</v>
      </c>
      <c r="AB395" s="3">
        <f t="shared" si="149"/>
        <v>2024</v>
      </c>
      <c r="AC395" s="3" t="s">
        <v>627</v>
      </c>
      <c r="AD395" s="3" t="s">
        <v>627</v>
      </c>
      <c r="AE395" s="102">
        <f>DATE(Modelling_old[[#This Row],[Calendor Year]],Modelling_old[[#This Row],[Start Month]],1)</f>
        <v>45383</v>
      </c>
      <c r="AF395" s="5">
        <f t="shared" si="150"/>
        <v>30</v>
      </c>
      <c r="AG395" s="5">
        <f t="shared" si="151"/>
        <v>4</v>
      </c>
      <c r="AH395" s="4">
        <f>_xlfn.XLOOKUP(Modelling_new[[#This Row],[Month]],$AA$1:$AA$14,$AL$1:$AL$14)/Modelling_new[[#This Row],[Total Days]]</f>
        <v>72.38321964602072</v>
      </c>
      <c r="AI395" s="4">
        <f>SUM($AH$384:AH395)</f>
        <v>868.5986357522487</v>
      </c>
      <c r="AJ395" s="4">
        <f>SUM($AH$384:AH395)</f>
        <v>868.5986357522487</v>
      </c>
      <c r="AK395" s="4">
        <f t="shared" si="152"/>
        <v>6.6233333333333331</v>
      </c>
      <c r="AL395" s="4">
        <f>SUM($AK$384:AK395)</f>
        <v>79.48</v>
      </c>
      <c r="AM395" s="4">
        <f>SUM($AK$384:AK395)</f>
        <v>79.48</v>
      </c>
      <c r="AN395" s="323">
        <f t="shared" si="153"/>
        <v>0.95004984012629889</v>
      </c>
      <c r="AO395" s="323">
        <f t="shared" si="154"/>
        <v>0.95004984012629878</v>
      </c>
      <c r="AP395" s="323">
        <f t="shared" si="155"/>
        <v>0.95004984012629878</v>
      </c>
      <c r="AQ395" s="323">
        <f t="shared" si="156"/>
        <v>0.26218736560152167</v>
      </c>
      <c r="AR395" s="323">
        <f>Modelling_new[[#This Row],[Target E_Grid MTD
MWh]]/Modelling_new[[#This Row],[MTD DC Capcity]]/(24*CG395)</f>
        <v>0.23562245978522375</v>
      </c>
      <c r="AS395" s="323">
        <f>Modelling_new[[#This Row],[Target E_Grid YTD
MWh]]/Modelling_new[[#This Row],[YTD DC Capcity]]/(24*CH395)</f>
        <v>0.23562245978522375</v>
      </c>
      <c r="AT395" s="5">
        <v>12.8</v>
      </c>
      <c r="AU395" s="9">
        <f>Modelling_new[[#This Row],[Comisined DC ]]/$AO$1</f>
        <v>1</v>
      </c>
      <c r="AV39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395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395" s="27">
        <f t="shared" si="127"/>
        <v>45394</v>
      </c>
      <c r="BE395" s="5">
        <f>MONTH(Modelling[[#This Row],[Date]])</f>
        <v>4</v>
      </c>
      <c r="BF395" s="25">
        <f>YEAR(BD395)+IF(MONTH(Modelling[[#This Row],[Date]])&gt;=4,1,0)</f>
        <v>2025</v>
      </c>
      <c r="BG395" s="3">
        <f t="shared" si="157"/>
        <v>2024</v>
      </c>
      <c r="BH395" s="3" t="s">
        <v>627</v>
      </c>
      <c r="BI395" s="3" t="s">
        <v>627</v>
      </c>
      <c r="BJ395" s="102">
        <f>DATE(Modelling_old[[#This Row],[Calendor Year]],Modelling_old[[#This Row],[Start Month]],1)</f>
        <v>45383</v>
      </c>
      <c r="BK395" s="5">
        <f t="shared" si="158"/>
        <v>30</v>
      </c>
      <c r="BL395" s="5">
        <f t="shared" si="159"/>
        <v>4</v>
      </c>
      <c r="BM395" s="4">
        <f>Modelling_old[[#This Row],[Target E_Grid daily
MWh]]+Modelling_new[[#This Row],[Target E_Grid daily
MWh]]</f>
        <v>123.35321964602072</v>
      </c>
      <c r="BN395" s="4">
        <f>Modelling_old[[#This Row],[Target E_Grid MTD
MWh]]+Modelling_new[[#This Row],[Target E_Grid MTD
MWh]]</f>
        <v>1480.2386357522487</v>
      </c>
      <c r="BO395" s="4">
        <f>Modelling_old[[#This Row],[Target E_Grid YTD
MWh]]+Modelling_new[[#This Row],[Target E_Grid YTD
MWh]]</f>
        <v>1480.2386357522487</v>
      </c>
      <c r="BP395" s="4">
        <f>AVERAGE(Modelling_old[[#This Row],[Target POA Daily (KWh/m2)]],Modelling_new[[#This Row],[Target POA Daily (KWh/m2)]])</f>
        <v>6.6233333333333331</v>
      </c>
      <c r="BQ395" s="4">
        <f>SUM($BP$384:BP395)</f>
        <v>79.48</v>
      </c>
      <c r="BR395" s="4">
        <f>SUM($BP$384:BP395)</f>
        <v>79.48</v>
      </c>
      <c r="BS395" s="323">
        <f>BM395/Modelling[[#This Row],[Comisined DC ]]/BP395</f>
        <v>0.76632360487815343</v>
      </c>
      <c r="BT395" s="337">
        <f>BN395/BQ395/Modelling[[#This Row],[Comisined DC ]]</f>
        <v>0.76632360487815343</v>
      </c>
      <c r="BU395" s="337">
        <f>BO395/BR395/Modelling[[#This Row],[Comisined DC ]]</f>
        <v>0.76632360487815343</v>
      </c>
      <c r="BV395" s="323">
        <f>BM395/(24*Modelling[[#This Row],[Comisined DC ]])</f>
        <v>0.21148402817956816</v>
      </c>
      <c r="BW395" s="323">
        <f>Modelling[[#This Row],[Target E_Grid MTD
MWh]]/Modelling[[#This Row],[MTD DC Capcity]]/(24*CG395)</f>
        <v>0.21148402817956816</v>
      </c>
      <c r="BX395" s="338">
        <f>Modelling[[#This Row],[Target E_Grid YTD
MWh]]/Modelling[[#This Row],[YTD DC Capcity]]/(24*CH395)</f>
        <v>0.21148402817956816</v>
      </c>
      <c r="BY395" s="4">
        <f>Modelling_old[[#This Row],[DC Capcity]]+Modelling_new[[#This Row],[Comisined DC ]]</f>
        <v>24.303100000000001</v>
      </c>
      <c r="BZ395" s="4">
        <v>0</v>
      </c>
      <c r="CA395">
        <f>AVERAGEIFS(Modelling[[Comisined DC ]],Modelling[Date],"&lt;="&amp;Modelling[[#This Row],[Date]],Modelling[Month Year],Modelling[[#This Row],[Month Year]])</f>
        <v>24.303100000000001</v>
      </c>
      <c r="CB395">
        <f>AVERAGEIFS(Modelling[[Comisined DC ]],Modelling[Date],"&lt;="&amp;Modelling[[#This Row],[Date]],Modelling[Finacial Year],Modelling[[#This Row],[Finacial Year]])</f>
        <v>24.303100000000001</v>
      </c>
      <c r="CG395">
        <f t="shared" si="160"/>
        <v>12</v>
      </c>
      <c r="CH395">
        <f t="shared" si="161"/>
        <v>12</v>
      </c>
    </row>
    <row r="396" spans="1:86" x14ac:dyDescent="0.35">
      <c r="A396" s="27">
        <f t="shared" si="139"/>
        <v>45395</v>
      </c>
      <c r="B396" s="5">
        <f>MONTH(Modelling_old[[#This Row],[Date]])</f>
        <v>4</v>
      </c>
      <c r="C396" s="25">
        <f t="shared" si="140"/>
        <v>2025</v>
      </c>
      <c r="D396" s="3">
        <f t="shared" si="141"/>
        <v>2024</v>
      </c>
      <c r="E396" s="3" t="s">
        <v>627</v>
      </c>
      <c r="F396" s="3" t="s">
        <v>627</v>
      </c>
      <c r="G396" s="102">
        <f>DATE(Modelling_old[[#This Row],[Calendor Year]],Modelling_old[[#This Row],[Start Month]],1)</f>
        <v>45383</v>
      </c>
      <c r="H396" s="5">
        <f t="shared" si="142"/>
        <v>30</v>
      </c>
      <c r="I396" s="5">
        <f t="shared" si="143"/>
        <v>4</v>
      </c>
      <c r="J396" s="4">
        <f>_xlfn.XLOOKUP(Modelling_old[[#This Row],[Month]],$C$1:$C$14,$N$1:$N$14)/Modelling_old[[#This Row],[Total Days]]</f>
        <v>50.97</v>
      </c>
      <c r="K396" s="4">
        <f>SUM($J$384:J396)</f>
        <v>662.61000000000013</v>
      </c>
      <c r="L396" s="4">
        <f>SUM($J$384:J396)</f>
        <v>662.61000000000013</v>
      </c>
      <c r="M396" s="4">
        <f t="shared" si="144"/>
        <v>6.6233333333333331</v>
      </c>
      <c r="N396" s="4">
        <f>SUM($M$384:M396)</f>
        <v>86.103333333333339</v>
      </c>
      <c r="O396" s="4">
        <f>SUM($M$384:M396)</f>
        <v>86.103333333333339</v>
      </c>
      <c r="P396" s="323">
        <f t="shared" si="145"/>
        <v>0.66899539130820584</v>
      </c>
      <c r="Q396" s="337">
        <f t="shared" si="146"/>
        <v>0.66899539130820596</v>
      </c>
      <c r="R396" s="337">
        <f t="shared" si="147"/>
        <v>0.66899539130820596</v>
      </c>
      <c r="S396" s="323">
        <f t="shared" si="148"/>
        <v>0.18462414479575073</v>
      </c>
      <c r="T396" s="9">
        <f>Modelling_old[[#This Row],[Target E_Grid MTD
MWh]]/Modelling_old[[#This Row],[DC Capcity]]/(24*CG396)</f>
        <v>0.18462414479575076</v>
      </c>
      <c r="U396" s="338">
        <f>Modelling_old[[#This Row],[Target E_Grid YTD
MWh]]/Modelling_old[[#This Row],[DC Capcity]]/(24*CH396)</f>
        <v>0.18462414479575076</v>
      </c>
      <c r="V396" s="134">
        <v>11.5031</v>
      </c>
      <c r="Y396" s="27">
        <f t="shared" si="126"/>
        <v>45395</v>
      </c>
      <c r="Z396" s="5">
        <f>MONTH(Modelling_new[[#This Row],[Date]])</f>
        <v>4</v>
      </c>
      <c r="AA396" s="25">
        <f>YEAR(Y396)+IF(MONTH(Modelling_new[[#This Row],[Date]])&gt;=4,1,0)</f>
        <v>2025</v>
      </c>
      <c r="AB396" s="3">
        <f t="shared" si="149"/>
        <v>2024</v>
      </c>
      <c r="AC396" s="3" t="s">
        <v>627</v>
      </c>
      <c r="AD396" s="3" t="s">
        <v>627</v>
      </c>
      <c r="AE396" s="102">
        <f>DATE(Modelling_old[[#This Row],[Calendor Year]],Modelling_old[[#This Row],[Start Month]],1)</f>
        <v>45383</v>
      </c>
      <c r="AF396" s="5">
        <f t="shared" si="150"/>
        <v>30</v>
      </c>
      <c r="AG396" s="5">
        <f t="shared" si="151"/>
        <v>4</v>
      </c>
      <c r="AH396" s="4">
        <f>_xlfn.XLOOKUP(Modelling_new[[#This Row],[Month]],$AA$1:$AA$14,$AL$1:$AL$14)/Modelling_new[[#This Row],[Total Days]]</f>
        <v>72.38321964602072</v>
      </c>
      <c r="AI396" s="4">
        <f>SUM($AH$384:AH396)</f>
        <v>940.98185539826943</v>
      </c>
      <c r="AJ396" s="4">
        <f>SUM($AH$384:AH396)</f>
        <v>940.98185539826943</v>
      </c>
      <c r="AK396" s="4">
        <f t="shared" si="152"/>
        <v>6.6233333333333331</v>
      </c>
      <c r="AL396" s="4">
        <f>SUM($AK$384:AK396)</f>
        <v>86.103333333333339</v>
      </c>
      <c r="AM396" s="4">
        <f>SUM($AK$384:AK396)</f>
        <v>86.103333333333339</v>
      </c>
      <c r="AN396" s="323">
        <f t="shared" si="153"/>
        <v>0.95004984012629889</v>
      </c>
      <c r="AO396" s="323">
        <f t="shared" si="154"/>
        <v>0.95004984012629878</v>
      </c>
      <c r="AP396" s="323">
        <f t="shared" si="155"/>
        <v>0.95004984012629878</v>
      </c>
      <c r="AQ396" s="323">
        <f t="shared" si="156"/>
        <v>0.26218736560152167</v>
      </c>
      <c r="AR396" s="323">
        <f>Modelling_new[[#This Row],[Target E_Grid MTD
MWh]]/Modelling_new[[#This Row],[MTD DC Capcity]]/(24*CG396)</f>
        <v>0.2356224597852237</v>
      </c>
      <c r="AS396" s="323">
        <f>Modelling_new[[#This Row],[Target E_Grid YTD
MWh]]/Modelling_new[[#This Row],[YTD DC Capcity]]/(24*CH396)</f>
        <v>0.2356224597852237</v>
      </c>
      <c r="AT396" s="5">
        <v>12.8</v>
      </c>
      <c r="AU396" s="9">
        <f>Modelling_new[[#This Row],[Comisined DC ]]/$AO$1</f>
        <v>1</v>
      </c>
      <c r="AV396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96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396" s="27">
        <f t="shared" si="127"/>
        <v>45395</v>
      </c>
      <c r="BE396" s="5">
        <f>MONTH(Modelling[[#This Row],[Date]])</f>
        <v>4</v>
      </c>
      <c r="BF396" s="25">
        <f>YEAR(BD396)+IF(MONTH(Modelling[[#This Row],[Date]])&gt;=4,1,0)</f>
        <v>2025</v>
      </c>
      <c r="BG396" s="3">
        <f t="shared" si="157"/>
        <v>2024</v>
      </c>
      <c r="BH396" s="3" t="s">
        <v>627</v>
      </c>
      <c r="BI396" s="3" t="s">
        <v>627</v>
      </c>
      <c r="BJ396" s="102">
        <f>DATE(Modelling_old[[#This Row],[Calendor Year]],Modelling_old[[#This Row],[Start Month]],1)</f>
        <v>45383</v>
      </c>
      <c r="BK396" s="5">
        <f t="shared" si="158"/>
        <v>30</v>
      </c>
      <c r="BL396" s="5">
        <f t="shared" si="159"/>
        <v>4</v>
      </c>
      <c r="BM396" s="4">
        <f>Modelling_old[[#This Row],[Target E_Grid daily
MWh]]+Modelling_new[[#This Row],[Target E_Grid daily
MWh]]</f>
        <v>123.35321964602072</v>
      </c>
      <c r="BN396" s="4">
        <f>Modelling_old[[#This Row],[Target E_Grid MTD
MWh]]+Modelling_new[[#This Row],[Target E_Grid MTD
MWh]]</f>
        <v>1603.5918553982697</v>
      </c>
      <c r="BO396" s="4">
        <f>Modelling_old[[#This Row],[Target E_Grid YTD
MWh]]+Modelling_new[[#This Row],[Target E_Grid YTD
MWh]]</f>
        <v>1603.5918553982697</v>
      </c>
      <c r="BP396" s="4">
        <f>AVERAGE(Modelling_old[[#This Row],[Target POA Daily (KWh/m2)]],Modelling_new[[#This Row],[Target POA Daily (KWh/m2)]])</f>
        <v>6.6233333333333331</v>
      </c>
      <c r="BQ396" s="4">
        <f>SUM($BP$384:BP396)</f>
        <v>86.103333333333339</v>
      </c>
      <c r="BR396" s="4">
        <f>SUM($BP$384:BP396)</f>
        <v>86.103333333333339</v>
      </c>
      <c r="BS396" s="323">
        <f>BM396/Modelling[[#This Row],[Comisined DC ]]/BP396</f>
        <v>0.76632360487815343</v>
      </c>
      <c r="BT396" s="337">
        <f>BN396/BQ396/Modelling[[#This Row],[Comisined DC ]]</f>
        <v>0.76632360487815354</v>
      </c>
      <c r="BU396" s="337">
        <f>BO396/BR396/Modelling[[#This Row],[Comisined DC ]]</f>
        <v>0.76632360487815354</v>
      </c>
      <c r="BV396" s="323">
        <f>BM396/(24*Modelling[[#This Row],[Comisined DC ]])</f>
        <v>0.21148402817956816</v>
      </c>
      <c r="BW396" s="323">
        <f>Modelling[[#This Row],[Target E_Grid MTD
MWh]]/Modelling[[#This Row],[MTD DC Capcity]]/(24*CG396)</f>
        <v>0.21148402817956827</v>
      </c>
      <c r="BX396" s="338">
        <f>Modelling[[#This Row],[Target E_Grid YTD
MWh]]/Modelling[[#This Row],[YTD DC Capcity]]/(24*CH396)</f>
        <v>0.21148402817956827</v>
      </c>
      <c r="BY396" s="4">
        <f>Modelling_old[[#This Row],[DC Capcity]]+Modelling_new[[#This Row],[Comisined DC ]]</f>
        <v>24.303100000000001</v>
      </c>
      <c r="BZ396" s="4">
        <v>0</v>
      </c>
      <c r="CA396">
        <f>AVERAGEIFS(Modelling[[Comisined DC ]],Modelling[Date],"&lt;="&amp;Modelling[[#This Row],[Date]],Modelling[Month Year],Modelling[[#This Row],[Month Year]])</f>
        <v>24.303099999999997</v>
      </c>
      <c r="CB396">
        <f>AVERAGEIFS(Modelling[[Comisined DC ]],Modelling[Date],"&lt;="&amp;Modelling[[#This Row],[Date]],Modelling[Finacial Year],Modelling[[#This Row],[Finacial Year]])</f>
        <v>24.303099999999997</v>
      </c>
      <c r="CG396">
        <f t="shared" si="160"/>
        <v>13</v>
      </c>
      <c r="CH396">
        <f t="shared" si="161"/>
        <v>13</v>
      </c>
    </row>
    <row r="397" spans="1:86" x14ac:dyDescent="0.35">
      <c r="A397" s="27">
        <f t="shared" si="139"/>
        <v>45396</v>
      </c>
      <c r="B397" s="5">
        <f>MONTH(Modelling_old[[#This Row],[Date]])</f>
        <v>4</v>
      </c>
      <c r="C397" s="25">
        <f t="shared" si="140"/>
        <v>2025</v>
      </c>
      <c r="D397" s="3">
        <f t="shared" si="141"/>
        <v>2024</v>
      </c>
      <c r="E397" s="3" t="s">
        <v>627</v>
      </c>
      <c r="F397" s="3" t="s">
        <v>627</v>
      </c>
      <c r="G397" s="102">
        <f>DATE(Modelling_old[[#This Row],[Calendor Year]],Modelling_old[[#This Row],[Start Month]],1)</f>
        <v>45383</v>
      </c>
      <c r="H397" s="5">
        <f t="shared" si="142"/>
        <v>30</v>
      </c>
      <c r="I397" s="5">
        <f t="shared" si="143"/>
        <v>4</v>
      </c>
      <c r="J397" s="4">
        <f>_xlfn.XLOOKUP(Modelling_old[[#This Row],[Month]],$C$1:$C$14,$N$1:$N$14)/Modelling_old[[#This Row],[Total Days]]</f>
        <v>50.97</v>
      </c>
      <c r="K397" s="4">
        <f>SUM($J$384:J397)</f>
        <v>713.58000000000015</v>
      </c>
      <c r="L397" s="4">
        <f>SUM($J$384:J397)</f>
        <v>713.58000000000015</v>
      </c>
      <c r="M397" s="4">
        <f t="shared" si="144"/>
        <v>6.6233333333333331</v>
      </c>
      <c r="N397" s="4">
        <f>SUM($M$384:M397)</f>
        <v>92.726666666666674</v>
      </c>
      <c r="O397" s="4">
        <f>SUM($M$384:M397)</f>
        <v>92.726666666666674</v>
      </c>
      <c r="P397" s="323">
        <f t="shared" si="145"/>
        <v>0.66899539130820584</v>
      </c>
      <c r="Q397" s="337">
        <f t="shared" si="146"/>
        <v>0.66899539130820596</v>
      </c>
      <c r="R397" s="337">
        <f t="shared" si="147"/>
        <v>0.66899539130820596</v>
      </c>
      <c r="S397" s="323">
        <f t="shared" si="148"/>
        <v>0.18462414479575073</v>
      </c>
      <c r="T397" s="9">
        <f>Modelling_old[[#This Row],[Target E_Grid MTD
MWh]]/Modelling_old[[#This Row],[DC Capcity]]/(24*CG397)</f>
        <v>0.18462414479575076</v>
      </c>
      <c r="U397" s="338">
        <f>Modelling_old[[#This Row],[Target E_Grid YTD
MWh]]/Modelling_old[[#This Row],[DC Capcity]]/(24*CH397)</f>
        <v>0.18462414479575076</v>
      </c>
      <c r="V397" s="134">
        <v>11.5031</v>
      </c>
      <c r="Y397" s="27">
        <f t="shared" si="126"/>
        <v>45396</v>
      </c>
      <c r="Z397" s="5">
        <f>MONTH(Modelling_new[[#This Row],[Date]])</f>
        <v>4</v>
      </c>
      <c r="AA397" s="25">
        <f>YEAR(Y397)+IF(MONTH(Modelling_new[[#This Row],[Date]])&gt;=4,1,0)</f>
        <v>2025</v>
      </c>
      <c r="AB397" s="3">
        <f t="shared" si="149"/>
        <v>2024</v>
      </c>
      <c r="AC397" s="3" t="s">
        <v>627</v>
      </c>
      <c r="AD397" s="3" t="s">
        <v>627</v>
      </c>
      <c r="AE397" s="102">
        <f>DATE(Modelling_old[[#This Row],[Calendor Year]],Modelling_old[[#This Row],[Start Month]],1)</f>
        <v>45383</v>
      </c>
      <c r="AF397" s="5">
        <f t="shared" si="150"/>
        <v>30</v>
      </c>
      <c r="AG397" s="5">
        <f t="shared" si="151"/>
        <v>4</v>
      </c>
      <c r="AH397" s="4">
        <f>_xlfn.XLOOKUP(Modelling_new[[#This Row],[Month]],$AA$1:$AA$14,$AL$1:$AL$14)/Modelling_new[[#This Row],[Total Days]]</f>
        <v>72.38321964602072</v>
      </c>
      <c r="AI397" s="4">
        <f>SUM($AH$384:AH397)</f>
        <v>1013.3650750442902</v>
      </c>
      <c r="AJ397" s="4">
        <f>SUM($AH$384:AH397)</f>
        <v>1013.3650750442902</v>
      </c>
      <c r="AK397" s="4">
        <f t="shared" si="152"/>
        <v>6.6233333333333331</v>
      </c>
      <c r="AL397" s="4">
        <f>SUM($AK$384:AK397)</f>
        <v>92.726666666666674</v>
      </c>
      <c r="AM397" s="4">
        <f>SUM($AK$384:AK397)</f>
        <v>92.726666666666674</v>
      </c>
      <c r="AN397" s="323">
        <f t="shared" si="153"/>
        <v>0.95004984012629889</v>
      </c>
      <c r="AO397" s="323">
        <f t="shared" si="154"/>
        <v>0.95004984012629878</v>
      </c>
      <c r="AP397" s="323">
        <f t="shared" si="155"/>
        <v>0.95004984012629878</v>
      </c>
      <c r="AQ397" s="323">
        <f t="shared" si="156"/>
        <v>0.26218736560152167</v>
      </c>
      <c r="AR397" s="323">
        <f>Modelling_new[[#This Row],[Target E_Grid MTD
MWh]]/Modelling_new[[#This Row],[MTD DC Capcity]]/(24*CG397)</f>
        <v>0.2356224597852237</v>
      </c>
      <c r="AS397" s="323">
        <f>Modelling_new[[#This Row],[Target E_Grid YTD
MWh]]/Modelling_new[[#This Row],[YTD DC Capcity]]/(24*CH397)</f>
        <v>0.2356224597852237</v>
      </c>
      <c r="AT397" s="5">
        <v>12.8</v>
      </c>
      <c r="AU397" s="9">
        <f>Modelling_new[[#This Row],[Comisined DC ]]/$AO$1</f>
        <v>1</v>
      </c>
      <c r="AV39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397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397" s="27">
        <f t="shared" si="127"/>
        <v>45396</v>
      </c>
      <c r="BE397" s="5">
        <f>MONTH(Modelling[[#This Row],[Date]])</f>
        <v>4</v>
      </c>
      <c r="BF397" s="25">
        <f>YEAR(BD397)+IF(MONTH(Modelling[[#This Row],[Date]])&gt;=4,1,0)</f>
        <v>2025</v>
      </c>
      <c r="BG397" s="3">
        <f t="shared" si="157"/>
        <v>2024</v>
      </c>
      <c r="BH397" s="3" t="s">
        <v>627</v>
      </c>
      <c r="BI397" s="3" t="s">
        <v>627</v>
      </c>
      <c r="BJ397" s="102">
        <f>DATE(Modelling_old[[#This Row],[Calendor Year]],Modelling_old[[#This Row],[Start Month]],1)</f>
        <v>45383</v>
      </c>
      <c r="BK397" s="5">
        <f t="shared" si="158"/>
        <v>30</v>
      </c>
      <c r="BL397" s="5">
        <f t="shared" si="159"/>
        <v>4</v>
      </c>
      <c r="BM397" s="4">
        <f>Modelling_old[[#This Row],[Target E_Grid daily
MWh]]+Modelling_new[[#This Row],[Target E_Grid daily
MWh]]</f>
        <v>123.35321964602072</v>
      </c>
      <c r="BN397" s="4">
        <f>Modelling_old[[#This Row],[Target E_Grid MTD
MWh]]+Modelling_new[[#This Row],[Target E_Grid MTD
MWh]]</f>
        <v>1726.9450750442902</v>
      </c>
      <c r="BO397" s="4">
        <f>Modelling_old[[#This Row],[Target E_Grid YTD
MWh]]+Modelling_new[[#This Row],[Target E_Grid YTD
MWh]]</f>
        <v>1726.9450750442902</v>
      </c>
      <c r="BP397" s="4">
        <f>AVERAGE(Modelling_old[[#This Row],[Target POA Daily (KWh/m2)]],Modelling_new[[#This Row],[Target POA Daily (KWh/m2)]])</f>
        <v>6.6233333333333331</v>
      </c>
      <c r="BQ397" s="4">
        <f>SUM($BP$384:BP397)</f>
        <v>92.726666666666674</v>
      </c>
      <c r="BR397" s="4">
        <f>SUM($BP$384:BP397)</f>
        <v>92.726666666666674</v>
      </c>
      <c r="BS397" s="323">
        <f>BM397/Modelling[[#This Row],[Comisined DC ]]/BP397</f>
        <v>0.76632360487815343</v>
      </c>
      <c r="BT397" s="337">
        <f>BN397/BQ397/Modelling[[#This Row],[Comisined DC ]]</f>
        <v>0.76632360487815343</v>
      </c>
      <c r="BU397" s="337">
        <f>BO397/BR397/Modelling[[#This Row],[Comisined DC ]]</f>
        <v>0.76632360487815343</v>
      </c>
      <c r="BV397" s="323">
        <f>BM397/(24*Modelling[[#This Row],[Comisined DC ]])</f>
        <v>0.21148402817956816</v>
      </c>
      <c r="BW397" s="323">
        <f>Modelling[[#This Row],[Target E_Grid MTD
MWh]]/Modelling[[#This Row],[MTD DC Capcity]]/(24*CG397)</f>
        <v>0.21148402817956821</v>
      </c>
      <c r="BX397" s="338">
        <f>Modelling[[#This Row],[Target E_Grid YTD
MWh]]/Modelling[[#This Row],[YTD DC Capcity]]/(24*CH397)</f>
        <v>0.21148402817956821</v>
      </c>
      <c r="BY397" s="4">
        <f>Modelling_old[[#This Row],[DC Capcity]]+Modelling_new[[#This Row],[Comisined DC ]]</f>
        <v>24.303100000000001</v>
      </c>
      <c r="BZ397" s="4">
        <v>0</v>
      </c>
      <c r="CA397">
        <f>AVERAGEIFS(Modelling[[Comisined DC ]],Modelling[Date],"&lt;="&amp;Modelling[[#This Row],[Date]],Modelling[Month Year],Modelling[[#This Row],[Month Year]])</f>
        <v>24.303099999999997</v>
      </c>
      <c r="CB397">
        <f>AVERAGEIFS(Modelling[[Comisined DC ]],Modelling[Date],"&lt;="&amp;Modelling[[#This Row],[Date]],Modelling[Finacial Year],Modelling[[#This Row],[Finacial Year]])</f>
        <v>24.303099999999997</v>
      </c>
      <c r="CG397">
        <f t="shared" si="160"/>
        <v>14</v>
      </c>
      <c r="CH397">
        <f t="shared" si="161"/>
        <v>14</v>
      </c>
    </row>
    <row r="398" spans="1:86" x14ac:dyDescent="0.35">
      <c r="A398" s="27">
        <f t="shared" si="139"/>
        <v>45397</v>
      </c>
      <c r="B398" s="5">
        <f>MONTH(Modelling_old[[#This Row],[Date]])</f>
        <v>4</v>
      </c>
      <c r="C398" s="25">
        <f t="shared" si="140"/>
        <v>2025</v>
      </c>
      <c r="D398" s="3">
        <f t="shared" si="141"/>
        <v>2024</v>
      </c>
      <c r="E398" s="3" t="s">
        <v>627</v>
      </c>
      <c r="F398" s="3" t="s">
        <v>627</v>
      </c>
      <c r="G398" s="102">
        <f>DATE(Modelling_old[[#This Row],[Calendor Year]],Modelling_old[[#This Row],[Start Month]],1)</f>
        <v>45383</v>
      </c>
      <c r="H398" s="5">
        <f t="shared" si="142"/>
        <v>30</v>
      </c>
      <c r="I398" s="5">
        <f t="shared" si="143"/>
        <v>4</v>
      </c>
      <c r="J398" s="4">
        <f>_xlfn.XLOOKUP(Modelling_old[[#This Row],[Month]],$C$1:$C$14,$N$1:$N$14)/Modelling_old[[#This Row],[Total Days]]</f>
        <v>50.97</v>
      </c>
      <c r="K398" s="4">
        <f>SUM($J$384:J398)</f>
        <v>764.55000000000018</v>
      </c>
      <c r="L398" s="4">
        <f>SUM($J$384:J398)</f>
        <v>764.55000000000018</v>
      </c>
      <c r="M398" s="4">
        <f t="shared" si="144"/>
        <v>6.6233333333333331</v>
      </c>
      <c r="N398" s="4">
        <f>SUM($M$384:M398)</f>
        <v>99.350000000000009</v>
      </c>
      <c r="O398" s="4">
        <f>SUM($M$384:M398)</f>
        <v>99.350000000000009</v>
      </c>
      <c r="P398" s="323">
        <f t="shared" si="145"/>
        <v>0.66899539130820584</v>
      </c>
      <c r="Q398" s="337">
        <f t="shared" si="146"/>
        <v>0.66899539130820596</v>
      </c>
      <c r="R398" s="337">
        <f t="shared" si="147"/>
        <v>0.66899539130820596</v>
      </c>
      <c r="S398" s="323">
        <f t="shared" si="148"/>
        <v>0.18462414479575073</v>
      </c>
      <c r="T398" s="9">
        <f>Modelling_old[[#This Row],[Target E_Grid MTD
MWh]]/Modelling_old[[#This Row],[DC Capcity]]/(24*CG398)</f>
        <v>0.18462414479575073</v>
      </c>
      <c r="U398" s="338">
        <f>Modelling_old[[#This Row],[Target E_Grid YTD
MWh]]/Modelling_old[[#This Row],[DC Capcity]]/(24*CH398)</f>
        <v>0.18462414479575073</v>
      </c>
      <c r="V398" s="134">
        <v>11.5031</v>
      </c>
      <c r="Y398" s="27">
        <f t="shared" si="126"/>
        <v>45397</v>
      </c>
      <c r="Z398" s="5">
        <f>MONTH(Modelling_new[[#This Row],[Date]])</f>
        <v>4</v>
      </c>
      <c r="AA398" s="25">
        <f>YEAR(Y398)+IF(MONTH(Modelling_new[[#This Row],[Date]])&gt;=4,1,0)</f>
        <v>2025</v>
      </c>
      <c r="AB398" s="3">
        <f t="shared" si="149"/>
        <v>2024</v>
      </c>
      <c r="AC398" s="3" t="s">
        <v>627</v>
      </c>
      <c r="AD398" s="3" t="s">
        <v>627</v>
      </c>
      <c r="AE398" s="102">
        <f>DATE(Modelling_old[[#This Row],[Calendor Year]],Modelling_old[[#This Row],[Start Month]],1)</f>
        <v>45383</v>
      </c>
      <c r="AF398" s="5">
        <f t="shared" si="150"/>
        <v>30</v>
      </c>
      <c r="AG398" s="5">
        <f t="shared" si="151"/>
        <v>4</v>
      </c>
      <c r="AH398" s="4">
        <f>_xlfn.XLOOKUP(Modelling_new[[#This Row],[Month]],$AA$1:$AA$14,$AL$1:$AL$14)/Modelling_new[[#This Row],[Total Days]]</f>
        <v>72.38321964602072</v>
      </c>
      <c r="AI398" s="4">
        <f>SUM($AH$384:AH398)</f>
        <v>1085.7482946903108</v>
      </c>
      <c r="AJ398" s="4">
        <f>SUM($AH$384:AH398)</f>
        <v>1085.7482946903108</v>
      </c>
      <c r="AK398" s="4">
        <f t="shared" si="152"/>
        <v>6.6233333333333331</v>
      </c>
      <c r="AL398" s="4">
        <f>SUM($AK$384:AK398)</f>
        <v>99.350000000000009</v>
      </c>
      <c r="AM398" s="4">
        <f>SUM($AK$384:AK398)</f>
        <v>99.350000000000009</v>
      </c>
      <c r="AN398" s="323">
        <f t="shared" si="153"/>
        <v>0.95004984012629889</v>
      </c>
      <c r="AO398" s="323">
        <f t="shared" si="154"/>
        <v>0.95004984012629867</v>
      </c>
      <c r="AP398" s="323">
        <f t="shared" si="155"/>
        <v>0.95004984012629867</v>
      </c>
      <c r="AQ398" s="323">
        <f t="shared" si="156"/>
        <v>0.26218736560152167</v>
      </c>
      <c r="AR398" s="323">
        <f>Modelling_new[[#This Row],[Target E_Grid MTD
MWh]]/Modelling_new[[#This Row],[MTD DC Capcity]]/(24*CG398)</f>
        <v>0.23562245978522367</v>
      </c>
      <c r="AS398" s="323">
        <f>Modelling_new[[#This Row],[Target E_Grid YTD
MWh]]/Modelling_new[[#This Row],[YTD DC Capcity]]/(24*CH398)</f>
        <v>0.23562245978522367</v>
      </c>
      <c r="AT398" s="5">
        <v>12.8</v>
      </c>
      <c r="AU398" s="9">
        <f>Modelling_new[[#This Row],[Comisined DC ]]/$AO$1</f>
        <v>1</v>
      </c>
      <c r="AV398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98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398" s="27">
        <f t="shared" si="127"/>
        <v>45397</v>
      </c>
      <c r="BE398" s="5">
        <f>MONTH(Modelling[[#This Row],[Date]])</f>
        <v>4</v>
      </c>
      <c r="BF398" s="25">
        <f>YEAR(BD398)+IF(MONTH(Modelling[[#This Row],[Date]])&gt;=4,1,0)</f>
        <v>2025</v>
      </c>
      <c r="BG398" s="3">
        <f t="shared" si="157"/>
        <v>2024</v>
      </c>
      <c r="BH398" s="3" t="s">
        <v>627</v>
      </c>
      <c r="BI398" s="3" t="s">
        <v>627</v>
      </c>
      <c r="BJ398" s="102">
        <f>DATE(Modelling_old[[#This Row],[Calendor Year]],Modelling_old[[#This Row],[Start Month]],1)</f>
        <v>45383</v>
      </c>
      <c r="BK398" s="5">
        <f t="shared" si="158"/>
        <v>30</v>
      </c>
      <c r="BL398" s="5">
        <f t="shared" si="159"/>
        <v>4</v>
      </c>
      <c r="BM398" s="4">
        <f>Modelling_old[[#This Row],[Target E_Grid daily
MWh]]+Modelling_new[[#This Row],[Target E_Grid daily
MWh]]</f>
        <v>123.35321964602072</v>
      </c>
      <c r="BN398" s="4">
        <f>Modelling_old[[#This Row],[Target E_Grid MTD
MWh]]+Modelling_new[[#This Row],[Target E_Grid MTD
MWh]]</f>
        <v>1850.298294690311</v>
      </c>
      <c r="BO398" s="4">
        <f>Modelling_old[[#This Row],[Target E_Grid YTD
MWh]]+Modelling_new[[#This Row],[Target E_Grid YTD
MWh]]</f>
        <v>1850.298294690311</v>
      </c>
      <c r="BP398" s="4">
        <f>AVERAGE(Modelling_old[[#This Row],[Target POA Daily (KWh/m2)]],Modelling_new[[#This Row],[Target POA Daily (KWh/m2)]])</f>
        <v>6.6233333333333331</v>
      </c>
      <c r="BQ398" s="4">
        <f>SUM($BP$384:BP398)</f>
        <v>99.350000000000009</v>
      </c>
      <c r="BR398" s="4">
        <f>SUM($BP$384:BP398)</f>
        <v>99.350000000000009</v>
      </c>
      <c r="BS398" s="323">
        <f>BM398/Modelling[[#This Row],[Comisined DC ]]/BP398</f>
        <v>0.76632360487815343</v>
      </c>
      <c r="BT398" s="337">
        <f>BN398/BQ398/Modelling[[#This Row],[Comisined DC ]]</f>
        <v>0.76632360487815343</v>
      </c>
      <c r="BU398" s="337">
        <f>BO398/BR398/Modelling[[#This Row],[Comisined DC ]]</f>
        <v>0.76632360487815343</v>
      </c>
      <c r="BV398" s="323">
        <f>BM398/(24*Modelling[[#This Row],[Comisined DC ]])</f>
        <v>0.21148402817956816</v>
      </c>
      <c r="BW398" s="323">
        <f>Modelling[[#This Row],[Target E_Grid MTD
MWh]]/Modelling[[#This Row],[MTD DC Capcity]]/(24*CG398)</f>
        <v>0.21148402817956824</v>
      </c>
      <c r="BX398" s="338">
        <f>Modelling[[#This Row],[Target E_Grid YTD
MWh]]/Modelling[[#This Row],[YTD DC Capcity]]/(24*CH398)</f>
        <v>0.21148402817956824</v>
      </c>
      <c r="BY398" s="4">
        <f>Modelling_old[[#This Row],[DC Capcity]]+Modelling_new[[#This Row],[Comisined DC ]]</f>
        <v>24.303100000000001</v>
      </c>
      <c r="BZ398" s="4">
        <v>0</v>
      </c>
      <c r="CA398">
        <f>AVERAGEIFS(Modelling[[Comisined DC ]],Modelling[Date],"&lt;="&amp;Modelling[[#This Row],[Date]],Modelling[Month Year],Modelling[[#This Row],[Month Year]])</f>
        <v>24.303099999999993</v>
      </c>
      <c r="CB398">
        <f>AVERAGEIFS(Modelling[[Comisined DC ]],Modelling[Date],"&lt;="&amp;Modelling[[#This Row],[Date]],Modelling[Finacial Year],Modelling[[#This Row],[Finacial Year]])</f>
        <v>24.303099999999993</v>
      </c>
      <c r="CG398">
        <f t="shared" si="160"/>
        <v>15</v>
      </c>
      <c r="CH398">
        <f t="shared" si="161"/>
        <v>15</v>
      </c>
    </row>
    <row r="399" spans="1:86" x14ac:dyDescent="0.35">
      <c r="A399" s="27">
        <f t="shared" si="139"/>
        <v>45398</v>
      </c>
      <c r="B399" s="5">
        <f>MONTH(Modelling_old[[#This Row],[Date]])</f>
        <v>4</v>
      </c>
      <c r="C399" s="25">
        <f t="shared" si="140"/>
        <v>2025</v>
      </c>
      <c r="D399" s="3">
        <f t="shared" si="141"/>
        <v>2024</v>
      </c>
      <c r="E399" s="3" t="s">
        <v>627</v>
      </c>
      <c r="F399" s="3" t="s">
        <v>627</v>
      </c>
      <c r="G399" s="102">
        <f>DATE(Modelling_old[[#This Row],[Calendor Year]],Modelling_old[[#This Row],[Start Month]],1)</f>
        <v>45383</v>
      </c>
      <c r="H399" s="5">
        <f t="shared" si="142"/>
        <v>30</v>
      </c>
      <c r="I399" s="5">
        <f t="shared" si="143"/>
        <v>4</v>
      </c>
      <c r="J399" s="4">
        <f>_xlfn.XLOOKUP(Modelling_old[[#This Row],[Month]],$C$1:$C$14,$N$1:$N$14)/Modelling_old[[#This Row],[Total Days]]</f>
        <v>50.97</v>
      </c>
      <c r="K399" s="4">
        <f>SUM($J$384:J399)</f>
        <v>815.52000000000021</v>
      </c>
      <c r="L399" s="4">
        <f>SUM($J$384:J399)</f>
        <v>815.52000000000021</v>
      </c>
      <c r="M399" s="4">
        <f t="shared" si="144"/>
        <v>6.6233333333333331</v>
      </c>
      <c r="N399" s="4">
        <f>SUM($M$384:M399)</f>
        <v>105.97333333333334</v>
      </c>
      <c r="O399" s="4">
        <f>SUM($M$384:M399)</f>
        <v>105.97333333333334</v>
      </c>
      <c r="P399" s="323">
        <f t="shared" si="145"/>
        <v>0.66899539130820584</v>
      </c>
      <c r="Q399" s="337">
        <f t="shared" si="146"/>
        <v>0.66899539130820607</v>
      </c>
      <c r="R399" s="337">
        <f t="shared" si="147"/>
        <v>0.66899539130820607</v>
      </c>
      <c r="S399" s="323">
        <f t="shared" si="148"/>
        <v>0.18462414479575073</v>
      </c>
      <c r="T399" s="9">
        <f>Modelling_old[[#This Row],[Target E_Grid MTD
MWh]]/Modelling_old[[#This Row],[DC Capcity]]/(24*CG399)</f>
        <v>0.18462414479575076</v>
      </c>
      <c r="U399" s="338">
        <f>Modelling_old[[#This Row],[Target E_Grid YTD
MWh]]/Modelling_old[[#This Row],[DC Capcity]]/(24*CH399)</f>
        <v>0.18462414479575076</v>
      </c>
      <c r="V399" s="134">
        <v>11.5031</v>
      </c>
      <c r="Y399" s="27">
        <f t="shared" si="126"/>
        <v>45398</v>
      </c>
      <c r="Z399" s="5">
        <f>MONTH(Modelling_new[[#This Row],[Date]])</f>
        <v>4</v>
      </c>
      <c r="AA399" s="25">
        <f>YEAR(Y399)+IF(MONTH(Modelling_new[[#This Row],[Date]])&gt;=4,1,0)</f>
        <v>2025</v>
      </c>
      <c r="AB399" s="3">
        <f t="shared" si="149"/>
        <v>2024</v>
      </c>
      <c r="AC399" s="3" t="s">
        <v>627</v>
      </c>
      <c r="AD399" s="3" t="s">
        <v>627</v>
      </c>
      <c r="AE399" s="102">
        <f>DATE(Modelling_old[[#This Row],[Calendor Year]],Modelling_old[[#This Row],[Start Month]],1)</f>
        <v>45383</v>
      </c>
      <c r="AF399" s="5">
        <f t="shared" si="150"/>
        <v>30</v>
      </c>
      <c r="AG399" s="5">
        <f t="shared" si="151"/>
        <v>4</v>
      </c>
      <c r="AH399" s="4">
        <f>_xlfn.XLOOKUP(Modelling_new[[#This Row],[Month]],$AA$1:$AA$14,$AL$1:$AL$14)/Modelling_new[[#This Row],[Total Days]]</f>
        <v>72.38321964602072</v>
      </c>
      <c r="AI399" s="4">
        <f>SUM($AH$384:AH399)</f>
        <v>1158.1315143363315</v>
      </c>
      <c r="AJ399" s="4">
        <f>SUM($AH$384:AH399)</f>
        <v>1158.1315143363315</v>
      </c>
      <c r="AK399" s="4">
        <f t="shared" si="152"/>
        <v>6.6233333333333331</v>
      </c>
      <c r="AL399" s="4">
        <f>SUM($AK$384:AK399)</f>
        <v>105.97333333333334</v>
      </c>
      <c r="AM399" s="4">
        <f>SUM($AK$384:AK399)</f>
        <v>105.97333333333334</v>
      </c>
      <c r="AN399" s="323">
        <f t="shared" si="153"/>
        <v>0.95004984012629889</v>
      </c>
      <c r="AO399" s="323">
        <f t="shared" si="154"/>
        <v>0.95004984012629867</v>
      </c>
      <c r="AP399" s="323">
        <f t="shared" si="155"/>
        <v>0.95004984012629867</v>
      </c>
      <c r="AQ399" s="323">
        <f t="shared" si="156"/>
        <v>0.26218736560152167</v>
      </c>
      <c r="AR399" s="323">
        <f>Modelling_new[[#This Row],[Target E_Grid MTD
MWh]]/Modelling_new[[#This Row],[MTD DC Capcity]]/(24*CG399)</f>
        <v>0.23562245978522367</v>
      </c>
      <c r="AS399" s="323">
        <f>Modelling_new[[#This Row],[Target E_Grid YTD
MWh]]/Modelling_new[[#This Row],[YTD DC Capcity]]/(24*CH399)</f>
        <v>0.23562245978522367</v>
      </c>
      <c r="AT399" s="5">
        <v>12.8</v>
      </c>
      <c r="AU399" s="9">
        <f>Modelling_new[[#This Row],[Comisined DC ]]/$AO$1</f>
        <v>1</v>
      </c>
      <c r="AV399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399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399" s="27">
        <f t="shared" si="127"/>
        <v>45398</v>
      </c>
      <c r="BE399" s="5">
        <f>MONTH(Modelling[[#This Row],[Date]])</f>
        <v>4</v>
      </c>
      <c r="BF399" s="25">
        <f>YEAR(BD399)+IF(MONTH(Modelling[[#This Row],[Date]])&gt;=4,1,0)</f>
        <v>2025</v>
      </c>
      <c r="BG399" s="3">
        <f t="shared" si="157"/>
        <v>2024</v>
      </c>
      <c r="BH399" s="3" t="s">
        <v>627</v>
      </c>
      <c r="BI399" s="3" t="s">
        <v>627</v>
      </c>
      <c r="BJ399" s="102">
        <f>DATE(Modelling_old[[#This Row],[Calendor Year]],Modelling_old[[#This Row],[Start Month]],1)</f>
        <v>45383</v>
      </c>
      <c r="BK399" s="5">
        <f t="shared" si="158"/>
        <v>30</v>
      </c>
      <c r="BL399" s="5">
        <f t="shared" si="159"/>
        <v>4</v>
      </c>
      <c r="BM399" s="4">
        <f>Modelling_old[[#This Row],[Target E_Grid daily
MWh]]+Modelling_new[[#This Row],[Target E_Grid daily
MWh]]</f>
        <v>123.35321964602072</v>
      </c>
      <c r="BN399" s="4">
        <f>Modelling_old[[#This Row],[Target E_Grid MTD
MWh]]+Modelling_new[[#This Row],[Target E_Grid MTD
MWh]]</f>
        <v>1973.6515143363317</v>
      </c>
      <c r="BO399" s="4">
        <f>Modelling_old[[#This Row],[Target E_Grid YTD
MWh]]+Modelling_new[[#This Row],[Target E_Grid YTD
MWh]]</f>
        <v>1973.6515143363317</v>
      </c>
      <c r="BP399" s="4">
        <f>AVERAGE(Modelling_old[[#This Row],[Target POA Daily (KWh/m2)]],Modelling_new[[#This Row],[Target POA Daily (KWh/m2)]])</f>
        <v>6.6233333333333331</v>
      </c>
      <c r="BQ399" s="4">
        <f>SUM($BP$384:BP399)</f>
        <v>105.97333333333334</v>
      </c>
      <c r="BR399" s="4">
        <f>SUM($BP$384:BP399)</f>
        <v>105.97333333333334</v>
      </c>
      <c r="BS399" s="323">
        <f>BM399/Modelling[[#This Row],[Comisined DC ]]/BP399</f>
        <v>0.76632360487815343</v>
      </c>
      <c r="BT399" s="337">
        <f>BN399/BQ399/Modelling[[#This Row],[Comisined DC ]]</f>
        <v>0.76632360487815343</v>
      </c>
      <c r="BU399" s="337">
        <f>BO399/BR399/Modelling[[#This Row],[Comisined DC ]]</f>
        <v>0.76632360487815343</v>
      </c>
      <c r="BV399" s="323">
        <f>BM399/(24*Modelling[[#This Row],[Comisined DC ]])</f>
        <v>0.21148402817956816</v>
      </c>
      <c r="BW399" s="323">
        <f>Modelling[[#This Row],[Target E_Grid MTD
MWh]]/Modelling[[#This Row],[MTD DC Capcity]]/(24*CG399)</f>
        <v>0.21148402817956824</v>
      </c>
      <c r="BX399" s="338">
        <f>Modelling[[#This Row],[Target E_Grid YTD
MWh]]/Modelling[[#This Row],[YTD DC Capcity]]/(24*CH399)</f>
        <v>0.21148402817956824</v>
      </c>
      <c r="BY399" s="4">
        <f>Modelling_old[[#This Row],[DC Capcity]]+Modelling_new[[#This Row],[Comisined DC ]]</f>
        <v>24.303100000000001</v>
      </c>
      <c r="BZ399" s="4">
        <v>0</v>
      </c>
      <c r="CA399">
        <f>AVERAGEIFS(Modelling[[Comisined DC ]],Modelling[Date],"&lt;="&amp;Modelling[[#This Row],[Date]],Modelling[Month Year],Modelling[[#This Row],[Month Year]])</f>
        <v>24.303099999999993</v>
      </c>
      <c r="CB399">
        <f>AVERAGEIFS(Modelling[[Comisined DC ]],Modelling[Date],"&lt;="&amp;Modelling[[#This Row],[Date]],Modelling[Finacial Year],Modelling[[#This Row],[Finacial Year]])</f>
        <v>24.303099999999993</v>
      </c>
      <c r="CG399">
        <f t="shared" si="160"/>
        <v>16</v>
      </c>
      <c r="CH399">
        <f t="shared" si="161"/>
        <v>16</v>
      </c>
    </row>
    <row r="400" spans="1:86" x14ac:dyDescent="0.35">
      <c r="A400" s="27">
        <f t="shared" si="139"/>
        <v>45399</v>
      </c>
      <c r="B400" s="5">
        <f>MONTH(Modelling_old[[#This Row],[Date]])</f>
        <v>4</v>
      </c>
      <c r="C400" s="25">
        <f t="shared" si="140"/>
        <v>2025</v>
      </c>
      <c r="D400" s="3">
        <f t="shared" si="141"/>
        <v>2024</v>
      </c>
      <c r="E400" s="3" t="s">
        <v>627</v>
      </c>
      <c r="F400" s="3" t="s">
        <v>627</v>
      </c>
      <c r="G400" s="102">
        <f>DATE(Modelling_old[[#This Row],[Calendor Year]],Modelling_old[[#This Row],[Start Month]],1)</f>
        <v>45383</v>
      </c>
      <c r="H400" s="5">
        <f t="shared" si="142"/>
        <v>30</v>
      </c>
      <c r="I400" s="5">
        <f t="shared" si="143"/>
        <v>4</v>
      </c>
      <c r="J400" s="4">
        <f>_xlfn.XLOOKUP(Modelling_old[[#This Row],[Month]],$C$1:$C$14,$N$1:$N$14)/Modelling_old[[#This Row],[Total Days]]</f>
        <v>50.97</v>
      </c>
      <c r="K400" s="4">
        <f>SUM($J$384:J400)</f>
        <v>866.49000000000024</v>
      </c>
      <c r="L400" s="4">
        <f>SUM($J$384:J400)</f>
        <v>866.49000000000024</v>
      </c>
      <c r="M400" s="4">
        <f t="shared" si="144"/>
        <v>6.6233333333333331</v>
      </c>
      <c r="N400" s="4">
        <f>SUM($M$384:M400)</f>
        <v>112.59666666666668</v>
      </c>
      <c r="O400" s="4">
        <f>SUM($M$384:M400)</f>
        <v>112.59666666666668</v>
      </c>
      <c r="P400" s="323">
        <f t="shared" si="145"/>
        <v>0.66899539130820584</v>
      </c>
      <c r="Q400" s="337">
        <f t="shared" si="146"/>
        <v>0.66899539130820607</v>
      </c>
      <c r="R400" s="337">
        <f t="shared" si="147"/>
        <v>0.66899539130820607</v>
      </c>
      <c r="S400" s="323">
        <f t="shared" si="148"/>
        <v>0.18462414479575073</v>
      </c>
      <c r="T400" s="9">
        <f>Modelling_old[[#This Row],[Target E_Grid MTD
MWh]]/Modelling_old[[#This Row],[DC Capcity]]/(24*CG400)</f>
        <v>0.18462414479575076</v>
      </c>
      <c r="U400" s="338">
        <f>Modelling_old[[#This Row],[Target E_Grid YTD
MWh]]/Modelling_old[[#This Row],[DC Capcity]]/(24*CH400)</f>
        <v>0.18462414479575076</v>
      </c>
      <c r="V400" s="134">
        <v>11.5031</v>
      </c>
      <c r="Y400" s="27">
        <f t="shared" si="126"/>
        <v>45399</v>
      </c>
      <c r="Z400" s="5">
        <f>MONTH(Modelling_new[[#This Row],[Date]])</f>
        <v>4</v>
      </c>
      <c r="AA400" s="25">
        <f>YEAR(Y400)+IF(MONTH(Modelling_new[[#This Row],[Date]])&gt;=4,1,0)</f>
        <v>2025</v>
      </c>
      <c r="AB400" s="3">
        <f t="shared" si="149"/>
        <v>2024</v>
      </c>
      <c r="AC400" s="3" t="s">
        <v>627</v>
      </c>
      <c r="AD400" s="3" t="s">
        <v>627</v>
      </c>
      <c r="AE400" s="102">
        <f>DATE(Modelling_old[[#This Row],[Calendor Year]],Modelling_old[[#This Row],[Start Month]],1)</f>
        <v>45383</v>
      </c>
      <c r="AF400" s="5">
        <f t="shared" si="150"/>
        <v>30</v>
      </c>
      <c r="AG400" s="5">
        <f t="shared" si="151"/>
        <v>4</v>
      </c>
      <c r="AH400" s="4">
        <f>_xlfn.XLOOKUP(Modelling_new[[#This Row],[Month]],$AA$1:$AA$14,$AL$1:$AL$14)/Modelling_new[[#This Row],[Total Days]]</f>
        <v>72.38321964602072</v>
      </c>
      <c r="AI400" s="4">
        <f>SUM($AH$384:AH400)</f>
        <v>1230.5147339823523</v>
      </c>
      <c r="AJ400" s="4">
        <f>SUM($AH$384:AH400)</f>
        <v>1230.5147339823523</v>
      </c>
      <c r="AK400" s="4">
        <f t="shared" si="152"/>
        <v>6.6233333333333331</v>
      </c>
      <c r="AL400" s="4">
        <f>SUM($AK$384:AK400)</f>
        <v>112.59666666666668</v>
      </c>
      <c r="AM400" s="4">
        <f>SUM($AK$384:AK400)</f>
        <v>112.59666666666668</v>
      </c>
      <c r="AN400" s="323">
        <f t="shared" si="153"/>
        <v>0.95004984012629889</v>
      </c>
      <c r="AO400" s="323">
        <f t="shared" si="154"/>
        <v>0.95004984012629867</v>
      </c>
      <c r="AP400" s="323">
        <f t="shared" si="155"/>
        <v>0.95004984012629867</v>
      </c>
      <c r="AQ400" s="323">
        <f t="shared" si="156"/>
        <v>0.26218736560152167</v>
      </c>
      <c r="AR400" s="323">
        <f>Modelling_new[[#This Row],[Target E_Grid MTD
MWh]]/Modelling_new[[#This Row],[MTD DC Capcity]]/(24*CG400)</f>
        <v>0.23562245978522364</v>
      </c>
      <c r="AS400" s="323">
        <f>Modelling_new[[#This Row],[Target E_Grid YTD
MWh]]/Modelling_new[[#This Row],[YTD DC Capcity]]/(24*CH400)</f>
        <v>0.23562245978522364</v>
      </c>
      <c r="AT400" s="5">
        <v>12.8</v>
      </c>
      <c r="AU400" s="9">
        <f>Modelling_new[[#This Row],[Comisined DC ]]/$AO$1</f>
        <v>1</v>
      </c>
      <c r="AV400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00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400" s="27">
        <f t="shared" si="127"/>
        <v>45399</v>
      </c>
      <c r="BE400" s="5">
        <f>MONTH(Modelling[[#This Row],[Date]])</f>
        <v>4</v>
      </c>
      <c r="BF400" s="25">
        <f>YEAR(BD400)+IF(MONTH(Modelling[[#This Row],[Date]])&gt;=4,1,0)</f>
        <v>2025</v>
      </c>
      <c r="BG400" s="3">
        <f t="shared" si="157"/>
        <v>2024</v>
      </c>
      <c r="BH400" s="3" t="s">
        <v>627</v>
      </c>
      <c r="BI400" s="3" t="s">
        <v>627</v>
      </c>
      <c r="BJ400" s="102">
        <f>DATE(Modelling_old[[#This Row],[Calendor Year]],Modelling_old[[#This Row],[Start Month]],1)</f>
        <v>45383</v>
      </c>
      <c r="BK400" s="5">
        <f t="shared" si="158"/>
        <v>30</v>
      </c>
      <c r="BL400" s="5">
        <f t="shared" si="159"/>
        <v>4</v>
      </c>
      <c r="BM400" s="4">
        <f>Modelling_old[[#This Row],[Target E_Grid daily
MWh]]+Modelling_new[[#This Row],[Target E_Grid daily
MWh]]</f>
        <v>123.35321964602072</v>
      </c>
      <c r="BN400" s="4">
        <f>Modelling_old[[#This Row],[Target E_Grid MTD
MWh]]+Modelling_new[[#This Row],[Target E_Grid MTD
MWh]]</f>
        <v>2097.0047339823523</v>
      </c>
      <c r="BO400" s="4">
        <f>Modelling_old[[#This Row],[Target E_Grid YTD
MWh]]+Modelling_new[[#This Row],[Target E_Grid YTD
MWh]]</f>
        <v>2097.0047339823523</v>
      </c>
      <c r="BP400" s="4">
        <f>AVERAGE(Modelling_old[[#This Row],[Target POA Daily (KWh/m2)]],Modelling_new[[#This Row],[Target POA Daily (KWh/m2)]])</f>
        <v>6.6233333333333331</v>
      </c>
      <c r="BQ400" s="4">
        <f>SUM($BP$384:BP400)</f>
        <v>112.59666666666668</v>
      </c>
      <c r="BR400" s="4">
        <f>SUM($BP$384:BP400)</f>
        <v>112.59666666666668</v>
      </c>
      <c r="BS400" s="323">
        <f>BM400/Modelling[[#This Row],[Comisined DC ]]/BP400</f>
        <v>0.76632360487815343</v>
      </c>
      <c r="BT400" s="337">
        <f>BN400/BQ400/Modelling[[#This Row],[Comisined DC ]]</f>
        <v>0.76632360487815343</v>
      </c>
      <c r="BU400" s="337">
        <f>BO400/BR400/Modelling[[#This Row],[Comisined DC ]]</f>
        <v>0.76632360487815343</v>
      </c>
      <c r="BV400" s="323">
        <f>BM400/(24*Modelling[[#This Row],[Comisined DC ]])</f>
        <v>0.21148402817956816</v>
      </c>
      <c r="BW400" s="323">
        <f>Modelling[[#This Row],[Target E_Grid MTD
MWh]]/Modelling[[#This Row],[MTD DC Capcity]]/(24*CG400)</f>
        <v>0.21148402817956824</v>
      </c>
      <c r="BX400" s="338">
        <f>Modelling[[#This Row],[Target E_Grid YTD
MWh]]/Modelling[[#This Row],[YTD DC Capcity]]/(24*CH400)</f>
        <v>0.21148402817956824</v>
      </c>
      <c r="BY400" s="4">
        <f>Modelling_old[[#This Row],[DC Capcity]]+Modelling_new[[#This Row],[Comisined DC ]]</f>
        <v>24.303100000000001</v>
      </c>
      <c r="BZ400" s="4">
        <v>0</v>
      </c>
      <c r="CA400">
        <f>AVERAGEIFS(Modelling[[Comisined DC ]],Modelling[Date],"&lt;="&amp;Modelling[[#This Row],[Date]],Modelling[Month Year],Modelling[[#This Row],[Month Year]])</f>
        <v>24.303099999999993</v>
      </c>
      <c r="CB400">
        <f>AVERAGEIFS(Modelling[[Comisined DC ]],Modelling[Date],"&lt;="&amp;Modelling[[#This Row],[Date]],Modelling[Finacial Year],Modelling[[#This Row],[Finacial Year]])</f>
        <v>24.303099999999993</v>
      </c>
      <c r="CG400">
        <f t="shared" si="160"/>
        <v>17</v>
      </c>
      <c r="CH400">
        <f t="shared" si="161"/>
        <v>17</v>
      </c>
    </row>
    <row r="401" spans="1:86" x14ac:dyDescent="0.35">
      <c r="A401" s="27">
        <f t="shared" si="139"/>
        <v>45400</v>
      </c>
      <c r="B401" s="5">
        <f>MONTH(Modelling_old[[#This Row],[Date]])</f>
        <v>4</v>
      </c>
      <c r="C401" s="25">
        <f t="shared" si="140"/>
        <v>2025</v>
      </c>
      <c r="D401" s="3">
        <f t="shared" si="141"/>
        <v>2024</v>
      </c>
      <c r="E401" s="3" t="s">
        <v>627</v>
      </c>
      <c r="F401" s="3" t="s">
        <v>627</v>
      </c>
      <c r="G401" s="102">
        <f>DATE(Modelling_old[[#This Row],[Calendor Year]],Modelling_old[[#This Row],[Start Month]],1)</f>
        <v>45383</v>
      </c>
      <c r="H401" s="5">
        <f t="shared" si="142"/>
        <v>30</v>
      </c>
      <c r="I401" s="5">
        <f t="shared" si="143"/>
        <v>4</v>
      </c>
      <c r="J401" s="4">
        <f>_xlfn.XLOOKUP(Modelling_old[[#This Row],[Month]],$C$1:$C$14,$N$1:$N$14)/Modelling_old[[#This Row],[Total Days]]</f>
        <v>50.97</v>
      </c>
      <c r="K401" s="4">
        <f>SUM($J$384:J401)</f>
        <v>917.46000000000026</v>
      </c>
      <c r="L401" s="4">
        <f>SUM($J$384:J401)</f>
        <v>917.46000000000026</v>
      </c>
      <c r="M401" s="4">
        <f t="shared" si="144"/>
        <v>6.6233333333333331</v>
      </c>
      <c r="N401" s="4">
        <f>SUM($M$384:M401)</f>
        <v>119.22000000000001</v>
      </c>
      <c r="O401" s="4">
        <f>SUM($M$384:M401)</f>
        <v>119.22000000000001</v>
      </c>
      <c r="P401" s="323">
        <f t="shared" si="145"/>
        <v>0.66899539130820584</v>
      </c>
      <c r="Q401" s="337">
        <f t="shared" si="146"/>
        <v>0.66899539130820607</v>
      </c>
      <c r="R401" s="337">
        <f t="shared" si="147"/>
        <v>0.66899539130820607</v>
      </c>
      <c r="S401" s="323">
        <f t="shared" si="148"/>
        <v>0.18462414479575073</v>
      </c>
      <c r="T401" s="9">
        <f>Modelling_old[[#This Row],[Target E_Grid MTD
MWh]]/Modelling_old[[#This Row],[DC Capcity]]/(24*CG401)</f>
        <v>0.18462414479575079</v>
      </c>
      <c r="U401" s="338">
        <f>Modelling_old[[#This Row],[Target E_Grid YTD
MWh]]/Modelling_old[[#This Row],[DC Capcity]]/(24*CH401)</f>
        <v>0.18462414479575079</v>
      </c>
      <c r="V401" s="134">
        <v>11.5031</v>
      </c>
      <c r="Y401" s="27">
        <f t="shared" si="126"/>
        <v>45400</v>
      </c>
      <c r="Z401" s="5">
        <f>MONTH(Modelling_new[[#This Row],[Date]])</f>
        <v>4</v>
      </c>
      <c r="AA401" s="25">
        <f>YEAR(Y401)+IF(MONTH(Modelling_new[[#This Row],[Date]])&gt;=4,1,0)</f>
        <v>2025</v>
      </c>
      <c r="AB401" s="3">
        <f t="shared" si="149"/>
        <v>2024</v>
      </c>
      <c r="AC401" s="3" t="s">
        <v>627</v>
      </c>
      <c r="AD401" s="3" t="s">
        <v>627</v>
      </c>
      <c r="AE401" s="102">
        <f>DATE(Modelling_old[[#This Row],[Calendor Year]],Modelling_old[[#This Row],[Start Month]],1)</f>
        <v>45383</v>
      </c>
      <c r="AF401" s="5">
        <f t="shared" si="150"/>
        <v>30</v>
      </c>
      <c r="AG401" s="5">
        <f t="shared" si="151"/>
        <v>4</v>
      </c>
      <c r="AH401" s="4">
        <f>_xlfn.XLOOKUP(Modelling_new[[#This Row],[Month]],$AA$1:$AA$14,$AL$1:$AL$14)/Modelling_new[[#This Row],[Total Days]]</f>
        <v>72.38321964602072</v>
      </c>
      <c r="AI401" s="4">
        <f>SUM($AH$384:AH401)</f>
        <v>1302.897953628373</v>
      </c>
      <c r="AJ401" s="4">
        <f>SUM($AH$384:AH401)</f>
        <v>1302.897953628373</v>
      </c>
      <c r="AK401" s="4">
        <f t="shared" si="152"/>
        <v>6.6233333333333331</v>
      </c>
      <c r="AL401" s="4">
        <f>SUM($AK$384:AK401)</f>
        <v>119.22000000000001</v>
      </c>
      <c r="AM401" s="4">
        <f>SUM($AK$384:AK401)</f>
        <v>119.22000000000001</v>
      </c>
      <c r="AN401" s="323">
        <f t="shared" si="153"/>
        <v>0.95004984012629889</v>
      </c>
      <c r="AO401" s="323">
        <f t="shared" si="154"/>
        <v>0.95004984012629867</v>
      </c>
      <c r="AP401" s="323">
        <f t="shared" si="155"/>
        <v>0.95004984012629867</v>
      </c>
      <c r="AQ401" s="323">
        <f t="shared" si="156"/>
        <v>0.26218736560152167</v>
      </c>
      <c r="AR401" s="323">
        <f>Modelling_new[[#This Row],[Target E_Grid MTD
MWh]]/Modelling_new[[#This Row],[MTD DC Capcity]]/(24*CG401)</f>
        <v>0.23562245978522361</v>
      </c>
      <c r="AS401" s="323">
        <f>Modelling_new[[#This Row],[Target E_Grid YTD
MWh]]/Modelling_new[[#This Row],[YTD DC Capcity]]/(24*CH401)</f>
        <v>0.23562245978522361</v>
      </c>
      <c r="AT401" s="5">
        <v>12.8</v>
      </c>
      <c r="AU401" s="9">
        <f>Modelling_new[[#This Row],[Comisined DC ]]/$AO$1</f>
        <v>1</v>
      </c>
      <c r="AV40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01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401" s="27">
        <f t="shared" si="127"/>
        <v>45400</v>
      </c>
      <c r="BE401" s="5">
        <f>MONTH(Modelling[[#This Row],[Date]])</f>
        <v>4</v>
      </c>
      <c r="BF401" s="25">
        <f>YEAR(BD401)+IF(MONTH(Modelling[[#This Row],[Date]])&gt;=4,1,0)</f>
        <v>2025</v>
      </c>
      <c r="BG401" s="3">
        <f t="shared" si="157"/>
        <v>2024</v>
      </c>
      <c r="BH401" s="3" t="s">
        <v>627</v>
      </c>
      <c r="BI401" s="3" t="s">
        <v>627</v>
      </c>
      <c r="BJ401" s="102">
        <f>DATE(Modelling_old[[#This Row],[Calendor Year]],Modelling_old[[#This Row],[Start Month]],1)</f>
        <v>45383</v>
      </c>
      <c r="BK401" s="5">
        <f t="shared" si="158"/>
        <v>30</v>
      </c>
      <c r="BL401" s="5">
        <f t="shared" si="159"/>
        <v>4</v>
      </c>
      <c r="BM401" s="4">
        <f>Modelling_old[[#This Row],[Target E_Grid daily
MWh]]+Modelling_new[[#This Row],[Target E_Grid daily
MWh]]</f>
        <v>123.35321964602072</v>
      </c>
      <c r="BN401" s="4">
        <f>Modelling_old[[#This Row],[Target E_Grid MTD
MWh]]+Modelling_new[[#This Row],[Target E_Grid MTD
MWh]]</f>
        <v>2220.3579536283733</v>
      </c>
      <c r="BO401" s="4">
        <f>Modelling_old[[#This Row],[Target E_Grid YTD
MWh]]+Modelling_new[[#This Row],[Target E_Grid YTD
MWh]]</f>
        <v>2220.3579536283733</v>
      </c>
      <c r="BP401" s="4">
        <f>AVERAGE(Modelling_old[[#This Row],[Target POA Daily (KWh/m2)]],Modelling_new[[#This Row],[Target POA Daily (KWh/m2)]])</f>
        <v>6.6233333333333331</v>
      </c>
      <c r="BQ401" s="4">
        <f>SUM($BP$384:BP401)</f>
        <v>119.22000000000001</v>
      </c>
      <c r="BR401" s="4">
        <f>SUM($BP$384:BP401)</f>
        <v>119.22000000000001</v>
      </c>
      <c r="BS401" s="323">
        <f>BM401/Modelling[[#This Row],[Comisined DC ]]/BP401</f>
        <v>0.76632360487815343</v>
      </c>
      <c r="BT401" s="337">
        <f>BN401/BQ401/Modelling[[#This Row],[Comisined DC ]]</f>
        <v>0.76632360487815343</v>
      </c>
      <c r="BU401" s="337">
        <f>BO401/BR401/Modelling[[#This Row],[Comisined DC ]]</f>
        <v>0.76632360487815343</v>
      </c>
      <c r="BV401" s="323">
        <f>BM401/(24*Modelling[[#This Row],[Comisined DC ]])</f>
        <v>0.21148402817956816</v>
      </c>
      <c r="BW401" s="323">
        <f>Modelling[[#This Row],[Target E_Grid MTD
MWh]]/Modelling[[#This Row],[MTD DC Capcity]]/(24*CG401)</f>
        <v>0.2114840281795683</v>
      </c>
      <c r="BX401" s="338">
        <f>Modelling[[#This Row],[Target E_Grid YTD
MWh]]/Modelling[[#This Row],[YTD DC Capcity]]/(24*CH401)</f>
        <v>0.2114840281795683</v>
      </c>
      <c r="BY401" s="4">
        <f>Modelling_old[[#This Row],[DC Capcity]]+Modelling_new[[#This Row],[Comisined DC ]]</f>
        <v>24.303100000000001</v>
      </c>
      <c r="BZ401" s="4">
        <v>0</v>
      </c>
      <c r="CA401">
        <f>AVERAGEIFS(Modelling[[Comisined DC ]],Modelling[Date],"&lt;="&amp;Modelling[[#This Row],[Date]],Modelling[Month Year],Modelling[[#This Row],[Month Year]])</f>
        <v>24.30309999999999</v>
      </c>
      <c r="CB401">
        <f>AVERAGEIFS(Modelling[[Comisined DC ]],Modelling[Date],"&lt;="&amp;Modelling[[#This Row],[Date]],Modelling[Finacial Year],Modelling[[#This Row],[Finacial Year]])</f>
        <v>24.30309999999999</v>
      </c>
      <c r="CG401">
        <f t="shared" si="160"/>
        <v>18</v>
      </c>
      <c r="CH401">
        <f t="shared" si="161"/>
        <v>18</v>
      </c>
    </row>
    <row r="402" spans="1:86" x14ac:dyDescent="0.35">
      <c r="A402" s="27">
        <f t="shared" si="139"/>
        <v>45401</v>
      </c>
      <c r="B402" s="5">
        <f>MONTH(Modelling_old[[#This Row],[Date]])</f>
        <v>4</v>
      </c>
      <c r="C402" s="25">
        <f t="shared" si="140"/>
        <v>2025</v>
      </c>
      <c r="D402" s="3">
        <f t="shared" si="141"/>
        <v>2024</v>
      </c>
      <c r="E402" s="3" t="s">
        <v>627</v>
      </c>
      <c r="F402" s="3" t="s">
        <v>627</v>
      </c>
      <c r="G402" s="102">
        <f>DATE(Modelling_old[[#This Row],[Calendor Year]],Modelling_old[[#This Row],[Start Month]],1)</f>
        <v>45383</v>
      </c>
      <c r="H402" s="5">
        <f t="shared" si="142"/>
        <v>30</v>
      </c>
      <c r="I402" s="5">
        <f t="shared" si="143"/>
        <v>4</v>
      </c>
      <c r="J402" s="4">
        <f>_xlfn.XLOOKUP(Modelling_old[[#This Row],[Month]],$C$1:$C$14,$N$1:$N$14)/Modelling_old[[#This Row],[Total Days]]</f>
        <v>50.97</v>
      </c>
      <c r="K402" s="4">
        <f>SUM($J$384:J402)</f>
        <v>968.43000000000029</v>
      </c>
      <c r="L402" s="4">
        <f>SUM($J$384:J402)</f>
        <v>968.43000000000029</v>
      </c>
      <c r="M402" s="4">
        <f t="shared" si="144"/>
        <v>6.6233333333333331</v>
      </c>
      <c r="N402" s="4">
        <f>SUM($M$384:M402)</f>
        <v>125.84333333333335</v>
      </c>
      <c r="O402" s="4">
        <f>SUM($M$384:M402)</f>
        <v>125.84333333333335</v>
      </c>
      <c r="P402" s="323">
        <f t="shared" si="145"/>
        <v>0.66899539130820584</v>
      </c>
      <c r="Q402" s="337">
        <f t="shared" si="146"/>
        <v>0.66899539130820607</v>
      </c>
      <c r="R402" s="337">
        <f t="shared" si="147"/>
        <v>0.66899539130820607</v>
      </c>
      <c r="S402" s="323">
        <f t="shared" si="148"/>
        <v>0.18462414479575073</v>
      </c>
      <c r="T402" s="9">
        <f>Modelling_old[[#This Row],[Target E_Grid MTD
MWh]]/Modelling_old[[#This Row],[DC Capcity]]/(24*CG402)</f>
        <v>0.18462414479575076</v>
      </c>
      <c r="U402" s="338">
        <f>Modelling_old[[#This Row],[Target E_Grid YTD
MWh]]/Modelling_old[[#This Row],[DC Capcity]]/(24*CH402)</f>
        <v>0.18462414479575076</v>
      </c>
      <c r="V402" s="134">
        <v>11.5031</v>
      </c>
      <c r="Y402" s="27">
        <f t="shared" si="126"/>
        <v>45401</v>
      </c>
      <c r="Z402" s="5">
        <f>MONTH(Modelling_new[[#This Row],[Date]])</f>
        <v>4</v>
      </c>
      <c r="AA402" s="25">
        <f>YEAR(Y402)+IF(MONTH(Modelling_new[[#This Row],[Date]])&gt;=4,1,0)</f>
        <v>2025</v>
      </c>
      <c r="AB402" s="3">
        <f t="shared" si="149"/>
        <v>2024</v>
      </c>
      <c r="AC402" s="3" t="s">
        <v>627</v>
      </c>
      <c r="AD402" s="3" t="s">
        <v>627</v>
      </c>
      <c r="AE402" s="102">
        <f>DATE(Modelling_old[[#This Row],[Calendor Year]],Modelling_old[[#This Row],[Start Month]],1)</f>
        <v>45383</v>
      </c>
      <c r="AF402" s="5">
        <f t="shared" si="150"/>
        <v>30</v>
      </c>
      <c r="AG402" s="5">
        <f t="shared" si="151"/>
        <v>4</v>
      </c>
      <c r="AH402" s="4">
        <f>_xlfn.XLOOKUP(Modelling_new[[#This Row],[Month]],$AA$1:$AA$14,$AL$1:$AL$14)/Modelling_new[[#This Row],[Total Days]]</f>
        <v>72.38321964602072</v>
      </c>
      <c r="AI402" s="4">
        <f>SUM($AH$384:AH402)</f>
        <v>1375.2811732743937</v>
      </c>
      <c r="AJ402" s="4">
        <f>SUM($AH$384:AH402)</f>
        <v>1375.2811732743937</v>
      </c>
      <c r="AK402" s="4">
        <f t="shared" si="152"/>
        <v>6.6233333333333331</v>
      </c>
      <c r="AL402" s="4">
        <f>SUM($AK$384:AK402)</f>
        <v>125.84333333333335</v>
      </c>
      <c r="AM402" s="4">
        <f>SUM($AK$384:AK402)</f>
        <v>125.84333333333335</v>
      </c>
      <c r="AN402" s="323">
        <f t="shared" si="153"/>
        <v>0.95004984012629889</v>
      </c>
      <c r="AO402" s="323">
        <f t="shared" si="154"/>
        <v>0.95004984012629878</v>
      </c>
      <c r="AP402" s="323">
        <f t="shared" si="155"/>
        <v>0.95004984012629878</v>
      </c>
      <c r="AQ402" s="323">
        <f t="shared" si="156"/>
        <v>0.26218736560152167</v>
      </c>
      <c r="AR402" s="323">
        <f>Modelling_new[[#This Row],[Target E_Grid MTD
MWh]]/Modelling_new[[#This Row],[MTD DC Capcity]]/(24*CG402)</f>
        <v>0.23562245978522361</v>
      </c>
      <c r="AS402" s="323">
        <f>Modelling_new[[#This Row],[Target E_Grid YTD
MWh]]/Modelling_new[[#This Row],[YTD DC Capcity]]/(24*CH402)</f>
        <v>0.23562245978522361</v>
      </c>
      <c r="AT402" s="5">
        <v>12.8</v>
      </c>
      <c r="AU402" s="9">
        <f>Modelling_new[[#This Row],[Comisined DC ]]/$AO$1</f>
        <v>1</v>
      </c>
      <c r="AV40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02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402" s="27">
        <f t="shared" si="127"/>
        <v>45401</v>
      </c>
      <c r="BE402" s="5">
        <f>MONTH(Modelling[[#This Row],[Date]])</f>
        <v>4</v>
      </c>
      <c r="BF402" s="25">
        <f>YEAR(BD402)+IF(MONTH(Modelling[[#This Row],[Date]])&gt;=4,1,0)</f>
        <v>2025</v>
      </c>
      <c r="BG402" s="3">
        <f t="shared" si="157"/>
        <v>2024</v>
      </c>
      <c r="BH402" s="3" t="s">
        <v>627</v>
      </c>
      <c r="BI402" s="3" t="s">
        <v>627</v>
      </c>
      <c r="BJ402" s="102">
        <f>DATE(Modelling_old[[#This Row],[Calendor Year]],Modelling_old[[#This Row],[Start Month]],1)</f>
        <v>45383</v>
      </c>
      <c r="BK402" s="5">
        <f t="shared" si="158"/>
        <v>30</v>
      </c>
      <c r="BL402" s="5">
        <f t="shared" si="159"/>
        <v>4</v>
      </c>
      <c r="BM402" s="4">
        <f>Modelling_old[[#This Row],[Target E_Grid daily
MWh]]+Modelling_new[[#This Row],[Target E_Grid daily
MWh]]</f>
        <v>123.35321964602072</v>
      </c>
      <c r="BN402" s="4">
        <f>Modelling_old[[#This Row],[Target E_Grid MTD
MWh]]+Modelling_new[[#This Row],[Target E_Grid MTD
MWh]]</f>
        <v>2343.7111732743942</v>
      </c>
      <c r="BO402" s="4">
        <f>Modelling_old[[#This Row],[Target E_Grid YTD
MWh]]+Modelling_new[[#This Row],[Target E_Grid YTD
MWh]]</f>
        <v>2343.7111732743942</v>
      </c>
      <c r="BP402" s="4">
        <f>AVERAGE(Modelling_old[[#This Row],[Target POA Daily (KWh/m2)]],Modelling_new[[#This Row],[Target POA Daily (KWh/m2)]])</f>
        <v>6.6233333333333331</v>
      </c>
      <c r="BQ402" s="4">
        <f>SUM($BP$384:BP402)</f>
        <v>125.84333333333335</v>
      </c>
      <c r="BR402" s="4">
        <f>SUM($BP$384:BP402)</f>
        <v>125.84333333333335</v>
      </c>
      <c r="BS402" s="323">
        <f>BM402/Modelling[[#This Row],[Comisined DC ]]/BP402</f>
        <v>0.76632360487815343</v>
      </c>
      <c r="BT402" s="337">
        <f>BN402/BQ402/Modelling[[#This Row],[Comisined DC ]]</f>
        <v>0.76632360487815354</v>
      </c>
      <c r="BU402" s="337">
        <f>BO402/BR402/Modelling[[#This Row],[Comisined DC ]]</f>
        <v>0.76632360487815354</v>
      </c>
      <c r="BV402" s="323">
        <f>BM402/(24*Modelling[[#This Row],[Comisined DC ]])</f>
        <v>0.21148402817956816</v>
      </c>
      <c r="BW402" s="323">
        <f>Modelling[[#This Row],[Target E_Grid MTD
MWh]]/Modelling[[#This Row],[MTD DC Capcity]]/(24*CG402)</f>
        <v>0.21148402817956832</v>
      </c>
      <c r="BX402" s="338">
        <f>Modelling[[#This Row],[Target E_Grid YTD
MWh]]/Modelling[[#This Row],[YTD DC Capcity]]/(24*CH402)</f>
        <v>0.21148402817956832</v>
      </c>
      <c r="BY402" s="4">
        <f>Modelling_old[[#This Row],[DC Capcity]]+Modelling_new[[#This Row],[Comisined DC ]]</f>
        <v>24.303100000000001</v>
      </c>
      <c r="BZ402" s="4">
        <v>0</v>
      </c>
      <c r="CA402">
        <f>AVERAGEIFS(Modelling[[Comisined DC ]],Modelling[Date],"&lt;="&amp;Modelling[[#This Row],[Date]],Modelling[Month Year],Modelling[[#This Row],[Month Year]])</f>
        <v>24.30309999999999</v>
      </c>
      <c r="CB402">
        <f>AVERAGEIFS(Modelling[[Comisined DC ]],Modelling[Date],"&lt;="&amp;Modelling[[#This Row],[Date]],Modelling[Finacial Year],Modelling[[#This Row],[Finacial Year]])</f>
        <v>24.30309999999999</v>
      </c>
      <c r="CG402">
        <f t="shared" si="160"/>
        <v>19</v>
      </c>
      <c r="CH402">
        <f t="shared" si="161"/>
        <v>19</v>
      </c>
    </row>
    <row r="403" spans="1:86" x14ac:dyDescent="0.35">
      <c r="A403" s="27">
        <f t="shared" si="139"/>
        <v>45402</v>
      </c>
      <c r="B403" s="5">
        <f>MONTH(Modelling_old[[#This Row],[Date]])</f>
        <v>4</v>
      </c>
      <c r="C403" s="25">
        <f t="shared" si="140"/>
        <v>2025</v>
      </c>
      <c r="D403" s="3">
        <f t="shared" si="141"/>
        <v>2024</v>
      </c>
      <c r="E403" s="3" t="s">
        <v>627</v>
      </c>
      <c r="F403" s="3" t="s">
        <v>627</v>
      </c>
      <c r="G403" s="102">
        <f>DATE(Modelling_old[[#This Row],[Calendor Year]],Modelling_old[[#This Row],[Start Month]],1)</f>
        <v>45383</v>
      </c>
      <c r="H403" s="5">
        <f t="shared" si="142"/>
        <v>30</v>
      </c>
      <c r="I403" s="5">
        <f t="shared" si="143"/>
        <v>4</v>
      </c>
      <c r="J403" s="4">
        <f>_xlfn.XLOOKUP(Modelling_old[[#This Row],[Month]],$C$1:$C$14,$N$1:$N$14)/Modelling_old[[#This Row],[Total Days]]</f>
        <v>50.97</v>
      </c>
      <c r="K403" s="4">
        <f>SUM($J$384:J403)</f>
        <v>1019.4000000000003</v>
      </c>
      <c r="L403" s="4">
        <f>SUM($J$384:J403)</f>
        <v>1019.4000000000003</v>
      </c>
      <c r="M403" s="4">
        <f t="shared" si="144"/>
        <v>6.6233333333333331</v>
      </c>
      <c r="N403" s="4">
        <f>SUM($M$384:M403)</f>
        <v>132.46666666666667</v>
      </c>
      <c r="O403" s="4">
        <f>SUM($M$384:M403)</f>
        <v>132.46666666666667</v>
      </c>
      <c r="P403" s="323">
        <f t="shared" si="145"/>
        <v>0.66899539130820584</v>
      </c>
      <c r="Q403" s="337">
        <f t="shared" si="146"/>
        <v>0.66899539130820618</v>
      </c>
      <c r="R403" s="337">
        <f t="shared" si="147"/>
        <v>0.66899539130820618</v>
      </c>
      <c r="S403" s="323">
        <f t="shared" si="148"/>
        <v>0.18462414479575073</v>
      </c>
      <c r="T403" s="9">
        <f>Modelling_old[[#This Row],[Target E_Grid MTD
MWh]]/Modelling_old[[#This Row],[DC Capcity]]/(24*CG403)</f>
        <v>0.18462414479575079</v>
      </c>
      <c r="U403" s="338">
        <f>Modelling_old[[#This Row],[Target E_Grid YTD
MWh]]/Modelling_old[[#This Row],[DC Capcity]]/(24*CH403)</f>
        <v>0.18462414479575079</v>
      </c>
      <c r="V403" s="134">
        <v>11.5031</v>
      </c>
      <c r="Y403" s="27">
        <f t="shared" si="126"/>
        <v>45402</v>
      </c>
      <c r="Z403" s="5">
        <f>MONTH(Modelling_new[[#This Row],[Date]])</f>
        <v>4</v>
      </c>
      <c r="AA403" s="25">
        <f>YEAR(Y403)+IF(MONTH(Modelling_new[[#This Row],[Date]])&gt;=4,1,0)</f>
        <v>2025</v>
      </c>
      <c r="AB403" s="3">
        <f t="shared" si="149"/>
        <v>2024</v>
      </c>
      <c r="AC403" s="3" t="s">
        <v>627</v>
      </c>
      <c r="AD403" s="3" t="s">
        <v>627</v>
      </c>
      <c r="AE403" s="102">
        <f>DATE(Modelling_old[[#This Row],[Calendor Year]],Modelling_old[[#This Row],[Start Month]],1)</f>
        <v>45383</v>
      </c>
      <c r="AF403" s="5">
        <f t="shared" si="150"/>
        <v>30</v>
      </c>
      <c r="AG403" s="5">
        <f t="shared" si="151"/>
        <v>4</v>
      </c>
      <c r="AH403" s="4">
        <f>_xlfn.XLOOKUP(Modelling_new[[#This Row],[Month]],$AA$1:$AA$14,$AL$1:$AL$14)/Modelling_new[[#This Row],[Total Days]]</f>
        <v>72.38321964602072</v>
      </c>
      <c r="AI403" s="4">
        <f>SUM($AH$384:AH403)</f>
        <v>1447.6643929204145</v>
      </c>
      <c r="AJ403" s="4">
        <f>SUM($AH$384:AH403)</f>
        <v>1447.6643929204145</v>
      </c>
      <c r="AK403" s="4">
        <f t="shared" si="152"/>
        <v>6.6233333333333331</v>
      </c>
      <c r="AL403" s="4">
        <f>SUM($AK$384:AK403)</f>
        <v>132.46666666666667</v>
      </c>
      <c r="AM403" s="4">
        <f>SUM($AK$384:AK403)</f>
        <v>132.46666666666667</v>
      </c>
      <c r="AN403" s="323">
        <f t="shared" si="153"/>
        <v>0.95004984012629889</v>
      </c>
      <c r="AO403" s="323">
        <f t="shared" si="154"/>
        <v>0.95004984012629878</v>
      </c>
      <c r="AP403" s="323">
        <f t="shared" si="155"/>
        <v>0.95004984012629878</v>
      </c>
      <c r="AQ403" s="323">
        <f t="shared" si="156"/>
        <v>0.26218736560152167</v>
      </c>
      <c r="AR403" s="323">
        <f>Modelling_new[[#This Row],[Target E_Grid MTD
MWh]]/Modelling_new[[#This Row],[MTD DC Capcity]]/(24*CG403)</f>
        <v>0.23562245978522364</v>
      </c>
      <c r="AS403" s="323">
        <f>Modelling_new[[#This Row],[Target E_Grid YTD
MWh]]/Modelling_new[[#This Row],[YTD DC Capcity]]/(24*CH403)</f>
        <v>0.23562245978522364</v>
      </c>
      <c r="AT403" s="5">
        <v>12.8</v>
      </c>
      <c r="AU403" s="9">
        <f>Modelling_new[[#This Row],[Comisined DC ]]/$AO$1</f>
        <v>1</v>
      </c>
      <c r="AV403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03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403" s="27">
        <f t="shared" si="127"/>
        <v>45402</v>
      </c>
      <c r="BE403" s="5">
        <f>MONTH(Modelling[[#This Row],[Date]])</f>
        <v>4</v>
      </c>
      <c r="BF403" s="25">
        <f>YEAR(BD403)+IF(MONTH(Modelling[[#This Row],[Date]])&gt;=4,1,0)</f>
        <v>2025</v>
      </c>
      <c r="BG403" s="3">
        <f t="shared" si="157"/>
        <v>2024</v>
      </c>
      <c r="BH403" s="3" t="s">
        <v>627</v>
      </c>
      <c r="BI403" s="3" t="s">
        <v>627</v>
      </c>
      <c r="BJ403" s="102">
        <f>DATE(Modelling_old[[#This Row],[Calendor Year]],Modelling_old[[#This Row],[Start Month]],1)</f>
        <v>45383</v>
      </c>
      <c r="BK403" s="5">
        <f t="shared" si="158"/>
        <v>30</v>
      </c>
      <c r="BL403" s="5">
        <f t="shared" si="159"/>
        <v>4</v>
      </c>
      <c r="BM403" s="4">
        <f>Modelling_old[[#This Row],[Target E_Grid daily
MWh]]+Modelling_new[[#This Row],[Target E_Grid daily
MWh]]</f>
        <v>123.35321964602072</v>
      </c>
      <c r="BN403" s="4">
        <f>Modelling_old[[#This Row],[Target E_Grid MTD
MWh]]+Modelling_new[[#This Row],[Target E_Grid MTD
MWh]]</f>
        <v>2467.0643929204148</v>
      </c>
      <c r="BO403" s="4">
        <f>Modelling_old[[#This Row],[Target E_Grid YTD
MWh]]+Modelling_new[[#This Row],[Target E_Grid YTD
MWh]]</f>
        <v>2467.0643929204148</v>
      </c>
      <c r="BP403" s="4">
        <f>AVERAGE(Modelling_old[[#This Row],[Target POA Daily (KWh/m2)]],Modelling_new[[#This Row],[Target POA Daily (KWh/m2)]])</f>
        <v>6.6233333333333331</v>
      </c>
      <c r="BQ403" s="4">
        <f>SUM($BP$384:BP403)</f>
        <v>132.46666666666667</v>
      </c>
      <c r="BR403" s="4">
        <f>SUM($BP$384:BP403)</f>
        <v>132.46666666666667</v>
      </c>
      <c r="BS403" s="323">
        <f>BM403/Modelling[[#This Row],[Comisined DC ]]/BP403</f>
        <v>0.76632360487815343</v>
      </c>
      <c r="BT403" s="337">
        <f>BN403/BQ403/Modelling[[#This Row],[Comisined DC ]]</f>
        <v>0.76632360487815354</v>
      </c>
      <c r="BU403" s="337">
        <f>BO403/BR403/Modelling[[#This Row],[Comisined DC ]]</f>
        <v>0.76632360487815354</v>
      </c>
      <c r="BV403" s="323">
        <f>BM403/(24*Modelling[[#This Row],[Comisined DC ]])</f>
        <v>0.21148402817956816</v>
      </c>
      <c r="BW403" s="323">
        <f>Modelling[[#This Row],[Target E_Grid MTD
MWh]]/Modelling[[#This Row],[MTD DC Capcity]]/(24*CG403)</f>
        <v>0.2114840281795683</v>
      </c>
      <c r="BX403" s="338">
        <f>Modelling[[#This Row],[Target E_Grid YTD
MWh]]/Modelling[[#This Row],[YTD DC Capcity]]/(24*CH403)</f>
        <v>0.2114840281795683</v>
      </c>
      <c r="BY403" s="4">
        <f>Modelling_old[[#This Row],[DC Capcity]]+Modelling_new[[#This Row],[Comisined DC ]]</f>
        <v>24.303100000000001</v>
      </c>
      <c r="BZ403" s="4">
        <v>0</v>
      </c>
      <c r="CA403">
        <f>AVERAGEIFS(Modelling[[Comisined DC ]],Modelling[Date],"&lt;="&amp;Modelling[[#This Row],[Date]],Modelling[Month Year],Modelling[[#This Row],[Month Year]])</f>
        <v>24.30309999999999</v>
      </c>
      <c r="CB403">
        <f>AVERAGEIFS(Modelling[[Comisined DC ]],Modelling[Date],"&lt;="&amp;Modelling[[#This Row],[Date]],Modelling[Finacial Year],Modelling[[#This Row],[Finacial Year]])</f>
        <v>24.30309999999999</v>
      </c>
      <c r="CG403">
        <f t="shared" si="160"/>
        <v>20</v>
      </c>
      <c r="CH403">
        <f t="shared" si="161"/>
        <v>20</v>
      </c>
    </row>
    <row r="404" spans="1:86" x14ac:dyDescent="0.35">
      <c r="A404" s="27">
        <f t="shared" si="139"/>
        <v>45403</v>
      </c>
      <c r="B404" s="5">
        <f>MONTH(Modelling_old[[#This Row],[Date]])</f>
        <v>4</v>
      </c>
      <c r="C404" s="25">
        <f t="shared" si="140"/>
        <v>2025</v>
      </c>
      <c r="D404" s="3">
        <f t="shared" si="141"/>
        <v>2024</v>
      </c>
      <c r="E404" s="3" t="s">
        <v>627</v>
      </c>
      <c r="F404" s="3" t="s">
        <v>627</v>
      </c>
      <c r="G404" s="102">
        <f>DATE(Modelling_old[[#This Row],[Calendor Year]],Modelling_old[[#This Row],[Start Month]],1)</f>
        <v>45383</v>
      </c>
      <c r="H404" s="5">
        <f t="shared" si="142"/>
        <v>30</v>
      </c>
      <c r="I404" s="5">
        <f t="shared" si="143"/>
        <v>4</v>
      </c>
      <c r="J404" s="4">
        <f>_xlfn.XLOOKUP(Modelling_old[[#This Row],[Month]],$C$1:$C$14,$N$1:$N$14)/Modelling_old[[#This Row],[Total Days]]</f>
        <v>50.97</v>
      </c>
      <c r="K404" s="4">
        <f>SUM($J$384:J404)</f>
        <v>1070.3700000000003</v>
      </c>
      <c r="L404" s="4">
        <f>SUM($J$384:J404)</f>
        <v>1070.3700000000003</v>
      </c>
      <c r="M404" s="4">
        <f t="shared" si="144"/>
        <v>6.6233333333333331</v>
      </c>
      <c r="N404" s="4">
        <f>SUM($M$384:M404)</f>
        <v>139.09</v>
      </c>
      <c r="O404" s="4">
        <f>SUM($M$384:M404)</f>
        <v>139.09</v>
      </c>
      <c r="P404" s="323">
        <f t="shared" si="145"/>
        <v>0.66899539130820584</v>
      </c>
      <c r="Q404" s="337">
        <f t="shared" si="146"/>
        <v>0.66899539130820618</v>
      </c>
      <c r="R404" s="337">
        <f t="shared" si="147"/>
        <v>0.66899539130820618</v>
      </c>
      <c r="S404" s="323">
        <f t="shared" si="148"/>
        <v>0.18462414479575073</v>
      </c>
      <c r="T404" s="9">
        <f>Modelling_old[[#This Row],[Target E_Grid MTD
MWh]]/Modelling_old[[#This Row],[DC Capcity]]/(24*CG404)</f>
        <v>0.18462414479575076</v>
      </c>
      <c r="U404" s="338">
        <f>Modelling_old[[#This Row],[Target E_Grid YTD
MWh]]/Modelling_old[[#This Row],[DC Capcity]]/(24*CH404)</f>
        <v>0.18462414479575076</v>
      </c>
      <c r="V404" s="134">
        <v>11.5031</v>
      </c>
      <c r="Y404" s="27">
        <f t="shared" ref="Y404:Y467" si="162">Y403+1</f>
        <v>45403</v>
      </c>
      <c r="Z404" s="5">
        <f>MONTH(Modelling_new[[#This Row],[Date]])</f>
        <v>4</v>
      </c>
      <c r="AA404" s="25">
        <f>YEAR(Y404)+IF(MONTH(Modelling_new[[#This Row],[Date]])&gt;=4,1,0)</f>
        <v>2025</v>
      </c>
      <c r="AB404" s="3">
        <f t="shared" si="149"/>
        <v>2024</v>
      </c>
      <c r="AC404" s="3" t="s">
        <v>627</v>
      </c>
      <c r="AD404" s="3" t="s">
        <v>627</v>
      </c>
      <c r="AE404" s="102">
        <f>DATE(Modelling_old[[#This Row],[Calendor Year]],Modelling_old[[#This Row],[Start Month]],1)</f>
        <v>45383</v>
      </c>
      <c r="AF404" s="5">
        <f t="shared" si="150"/>
        <v>30</v>
      </c>
      <c r="AG404" s="5">
        <f t="shared" si="151"/>
        <v>4</v>
      </c>
      <c r="AH404" s="4">
        <f>_xlfn.XLOOKUP(Modelling_new[[#This Row],[Month]],$AA$1:$AA$14,$AL$1:$AL$14)/Modelling_new[[#This Row],[Total Days]]</f>
        <v>72.38321964602072</v>
      </c>
      <c r="AI404" s="4">
        <f>SUM($AH$384:AH404)</f>
        <v>1520.0476125664352</v>
      </c>
      <c r="AJ404" s="4">
        <f>SUM($AH$384:AH404)</f>
        <v>1520.0476125664352</v>
      </c>
      <c r="AK404" s="4">
        <f t="shared" si="152"/>
        <v>6.6233333333333331</v>
      </c>
      <c r="AL404" s="4">
        <f>SUM($AK$384:AK404)</f>
        <v>139.09</v>
      </c>
      <c r="AM404" s="4">
        <f>SUM($AK$384:AK404)</f>
        <v>139.09</v>
      </c>
      <c r="AN404" s="323">
        <f t="shared" si="153"/>
        <v>0.95004984012629889</v>
      </c>
      <c r="AO404" s="323">
        <f t="shared" si="154"/>
        <v>0.95004984012629878</v>
      </c>
      <c r="AP404" s="323">
        <f t="shared" si="155"/>
        <v>0.95004984012629878</v>
      </c>
      <c r="AQ404" s="323">
        <f t="shared" si="156"/>
        <v>0.26218736560152167</v>
      </c>
      <c r="AR404" s="323">
        <f>Modelling_new[[#This Row],[Target E_Grid MTD
MWh]]/Modelling_new[[#This Row],[MTD DC Capcity]]/(24*CG404)</f>
        <v>0.23562245978522367</v>
      </c>
      <c r="AS404" s="323">
        <f>Modelling_new[[#This Row],[Target E_Grid YTD
MWh]]/Modelling_new[[#This Row],[YTD DC Capcity]]/(24*CH404)</f>
        <v>0.23562245978522367</v>
      </c>
      <c r="AT404" s="5">
        <v>12.8</v>
      </c>
      <c r="AU404" s="9">
        <f>Modelling_new[[#This Row],[Comisined DC ]]/$AO$1</f>
        <v>1</v>
      </c>
      <c r="AV404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04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404" s="27">
        <f t="shared" ref="BD404:BD467" si="163">BD403+1</f>
        <v>45403</v>
      </c>
      <c r="BE404" s="5">
        <f>MONTH(Modelling[[#This Row],[Date]])</f>
        <v>4</v>
      </c>
      <c r="BF404" s="25">
        <f>YEAR(BD404)+IF(MONTH(Modelling[[#This Row],[Date]])&gt;=4,1,0)</f>
        <v>2025</v>
      </c>
      <c r="BG404" s="3">
        <f t="shared" si="157"/>
        <v>2024</v>
      </c>
      <c r="BH404" s="3" t="s">
        <v>627</v>
      </c>
      <c r="BI404" s="3" t="s">
        <v>627</v>
      </c>
      <c r="BJ404" s="102">
        <f>DATE(Modelling_old[[#This Row],[Calendor Year]],Modelling_old[[#This Row],[Start Month]],1)</f>
        <v>45383</v>
      </c>
      <c r="BK404" s="5">
        <f t="shared" si="158"/>
        <v>30</v>
      </c>
      <c r="BL404" s="5">
        <f t="shared" si="159"/>
        <v>4</v>
      </c>
      <c r="BM404" s="4">
        <f>Modelling_old[[#This Row],[Target E_Grid daily
MWh]]+Modelling_new[[#This Row],[Target E_Grid daily
MWh]]</f>
        <v>123.35321964602072</v>
      </c>
      <c r="BN404" s="4">
        <f>Modelling_old[[#This Row],[Target E_Grid MTD
MWh]]+Modelling_new[[#This Row],[Target E_Grid MTD
MWh]]</f>
        <v>2590.4176125664353</v>
      </c>
      <c r="BO404" s="4">
        <f>Modelling_old[[#This Row],[Target E_Grid YTD
MWh]]+Modelling_new[[#This Row],[Target E_Grid YTD
MWh]]</f>
        <v>2590.4176125664353</v>
      </c>
      <c r="BP404" s="4">
        <f>AVERAGE(Modelling_old[[#This Row],[Target POA Daily (KWh/m2)]],Modelling_new[[#This Row],[Target POA Daily (KWh/m2)]])</f>
        <v>6.6233333333333331</v>
      </c>
      <c r="BQ404" s="4">
        <f>SUM($BP$384:BP404)</f>
        <v>139.09</v>
      </c>
      <c r="BR404" s="4">
        <f>SUM($BP$384:BP404)</f>
        <v>139.09</v>
      </c>
      <c r="BS404" s="323">
        <f>BM404/Modelling[[#This Row],[Comisined DC ]]/BP404</f>
        <v>0.76632360487815343</v>
      </c>
      <c r="BT404" s="337">
        <f>BN404/BQ404/Modelling[[#This Row],[Comisined DC ]]</f>
        <v>0.76632360487815343</v>
      </c>
      <c r="BU404" s="337">
        <f>BO404/BR404/Modelling[[#This Row],[Comisined DC ]]</f>
        <v>0.76632360487815343</v>
      </c>
      <c r="BV404" s="323">
        <f>BM404/(24*Modelling[[#This Row],[Comisined DC ]])</f>
        <v>0.21148402817956816</v>
      </c>
      <c r="BW404" s="323">
        <f>Modelling[[#This Row],[Target E_Grid MTD
MWh]]/Modelling[[#This Row],[MTD DC Capcity]]/(24*CG404)</f>
        <v>0.21148402817956827</v>
      </c>
      <c r="BX404" s="338">
        <f>Modelling[[#This Row],[Target E_Grid YTD
MWh]]/Modelling[[#This Row],[YTD DC Capcity]]/(24*CH404)</f>
        <v>0.21148402817956827</v>
      </c>
      <c r="BY404" s="4">
        <f>Modelling_old[[#This Row],[DC Capcity]]+Modelling_new[[#This Row],[Comisined DC ]]</f>
        <v>24.303100000000001</v>
      </c>
      <c r="BZ404" s="4">
        <v>0</v>
      </c>
      <c r="CA404">
        <f>AVERAGEIFS(Modelling[[Comisined DC ]],Modelling[Date],"&lt;="&amp;Modelling[[#This Row],[Date]],Modelling[Month Year],Modelling[[#This Row],[Month Year]])</f>
        <v>24.30309999999999</v>
      </c>
      <c r="CB404">
        <f>AVERAGEIFS(Modelling[[Comisined DC ]],Modelling[Date],"&lt;="&amp;Modelling[[#This Row],[Date]],Modelling[Finacial Year],Modelling[[#This Row],[Finacial Year]])</f>
        <v>24.30309999999999</v>
      </c>
      <c r="CG404">
        <f t="shared" si="160"/>
        <v>21</v>
      </c>
      <c r="CH404">
        <f t="shared" si="161"/>
        <v>21</v>
      </c>
    </row>
    <row r="405" spans="1:86" x14ac:dyDescent="0.35">
      <c r="A405" s="27">
        <f t="shared" si="139"/>
        <v>45404</v>
      </c>
      <c r="B405" s="5">
        <f>MONTH(Modelling_old[[#This Row],[Date]])</f>
        <v>4</v>
      </c>
      <c r="C405" s="25">
        <f t="shared" si="140"/>
        <v>2025</v>
      </c>
      <c r="D405" s="3">
        <f t="shared" si="141"/>
        <v>2024</v>
      </c>
      <c r="E405" s="3" t="s">
        <v>627</v>
      </c>
      <c r="F405" s="3" t="s">
        <v>627</v>
      </c>
      <c r="G405" s="102">
        <f>DATE(Modelling_old[[#This Row],[Calendor Year]],Modelling_old[[#This Row],[Start Month]],1)</f>
        <v>45383</v>
      </c>
      <c r="H405" s="5">
        <f t="shared" si="142"/>
        <v>30</v>
      </c>
      <c r="I405" s="5">
        <f t="shared" si="143"/>
        <v>4</v>
      </c>
      <c r="J405" s="4">
        <f>_xlfn.XLOOKUP(Modelling_old[[#This Row],[Month]],$C$1:$C$14,$N$1:$N$14)/Modelling_old[[#This Row],[Total Days]]</f>
        <v>50.97</v>
      </c>
      <c r="K405" s="4">
        <f>SUM($J$384:J405)</f>
        <v>1121.3400000000004</v>
      </c>
      <c r="L405" s="4">
        <f>SUM($J$384:J405)</f>
        <v>1121.3400000000004</v>
      </c>
      <c r="M405" s="4">
        <f t="shared" si="144"/>
        <v>6.6233333333333331</v>
      </c>
      <c r="N405" s="4">
        <f>SUM($M$384:M405)</f>
        <v>145.71333333333334</v>
      </c>
      <c r="O405" s="4">
        <f>SUM($M$384:M405)</f>
        <v>145.71333333333334</v>
      </c>
      <c r="P405" s="323">
        <f t="shared" si="145"/>
        <v>0.66899539130820584</v>
      </c>
      <c r="Q405" s="337">
        <f t="shared" si="146"/>
        <v>0.66899539130820618</v>
      </c>
      <c r="R405" s="337">
        <f t="shared" si="147"/>
        <v>0.66899539130820618</v>
      </c>
      <c r="S405" s="323">
        <f t="shared" si="148"/>
        <v>0.18462414479575073</v>
      </c>
      <c r="T405" s="9">
        <f>Modelling_old[[#This Row],[Target E_Grid MTD
MWh]]/Modelling_old[[#This Row],[DC Capcity]]/(24*CG405)</f>
        <v>0.18462414479575076</v>
      </c>
      <c r="U405" s="338">
        <f>Modelling_old[[#This Row],[Target E_Grid YTD
MWh]]/Modelling_old[[#This Row],[DC Capcity]]/(24*CH405)</f>
        <v>0.18462414479575076</v>
      </c>
      <c r="V405" s="134">
        <v>11.5031</v>
      </c>
      <c r="Y405" s="27">
        <f t="shared" si="162"/>
        <v>45404</v>
      </c>
      <c r="Z405" s="5">
        <f>MONTH(Modelling_new[[#This Row],[Date]])</f>
        <v>4</v>
      </c>
      <c r="AA405" s="25">
        <f>YEAR(Y405)+IF(MONTH(Modelling_new[[#This Row],[Date]])&gt;=4,1,0)</f>
        <v>2025</v>
      </c>
      <c r="AB405" s="3">
        <f t="shared" si="149"/>
        <v>2024</v>
      </c>
      <c r="AC405" s="3" t="s">
        <v>627</v>
      </c>
      <c r="AD405" s="3" t="s">
        <v>627</v>
      </c>
      <c r="AE405" s="102">
        <f>DATE(Modelling_old[[#This Row],[Calendor Year]],Modelling_old[[#This Row],[Start Month]],1)</f>
        <v>45383</v>
      </c>
      <c r="AF405" s="5">
        <f t="shared" si="150"/>
        <v>30</v>
      </c>
      <c r="AG405" s="5">
        <f t="shared" si="151"/>
        <v>4</v>
      </c>
      <c r="AH405" s="4">
        <f>_xlfn.XLOOKUP(Modelling_new[[#This Row],[Month]],$AA$1:$AA$14,$AL$1:$AL$14)/Modelling_new[[#This Row],[Total Days]]</f>
        <v>72.38321964602072</v>
      </c>
      <c r="AI405" s="4">
        <f>SUM($AH$384:AH405)</f>
        <v>1592.4308322124559</v>
      </c>
      <c r="AJ405" s="4">
        <f>SUM($AH$384:AH405)</f>
        <v>1592.4308322124559</v>
      </c>
      <c r="AK405" s="4">
        <f t="shared" si="152"/>
        <v>6.6233333333333331</v>
      </c>
      <c r="AL405" s="4">
        <f>SUM($AK$384:AK405)</f>
        <v>145.71333333333334</v>
      </c>
      <c r="AM405" s="4">
        <f>SUM($AK$384:AK405)</f>
        <v>145.71333333333334</v>
      </c>
      <c r="AN405" s="323">
        <f t="shared" si="153"/>
        <v>0.95004984012629889</v>
      </c>
      <c r="AO405" s="323">
        <f t="shared" si="154"/>
        <v>0.95004984012629878</v>
      </c>
      <c r="AP405" s="323">
        <f t="shared" si="155"/>
        <v>0.95004984012629878</v>
      </c>
      <c r="AQ405" s="323">
        <f t="shared" si="156"/>
        <v>0.26218736560152167</v>
      </c>
      <c r="AR405" s="323">
        <f>Modelling_new[[#This Row],[Target E_Grid MTD
MWh]]/Modelling_new[[#This Row],[MTD DC Capcity]]/(24*CG405)</f>
        <v>0.23562245978522364</v>
      </c>
      <c r="AS405" s="323">
        <f>Modelling_new[[#This Row],[Target E_Grid YTD
MWh]]/Modelling_new[[#This Row],[YTD DC Capcity]]/(24*CH405)</f>
        <v>0.23562245978522364</v>
      </c>
      <c r="AT405" s="5">
        <v>12.8</v>
      </c>
      <c r="AU405" s="9">
        <f>Modelling_new[[#This Row],[Comisined DC ]]/$AO$1</f>
        <v>1</v>
      </c>
      <c r="AV40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05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405" s="27">
        <f t="shared" si="163"/>
        <v>45404</v>
      </c>
      <c r="BE405" s="5">
        <f>MONTH(Modelling[[#This Row],[Date]])</f>
        <v>4</v>
      </c>
      <c r="BF405" s="25">
        <f>YEAR(BD405)+IF(MONTH(Modelling[[#This Row],[Date]])&gt;=4,1,0)</f>
        <v>2025</v>
      </c>
      <c r="BG405" s="3">
        <f t="shared" si="157"/>
        <v>2024</v>
      </c>
      <c r="BH405" s="3" t="s">
        <v>627</v>
      </c>
      <c r="BI405" s="3" t="s">
        <v>627</v>
      </c>
      <c r="BJ405" s="102">
        <f>DATE(Modelling_old[[#This Row],[Calendor Year]],Modelling_old[[#This Row],[Start Month]],1)</f>
        <v>45383</v>
      </c>
      <c r="BK405" s="5">
        <f t="shared" si="158"/>
        <v>30</v>
      </c>
      <c r="BL405" s="5">
        <f t="shared" si="159"/>
        <v>4</v>
      </c>
      <c r="BM405" s="4">
        <f>Modelling_old[[#This Row],[Target E_Grid daily
MWh]]+Modelling_new[[#This Row],[Target E_Grid daily
MWh]]</f>
        <v>123.35321964602072</v>
      </c>
      <c r="BN405" s="4">
        <f>Modelling_old[[#This Row],[Target E_Grid MTD
MWh]]+Modelling_new[[#This Row],[Target E_Grid MTD
MWh]]</f>
        <v>2713.7708322124563</v>
      </c>
      <c r="BO405" s="4">
        <f>Modelling_old[[#This Row],[Target E_Grid YTD
MWh]]+Modelling_new[[#This Row],[Target E_Grid YTD
MWh]]</f>
        <v>2713.7708322124563</v>
      </c>
      <c r="BP405" s="4">
        <f>AVERAGE(Modelling_old[[#This Row],[Target POA Daily (KWh/m2)]],Modelling_new[[#This Row],[Target POA Daily (KWh/m2)]])</f>
        <v>6.6233333333333331</v>
      </c>
      <c r="BQ405" s="4">
        <f>SUM($BP$384:BP405)</f>
        <v>145.71333333333334</v>
      </c>
      <c r="BR405" s="4">
        <f>SUM($BP$384:BP405)</f>
        <v>145.71333333333334</v>
      </c>
      <c r="BS405" s="323">
        <f>BM405/Modelling[[#This Row],[Comisined DC ]]/BP405</f>
        <v>0.76632360487815343</v>
      </c>
      <c r="BT405" s="337">
        <f>BN405/BQ405/Modelling[[#This Row],[Comisined DC ]]</f>
        <v>0.76632360487815354</v>
      </c>
      <c r="BU405" s="337">
        <f>BO405/BR405/Modelling[[#This Row],[Comisined DC ]]</f>
        <v>0.76632360487815354</v>
      </c>
      <c r="BV405" s="323">
        <f>BM405/(24*Modelling[[#This Row],[Comisined DC ]])</f>
        <v>0.21148402817956816</v>
      </c>
      <c r="BW405" s="323">
        <f>Modelling[[#This Row],[Target E_Grid MTD
MWh]]/Modelling[[#This Row],[MTD DC Capcity]]/(24*CG405)</f>
        <v>0.21148402817956832</v>
      </c>
      <c r="BX405" s="338">
        <f>Modelling[[#This Row],[Target E_Grid YTD
MWh]]/Modelling[[#This Row],[YTD DC Capcity]]/(24*CH405)</f>
        <v>0.21148402817956832</v>
      </c>
      <c r="BY405" s="4">
        <f>Modelling_old[[#This Row],[DC Capcity]]+Modelling_new[[#This Row],[Comisined DC ]]</f>
        <v>24.303100000000001</v>
      </c>
      <c r="BZ405" s="4">
        <v>0</v>
      </c>
      <c r="CA405">
        <f>AVERAGEIFS(Modelling[[Comisined DC ]],Modelling[Date],"&lt;="&amp;Modelling[[#This Row],[Date]],Modelling[Month Year],Modelling[[#This Row],[Month Year]])</f>
        <v>24.303099999999986</v>
      </c>
      <c r="CB405">
        <f>AVERAGEIFS(Modelling[[Comisined DC ]],Modelling[Date],"&lt;="&amp;Modelling[[#This Row],[Date]],Modelling[Finacial Year],Modelling[[#This Row],[Finacial Year]])</f>
        <v>24.303099999999986</v>
      </c>
      <c r="CG405">
        <f t="shared" si="160"/>
        <v>22</v>
      </c>
      <c r="CH405">
        <f t="shared" si="161"/>
        <v>22</v>
      </c>
    </row>
    <row r="406" spans="1:86" x14ac:dyDescent="0.35">
      <c r="A406" s="27">
        <f t="shared" si="139"/>
        <v>45405</v>
      </c>
      <c r="B406" s="5">
        <f>MONTH(Modelling_old[[#This Row],[Date]])</f>
        <v>4</v>
      </c>
      <c r="C406" s="25">
        <f t="shared" si="140"/>
        <v>2025</v>
      </c>
      <c r="D406" s="3">
        <f t="shared" si="141"/>
        <v>2024</v>
      </c>
      <c r="E406" s="3" t="s">
        <v>627</v>
      </c>
      <c r="F406" s="3" t="s">
        <v>627</v>
      </c>
      <c r="G406" s="102">
        <f>DATE(Modelling_old[[#This Row],[Calendor Year]],Modelling_old[[#This Row],[Start Month]],1)</f>
        <v>45383</v>
      </c>
      <c r="H406" s="5">
        <f t="shared" si="142"/>
        <v>30</v>
      </c>
      <c r="I406" s="5">
        <f t="shared" si="143"/>
        <v>4</v>
      </c>
      <c r="J406" s="4">
        <f>_xlfn.XLOOKUP(Modelling_old[[#This Row],[Month]],$C$1:$C$14,$N$1:$N$14)/Modelling_old[[#This Row],[Total Days]]</f>
        <v>50.97</v>
      </c>
      <c r="K406" s="4">
        <f>SUM($J$384:J406)</f>
        <v>1172.3100000000004</v>
      </c>
      <c r="L406" s="4">
        <f>SUM($J$384:J406)</f>
        <v>1172.3100000000004</v>
      </c>
      <c r="M406" s="4">
        <f t="shared" si="144"/>
        <v>6.6233333333333331</v>
      </c>
      <c r="N406" s="4">
        <f>SUM($M$384:M406)</f>
        <v>152.33666666666667</v>
      </c>
      <c r="O406" s="4">
        <f>SUM($M$384:M406)</f>
        <v>152.33666666666667</v>
      </c>
      <c r="P406" s="323">
        <f t="shared" si="145"/>
        <v>0.66899539130820584</v>
      </c>
      <c r="Q406" s="337">
        <f t="shared" si="146"/>
        <v>0.66899539130820618</v>
      </c>
      <c r="R406" s="337">
        <f t="shared" si="147"/>
        <v>0.66899539130820618</v>
      </c>
      <c r="S406" s="323">
        <f t="shared" si="148"/>
        <v>0.18462414479575073</v>
      </c>
      <c r="T406" s="9">
        <f>Modelling_old[[#This Row],[Target E_Grid MTD
MWh]]/Modelling_old[[#This Row],[DC Capcity]]/(24*CG406)</f>
        <v>0.18462414479575079</v>
      </c>
      <c r="U406" s="338">
        <f>Modelling_old[[#This Row],[Target E_Grid YTD
MWh]]/Modelling_old[[#This Row],[DC Capcity]]/(24*CH406)</f>
        <v>0.18462414479575079</v>
      </c>
      <c r="V406" s="134">
        <v>11.5031</v>
      </c>
      <c r="Y406" s="27">
        <f t="shared" si="162"/>
        <v>45405</v>
      </c>
      <c r="Z406" s="5">
        <f>MONTH(Modelling_new[[#This Row],[Date]])</f>
        <v>4</v>
      </c>
      <c r="AA406" s="25">
        <f>YEAR(Y406)+IF(MONTH(Modelling_new[[#This Row],[Date]])&gt;=4,1,0)</f>
        <v>2025</v>
      </c>
      <c r="AB406" s="3">
        <f t="shared" si="149"/>
        <v>2024</v>
      </c>
      <c r="AC406" s="3" t="s">
        <v>627</v>
      </c>
      <c r="AD406" s="3" t="s">
        <v>627</v>
      </c>
      <c r="AE406" s="102">
        <f>DATE(Modelling_old[[#This Row],[Calendor Year]],Modelling_old[[#This Row],[Start Month]],1)</f>
        <v>45383</v>
      </c>
      <c r="AF406" s="5">
        <f t="shared" si="150"/>
        <v>30</v>
      </c>
      <c r="AG406" s="5">
        <f t="shared" si="151"/>
        <v>4</v>
      </c>
      <c r="AH406" s="4">
        <f>_xlfn.XLOOKUP(Modelling_new[[#This Row],[Month]],$AA$1:$AA$14,$AL$1:$AL$14)/Modelling_new[[#This Row],[Total Days]]</f>
        <v>72.38321964602072</v>
      </c>
      <c r="AI406" s="4">
        <f>SUM($AH$384:AH406)</f>
        <v>1664.8140518584767</v>
      </c>
      <c r="AJ406" s="4">
        <f>SUM($AH$384:AH406)</f>
        <v>1664.8140518584767</v>
      </c>
      <c r="AK406" s="4">
        <f t="shared" si="152"/>
        <v>6.6233333333333331</v>
      </c>
      <c r="AL406" s="4">
        <f>SUM($AK$384:AK406)</f>
        <v>152.33666666666667</v>
      </c>
      <c r="AM406" s="4">
        <f>SUM($AK$384:AK406)</f>
        <v>152.33666666666667</v>
      </c>
      <c r="AN406" s="323">
        <f t="shared" si="153"/>
        <v>0.95004984012629889</v>
      </c>
      <c r="AO406" s="323">
        <f t="shared" si="154"/>
        <v>0.95004984012629878</v>
      </c>
      <c r="AP406" s="323">
        <f t="shared" si="155"/>
        <v>0.95004984012629878</v>
      </c>
      <c r="AQ406" s="323">
        <f t="shared" si="156"/>
        <v>0.26218736560152167</v>
      </c>
      <c r="AR406" s="323">
        <f>Modelling_new[[#This Row],[Target E_Grid MTD
MWh]]/Modelling_new[[#This Row],[MTD DC Capcity]]/(24*CG406)</f>
        <v>0.23562245978522364</v>
      </c>
      <c r="AS406" s="323">
        <f>Modelling_new[[#This Row],[Target E_Grid YTD
MWh]]/Modelling_new[[#This Row],[YTD DC Capcity]]/(24*CH406)</f>
        <v>0.23562245978522364</v>
      </c>
      <c r="AT406" s="5">
        <v>12.8</v>
      </c>
      <c r="AU406" s="9">
        <f>Modelling_new[[#This Row],[Comisined DC ]]/$AO$1</f>
        <v>1</v>
      </c>
      <c r="AV40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06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406" s="27">
        <f t="shared" si="163"/>
        <v>45405</v>
      </c>
      <c r="BE406" s="5">
        <f>MONTH(Modelling[[#This Row],[Date]])</f>
        <v>4</v>
      </c>
      <c r="BF406" s="25">
        <f>YEAR(BD406)+IF(MONTH(Modelling[[#This Row],[Date]])&gt;=4,1,0)</f>
        <v>2025</v>
      </c>
      <c r="BG406" s="3">
        <f t="shared" si="157"/>
        <v>2024</v>
      </c>
      <c r="BH406" s="3" t="s">
        <v>627</v>
      </c>
      <c r="BI406" s="3" t="s">
        <v>627</v>
      </c>
      <c r="BJ406" s="102">
        <f>DATE(Modelling_old[[#This Row],[Calendor Year]],Modelling_old[[#This Row],[Start Month]],1)</f>
        <v>45383</v>
      </c>
      <c r="BK406" s="5">
        <f t="shared" si="158"/>
        <v>30</v>
      </c>
      <c r="BL406" s="5">
        <f t="shared" si="159"/>
        <v>4</v>
      </c>
      <c r="BM406" s="4">
        <f>Modelling_old[[#This Row],[Target E_Grid daily
MWh]]+Modelling_new[[#This Row],[Target E_Grid daily
MWh]]</f>
        <v>123.35321964602072</v>
      </c>
      <c r="BN406" s="4">
        <f>Modelling_old[[#This Row],[Target E_Grid MTD
MWh]]+Modelling_new[[#This Row],[Target E_Grid MTD
MWh]]</f>
        <v>2837.1240518584773</v>
      </c>
      <c r="BO406" s="4">
        <f>Modelling_old[[#This Row],[Target E_Grid YTD
MWh]]+Modelling_new[[#This Row],[Target E_Grid YTD
MWh]]</f>
        <v>2837.1240518584773</v>
      </c>
      <c r="BP406" s="4">
        <f>AVERAGE(Modelling_old[[#This Row],[Target POA Daily (KWh/m2)]],Modelling_new[[#This Row],[Target POA Daily (KWh/m2)]])</f>
        <v>6.6233333333333331</v>
      </c>
      <c r="BQ406" s="4">
        <f>SUM($BP$384:BP406)</f>
        <v>152.33666666666667</v>
      </c>
      <c r="BR406" s="4">
        <f>SUM($BP$384:BP406)</f>
        <v>152.33666666666667</v>
      </c>
      <c r="BS406" s="323">
        <f>BM406/Modelling[[#This Row],[Comisined DC ]]/BP406</f>
        <v>0.76632360487815343</v>
      </c>
      <c r="BT406" s="337">
        <f>BN406/BQ406/Modelling[[#This Row],[Comisined DC ]]</f>
        <v>0.76632360487815354</v>
      </c>
      <c r="BU406" s="337">
        <f>BO406/BR406/Modelling[[#This Row],[Comisined DC ]]</f>
        <v>0.76632360487815354</v>
      </c>
      <c r="BV406" s="323">
        <f>BM406/(24*Modelling[[#This Row],[Comisined DC ]])</f>
        <v>0.21148402817956816</v>
      </c>
      <c r="BW406" s="323">
        <f>Modelling[[#This Row],[Target E_Grid MTD
MWh]]/Modelling[[#This Row],[MTD DC Capcity]]/(24*CG406)</f>
        <v>0.21148402817956835</v>
      </c>
      <c r="BX406" s="338">
        <f>Modelling[[#This Row],[Target E_Grid YTD
MWh]]/Modelling[[#This Row],[YTD DC Capcity]]/(24*CH406)</f>
        <v>0.21148402817956835</v>
      </c>
      <c r="BY406" s="4">
        <f>Modelling_old[[#This Row],[DC Capcity]]+Modelling_new[[#This Row],[Comisined DC ]]</f>
        <v>24.303100000000001</v>
      </c>
      <c r="BZ406" s="4">
        <v>0</v>
      </c>
      <c r="CA406">
        <f>AVERAGEIFS(Modelling[[Comisined DC ]],Modelling[Date],"&lt;="&amp;Modelling[[#This Row],[Date]],Modelling[Month Year],Modelling[[#This Row],[Month Year]])</f>
        <v>24.303099999999986</v>
      </c>
      <c r="CB406">
        <f>AVERAGEIFS(Modelling[[Comisined DC ]],Modelling[Date],"&lt;="&amp;Modelling[[#This Row],[Date]],Modelling[Finacial Year],Modelling[[#This Row],[Finacial Year]])</f>
        <v>24.303099999999986</v>
      </c>
      <c r="CG406">
        <f t="shared" si="160"/>
        <v>23</v>
      </c>
      <c r="CH406">
        <f t="shared" si="161"/>
        <v>23</v>
      </c>
    </row>
    <row r="407" spans="1:86" x14ac:dyDescent="0.35">
      <c r="A407" s="27">
        <f t="shared" si="139"/>
        <v>45406</v>
      </c>
      <c r="B407" s="5">
        <f>MONTH(Modelling_old[[#This Row],[Date]])</f>
        <v>4</v>
      </c>
      <c r="C407" s="25">
        <f t="shared" si="140"/>
        <v>2025</v>
      </c>
      <c r="D407" s="3">
        <f t="shared" si="141"/>
        <v>2024</v>
      </c>
      <c r="E407" s="3" t="s">
        <v>627</v>
      </c>
      <c r="F407" s="3" t="s">
        <v>627</v>
      </c>
      <c r="G407" s="102">
        <f>DATE(Modelling_old[[#This Row],[Calendor Year]],Modelling_old[[#This Row],[Start Month]],1)</f>
        <v>45383</v>
      </c>
      <c r="H407" s="5">
        <f t="shared" si="142"/>
        <v>30</v>
      </c>
      <c r="I407" s="5">
        <f t="shared" si="143"/>
        <v>4</v>
      </c>
      <c r="J407" s="4">
        <f>_xlfn.XLOOKUP(Modelling_old[[#This Row],[Month]],$C$1:$C$14,$N$1:$N$14)/Modelling_old[[#This Row],[Total Days]]</f>
        <v>50.97</v>
      </c>
      <c r="K407" s="4">
        <f>SUM($J$384:J407)</f>
        <v>1223.2800000000004</v>
      </c>
      <c r="L407" s="4">
        <f>SUM($J$384:J407)</f>
        <v>1223.2800000000004</v>
      </c>
      <c r="M407" s="4">
        <f t="shared" si="144"/>
        <v>6.6233333333333331</v>
      </c>
      <c r="N407" s="4">
        <f>SUM($M$384:M407)</f>
        <v>158.96</v>
      </c>
      <c r="O407" s="4">
        <f>SUM($M$384:M407)</f>
        <v>158.96</v>
      </c>
      <c r="P407" s="323">
        <f t="shared" si="145"/>
        <v>0.66899539130820584</v>
      </c>
      <c r="Q407" s="337">
        <f t="shared" si="146"/>
        <v>0.66899539130820618</v>
      </c>
      <c r="R407" s="337">
        <f t="shared" si="147"/>
        <v>0.66899539130820618</v>
      </c>
      <c r="S407" s="323">
        <f t="shared" si="148"/>
        <v>0.18462414479575073</v>
      </c>
      <c r="T407" s="9">
        <f>Modelling_old[[#This Row],[Target E_Grid MTD
MWh]]/Modelling_old[[#This Row],[DC Capcity]]/(24*CG407)</f>
        <v>0.18462414479575076</v>
      </c>
      <c r="U407" s="338">
        <f>Modelling_old[[#This Row],[Target E_Grid YTD
MWh]]/Modelling_old[[#This Row],[DC Capcity]]/(24*CH407)</f>
        <v>0.18462414479575076</v>
      </c>
      <c r="V407" s="134">
        <v>11.5031</v>
      </c>
      <c r="Y407" s="27">
        <f t="shared" si="162"/>
        <v>45406</v>
      </c>
      <c r="Z407" s="5">
        <f>MONTH(Modelling_new[[#This Row],[Date]])</f>
        <v>4</v>
      </c>
      <c r="AA407" s="25">
        <f>YEAR(Y407)+IF(MONTH(Modelling_new[[#This Row],[Date]])&gt;=4,1,0)</f>
        <v>2025</v>
      </c>
      <c r="AB407" s="3">
        <f t="shared" si="149"/>
        <v>2024</v>
      </c>
      <c r="AC407" s="3" t="s">
        <v>627</v>
      </c>
      <c r="AD407" s="3" t="s">
        <v>627</v>
      </c>
      <c r="AE407" s="102">
        <f>DATE(Modelling_old[[#This Row],[Calendor Year]],Modelling_old[[#This Row],[Start Month]],1)</f>
        <v>45383</v>
      </c>
      <c r="AF407" s="5">
        <f t="shared" si="150"/>
        <v>30</v>
      </c>
      <c r="AG407" s="5">
        <f t="shared" si="151"/>
        <v>4</v>
      </c>
      <c r="AH407" s="4">
        <f>_xlfn.XLOOKUP(Modelling_new[[#This Row],[Month]],$AA$1:$AA$14,$AL$1:$AL$14)/Modelling_new[[#This Row],[Total Days]]</f>
        <v>72.38321964602072</v>
      </c>
      <c r="AI407" s="4">
        <f>SUM($AH$384:AH407)</f>
        <v>1737.1972715044974</v>
      </c>
      <c r="AJ407" s="4">
        <f>SUM($AH$384:AH407)</f>
        <v>1737.1972715044974</v>
      </c>
      <c r="AK407" s="4">
        <f t="shared" si="152"/>
        <v>6.6233333333333331</v>
      </c>
      <c r="AL407" s="4">
        <f>SUM($AK$384:AK407)</f>
        <v>158.96</v>
      </c>
      <c r="AM407" s="4">
        <f>SUM($AK$384:AK407)</f>
        <v>158.96</v>
      </c>
      <c r="AN407" s="323">
        <f t="shared" si="153"/>
        <v>0.95004984012629889</v>
      </c>
      <c r="AO407" s="323">
        <f t="shared" si="154"/>
        <v>0.95004984012629878</v>
      </c>
      <c r="AP407" s="323">
        <f t="shared" si="155"/>
        <v>0.95004984012629878</v>
      </c>
      <c r="AQ407" s="323">
        <f t="shared" si="156"/>
        <v>0.26218736560152167</v>
      </c>
      <c r="AR407" s="323">
        <f>Modelling_new[[#This Row],[Target E_Grid MTD
MWh]]/Modelling_new[[#This Row],[MTD DC Capcity]]/(24*CG407)</f>
        <v>0.23562245978522364</v>
      </c>
      <c r="AS407" s="323">
        <f>Modelling_new[[#This Row],[Target E_Grid YTD
MWh]]/Modelling_new[[#This Row],[YTD DC Capcity]]/(24*CH407)</f>
        <v>0.23562245978522364</v>
      </c>
      <c r="AT407" s="5">
        <v>12.8</v>
      </c>
      <c r="AU407" s="9">
        <f>Modelling_new[[#This Row],[Comisined DC ]]/$AO$1</f>
        <v>1</v>
      </c>
      <c r="AV407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07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407" s="27">
        <f t="shared" si="163"/>
        <v>45406</v>
      </c>
      <c r="BE407" s="5">
        <f>MONTH(Modelling[[#This Row],[Date]])</f>
        <v>4</v>
      </c>
      <c r="BF407" s="25">
        <f>YEAR(BD407)+IF(MONTH(Modelling[[#This Row],[Date]])&gt;=4,1,0)</f>
        <v>2025</v>
      </c>
      <c r="BG407" s="3">
        <f t="shared" si="157"/>
        <v>2024</v>
      </c>
      <c r="BH407" s="3" t="s">
        <v>627</v>
      </c>
      <c r="BI407" s="3" t="s">
        <v>627</v>
      </c>
      <c r="BJ407" s="102">
        <f>DATE(Modelling_old[[#This Row],[Calendor Year]],Modelling_old[[#This Row],[Start Month]],1)</f>
        <v>45383</v>
      </c>
      <c r="BK407" s="5">
        <f t="shared" si="158"/>
        <v>30</v>
      </c>
      <c r="BL407" s="5">
        <f t="shared" si="159"/>
        <v>4</v>
      </c>
      <c r="BM407" s="4">
        <f>Modelling_old[[#This Row],[Target E_Grid daily
MWh]]+Modelling_new[[#This Row],[Target E_Grid daily
MWh]]</f>
        <v>123.35321964602072</v>
      </c>
      <c r="BN407" s="4">
        <f>Modelling_old[[#This Row],[Target E_Grid MTD
MWh]]+Modelling_new[[#This Row],[Target E_Grid MTD
MWh]]</f>
        <v>2960.4772715044978</v>
      </c>
      <c r="BO407" s="4">
        <f>Modelling_old[[#This Row],[Target E_Grid YTD
MWh]]+Modelling_new[[#This Row],[Target E_Grid YTD
MWh]]</f>
        <v>2960.4772715044978</v>
      </c>
      <c r="BP407" s="4">
        <f>AVERAGE(Modelling_old[[#This Row],[Target POA Daily (KWh/m2)]],Modelling_new[[#This Row],[Target POA Daily (KWh/m2)]])</f>
        <v>6.6233333333333331</v>
      </c>
      <c r="BQ407" s="4">
        <f>SUM($BP$384:BP407)</f>
        <v>158.96</v>
      </c>
      <c r="BR407" s="4">
        <f>SUM($BP$384:BP407)</f>
        <v>158.96</v>
      </c>
      <c r="BS407" s="323">
        <f>BM407/Modelling[[#This Row],[Comisined DC ]]/BP407</f>
        <v>0.76632360487815343</v>
      </c>
      <c r="BT407" s="337">
        <f>BN407/BQ407/Modelling[[#This Row],[Comisined DC ]]</f>
        <v>0.76632360487815354</v>
      </c>
      <c r="BU407" s="337">
        <f>BO407/BR407/Modelling[[#This Row],[Comisined DC ]]</f>
        <v>0.76632360487815354</v>
      </c>
      <c r="BV407" s="323">
        <f>BM407/(24*Modelling[[#This Row],[Comisined DC ]])</f>
        <v>0.21148402817956816</v>
      </c>
      <c r="BW407" s="323">
        <f>Modelling[[#This Row],[Target E_Grid MTD
MWh]]/Modelling[[#This Row],[MTD DC Capcity]]/(24*CG407)</f>
        <v>0.21148402817956835</v>
      </c>
      <c r="BX407" s="338">
        <f>Modelling[[#This Row],[Target E_Grid YTD
MWh]]/Modelling[[#This Row],[YTD DC Capcity]]/(24*CH407)</f>
        <v>0.21148402817956835</v>
      </c>
      <c r="BY407" s="4">
        <f>Modelling_old[[#This Row],[DC Capcity]]+Modelling_new[[#This Row],[Comisined DC ]]</f>
        <v>24.303100000000001</v>
      </c>
      <c r="BZ407" s="4">
        <v>0</v>
      </c>
      <c r="CA407">
        <f>AVERAGEIFS(Modelling[[Comisined DC ]],Modelling[Date],"&lt;="&amp;Modelling[[#This Row],[Date]],Modelling[Month Year],Modelling[[#This Row],[Month Year]])</f>
        <v>24.303099999999986</v>
      </c>
      <c r="CB407">
        <f>AVERAGEIFS(Modelling[[Comisined DC ]],Modelling[Date],"&lt;="&amp;Modelling[[#This Row],[Date]],Modelling[Finacial Year],Modelling[[#This Row],[Finacial Year]])</f>
        <v>24.303099999999986</v>
      </c>
      <c r="CG407">
        <f t="shared" si="160"/>
        <v>24</v>
      </c>
      <c r="CH407">
        <f t="shared" si="161"/>
        <v>24</v>
      </c>
    </row>
    <row r="408" spans="1:86" x14ac:dyDescent="0.35">
      <c r="A408" s="27">
        <f t="shared" si="139"/>
        <v>45407</v>
      </c>
      <c r="B408" s="5">
        <f>MONTH(Modelling_old[[#This Row],[Date]])</f>
        <v>4</v>
      </c>
      <c r="C408" s="25">
        <f t="shared" si="140"/>
        <v>2025</v>
      </c>
      <c r="D408" s="3">
        <f t="shared" si="141"/>
        <v>2024</v>
      </c>
      <c r="E408" s="3" t="s">
        <v>627</v>
      </c>
      <c r="F408" s="3" t="s">
        <v>627</v>
      </c>
      <c r="G408" s="102">
        <f>DATE(Modelling_old[[#This Row],[Calendor Year]],Modelling_old[[#This Row],[Start Month]],1)</f>
        <v>45383</v>
      </c>
      <c r="H408" s="5">
        <f t="shared" si="142"/>
        <v>30</v>
      </c>
      <c r="I408" s="5">
        <f t="shared" si="143"/>
        <v>4</v>
      </c>
      <c r="J408" s="4">
        <f>_xlfn.XLOOKUP(Modelling_old[[#This Row],[Month]],$C$1:$C$14,$N$1:$N$14)/Modelling_old[[#This Row],[Total Days]]</f>
        <v>50.97</v>
      </c>
      <c r="K408" s="4">
        <f>SUM($J$384:J408)</f>
        <v>1274.2500000000005</v>
      </c>
      <c r="L408" s="4">
        <f>SUM($J$384:J408)</f>
        <v>1274.2500000000005</v>
      </c>
      <c r="M408" s="4">
        <f t="shared" si="144"/>
        <v>6.6233333333333331</v>
      </c>
      <c r="N408" s="4">
        <f>SUM($M$384:M408)</f>
        <v>165.58333333333334</v>
      </c>
      <c r="O408" s="4">
        <f>SUM($M$384:M408)</f>
        <v>165.58333333333334</v>
      </c>
      <c r="P408" s="323">
        <f t="shared" si="145"/>
        <v>0.66899539130820584</v>
      </c>
      <c r="Q408" s="337">
        <f t="shared" si="146"/>
        <v>0.66899539130820618</v>
      </c>
      <c r="R408" s="337">
        <f t="shared" si="147"/>
        <v>0.66899539130820618</v>
      </c>
      <c r="S408" s="323">
        <f t="shared" si="148"/>
        <v>0.18462414479575073</v>
      </c>
      <c r="T408" s="9">
        <f>Modelling_old[[#This Row],[Target E_Grid MTD
MWh]]/Modelling_old[[#This Row],[DC Capcity]]/(24*CG408)</f>
        <v>0.18462414479575079</v>
      </c>
      <c r="U408" s="338">
        <f>Modelling_old[[#This Row],[Target E_Grid YTD
MWh]]/Modelling_old[[#This Row],[DC Capcity]]/(24*CH408)</f>
        <v>0.18462414479575079</v>
      </c>
      <c r="V408" s="134">
        <v>11.5031</v>
      </c>
      <c r="Y408" s="27">
        <f t="shared" si="162"/>
        <v>45407</v>
      </c>
      <c r="Z408" s="5">
        <f>MONTH(Modelling_new[[#This Row],[Date]])</f>
        <v>4</v>
      </c>
      <c r="AA408" s="25">
        <f>YEAR(Y408)+IF(MONTH(Modelling_new[[#This Row],[Date]])&gt;=4,1,0)</f>
        <v>2025</v>
      </c>
      <c r="AB408" s="3">
        <f t="shared" si="149"/>
        <v>2024</v>
      </c>
      <c r="AC408" s="3" t="s">
        <v>627</v>
      </c>
      <c r="AD408" s="3" t="s">
        <v>627</v>
      </c>
      <c r="AE408" s="102">
        <f>DATE(Modelling_old[[#This Row],[Calendor Year]],Modelling_old[[#This Row],[Start Month]],1)</f>
        <v>45383</v>
      </c>
      <c r="AF408" s="5">
        <f t="shared" si="150"/>
        <v>30</v>
      </c>
      <c r="AG408" s="5">
        <f t="shared" si="151"/>
        <v>4</v>
      </c>
      <c r="AH408" s="4">
        <f>_xlfn.XLOOKUP(Modelling_new[[#This Row],[Month]],$AA$1:$AA$14,$AL$1:$AL$14)/Modelling_new[[#This Row],[Total Days]]</f>
        <v>72.38321964602072</v>
      </c>
      <c r="AI408" s="4">
        <f>SUM($AH$384:AH408)</f>
        <v>1809.5804911505181</v>
      </c>
      <c r="AJ408" s="4">
        <f>SUM($AH$384:AH408)</f>
        <v>1809.5804911505181</v>
      </c>
      <c r="AK408" s="4">
        <f t="shared" si="152"/>
        <v>6.6233333333333331</v>
      </c>
      <c r="AL408" s="4">
        <f>SUM($AK$384:AK408)</f>
        <v>165.58333333333334</v>
      </c>
      <c r="AM408" s="4">
        <f>SUM($AK$384:AK408)</f>
        <v>165.58333333333334</v>
      </c>
      <c r="AN408" s="323">
        <f t="shared" si="153"/>
        <v>0.95004984012629889</v>
      </c>
      <c r="AO408" s="323">
        <f t="shared" si="154"/>
        <v>0.95004984012629878</v>
      </c>
      <c r="AP408" s="323">
        <f t="shared" si="155"/>
        <v>0.95004984012629878</v>
      </c>
      <c r="AQ408" s="323">
        <f t="shared" si="156"/>
        <v>0.26218736560152167</v>
      </c>
      <c r="AR408" s="323">
        <f>Modelling_new[[#This Row],[Target E_Grid MTD
MWh]]/Modelling_new[[#This Row],[MTD DC Capcity]]/(24*CG408)</f>
        <v>0.23562245978522364</v>
      </c>
      <c r="AS408" s="323">
        <f>Modelling_new[[#This Row],[Target E_Grid YTD
MWh]]/Modelling_new[[#This Row],[YTD DC Capcity]]/(24*CH408)</f>
        <v>0.23562245978522364</v>
      </c>
      <c r="AT408" s="5">
        <v>12.8</v>
      </c>
      <c r="AU408" s="9">
        <f>Modelling_new[[#This Row],[Comisined DC ]]/$AO$1</f>
        <v>1</v>
      </c>
      <c r="AV408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08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408" s="27">
        <f t="shared" si="163"/>
        <v>45407</v>
      </c>
      <c r="BE408" s="5">
        <f>MONTH(Modelling[[#This Row],[Date]])</f>
        <v>4</v>
      </c>
      <c r="BF408" s="25">
        <f>YEAR(BD408)+IF(MONTH(Modelling[[#This Row],[Date]])&gt;=4,1,0)</f>
        <v>2025</v>
      </c>
      <c r="BG408" s="3">
        <f t="shared" si="157"/>
        <v>2024</v>
      </c>
      <c r="BH408" s="3" t="s">
        <v>627</v>
      </c>
      <c r="BI408" s="3" t="s">
        <v>627</v>
      </c>
      <c r="BJ408" s="102">
        <f>DATE(Modelling_old[[#This Row],[Calendor Year]],Modelling_old[[#This Row],[Start Month]],1)</f>
        <v>45383</v>
      </c>
      <c r="BK408" s="5">
        <f t="shared" si="158"/>
        <v>30</v>
      </c>
      <c r="BL408" s="5">
        <f t="shared" si="159"/>
        <v>4</v>
      </c>
      <c r="BM408" s="4">
        <f>Modelling_old[[#This Row],[Target E_Grid daily
MWh]]+Modelling_new[[#This Row],[Target E_Grid daily
MWh]]</f>
        <v>123.35321964602072</v>
      </c>
      <c r="BN408" s="4">
        <f>Modelling_old[[#This Row],[Target E_Grid MTD
MWh]]+Modelling_new[[#This Row],[Target E_Grid MTD
MWh]]</f>
        <v>3083.8304911505184</v>
      </c>
      <c r="BO408" s="4">
        <f>Modelling_old[[#This Row],[Target E_Grid YTD
MWh]]+Modelling_new[[#This Row],[Target E_Grid YTD
MWh]]</f>
        <v>3083.8304911505184</v>
      </c>
      <c r="BP408" s="4">
        <f>AVERAGE(Modelling_old[[#This Row],[Target POA Daily (KWh/m2)]],Modelling_new[[#This Row],[Target POA Daily (KWh/m2)]])</f>
        <v>6.6233333333333331</v>
      </c>
      <c r="BQ408" s="4">
        <f>SUM($BP$384:BP408)</f>
        <v>165.58333333333334</v>
      </c>
      <c r="BR408" s="4">
        <f>SUM($BP$384:BP408)</f>
        <v>165.58333333333334</v>
      </c>
      <c r="BS408" s="323">
        <f>BM408/Modelling[[#This Row],[Comisined DC ]]/BP408</f>
        <v>0.76632360487815343</v>
      </c>
      <c r="BT408" s="337">
        <f>BN408/BQ408/Modelling[[#This Row],[Comisined DC ]]</f>
        <v>0.76632360487815343</v>
      </c>
      <c r="BU408" s="337">
        <f>BO408/BR408/Modelling[[#This Row],[Comisined DC ]]</f>
        <v>0.76632360487815343</v>
      </c>
      <c r="BV408" s="323">
        <f>BM408/(24*Modelling[[#This Row],[Comisined DC ]])</f>
        <v>0.21148402817956816</v>
      </c>
      <c r="BW408" s="323">
        <f>Modelling[[#This Row],[Target E_Grid MTD
MWh]]/Modelling[[#This Row],[MTD DC Capcity]]/(24*CG408)</f>
        <v>0.2114840281795683</v>
      </c>
      <c r="BX408" s="338">
        <f>Modelling[[#This Row],[Target E_Grid YTD
MWh]]/Modelling[[#This Row],[YTD DC Capcity]]/(24*CH408)</f>
        <v>0.2114840281795683</v>
      </c>
      <c r="BY408" s="4">
        <f>Modelling_old[[#This Row],[DC Capcity]]+Modelling_new[[#This Row],[Comisined DC ]]</f>
        <v>24.303100000000001</v>
      </c>
      <c r="BZ408" s="4">
        <v>0</v>
      </c>
      <c r="CA408">
        <f>AVERAGEIFS(Modelling[[Comisined DC ]],Modelling[Date],"&lt;="&amp;Modelling[[#This Row],[Date]],Modelling[Month Year],Modelling[[#This Row],[Month Year]])</f>
        <v>24.303099999999986</v>
      </c>
      <c r="CB408">
        <f>AVERAGEIFS(Modelling[[Comisined DC ]],Modelling[Date],"&lt;="&amp;Modelling[[#This Row],[Date]],Modelling[Finacial Year],Modelling[[#This Row],[Finacial Year]])</f>
        <v>24.303099999999986</v>
      </c>
      <c r="CG408">
        <f t="shared" si="160"/>
        <v>25</v>
      </c>
      <c r="CH408">
        <f t="shared" si="161"/>
        <v>25</v>
      </c>
    </row>
    <row r="409" spans="1:86" x14ac:dyDescent="0.35">
      <c r="A409" s="27">
        <f t="shared" si="139"/>
        <v>45408</v>
      </c>
      <c r="B409" s="5">
        <f>MONTH(Modelling_old[[#This Row],[Date]])</f>
        <v>4</v>
      </c>
      <c r="C409" s="25">
        <f t="shared" si="140"/>
        <v>2025</v>
      </c>
      <c r="D409" s="3">
        <f t="shared" si="141"/>
        <v>2024</v>
      </c>
      <c r="E409" s="3" t="s">
        <v>627</v>
      </c>
      <c r="F409" s="3" t="s">
        <v>627</v>
      </c>
      <c r="G409" s="102">
        <f>DATE(Modelling_old[[#This Row],[Calendor Year]],Modelling_old[[#This Row],[Start Month]],1)</f>
        <v>45383</v>
      </c>
      <c r="H409" s="5">
        <f t="shared" si="142"/>
        <v>30</v>
      </c>
      <c r="I409" s="5">
        <f t="shared" si="143"/>
        <v>4</v>
      </c>
      <c r="J409" s="4">
        <f>_xlfn.XLOOKUP(Modelling_old[[#This Row],[Month]],$C$1:$C$14,$N$1:$N$14)/Modelling_old[[#This Row],[Total Days]]</f>
        <v>50.97</v>
      </c>
      <c r="K409" s="4">
        <f>SUM($J$384:J409)</f>
        <v>1325.2200000000005</v>
      </c>
      <c r="L409" s="4">
        <f>SUM($J$384:J409)</f>
        <v>1325.2200000000005</v>
      </c>
      <c r="M409" s="4">
        <f t="shared" si="144"/>
        <v>6.6233333333333331</v>
      </c>
      <c r="N409" s="4">
        <f>SUM($M$384:M409)</f>
        <v>172.20666666666668</v>
      </c>
      <c r="O409" s="4">
        <f>SUM($M$384:M409)</f>
        <v>172.20666666666668</v>
      </c>
      <c r="P409" s="323">
        <f t="shared" si="145"/>
        <v>0.66899539130820584</v>
      </c>
      <c r="Q409" s="337">
        <f t="shared" si="146"/>
        <v>0.66899539130820618</v>
      </c>
      <c r="R409" s="337">
        <f t="shared" si="147"/>
        <v>0.66899539130820618</v>
      </c>
      <c r="S409" s="323">
        <f t="shared" si="148"/>
        <v>0.18462414479575073</v>
      </c>
      <c r="T409" s="9">
        <f>Modelling_old[[#This Row],[Target E_Grid MTD
MWh]]/Modelling_old[[#This Row],[DC Capcity]]/(24*CG409)</f>
        <v>0.18462414479575079</v>
      </c>
      <c r="U409" s="338">
        <f>Modelling_old[[#This Row],[Target E_Grid YTD
MWh]]/Modelling_old[[#This Row],[DC Capcity]]/(24*CH409)</f>
        <v>0.18462414479575079</v>
      </c>
      <c r="V409" s="134">
        <v>11.5031</v>
      </c>
      <c r="Y409" s="27">
        <f t="shared" si="162"/>
        <v>45408</v>
      </c>
      <c r="Z409" s="5">
        <f>MONTH(Modelling_new[[#This Row],[Date]])</f>
        <v>4</v>
      </c>
      <c r="AA409" s="25">
        <f>YEAR(Y409)+IF(MONTH(Modelling_new[[#This Row],[Date]])&gt;=4,1,0)</f>
        <v>2025</v>
      </c>
      <c r="AB409" s="3">
        <f t="shared" si="149"/>
        <v>2024</v>
      </c>
      <c r="AC409" s="3" t="s">
        <v>627</v>
      </c>
      <c r="AD409" s="3" t="s">
        <v>627</v>
      </c>
      <c r="AE409" s="102">
        <f>DATE(Modelling_old[[#This Row],[Calendor Year]],Modelling_old[[#This Row],[Start Month]],1)</f>
        <v>45383</v>
      </c>
      <c r="AF409" s="5">
        <f t="shared" si="150"/>
        <v>30</v>
      </c>
      <c r="AG409" s="5">
        <f t="shared" si="151"/>
        <v>4</v>
      </c>
      <c r="AH409" s="4">
        <f>_xlfn.XLOOKUP(Modelling_new[[#This Row],[Month]],$AA$1:$AA$14,$AL$1:$AL$14)/Modelling_new[[#This Row],[Total Days]]</f>
        <v>72.38321964602072</v>
      </c>
      <c r="AI409" s="4">
        <f>SUM($AH$384:AH409)</f>
        <v>1881.9637107965389</v>
      </c>
      <c r="AJ409" s="4">
        <f>SUM($AH$384:AH409)</f>
        <v>1881.9637107965389</v>
      </c>
      <c r="AK409" s="4">
        <f t="shared" si="152"/>
        <v>6.6233333333333331</v>
      </c>
      <c r="AL409" s="4">
        <f>SUM($AK$384:AK409)</f>
        <v>172.20666666666668</v>
      </c>
      <c r="AM409" s="4">
        <f>SUM($AK$384:AK409)</f>
        <v>172.20666666666668</v>
      </c>
      <c r="AN409" s="323">
        <f t="shared" si="153"/>
        <v>0.95004984012629889</v>
      </c>
      <c r="AO409" s="323">
        <f t="shared" si="154"/>
        <v>0.95004984012629878</v>
      </c>
      <c r="AP409" s="323">
        <f t="shared" si="155"/>
        <v>0.95004984012629878</v>
      </c>
      <c r="AQ409" s="323">
        <f t="shared" si="156"/>
        <v>0.26218736560152167</v>
      </c>
      <c r="AR409" s="323">
        <f>Modelling_new[[#This Row],[Target E_Grid MTD
MWh]]/Modelling_new[[#This Row],[MTD DC Capcity]]/(24*CG409)</f>
        <v>0.23562245978522364</v>
      </c>
      <c r="AS409" s="323">
        <f>Modelling_new[[#This Row],[Target E_Grid YTD
MWh]]/Modelling_new[[#This Row],[YTD DC Capcity]]/(24*CH409)</f>
        <v>0.23562245978522364</v>
      </c>
      <c r="AT409" s="5">
        <v>12.8</v>
      </c>
      <c r="AU409" s="9">
        <f>Modelling_new[[#This Row],[Comisined DC ]]/$AO$1</f>
        <v>1</v>
      </c>
      <c r="AV40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09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409" s="27">
        <f t="shared" si="163"/>
        <v>45408</v>
      </c>
      <c r="BE409" s="5">
        <f>MONTH(Modelling[[#This Row],[Date]])</f>
        <v>4</v>
      </c>
      <c r="BF409" s="25">
        <f>YEAR(BD409)+IF(MONTH(Modelling[[#This Row],[Date]])&gt;=4,1,0)</f>
        <v>2025</v>
      </c>
      <c r="BG409" s="3">
        <f t="shared" si="157"/>
        <v>2024</v>
      </c>
      <c r="BH409" s="3" t="s">
        <v>627</v>
      </c>
      <c r="BI409" s="3" t="s">
        <v>627</v>
      </c>
      <c r="BJ409" s="102">
        <f>DATE(Modelling_old[[#This Row],[Calendor Year]],Modelling_old[[#This Row],[Start Month]],1)</f>
        <v>45383</v>
      </c>
      <c r="BK409" s="5">
        <f t="shared" si="158"/>
        <v>30</v>
      </c>
      <c r="BL409" s="5">
        <f t="shared" si="159"/>
        <v>4</v>
      </c>
      <c r="BM409" s="4">
        <f>Modelling_old[[#This Row],[Target E_Grid daily
MWh]]+Modelling_new[[#This Row],[Target E_Grid daily
MWh]]</f>
        <v>123.35321964602072</v>
      </c>
      <c r="BN409" s="4">
        <f>Modelling_old[[#This Row],[Target E_Grid MTD
MWh]]+Modelling_new[[#This Row],[Target E_Grid MTD
MWh]]</f>
        <v>3207.1837107965393</v>
      </c>
      <c r="BO409" s="4">
        <f>Modelling_old[[#This Row],[Target E_Grid YTD
MWh]]+Modelling_new[[#This Row],[Target E_Grid YTD
MWh]]</f>
        <v>3207.1837107965393</v>
      </c>
      <c r="BP409" s="4">
        <f>AVERAGE(Modelling_old[[#This Row],[Target POA Daily (KWh/m2)]],Modelling_new[[#This Row],[Target POA Daily (KWh/m2)]])</f>
        <v>6.6233333333333331</v>
      </c>
      <c r="BQ409" s="4">
        <f>SUM($BP$384:BP409)</f>
        <v>172.20666666666668</v>
      </c>
      <c r="BR409" s="4">
        <f>SUM($BP$384:BP409)</f>
        <v>172.20666666666668</v>
      </c>
      <c r="BS409" s="323">
        <f>BM409/Modelling[[#This Row],[Comisined DC ]]/BP409</f>
        <v>0.76632360487815343</v>
      </c>
      <c r="BT409" s="337">
        <f>BN409/BQ409/Modelling[[#This Row],[Comisined DC ]]</f>
        <v>0.76632360487815354</v>
      </c>
      <c r="BU409" s="337">
        <f>BO409/BR409/Modelling[[#This Row],[Comisined DC ]]</f>
        <v>0.76632360487815354</v>
      </c>
      <c r="BV409" s="323">
        <f>BM409/(24*Modelling[[#This Row],[Comisined DC ]])</f>
        <v>0.21148402817956816</v>
      </c>
      <c r="BW409" s="323">
        <f>Modelling[[#This Row],[Target E_Grid MTD
MWh]]/Modelling[[#This Row],[MTD DC Capcity]]/(24*CG409)</f>
        <v>0.21148402817956835</v>
      </c>
      <c r="BX409" s="338">
        <f>Modelling[[#This Row],[Target E_Grid YTD
MWh]]/Modelling[[#This Row],[YTD DC Capcity]]/(24*CH409)</f>
        <v>0.21148402817956835</v>
      </c>
      <c r="BY409" s="4">
        <f>Modelling_old[[#This Row],[DC Capcity]]+Modelling_new[[#This Row],[Comisined DC ]]</f>
        <v>24.303100000000001</v>
      </c>
      <c r="BZ409" s="4">
        <v>0</v>
      </c>
      <c r="CA409">
        <f>AVERAGEIFS(Modelling[[Comisined DC ]],Modelling[Date],"&lt;="&amp;Modelling[[#This Row],[Date]],Modelling[Month Year],Modelling[[#This Row],[Month Year]])</f>
        <v>24.303099999999986</v>
      </c>
      <c r="CB409">
        <f>AVERAGEIFS(Modelling[[Comisined DC ]],Modelling[Date],"&lt;="&amp;Modelling[[#This Row],[Date]],Modelling[Finacial Year],Modelling[[#This Row],[Finacial Year]])</f>
        <v>24.303099999999986</v>
      </c>
      <c r="CG409">
        <f t="shared" si="160"/>
        <v>26</v>
      </c>
      <c r="CH409">
        <f t="shared" si="161"/>
        <v>26</v>
      </c>
    </row>
    <row r="410" spans="1:86" x14ac:dyDescent="0.35">
      <c r="A410" s="27">
        <f t="shared" si="139"/>
        <v>45409</v>
      </c>
      <c r="B410" s="5">
        <f>MONTH(Modelling_old[[#This Row],[Date]])</f>
        <v>4</v>
      </c>
      <c r="C410" s="25">
        <f t="shared" si="140"/>
        <v>2025</v>
      </c>
      <c r="D410" s="3">
        <f t="shared" si="141"/>
        <v>2024</v>
      </c>
      <c r="E410" s="3" t="s">
        <v>627</v>
      </c>
      <c r="F410" s="3" t="s">
        <v>627</v>
      </c>
      <c r="G410" s="102">
        <f>DATE(Modelling_old[[#This Row],[Calendor Year]],Modelling_old[[#This Row],[Start Month]],1)</f>
        <v>45383</v>
      </c>
      <c r="H410" s="5">
        <f t="shared" si="142"/>
        <v>30</v>
      </c>
      <c r="I410" s="5">
        <f t="shared" si="143"/>
        <v>4</v>
      </c>
      <c r="J410" s="4">
        <f>_xlfn.XLOOKUP(Modelling_old[[#This Row],[Month]],$C$1:$C$14,$N$1:$N$14)/Modelling_old[[#This Row],[Total Days]]</f>
        <v>50.97</v>
      </c>
      <c r="K410" s="4">
        <f>SUM($J$384:J410)</f>
        <v>1376.1900000000005</v>
      </c>
      <c r="L410" s="4">
        <f>SUM($J$384:J410)</f>
        <v>1376.1900000000005</v>
      </c>
      <c r="M410" s="4">
        <f t="shared" si="144"/>
        <v>6.6233333333333331</v>
      </c>
      <c r="N410" s="4">
        <f>SUM($M$384:M410)</f>
        <v>178.83</v>
      </c>
      <c r="O410" s="4">
        <f>SUM($M$384:M410)</f>
        <v>178.83</v>
      </c>
      <c r="P410" s="323">
        <f t="shared" si="145"/>
        <v>0.66899539130820584</v>
      </c>
      <c r="Q410" s="337">
        <f t="shared" si="146"/>
        <v>0.66899539130820618</v>
      </c>
      <c r="R410" s="337">
        <f t="shared" si="147"/>
        <v>0.66899539130820618</v>
      </c>
      <c r="S410" s="323">
        <f t="shared" si="148"/>
        <v>0.18462414479575073</v>
      </c>
      <c r="T410" s="9">
        <f>Modelling_old[[#This Row],[Target E_Grid MTD
MWh]]/Modelling_old[[#This Row],[DC Capcity]]/(24*CG410)</f>
        <v>0.18462414479575079</v>
      </c>
      <c r="U410" s="338">
        <f>Modelling_old[[#This Row],[Target E_Grid YTD
MWh]]/Modelling_old[[#This Row],[DC Capcity]]/(24*CH410)</f>
        <v>0.18462414479575079</v>
      </c>
      <c r="V410" s="134">
        <v>11.5031</v>
      </c>
      <c r="Y410" s="27">
        <f t="shared" si="162"/>
        <v>45409</v>
      </c>
      <c r="Z410" s="5">
        <f>MONTH(Modelling_new[[#This Row],[Date]])</f>
        <v>4</v>
      </c>
      <c r="AA410" s="25">
        <f>YEAR(Y410)+IF(MONTH(Modelling_new[[#This Row],[Date]])&gt;=4,1,0)</f>
        <v>2025</v>
      </c>
      <c r="AB410" s="3">
        <f t="shared" si="149"/>
        <v>2024</v>
      </c>
      <c r="AC410" s="3" t="s">
        <v>627</v>
      </c>
      <c r="AD410" s="3" t="s">
        <v>627</v>
      </c>
      <c r="AE410" s="102">
        <f>DATE(Modelling_old[[#This Row],[Calendor Year]],Modelling_old[[#This Row],[Start Month]],1)</f>
        <v>45383</v>
      </c>
      <c r="AF410" s="5">
        <f t="shared" si="150"/>
        <v>30</v>
      </c>
      <c r="AG410" s="5">
        <f t="shared" si="151"/>
        <v>4</v>
      </c>
      <c r="AH410" s="4">
        <f>_xlfn.XLOOKUP(Modelling_new[[#This Row],[Month]],$AA$1:$AA$14,$AL$1:$AL$14)/Modelling_new[[#This Row],[Total Days]]</f>
        <v>72.38321964602072</v>
      </c>
      <c r="AI410" s="4">
        <f>SUM($AH$384:AH410)</f>
        <v>1954.3469304425596</v>
      </c>
      <c r="AJ410" s="4">
        <f>SUM($AH$384:AH410)</f>
        <v>1954.3469304425596</v>
      </c>
      <c r="AK410" s="4">
        <f t="shared" si="152"/>
        <v>6.6233333333333331</v>
      </c>
      <c r="AL410" s="4">
        <f>SUM($AK$384:AK410)</f>
        <v>178.83</v>
      </c>
      <c r="AM410" s="4">
        <f>SUM($AK$384:AK410)</f>
        <v>178.83</v>
      </c>
      <c r="AN410" s="323">
        <f t="shared" si="153"/>
        <v>0.95004984012629889</v>
      </c>
      <c r="AO410" s="323">
        <f t="shared" si="154"/>
        <v>0.95004984012629878</v>
      </c>
      <c r="AP410" s="323">
        <f t="shared" si="155"/>
        <v>0.95004984012629878</v>
      </c>
      <c r="AQ410" s="323">
        <f t="shared" si="156"/>
        <v>0.26218736560152167</v>
      </c>
      <c r="AR410" s="323">
        <f>Modelling_new[[#This Row],[Target E_Grid MTD
MWh]]/Modelling_new[[#This Row],[MTD DC Capcity]]/(24*CG410)</f>
        <v>0.23562245978522367</v>
      </c>
      <c r="AS410" s="323">
        <f>Modelling_new[[#This Row],[Target E_Grid YTD
MWh]]/Modelling_new[[#This Row],[YTD DC Capcity]]/(24*CH410)</f>
        <v>0.23562245978522367</v>
      </c>
      <c r="AT410" s="5">
        <v>12.8</v>
      </c>
      <c r="AU410" s="9">
        <f>Modelling_new[[#This Row],[Comisined DC ]]/$AO$1</f>
        <v>1</v>
      </c>
      <c r="AV41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10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410" s="27">
        <f t="shared" si="163"/>
        <v>45409</v>
      </c>
      <c r="BE410" s="5">
        <f>MONTH(Modelling[[#This Row],[Date]])</f>
        <v>4</v>
      </c>
      <c r="BF410" s="25">
        <f>YEAR(BD410)+IF(MONTH(Modelling[[#This Row],[Date]])&gt;=4,1,0)</f>
        <v>2025</v>
      </c>
      <c r="BG410" s="3">
        <f t="shared" si="157"/>
        <v>2024</v>
      </c>
      <c r="BH410" s="3" t="s">
        <v>627</v>
      </c>
      <c r="BI410" s="3" t="s">
        <v>627</v>
      </c>
      <c r="BJ410" s="102">
        <f>DATE(Modelling_old[[#This Row],[Calendor Year]],Modelling_old[[#This Row],[Start Month]],1)</f>
        <v>45383</v>
      </c>
      <c r="BK410" s="5">
        <f t="shared" si="158"/>
        <v>30</v>
      </c>
      <c r="BL410" s="5">
        <f t="shared" si="159"/>
        <v>4</v>
      </c>
      <c r="BM410" s="4">
        <f>Modelling_old[[#This Row],[Target E_Grid daily
MWh]]+Modelling_new[[#This Row],[Target E_Grid daily
MWh]]</f>
        <v>123.35321964602072</v>
      </c>
      <c r="BN410" s="4">
        <f>Modelling_old[[#This Row],[Target E_Grid MTD
MWh]]+Modelling_new[[#This Row],[Target E_Grid MTD
MWh]]</f>
        <v>3330.5369304425603</v>
      </c>
      <c r="BO410" s="4">
        <f>Modelling_old[[#This Row],[Target E_Grid YTD
MWh]]+Modelling_new[[#This Row],[Target E_Grid YTD
MWh]]</f>
        <v>3330.5369304425603</v>
      </c>
      <c r="BP410" s="4">
        <f>AVERAGE(Modelling_old[[#This Row],[Target POA Daily (KWh/m2)]],Modelling_new[[#This Row],[Target POA Daily (KWh/m2)]])</f>
        <v>6.6233333333333331</v>
      </c>
      <c r="BQ410" s="4">
        <f>SUM($BP$384:BP410)</f>
        <v>178.83</v>
      </c>
      <c r="BR410" s="4">
        <f>SUM($BP$384:BP410)</f>
        <v>178.83</v>
      </c>
      <c r="BS410" s="323">
        <f>BM410/Modelling[[#This Row],[Comisined DC ]]/BP410</f>
        <v>0.76632360487815343</v>
      </c>
      <c r="BT410" s="337">
        <f>BN410/BQ410/Modelling[[#This Row],[Comisined DC ]]</f>
        <v>0.76632360487815354</v>
      </c>
      <c r="BU410" s="337">
        <f>BO410/BR410/Modelling[[#This Row],[Comisined DC ]]</f>
        <v>0.76632360487815354</v>
      </c>
      <c r="BV410" s="323">
        <f>BM410/(24*Modelling[[#This Row],[Comisined DC ]])</f>
        <v>0.21148402817956816</v>
      </c>
      <c r="BW410" s="323">
        <f>Modelling[[#This Row],[Target E_Grid MTD
MWh]]/Modelling[[#This Row],[MTD DC Capcity]]/(24*CG410)</f>
        <v>0.21148402817956835</v>
      </c>
      <c r="BX410" s="338">
        <f>Modelling[[#This Row],[Target E_Grid YTD
MWh]]/Modelling[[#This Row],[YTD DC Capcity]]/(24*CH410)</f>
        <v>0.21148402817956835</v>
      </c>
      <c r="BY410" s="4">
        <f>Modelling_old[[#This Row],[DC Capcity]]+Modelling_new[[#This Row],[Comisined DC ]]</f>
        <v>24.303100000000001</v>
      </c>
      <c r="BZ410" s="4">
        <v>0</v>
      </c>
      <c r="CA410">
        <f>AVERAGEIFS(Modelling[[Comisined DC ]],Modelling[Date],"&lt;="&amp;Modelling[[#This Row],[Date]],Modelling[Month Year],Modelling[[#This Row],[Month Year]])</f>
        <v>24.303099999999986</v>
      </c>
      <c r="CB410">
        <f>AVERAGEIFS(Modelling[[Comisined DC ]],Modelling[Date],"&lt;="&amp;Modelling[[#This Row],[Date]],Modelling[Finacial Year],Modelling[[#This Row],[Finacial Year]])</f>
        <v>24.303099999999986</v>
      </c>
      <c r="CG410">
        <f t="shared" si="160"/>
        <v>27</v>
      </c>
      <c r="CH410">
        <f t="shared" si="161"/>
        <v>27</v>
      </c>
    </row>
    <row r="411" spans="1:86" x14ac:dyDescent="0.35">
      <c r="A411" s="27">
        <f t="shared" si="139"/>
        <v>45410</v>
      </c>
      <c r="B411" s="5">
        <f>MONTH(Modelling_old[[#This Row],[Date]])</f>
        <v>4</v>
      </c>
      <c r="C411" s="25">
        <f t="shared" si="140"/>
        <v>2025</v>
      </c>
      <c r="D411" s="3">
        <f t="shared" si="141"/>
        <v>2024</v>
      </c>
      <c r="E411" s="3" t="s">
        <v>627</v>
      </c>
      <c r="F411" s="3" t="s">
        <v>627</v>
      </c>
      <c r="G411" s="102">
        <f>DATE(Modelling_old[[#This Row],[Calendor Year]],Modelling_old[[#This Row],[Start Month]],1)</f>
        <v>45383</v>
      </c>
      <c r="H411" s="5">
        <f t="shared" si="142"/>
        <v>30</v>
      </c>
      <c r="I411" s="5">
        <f t="shared" si="143"/>
        <v>4</v>
      </c>
      <c r="J411" s="4">
        <f>_xlfn.XLOOKUP(Modelling_old[[#This Row],[Month]],$C$1:$C$14,$N$1:$N$14)/Modelling_old[[#This Row],[Total Days]]</f>
        <v>50.97</v>
      </c>
      <c r="K411" s="4">
        <f>SUM($J$384:J411)</f>
        <v>1427.1600000000005</v>
      </c>
      <c r="L411" s="4">
        <f>SUM($J$384:J411)</f>
        <v>1427.1600000000005</v>
      </c>
      <c r="M411" s="4">
        <f t="shared" si="144"/>
        <v>6.6233333333333331</v>
      </c>
      <c r="N411" s="4">
        <f>SUM($M$384:M411)</f>
        <v>185.45333333333335</v>
      </c>
      <c r="O411" s="4">
        <f>SUM($M$384:M411)</f>
        <v>185.45333333333335</v>
      </c>
      <c r="P411" s="323">
        <f t="shared" si="145"/>
        <v>0.66899539130820584</v>
      </c>
      <c r="Q411" s="337">
        <f t="shared" si="146"/>
        <v>0.66899539130820618</v>
      </c>
      <c r="R411" s="337">
        <f t="shared" si="147"/>
        <v>0.66899539130820618</v>
      </c>
      <c r="S411" s="323">
        <f t="shared" si="148"/>
        <v>0.18462414479575073</v>
      </c>
      <c r="T411" s="9">
        <f>Modelling_old[[#This Row],[Target E_Grid MTD
MWh]]/Modelling_old[[#This Row],[DC Capcity]]/(24*CG411)</f>
        <v>0.18462414479575079</v>
      </c>
      <c r="U411" s="338">
        <f>Modelling_old[[#This Row],[Target E_Grid YTD
MWh]]/Modelling_old[[#This Row],[DC Capcity]]/(24*CH411)</f>
        <v>0.18462414479575079</v>
      </c>
      <c r="V411" s="134">
        <v>11.5031</v>
      </c>
      <c r="Y411" s="27">
        <f t="shared" si="162"/>
        <v>45410</v>
      </c>
      <c r="Z411" s="5">
        <f>MONTH(Modelling_new[[#This Row],[Date]])</f>
        <v>4</v>
      </c>
      <c r="AA411" s="25">
        <f>YEAR(Y411)+IF(MONTH(Modelling_new[[#This Row],[Date]])&gt;=4,1,0)</f>
        <v>2025</v>
      </c>
      <c r="AB411" s="3">
        <f t="shared" si="149"/>
        <v>2024</v>
      </c>
      <c r="AC411" s="3" t="s">
        <v>627</v>
      </c>
      <c r="AD411" s="3" t="s">
        <v>627</v>
      </c>
      <c r="AE411" s="102">
        <f>DATE(Modelling_old[[#This Row],[Calendor Year]],Modelling_old[[#This Row],[Start Month]],1)</f>
        <v>45383</v>
      </c>
      <c r="AF411" s="5">
        <f t="shared" si="150"/>
        <v>30</v>
      </c>
      <c r="AG411" s="5">
        <f t="shared" si="151"/>
        <v>4</v>
      </c>
      <c r="AH411" s="4">
        <f>_xlfn.XLOOKUP(Modelling_new[[#This Row],[Month]],$AA$1:$AA$14,$AL$1:$AL$14)/Modelling_new[[#This Row],[Total Days]]</f>
        <v>72.38321964602072</v>
      </c>
      <c r="AI411" s="4">
        <f>SUM($AH$384:AH411)</f>
        <v>2026.7301500885803</v>
      </c>
      <c r="AJ411" s="4">
        <f>SUM($AH$384:AH411)</f>
        <v>2026.7301500885803</v>
      </c>
      <c r="AK411" s="4">
        <f t="shared" si="152"/>
        <v>6.6233333333333331</v>
      </c>
      <c r="AL411" s="4">
        <f>SUM($AK$384:AK411)</f>
        <v>185.45333333333335</v>
      </c>
      <c r="AM411" s="4">
        <f>SUM($AK$384:AK411)</f>
        <v>185.45333333333335</v>
      </c>
      <c r="AN411" s="323">
        <f t="shared" si="153"/>
        <v>0.95004984012629889</v>
      </c>
      <c r="AO411" s="323">
        <f t="shared" si="154"/>
        <v>0.95004984012629878</v>
      </c>
      <c r="AP411" s="323">
        <f t="shared" si="155"/>
        <v>0.95004984012629878</v>
      </c>
      <c r="AQ411" s="323">
        <f t="shared" si="156"/>
        <v>0.26218736560152167</v>
      </c>
      <c r="AR411" s="323">
        <f>Modelling_new[[#This Row],[Target E_Grid MTD
MWh]]/Modelling_new[[#This Row],[MTD DC Capcity]]/(24*CG411)</f>
        <v>0.23562245978522361</v>
      </c>
      <c r="AS411" s="323">
        <f>Modelling_new[[#This Row],[Target E_Grid YTD
MWh]]/Modelling_new[[#This Row],[YTD DC Capcity]]/(24*CH411)</f>
        <v>0.23562245978522361</v>
      </c>
      <c r="AT411" s="5">
        <v>12.8</v>
      </c>
      <c r="AU411" s="9">
        <f>Modelling_new[[#This Row],[Comisined DC ]]/$AO$1</f>
        <v>1</v>
      </c>
      <c r="AV411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411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11" s="27">
        <f t="shared" si="163"/>
        <v>45410</v>
      </c>
      <c r="BE411" s="5">
        <f>MONTH(Modelling[[#This Row],[Date]])</f>
        <v>4</v>
      </c>
      <c r="BF411" s="25">
        <f>YEAR(BD411)+IF(MONTH(Modelling[[#This Row],[Date]])&gt;=4,1,0)</f>
        <v>2025</v>
      </c>
      <c r="BG411" s="3">
        <f t="shared" si="157"/>
        <v>2024</v>
      </c>
      <c r="BH411" s="3" t="s">
        <v>627</v>
      </c>
      <c r="BI411" s="3" t="s">
        <v>627</v>
      </c>
      <c r="BJ411" s="102">
        <f>DATE(Modelling_old[[#This Row],[Calendor Year]],Modelling_old[[#This Row],[Start Month]],1)</f>
        <v>45383</v>
      </c>
      <c r="BK411" s="5">
        <f t="shared" si="158"/>
        <v>30</v>
      </c>
      <c r="BL411" s="5">
        <f t="shared" si="159"/>
        <v>4</v>
      </c>
      <c r="BM411" s="4">
        <f>Modelling_old[[#This Row],[Target E_Grid daily
MWh]]+Modelling_new[[#This Row],[Target E_Grid daily
MWh]]</f>
        <v>123.35321964602072</v>
      </c>
      <c r="BN411" s="4">
        <f>Modelling_old[[#This Row],[Target E_Grid MTD
MWh]]+Modelling_new[[#This Row],[Target E_Grid MTD
MWh]]</f>
        <v>3453.8901500885809</v>
      </c>
      <c r="BO411" s="4">
        <f>Modelling_old[[#This Row],[Target E_Grid YTD
MWh]]+Modelling_new[[#This Row],[Target E_Grid YTD
MWh]]</f>
        <v>3453.8901500885809</v>
      </c>
      <c r="BP411" s="4">
        <f>AVERAGE(Modelling_old[[#This Row],[Target POA Daily (KWh/m2)]],Modelling_new[[#This Row],[Target POA Daily (KWh/m2)]])</f>
        <v>6.6233333333333331</v>
      </c>
      <c r="BQ411" s="4">
        <f>SUM($BP$384:BP411)</f>
        <v>185.45333333333335</v>
      </c>
      <c r="BR411" s="4">
        <f>SUM($BP$384:BP411)</f>
        <v>185.45333333333335</v>
      </c>
      <c r="BS411" s="323">
        <f>BM411/Modelling[[#This Row],[Comisined DC ]]/BP411</f>
        <v>0.76632360487815343</v>
      </c>
      <c r="BT411" s="337">
        <f>BN411/BQ411/Modelling[[#This Row],[Comisined DC ]]</f>
        <v>0.76632360487815354</v>
      </c>
      <c r="BU411" s="337">
        <f>BO411/BR411/Modelling[[#This Row],[Comisined DC ]]</f>
        <v>0.76632360487815354</v>
      </c>
      <c r="BV411" s="323">
        <f>BM411/(24*Modelling[[#This Row],[Comisined DC ]])</f>
        <v>0.21148402817956816</v>
      </c>
      <c r="BW411" s="323">
        <f>Modelling[[#This Row],[Target E_Grid MTD
MWh]]/Modelling[[#This Row],[MTD DC Capcity]]/(24*CG411)</f>
        <v>0.21148402817956838</v>
      </c>
      <c r="BX411" s="338">
        <f>Modelling[[#This Row],[Target E_Grid YTD
MWh]]/Modelling[[#This Row],[YTD DC Capcity]]/(24*CH411)</f>
        <v>0.21148402817956838</v>
      </c>
      <c r="BY411" s="4">
        <f>Modelling_old[[#This Row],[DC Capcity]]+Modelling_new[[#This Row],[Comisined DC ]]</f>
        <v>24.303100000000001</v>
      </c>
      <c r="BZ411" s="4">
        <v>0</v>
      </c>
      <c r="CA411">
        <f>AVERAGEIFS(Modelling[[Comisined DC ]],Modelling[Date],"&lt;="&amp;Modelling[[#This Row],[Date]],Modelling[Month Year],Modelling[[#This Row],[Month Year]])</f>
        <v>24.303099999999983</v>
      </c>
      <c r="CB411">
        <f>AVERAGEIFS(Modelling[[Comisined DC ]],Modelling[Date],"&lt;="&amp;Modelling[[#This Row],[Date]],Modelling[Finacial Year],Modelling[[#This Row],[Finacial Year]])</f>
        <v>24.303099999999983</v>
      </c>
      <c r="CG411">
        <f t="shared" si="160"/>
        <v>28</v>
      </c>
      <c r="CH411">
        <f t="shared" si="161"/>
        <v>28</v>
      </c>
    </row>
    <row r="412" spans="1:86" x14ac:dyDescent="0.35">
      <c r="A412" s="27">
        <f t="shared" si="139"/>
        <v>45411</v>
      </c>
      <c r="B412" s="5">
        <f>MONTH(Modelling_old[[#This Row],[Date]])</f>
        <v>4</v>
      </c>
      <c r="C412" s="25">
        <f t="shared" si="140"/>
        <v>2025</v>
      </c>
      <c r="D412" s="3">
        <f t="shared" si="141"/>
        <v>2024</v>
      </c>
      <c r="E412" s="3" t="s">
        <v>627</v>
      </c>
      <c r="F412" s="3" t="s">
        <v>627</v>
      </c>
      <c r="G412" s="102">
        <f>DATE(Modelling_old[[#This Row],[Calendor Year]],Modelling_old[[#This Row],[Start Month]],1)</f>
        <v>45383</v>
      </c>
      <c r="H412" s="5">
        <f t="shared" si="142"/>
        <v>30</v>
      </c>
      <c r="I412" s="5">
        <f t="shared" si="143"/>
        <v>4</v>
      </c>
      <c r="J412" s="4">
        <f>_xlfn.XLOOKUP(Modelling_old[[#This Row],[Month]],$C$1:$C$14,$N$1:$N$14)/Modelling_old[[#This Row],[Total Days]]</f>
        <v>50.97</v>
      </c>
      <c r="K412" s="4">
        <f>SUM($J$384:J412)</f>
        <v>1478.1300000000006</v>
      </c>
      <c r="L412" s="4">
        <f>SUM($J$384:J412)</f>
        <v>1478.1300000000006</v>
      </c>
      <c r="M412" s="4">
        <f t="shared" si="144"/>
        <v>6.6233333333333331</v>
      </c>
      <c r="N412" s="4">
        <f>SUM($M$384:M412)</f>
        <v>192.07666666666668</v>
      </c>
      <c r="O412" s="4">
        <f>SUM($M$384:M412)</f>
        <v>192.07666666666668</v>
      </c>
      <c r="P412" s="323">
        <f t="shared" si="145"/>
        <v>0.66899539130820584</v>
      </c>
      <c r="Q412" s="337">
        <f t="shared" si="146"/>
        <v>0.66899539130820618</v>
      </c>
      <c r="R412" s="337">
        <f t="shared" si="147"/>
        <v>0.66899539130820618</v>
      </c>
      <c r="S412" s="323">
        <f t="shared" si="148"/>
        <v>0.18462414479575073</v>
      </c>
      <c r="T412" s="9">
        <f>Modelling_old[[#This Row],[Target E_Grid MTD
MWh]]/Modelling_old[[#This Row],[DC Capcity]]/(24*CG412)</f>
        <v>0.18462414479575079</v>
      </c>
      <c r="U412" s="338">
        <f>Modelling_old[[#This Row],[Target E_Grid YTD
MWh]]/Modelling_old[[#This Row],[DC Capcity]]/(24*CH412)</f>
        <v>0.18462414479575079</v>
      </c>
      <c r="V412" s="134">
        <v>11.5031</v>
      </c>
      <c r="Y412" s="27">
        <f t="shared" si="162"/>
        <v>45411</v>
      </c>
      <c r="Z412" s="5">
        <f>MONTH(Modelling_new[[#This Row],[Date]])</f>
        <v>4</v>
      </c>
      <c r="AA412" s="25">
        <f>YEAR(Y412)+IF(MONTH(Modelling_new[[#This Row],[Date]])&gt;=4,1,0)</f>
        <v>2025</v>
      </c>
      <c r="AB412" s="3">
        <f t="shared" si="149"/>
        <v>2024</v>
      </c>
      <c r="AC412" s="3" t="s">
        <v>627</v>
      </c>
      <c r="AD412" s="3" t="s">
        <v>627</v>
      </c>
      <c r="AE412" s="102">
        <f>DATE(Modelling_old[[#This Row],[Calendor Year]],Modelling_old[[#This Row],[Start Month]],1)</f>
        <v>45383</v>
      </c>
      <c r="AF412" s="5">
        <f t="shared" si="150"/>
        <v>30</v>
      </c>
      <c r="AG412" s="5">
        <f t="shared" si="151"/>
        <v>4</v>
      </c>
      <c r="AH412" s="4">
        <f>_xlfn.XLOOKUP(Modelling_new[[#This Row],[Month]],$AA$1:$AA$14,$AL$1:$AL$14)/Modelling_new[[#This Row],[Total Days]]</f>
        <v>72.38321964602072</v>
      </c>
      <c r="AI412" s="4">
        <f>SUM($AH$384:AH412)</f>
        <v>2099.1133697346008</v>
      </c>
      <c r="AJ412" s="4">
        <f>SUM($AH$384:AH412)</f>
        <v>2099.1133697346008</v>
      </c>
      <c r="AK412" s="4">
        <f t="shared" si="152"/>
        <v>6.6233333333333331</v>
      </c>
      <c r="AL412" s="4">
        <f>SUM($AK$384:AK412)</f>
        <v>192.07666666666668</v>
      </c>
      <c r="AM412" s="4">
        <f>SUM($AK$384:AK412)</f>
        <v>192.07666666666668</v>
      </c>
      <c r="AN412" s="323">
        <f t="shared" si="153"/>
        <v>0.95004984012629889</v>
      </c>
      <c r="AO412" s="323">
        <f t="shared" si="154"/>
        <v>0.95004984012629867</v>
      </c>
      <c r="AP412" s="323">
        <f t="shared" si="155"/>
        <v>0.95004984012629867</v>
      </c>
      <c r="AQ412" s="323">
        <f t="shared" si="156"/>
        <v>0.26218736560152167</v>
      </c>
      <c r="AR412" s="323">
        <f>Modelling_new[[#This Row],[Target E_Grid MTD
MWh]]/Modelling_new[[#This Row],[MTD DC Capcity]]/(24*CG412)</f>
        <v>0.23562245978522359</v>
      </c>
      <c r="AS412" s="323">
        <f>Modelling_new[[#This Row],[Target E_Grid YTD
MWh]]/Modelling_new[[#This Row],[YTD DC Capcity]]/(24*CH412)</f>
        <v>0.23562245978522359</v>
      </c>
      <c r="AT412" s="5">
        <v>12.8</v>
      </c>
      <c r="AU412" s="9">
        <f>Modelling_new[[#This Row],[Comisined DC ]]/$AO$1</f>
        <v>1</v>
      </c>
      <c r="AV412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412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12" s="27">
        <f t="shared" si="163"/>
        <v>45411</v>
      </c>
      <c r="BE412" s="5">
        <f>MONTH(Modelling[[#This Row],[Date]])</f>
        <v>4</v>
      </c>
      <c r="BF412" s="25">
        <f>YEAR(BD412)+IF(MONTH(Modelling[[#This Row],[Date]])&gt;=4,1,0)</f>
        <v>2025</v>
      </c>
      <c r="BG412" s="3">
        <f t="shared" si="157"/>
        <v>2024</v>
      </c>
      <c r="BH412" s="3" t="s">
        <v>627</v>
      </c>
      <c r="BI412" s="3" t="s">
        <v>627</v>
      </c>
      <c r="BJ412" s="102">
        <f>DATE(Modelling_old[[#This Row],[Calendor Year]],Modelling_old[[#This Row],[Start Month]],1)</f>
        <v>45383</v>
      </c>
      <c r="BK412" s="5">
        <f t="shared" si="158"/>
        <v>30</v>
      </c>
      <c r="BL412" s="5">
        <f t="shared" si="159"/>
        <v>4</v>
      </c>
      <c r="BM412" s="4">
        <f>Modelling_old[[#This Row],[Target E_Grid daily
MWh]]+Modelling_new[[#This Row],[Target E_Grid daily
MWh]]</f>
        <v>123.35321964602072</v>
      </c>
      <c r="BN412" s="4">
        <f>Modelling_old[[#This Row],[Target E_Grid MTD
MWh]]+Modelling_new[[#This Row],[Target E_Grid MTD
MWh]]</f>
        <v>3577.2433697346014</v>
      </c>
      <c r="BO412" s="4">
        <f>Modelling_old[[#This Row],[Target E_Grid YTD
MWh]]+Modelling_new[[#This Row],[Target E_Grid YTD
MWh]]</f>
        <v>3577.2433697346014</v>
      </c>
      <c r="BP412" s="4">
        <f>AVERAGE(Modelling_old[[#This Row],[Target POA Daily (KWh/m2)]],Modelling_new[[#This Row],[Target POA Daily (KWh/m2)]])</f>
        <v>6.6233333333333331</v>
      </c>
      <c r="BQ412" s="4">
        <f>SUM($BP$384:BP412)</f>
        <v>192.07666666666668</v>
      </c>
      <c r="BR412" s="4">
        <f>SUM($BP$384:BP412)</f>
        <v>192.07666666666668</v>
      </c>
      <c r="BS412" s="323">
        <f>BM412/Modelling[[#This Row],[Comisined DC ]]/BP412</f>
        <v>0.76632360487815343</v>
      </c>
      <c r="BT412" s="337">
        <f>BN412/BQ412/Modelling[[#This Row],[Comisined DC ]]</f>
        <v>0.76632360487815343</v>
      </c>
      <c r="BU412" s="337">
        <f>BO412/BR412/Modelling[[#This Row],[Comisined DC ]]</f>
        <v>0.76632360487815343</v>
      </c>
      <c r="BV412" s="323">
        <f>BM412/(24*Modelling[[#This Row],[Comisined DC ]])</f>
        <v>0.21148402817956816</v>
      </c>
      <c r="BW412" s="323">
        <f>Modelling[[#This Row],[Target E_Grid MTD
MWh]]/Modelling[[#This Row],[MTD DC Capcity]]/(24*CG412)</f>
        <v>0.21148402817956838</v>
      </c>
      <c r="BX412" s="338">
        <f>Modelling[[#This Row],[Target E_Grid YTD
MWh]]/Modelling[[#This Row],[YTD DC Capcity]]/(24*CH412)</f>
        <v>0.21148402817956838</v>
      </c>
      <c r="BY412" s="4">
        <f>Modelling_old[[#This Row],[DC Capcity]]+Modelling_new[[#This Row],[Comisined DC ]]</f>
        <v>24.303100000000001</v>
      </c>
      <c r="BZ412" s="4">
        <v>0</v>
      </c>
      <c r="CA412">
        <f>AVERAGEIFS(Modelling[[Comisined DC ]],Modelling[Date],"&lt;="&amp;Modelling[[#This Row],[Date]],Modelling[Month Year],Modelling[[#This Row],[Month Year]])</f>
        <v>24.303099999999983</v>
      </c>
      <c r="CB412">
        <f>AVERAGEIFS(Modelling[[Comisined DC ]],Modelling[Date],"&lt;="&amp;Modelling[[#This Row],[Date]],Modelling[Finacial Year],Modelling[[#This Row],[Finacial Year]])</f>
        <v>24.303099999999983</v>
      </c>
      <c r="CG412">
        <f t="shared" si="160"/>
        <v>29</v>
      </c>
      <c r="CH412">
        <f t="shared" si="161"/>
        <v>29</v>
      </c>
    </row>
    <row r="413" spans="1:86" x14ac:dyDescent="0.35">
      <c r="A413" s="27">
        <f t="shared" si="139"/>
        <v>45412</v>
      </c>
      <c r="B413" s="5">
        <f>MONTH(Modelling_old[[#This Row],[Date]])</f>
        <v>4</v>
      </c>
      <c r="C413" s="25">
        <f t="shared" si="140"/>
        <v>2025</v>
      </c>
      <c r="D413" s="3">
        <f t="shared" si="141"/>
        <v>2024</v>
      </c>
      <c r="E413" s="3" t="s">
        <v>627</v>
      </c>
      <c r="F413" s="3" t="s">
        <v>627</v>
      </c>
      <c r="G413" s="102">
        <f>DATE(Modelling_old[[#This Row],[Calendor Year]],Modelling_old[[#This Row],[Start Month]],1)</f>
        <v>45383</v>
      </c>
      <c r="H413" s="5">
        <f t="shared" si="142"/>
        <v>30</v>
      </c>
      <c r="I413" s="5">
        <f t="shared" si="143"/>
        <v>4</v>
      </c>
      <c r="J413" s="4">
        <f>_xlfn.XLOOKUP(Modelling_old[[#This Row],[Month]],$C$1:$C$14,$N$1:$N$14)/Modelling_old[[#This Row],[Total Days]]</f>
        <v>50.97</v>
      </c>
      <c r="K413" s="4">
        <f>SUM($J$384:J413)</f>
        <v>1529.1000000000006</v>
      </c>
      <c r="L413" s="4">
        <f>SUM($J$384:J413)</f>
        <v>1529.1000000000006</v>
      </c>
      <c r="M413" s="4">
        <f t="shared" si="144"/>
        <v>6.6233333333333331</v>
      </c>
      <c r="N413" s="4">
        <f>SUM($M$384:M413)</f>
        <v>198.70000000000002</v>
      </c>
      <c r="O413" s="4">
        <f>SUM($M$384:M413)</f>
        <v>198.70000000000002</v>
      </c>
      <c r="P413" s="323">
        <f t="shared" si="145"/>
        <v>0.66899539130820584</v>
      </c>
      <c r="Q413" s="337">
        <f t="shared" si="146"/>
        <v>0.66899539130820618</v>
      </c>
      <c r="R413" s="337">
        <f t="shared" si="147"/>
        <v>0.66899539130820618</v>
      </c>
      <c r="S413" s="323">
        <f t="shared" si="148"/>
        <v>0.18462414479575073</v>
      </c>
      <c r="T413" s="9">
        <f>Modelling_old[[#This Row],[Target E_Grid MTD
MWh]]/Modelling_old[[#This Row],[DC Capcity]]/(24*CG413)</f>
        <v>0.18462414479575079</v>
      </c>
      <c r="U413" s="338">
        <f>Modelling_old[[#This Row],[Target E_Grid YTD
MWh]]/Modelling_old[[#This Row],[DC Capcity]]/(24*CH413)</f>
        <v>0.18462414479575079</v>
      </c>
      <c r="V413" s="134">
        <v>11.5031</v>
      </c>
      <c r="Y413" s="27">
        <f t="shared" si="162"/>
        <v>45412</v>
      </c>
      <c r="Z413" s="5">
        <f>MONTH(Modelling_new[[#This Row],[Date]])</f>
        <v>4</v>
      </c>
      <c r="AA413" s="25">
        <f>YEAR(Y413)+IF(MONTH(Modelling_new[[#This Row],[Date]])&gt;=4,1,0)</f>
        <v>2025</v>
      </c>
      <c r="AB413" s="3">
        <f t="shared" si="149"/>
        <v>2024</v>
      </c>
      <c r="AC413" s="3" t="s">
        <v>627</v>
      </c>
      <c r="AD413" s="3" t="s">
        <v>627</v>
      </c>
      <c r="AE413" s="102">
        <f>DATE(Modelling_old[[#This Row],[Calendor Year]],Modelling_old[[#This Row],[Start Month]],1)</f>
        <v>45383</v>
      </c>
      <c r="AF413" s="5">
        <f t="shared" si="150"/>
        <v>30</v>
      </c>
      <c r="AG413" s="5">
        <f t="shared" si="151"/>
        <v>4</v>
      </c>
      <c r="AH413" s="4">
        <f>_xlfn.XLOOKUP(Modelling_new[[#This Row],[Month]],$AA$1:$AA$14,$AL$1:$AL$14)/Modelling_new[[#This Row],[Total Days]]</f>
        <v>72.38321964602072</v>
      </c>
      <c r="AI413" s="4">
        <f>SUM($AH$384:AH413)</f>
        <v>2171.4965893806216</v>
      </c>
      <c r="AJ413" s="4">
        <f>SUM($AH$384:AH413)</f>
        <v>2171.4965893806216</v>
      </c>
      <c r="AK413" s="4">
        <f t="shared" si="152"/>
        <v>6.6233333333333331</v>
      </c>
      <c r="AL413" s="4">
        <f>SUM($AK$384:AK413)</f>
        <v>198.70000000000002</v>
      </c>
      <c r="AM413" s="4">
        <f>SUM($AK$384:AK413)</f>
        <v>198.70000000000002</v>
      </c>
      <c r="AN413" s="323">
        <f t="shared" si="153"/>
        <v>0.95004984012629889</v>
      </c>
      <c r="AO413" s="323">
        <f t="shared" si="154"/>
        <v>0.95004984012629867</v>
      </c>
      <c r="AP413" s="323">
        <f t="shared" si="155"/>
        <v>0.95004984012629867</v>
      </c>
      <c r="AQ413" s="323">
        <f t="shared" si="156"/>
        <v>0.26218736560152167</v>
      </c>
      <c r="AR413" s="323">
        <f>Modelling_new[[#This Row],[Target E_Grid MTD
MWh]]/Modelling_new[[#This Row],[MTD DC Capcity]]/(24*CG413)</f>
        <v>0.23562245978522359</v>
      </c>
      <c r="AS413" s="323">
        <f>Modelling_new[[#This Row],[Target E_Grid YTD
MWh]]/Modelling_new[[#This Row],[YTD DC Capcity]]/(24*CH413)</f>
        <v>0.23562245978522359</v>
      </c>
      <c r="AT413" s="5">
        <v>12.8</v>
      </c>
      <c r="AU413" s="9">
        <f>Modelling_new[[#This Row],[Comisined DC ]]/$AO$1</f>
        <v>1</v>
      </c>
      <c r="AV413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413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13" s="27">
        <f t="shared" si="163"/>
        <v>45412</v>
      </c>
      <c r="BE413" s="5">
        <f>MONTH(Modelling[[#This Row],[Date]])</f>
        <v>4</v>
      </c>
      <c r="BF413" s="25">
        <f>YEAR(BD413)+IF(MONTH(Modelling[[#This Row],[Date]])&gt;=4,1,0)</f>
        <v>2025</v>
      </c>
      <c r="BG413" s="3">
        <f t="shared" si="157"/>
        <v>2024</v>
      </c>
      <c r="BH413" s="3" t="s">
        <v>627</v>
      </c>
      <c r="BI413" s="3" t="s">
        <v>627</v>
      </c>
      <c r="BJ413" s="102">
        <f>DATE(Modelling_old[[#This Row],[Calendor Year]],Modelling_old[[#This Row],[Start Month]],1)</f>
        <v>45383</v>
      </c>
      <c r="BK413" s="5">
        <f t="shared" si="158"/>
        <v>30</v>
      </c>
      <c r="BL413" s="5">
        <f t="shared" si="159"/>
        <v>4</v>
      </c>
      <c r="BM413" s="4">
        <f>Modelling_old[[#This Row],[Target E_Grid daily
MWh]]+Modelling_new[[#This Row],[Target E_Grid daily
MWh]]</f>
        <v>123.35321964602072</v>
      </c>
      <c r="BN413" s="4">
        <f>Modelling_old[[#This Row],[Target E_Grid MTD
MWh]]+Modelling_new[[#This Row],[Target E_Grid MTD
MWh]]</f>
        <v>3700.5965893806224</v>
      </c>
      <c r="BO413" s="4">
        <f>Modelling_old[[#This Row],[Target E_Grid YTD
MWh]]+Modelling_new[[#This Row],[Target E_Grid YTD
MWh]]</f>
        <v>3700.5965893806224</v>
      </c>
      <c r="BP413" s="4">
        <f>AVERAGE(Modelling_old[[#This Row],[Target POA Daily (KWh/m2)]],Modelling_new[[#This Row],[Target POA Daily (KWh/m2)]])</f>
        <v>6.6233333333333331</v>
      </c>
      <c r="BQ413" s="4">
        <f>SUM($BP$384:BP413)</f>
        <v>198.70000000000002</v>
      </c>
      <c r="BR413" s="4">
        <f>SUM($BP$384:BP413)</f>
        <v>198.70000000000002</v>
      </c>
      <c r="BS413" s="323">
        <f>BM413/Modelling[[#This Row],[Comisined DC ]]/BP413</f>
        <v>0.76632360487815343</v>
      </c>
      <c r="BT413" s="337">
        <f>BN413/BQ413/Modelling[[#This Row],[Comisined DC ]]</f>
        <v>0.76632360487815354</v>
      </c>
      <c r="BU413" s="337">
        <f>BO413/BR413/Modelling[[#This Row],[Comisined DC ]]</f>
        <v>0.76632360487815354</v>
      </c>
      <c r="BV413" s="323">
        <f>BM413/(24*Modelling[[#This Row],[Comisined DC ]])</f>
        <v>0.21148402817956816</v>
      </c>
      <c r="BW413" s="323">
        <f>Modelling[[#This Row],[Target E_Grid MTD
MWh]]/Modelling[[#This Row],[MTD DC Capcity]]/(24*CG413)</f>
        <v>0.21148402817956835</v>
      </c>
      <c r="BX413" s="338">
        <f>Modelling[[#This Row],[Target E_Grid YTD
MWh]]/Modelling[[#This Row],[YTD DC Capcity]]/(24*CH413)</f>
        <v>0.21148402817956835</v>
      </c>
      <c r="BY413" s="4">
        <f>Modelling_old[[#This Row],[DC Capcity]]+Modelling_new[[#This Row],[Comisined DC ]]</f>
        <v>24.303100000000001</v>
      </c>
      <c r="BZ413" s="4">
        <v>0</v>
      </c>
      <c r="CA413">
        <f>AVERAGEIFS(Modelling[[Comisined DC ]],Modelling[Date],"&lt;="&amp;Modelling[[#This Row],[Date]],Modelling[Month Year],Modelling[[#This Row],[Month Year]])</f>
        <v>24.303099999999983</v>
      </c>
      <c r="CB413">
        <f>AVERAGEIFS(Modelling[[Comisined DC ]],Modelling[Date],"&lt;="&amp;Modelling[[#This Row],[Date]],Modelling[Finacial Year],Modelling[[#This Row],[Finacial Year]])</f>
        <v>24.303099999999983</v>
      </c>
      <c r="CG413">
        <f t="shared" si="160"/>
        <v>30</v>
      </c>
      <c r="CH413">
        <f t="shared" si="161"/>
        <v>30</v>
      </c>
    </row>
    <row r="414" spans="1:86" x14ac:dyDescent="0.35">
      <c r="A414" s="27">
        <f t="shared" si="139"/>
        <v>45413</v>
      </c>
      <c r="B414" s="5">
        <f>MONTH(Modelling_old[[#This Row],[Date]])</f>
        <v>5</v>
      </c>
      <c r="C414" s="25">
        <f t="shared" si="140"/>
        <v>2025</v>
      </c>
      <c r="D414" s="3">
        <f t="shared" si="141"/>
        <v>2024</v>
      </c>
      <c r="E414" s="3" t="s">
        <v>627</v>
      </c>
      <c r="F414" s="3" t="s">
        <v>627</v>
      </c>
      <c r="G414" s="102">
        <f>DATE(Modelling_old[[#This Row],[Calendor Year]],Modelling_old[[#This Row],[Start Month]],1)</f>
        <v>45413</v>
      </c>
      <c r="H414" s="5">
        <f t="shared" si="142"/>
        <v>31</v>
      </c>
      <c r="I414" s="5">
        <f t="shared" si="143"/>
        <v>5</v>
      </c>
      <c r="J414" s="4">
        <f>_xlfn.XLOOKUP(Modelling_old[[#This Row],[Month]],$C$1:$C$14,$N$1:$N$14)/Modelling_old[[#This Row],[Total Days]]</f>
        <v>50.761290322580649</v>
      </c>
      <c r="K414" s="4">
        <f>SUM($J$414:J414)</f>
        <v>50.761290322580649</v>
      </c>
      <c r="L414" s="4">
        <f>SUM($J$384:J414)</f>
        <v>1579.8612903225812</v>
      </c>
      <c r="M414" s="4">
        <f t="shared" si="144"/>
        <v>6.5290322580645164</v>
      </c>
      <c r="N414" s="4">
        <f>SUM($M$414:M414)</f>
        <v>6.5290322580645164</v>
      </c>
      <c r="O414" s="4">
        <f>SUM($M$384:M414)</f>
        <v>205.22903225806454</v>
      </c>
      <c r="P414" s="323">
        <f t="shared" si="145"/>
        <v>0.67587898543107972</v>
      </c>
      <c r="Q414" s="337">
        <f t="shared" si="146"/>
        <v>0.67587898543107972</v>
      </c>
      <c r="R414" s="337">
        <f t="shared" si="147"/>
        <v>0.66921438180670023</v>
      </c>
      <c r="S414" s="323">
        <f t="shared" si="148"/>
        <v>0.18386815410114321</v>
      </c>
      <c r="T414" s="9">
        <f>Modelling_old[[#This Row],[Target E_Grid MTD
MWh]]/Modelling_old[[#This Row],[DC Capcity]]/(24*CG414)</f>
        <v>0.18386815410114321</v>
      </c>
      <c r="U414" s="338">
        <f>Modelling_old[[#This Row],[Target E_Grid YTD
MWh]]/Modelling_old[[#This Row],[DC Capcity]]/(24*CH414)</f>
        <v>0.18459975799915054</v>
      </c>
      <c r="V414" s="134">
        <v>11.5031</v>
      </c>
      <c r="Y414" s="27">
        <f t="shared" si="162"/>
        <v>45413</v>
      </c>
      <c r="Z414" s="5">
        <f>MONTH(Modelling_new[[#This Row],[Date]])</f>
        <v>5</v>
      </c>
      <c r="AA414" s="25">
        <f>YEAR(Y414)+IF(MONTH(Modelling_new[[#This Row],[Date]])&gt;=4,1,0)</f>
        <v>2025</v>
      </c>
      <c r="AB414" s="3">
        <f t="shared" si="149"/>
        <v>2024</v>
      </c>
      <c r="AC414" s="3" t="s">
        <v>627</v>
      </c>
      <c r="AD414" s="3" t="s">
        <v>627</v>
      </c>
      <c r="AE414" s="102">
        <f>DATE(Modelling_old[[#This Row],[Calendor Year]],Modelling_old[[#This Row],[Start Month]],1)</f>
        <v>45413</v>
      </c>
      <c r="AF414" s="5">
        <f t="shared" si="150"/>
        <v>31</v>
      </c>
      <c r="AG414" s="5">
        <f t="shared" si="151"/>
        <v>5</v>
      </c>
      <c r="AH414" s="4">
        <f>_xlfn.XLOOKUP(Modelling_new[[#This Row],[Month]],$AA$1:$AA$14,$AL$1:$AL$14)/Modelling_new[[#This Row],[Total Days]]</f>
        <v>69.660866504992768</v>
      </c>
      <c r="AI414" s="4">
        <f>SUM($AH$414:AH414)</f>
        <v>69.660866504992768</v>
      </c>
      <c r="AJ414" s="4">
        <f>SUM($AH$384:AH414)</f>
        <v>2241.1574558856141</v>
      </c>
      <c r="AK414" s="4">
        <f t="shared" si="152"/>
        <v>6.5290322580645164</v>
      </c>
      <c r="AL414" s="4">
        <f>SUM($AK$414:AK414)</f>
        <v>6.5290322580645164</v>
      </c>
      <c r="AM414" s="4">
        <f>SUM($AK$384:AK414)</f>
        <v>205.22903225806454</v>
      </c>
      <c r="AN414" s="323">
        <f t="shared" si="153"/>
        <v>0.92752401442995447</v>
      </c>
      <c r="AO414" s="323">
        <f t="shared" si="154"/>
        <v>0.92752401442995447</v>
      </c>
      <c r="AP414" s="323">
        <f t="shared" si="155"/>
        <v>0.94933321713688623</v>
      </c>
      <c r="AQ414" s="323">
        <f t="shared" si="156"/>
        <v>0.25232642543094463</v>
      </c>
      <c r="AR414" s="323">
        <f>Modelling_new[[#This Row],[Target E_Grid MTD
MWh]]/Modelling_new[[#This Row],[MTD DC Capcity]]/(24*CG414)</f>
        <v>0.22676063315427331</v>
      </c>
      <c r="AS414" s="323">
        <f>Modelling_new[[#This Row],[Target E_Grid YTD
MWh]]/Modelling_new[[#This Row],[YTD DC Capcity]]/(24*CH414)</f>
        <v>0.2353365944100316</v>
      </c>
      <c r="AT414" s="5">
        <v>12.8</v>
      </c>
      <c r="AU414" s="9">
        <f>Modelling_new[[#This Row],[Comisined DC ]]/$AO$1</f>
        <v>1</v>
      </c>
      <c r="AV414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14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14" s="27">
        <f t="shared" si="163"/>
        <v>45413</v>
      </c>
      <c r="BE414" s="5">
        <f>MONTH(Modelling[[#This Row],[Date]])</f>
        <v>5</v>
      </c>
      <c r="BF414" s="25">
        <f>YEAR(BD414)+IF(MONTH(Modelling[[#This Row],[Date]])&gt;=4,1,0)</f>
        <v>2025</v>
      </c>
      <c r="BG414" s="3">
        <f t="shared" si="157"/>
        <v>2024</v>
      </c>
      <c r="BH414" s="3" t="s">
        <v>627</v>
      </c>
      <c r="BI414" s="3" t="s">
        <v>627</v>
      </c>
      <c r="BJ414" s="102">
        <f>DATE(Modelling_old[[#This Row],[Calendor Year]],Modelling_old[[#This Row],[Start Month]],1)</f>
        <v>45413</v>
      </c>
      <c r="BK414" s="5">
        <f t="shared" si="158"/>
        <v>31</v>
      </c>
      <c r="BL414" s="5">
        <f t="shared" si="159"/>
        <v>5</v>
      </c>
      <c r="BM414" s="4">
        <f>Modelling_old[[#This Row],[Target E_Grid daily
MWh]]+Modelling_new[[#This Row],[Target E_Grid daily
MWh]]</f>
        <v>120.42215682757342</v>
      </c>
      <c r="BN414" s="4">
        <f>Modelling_old[[#This Row],[Target E_Grid MTD
MWh]]+Modelling_new[[#This Row],[Target E_Grid MTD
MWh]]</f>
        <v>120.42215682757342</v>
      </c>
      <c r="BO414" s="4">
        <f>Modelling_old[[#This Row],[Target E_Grid YTD
MWh]]+Modelling_new[[#This Row],[Target E_Grid YTD
MWh]]</f>
        <v>3821.0187462081954</v>
      </c>
      <c r="BP414" s="4">
        <f>AVERAGE(Modelling_old[[#This Row],[Target POA Daily (KWh/m2)]],Modelling_new[[#This Row],[Target POA Daily (KWh/m2)]])</f>
        <v>6.5290322580645164</v>
      </c>
      <c r="BQ414" s="4">
        <f>SUM($BP$414:BP414)</f>
        <v>6.5290322580645164</v>
      </c>
      <c r="BR414" s="4">
        <f>SUM($BP$384:BP414)</f>
        <v>205.22903225806454</v>
      </c>
      <c r="BS414" s="323">
        <f>BM414/Modelling[[#This Row],[Comisined DC ]]/BP414</f>
        <v>0.75891985169387688</v>
      </c>
      <c r="BT414" s="337">
        <f>BN414/BQ414/Modelling[[#This Row],[Comisined DC ]]</f>
        <v>0.75891985169387699</v>
      </c>
      <c r="BU414" s="337">
        <f>BO414/BR414/Modelling[[#This Row],[Comisined DC ]]</f>
        <v>0.76608806635400295</v>
      </c>
      <c r="BV414" s="323">
        <f>BM414/(24*Modelling[[#This Row],[Comisined DC ]])</f>
        <v>0.2064588413747859</v>
      </c>
      <c r="BW414" s="323">
        <f>Modelling[[#This Row],[Target E_Grid MTD
MWh]]/Modelling[[#This Row],[MTD DC Capcity]]/(24*CG414)</f>
        <v>0.20645884137478587</v>
      </c>
      <c r="BX414" s="338">
        <f>Modelling[[#This Row],[Target E_Grid YTD
MWh]]/Modelling[[#This Row],[YTD DC Capcity]]/(24*CH414)</f>
        <v>0.21132192537941408</v>
      </c>
      <c r="BY414" s="4">
        <f>Modelling_old[[#This Row],[DC Capcity]]+Modelling_new[[#This Row],[Comisined DC ]]</f>
        <v>24.303100000000001</v>
      </c>
      <c r="BZ414" s="4">
        <v>0</v>
      </c>
      <c r="CA414">
        <f>AVERAGEIFS(Modelling[[Comisined DC ]],Modelling[Date],"&lt;="&amp;Modelling[[#This Row],[Date]],Modelling[Month Year],Modelling[[#This Row],[Month Year]])</f>
        <v>24.303100000000001</v>
      </c>
      <c r="CB414">
        <f>AVERAGEIFS(Modelling[[Comisined DC ]],Modelling[Date],"&lt;="&amp;Modelling[[#This Row],[Date]],Modelling[Finacial Year],Modelling[[#This Row],[Finacial Year]])</f>
        <v>24.303099999999983</v>
      </c>
      <c r="CG414">
        <v>1</v>
      </c>
      <c r="CH414">
        <f t="shared" si="161"/>
        <v>31</v>
      </c>
    </row>
    <row r="415" spans="1:86" x14ac:dyDescent="0.35">
      <c r="A415" s="27">
        <f t="shared" si="139"/>
        <v>45414</v>
      </c>
      <c r="B415" s="5">
        <f>MONTH(Modelling_old[[#This Row],[Date]])</f>
        <v>5</v>
      </c>
      <c r="C415" s="25">
        <f t="shared" si="140"/>
        <v>2025</v>
      </c>
      <c r="D415" s="3">
        <f t="shared" si="141"/>
        <v>2024</v>
      </c>
      <c r="E415" s="3" t="s">
        <v>627</v>
      </c>
      <c r="F415" s="3" t="s">
        <v>627</v>
      </c>
      <c r="G415" s="102">
        <f>DATE(Modelling_old[[#This Row],[Calendor Year]],Modelling_old[[#This Row],[Start Month]],1)</f>
        <v>45413</v>
      </c>
      <c r="H415" s="5">
        <f t="shared" si="142"/>
        <v>31</v>
      </c>
      <c r="I415" s="5">
        <f t="shared" si="143"/>
        <v>5</v>
      </c>
      <c r="J415" s="4">
        <f>_xlfn.XLOOKUP(Modelling_old[[#This Row],[Month]],$C$1:$C$14,$N$1:$N$14)/Modelling_old[[#This Row],[Total Days]]</f>
        <v>50.761290322580649</v>
      </c>
      <c r="K415" s="4">
        <f>SUM($J$414:J415)</f>
        <v>101.5225806451613</v>
      </c>
      <c r="L415" s="4">
        <f>SUM($J$384:J415)</f>
        <v>1630.6225806451619</v>
      </c>
      <c r="M415" s="4">
        <f t="shared" si="144"/>
        <v>6.5290322580645164</v>
      </c>
      <c r="N415" s="4">
        <f>SUM($M$414:M415)</f>
        <v>13.058064516129033</v>
      </c>
      <c r="O415" s="4">
        <f>SUM($M$384:M415)</f>
        <v>211.75806451612905</v>
      </c>
      <c r="P415" s="323">
        <f t="shared" si="145"/>
        <v>0.67587898543107972</v>
      </c>
      <c r="Q415" s="337">
        <f t="shared" si="146"/>
        <v>0.67587898543107972</v>
      </c>
      <c r="R415" s="337">
        <f t="shared" si="147"/>
        <v>0.66941986825251854</v>
      </c>
      <c r="S415" s="323">
        <f t="shared" si="148"/>
        <v>0.18386815410114321</v>
      </c>
      <c r="T415" s="9">
        <f>Modelling_old[[#This Row],[Target E_Grid MTD
MWh]]/Modelling_old[[#This Row],[DC Capcity]]/(24*CG415)</f>
        <v>0.18386815410114321</v>
      </c>
      <c r="U415" s="338">
        <f>Modelling_old[[#This Row],[Target E_Grid YTD
MWh]]/Modelling_old[[#This Row],[DC Capcity]]/(24*CH415)</f>
        <v>0.18457689537733779</v>
      </c>
      <c r="V415" s="134">
        <v>11.5031</v>
      </c>
      <c r="Y415" s="27">
        <f t="shared" si="162"/>
        <v>45414</v>
      </c>
      <c r="Z415" s="5">
        <f>MONTH(Modelling_new[[#This Row],[Date]])</f>
        <v>5</v>
      </c>
      <c r="AA415" s="25">
        <f>YEAR(Y415)+IF(MONTH(Modelling_new[[#This Row],[Date]])&gt;=4,1,0)</f>
        <v>2025</v>
      </c>
      <c r="AB415" s="3">
        <f t="shared" si="149"/>
        <v>2024</v>
      </c>
      <c r="AC415" s="3" t="s">
        <v>627</v>
      </c>
      <c r="AD415" s="3" t="s">
        <v>627</v>
      </c>
      <c r="AE415" s="102">
        <f>DATE(Modelling_old[[#This Row],[Calendor Year]],Modelling_old[[#This Row],[Start Month]],1)</f>
        <v>45413</v>
      </c>
      <c r="AF415" s="5">
        <f t="shared" si="150"/>
        <v>31</v>
      </c>
      <c r="AG415" s="5">
        <f t="shared" si="151"/>
        <v>5</v>
      </c>
      <c r="AH415" s="4">
        <f>_xlfn.XLOOKUP(Modelling_new[[#This Row],[Month]],$AA$1:$AA$14,$AL$1:$AL$14)/Modelling_new[[#This Row],[Total Days]]</f>
        <v>69.660866504992768</v>
      </c>
      <c r="AI415" s="4">
        <f>SUM($AH$414:AH415)</f>
        <v>139.32173300998554</v>
      </c>
      <c r="AJ415" s="4">
        <f>SUM($AH$384:AH415)</f>
        <v>2310.8183223906067</v>
      </c>
      <c r="AK415" s="4">
        <f t="shared" si="152"/>
        <v>6.5290322580645164</v>
      </c>
      <c r="AL415" s="4">
        <f>SUM($AK$414:AK415)</f>
        <v>13.058064516129033</v>
      </c>
      <c r="AM415" s="4">
        <f>SUM($AK$384:AK415)</f>
        <v>211.75806451612905</v>
      </c>
      <c r="AN415" s="323">
        <f t="shared" si="153"/>
        <v>0.92752401442995447</v>
      </c>
      <c r="AO415" s="323">
        <f t="shared" si="154"/>
        <v>0.92752401442995447</v>
      </c>
      <c r="AP415" s="323">
        <f t="shared" si="155"/>
        <v>0.94866078471585136</v>
      </c>
      <c r="AQ415" s="323">
        <f t="shared" si="156"/>
        <v>0.25232642543094463</v>
      </c>
      <c r="AR415" s="323">
        <f>Modelling_new[[#This Row],[Target E_Grid MTD
MWh]]/Modelling_new[[#This Row],[MTD DC Capcity]]/(24*CG415)</f>
        <v>0.22676063315427331</v>
      </c>
      <c r="AS415" s="323">
        <f>Modelling_new[[#This Row],[Target E_Grid YTD
MWh]]/Modelling_new[[#This Row],[YTD DC Capcity]]/(24*CH415)</f>
        <v>0.23506859562078916</v>
      </c>
      <c r="AT415" s="5">
        <v>12.8</v>
      </c>
      <c r="AU415" s="9">
        <f>Modelling_new[[#This Row],[Comisined DC ]]/$AO$1</f>
        <v>1</v>
      </c>
      <c r="AV415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15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15" s="27">
        <f t="shared" si="163"/>
        <v>45414</v>
      </c>
      <c r="BE415" s="5">
        <f>MONTH(Modelling[[#This Row],[Date]])</f>
        <v>5</v>
      </c>
      <c r="BF415" s="25">
        <f>YEAR(BD415)+IF(MONTH(Modelling[[#This Row],[Date]])&gt;=4,1,0)</f>
        <v>2025</v>
      </c>
      <c r="BG415" s="3">
        <f t="shared" si="157"/>
        <v>2024</v>
      </c>
      <c r="BH415" s="3" t="s">
        <v>627</v>
      </c>
      <c r="BI415" s="3" t="s">
        <v>627</v>
      </c>
      <c r="BJ415" s="102">
        <f>DATE(Modelling_old[[#This Row],[Calendor Year]],Modelling_old[[#This Row],[Start Month]],1)</f>
        <v>45413</v>
      </c>
      <c r="BK415" s="5">
        <f t="shared" si="158"/>
        <v>31</v>
      </c>
      <c r="BL415" s="5">
        <f t="shared" si="159"/>
        <v>5</v>
      </c>
      <c r="BM415" s="4">
        <f>Modelling_old[[#This Row],[Target E_Grid daily
MWh]]+Modelling_new[[#This Row],[Target E_Grid daily
MWh]]</f>
        <v>120.42215682757342</v>
      </c>
      <c r="BN415" s="4">
        <f>Modelling_old[[#This Row],[Target E_Grid MTD
MWh]]+Modelling_new[[#This Row],[Target E_Grid MTD
MWh]]</f>
        <v>240.84431365514683</v>
      </c>
      <c r="BO415" s="4">
        <f>Modelling_old[[#This Row],[Target E_Grid YTD
MWh]]+Modelling_new[[#This Row],[Target E_Grid YTD
MWh]]</f>
        <v>3941.4409030357683</v>
      </c>
      <c r="BP415" s="4">
        <f>AVERAGE(Modelling_old[[#This Row],[Target POA Daily (KWh/m2)]],Modelling_new[[#This Row],[Target POA Daily (KWh/m2)]])</f>
        <v>6.5290322580645164</v>
      </c>
      <c r="BQ415" s="4">
        <f>SUM($BP$414:BP415)</f>
        <v>13.058064516129033</v>
      </c>
      <c r="BR415" s="4">
        <f>SUM($BP$384:BP415)</f>
        <v>211.75806451612905</v>
      </c>
      <c r="BS415" s="323">
        <f>BM415/Modelling[[#This Row],[Comisined DC ]]/BP415</f>
        <v>0.75891985169387688</v>
      </c>
      <c r="BT415" s="337">
        <f>BN415/BQ415/Modelling[[#This Row],[Comisined DC ]]</f>
        <v>0.75891985169387699</v>
      </c>
      <c r="BU415" s="337">
        <f>BO415/BR415/Modelling[[#This Row],[Comisined DC ]]</f>
        <v>0.76586705231680141</v>
      </c>
      <c r="BV415" s="323">
        <f>BM415/(24*Modelling[[#This Row],[Comisined DC ]])</f>
        <v>0.2064588413747859</v>
      </c>
      <c r="BW415" s="323">
        <f>Modelling[[#This Row],[Target E_Grid MTD
MWh]]/Modelling[[#This Row],[MTD DC Capcity]]/(24*CG415)</f>
        <v>0.20645884137478587</v>
      </c>
      <c r="BX415" s="338">
        <f>Modelling[[#This Row],[Target E_Grid YTD
MWh]]/Modelling[[#This Row],[YTD DC Capcity]]/(24*CH415)</f>
        <v>0.21116995400426941</v>
      </c>
      <c r="BY415" s="4">
        <f>Modelling_old[[#This Row],[DC Capcity]]+Modelling_new[[#This Row],[Comisined DC ]]</f>
        <v>24.303100000000001</v>
      </c>
      <c r="BZ415" s="4">
        <v>0</v>
      </c>
      <c r="CA415">
        <f>AVERAGEIFS(Modelling[[Comisined DC ]],Modelling[Date],"&lt;="&amp;Modelling[[#This Row],[Date]],Modelling[Month Year],Modelling[[#This Row],[Month Year]])</f>
        <v>24.303100000000001</v>
      </c>
      <c r="CB415">
        <f>AVERAGEIFS(Modelling[[Comisined DC ]],Modelling[Date],"&lt;="&amp;Modelling[[#This Row],[Date]],Modelling[Finacial Year],Modelling[[#This Row],[Finacial Year]])</f>
        <v>24.303099999999983</v>
      </c>
      <c r="CG415">
        <f t="shared" si="160"/>
        <v>2</v>
      </c>
      <c r="CH415">
        <f t="shared" si="161"/>
        <v>32</v>
      </c>
    </row>
    <row r="416" spans="1:86" x14ac:dyDescent="0.35">
      <c r="A416" s="27">
        <f t="shared" si="139"/>
        <v>45415</v>
      </c>
      <c r="B416" s="5">
        <f>MONTH(Modelling_old[[#This Row],[Date]])</f>
        <v>5</v>
      </c>
      <c r="C416" s="25">
        <f t="shared" si="140"/>
        <v>2025</v>
      </c>
      <c r="D416" s="3">
        <f t="shared" si="141"/>
        <v>2024</v>
      </c>
      <c r="E416" s="3" t="s">
        <v>627</v>
      </c>
      <c r="F416" s="3" t="s">
        <v>627</v>
      </c>
      <c r="G416" s="102">
        <f>DATE(Modelling_old[[#This Row],[Calendor Year]],Modelling_old[[#This Row],[Start Month]],1)</f>
        <v>45413</v>
      </c>
      <c r="H416" s="5">
        <f t="shared" si="142"/>
        <v>31</v>
      </c>
      <c r="I416" s="5">
        <f t="shared" si="143"/>
        <v>5</v>
      </c>
      <c r="J416" s="4">
        <f>_xlfn.XLOOKUP(Modelling_old[[#This Row],[Month]],$C$1:$C$14,$N$1:$N$14)/Modelling_old[[#This Row],[Total Days]]</f>
        <v>50.761290322580649</v>
      </c>
      <c r="K416" s="4">
        <f>SUM($J$414:J416)</f>
        <v>152.28387096774196</v>
      </c>
      <c r="L416" s="4">
        <f>SUM($J$384:J416)</f>
        <v>1681.3838709677425</v>
      </c>
      <c r="M416" s="4">
        <f t="shared" si="144"/>
        <v>6.5290322580645164</v>
      </c>
      <c r="N416" s="4">
        <f>SUM($M$414:M416)</f>
        <v>19.587096774193547</v>
      </c>
      <c r="O416" s="4">
        <f>SUM($M$384:M416)</f>
        <v>218.28709677419357</v>
      </c>
      <c r="P416" s="323">
        <f t="shared" si="145"/>
        <v>0.67587898543107972</v>
      </c>
      <c r="Q416" s="337">
        <f t="shared" si="146"/>
        <v>0.67587898543107983</v>
      </c>
      <c r="R416" s="337">
        <f t="shared" si="147"/>
        <v>0.66961306237640705</v>
      </c>
      <c r="S416" s="323">
        <f t="shared" si="148"/>
        <v>0.18386815410114321</v>
      </c>
      <c r="T416" s="9">
        <f>Modelling_old[[#This Row],[Target E_Grid MTD
MWh]]/Modelling_old[[#This Row],[DC Capcity]]/(24*CG416)</f>
        <v>0.18386815410114321</v>
      </c>
      <c r="U416" s="338">
        <f>Modelling_old[[#This Row],[Target E_Grid YTD
MWh]]/Modelling_old[[#This Row],[DC Capcity]]/(24*CH416)</f>
        <v>0.18455541836896827</v>
      </c>
      <c r="V416" s="134">
        <v>11.5031</v>
      </c>
      <c r="Y416" s="27">
        <f t="shared" si="162"/>
        <v>45415</v>
      </c>
      <c r="Z416" s="5">
        <f>MONTH(Modelling_new[[#This Row],[Date]])</f>
        <v>5</v>
      </c>
      <c r="AA416" s="25">
        <f>YEAR(Y416)+IF(MONTH(Modelling_new[[#This Row],[Date]])&gt;=4,1,0)</f>
        <v>2025</v>
      </c>
      <c r="AB416" s="3">
        <f t="shared" si="149"/>
        <v>2024</v>
      </c>
      <c r="AC416" s="3" t="s">
        <v>627</v>
      </c>
      <c r="AD416" s="3" t="s">
        <v>627</v>
      </c>
      <c r="AE416" s="102">
        <f>DATE(Modelling_old[[#This Row],[Calendor Year]],Modelling_old[[#This Row],[Start Month]],1)</f>
        <v>45413</v>
      </c>
      <c r="AF416" s="5">
        <f t="shared" si="150"/>
        <v>31</v>
      </c>
      <c r="AG416" s="5">
        <f t="shared" si="151"/>
        <v>5</v>
      </c>
      <c r="AH416" s="4">
        <f>_xlfn.XLOOKUP(Modelling_new[[#This Row],[Month]],$AA$1:$AA$14,$AL$1:$AL$14)/Modelling_new[[#This Row],[Total Days]]</f>
        <v>69.660866504992768</v>
      </c>
      <c r="AI416" s="4">
        <f>SUM($AH$414:AH416)</f>
        <v>208.98259951497829</v>
      </c>
      <c r="AJ416" s="4">
        <f>SUM($AH$384:AH416)</f>
        <v>2380.4791888955992</v>
      </c>
      <c r="AK416" s="4">
        <f t="shared" si="152"/>
        <v>6.5290322580645164</v>
      </c>
      <c r="AL416" s="4">
        <f>SUM($AK$414:AK416)</f>
        <v>19.587096774193547</v>
      </c>
      <c r="AM416" s="4">
        <f>SUM($AK$384:AK416)</f>
        <v>218.28709677419357</v>
      </c>
      <c r="AN416" s="323">
        <f t="shared" si="153"/>
        <v>0.92752401442995447</v>
      </c>
      <c r="AO416" s="323">
        <f t="shared" si="154"/>
        <v>0.92752401442995447</v>
      </c>
      <c r="AP416" s="323">
        <f t="shared" si="155"/>
        <v>0.94802857760389969</v>
      </c>
      <c r="AQ416" s="323">
        <f t="shared" si="156"/>
        <v>0.25232642543094463</v>
      </c>
      <c r="AR416" s="323">
        <f>Modelling_new[[#This Row],[Target E_Grid MTD
MWh]]/Modelling_new[[#This Row],[MTD DC Capcity]]/(24*CG416)</f>
        <v>0.22676063315427328</v>
      </c>
      <c r="AS416" s="323">
        <f>Modelling_new[[#This Row],[Target E_Grid YTD
MWh]]/Modelling_new[[#This Row],[YTD DC Capcity]]/(24*CH416)</f>
        <v>0.23481683918240984</v>
      </c>
      <c r="AT416" s="5">
        <v>12.8</v>
      </c>
      <c r="AU416" s="9">
        <f>Modelling_new[[#This Row],[Comisined DC ]]/$AO$1</f>
        <v>1</v>
      </c>
      <c r="AV416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16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16" s="27">
        <f t="shared" si="163"/>
        <v>45415</v>
      </c>
      <c r="BE416" s="5">
        <f>MONTH(Modelling[[#This Row],[Date]])</f>
        <v>5</v>
      </c>
      <c r="BF416" s="25">
        <f>YEAR(BD416)+IF(MONTH(Modelling[[#This Row],[Date]])&gt;=4,1,0)</f>
        <v>2025</v>
      </c>
      <c r="BG416" s="3">
        <f t="shared" si="157"/>
        <v>2024</v>
      </c>
      <c r="BH416" s="3" t="s">
        <v>627</v>
      </c>
      <c r="BI416" s="3" t="s">
        <v>627</v>
      </c>
      <c r="BJ416" s="102">
        <f>DATE(Modelling_old[[#This Row],[Calendor Year]],Modelling_old[[#This Row],[Start Month]],1)</f>
        <v>45413</v>
      </c>
      <c r="BK416" s="5">
        <f t="shared" si="158"/>
        <v>31</v>
      </c>
      <c r="BL416" s="5">
        <f t="shared" si="159"/>
        <v>5</v>
      </c>
      <c r="BM416" s="4">
        <f>Modelling_old[[#This Row],[Target E_Grid daily
MWh]]+Modelling_new[[#This Row],[Target E_Grid daily
MWh]]</f>
        <v>120.42215682757342</v>
      </c>
      <c r="BN416" s="4">
        <f>Modelling_old[[#This Row],[Target E_Grid MTD
MWh]]+Modelling_new[[#This Row],[Target E_Grid MTD
MWh]]</f>
        <v>361.26647048272025</v>
      </c>
      <c r="BO416" s="4">
        <f>Modelling_old[[#This Row],[Target E_Grid YTD
MWh]]+Modelling_new[[#This Row],[Target E_Grid YTD
MWh]]</f>
        <v>4061.8630598633417</v>
      </c>
      <c r="BP416" s="4">
        <f>AVERAGE(Modelling_old[[#This Row],[Target POA Daily (KWh/m2)]],Modelling_new[[#This Row],[Target POA Daily (KWh/m2)]])</f>
        <v>6.5290322580645164</v>
      </c>
      <c r="BQ416" s="4">
        <f>SUM($BP$414:BP416)</f>
        <v>19.587096774193547</v>
      </c>
      <c r="BR416" s="4">
        <f>SUM($BP$384:BP416)</f>
        <v>218.28709677419357</v>
      </c>
      <c r="BS416" s="323">
        <f>BM416/Modelling[[#This Row],[Comisined DC ]]/BP416</f>
        <v>0.75891985169387688</v>
      </c>
      <c r="BT416" s="337">
        <f>BN416/BQ416/Modelling[[#This Row],[Comisined DC ]]</f>
        <v>0.75891985169387699</v>
      </c>
      <c r="BU416" s="337">
        <f>BO416/BR416/Modelling[[#This Row],[Comisined DC ]]</f>
        <v>0.76565925947132119</v>
      </c>
      <c r="BV416" s="323">
        <f>BM416/(24*Modelling[[#This Row],[Comisined DC ]])</f>
        <v>0.2064588413747859</v>
      </c>
      <c r="BW416" s="323">
        <f>Modelling[[#This Row],[Target E_Grid MTD
MWh]]/Modelling[[#This Row],[MTD DC Capcity]]/(24*CG416)</f>
        <v>0.2064588413747859</v>
      </c>
      <c r="BX416" s="338">
        <f>Modelling[[#This Row],[Target E_Grid YTD
MWh]]/Modelling[[#This Row],[YTD DC Capcity]]/(24*CH416)</f>
        <v>0.21102719301549719</v>
      </c>
      <c r="BY416" s="4">
        <f>Modelling_old[[#This Row],[DC Capcity]]+Modelling_new[[#This Row],[Comisined DC ]]</f>
        <v>24.303100000000001</v>
      </c>
      <c r="BZ416" s="4">
        <v>0</v>
      </c>
      <c r="CA416">
        <f>AVERAGEIFS(Modelling[[Comisined DC ]],Modelling[Date],"&lt;="&amp;Modelling[[#This Row],[Date]],Modelling[Month Year],Modelling[[#This Row],[Month Year]])</f>
        <v>24.303100000000001</v>
      </c>
      <c r="CB416">
        <f>AVERAGEIFS(Modelling[[Comisined DC ]],Modelling[Date],"&lt;="&amp;Modelling[[#This Row],[Date]],Modelling[Finacial Year],Modelling[[#This Row],[Finacial Year]])</f>
        <v>24.303099999999983</v>
      </c>
      <c r="CG416">
        <f t="shared" si="160"/>
        <v>3</v>
      </c>
      <c r="CH416">
        <f t="shared" si="161"/>
        <v>33</v>
      </c>
    </row>
    <row r="417" spans="1:86" x14ac:dyDescent="0.35">
      <c r="A417" s="27">
        <f t="shared" si="139"/>
        <v>45416</v>
      </c>
      <c r="B417" s="5">
        <f>MONTH(Modelling_old[[#This Row],[Date]])</f>
        <v>5</v>
      </c>
      <c r="C417" s="25">
        <f t="shared" si="140"/>
        <v>2025</v>
      </c>
      <c r="D417" s="3">
        <f t="shared" si="141"/>
        <v>2024</v>
      </c>
      <c r="E417" s="3" t="s">
        <v>627</v>
      </c>
      <c r="F417" s="3" t="s">
        <v>627</v>
      </c>
      <c r="G417" s="102">
        <f>DATE(Modelling_old[[#This Row],[Calendor Year]],Modelling_old[[#This Row],[Start Month]],1)</f>
        <v>45413</v>
      </c>
      <c r="H417" s="5">
        <f t="shared" si="142"/>
        <v>31</v>
      </c>
      <c r="I417" s="5">
        <f t="shared" si="143"/>
        <v>5</v>
      </c>
      <c r="J417" s="4">
        <f>_xlfn.XLOOKUP(Modelling_old[[#This Row],[Month]],$C$1:$C$14,$N$1:$N$14)/Modelling_old[[#This Row],[Total Days]]</f>
        <v>50.761290322580649</v>
      </c>
      <c r="K417" s="4">
        <f>SUM($J$414:J417)</f>
        <v>203.0451612903226</v>
      </c>
      <c r="L417" s="4">
        <f>SUM($J$384:J417)</f>
        <v>1732.1451612903231</v>
      </c>
      <c r="M417" s="4">
        <f t="shared" si="144"/>
        <v>6.5290322580645164</v>
      </c>
      <c r="N417" s="4">
        <f>SUM($M$414:M417)</f>
        <v>26.116129032258065</v>
      </c>
      <c r="O417" s="4">
        <f>SUM($M$384:M417)</f>
        <v>224.81612903225809</v>
      </c>
      <c r="P417" s="323">
        <f t="shared" si="145"/>
        <v>0.67587898543107972</v>
      </c>
      <c r="Q417" s="337">
        <f t="shared" si="146"/>
        <v>0.67587898543107972</v>
      </c>
      <c r="R417" s="337">
        <f t="shared" si="147"/>
        <v>0.66979503514645067</v>
      </c>
      <c r="S417" s="323">
        <f t="shared" si="148"/>
        <v>0.18386815410114321</v>
      </c>
      <c r="T417" s="9">
        <f>Modelling_old[[#This Row],[Target E_Grid MTD
MWh]]/Modelling_old[[#This Row],[DC Capcity]]/(24*CG417)</f>
        <v>0.18386815410114321</v>
      </c>
      <c r="U417" s="338">
        <f>Modelling_old[[#This Row],[Target E_Grid YTD
MWh]]/Modelling_old[[#This Row],[DC Capcity]]/(24*CH417)</f>
        <v>0.18453520471403223</v>
      </c>
      <c r="V417" s="134">
        <v>11.5031</v>
      </c>
      <c r="Y417" s="27">
        <f t="shared" si="162"/>
        <v>45416</v>
      </c>
      <c r="Z417" s="5">
        <f>MONTH(Modelling_new[[#This Row],[Date]])</f>
        <v>5</v>
      </c>
      <c r="AA417" s="25">
        <f>YEAR(Y417)+IF(MONTH(Modelling_new[[#This Row],[Date]])&gt;=4,1,0)</f>
        <v>2025</v>
      </c>
      <c r="AB417" s="3">
        <f t="shared" si="149"/>
        <v>2024</v>
      </c>
      <c r="AC417" s="3" t="s">
        <v>627</v>
      </c>
      <c r="AD417" s="3" t="s">
        <v>627</v>
      </c>
      <c r="AE417" s="102">
        <f>DATE(Modelling_old[[#This Row],[Calendor Year]],Modelling_old[[#This Row],[Start Month]],1)</f>
        <v>45413</v>
      </c>
      <c r="AF417" s="5">
        <f t="shared" si="150"/>
        <v>31</v>
      </c>
      <c r="AG417" s="5">
        <f t="shared" si="151"/>
        <v>5</v>
      </c>
      <c r="AH417" s="4">
        <f>_xlfn.XLOOKUP(Modelling_new[[#This Row],[Month]],$AA$1:$AA$14,$AL$1:$AL$14)/Modelling_new[[#This Row],[Total Days]]</f>
        <v>69.660866504992768</v>
      </c>
      <c r="AI417" s="4">
        <f>SUM($AH$414:AH417)</f>
        <v>278.64346601997107</v>
      </c>
      <c r="AJ417" s="4">
        <f>SUM($AH$384:AH417)</f>
        <v>2450.1400554005918</v>
      </c>
      <c r="AK417" s="4">
        <f t="shared" si="152"/>
        <v>6.5290322580645164</v>
      </c>
      <c r="AL417" s="4">
        <f>SUM($AK$414:AK417)</f>
        <v>26.116129032258065</v>
      </c>
      <c r="AM417" s="4">
        <f>SUM($AK$384:AK417)</f>
        <v>224.81612903225809</v>
      </c>
      <c r="AN417" s="323">
        <f t="shared" si="153"/>
        <v>0.92752401442995447</v>
      </c>
      <c r="AO417" s="323">
        <f t="shared" si="154"/>
        <v>0.92752401442995447</v>
      </c>
      <c r="AP417" s="323">
        <f t="shared" si="155"/>
        <v>0.9474330911724923</v>
      </c>
      <c r="AQ417" s="323">
        <f t="shared" si="156"/>
        <v>0.25232642543094463</v>
      </c>
      <c r="AR417" s="323">
        <f>Modelling_new[[#This Row],[Target E_Grid MTD
MWh]]/Modelling_new[[#This Row],[MTD DC Capcity]]/(24*CG417)</f>
        <v>0.22676063315427331</v>
      </c>
      <c r="AS417" s="323">
        <f>Modelling_new[[#This Row],[Target E_Grid YTD
MWh]]/Modelling_new[[#This Row],[YTD DC Capcity]]/(24*CH417)</f>
        <v>0.23457989194628817</v>
      </c>
      <c r="AT417" s="5">
        <v>12.8</v>
      </c>
      <c r="AU417" s="9">
        <f>Modelling_new[[#This Row],[Comisined DC ]]/$AO$1</f>
        <v>1</v>
      </c>
      <c r="AV41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17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17" s="27">
        <f t="shared" si="163"/>
        <v>45416</v>
      </c>
      <c r="BE417" s="5">
        <f>MONTH(Modelling[[#This Row],[Date]])</f>
        <v>5</v>
      </c>
      <c r="BF417" s="25">
        <f>YEAR(BD417)+IF(MONTH(Modelling[[#This Row],[Date]])&gt;=4,1,0)</f>
        <v>2025</v>
      </c>
      <c r="BG417" s="3">
        <f t="shared" si="157"/>
        <v>2024</v>
      </c>
      <c r="BH417" s="3" t="s">
        <v>627</v>
      </c>
      <c r="BI417" s="3" t="s">
        <v>627</v>
      </c>
      <c r="BJ417" s="102">
        <f>DATE(Modelling_old[[#This Row],[Calendor Year]],Modelling_old[[#This Row],[Start Month]],1)</f>
        <v>45413</v>
      </c>
      <c r="BK417" s="5">
        <f t="shared" si="158"/>
        <v>31</v>
      </c>
      <c r="BL417" s="5">
        <f t="shared" si="159"/>
        <v>5</v>
      </c>
      <c r="BM417" s="4">
        <f>Modelling_old[[#This Row],[Target E_Grid daily
MWh]]+Modelling_new[[#This Row],[Target E_Grid daily
MWh]]</f>
        <v>120.42215682757342</v>
      </c>
      <c r="BN417" s="4">
        <f>Modelling_old[[#This Row],[Target E_Grid MTD
MWh]]+Modelling_new[[#This Row],[Target E_Grid MTD
MWh]]</f>
        <v>481.68862731029367</v>
      </c>
      <c r="BO417" s="4">
        <f>Modelling_old[[#This Row],[Target E_Grid YTD
MWh]]+Modelling_new[[#This Row],[Target E_Grid YTD
MWh]]</f>
        <v>4182.2852166909151</v>
      </c>
      <c r="BP417" s="4">
        <f>AVERAGE(Modelling_old[[#This Row],[Target POA Daily (KWh/m2)]],Modelling_new[[#This Row],[Target POA Daily (KWh/m2)]])</f>
        <v>6.5290322580645164</v>
      </c>
      <c r="BQ417" s="4">
        <f>SUM($BP$414:BP417)</f>
        <v>26.116129032258065</v>
      </c>
      <c r="BR417" s="4">
        <f>SUM($BP$384:BP417)</f>
        <v>224.81612903225809</v>
      </c>
      <c r="BS417" s="323">
        <f>BM417/Modelling[[#This Row],[Comisined DC ]]/BP417</f>
        <v>0.75891985169387688</v>
      </c>
      <c r="BT417" s="337">
        <f>BN417/BQ417/Modelling[[#This Row],[Comisined DC ]]</f>
        <v>0.75891985169387699</v>
      </c>
      <c r="BU417" s="337">
        <f>BO417/BR417/Modelling[[#This Row],[Comisined DC ]]</f>
        <v>0.76546353592173144</v>
      </c>
      <c r="BV417" s="323">
        <f>BM417/(24*Modelling[[#This Row],[Comisined DC ]])</f>
        <v>0.2064588413747859</v>
      </c>
      <c r="BW417" s="323">
        <f>Modelling[[#This Row],[Target E_Grid MTD
MWh]]/Modelling[[#This Row],[MTD DC Capcity]]/(24*CG417)</f>
        <v>0.20645884137478587</v>
      </c>
      <c r="BX417" s="338">
        <f>Modelling[[#This Row],[Target E_Grid YTD
MWh]]/Modelling[[#This Row],[YTD DC Capcity]]/(24*CH417)</f>
        <v>0.21089282973194687</v>
      </c>
      <c r="BY417" s="4">
        <f>Modelling_old[[#This Row],[DC Capcity]]+Modelling_new[[#This Row],[Comisined DC ]]</f>
        <v>24.303100000000001</v>
      </c>
      <c r="BZ417" s="4">
        <v>0</v>
      </c>
      <c r="CA417">
        <f>AVERAGEIFS(Modelling[[Comisined DC ]],Modelling[Date],"&lt;="&amp;Modelling[[#This Row],[Date]],Modelling[Month Year],Modelling[[#This Row],[Month Year]])</f>
        <v>24.303100000000001</v>
      </c>
      <c r="CB417">
        <f>AVERAGEIFS(Modelling[[Comisined DC ]],Modelling[Date],"&lt;="&amp;Modelling[[#This Row],[Date]],Modelling[Finacial Year],Modelling[[#This Row],[Finacial Year]])</f>
        <v>24.303099999999983</v>
      </c>
      <c r="CG417">
        <f t="shared" si="160"/>
        <v>4</v>
      </c>
      <c r="CH417">
        <f t="shared" si="161"/>
        <v>34</v>
      </c>
    </row>
    <row r="418" spans="1:86" x14ac:dyDescent="0.35">
      <c r="A418" s="27">
        <f t="shared" si="139"/>
        <v>45417</v>
      </c>
      <c r="B418" s="5">
        <f>MONTH(Modelling_old[[#This Row],[Date]])</f>
        <v>5</v>
      </c>
      <c r="C418" s="25">
        <f t="shared" si="140"/>
        <v>2025</v>
      </c>
      <c r="D418" s="3">
        <f t="shared" si="141"/>
        <v>2024</v>
      </c>
      <c r="E418" s="3" t="s">
        <v>627</v>
      </c>
      <c r="F418" s="3" t="s">
        <v>627</v>
      </c>
      <c r="G418" s="102">
        <f>DATE(Modelling_old[[#This Row],[Calendor Year]],Modelling_old[[#This Row],[Start Month]],1)</f>
        <v>45413</v>
      </c>
      <c r="H418" s="5">
        <f t="shared" si="142"/>
        <v>31</v>
      </c>
      <c r="I418" s="5">
        <f t="shared" si="143"/>
        <v>5</v>
      </c>
      <c r="J418" s="4">
        <f>_xlfn.XLOOKUP(Modelling_old[[#This Row],[Month]],$C$1:$C$14,$N$1:$N$14)/Modelling_old[[#This Row],[Total Days]]</f>
        <v>50.761290322580649</v>
      </c>
      <c r="K418" s="4">
        <f>SUM($J$414:J418)</f>
        <v>253.80645161290323</v>
      </c>
      <c r="L418" s="4">
        <f>SUM($J$384:J418)</f>
        <v>1782.9064516129038</v>
      </c>
      <c r="M418" s="4">
        <f t="shared" si="144"/>
        <v>6.5290322580645164</v>
      </c>
      <c r="N418" s="4">
        <f>SUM($M$414:M418)</f>
        <v>32.645161290322584</v>
      </c>
      <c r="O418" s="4">
        <f>SUM($M$384:M418)</f>
        <v>231.34516129032261</v>
      </c>
      <c r="P418" s="323">
        <f t="shared" si="145"/>
        <v>0.67587898543107972</v>
      </c>
      <c r="Q418" s="337">
        <f t="shared" si="146"/>
        <v>0.6758789854310796</v>
      </c>
      <c r="R418" s="337">
        <f t="shared" si="147"/>
        <v>0.66996673663112083</v>
      </c>
      <c r="S418" s="323">
        <f t="shared" si="148"/>
        <v>0.18386815410114321</v>
      </c>
      <c r="T418" s="9">
        <f>Modelling_old[[#This Row],[Target E_Grid MTD
MWh]]/Modelling_old[[#This Row],[DC Capcity]]/(24*CG418)</f>
        <v>0.18386815410114321</v>
      </c>
      <c r="U418" s="338">
        <f>Modelling_old[[#This Row],[Target E_Grid YTD
MWh]]/Modelling_old[[#This Row],[DC Capcity]]/(24*CH418)</f>
        <v>0.18451614612509257</v>
      </c>
      <c r="V418" s="134">
        <v>11.5031</v>
      </c>
      <c r="Y418" s="27">
        <f t="shared" si="162"/>
        <v>45417</v>
      </c>
      <c r="Z418" s="5">
        <f>MONTH(Modelling_new[[#This Row],[Date]])</f>
        <v>5</v>
      </c>
      <c r="AA418" s="25">
        <f>YEAR(Y418)+IF(MONTH(Modelling_new[[#This Row],[Date]])&gt;=4,1,0)</f>
        <v>2025</v>
      </c>
      <c r="AB418" s="3">
        <f t="shared" si="149"/>
        <v>2024</v>
      </c>
      <c r="AC418" s="3" t="s">
        <v>627</v>
      </c>
      <c r="AD418" s="3" t="s">
        <v>627</v>
      </c>
      <c r="AE418" s="102">
        <f>DATE(Modelling_old[[#This Row],[Calendor Year]],Modelling_old[[#This Row],[Start Month]],1)</f>
        <v>45413</v>
      </c>
      <c r="AF418" s="5">
        <f t="shared" si="150"/>
        <v>31</v>
      </c>
      <c r="AG418" s="5">
        <f t="shared" si="151"/>
        <v>5</v>
      </c>
      <c r="AH418" s="4">
        <f>_xlfn.XLOOKUP(Modelling_new[[#This Row],[Month]],$AA$1:$AA$14,$AL$1:$AL$14)/Modelling_new[[#This Row],[Total Days]]</f>
        <v>69.660866504992768</v>
      </c>
      <c r="AI418" s="4">
        <f>SUM($AH$414:AH418)</f>
        <v>348.30433252496385</v>
      </c>
      <c r="AJ418" s="4">
        <f>SUM($AH$384:AH418)</f>
        <v>2519.8009219055843</v>
      </c>
      <c r="AK418" s="4">
        <f t="shared" si="152"/>
        <v>6.5290322580645164</v>
      </c>
      <c r="AL418" s="4">
        <f>SUM($AK$414:AK418)</f>
        <v>32.645161290322584</v>
      </c>
      <c r="AM418" s="4">
        <f>SUM($AK$384:AK418)</f>
        <v>231.34516129032261</v>
      </c>
      <c r="AN418" s="323">
        <f t="shared" si="153"/>
        <v>0.92752401442995447</v>
      </c>
      <c r="AO418" s="323">
        <f t="shared" si="154"/>
        <v>0.92752401442995425</v>
      </c>
      <c r="AP418" s="323">
        <f t="shared" si="155"/>
        <v>0.94687121642414951</v>
      </c>
      <c r="AQ418" s="323">
        <f t="shared" si="156"/>
        <v>0.25232642543094463</v>
      </c>
      <c r="AR418" s="323">
        <f>Modelling_new[[#This Row],[Target E_Grid MTD
MWh]]/Modelling_new[[#This Row],[MTD DC Capcity]]/(24*CG418)</f>
        <v>0.22676063315427333</v>
      </c>
      <c r="AS418" s="323">
        <f>Modelling_new[[#This Row],[Target E_Grid YTD
MWh]]/Modelling_new[[#This Row],[YTD DC Capcity]]/(24*CH418)</f>
        <v>0.23435648455223057</v>
      </c>
      <c r="AT418" s="5">
        <v>12.8</v>
      </c>
      <c r="AU418" s="9">
        <f>Modelling_new[[#This Row],[Comisined DC ]]/$AO$1</f>
        <v>1</v>
      </c>
      <c r="AV41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18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18" s="27">
        <f t="shared" si="163"/>
        <v>45417</v>
      </c>
      <c r="BE418" s="5">
        <f>MONTH(Modelling[[#This Row],[Date]])</f>
        <v>5</v>
      </c>
      <c r="BF418" s="25">
        <f>YEAR(BD418)+IF(MONTH(Modelling[[#This Row],[Date]])&gt;=4,1,0)</f>
        <v>2025</v>
      </c>
      <c r="BG418" s="3">
        <f t="shared" si="157"/>
        <v>2024</v>
      </c>
      <c r="BH418" s="3" t="s">
        <v>627</v>
      </c>
      <c r="BI418" s="3" t="s">
        <v>627</v>
      </c>
      <c r="BJ418" s="102">
        <f>DATE(Modelling_old[[#This Row],[Calendor Year]],Modelling_old[[#This Row],[Start Month]],1)</f>
        <v>45413</v>
      </c>
      <c r="BK418" s="5">
        <f t="shared" si="158"/>
        <v>31</v>
      </c>
      <c r="BL418" s="5">
        <f t="shared" si="159"/>
        <v>5</v>
      </c>
      <c r="BM418" s="4">
        <f>Modelling_old[[#This Row],[Target E_Grid daily
MWh]]+Modelling_new[[#This Row],[Target E_Grid daily
MWh]]</f>
        <v>120.42215682757342</v>
      </c>
      <c r="BN418" s="4">
        <f>Modelling_old[[#This Row],[Target E_Grid MTD
MWh]]+Modelling_new[[#This Row],[Target E_Grid MTD
MWh]]</f>
        <v>602.11078413786709</v>
      </c>
      <c r="BO418" s="4">
        <f>Modelling_old[[#This Row],[Target E_Grid YTD
MWh]]+Modelling_new[[#This Row],[Target E_Grid YTD
MWh]]</f>
        <v>4302.7073735184877</v>
      </c>
      <c r="BP418" s="4">
        <f>AVERAGE(Modelling_old[[#This Row],[Target POA Daily (KWh/m2)]],Modelling_new[[#This Row],[Target POA Daily (KWh/m2)]])</f>
        <v>6.5290322580645164</v>
      </c>
      <c r="BQ418" s="4">
        <f>SUM($BP$414:BP418)</f>
        <v>32.645161290322584</v>
      </c>
      <c r="BR418" s="4">
        <f>SUM($BP$384:BP418)</f>
        <v>231.34516129032261</v>
      </c>
      <c r="BS418" s="323">
        <f>BM418/Modelling[[#This Row],[Comisined DC ]]/BP418</f>
        <v>0.75891985169387688</v>
      </c>
      <c r="BT418" s="337">
        <f>BN418/BQ418/Modelling[[#This Row],[Comisined DC ]]</f>
        <v>0.75891985169387688</v>
      </c>
      <c r="BU418" s="337">
        <f>BO418/BR418/Modelling[[#This Row],[Comisined DC ]]</f>
        <v>0.7652788598075998</v>
      </c>
      <c r="BV418" s="323">
        <f>BM418/(24*Modelling[[#This Row],[Comisined DC ]])</f>
        <v>0.2064588413747859</v>
      </c>
      <c r="BW418" s="323">
        <f>Modelling[[#This Row],[Target E_Grid MTD
MWh]]/Modelling[[#This Row],[MTD DC Capcity]]/(24*CG418)</f>
        <v>0.2064588413747859</v>
      </c>
      <c r="BX418" s="338">
        <f>Modelling[[#This Row],[Target E_Grid YTD
MWh]]/Modelling[[#This Row],[YTD DC Capcity]]/(24*CH418)</f>
        <v>0.21076614435031366</v>
      </c>
      <c r="BY418" s="4">
        <f>Modelling_old[[#This Row],[DC Capcity]]+Modelling_new[[#This Row],[Comisined DC ]]</f>
        <v>24.303100000000001</v>
      </c>
      <c r="BZ418" s="4">
        <v>0</v>
      </c>
      <c r="CA418">
        <f>AVERAGEIFS(Modelling[[Comisined DC ]],Modelling[Date],"&lt;="&amp;Modelling[[#This Row],[Date]],Modelling[Month Year],Modelling[[#This Row],[Month Year]])</f>
        <v>24.303100000000001</v>
      </c>
      <c r="CB418">
        <f>AVERAGEIFS(Modelling[[Comisined DC ]],Modelling[Date],"&lt;="&amp;Modelling[[#This Row],[Date]],Modelling[Finacial Year],Modelling[[#This Row],[Finacial Year]])</f>
        <v>24.303099999999983</v>
      </c>
      <c r="CG418">
        <f t="shared" si="160"/>
        <v>5</v>
      </c>
      <c r="CH418">
        <f t="shared" si="161"/>
        <v>35</v>
      </c>
    </row>
    <row r="419" spans="1:86" x14ac:dyDescent="0.35">
      <c r="A419" s="27">
        <f t="shared" si="139"/>
        <v>45418</v>
      </c>
      <c r="B419" s="5">
        <f>MONTH(Modelling_old[[#This Row],[Date]])</f>
        <v>5</v>
      </c>
      <c r="C419" s="25">
        <f t="shared" si="140"/>
        <v>2025</v>
      </c>
      <c r="D419" s="3">
        <f t="shared" si="141"/>
        <v>2024</v>
      </c>
      <c r="E419" s="3" t="s">
        <v>627</v>
      </c>
      <c r="F419" s="3" t="s">
        <v>627</v>
      </c>
      <c r="G419" s="102">
        <f>DATE(Modelling_old[[#This Row],[Calendor Year]],Modelling_old[[#This Row],[Start Month]],1)</f>
        <v>45413</v>
      </c>
      <c r="H419" s="5">
        <f t="shared" si="142"/>
        <v>31</v>
      </c>
      <c r="I419" s="5">
        <f t="shared" si="143"/>
        <v>5</v>
      </c>
      <c r="J419" s="4">
        <f>_xlfn.XLOOKUP(Modelling_old[[#This Row],[Month]],$C$1:$C$14,$N$1:$N$14)/Modelling_old[[#This Row],[Total Days]]</f>
        <v>50.761290322580649</v>
      </c>
      <c r="K419" s="4">
        <f>SUM($J$414:J419)</f>
        <v>304.56774193548387</v>
      </c>
      <c r="L419" s="4">
        <f>SUM($J$384:J419)</f>
        <v>1833.6677419354844</v>
      </c>
      <c r="M419" s="4">
        <f t="shared" si="144"/>
        <v>6.5290322580645164</v>
      </c>
      <c r="N419" s="4">
        <f>SUM($M$414:M419)</f>
        <v>39.174193548387102</v>
      </c>
      <c r="O419" s="4">
        <f>SUM($M$384:M419)</f>
        <v>237.87419354838713</v>
      </c>
      <c r="P419" s="323">
        <f t="shared" si="145"/>
        <v>0.67587898543107972</v>
      </c>
      <c r="Q419" s="337">
        <f t="shared" si="146"/>
        <v>0.6758789854310796</v>
      </c>
      <c r="R419" s="337">
        <f t="shared" si="147"/>
        <v>0.67012901259118529</v>
      </c>
      <c r="S419" s="323">
        <f t="shared" si="148"/>
        <v>0.18386815410114321</v>
      </c>
      <c r="T419" s="9">
        <f>Modelling_old[[#This Row],[Target E_Grid MTD
MWh]]/Modelling_old[[#This Row],[DC Capcity]]/(24*CG419)</f>
        <v>0.18386815410114321</v>
      </c>
      <c r="U419" s="338">
        <f>Modelling_old[[#This Row],[Target E_Grid YTD
MWh]]/Modelling_old[[#This Row],[DC Capcity]]/(24*CH419)</f>
        <v>0.18449814634664949</v>
      </c>
      <c r="V419" s="134">
        <v>11.5031</v>
      </c>
      <c r="Y419" s="27">
        <f t="shared" si="162"/>
        <v>45418</v>
      </c>
      <c r="Z419" s="5">
        <f>MONTH(Modelling_new[[#This Row],[Date]])</f>
        <v>5</v>
      </c>
      <c r="AA419" s="25">
        <f>YEAR(Y419)+IF(MONTH(Modelling_new[[#This Row],[Date]])&gt;=4,1,0)</f>
        <v>2025</v>
      </c>
      <c r="AB419" s="3">
        <f t="shared" si="149"/>
        <v>2024</v>
      </c>
      <c r="AC419" s="3" t="s">
        <v>627</v>
      </c>
      <c r="AD419" s="3" t="s">
        <v>627</v>
      </c>
      <c r="AE419" s="102">
        <f>DATE(Modelling_old[[#This Row],[Calendor Year]],Modelling_old[[#This Row],[Start Month]],1)</f>
        <v>45413</v>
      </c>
      <c r="AF419" s="5">
        <f t="shared" si="150"/>
        <v>31</v>
      </c>
      <c r="AG419" s="5">
        <f t="shared" si="151"/>
        <v>5</v>
      </c>
      <c r="AH419" s="4">
        <f>_xlfn.XLOOKUP(Modelling_new[[#This Row],[Month]],$AA$1:$AA$14,$AL$1:$AL$14)/Modelling_new[[#This Row],[Total Days]]</f>
        <v>69.660866504992768</v>
      </c>
      <c r="AI419" s="4">
        <f>SUM($AH$414:AH419)</f>
        <v>417.96519902995664</v>
      </c>
      <c r="AJ419" s="4">
        <f>SUM($AH$384:AH419)</f>
        <v>2589.4617884105769</v>
      </c>
      <c r="AK419" s="4">
        <f t="shared" si="152"/>
        <v>6.5290322580645164</v>
      </c>
      <c r="AL419" s="4">
        <f>SUM($AK$414:AK419)</f>
        <v>39.174193548387102</v>
      </c>
      <c r="AM419" s="4">
        <f>SUM($AK$384:AK419)</f>
        <v>237.87419354838713</v>
      </c>
      <c r="AN419" s="323">
        <f t="shared" si="153"/>
        <v>0.92752401442995447</v>
      </c>
      <c r="AO419" s="323">
        <f t="shared" si="154"/>
        <v>0.92752401442995425</v>
      </c>
      <c r="AP419" s="323">
        <f t="shared" si="155"/>
        <v>0.94634018569719625</v>
      </c>
      <c r="AQ419" s="323">
        <f t="shared" si="156"/>
        <v>0.25232642543094463</v>
      </c>
      <c r="AR419" s="323">
        <f>Modelling_new[[#This Row],[Target E_Grid MTD
MWh]]/Modelling_new[[#This Row],[MTD DC Capcity]]/(24*CG419)</f>
        <v>0.22676063315427339</v>
      </c>
      <c r="AS419" s="323">
        <f>Modelling_new[[#This Row],[Target E_Grid YTD
MWh]]/Modelling_new[[#This Row],[YTD DC Capcity]]/(24*CH419)</f>
        <v>0.23414548868006507</v>
      </c>
      <c r="AT419" s="5">
        <v>12.8</v>
      </c>
      <c r="AU419" s="9">
        <f>Modelling_new[[#This Row],[Comisined DC ]]/$AO$1</f>
        <v>1</v>
      </c>
      <c r="AV419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19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19" s="27">
        <f t="shared" si="163"/>
        <v>45418</v>
      </c>
      <c r="BE419" s="5">
        <f>MONTH(Modelling[[#This Row],[Date]])</f>
        <v>5</v>
      </c>
      <c r="BF419" s="25">
        <f>YEAR(BD419)+IF(MONTH(Modelling[[#This Row],[Date]])&gt;=4,1,0)</f>
        <v>2025</v>
      </c>
      <c r="BG419" s="3">
        <f t="shared" si="157"/>
        <v>2024</v>
      </c>
      <c r="BH419" s="3" t="s">
        <v>627</v>
      </c>
      <c r="BI419" s="3" t="s">
        <v>627</v>
      </c>
      <c r="BJ419" s="102">
        <f>DATE(Modelling_old[[#This Row],[Calendor Year]],Modelling_old[[#This Row],[Start Month]],1)</f>
        <v>45413</v>
      </c>
      <c r="BK419" s="5">
        <f t="shared" si="158"/>
        <v>31</v>
      </c>
      <c r="BL419" s="5">
        <f t="shared" si="159"/>
        <v>5</v>
      </c>
      <c r="BM419" s="4">
        <f>Modelling_old[[#This Row],[Target E_Grid daily
MWh]]+Modelling_new[[#This Row],[Target E_Grid daily
MWh]]</f>
        <v>120.42215682757342</v>
      </c>
      <c r="BN419" s="4">
        <f>Modelling_old[[#This Row],[Target E_Grid MTD
MWh]]+Modelling_new[[#This Row],[Target E_Grid MTD
MWh]]</f>
        <v>722.5329409654405</v>
      </c>
      <c r="BO419" s="4">
        <f>Modelling_old[[#This Row],[Target E_Grid YTD
MWh]]+Modelling_new[[#This Row],[Target E_Grid YTD
MWh]]</f>
        <v>4423.1295303460611</v>
      </c>
      <c r="BP419" s="4">
        <f>AVERAGE(Modelling_old[[#This Row],[Target POA Daily (KWh/m2)]],Modelling_new[[#This Row],[Target POA Daily (KWh/m2)]])</f>
        <v>6.5290322580645164</v>
      </c>
      <c r="BQ419" s="4">
        <f>SUM($BP$414:BP419)</f>
        <v>39.174193548387102</v>
      </c>
      <c r="BR419" s="4">
        <f>SUM($BP$384:BP419)</f>
        <v>237.87419354838713</v>
      </c>
      <c r="BS419" s="323">
        <f>BM419/Modelling[[#This Row],[Comisined DC ]]/BP419</f>
        <v>0.75891985169387688</v>
      </c>
      <c r="BT419" s="337">
        <f>BN419/BQ419/Modelling[[#This Row],[Comisined DC ]]</f>
        <v>0.75891985169387688</v>
      </c>
      <c r="BU419" s="337">
        <f>BO419/BR419/Modelling[[#This Row],[Comisined DC ]]</f>
        <v>0.76510432145821228</v>
      </c>
      <c r="BV419" s="323">
        <f>BM419/(24*Modelling[[#This Row],[Comisined DC ]])</f>
        <v>0.2064588413747859</v>
      </c>
      <c r="BW419" s="323">
        <f>Modelling[[#This Row],[Target E_Grid MTD
MWh]]/Modelling[[#This Row],[MTD DC Capcity]]/(24*CG419)</f>
        <v>0.2064588413747859</v>
      </c>
      <c r="BX419" s="338">
        <f>Modelling[[#This Row],[Target E_Grid YTD
MWh]]/Modelling[[#This Row],[YTD DC Capcity]]/(24*CH419)</f>
        <v>0.21064649704543789</v>
      </c>
      <c r="BY419" s="4">
        <f>Modelling_old[[#This Row],[DC Capcity]]+Modelling_new[[#This Row],[Comisined DC ]]</f>
        <v>24.303100000000001</v>
      </c>
      <c r="BZ419" s="4">
        <v>0</v>
      </c>
      <c r="CA419">
        <f>AVERAGEIFS(Modelling[[Comisined DC ]],Modelling[Date],"&lt;="&amp;Modelling[[#This Row],[Date]],Modelling[Month Year],Modelling[[#This Row],[Month Year]])</f>
        <v>24.303100000000001</v>
      </c>
      <c r="CB419">
        <f>AVERAGEIFS(Modelling[[Comisined DC ]],Modelling[Date],"&lt;="&amp;Modelling[[#This Row],[Date]],Modelling[Finacial Year],Modelling[[#This Row],[Finacial Year]])</f>
        <v>24.303099999999983</v>
      </c>
      <c r="CG419">
        <f t="shared" si="160"/>
        <v>6</v>
      </c>
      <c r="CH419">
        <f t="shared" si="161"/>
        <v>36</v>
      </c>
    </row>
    <row r="420" spans="1:86" x14ac:dyDescent="0.35">
      <c r="A420" s="27">
        <f t="shared" si="139"/>
        <v>45419</v>
      </c>
      <c r="B420" s="5">
        <f>MONTH(Modelling_old[[#This Row],[Date]])</f>
        <v>5</v>
      </c>
      <c r="C420" s="25">
        <f t="shared" si="140"/>
        <v>2025</v>
      </c>
      <c r="D420" s="3">
        <f t="shared" si="141"/>
        <v>2024</v>
      </c>
      <c r="E420" s="3" t="s">
        <v>627</v>
      </c>
      <c r="F420" s="3" t="s">
        <v>627</v>
      </c>
      <c r="G420" s="102">
        <f>DATE(Modelling_old[[#This Row],[Calendor Year]],Modelling_old[[#This Row],[Start Month]],1)</f>
        <v>45413</v>
      </c>
      <c r="H420" s="5">
        <f t="shared" si="142"/>
        <v>31</v>
      </c>
      <c r="I420" s="5">
        <f t="shared" si="143"/>
        <v>5</v>
      </c>
      <c r="J420" s="4">
        <f>_xlfn.XLOOKUP(Modelling_old[[#This Row],[Month]],$C$1:$C$14,$N$1:$N$14)/Modelling_old[[#This Row],[Total Days]]</f>
        <v>50.761290322580649</v>
      </c>
      <c r="K420" s="4">
        <f>SUM($J$414:J420)</f>
        <v>355.3290322580645</v>
      </c>
      <c r="L420" s="4">
        <f>SUM($J$384:J420)</f>
        <v>1884.429032258065</v>
      </c>
      <c r="M420" s="4">
        <f t="shared" si="144"/>
        <v>6.5290322580645164</v>
      </c>
      <c r="N420" s="4">
        <f>SUM($M$414:M420)</f>
        <v>45.70322580645162</v>
      </c>
      <c r="O420" s="4">
        <f>SUM($M$384:M420)</f>
        <v>244.40322580645164</v>
      </c>
      <c r="P420" s="323">
        <f t="shared" si="145"/>
        <v>0.67587898543107972</v>
      </c>
      <c r="Q420" s="337">
        <f t="shared" si="146"/>
        <v>0.6758789854310796</v>
      </c>
      <c r="R420" s="337">
        <f t="shared" si="147"/>
        <v>0.67028261841218373</v>
      </c>
      <c r="S420" s="323">
        <f t="shared" si="148"/>
        <v>0.18386815410114321</v>
      </c>
      <c r="T420" s="9">
        <f>Modelling_old[[#This Row],[Target E_Grid MTD
MWh]]/Modelling_old[[#This Row],[DC Capcity]]/(24*CG420)</f>
        <v>0.18386815410114318</v>
      </c>
      <c r="U420" s="338">
        <f>Modelling_old[[#This Row],[Target E_Grid YTD
MWh]]/Modelling_old[[#This Row],[DC Capcity]]/(24*CH420)</f>
        <v>0.1844811195292034</v>
      </c>
      <c r="V420" s="134">
        <v>11.5031</v>
      </c>
      <c r="Y420" s="27">
        <f t="shared" si="162"/>
        <v>45419</v>
      </c>
      <c r="Z420" s="5">
        <f>MONTH(Modelling_new[[#This Row],[Date]])</f>
        <v>5</v>
      </c>
      <c r="AA420" s="25">
        <f>YEAR(Y420)+IF(MONTH(Modelling_new[[#This Row],[Date]])&gt;=4,1,0)</f>
        <v>2025</v>
      </c>
      <c r="AB420" s="3">
        <f t="shared" si="149"/>
        <v>2024</v>
      </c>
      <c r="AC420" s="3" t="s">
        <v>627</v>
      </c>
      <c r="AD420" s="3" t="s">
        <v>627</v>
      </c>
      <c r="AE420" s="102">
        <f>DATE(Modelling_old[[#This Row],[Calendor Year]],Modelling_old[[#This Row],[Start Month]],1)</f>
        <v>45413</v>
      </c>
      <c r="AF420" s="5">
        <f t="shared" si="150"/>
        <v>31</v>
      </c>
      <c r="AG420" s="5">
        <f t="shared" si="151"/>
        <v>5</v>
      </c>
      <c r="AH420" s="4">
        <f>_xlfn.XLOOKUP(Modelling_new[[#This Row],[Month]],$AA$1:$AA$14,$AL$1:$AL$14)/Modelling_new[[#This Row],[Total Days]]</f>
        <v>69.660866504992768</v>
      </c>
      <c r="AI420" s="4">
        <f>SUM($AH$414:AH420)</f>
        <v>487.62606553494942</v>
      </c>
      <c r="AJ420" s="4">
        <f>SUM($AH$384:AH420)</f>
        <v>2659.1226549155695</v>
      </c>
      <c r="AK420" s="4">
        <f t="shared" si="152"/>
        <v>6.5290322580645164</v>
      </c>
      <c r="AL420" s="4">
        <f>SUM($AK$414:AK420)</f>
        <v>45.70322580645162</v>
      </c>
      <c r="AM420" s="4">
        <f>SUM($AK$384:AK420)</f>
        <v>244.40322580645164</v>
      </c>
      <c r="AN420" s="323">
        <f t="shared" si="153"/>
        <v>0.92752401442995447</v>
      </c>
      <c r="AO420" s="323">
        <f t="shared" si="154"/>
        <v>0.92752401442995425</v>
      </c>
      <c r="AP420" s="323">
        <f t="shared" si="155"/>
        <v>0.94583752707322877</v>
      </c>
      <c r="AQ420" s="323">
        <f t="shared" si="156"/>
        <v>0.25232642543094463</v>
      </c>
      <c r="AR420" s="323">
        <f>Modelling_new[[#This Row],[Target E_Grid MTD
MWh]]/Modelling_new[[#This Row],[MTD DC Capcity]]/(24*CG420)</f>
        <v>0.22676063315427336</v>
      </c>
      <c r="AS420" s="323">
        <f>Modelling_new[[#This Row],[Target E_Grid YTD
MWh]]/Modelling_new[[#This Row],[YTD DC Capcity]]/(24*CH420)</f>
        <v>0.23394589799017879</v>
      </c>
      <c r="AT420" s="5">
        <v>12.8</v>
      </c>
      <c r="AU420" s="9">
        <f>Modelling_new[[#This Row],[Comisined DC ]]/$AO$1</f>
        <v>1</v>
      </c>
      <c r="AV420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20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20" s="27">
        <f t="shared" si="163"/>
        <v>45419</v>
      </c>
      <c r="BE420" s="5">
        <f>MONTH(Modelling[[#This Row],[Date]])</f>
        <v>5</v>
      </c>
      <c r="BF420" s="25">
        <f>YEAR(BD420)+IF(MONTH(Modelling[[#This Row],[Date]])&gt;=4,1,0)</f>
        <v>2025</v>
      </c>
      <c r="BG420" s="3">
        <f t="shared" si="157"/>
        <v>2024</v>
      </c>
      <c r="BH420" s="3" t="s">
        <v>627</v>
      </c>
      <c r="BI420" s="3" t="s">
        <v>627</v>
      </c>
      <c r="BJ420" s="102">
        <f>DATE(Modelling_old[[#This Row],[Calendor Year]],Modelling_old[[#This Row],[Start Month]],1)</f>
        <v>45413</v>
      </c>
      <c r="BK420" s="5">
        <f t="shared" si="158"/>
        <v>31</v>
      </c>
      <c r="BL420" s="5">
        <f t="shared" si="159"/>
        <v>5</v>
      </c>
      <c r="BM420" s="4">
        <f>Modelling_old[[#This Row],[Target E_Grid daily
MWh]]+Modelling_new[[#This Row],[Target E_Grid daily
MWh]]</f>
        <v>120.42215682757342</v>
      </c>
      <c r="BN420" s="4">
        <f>Modelling_old[[#This Row],[Target E_Grid MTD
MWh]]+Modelling_new[[#This Row],[Target E_Grid MTD
MWh]]</f>
        <v>842.95509779301392</v>
      </c>
      <c r="BO420" s="4">
        <f>Modelling_old[[#This Row],[Target E_Grid YTD
MWh]]+Modelling_new[[#This Row],[Target E_Grid YTD
MWh]]</f>
        <v>4543.5516871736345</v>
      </c>
      <c r="BP420" s="4">
        <f>AVERAGE(Modelling_old[[#This Row],[Target POA Daily (KWh/m2)]],Modelling_new[[#This Row],[Target POA Daily (KWh/m2)]])</f>
        <v>6.5290322580645164</v>
      </c>
      <c r="BQ420" s="4">
        <f>SUM($BP$414:BP420)</f>
        <v>45.70322580645162</v>
      </c>
      <c r="BR420" s="4">
        <f>SUM($BP$384:BP420)</f>
        <v>244.40322580645164</v>
      </c>
      <c r="BS420" s="323">
        <f>BM420/Modelling[[#This Row],[Comisined DC ]]/BP420</f>
        <v>0.75891985169387688</v>
      </c>
      <c r="BT420" s="337">
        <f>BN420/BQ420/Modelling[[#This Row],[Comisined DC ]]</f>
        <v>0.75891985169387688</v>
      </c>
      <c r="BU420" s="337">
        <f>BO420/BR420/Modelling[[#This Row],[Comisined DC ]]</f>
        <v>0.76493910840729162</v>
      </c>
      <c r="BV420" s="323">
        <f>BM420/(24*Modelling[[#This Row],[Comisined DC ]])</f>
        <v>0.2064588413747859</v>
      </c>
      <c r="BW420" s="323">
        <f>Modelling[[#This Row],[Target E_Grid MTD
MWh]]/Modelling[[#This Row],[MTD DC Capcity]]/(24*CG420)</f>
        <v>0.2064588413747859</v>
      </c>
      <c r="BX420" s="338">
        <f>Modelling[[#This Row],[Target E_Grid YTD
MWh]]/Modelling[[#This Row],[YTD DC Capcity]]/(24*CH420)</f>
        <v>0.2105333171624473</v>
      </c>
      <c r="BY420" s="4">
        <f>Modelling_old[[#This Row],[DC Capcity]]+Modelling_new[[#This Row],[Comisined DC ]]</f>
        <v>24.303100000000001</v>
      </c>
      <c r="BZ420" s="4">
        <v>0</v>
      </c>
      <c r="CA420">
        <f>AVERAGEIFS(Modelling[[Comisined DC ]],Modelling[Date],"&lt;="&amp;Modelling[[#This Row],[Date]],Modelling[Month Year],Modelling[[#This Row],[Month Year]])</f>
        <v>24.303100000000001</v>
      </c>
      <c r="CB420">
        <f>AVERAGEIFS(Modelling[[Comisined DC ]],Modelling[Date],"&lt;="&amp;Modelling[[#This Row],[Date]],Modelling[Finacial Year],Modelling[[#This Row],[Finacial Year]])</f>
        <v>24.303099999999983</v>
      </c>
      <c r="CG420">
        <f t="shared" si="160"/>
        <v>7</v>
      </c>
      <c r="CH420">
        <f t="shared" si="161"/>
        <v>37</v>
      </c>
    </row>
    <row r="421" spans="1:86" x14ac:dyDescent="0.35">
      <c r="A421" s="27">
        <f t="shared" si="139"/>
        <v>45420</v>
      </c>
      <c r="B421" s="5">
        <f>MONTH(Modelling_old[[#This Row],[Date]])</f>
        <v>5</v>
      </c>
      <c r="C421" s="25">
        <f t="shared" si="140"/>
        <v>2025</v>
      </c>
      <c r="D421" s="3">
        <f t="shared" si="141"/>
        <v>2024</v>
      </c>
      <c r="E421" s="3" t="s">
        <v>627</v>
      </c>
      <c r="F421" s="3" t="s">
        <v>627</v>
      </c>
      <c r="G421" s="102">
        <f>DATE(Modelling_old[[#This Row],[Calendor Year]],Modelling_old[[#This Row],[Start Month]],1)</f>
        <v>45413</v>
      </c>
      <c r="H421" s="5">
        <f t="shared" si="142"/>
        <v>31</v>
      </c>
      <c r="I421" s="5">
        <f t="shared" si="143"/>
        <v>5</v>
      </c>
      <c r="J421" s="4">
        <f>_xlfn.XLOOKUP(Modelling_old[[#This Row],[Month]],$C$1:$C$14,$N$1:$N$14)/Modelling_old[[#This Row],[Total Days]]</f>
        <v>50.761290322580649</v>
      </c>
      <c r="K421" s="4">
        <f>SUM($J$414:J421)</f>
        <v>406.09032258064514</v>
      </c>
      <c r="L421" s="4">
        <f>SUM($J$384:J421)</f>
        <v>1935.1903225806457</v>
      </c>
      <c r="M421" s="4">
        <f t="shared" si="144"/>
        <v>6.5290322580645164</v>
      </c>
      <c r="N421" s="4">
        <f>SUM($M$414:M421)</f>
        <v>52.232258064516138</v>
      </c>
      <c r="O421" s="4">
        <f>SUM($M$384:M421)</f>
        <v>250.93225806451616</v>
      </c>
      <c r="P421" s="323">
        <f t="shared" si="145"/>
        <v>0.67587898543107972</v>
      </c>
      <c r="Q421" s="337">
        <f t="shared" si="146"/>
        <v>0.6758789854310796</v>
      </c>
      <c r="R421" s="337">
        <f t="shared" si="147"/>
        <v>0.67042823086183922</v>
      </c>
      <c r="S421" s="323">
        <f t="shared" si="148"/>
        <v>0.18386815410114321</v>
      </c>
      <c r="T421" s="9">
        <f>Modelling_old[[#This Row],[Target E_Grid MTD
MWh]]/Modelling_old[[#This Row],[DC Capcity]]/(24*CG421)</f>
        <v>0.18386815410114318</v>
      </c>
      <c r="U421" s="338">
        <f>Modelling_old[[#This Row],[Target E_Grid YTD
MWh]]/Modelling_old[[#This Row],[DC Capcity]]/(24*CH421)</f>
        <v>0.18446498886004392</v>
      </c>
      <c r="V421" s="134">
        <v>11.5031</v>
      </c>
      <c r="Y421" s="27">
        <f t="shared" si="162"/>
        <v>45420</v>
      </c>
      <c r="Z421" s="5">
        <f>MONTH(Modelling_new[[#This Row],[Date]])</f>
        <v>5</v>
      </c>
      <c r="AA421" s="25">
        <f>YEAR(Y421)+IF(MONTH(Modelling_new[[#This Row],[Date]])&gt;=4,1,0)</f>
        <v>2025</v>
      </c>
      <c r="AB421" s="3">
        <f t="shared" si="149"/>
        <v>2024</v>
      </c>
      <c r="AC421" s="3" t="s">
        <v>627</v>
      </c>
      <c r="AD421" s="3" t="s">
        <v>627</v>
      </c>
      <c r="AE421" s="102">
        <f>DATE(Modelling_old[[#This Row],[Calendor Year]],Modelling_old[[#This Row],[Start Month]],1)</f>
        <v>45413</v>
      </c>
      <c r="AF421" s="5">
        <f t="shared" si="150"/>
        <v>31</v>
      </c>
      <c r="AG421" s="5">
        <f t="shared" si="151"/>
        <v>5</v>
      </c>
      <c r="AH421" s="4">
        <f>_xlfn.XLOOKUP(Modelling_new[[#This Row],[Month]],$AA$1:$AA$14,$AL$1:$AL$14)/Modelling_new[[#This Row],[Total Days]]</f>
        <v>69.660866504992768</v>
      </c>
      <c r="AI421" s="4">
        <f>SUM($AH$414:AH421)</f>
        <v>557.28693203994214</v>
      </c>
      <c r="AJ421" s="4">
        <f>SUM($AH$384:AH421)</f>
        <v>2728.783521420562</v>
      </c>
      <c r="AK421" s="4">
        <f t="shared" si="152"/>
        <v>6.5290322580645164</v>
      </c>
      <c r="AL421" s="4">
        <f>SUM($AK$414:AK421)</f>
        <v>52.232258064516138</v>
      </c>
      <c r="AM421" s="4">
        <f>SUM($AK$384:AK421)</f>
        <v>250.93225806451616</v>
      </c>
      <c r="AN421" s="323">
        <f t="shared" si="153"/>
        <v>0.92752401442995447</v>
      </c>
      <c r="AO421" s="323">
        <f t="shared" si="154"/>
        <v>0.92752401442995425</v>
      </c>
      <c r="AP421" s="323">
        <f t="shared" si="155"/>
        <v>0.94536102590224047</v>
      </c>
      <c r="AQ421" s="323">
        <f t="shared" si="156"/>
        <v>0.25232642543094463</v>
      </c>
      <c r="AR421" s="323">
        <f>Modelling_new[[#This Row],[Target E_Grid MTD
MWh]]/Modelling_new[[#This Row],[MTD DC Capcity]]/(24*CG421)</f>
        <v>0.22676063315427333</v>
      </c>
      <c r="AS421" s="323">
        <f>Modelling_new[[#This Row],[Target E_Grid YTD
MWh]]/Modelling_new[[#This Row],[YTD DC Capcity]]/(24*CH421)</f>
        <v>0.2337568120734444</v>
      </c>
      <c r="AT421" s="5">
        <v>12.8</v>
      </c>
      <c r="AU421" s="9">
        <f>Modelling_new[[#This Row],[Comisined DC ]]/$AO$1</f>
        <v>1</v>
      </c>
      <c r="AV421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21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21" s="27">
        <f t="shared" si="163"/>
        <v>45420</v>
      </c>
      <c r="BE421" s="5">
        <f>MONTH(Modelling[[#This Row],[Date]])</f>
        <v>5</v>
      </c>
      <c r="BF421" s="25">
        <f>YEAR(BD421)+IF(MONTH(Modelling[[#This Row],[Date]])&gt;=4,1,0)</f>
        <v>2025</v>
      </c>
      <c r="BG421" s="3">
        <f t="shared" si="157"/>
        <v>2024</v>
      </c>
      <c r="BH421" s="3" t="s">
        <v>627</v>
      </c>
      <c r="BI421" s="3" t="s">
        <v>627</v>
      </c>
      <c r="BJ421" s="102">
        <f>DATE(Modelling_old[[#This Row],[Calendor Year]],Modelling_old[[#This Row],[Start Month]],1)</f>
        <v>45413</v>
      </c>
      <c r="BK421" s="5">
        <f t="shared" si="158"/>
        <v>31</v>
      </c>
      <c r="BL421" s="5">
        <f t="shared" si="159"/>
        <v>5</v>
      </c>
      <c r="BM421" s="4">
        <f>Modelling_old[[#This Row],[Target E_Grid daily
MWh]]+Modelling_new[[#This Row],[Target E_Grid daily
MWh]]</f>
        <v>120.42215682757342</v>
      </c>
      <c r="BN421" s="4">
        <f>Modelling_old[[#This Row],[Target E_Grid MTD
MWh]]+Modelling_new[[#This Row],[Target E_Grid MTD
MWh]]</f>
        <v>963.37725462058734</v>
      </c>
      <c r="BO421" s="4">
        <f>Modelling_old[[#This Row],[Target E_Grid YTD
MWh]]+Modelling_new[[#This Row],[Target E_Grid YTD
MWh]]</f>
        <v>4663.9738440012079</v>
      </c>
      <c r="BP421" s="4">
        <f>AVERAGE(Modelling_old[[#This Row],[Target POA Daily (KWh/m2)]],Modelling_new[[#This Row],[Target POA Daily (KWh/m2)]])</f>
        <v>6.5290322580645164</v>
      </c>
      <c r="BQ421" s="4">
        <f>SUM($BP$414:BP421)</f>
        <v>52.232258064516138</v>
      </c>
      <c r="BR421" s="4">
        <f>SUM($BP$384:BP421)</f>
        <v>250.93225806451616</v>
      </c>
      <c r="BS421" s="323">
        <f>BM421/Modelling[[#This Row],[Comisined DC ]]/BP421</f>
        <v>0.75891985169387688</v>
      </c>
      <c r="BT421" s="337">
        <f>BN421/BQ421/Modelling[[#This Row],[Comisined DC ]]</f>
        <v>0.75891985169387688</v>
      </c>
      <c r="BU421" s="337">
        <f>BO421/BR421/Modelling[[#This Row],[Comisined DC ]]</f>
        <v>0.7647824927471345</v>
      </c>
      <c r="BV421" s="323">
        <f>BM421/(24*Modelling[[#This Row],[Comisined DC ]])</f>
        <v>0.2064588413747859</v>
      </c>
      <c r="BW421" s="323">
        <f>Modelling[[#This Row],[Target E_Grid MTD
MWh]]/Modelling[[#This Row],[MTD DC Capcity]]/(24*CG421)</f>
        <v>0.20645884137478587</v>
      </c>
      <c r="BX421" s="338">
        <f>Modelling[[#This Row],[Target E_Grid YTD
MWh]]/Modelling[[#This Row],[YTD DC Capcity]]/(24*CH421)</f>
        <v>0.21042609411540358</v>
      </c>
      <c r="BY421" s="4">
        <f>Modelling_old[[#This Row],[DC Capcity]]+Modelling_new[[#This Row],[Comisined DC ]]</f>
        <v>24.303100000000001</v>
      </c>
      <c r="BZ421" s="4">
        <v>0</v>
      </c>
      <c r="CA421">
        <f>AVERAGEIFS(Modelling[[Comisined DC ]],Modelling[Date],"&lt;="&amp;Modelling[[#This Row],[Date]],Modelling[Month Year],Modelling[[#This Row],[Month Year]])</f>
        <v>24.303100000000001</v>
      </c>
      <c r="CB421">
        <f>AVERAGEIFS(Modelling[[Comisined DC ]],Modelling[Date],"&lt;="&amp;Modelling[[#This Row],[Date]],Modelling[Finacial Year],Modelling[[#This Row],[Finacial Year]])</f>
        <v>24.303099999999983</v>
      </c>
      <c r="CG421">
        <f t="shared" si="160"/>
        <v>8</v>
      </c>
      <c r="CH421">
        <f t="shared" si="161"/>
        <v>38</v>
      </c>
    </row>
    <row r="422" spans="1:86" x14ac:dyDescent="0.35">
      <c r="A422" s="27">
        <f t="shared" si="139"/>
        <v>45421</v>
      </c>
      <c r="B422" s="5">
        <f>MONTH(Modelling_old[[#This Row],[Date]])</f>
        <v>5</v>
      </c>
      <c r="C422" s="25">
        <f t="shared" si="140"/>
        <v>2025</v>
      </c>
      <c r="D422" s="3">
        <f t="shared" si="141"/>
        <v>2024</v>
      </c>
      <c r="E422" s="3" t="s">
        <v>627</v>
      </c>
      <c r="F422" s="3" t="s">
        <v>627</v>
      </c>
      <c r="G422" s="102">
        <f>DATE(Modelling_old[[#This Row],[Calendor Year]],Modelling_old[[#This Row],[Start Month]],1)</f>
        <v>45413</v>
      </c>
      <c r="H422" s="5">
        <f t="shared" si="142"/>
        <v>31</v>
      </c>
      <c r="I422" s="5">
        <f t="shared" si="143"/>
        <v>5</v>
      </c>
      <c r="J422" s="4">
        <f>_xlfn.XLOOKUP(Modelling_old[[#This Row],[Month]],$C$1:$C$14,$N$1:$N$14)/Modelling_old[[#This Row],[Total Days]]</f>
        <v>50.761290322580649</v>
      </c>
      <c r="K422" s="4">
        <f>SUM($J$414:J422)</f>
        <v>456.85161290322577</v>
      </c>
      <c r="L422" s="4">
        <f>SUM($J$384:J422)</f>
        <v>1985.9516129032263</v>
      </c>
      <c r="M422" s="4">
        <f t="shared" si="144"/>
        <v>6.5290322580645164</v>
      </c>
      <c r="N422" s="4">
        <f>SUM($M$414:M422)</f>
        <v>58.761290322580656</v>
      </c>
      <c r="O422" s="4">
        <f>SUM($M$384:M422)</f>
        <v>257.46129032258068</v>
      </c>
      <c r="P422" s="323">
        <f t="shared" si="145"/>
        <v>0.67587898543107972</v>
      </c>
      <c r="Q422" s="337">
        <f t="shared" si="146"/>
        <v>0.6758789854310796</v>
      </c>
      <c r="R422" s="337">
        <f t="shared" si="147"/>
        <v>0.67056645805851312</v>
      </c>
      <c r="S422" s="323">
        <f t="shared" si="148"/>
        <v>0.18386815410114321</v>
      </c>
      <c r="T422" s="9">
        <f>Modelling_old[[#This Row],[Target E_Grid MTD
MWh]]/Modelling_old[[#This Row],[DC Capcity]]/(24*CG422)</f>
        <v>0.18386815410114318</v>
      </c>
      <c r="U422" s="338">
        <f>Modelling_old[[#This Row],[Target E_Grid YTD
MWh]]/Modelling_old[[#This Row],[DC Capcity]]/(24*CH422)</f>
        <v>0.18444968540468751</v>
      </c>
      <c r="V422" s="134">
        <v>11.5031</v>
      </c>
      <c r="Y422" s="27">
        <f t="shared" si="162"/>
        <v>45421</v>
      </c>
      <c r="Z422" s="5">
        <f>MONTH(Modelling_new[[#This Row],[Date]])</f>
        <v>5</v>
      </c>
      <c r="AA422" s="25">
        <f>YEAR(Y422)+IF(MONTH(Modelling_new[[#This Row],[Date]])&gt;=4,1,0)</f>
        <v>2025</v>
      </c>
      <c r="AB422" s="3">
        <f t="shared" si="149"/>
        <v>2024</v>
      </c>
      <c r="AC422" s="3" t="s">
        <v>627</v>
      </c>
      <c r="AD422" s="3" t="s">
        <v>627</v>
      </c>
      <c r="AE422" s="102">
        <f>DATE(Modelling_old[[#This Row],[Calendor Year]],Modelling_old[[#This Row],[Start Month]],1)</f>
        <v>45413</v>
      </c>
      <c r="AF422" s="5">
        <f t="shared" si="150"/>
        <v>31</v>
      </c>
      <c r="AG422" s="5">
        <f t="shared" si="151"/>
        <v>5</v>
      </c>
      <c r="AH422" s="4">
        <f>_xlfn.XLOOKUP(Modelling_new[[#This Row],[Month]],$AA$1:$AA$14,$AL$1:$AL$14)/Modelling_new[[#This Row],[Total Days]]</f>
        <v>69.660866504992768</v>
      </c>
      <c r="AI422" s="4">
        <f>SUM($AH$414:AH422)</f>
        <v>626.94779854493493</v>
      </c>
      <c r="AJ422" s="4">
        <f>SUM($AH$384:AH422)</f>
        <v>2798.4443879255546</v>
      </c>
      <c r="AK422" s="4">
        <f t="shared" si="152"/>
        <v>6.5290322580645164</v>
      </c>
      <c r="AL422" s="4">
        <f>SUM($AK$414:AK422)</f>
        <v>58.761290322580656</v>
      </c>
      <c r="AM422" s="4">
        <f>SUM($AK$384:AK422)</f>
        <v>257.46129032258068</v>
      </c>
      <c r="AN422" s="323">
        <f t="shared" si="153"/>
        <v>0.92752401442995447</v>
      </c>
      <c r="AO422" s="323">
        <f t="shared" si="154"/>
        <v>0.92752401442995425</v>
      </c>
      <c r="AP422" s="323">
        <f t="shared" si="155"/>
        <v>0.94490869218192031</v>
      </c>
      <c r="AQ422" s="323">
        <f t="shared" si="156"/>
        <v>0.25232642543094463</v>
      </c>
      <c r="AR422" s="323">
        <f>Modelling_new[[#This Row],[Target E_Grid MTD
MWh]]/Modelling_new[[#This Row],[MTD DC Capcity]]/(24*CG422)</f>
        <v>0.22676063315427336</v>
      </c>
      <c r="AS422" s="323">
        <f>Modelling_new[[#This Row],[Target E_Grid YTD
MWh]]/Modelling_new[[#This Row],[YTD DC Capcity]]/(24*CH422)</f>
        <v>0.23357742287038871</v>
      </c>
      <c r="AT422" s="5">
        <v>12.8</v>
      </c>
      <c r="AU422" s="9">
        <f>Modelling_new[[#This Row],[Comisined DC ]]/$AO$1</f>
        <v>1</v>
      </c>
      <c r="AV422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22" s="5">
        <f>AVERAGEIFS(Modelling_new[[Comisined DC ]],Modelling_new[Date],"&lt;="&amp;Modelling_new[[#This Row],[Date]],Modelling_new[[Comisined DC ]],"&gt;"&amp;0,Modelling_new[Finacial Year],Modelling_new[[#This Row],[Finacial Year]])</f>
        <v>12.800000000000008</v>
      </c>
      <c r="BD422" s="27">
        <f t="shared" si="163"/>
        <v>45421</v>
      </c>
      <c r="BE422" s="5">
        <f>MONTH(Modelling[[#This Row],[Date]])</f>
        <v>5</v>
      </c>
      <c r="BF422" s="25">
        <f>YEAR(BD422)+IF(MONTH(Modelling[[#This Row],[Date]])&gt;=4,1,0)</f>
        <v>2025</v>
      </c>
      <c r="BG422" s="3">
        <f t="shared" si="157"/>
        <v>2024</v>
      </c>
      <c r="BH422" s="3" t="s">
        <v>627</v>
      </c>
      <c r="BI422" s="3" t="s">
        <v>627</v>
      </c>
      <c r="BJ422" s="102">
        <f>DATE(Modelling_old[[#This Row],[Calendor Year]],Modelling_old[[#This Row],[Start Month]],1)</f>
        <v>45413</v>
      </c>
      <c r="BK422" s="5">
        <f t="shared" si="158"/>
        <v>31</v>
      </c>
      <c r="BL422" s="5">
        <f t="shared" si="159"/>
        <v>5</v>
      </c>
      <c r="BM422" s="4">
        <f>Modelling_old[[#This Row],[Target E_Grid daily
MWh]]+Modelling_new[[#This Row],[Target E_Grid daily
MWh]]</f>
        <v>120.42215682757342</v>
      </c>
      <c r="BN422" s="4">
        <f>Modelling_old[[#This Row],[Target E_Grid MTD
MWh]]+Modelling_new[[#This Row],[Target E_Grid MTD
MWh]]</f>
        <v>1083.7994114481608</v>
      </c>
      <c r="BO422" s="4">
        <f>Modelling_old[[#This Row],[Target E_Grid YTD
MWh]]+Modelling_new[[#This Row],[Target E_Grid YTD
MWh]]</f>
        <v>4784.3960008287813</v>
      </c>
      <c r="BP422" s="4">
        <f>AVERAGE(Modelling_old[[#This Row],[Target POA Daily (KWh/m2)]],Modelling_new[[#This Row],[Target POA Daily (KWh/m2)]])</f>
        <v>6.5290322580645164</v>
      </c>
      <c r="BQ422" s="4">
        <f>SUM($BP$414:BP422)</f>
        <v>58.761290322580656</v>
      </c>
      <c r="BR422" s="4">
        <f>SUM($BP$384:BP422)</f>
        <v>257.46129032258068</v>
      </c>
      <c r="BS422" s="323">
        <f>BM422/Modelling[[#This Row],[Comisined DC ]]/BP422</f>
        <v>0.75891985169387688</v>
      </c>
      <c r="BT422" s="337">
        <f>BN422/BQ422/Modelling[[#This Row],[Comisined DC ]]</f>
        <v>0.75891985169387688</v>
      </c>
      <c r="BU422" s="337">
        <f>BO422/BR422/Modelling[[#This Row],[Comisined DC ]]</f>
        <v>0.76463382040689187</v>
      </c>
      <c r="BV422" s="323">
        <f>BM422/(24*Modelling[[#This Row],[Comisined DC ]])</f>
        <v>0.2064588413747859</v>
      </c>
      <c r="BW422" s="323">
        <f>Modelling[[#This Row],[Target E_Grid MTD
MWh]]/Modelling[[#This Row],[MTD DC Capcity]]/(24*CG422)</f>
        <v>0.2064588413747859</v>
      </c>
      <c r="BX422" s="338">
        <f>Modelling[[#This Row],[Target E_Grid YTD
MWh]]/Modelling[[#This Row],[YTD DC Capcity]]/(24*CH422)</f>
        <v>0.210324369686157</v>
      </c>
      <c r="BY422" s="4">
        <f>Modelling_old[[#This Row],[DC Capcity]]+Modelling_new[[#This Row],[Comisined DC ]]</f>
        <v>24.303100000000001</v>
      </c>
      <c r="BZ422" s="4">
        <v>0</v>
      </c>
      <c r="CA422">
        <f>AVERAGEIFS(Modelling[[Comisined DC ]],Modelling[Date],"&lt;="&amp;Modelling[[#This Row],[Date]],Modelling[Month Year],Modelling[[#This Row],[Month Year]])</f>
        <v>24.303100000000001</v>
      </c>
      <c r="CB422">
        <f>AVERAGEIFS(Modelling[[Comisined DC ]],Modelling[Date],"&lt;="&amp;Modelling[[#This Row],[Date]],Modelling[Finacial Year],Modelling[[#This Row],[Finacial Year]])</f>
        <v>24.303099999999979</v>
      </c>
      <c r="CG422">
        <f t="shared" si="160"/>
        <v>9</v>
      </c>
      <c r="CH422">
        <f t="shared" si="161"/>
        <v>39</v>
      </c>
    </row>
    <row r="423" spans="1:86" x14ac:dyDescent="0.35">
      <c r="A423" s="27">
        <f t="shared" si="139"/>
        <v>45422</v>
      </c>
      <c r="B423" s="5">
        <f>MONTH(Modelling_old[[#This Row],[Date]])</f>
        <v>5</v>
      </c>
      <c r="C423" s="25">
        <f t="shared" si="140"/>
        <v>2025</v>
      </c>
      <c r="D423" s="3">
        <f t="shared" si="141"/>
        <v>2024</v>
      </c>
      <c r="E423" s="3" t="s">
        <v>627</v>
      </c>
      <c r="F423" s="3" t="s">
        <v>627</v>
      </c>
      <c r="G423" s="102">
        <f>DATE(Modelling_old[[#This Row],[Calendor Year]],Modelling_old[[#This Row],[Start Month]],1)</f>
        <v>45413</v>
      </c>
      <c r="H423" s="5">
        <f t="shared" si="142"/>
        <v>31</v>
      </c>
      <c r="I423" s="5">
        <f t="shared" si="143"/>
        <v>5</v>
      </c>
      <c r="J423" s="4">
        <f>_xlfn.XLOOKUP(Modelling_old[[#This Row],[Month]],$C$1:$C$14,$N$1:$N$14)/Modelling_old[[#This Row],[Total Days]]</f>
        <v>50.761290322580649</v>
      </c>
      <c r="K423" s="4">
        <f>SUM($J$414:J423)</f>
        <v>507.61290322580641</v>
      </c>
      <c r="L423" s="4">
        <f>SUM($J$384:J423)</f>
        <v>2036.7129032258069</v>
      </c>
      <c r="M423" s="4">
        <f t="shared" si="144"/>
        <v>6.5290322580645164</v>
      </c>
      <c r="N423" s="4">
        <f>SUM($M$414:M423)</f>
        <v>65.290322580645167</v>
      </c>
      <c r="O423" s="4">
        <f>SUM($M$384:M423)</f>
        <v>263.99032258064517</v>
      </c>
      <c r="P423" s="323">
        <f t="shared" si="145"/>
        <v>0.67587898543107972</v>
      </c>
      <c r="Q423" s="337">
        <f t="shared" si="146"/>
        <v>0.6758789854310796</v>
      </c>
      <c r="R423" s="337">
        <f t="shared" si="147"/>
        <v>0.67069784796041676</v>
      </c>
      <c r="S423" s="323">
        <f t="shared" si="148"/>
        <v>0.18386815410114321</v>
      </c>
      <c r="T423" s="9">
        <f>Modelling_old[[#This Row],[Target E_Grid MTD
MWh]]/Modelling_old[[#This Row],[DC Capcity]]/(24*CG423)</f>
        <v>0.18386815410114318</v>
      </c>
      <c r="U423" s="338">
        <f>Modelling_old[[#This Row],[Target E_Grid YTD
MWh]]/Modelling_old[[#This Row],[DC Capcity]]/(24*CH423)</f>
        <v>0.18443514712209888</v>
      </c>
      <c r="V423" s="134">
        <v>11.5031</v>
      </c>
      <c r="Y423" s="27">
        <f t="shared" si="162"/>
        <v>45422</v>
      </c>
      <c r="Z423" s="5">
        <f>MONTH(Modelling_new[[#This Row],[Date]])</f>
        <v>5</v>
      </c>
      <c r="AA423" s="25">
        <f>YEAR(Y423)+IF(MONTH(Modelling_new[[#This Row],[Date]])&gt;=4,1,0)</f>
        <v>2025</v>
      </c>
      <c r="AB423" s="3">
        <f t="shared" si="149"/>
        <v>2024</v>
      </c>
      <c r="AC423" s="3" t="s">
        <v>627</v>
      </c>
      <c r="AD423" s="3" t="s">
        <v>627</v>
      </c>
      <c r="AE423" s="102">
        <f>DATE(Modelling_old[[#This Row],[Calendor Year]],Modelling_old[[#This Row],[Start Month]],1)</f>
        <v>45413</v>
      </c>
      <c r="AF423" s="5">
        <f t="shared" si="150"/>
        <v>31</v>
      </c>
      <c r="AG423" s="5">
        <f t="shared" si="151"/>
        <v>5</v>
      </c>
      <c r="AH423" s="4">
        <f>_xlfn.XLOOKUP(Modelling_new[[#This Row],[Month]],$AA$1:$AA$14,$AL$1:$AL$14)/Modelling_new[[#This Row],[Total Days]]</f>
        <v>69.660866504992768</v>
      </c>
      <c r="AI423" s="4">
        <f>SUM($AH$414:AH423)</f>
        <v>696.60866504992771</v>
      </c>
      <c r="AJ423" s="4">
        <f>SUM($AH$384:AH423)</f>
        <v>2868.1052544305471</v>
      </c>
      <c r="AK423" s="4">
        <f t="shared" si="152"/>
        <v>6.5290322580645164</v>
      </c>
      <c r="AL423" s="4">
        <f>SUM($AK$414:AK423)</f>
        <v>65.290322580645167</v>
      </c>
      <c r="AM423" s="4">
        <f>SUM($AK$384:AK423)</f>
        <v>263.99032258064517</v>
      </c>
      <c r="AN423" s="323">
        <f t="shared" si="153"/>
        <v>0.92752401442995447</v>
      </c>
      <c r="AO423" s="323">
        <f t="shared" si="154"/>
        <v>0.92752401442995425</v>
      </c>
      <c r="AP423" s="323">
        <f t="shared" si="155"/>
        <v>0.94447873277761707</v>
      </c>
      <c r="AQ423" s="323">
        <f t="shared" si="156"/>
        <v>0.25232642543094463</v>
      </c>
      <c r="AR423" s="323">
        <f>Modelling_new[[#This Row],[Target E_Grid MTD
MWh]]/Modelling_new[[#This Row],[MTD DC Capcity]]/(24*CG423)</f>
        <v>0.22676063315427336</v>
      </c>
      <c r="AS423" s="323">
        <f>Modelling_new[[#This Row],[Target E_Grid YTD
MWh]]/Modelling_new[[#This Row],[YTD DC Capcity]]/(24*CH423)</f>
        <v>0.23340700312748583</v>
      </c>
      <c r="AT423" s="5">
        <v>12.8</v>
      </c>
      <c r="AU423" s="9">
        <f>Modelling_new[[#This Row],[Comisined DC ]]/$AO$1</f>
        <v>1</v>
      </c>
      <c r="AV42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23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423" s="27">
        <f t="shared" si="163"/>
        <v>45422</v>
      </c>
      <c r="BE423" s="5">
        <f>MONTH(Modelling[[#This Row],[Date]])</f>
        <v>5</v>
      </c>
      <c r="BF423" s="25">
        <f>YEAR(BD423)+IF(MONTH(Modelling[[#This Row],[Date]])&gt;=4,1,0)</f>
        <v>2025</v>
      </c>
      <c r="BG423" s="3">
        <f t="shared" si="157"/>
        <v>2024</v>
      </c>
      <c r="BH423" s="3" t="s">
        <v>627</v>
      </c>
      <c r="BI423" s="3" t="s">
        <v>627</v>
      </c>
      <c r="BJ423" s="102">
        <f>DATE(Modelling_old[[#This Row],[Calendor Year]],Modelling_old[[#This Row],[Start Month]],1)</f>
        <v>45413</v>
      </c>
      <c r="BK423" s="5">
        <f t="shared" si="158"/>
        <v>31</v>
      </c>
      <c r="BL423" s="5">
        <f t="shared" si="159"/>
        <v>5</v>
      </c>
      <c r="BM423" s="4">
        <f>Modelling_old[[#This Row],[Target E_Grid daily
MWh]]+Modelling_new[[#This Row],[Target E_Grid daily
MWh]]</f>
        <v>120.42215682757342</v>
      </c>
      <c r="BN423" s="4">
        <f>Modelling_old[[#This Row],[Target E_Grid MTD
MWh]]+Modelling_new[[#This Row],[Target E_Grid MTD
MWh]]</f>
        <v>1204.2215682757342</v>
      </c>
      <c r="BO423" s="4">
        <f>Modelling_old[[#This Row],[Target E_Grid YTD
MWh]]+Modelling_new[[#This Row],[Target E_Grid YTD
MWh]]</f>
        <v>4904.8181576563538</v>
      </c>
      <c r="BP423" s="4">
        <f>AVERAGE(Modelling_old[[#This Row],[Target POA Daily (KWh/m2)]],Modelling_new[[#This Row],[Target POA Daily (KWh/m2)]])</f>
        <v>6.5290322580645164</v>
      </c>
      <c r="BQ423" s="4">
        <f>SUM($BP$414:BP423)</f>
        <v>65.290322580645167</v>
      </c>
      <c r="BR423" s="4">
        <f>SUM($BP$384:BP423)</f>
        <v>263.99032258064517</v>
      </c>
      <c r="BS423" s="323">
        <f>BM423/Modelling[[#This Row],[Comisined DC ]]/BP423</f>
        <v>0.75891985169387688</v>
      </c>
      <c r="BT423" s="337">
        <f>BN423/BQ423/Modelling[[#This Row],[Comisined DC ]]</f>
        <v>0.75891985169387688</v>
      </c>
      <c r="BU423" s="337">
        <f>BO423/BR423/Modelling[[#This Row],[Comisined DC ]]</f>
        <v>0.76449250202186858</v>
      </c>
      <c r="BV423" s="323">
        <f>BM423/(24*Modelling[[#This Row],[Comisined DC ]])</f>
        <v>0.2064588413747859</v>
      </c>
      <c r="BW423" s="323">
        <f>Modelling[[#This Row],[Target E_Grid MTD
MWh]]/Modelling[[#This Row],[MTD DC Capcity]]/(24*CG423)</f>
        <v>0.2064588413747859</v>
      </c>
      <c r="BX423" s="338">
        <f>Modelling[[#This Row],[Target E_Grid YTD
MWh]]/Modelling[[#This Row],[YTD DC Capcity]]/(24*CH423)</f>
        <v>0.2102277314783727</v>
      </c>
      <c r="BY423" s="4">
        <f>Modelling_old[[#This Row],[DC Capcity]]+Modelling_new[[#This Row],[Comisined DC ]]</f>
        <v>24.303100000000001</v>
      </c>
      <c r="BZ423" s="4">
        <v>0</v>
      </c>
      <c r="CA423">
        <f>AVERAGEIFS(Modelling[[Comisined DC ]],Modelling[Date],"&lt;="&amp;Modelling[[#This Row],[Date]],Modelling[Month Year],Modelling[[#This Row],[Month Year]])</f>
        <v>24.303100000000001</v>
      </c>
      <c r="CB423">
        <f>AVERAGEIFS(Modelling[[Comisined DC ]],Modelling[Date],"&lt;="&amp;Modelling[[#This Row],[Date]],Modelling[Finacial Year],Modelling[[#This Row],[Finacial Year]])</f>
        <v>24.303099999999979</v>
      </c>
      <c r="CG423">
        <f t="shared" si="160"/>
        <v>10</v>
      </c>
      <c r="CH423">
        <f t="shared" si="161"/>
        <v>40</v>
      </c>
    </row>
    <row r="424" spans="1:86" x14ac:dyDescent="0.35">
      <c r="A424" s="27">
        <f t="shared" si="139"/>
        <v>45423</v>
      </c>
      <c r="B424" s="5">
        <f>MONTH(Modelling_old[[#This Row],[Date]])</f>
        <v>5</v>
      </c>
      <c r="C424" s="25">
        <f t="shared" si="140"/>
        <v>2025</v>
      </c>
      <c r="D424" s="3">
        <f t="shared" si="141"/>
        <v>2024</v>
      </c>
      <c r="E424" s="3" t="s">
        <v>627</v>
      </c>
      <c r="F424" s="3" t="s">
        <v>627</v>
      </c>
      <c r="G424" s="102">
        <f>DATE(Modelling_old[[#This Row],[Calendor Year]],Modelling_old[[#This Row],[Start Month]],1)</f>
        <v>45413</v>
      </c>
      <c r="H424" s="5">
        <f t="shared" si="142"/>
        <v>31</v>
      </c>
      <c r="I424" s="5">
        <f t="shared" si="143"/>
        <v>5</v>
      </c>
      <c r="J424" s="4">
        <f>_xlfn.XLOOKUP(Modelling_old[[#This Row],[Month]],$C$1:$C$14,$N$1:$N$14)/Modelling_old[[#This Row],[Total Days]]</f>
        <v>50.761290322580649</v>
      </c>
      <c r="K424" s="4">
        <f>SUM($J$414:J424)</f>
        <v>558.3741935483871</v>
      </c>
      <c r="L424" s="4">
        <f>SUM($J$384:J424)</f>
        <v>2087.4741935483876</v>
      </c>
      <c r="M424" s="4">
        <f t="shared" si="144"/>
        <v>6.5290322580645164</v>
      </c>
      <c r="N424" s="4">
        <f>SUM($M$414:M424)</f>
        <v>71.819354838709685</v>
      </c>
      <c r="O424" s="4">
        <f>SUM($M$384:M424)</f>
        <v>270.51935483870966</v>
      </c>
      <c r="P424" s="323">
        <f t="shared" si="145"/>
        <v>0.67587898543107972</v>
      </c>
      <c r="Q424" s="337">
        <f t="shared" si="146"/>
        <v>0.6758789854310796</v>
      </c>
      <c r="R424" s="337">
        <f t="shared" si="147"/>
        <v>0.67082289562548902</v>
      </c>
      <c r="S424" s="323">
        <f t="shared" si="148"/>
        <v>0.18386815410114321</v>
      </c>
      <c r="T424" s="9">
        <f>Modelling_old[[#This Row],[Target E_Grid MTD
MWh]]/Modelling_old[[#This Row],[DC Capcity]]/(24*CG424)</f>
        <v>0.18386815410114321</v>
      </c>
      <c r="U424" s="338">
        <f>Modelling_old[[#This Row],[Target E_Grid YTD
MWh]]/Modelling_old[[#This Row],[DC Capcity]]/(24*CH424)</f>
        <v>0.18442131802402678</v>
      </c>
      <c r="V424" s="134">
        <v>11.5031</v>
      </c>
      <c r="Y424" s="27">
        <f t="shared" si="162"/>
        <v>45423</v>
      </c>
      <c r="Z424" s="5">
        <f>MONTH(Modelling_new[[#This Row],[Date]])</f>
        <v>5</v>
      </c>
      <c r="AA424" s="25">
        <f>YEAR(Y424)+IF(MONTH(Modelling_new[[#This Row],[Date]])&gt;=4,1,0)</f>
        <v>2025</v>
      </c>
      <c r="AB424" s="3">
        <f t="shared" si="149"/>
        <v>2024</v>
      </c>
      <c r="AC424" s="3" t="s">
        <v>627</v>
      </c>
      <c r="AD424" s="3" t="s">
        <v>627</v>
      </c>
      <c r="AE424" s="102">
        <f>DATE(Modelling_old[[#This Row],[Calendor Year]],Modelling_old[[#This Row],[Start Month]],1)</f>
        <v>45413</v>
      </c>
      <c r="AF424" s="5">
        <f t="shared" si="150"/>
        <v>31</v>
      </c>
      <c r="AG424" s="5">
        <f t="shared" si="151"/>
        <v>5</v>
      </c>
      <c r="AH424" s="4">
        <f>_xlfn.XLOOKUP(Modelling_new[[#This Row],[Month]],$AA$1:$AA$14,$AL$1:$AL$14)/Modelling_new[[#This Row],[Total Days]]</f>
        <v>69.660866504992768</v>
      </c>
      <c r="AI424" s="4">
        <f>SUM($AH$414:AH424)</f>
        <v>766.26953155492049</v>
      </c>
      <c r="AJ424" s="4">
        <f>SUM($AH$384:AH424)</f>
        <v>2937.7661209355397</v>
      </c>
      <c r="AK424" s="4">
        <f t="shared" si="152"/>
        <v>6.5290322580645164</v>
      </c>
      <c r="AL424" s="4">
        <f>SUM($AK$414:AK424)</f>
        <v>71.819354838709685</v>
      </c>
      <c r="AM424" s="4">
        <f>SUM($AK$384:AK424)</f>
        <v>270.51935483870966</v>
      </c>
      <c r="AN424" s="323">
        <f t="shared" si="153"/>
        <v>0.92752401442995447</v>
      </c>
      <c r="AO424" s="323">
        <f t="shared" si="154"/>
        <v>0.92752401442995425</v>
      </c>
      <c r="AP424" s="323">
        <f t="shared" si="155"/>
        <v>0.94406952766516106</v>
      </c>
      <c r="AQ424" s="323">
        <f t="shared" si="156"/>
        <v>0.25232642543094463</v>
      </c>
      <c r="AR424" s="323">
        <f>Modelling_new[[#This Row],[Target E_Grid MTD
MWh]]/Modelling_new[[#This Row],[MTD DC Capcity]]/(24*CG424)</f>
        <v>0.22676063315427336</v>
      </c>
      <c r="AS424" s="323">
        <f>Modelling_new[[#This Row],[Target E_Grid YTD
MWh]]/Modelling_new[[#This Row],[YTD DC Capcity]]/(24*CH424)</f>
        <v>0.23324489654277333</v>
      </c>
      <c r="AT424" s="5">
        <v>12.8</v>
      </c>
      <c r="AU424" s="9">
        <f>Modelling_new[[#This Row],[Comisined DC ]]/$AO$1</f>
        <v>1</v>
      </c>
      <c r="AV42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24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424" s="27">
        <f t="shared" si="163"/>
        <v>45423</v>
      </c>
      <c r="BE424" s="5">
        <f>MONTH(Modelling[[#This Row],[Date]])</f>
        <v>5</v>
      </c>
      <c r="BF424" s="25">
        <f>YEAR(BD424)+IF(MONTH(Modelling[[#This Row],[Date]])&gt;=4,1,0)</f>
        <v>2025</v>
      </c>
      <c r="BG424" s="3">
        <f t="shared" si="157"/>
        <v>2024</v>
      </c>
      <c r="BH424" s="3" t="s">
        <v>627</v>
      </c>
      <c r="BI424" s="3" t="s">
        <v>627</v>
      </c>
      <c r="BJ424" s="102">
        <f>DATE(Modelling_old[[#This Row],[Calendor Year]],Modelling_old[[#This Row],[Start Month]],1)</f>
        <v>45413</v>
      </c>
      <c r="BK424" s="5">
        <f t="shared" si="158"/>
        <v>31</v>
      </c>
      <c r="BL424" s="5">
        <f t="shared" si="159"/>
        <v>5</v>
      </c>
      <c r="BM424" s="4">
        <f>Modelling_old[[#This Row],[Target E_Grid daily
MWh]]+Modelling_new[[#This Row],[Target E_Grid daily
MWh]]</f>
        <v>120.42215682757342</v>
      </c>
      <c r="BN424" s="4">
        <f>Modelling_old[[#This Row],[Target E_Grid MTD
MWh]]+Modelling_new[[#This Row],[Target E_Grid MTD
MWh]]</f>
        <v>1324.6437251033076</v>
      </c>
      <c r="BO424" s="4">
        <f>Modelling_old[[#This Row],[Target E_Grid YTD
MWh]]+Modelling_new[[#This Row],[Target E_Grid YTD
MWh]]</f>
        <v>5025.2403144839272</v>
      </c>
      <c r="BP424" s="4">
        <f>AVERAGE(Modelling_old[[#This Row],[Target POA Daily (KWh/m2)]],Modelling_new[[#This Row],[Target POA Daily (KWh/m2)]])</f>
        <v>6.5290322580645164</v>
      </c>
      <c r="BQ424" s="4">
        <f>SUM($BP$414:BP424)</f>
        <v>71.819354838709685</v>
      </c>
      <c r="BR424" s="4">
        <f>SUM($BP$384:BP424)</f>
        <v>270.51935483870966</v>
      </c>
      <c r="BS424" s="323">
        <f>BM424/Modelling[[#This Row],[Comisined DC ]]/BP424</f>
        <v>0.75891985169387688</v>
      </c>
      <c r="BT424" s="337">
        <f>BN424/BQ424/Modelling[[#This Row],[Comisined DC ]]</f>
        <v>0.75891985169387688</v>
      </c>
      <c r="BU424" s="337">
        <f>BO424/BR424/Modelling[[#This Row],[Comisined DC ]]</f>
        <v>0.76435800512505303</v>
      </c>
      <c r="BV424" s="323">
        <f>BM424/(24*Modelling[[#This Row],[Comisined DC ]])</f>
        <v>0.2064588413747859</v>
      </c>
      <c r="BW424" s="323">
        <f>Modelling[[#This Row],[Target E_Grid MTD
MWh]]/Modelling[[#This Row],[MTD DC Capcity]]/(24*CG424)</f>
        <v>0.20645884137478587</v>
      </c>
      <c r="BX424" s="338">
        <f>Modelling[[#This Row],[Target E_Grid YTD
MWh]]/Modelling[[#This Row],[YTD DC Capcity]]/(24*CH424)</f>
        <v>0.21013580732950474</v>
      </c>
      <c r="BY424" s="4">
        <f>Modelling_old[[#This Row],[DC Capcity]]+Modelling_new[[#This Row],[Comisined DC ]]</f>
        <v>24.303100000000001</v>
      </c>
      <c r="BZ424" s="4">
        <v>0</v>
      </c>
      <c r="CA424">
        <f>AVERAGEIFS(Modelling[[Comisined DC ]],Modelling[Date],"&lt;="&amp;Modelling[[#This Row],[Date]],Modelling[Month Year],Modelling[[#This Row],[Month Year]])</f>
        <v>24.303100000000004</v>
      </c>
      <c r="CB424">
        <f>AVERAGEIFS(Modelling[[Comisined DC ]],Modelling[Date],"&lt;="&amp;Modelling[[#This Row],[Date]],Modelling[Finacial Year],Modelling[[#This Row],[Finacial Year]])</f>
        <v>24.303099999999979</v>
      </c>
      <c r="CG424">
        <f t="shared" si="160"/>
        <v>11</v>
      </c>
      <c r="CH424">
        <f t="shared" si="161"/>
        <v>41</v>
      </c>
    </row>
    <row r="425" spans="1:86" x14ac:dyDescent="0.35">
      <c r="A425" s="27">
        <f t="shared" si="139"/>
        <v>45424</v>
      </c>
      <c r="B425" s="5">
        <f>MONTH(Modelling_old[[#This Row],[Date]])</f>
        <v>5</v>
      </c>
      <c r="C425" s="25">
        <f t="shared" si="140"/>
        <v>2025</v>
      </c>
      <c r="D425" s="3">
        <f t="shared" si="141"/>
        <v>2024</v>
      </c>
      <c r="E425" s="3" t="s">
        <v>627</v>
      </c>
      <c r="F425" s="3" t="s">
        <v>627</v>
      </c>
      <c r="G425" s="102">
        <f>DATE(Modelling_old[[#This Row],[Calendor Year]],Modelling_old[[#This Row],[Start Month]],1)</f>
        <v>45413</v>
      </c>
      <c r="H425" s="5">
        <f t="shared" si="142"/>
        <v>31</v>
      </c>
      <c r="I425" s="5">
        <f t="shared" si="143"/>
        <v>5</v>
      </c>
      <c r="J425" s="4">
        <f>_xlfn.XLOOKUP(Modelling_old[[#This Row],[Month]],$C$1:$C$14,$N$1:$N$14)/Modelling_old[[#This Row],[Total Days]]</f>
        <v>50.761290322580649</v>
      </c>
      <c r="K425" s="4">
        <f>SUM($J$414:J425)</f>
        <v>609.13548387096773</v>
      </c>
      <c r="L425" s="4">
        <f>SUM($J$384:J425)</f>
        <v>2138.2354838709684</v>
      </c>
      <c r="M425" s="4">
        <f t="shared" si="144"/>
        <v>6.5290322580645164</v>
      </c>
      <c r="N425" s="4">
        <f>SUM($M$414:M425)</f>
        <v>78.348387096774204</v>
      </c>
      <c r="O425" s="4">
        <f>SUM($M$384:M425)</f>
        <v>277.04838709677415</v>
      </c>
      <c r="P425" s="323">
        <f t="shared" si="145"/>
        <v>0.67587898543107972</v>
      </c>
      <c r="Q425" s="337">
        <f t="shared" si="146"/>
        <v>0.6758789854310796</v>
      </c>
      <c r="R425" s="337">
        <f t="shared" si="147"/>
        <v>0.67094204944474178</v>
      </c>
      <c r="S425" s="323">
        <f t="shared" si="148"/>
        <v>0.18386815410114321</v>
      </c>
      <c r="T425" s="9">
        <f>Modelling_old[[#This Row],[Target E_Grid MTD
MWh]]/Modelling_old[[#This Row],[DC Capcity]]/(24*CG425)</f>
        <v>0.18386815410114321</v>
      </c>
      <c r="U425" s="338">
        <f>Modelling_old[[#This Row],[Target E_Grid YTD
MWh]]/Modelling_old[[#This Row],[DC Capcity]]/(24*CH425)</f>
        <v>0.18440814745443432</v>
      </c>
      <c r="V425" s="134">
        <v>11.5031</v>
      </c>
      <c r="Y425" s="27">
        <f t="shared" si="162"/>
        <v>45424</v>
      </c>
      <c r="Z425" s="5">
        <f>MONTH(Modelling_new[[#This Row],[Date]])</f>
        <v>5</v>
      </c>
      <c r="AA425" s="25">
        <f>YEAR(Y425)+IF(MONTH(Modelling_new[[#This Row],[Date]])&gt;=4,1,0)</f>
        <v>2025</v>
      </c>
      <c r="AB425" s="3">
        <f t="shared" si="149"/>
        <v>2024</v>
      </c>
      <c r="AC425" s="3" t="s">
        <v>627</v>
      </c>
      <c r="AD425" s="3" t="s">
        <v>627</v>
      </c>
      <c r="AE425" s="102">
        <f>DATE(Modelling_old[[#This Row],[Calendor Year]],Modelling_old[[#This Row],[Start Month]],1)</f>
        <v>45413</v>
      </c>
      <c r="AF425" s="5">
        <f t="shared" si="150"/>
        <v>31</v>
      </c>
      <c r="AG425" s="5">
        <f t="shared" si="151"/>
        <v>5</v>
      </c>
      <c r="AH425" s="4">
        <f>_xlfn.XLOOKUP(Modelling_new[[#This Row],[Month]],$AA$1:$AA$14,$AL$1:$AL$14)/Modelling_new[[#This Row],[Total Days]]</f>
        <v>69.660866504992768</v>
      </c>
      <c r="AI425" s="4">
        <f>SUM($AH$414:AH425)</f>
        <v>835.93039805991327</v>
      </c>
      <c r="AJ425" s="4">
        <f>SUM($AH$384:AH425)</f>
        <v>3007.4269874405322</v>
      </c>
      <c r="AK425" s="4">
        <f t="shared" si="152"/>
        <v>6.5290322580645164</v>
      </c>
      <c r="AL425" s="4">
        <f>SUM($AK$414:AK425)</f>
        <v>78.348387096774204</v>
      </c>
      <c r="AM425" s="4">
        <f>SUM($AK$384:AK425)</f>
        <v>277.04838709677415</v>
      </c>
      <c r="AN425" s="323">
        <f t="shared" si="153"/>
        <v>0.92752401442995447</v>
      </c>
      <c r="AO425" s="323">
        <f t="shared" si="154"/>
        <v>0.92752401442995425</v>
      </c>
      <c r="AP425" s="323">
        <f t="shared" si="155"/>
        <v>0.94367960953291374</v>
      </c>
      <c r="AQ425" s="323">
        <f t="shared" si="156"/>
        <v>0.25232642543094463</v>
      </c>
      <c r="AR425" s="323">
        <f>Modelling_new[[#This Row],[Target E_Grid MTD
MWh]]/Modelling_new[[#This Row],[MTD DC Capcity]]/(24*CG425)</f>
        <v>0.22676063315427339</v>
      </c>
      <c r="AS425" s="323">
        <f>Modelling_new[[#This Row],[Target E_Grid YTD
MWh]]/Modelling_new[[#This Row],[YTD DC Capcity]]/(24*CH425)</f>
        <v>0.23309050931923764</v>
      </c>
      <c r="AT425" s="5">
        <v>12.8</v>
      </c>
      <c r="AU425" s="9">
        <f>Modelling_new[[#This Row],[Comisined DC ]]/$AO$1</f>
        <v>1</v>
      </c>
      <c r="AV42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25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425" s="27">
        <f t="shared" si="163"/>
        <v>45424</v>
      </c>
      <c r="BE425" s="5">
        <f>MONTH(Modelling[[#This Row],[Date]])</f>
        <v>5</v>
      </c>
      <c r="BF425" s="25">
        <f>YEAR(BD425)+IF(MONTH(Modelling[[#This Row],[Date]])&gt;=4,1,0)</f>
        <v>2025</v>
      </c>
      <c r="BG425" s="3">
        <f t="shared" si="157"/>
        <v>2024</v>
      </c>
      <c r="BH425" s="3" t="s">
        <v>627</v>
      </c>
      <c r="BI425" s="3" t="s">
        <v>627</v>
      </c>
      <c r="BJ425" s="102">
        <f>DATE(Modelling_old[[#This Row],[Calendor Year]],Modelling_old[[#This Row],[Start Month]],1)</f>
        <v>45413</v>
      </c>
      <c r="BK425" s="5">
        <f t="shared" si="158"/>
        <v>31</v>
      </c>
      <c r="BL425" s="5">
        <f t="shared" si="159"/>
        <v>5</v>
      </c>
      <c r="BM425" s="4">
        <f>Modelling_old[[#This Row],[Target E_Grid daily
MWh]]+Modelling_new[[#This Row],[Target E_Grid daily
MWh]]</f>
        <v>120.42215682757342</v>
      </c>
      <c r="BN425" s="4">
        <f>Modelling_old[[#This Row],[Target E_Grid MTD
MWh]]+Modelling_new[[#This Row],[Target E_Grid MTD
MWh]]</f>
        <v>1445.065881930881</v>
      </c>
      <c r="BO425" s="4">
        <f>Modelling_old[[#This Row],[Target E_Grid YTD
MWh]]+Modelling_new[[#This Row],[Target E_Grid YTD
MWh]]</f>
        <v>5145.6624713115007</v>
      </c>
      <c r="BP425" s="4">
        <f>AVERAGE(Modelling_old[[#This Row],[Target POA Daily (KWh/m2)]],Modelling_new[[#This Row],[Target POA Daily (KWh/m2)]])</f>
        <v>6.5290322580645164</v>
      </c>
      <c r="BQ425" s="4">
        <f>SUM($BP$414:BP425)</f>
        <v>78.348387096774204</v>
      </c>
      <c r="BR425" s="4">
        <f>SUM($BP$384:BP425)</f>
        <v>277.04838709677415</v>
      </c>
      <c r="BS425" s="323">
        <f>BM425/Modelling[[#This Row],[Comisined DC ]]/BP425</f>
        <v>0.75891985169387688</v>
      </c>
      <c r="BT425" s="337">
        <f>BN425/BQ425/Modelling[[#This Row],[Comisined DC ]]</f>
        <v>0.75891985169387688</v>
      </c>
      <c r="BU425" s="337">
        <f>BO425/BR425/Modelling[[#This Row],[Comisined DC ]]</f>
        <v>0.76422984744274891</v>
      </c>
      <c r="BV425" s="323">
        <f>BM425/(24*Modelling[[#This Row],[Comisined DC ]])</f>
        <v>0.2064588413747859</v>
      </c>
      <c r="BW425" s="323">
        <f>Modelling[[#This Row],[Target E_Grid MTD
MWh]]/Modelling[[#This Row],[MTD DC Capcity]]/(24*CG425)</f>
        <v>0.2064588413747859</v>
      </c>
      <c r="BX425" s="338">
        <f>Modelling[[#This Row],[Target E_Grid YTD
MWh]]/Modelling[[#This Row],[YTD DC Capcity]]/(24*CH425)</f>
        <v>0.21004826052105907</v>
      </c>
      <c r="BY425" s="4">
        <f>Modelling_old[[#This Row],[DC Capcity]]+Modelling_new[[#This Row],[Comisined DC ]]</f>
        <v>24.303100000000001</v>
      </c>
      <c r="BZ425" s="4">
        <v>0</v>
      </c>
      <c r="CA425">
        <f>AVERAGEIFS(Modelling[[Comisined DC ]],Modelling[Date],"&lt;="&amp;Modelling[[#This Row],[Date]],Modelling[Month Year],Modelling[[#This Row],[Month Year]])</f>
        <v>24.303100000000001</v>
      </c>
      <c r="CB425">
        <f>AVERAGEIFS(Modelling[[Comisined DC ]],Modelling[Date],"&lt;="&amp;Modelling[[#This Row],[Date]],Modelling[Finacial Year],Modelling[[#This Row],[Finacial Year]])</f>
        <v>24.303099999999979</v>
      </c>
      <c r="CG425">
        <f t="shared" si="160"/>
        <v>12</v>
      </c>
      <c r="CH425">
        <f t="shared" si="161"/>
        <v>42</v>
      </c>
    </row>
    <row r="426" spans="1:86" x14ac:dyDescent="0.35">
      <c r="A426" s="27">
        <f t="shared" si="139"/>
        <v>45425</v>
      </c>
      <c r="B426" s="5">
        <f>MONTH(Modelling_old[[#This Row],[Date]])</f>
        <v>5</v>
      </c>
      <c r="C426" s="25">
        <f t="shared" si="140"/>
        <v>2025</v>
      </c>
      <c r="D426" s="3">
        <f t="shared" si="141"/>
        <v>2024</v>
      </c>
      <c r="E426" s="3" t="s">
        <v>627</v>
      </c>
      <c r="F426" s="3" t="s">
        <v>627</v>
      </c>
      <c r="G426" s="102">
        <f>DATE(Modelling_old[[#This Row],[Calendor Year]],Modelling_old[[#This Row],[Start Month]],1)</f>
        <v>45413</v>
      </c>
      <c r="H426" s="5">
        <f t="shared" si="142"/>
        <v>31</v>
      </c>
      <c r="I426" s="5">
        <f t="shared" si="143"/>
        <v>5</v>
      </c>
      <c r="J426" s="4">
        <f>_xlfn.XLOOKUP(Modelling_old[[#This Row],[Month]],$C$1:$C$14,$N$1:$N$14)/Modelling_old[[#This Row],[Total Days]]</f>
        <v>50.761290322580649</v>
      </c>
      <c r="K426" s="4">
        <f>SUM($J$414:J426)</f>
        <v>659.89677419354837</v>
      </c>
      <c r="L426" s="4">
        <f>SUM($J$384:J426)</f>
        <v>2188.9967741935493</v>
      </c>
      <c r="M426" s="4">
        <f t="shared" si="144"/>
        <v>6.5290322580645164</v>
      </c>
      <c r="N426" s="4">
        <f>SUM($M$414:M426)</f>
        <v>84.877419354838722</v>
      </c>
      <c r="O426" s="4">
        <f>SUM($M$384:M426)</f>
        <v>283.57741935483864</v>
      </c>
      <c r="P426" s="323">
        <f t="shared" si="145"/>
        <v>0.67587898543107972</v>
      </c>
      <c r="Q426" s="337">
        <f t="shared" si="146"/>
        <v>0.6758789854310796</v>
      </c>
      <c r="R426" s="337">
        <f t="shared" si="147"/>
        <v>0.67105571651451124</v>
      </c>
      <c r="S426" s="323">
        <f t="shared" si="148"/>
        <v>0.18386815410114321</v>
      </c>
      <c r="T426" s="9">
        <f>Modelling_old[[#This Row],[Target E_Grid MTD
MWh]]/Modelling_old[[#This Row],[DC Capcity]]/(24*CG426)</f>
        <v>0.18386815410114318</v>
      </c>
      <c r="U426" s="338">
        <f>Modelling_old[[#This Row],[Target E_Grid YTD
MWh]]/Modelling_old[[#This Row],[DC Capcity]]/(24*CH426)</f>
        <v>0.1843955894694741</v>
      </c>
      <c r="V426" s="134">
        <v>11.5031</v>
      </c>
      <c r="Y426" s="27">
        <f t="shared" si="162"/>
        <v>45425</v>
      </c>
      <c r="Z426" s="5">
        <f>MONTH(Modelling_new[[#This Row],[Date]])</f>
        <v>5</v>
      </c>
      <c r="AA426" s="25">
        <f>YEAR(Y426)+IF(MONTH(Modelling_new[[#This Row],[Date]])&gt;=4,1,0)</f>
        <v>2025</v>
      </c>
      <c r="AB426" s="3">
        <f t="shared" si="149"/>
        <v>2024</v>
      </c>
      <c r="AC426" s="3" t="s">
        <v>627</v>
      </c>
      <c r="AD426" s="3" t="s">
        <v>627</v>
      </c>
      <c r="AE426" s="102">
        <f>DATE(Modelling_old[[#This Row],[Calendor Year]],Modelling_old[[#This Row],[Start Month]],1)</f>
        <v>45413</v>
      </c>
      <c r="AF426" s="5">
        <f t="shared" si="150"/>
        <v>31</v>
      </c>
      <c r="AG426" s="5">
        <f t="shared" si="151"/>
        <v>5</v>
      </c>
      <c r="AH426" s="4">
        <f>_xlfn.XLOOKUP(Modelling_new[[#This Row],[Month]],$AA$1:$AA$14,$AL$1:$AL$14)/Modelling_new[[#This Row],[Total Days]]</f>
        <v>69.660866504992768</v>
      </c>
      <c r="AI426" s="4">
        <f>SUM($AH$414:AH426)</f>
        <v>905.59126456490606</v>
      </c>
      <c r="AJ426" s="4">
        <f>SUM($AH$384:AH426)</f>
        <v>3077.0878539455248</v>
      </c>
      <c r="AK426" s="4">
        <f t="shared" si="152"/>
        <v>6.5290322580645164</v>
      </c>
      <c r="AL426" s="4">
        <f>SUM($AK$414:AK426)</f>
        <v>84.877419354838722</v>
      </c>
      <c r="AM426" s="4">
        <f>SUM($AK$384:AK426)</f>
        <v>283.57741935483864</v>
      </c>
      <c r="AN426" s="323">
        <f t="shared" si="153"/>
        <v>0.92752401442995447</v>
      </c>
      <c r="AO426" s="323">
        <f t="shared" si="154"/>
        <v>0.92752401442995425</v>
      </c>
      <c r="AP426" s="323">
        <f t="shared" si="155"/>
        <v>0.94330764620164642</v>
      </c>
      <c r="AQ426" s="323">
        <f t="shared" si="156"/>
        <v>0.25232642543094463</v>
      </c>
      <c r="AR426" s="323">
        <f>Modelling_new[[#This Row],[Target E_Grid MTD
MWh]]/Modelling_new[[#This Row],[MTD DC Capcity]]/(24*CG426)</f>
        <v>0.22676063315427333</v>
      </c>
      <c r="AS426" s="323">
        <f>Modelling_new[[#This Row],[Target E_Grid YTD
MWh]]/Modelling_new[[#This Row],[YTD DC Capcity]]/(24*CH426)</f>
        <v>0.2329433028967966</v>
      </c>
      <c r="AT426" s="5">
        <v>12.8</v>
      </c>
      <c r="AU426" s="9">
        <f>Modelling_new[[#This Row],[Comisined DC ]]/$AO$1</f>
        <v>1</v>
      </c>
      <c r="AV426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26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426" s="27">
        <f t="shared" si="163"/>
        <v>45425</v>
      </c>
      <c r="BE426" s="5">
        <f>MONTH(Modelling[[#This Row],[Date]])</f>
        <v>5</v>
      </c>
      <c r="BF426" s="25">
        <f>YEAR(BD426)+IF(MONTH(Modelling[[#This Row],[Date]])&gt;=4,1,0)</f>
        <v>2025</v>
      </c>
      <c r="BG426" s="3">
        <f t="shared" si="157"/>
        <v>2024</v>
      </c>
      <c r="BH426" s="3" t="s">
        <v>627</v>
      </c>
      <c r="BI426" s="3" t="s">
        <v>627</v>
      </c>
      <c r="BJ426" s="102">
        <f>DATE(Modelling_old[[#This Row],[Calendor Year]],Modelling_old[[#This Row],[Start Month]],1)</f>
        <v>45413</v>
      </c>
      <c r="BK426" s="5">
        <f t="shared" si="158"/>
        <v>31</v>
      </c>
      <c r="BL426" s="5">
        <f t="shared" si="159"/>
        <v>5</v>
      </c>
      <c r="BM426" s="4">
        <f>Modelling_old[[#This Row],[Target E_Grid daily
MWh]]+Modelling_new[[#This Row],[Target E_Grid daily
MWh]]</f>
        <v>120.42215682757342</v>
      </c>
      <c r="BN426" s="4">
        <f>Modelling_old[[#This Row],[Target E_Grid MTD
MWh]]+Modelling_new[[#This Row],[Target E_Grid MTD
MWh]]</f>
        <v>1565.4880387584544</v>
      </c>
      <c r="BO426" s="4">
        <f>Modelling_old[[#This Row],[Target E_Grid YTD
MWh]]+Modelling_new[[#This Row],[Target E_Grid YTD
MWh]]</f>
        <v>5266.0846281390741</v>
      </c>
      <c r="BP426" s="4">
        <f>AVERAGE(Modelling_old[[#This Row],[Target POA Daily (KWh/m2)]],Modelling_new[[#This Row],[Target POA Daily (KWh/m2)]])</f>
        <v>6.5290322580645164</v>
      </c>
      <c r="BQ426" s="4">
        <f>SUM($BP$414:BP426)</f>
        <v>84.877419354838722</v>
      </c>
      <c r="BR426" s="4">
        <f>SUM($BP$384:BP426)</f>
        <v>283.57741935483864</v>
      </c>
      <c r="BS426" s="323">
        <f>BM426/Modelling[[#This Row],[Comisined DC ]]/BP426</f>
        <v>0.75891985169387688</v>
      </c>
      <c r="BT426" s="337">
        <f>BN426/BQ426/Modelling[[#This Row],[Comisined DC ]]</f>
        <v>0.75891985169387688</v>
      </c>
      <c r="BU426" s="337">
        <f>BO426/BR426/Modelling[[#This Row],[Comisined DC ]]</f>
        <v>0.76410759111636917</v>
      </c>
      <c r="BV426" s="323">
        <f>BM426/(24*Modelling[[#This Row],[Comisined DC ]])</f>
        <v>0.2064588413747859</v>
      </c>
      <c r="BW426" s="323">
        <f>Modelling[[#This Row],[Target E_Grid MTD
MWh]]/Modelling[[#This Row],[MTD DC Capcity]]/(24*CG426)</f>
        <v>0.2064588413747859</v>
      </c>
      <c r="BX426" s="338">
        <f>Modelling[[#This Row],[Target E_Grid YTD
MWh]]/Modelling[[#This Row],[YTD DC Capcity]]/(24*CH426)</f>
        <v>0.20996478565719223</v>
      </c>
      <c r="BY426" s="4">
        <f>Modelling_old[[#This Row],[DC Capcity]]+Modelling_new[[#This Row],[Comisined DC ]]</f>
        <v>24.303100000000001</v>
      </c>
      <c r="BZ426" s="4">
        <v>0</v>
      </c>
      <c r="CA426">
        <f>AVERAGEIFS(Modelling[[Comisined DC ]],Modelling[Date],"&lt;="&amp;Modelling[[#This Row],[Date]],Modelling[Month Year],Modelling[[#This Row],[Month Year]])</f>
        <v>24.303099999999997</v>
      </c>
      <c r="CB426">
        <f>AVERAGEIFS(Modelling[[Comisined DC ]],Modelling[Date],"&lt;="&amp;Modelling[[#This Row],[Date]],Modelling[Finacial Year],Modelling[[#This Row],[Finacial Year]])</f>
        <v>24.303099999999979</v>
      </c>
      <c r="CG426">
        <f t="shared" si="160"/>
        <v>13</v>
      </c>
      <c r="CH426">
        <f t="shared" si="161"/>
        <v>43</v>
      </c>
    </row>
    <row r="427" spans="1:86" x14ac:dyDescent="0.35">
      <c r="A427" s="27">
        <f t="shared" si="139"/>
        <v>45426</v>
      </c>
      <c r="B427" s="5">
        <f>MONTH(Modelling_old[[#This Row],[Date]])</f>
        <v>5</v>
      </c>
      <c r="C427" s="25">
        <f t="shared" si="140"/>
        <v>2025</v>
      </c>
      <c r="D427" s="3">
        <f t="shared" si="141"/>
        <v>2024</v>
      </c>
      <c r="E427" s="3" t="s">
        <v>627</v>
      </c>
      <c r="F427" s="3" t="s">
        <v>627</v>
      </c>
      <c r="G427" s="102">
        <f>DATE(Modelling_old[[#This Row],[Calendor Year]],Modelling_old[[#This Row],[Start Month]],1)</f>
        <v>45413</v>
      </c>
      <c r="H427" s="5">
        <f t="shared" si="142"/>
        <v>31</v>
      </c>
      <c r="I427" s="5">
        <f t="shared" si="143"/>
        <v>5</v>
      </c>
      <c r="J427" s="4">
        <f>_xlfn.XLOOKUP(Modelling_old[[#This Row],[Month]],$C$1:$C$14,$N$1:$N$14)/Modelling_old[[#This Row],[Total Days]]</f>
        <v>50.761290322580649</v>
      </c>
      <c r="K427" s="4">
        <f>SUM($J$414:J427)</f>
        <v>710.658064516129</v>
      </c>
      <c r="L427" s="4">
        <f>SUM($J$384:J427)</f>
        <v>2239.7580645161302</v>
      </c>
      <c r="M427" s="4">
        <f t="shared" si="144"/>
        <v>6.5290322580645164</v>
      </c>
      <c r="N427" s="4">
        <f>SUM($M$414:M427)</f>
        <v>91.40645161290324</v>
      </c>
      <c r="O427" s="4">
        <f>SUM($M$384:M427)</f>
        <v>290.10645161290313</v>
      </c>
      <c r="P427" s="323">
        <f t="shared" si="145"/>
        <v>0.67587898543107972</v>
      </c>
      <c r="Q427" s="337">
        <f t="shared" si="146"/>
        <v>0.6758789854310796</v>
      </c>
      <c r="R427" s="337">
        <f t="shared" si="147"/>
        <v>0.67116426728327405</v>
      </c>
      <c r="S427" s="323">
        <f t="shared" si="148"/>
        <v>0.18386815410114321</v>
      </c>
      <c r="T427" s="9">
        <f>Modelling_old[[#This Row],[Target E_Grid MTD
MWh]]/Modelling_old[[#This Row],[DC Capcity]]/(24*CG427)</f>
        <v>0.18386815410114318</v>
      </c>
      <c r="U427" s="338">
        <f>Modelling_old[[#This Row],[Target E_Grid YTD
MWh]]/Modelling_old[[#This Row],[DC Capcity]]/(24*CH427)</f>
        <v>0.18438360230201203</v>
      </c>
      <c r="V427" s="134">
        <v>11.5031</v>
      </c>
      <c r="Y427" s="27">
        <f t="shared" si="162"/>
        <v>45426</v>
      </c>
      <c r="Z427" s="5">
        <f>MONTH(Modelling_new[[#This Row],[Date]])</f>
        <v>5</v>
      </c>
      <c r="AA427" s="25">
        <f>YEAR(Y427)+IF(MONTH(Modelling_new[[#This Row],[Date]])&gt;=4,1,0)</f>
        <v>2025</v>
      </c>
      <c r="AB427" s="3">
        <f t="shared" si="149"/>
        <v>2024</v>
      </c>
      <c r="AC427" s="3" t="s">
        <v>627</v>
      </c>
      <c r="AD427" s="3" t="s">
        <v>627</v>
      </c>
      <c r="AE427" s="102">
        <f>DATE(Modelling_old[[#This Row],[Calendor Year]],Modelling_old[[#This Row],[Start Month]],1)</f>
        <v>45413</v>
      </c>
      <c r="AF427" s="5">
        <f t="shared" si="150"/>
        <v>31</v>
      </c>
      <c r="AG427" s="5">
        <f t="shared" si="151"/>
        <v>5</v>
      </c>
      <c r="AH427" s="4">
        <f>_xlfn.XLOOKUP(Modelling_new[[#This Row],[Month]],$AA$1:$AA$14,$AL$1:$AL$14)/Modelling_new[[#This Row],[Total Days]]</f>
        <v>69.660866504992768</v>
      </c>
      <c r="AI427" s="4">
        <f>SUM($AH$414:AH427)</f>
        <v>975.25213106989884</v>
      </c>
      <c r="AJ427" s="4">
        <f>SUM($AH$384:AH427)</f>
        <v>3146.7487204505173</v>
      </c>
      <c r="AK427" s="4">
        <f t="shared" si="152"/>
        <v>6.5290322580645164</v>
      </c>
      <c r="AL427" s="4">
        <f>SUM($AK$414:AK427)</f>
        <v>91.40645161290324</v>
      </c>
      <c r="AM427" s="4">
        <f>SUM($AK$384:AK427)</f>
        <v>290.10645161290313</v>
      </c>
      <c r="AN427" s="323">
        <f t="shared" si="153"/>
        <v>0.92752401442995447</v>
      </c>
      <c r="AO427" s="323">
        <f t="shared" si="154"/>
        <v>0.92752401442995425</v>
      </c>
      <c r="AP427" s="323">
        <f t="shared" si="155"/>
        <v>0.94295242541833102</v>
      </c>
      <c r="AQ427" s="323">
        <f t="shared" si="156"/>
        <v>0.25232642543094463</v>
      </c>
      <c r="AR427" s="323">
        <f>Modelling_new[[#This Row],[Target E_Grid MTD
MWh]]/Modelling_new[[#This Row],[MTD DC Capcity]]/(24*CG427)</f>
        <v>0.22676063315427336</v>
      </c>
      <c r="AS427" s="323">
        <f>Modelling_new[[#This Row],[Target E_Grid YTD
MWh]]/Modelling_new[[#This Row],[YTD DC Capcity]]/(24*CH427)</f>
        <v>0.2328027876753756</v>
      </c>
      <c r="AT427" s="5">
        <v>12.8</v>
      </c>
      <c r="AU427" s="9">
        <f>Modelling_new[[#This Row],[Comisined DC ]]/$AO$1</f>
        <v>1</v>
      </c>
      <c r="AV42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27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427" s="27">
        <f t="shared" si="163"/>
        <v>45426</v>
      </c>
      <c r="BE427" s="5">
        <f>MONTH(Modelling[[#This Row],[Date]])</f>
        <v>5</v>
      </c>
      <c r="BF427" s="25">
        <f>YEAR(BD427)+IF(MONTH(Modelling[[#This Row],[Date]])&gt;=4,1,0)</f>
        <v>2025</v>
      </c>
      <c r="BG427" s="3">
        <f t="shared" si="157"/>
        <v>2024</v>
      </c>
      <c r="BH427" s="3" t="s">
        <v>627</v>
      </c>
      <c r="BI427" s="3" t="s">
        <v>627</v>
      </c>
      <c r="BJ427" s="102">
        <f>DATE(Modelling_old[[#This Row],[Calendor Year]],Modelling_old[[#This Row],[Start Month]],1)</f>
        <v>45413</v>
      </c>
      <c r="BK427" s="5">
        <f t="shared" si="158"/>
        <v>31</v>
      </c>
      <c r="BL427" s="5">
        <f t="shared" si="159"/>
        <v>5</v>
      </c>
      <c r="BM427" s="4">
        <f>Modelling_old[[#This Row],[Target E_Grid daily
MWh]]+Modelling_new[[#This Row],[Target E_Grid daily
MWh]]</f>
        <v>120.42215682757342</v>
      </c>
      <c r="BN427" s="4">
        <f>Modelling_old[[#This Row],[Target E_Grid MTD
MWh]]+Modelling_new[[#This Row],[Target E_Grid MTD
MWh]]</f>
        <v>1685.9101955860278</v>
      </c>
      <c r="BO427" s="4">
        <f>Modelling_old[[#This Row],[Target E_Grid YTD
MWh]]+Modelling_new[[#This Row],[Target E_Grid YTD
MWh]]</f>
        <v>5386.5067849666475</v>
      </c>
      <c r="BP427" s="4">
        <f>AVERAGE(Modelling_old[[#This Row],[Target POA Daily (KWh/m2)]],Modelling_new[[#This Row],[Target POA Daily (KWh/m2)]])</f>
        <v>6.5290322580645164</v>
      </c>
      <c r="BQ427" s="4">
        <f>SUM($BP$414:BP427)</f>
        <v>91.40645161290324</v>
      </c>
      <c r="BR427" s="4">
        <f>SUM($BP$384:BP427)</f>
        <v>290.10645161290313</v>
      </c>
      <c r="BS427" s="323">
        <f>BM427/Modelling[[#This Row],[Comisined DC ]]/BP427</f>
        <v>0.75891985169387688</v>
      </c>
      <c r="BT427" s="337">
        <f>BN427/BQ427/Modelling[[#This Row],[Comisined DC ]]</f>
        <v>0.75891985169387688</v>
      </c>
      <c r="BU427" s="337">
        <f>BO427/BR427/Modelling[[#This Row],[Comisined DC ]]</f>
        <v>0.76399083770448351</v>
      </c>
      <c r="BV427" s="323">
        <f>BM427/(24*Modelling[[#This Row],[Comisined DC ]])</f>
        <v>0.2064588413747859</v>
      </c>
      <c r="BW427" s="323">
        <f>Modelling[[#This Row],[Target E_Grid MTD
MWh]]/Modelling[[#This Row],[MTD DC Capcity]]/(24*CG427)</f>
        <v>0.20645884137478593</v>
      </c>
      <c r="BX427" s="338">
        <f>Modelling[[#This Row],[Target E_Grid YTD
MWh]]/Modelling[[#This Row],[YTD DC Capcity]]/(24*CH427)</f>
        <v>0.20988510510531935</v>
      </c>
      <c r="BY427" s="4">
        <f>Modelling_old[[#This Row],[DC Capcity]]+Modelling_new[[#This Row],[Comisined DC ]]</f>
        <v>24.303100000000001</v>
      </c>
      <c r="BZ427" s="4">
        <v>0</v>
      </c>
      <c r="CA427">
        <f>AVERAGEIFS(Modelling[[Comisined DC ]],Modelling[Date],"&lt;="&amp;Modelling[[#This Row],[Date]],Modelling[Month Year],Modelling[[#This Row],[Month Year]])</f>
        <v>24.303099999999997</v>
      </c>
      <c r="CB427">
        <f>AVERAGEIFS(Modelling[[Comisined DC ]],Modelling[Date],"&lt;="&amp;Modelling[[#This Row],[Date]],Modelling[Finacial Year],Modelling[[#This Row],[Finacial Year]])</f>
        <v>24.303099999999983</v>
      </c>
      <c r="CG427">
        <f t="shared" si="160"/>
        <v>14</v>
      </c>
      <c r="CH427">
        <f t="shared" si="161"/>
        <v>44</v>
      </c>
    </row>
    <row r="428" spans="1:86" x14ac:dyDescent="0.35">
      <c r="A428" s="27">
        <f t="shared" si="139"/>
        <v>45427</v>
      </c>
      <c r="B428" s="5">
        <f>MONTH(Modelling_old[[#This Row],[Date]])</f>
        <v>5</v>
      </c>
      <c r="C428" s="25">
        <f t="shared" si="140"/>
        <v>2025</v>
      </c>
      <c r="D428" s="3">
        <f t="shared" si="141"/>
        <v>2024</v>
      </c>
      <c r="E428" s="3" t="s">
        <v>627</v>
      </c>
      <c r="F428" s="3" t="s">
        <v>627</v>
      </c>
      <c r="G428" s="102">
        <f>DATE(Modelling_old[[#This Row],[Calendor Year]],Modelling_old[[#This Row],[Start Month]],1)</f>
        <v>45413</v>
      </c>
      <c r="H428" s="5">
        <f t="shared" si="142"/>
        <v>31</v>
      </c>
      <c r="I428" s="5">
        <f t="shared" si="143"/>
        <v>5</v>
      </c>
      <c r="J428" s="4">
        <f>_xlfn.XLOOKUP(Modelling_old[[#This Row],[Month]],$C$1:$C$14,$N$1:$N$14)/Modelling_old[[#This Row],[Total Days]]</f>
        <v>50.761290322580649</v>
      </c>
      <c r="K428" s="4">
        <f>SUM($J$414:J428)</f>
        <v>761.41935483870964</v>
      </c>
      <c r="L428" s="4">
        <f>SUM($J$384:J428)</f>
        <v>2290.519354838711</v>
      </c>
      <c r="M428" s="4">
        <f t="shared" si="144"/>
        <v>6.5290322580645164</v>
      </c>
      <c r="N428" s="4">
        <f>SUM($M$414:M428)</f>
        <v>97.935483870967758</v>
      </c>
      <c r="O428" s="4">
        <f>SUM($M$384:M428)</f>
        <v>296.63548387096762</v>
      </c>
      <c r="P428" s="323">
        <f t="shared" si="145"/>
        <v>0.67587898543107972</v>
      </c>
      <c r="Q428" s="337">
        <f t="shared" si="146"/>
        <v>0.6758789854310796</v>
      </c>
      <c r="R428" s="337">
        <f t="shared" si="147"/>
        <v>0.6712680395847973</v>
      </c>
      <c r="S428" s="323">
        <f t="shared" si="148"/>
        <v>0.18386815410114321</v>
      </c>
      <c r="T428" s="9">
        <f>Modelling_old[[#This Row],[Target E_Grid MTD
MWh]]/Modelling_old[[#This Row],[DC Capcity]]/(24*CG428)</f>
        <v>0.18386815410114318</v>
      </c>
      <c r="U428" s="338">
        <f>Modelling_old[[#This Row],[Target E_Grid YTD
MWh]]/Modelling_old[[#This Row],[DC Capcity]]/(24*CH428)</f>
        <v>0.18437214789754833</v>
      </c>
      <c r="V428" s="134">
        <v>11.5031</v>
      </c>
      <c r="Y428" s="27">
        <f t="shared" si="162"/>
        <v>45427</v>
      </c>
      <c r="Z428" s="5">
        <f>MONTH(Modelling_new[[#This Row],[Date]])</f>
        <v>5</v>
      </c>
      <c r="AA428" s="25">
        <f>YEAR(Y428)+IF(MONTH(Modelling_new[[#This Row],[Date]])&gt;=4,1,0)</f>
        <v>2025</v>
      </c>
      <c r="AB428" s="3">
        <f t="shared" si="149"/>
        <v>2024</v>
      </c>
      <c r="AC428" s="3" t="s">
        <v>627</v>
      </c>
      <c r="AD428" s="3" t="s">
        <v>627</v>
      </c>
      <c r="AE428" s="102">
        <f>DATE(Modelling_old[[#This Row],[Calendor Year]],Modelling_old[[#This Row],[Start Month]],1)</f>
        <v>45413</v>
      </c>
      <c r="AF428" s="5">
        <f t="shared" si="150"/>
        <v>31</v>
      </c>
      <c r="AG428" s="5">
        <f t="shared" si="151"/>
        <v>5</v>
      </c>
      <c r="AH428" s="4">
        <f>_xlfn.XLOOKUP(Modelling_new[[#This Row],[Month]],$AA$1:$AA$14,$AL$1:$AL$14)/Modelling_new[[#This Row],[Total Days]]</f>
        <v>69.660866504992768</v>
      </c>
      <c r="AI428" s="4">
        <f>SUM($AH$414:AH428)</f>
        <v>1044.9129975748915</v>
      </c>
      <c r="AJ428" s="4">
        <f>SUM($AH$384:AH428)</f>
        <v>3216.4095869555099</v>
      </c>
      <c r="AK428" s="4">
        <f t="shared" si="152"/>
        <v>6.5290322580645164</v>
      </c>
      <c r="AL428" s="4">
        <f>SUM($AK$414:AK428)</f>
        <v>97.935483870967758</v>
      </c>
      <c r="AM428" s="4">
        <f>SUM($AK$384:AK428)</f>
        <v>296.63548387096762</v>
      </c>
      <c r="AN428" s="323">
        <f t="shared" si="153"/>
        <v>0.92752401442995447</v>
      </c>
      <c r="AO428" s="323">
        <f t="shared" si="154"/>
        <v>0.92752401442995425</v>
      </c>
      <c r="AP428" s="323">
        <f t="shared" si="155"/>
        <v>0.94261284165809012</v>
      </c>
      <c r="AQ428" s="323">
        <f t="shared" si="156"/>
        <v>0.25232642543094463</v>
      </c>
      <c r="AR428" s="323">
        <f>Modelling_new[[#This Row],[Target E_Grid MTD
MWh]]/Modelling_new[[#This Row],[MTD DC Capcity]]/(24*CG428)</f>
        <v>0.22676063315427328</v>
      </c>
      <c r="AS428" s="323">
        <f>Modelling_new[[#This Row],[Target E_Grid YTD
MWh]]/Modelling_new[[#This Row],[YTD DC Capcity]]/(24*CH428)</f>
        <v>0.23266851757490667</v>
      </c>
      <c r="AT428" s="5">
        <v>12.8</v>
      </c>
      <c r="AU428" s="9">
        <f>Modelling_new[[#This Row],[Comisined DC ]]/$AO$1</f>
        <v>1</v>
      </c>
      <c r="AV428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28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428" s="27">
        <f t="shared" si="163"/>
        <v>45427</v>
      </c>
      <c r="BE428" s="5">
        <f>MONTH(Modelling[[#This Row],[Date]])</f>
        <v>5</v>
      </c>
      <c r="BF428" s="25">
        <f>YEAR(BD428)+IF(MONTH(Modelling[[#This Row],[Date]])&gt;=4,1,0)</f>
        <v>2025</v>
      </c>
      <c r="BG428" s="3">
        <f t="shared" si="157"/>
        <v>2024</v>
      </c>
      <c r="BH428" s="3" t="s">
        <v>627</v>
      </c>
      <c r="BI428" s="3" t="s">
        <v>627</v>
      </c>
      <c r="BJ428" s="102">
        <f>DATE(Modelling_old[[#This Row],[Calendor Year]],Modelling_old[[#This Row],[Start Month]],1)</f>
        <v>45413</v>
      </c>
      <c r="BK428" s="5">
        <f t="shared" si="158"/>
        <v>31</v>
      </c>
      <c r="BL428" s="5">
        <f t="shared" si="159"/>
        <v>5</v>
      </c>
      <c r="BM428" s="4">
        <f>Modelling_old[[#This Row],[Target E_Grid daily
MWh]]+Modelling_new[[#This Row],[Target E_Grid daily
MWh]]</f>
        <v>120.42215682757342</v>
      </c>
      <c r="BN428" s="4">
        <f>Modelling_old[[#This Row],[Target E_Grid MTD
MWh]]+Modelling_new[[#This Row],[Target E_Grid MTD
MWh]]</f>
        <v>1806.3323524136013</v>
      </c>
      <c r="BO428" s="4">
        <f>Modelling_old[[#This Row],[Target E_Grid YTD
MWh]]+Modelling_new[[#This Row],[Target E_Grid YTD
MWh]]</f>
        <v>5506.9289417942209</v>
      </c>
      <c r="BP428" s="4">
        <f>AVERAGE(Modelling_old[[#This Row],[Target POA Daily (KWh/m2)]],Modelling_new[[#This Row],[Target POA Daily (KWh/m2)]])</f>
        <v>6.5290322580645164</v>
      </c>
      <c r="BQ428" s="4">
        <f>SUM($BP$414:BP428)</f>
        <v>97.935483870967758</v>
      </c>
      <c r="BR428" s="4">
        <f>SUM($BP$384:BP428)</f>
        <v>296.63548387096762</v>
      </c>
      <c r="BS428" s="323">
        <f>BM428/Modelling[[#This Row],[Comisined DC ]]/BP428</f>
        <v>0.75891985169387688</v>
      </c>
      <c r="BT428" s="337">
        <f>BN428/BQ428/Modelling[[#This Row],[Comisined DC ]]</f>
        <v>0.75891985169387688</v>
      </c>
      <c r="BU428" s="337">
        <f>BO428/BR428/Modelling[[#This Row],[Comisined DC ]]</f>
        <v>0.76387922384490281</v>
      </c>
      <c r="BV428" s="323">
        <f>BM428/(24*Modelling[[#This Row],[Comisined DC ]])</f>
        <v>0.2064588413747859</v>
      </c>
      <c r="BW428" s="323">
        <f>Modelling[[#This Row],[Target E_Grid MTD
MWh]]/Modelling[[#This Row],[MTD DC Capcity]]/(24*CG428)</f>
        <v>0.20645884137478596</v>
      </c>
      <c r="BX428" s="338">
        <f>Modelling[[#This Row],[Target E_Grid YTD
MWh]]/Modelling[[#This Row],[YTD DC Capcity]]/(24*CH428)</f>
        <v>0.20980896591130746</v>
      </c>
      <c r="BY428" s="4">
        <f>Modelling_old[[#This Row],[DC Capcity]]+Modelling_new[[#This Row],[Comisined DC ]]</f>
        <v>24.303100000000001</v>
      </c>
      <c r="BZ428" s="4">
        <v>0</v>
      </c>
      <c r="CA428">
        <f>AVERAGEIFS(Modelling[[Comisined DC ]],Modelling[Date],"&lt;="&amp;Modelling[[#This Row],[Date]],Modelling[Month Year],Modelling[[#This Row],[Month Year]])</f>
        <v>24.303099999999993</v>
      </c>
      <c r="CB428">
        <f>AVERAGEIFS(Modelling[[Comisined DC ]],Modelling[Date],"&lt;="&amp;Modelling[[#This Row],[Date]],Modelling[Finacial Year],Modelling[[#This Row],[Finacial Year]])</f>
        <v>24.303099999999986</v>
      </c>
      <c r="CG428">
        <f t="shared" si="160"/>
        <v>15</v>
      </c>
      <c r="CH428">
        <f t="shared" si="161"/>
        <v>45</v>
      </c>
    </row>
    <row r="429" spans="1:86" x14ac:dyDescent="0.35">
      <c r="A429" s="27">
        <f t="shared" si="139"/>
        <v>45428</v>
      </c>
      <c r="B429" s="5">
        <f>MONTH(Modelling_old[[#This Row],[Date]])</f>
        <v>5</v>
      </c>
      <c r="C429" s="25">
        <f t="shared" si="140"/>
        <v>2025</v>
      </c>
      <c r="D429" s="3">
        <f t="shared" si="141"/>
        <v>2024</v>
      </c>
      <c r="E429" s="3" t="s">
        <v>627</v>
      </c>
      <c r="F429" s="3" t="s">
        <v>627</v>
      </c>
      <c r="G429" s="102">
        <f>DATE(Modelling_old[[#This Row],[Calendor Year]],Modelling_old[[#This Row],[Start Month]],1)</f>
        <v>45413</v>
      </c>
      <c r="H429" s="5">
        <f t="shared" si="142"/>
        <v>31</v>
      </c>
      <c r="I429" s="5">
        <f t="shared" si="143"/>
        <v>5</v>
      </c>
      <c r="J429" s="4">
        <f>_xlfn.XLOOKUP(Modelling_old[[#This Row],[Month]],$C$1:$C$14,$N$1:$N$14)/Modelling_old[[#This Row],[Total Days]]</f>
        <v>50.761290322580649</v>
      </c>
      <c r="K429" s="4">
        <f>SUM($J$414:J429)</f>
        <v>812.18064516129027</v>
      </c>
      <c r="L429" s="4">
        <f>SUM($J$384:J429)</f>
        <v>2341.2806451612919</v>
      </c>
      <c r="M429" s="4">
        <f t="shared" si="144"/>
        <v>6.5290322580645164</v>
      </c>
      <c r="N429" s="4">
        <f>SUM($M$414:M429)</f>
        <v>104.46451612903228</v>
      </c>
      <c r="O429" s="4">
        <f>SUM($M$384:M429)</f>
        <v>303.16451612903211</v>
      </c>
      <c r="P429" s="323">
        <f t="shared" si="145"/>
        <v>0.67587898543107972</v>
      </c>
      <c r="Q429" s="337">
        <f t="shared" si="146"/>
        <v>0.6758789854310796</v>
      </c>
      <c r="R429" s="337">
        <f t="shared" si="147"/>
        <v>0.67136734215013372</v>
      </c>
      <c r="S429" s="323">
        <f t="shared" si="148"/>
        <v>0.18386815410114321</v>
      </c>
      <c r="T429" s="9">
        <f>Modelling_old[[#This Row],[Target E_Grid MTD
MWh]]/Modelling_old[[#This Row],[DC Capcity]]/(24*CG429)</f>
        <v>0.18386815410114318</v>
      </c>
      <c r="U429" s="338">
        <f>Modelling_old[[#This Row],[Target E_Grid YTD
MWh]]/Modelling_old[[#This Row],[DC Capcity]]/(24*CH429)</f>
        <v>0.18436119151066996</v>
      </c>
      <c r="V429" s="134">
        <v>11.5031</v>
      </c>
      <c r="Y429" s="27">
        <f t="shared" si="162"/>
        <v>45428</v>
      </c>
      <c r="Z429" s="5">
        <f>MONTH(Modelling_new[[#This Row],[Date]])</f>
        <v>5</v>
      </c>
      <c r="AA429" s="25">
        <f>YEAR(Y429)+IF(MONTH(Modelling_new[[#This Row],[Date]])&gt;=4,1,0)</f>
        <v>2025</v>
      </c>
      <c r="AB429" s="3">
        <f t="shared" si="149"/>
        <v>2024</v>
      </c>
      <c r="AC429" s="3" t="s">
        <v>627</v>
      </c>
      <c r="AD429" s="3" t="s">
        <v>627</v>
      </c>
      <c r="AE429" s="102">
        <f>DATE(Modelling_old[[#This Row],[Calendor Year]],Modelling_old[[#This Row],[Start Month]],1)</f>
        <v>45413</v>
      </c>
      <c r="AF429" s="5">
        <f t="shared" si="150"/>
        <v>31</v>
      </c>
      <c r="AG429" s="5">
        <f t="shared" si="151"/>
        <v>5</v>
      </c>
      <c r="AH429" s="4">
        <f>_xlfn.XLOOKUP(Modelling_new[[#This Row],[Month]],$AA$1:$AA$14,$AL$1:$AL$14)/Modelling_new[[#This Row],[Total Days]]</f>
        <v>69.660866504992768</v>
      </c>
      <c r="AI429" s="4">
        <f>SUM($AH$414:AH429)</f>
        <v>1114.5738640798843</v>
      </c>
      <c r="AJ429" s="4">
        <f>SUM($AH$384:AH429)</f>
        <v>3286.0704534605024</v>
      </c>
      <c r="AK429" s="4">
        <f t="shared" si="152"/>
        <v>6.5290322580645164</v>
      </c>
      <c r="AL429" s="4">
        <f>SUM($AK$414:AK429)</f>
        <v>104.46451612903228</v>
      </c>
      <c r="AM429" s="4">
        <f>SUM($AK$384:AK429)</f>
        <v>303.16451612903211</v>
      </c>
      <c r="AN429" s="323">
        <f t="shared" si="153"/>
        <v>0.92752401442995447</v>
      </c>
      <c r="AO429" s="323">
        <f t="shared" si="154"/>
        <v>0.92752401442995425</v>
      </c>
      <c r="AP429" s="323">
        <f t="shared" si="155"/>
        <v>0.94228788463156621</v>
      </c>
      <c r="AQ429" s="323">
        <f t="shared" si="156"/>
        <v>0.25232642543094463</v>
      </c>
      <c r="AR429" s="323">
        <f>Modelling_new[[#This Row],[Target E_Grid MTD
MWh]]/Modelling_new[[#This Row],[MTD DC Capcity]]/(24*CG429)</f>
        <v>0.22676063315427331</v>
      </c>
      <c r="AS429" s="323">
        <f>Modelling_new[[#This Row],[Target E_Grid YTD
MWh]]/Modelling_new[[#This Row],[YTD DC Capcity]]/(24*CH429)</f>
        <v>0.23254008530489292</v>
      </c>
      <c r="AT429" s="5">
        <v>12.8</v>
      </c>
      <c r="AU429" s="9">
        <f>Modelling_new[[#This Row],[Comisined DC ]]/$AO$1</f>
        <v>1</v>
      </c>
      <c r="AV429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29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429" s="27">
        <f t="shared" si="163"/>
        <v>45428</v>
      </c>
      <c r="BE429" s="5">
        <f>MONTH(Modelling[[#This Row],[Date]])</f>
        <v>5</v>
      </c>
      <c r="BF429" s="25">
        <f>YEAR(BD429)+IF(MONTH(Modelling[[#This Row],[Date]])&gt;=4,1,0)</f>
        <v>2025</v>
      </c>
      <c r="BG429" s="3">
        <f t="shared" si="157"/>
        <v>2024</v>
      </c>
      <c r="BH429" s="3" t="s">
        <v>627</v>
      </c>
      <c r="BI429" s="3" t="s">
        <v>627</v>
      </c>
      <c r="BJ429" s="102">
        <f>DATE(Modelling_old[[#This Row],[Calendor Year]],Modelling_old[[#This Row],[Start Month]],1)</f>
        <v>45413</v>
      </c>
      <c r="BK429" s="5">
        <f t="shared" si="158"/>
        <v>31</v>
      </c>
      <c r="BL429" s="5">
        <f t="shared" si="159"/>
        <v>5</v>
      </c>
      <c r="BM429" s="4">
        <f>Modelling_old[[#This Row],[Target E_Grid daily
MWh]]+Modelling_new[[#This Row],[Target E_Grid daily
MWh]]</f>
        <v>120.42215682757342</v>
      </c>
      <c r="BN429" s="4">
        <f>Modelling_old[[#This Row],[Target E_Grid MTD
MWh]]+Modelling_new[[#This Row],[Target E_Grid MTD
MWh]]</f>
        <v>1926.7545092411747</v>
      </c>
      <c r="BO429" s="4">
        <f>Modelling_old[[#This Row],[Target E_Grid YTD
MWh]]+Modelling_new[[#This Row],[Target E_Grid YTD
MWh]]</f>
        <v>5627.3510986217943</v>
      </c>
      <c r="BP429" s="4">
        <f>AVERAGE(Modelling_old[[#This Row],[Target POA Daily (KWh/m2)]],Modelling_new[[#This Row],[Target POA Daily (KWh/m2)]])</f>
        <v>6.5290322580645164</v>
      </c>
      <c r="BQ429" s="4">
        <f>SUM($BP$414:BP429)</f>
        <v>104.46451612903228</v>
      </c>
      <c r="BR429" s="4">
        <f>SUM($BP$384:BP429)</f>
        <v>303.16451612903211</v>
      </c>
      <c r="BS429" s="323">
        <f>BM429/Modelling[[#This Row],[Comisined DC ]]/BP429</f>
        <v>0.75891985169387688</v>
      </c>
      <c r="BT429" s="337">
        <f>BN429/BQ429/Modelling[[#This Row],[Comisined DC ]]</f>
        <v>0.75891985169387688</v>
      </c>
      <c r="BU429" s="337">
        <f>BO429/BR429/Modelling[[#This Row],[Comisined DC ]]</f>
        <v>0.76377241747730007</v>
      </c>
      <c r="BV429" s="323">
        <f>BM429/(24*Modelling[[#This Row],[Comisined DC ]])</f>
        <v>0.2064588413747859</v>
      </c>
      <c r="BW429" s="323">
        <f>Modelling[[#This Row],[Target E_Grid MTD
MWh]]/Modelling[[#This Row],[MTD DC Capcity]]/(24*CG429)</f>
        <v>0.20645884137478596</v>
      </c>
      <c r="BX429" s="338">
        <f>Modelling[[#This Row],[Target E_Grid YTD
MWh]]/Modelling[[#This Row],[YTD DC Capcity]]/(24*CH429)</f>
        <v>0.20973613711703526</v>
      </c>
      <c r="BY429" s="4">
        <f>Modelling_old[[#This Row],[DC Capcity]]+Modelling_new[[#This Row],[Comisined DC ]]</f>
        <v>24.303100000000001</v>
      </c>
      <c r="BZ429" s="4">
        <v>0</v>
      </c>
      <c r="CA429">
        <f>AVERAGEIFS(Modelling[[Comisined DC ]],Modelling[Date],"&lt;="&amp;Modelling[[#This Row],[Date]],Modelling[Month Year],Modelling[[#This Row],[Month Year]])</f>
        <v>24.303099999999993</v>
      </c>
      <c r="CB429">
        <f>AVERAGEIFS(Modelling[[Comisined DC ]],Modelling[Date],"&lt;="&amp;Modelling[[#This Row],[Date]],Modelling[Finacial Year],Modelling[[#This Row],[Finacial Year]])</f>
        <v>24.303099999999986</v>
      </c>
      <c r="CG429">
        <f t="shared" si="160"/>
        <v>16</v>
      </c>
      <c r="CH429">
        <f t="shared" si="161"/>
        <v>46</v>
      </c>
    </row>
    <row r="430" spans="1:86" x14ac:dyDescent="0.35">
      <c r="A430" s="27">
        <f t="shared" si="139"/>
        <v>45429</v>
      </c>
      <c r="B430" s="5">
        <f>MONTH(Modelling_old[[#This Row],[Date]])</f>
        <v>5</v>
      </c>
      <c r="C430" s="25">
        <f t="shared" si="140"/>
        <v>2025</v>
      </c>
      <c r="D430" s="3">
        <f t="shared" si="141"/>
        <v>2024</v>
      </c>
      <c r="E430" s="3" t="s">
        <v>627</v>
      </c>
      <c r="F430" s="3" t="s">
        <v>627</v>
      </c>
      <c r="G430" s="102">
        <f>DATE(Modelling_old[[#This Row],[Calendor Year]],Modelling_old[[#This Row],[Start Month]],1)</f>
        <v>45413</v>
      </c>
      <c r="H430" s="5">
        <f t="shared" si="142"/>
        <v>31</v>
      </c>
      <c r="I430" s="5">
        <f t="shared" si="143"/>
        <v>5</v>
      </c>
      <c r="J430" s="4">
        <f>_xlfn.XLOOKUP(Modelling_old[[#This Row],[Month]],$C$1:$C$14,$N$1:$N$14)/Modelling_old[[#This Row],[Total Days]]</f>
        <v>50.761290322580649</v>
      </c>
      <c r="K430" s="4">
        <f>SUM($J$414:J430)</f>
        <v>862.94193548387091</v>
      </c>
      <c r="L430" s="4">
        <f>SUM($J$384:J430)</f>
        <v>2392.0419354838727</v>
      </c>
      <c r="M430" s="4">
        <f t="shared" si="144"/>
        <v>6.5290322580645164</v>
      </c>
      <c r="N430" s="4">
        <f>SUM($M$414:M430)</f>
        <v>110.99354838709679</v>
      </c>
      <c r="O430" s="4">
        <f>SUM($M$384:M430)</f>
        <v>309.6935483870966</v>
      </c>
      <c r="P430" s="323">
        <f t="shared" si="145"/>
        <v>0.67587898543107972</v>
      </c>
      <c r="Q430" s="337">
        <f t="shared" si="146"/>
        <v>0.6758789854310796</v>
      </c>
      <c r="R430" s="337">
        <f t="shared" si="147"/>
        <v>0.67146245767537349</v>
      </c>
      <c r="S430" s="323">
        <f t="shared" si="148"/>
        <v>0.18386815410114321</v>
      </c>
      <c r="T430" s="9">
        <f>Modelling_old[[#This Row],[Target E_Grid MTD
MWh]]/Modelling_old[[#This Row],[DC Capcity]]/(24*CG430)</f>
        <v>0.18386815410114318</v>
      </c>
      <c r="U430" s="338">
        <f>Modelling_old[[#This Row],[Target E_Grid YTD
MWh]]/Modelling_old[[#This Row],[DC Capcity]]/(24*CH430)</f>
        <v>0.18435070135302048</v>
      </c>
      <c r="V430" s="134">
        <v>11.5031</v>
      </c>
      <c r="Y430" s="27">
        <f t="shared" si="162"/>
        <v>45429</v>
      </c>
      <c r="Z430" s="5">
        <f>MONTH(Modelling_new[[#This Row],[Date]])</f>
        <v>5</v>
      </c>
      <c r="AA430" s="25">
        <f>YEAR(Y430)+IF(MONTH(Modelling_new[[#This Row],[Date]])&gt;=4,1,0)</f>
        <v>2025</v>
      </c>
      <c r="AB430" s="3">
        <f t="shared" si="149"/>
        <v>2024</v>
      </c>
      <c r="AC430" s="3" t="s">
        <v>627</v>
      </c>
      <c r="AD430" s="3" t="s">
        <v>627</v>
      </c>
      <c r="AE430" s="102">
        <f>DATE(Modelling_old[[#This Row],[Calendor Year]],Modelling_old[[#This Row],[Start Month]],1)</f>
        <v>45413</v>
      </c>
      <c r="AF430" s="5">
        <f t="shared" si="150"/>
        <v>31</v>
      </c>
      <c r="AG430" s="5">
        <f t="shared" si="151"/>
        <v>5</v>
      </c>
      <c r="AH430" s="4">
        <f>_xlfn.XLOOKUP(Modelling_new[[#This Row],[Month]],$AA$1:$AA$14,$AL$1:$AL$14)/Modelling_new[[#This Row],[Total Days]]</f>
        <v>69.660866504992768</v>
      </c>
      <c r="AI430" s="4">
        <f>SUM($AH$414:AH430)</f>
        <v>1184.2347305848771</v>
      </c>
      <c r="AJ430" s="4">
        <f>SUM($AH$384:AH430)</f>
        <v>3355.731319965495</v>
      </c>
      <c r="AK430" s="4">
        <f t="shared" si="152"/>
        <v>6.5290322580645164</v>
      </c>
      <c r="AL430" s="4">
        <f>SUM($AK$414:AK430)</f>
        <v>110.99354838709679</v>
      </c>
      <c r="AM430" s="4">
        <f>SUM($AK$384:AK430)</f>
        <v>309.6935483870966</v>
      </c>
      <c r="AN430" s="323">
        <f t="shared" si="153"/>
        <v>0.92752401442995447</v>
      </c>
      <c r="AO430" s="323">
        <f t="shared" si="154"/>
        <v>0.92752401442995425</v>
      </c>
      <c r="AP430" s="323">
        <f t="shared" si="155"/>
        <v>0.94197662924603354</v>
      </c>
      <c r="AQ430" s="323">
        <f t="shared" si="156"/>
        <v>0.25232642543094463</v>
      </c>
      <c r="AR430" s="323">
        <f>Modelling_new[[#This Row],[Target E_Grid MTD
MWh]]/Modelling_new[[#This Row],[MTD DC Capcity]]/(24*CG430)</f>
        <v>0.22676063315427331</v>
      </c>
      <c r="AS430" s="323">
        <f>Modelling_new[[#This Row],[Target E_Grid YTD
MWh]]/Modelling_new[[#This Row],[YTD DC Capcity]]/(24*CH430)</f>
        <v>0.23241711823785846</v>
      </c>
      <c r="AT430" s="5">
        <v>12.8</v>
      </c>
      <c r="AU430" s="9">
        <f>Modelling_new[[#This Row],[Comisined DC ]]/$AO$1</f>
        <v>1</v>
      </c>
      <c r="AV430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30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430" s="27">
        <f t="shared" si="163"/>
        <v>45429</v>
      </c>
      <c r="BE430" s="5">
        <f>MONTH(Modelling[[#This Row],[Date]])</f>
        <v>5</v>
      </c>
      <c r="BF430" s="25">
        <f>YEAR(BD430)+IF(MONTH(Modelling[[#This Row],[Date]])&gt;=4,1,0)</f>
        <v>2025</v>
      </c>
      <c r="BG430" s="3">
        <f t="shared" si="157"/>
        <v>2024</v>
      </c>
      <c r="BH430" s="3" t="s">
        <v>627</v>
      </c>
      <c r="BI430" s="3" t="s">
        <v>627</v>
      </c>
      <c r="BJ430" s="102">
        <f>DATE(Modelling_old[[#This Row],[Calendor Year]],Modelling_old[[#This Row],[Start Month]],1)</f>
        <v>45413</v>
      </c>
      <c r="BK430" s="5">
        <f t="shared" si="158"/>
        <v>31</v>
      </c>
      <c r="BL430" s="5">
        <f t="shared" si="159"/>
        <v>5</v>
      </c>
      <c r="BM430" s="4">
        <f>Modelling_old[[#This Row],[Target E_Grid daily
MWh]]+Modelling_new[[#This Row],[Target E_Grid daily
MWh]]</f>
        <v>120.42215682757342</v>
      </c>
      <c r="BN430" s="4">
        <f>Modelling_old[[#This Row],[Target E_Grid MTD
MWh]]+Modelling_new[[#This Row],[Target E_Grid MTD
MWh]]</f>
        <v>2047.1766660687481</v>
      </c>
      <c r="BO430" s="4">
        <f>Modelling_old[[#This Row],[Target E_Grid YTD
MWh]]+Modelling_new[[#This Row],[Target E_Grid YTD
MWh]]</f>
        <v>5747.7732554493678</v>
      </c>
      <c r="BP430" s="4">
        <f>AVERAGE(Modelling_old[[#This Row],[Target POA Daily (KWh/m2)]],Modelling_new[[#This Row],[Target POA Daily (KWh/m2)]])</f>
        <v>6.5290322580645164</v>
      </c>
      <c r="BQ430" s="4">
        <f>SUM($BP$414:BP430)</f>
        <v>110.99354838709679</v>
      </c>
      <c r="BR430" s="4">
        <f>SUM($BP$384:BP430)</f>
        <v>309.6935483870966</v>
      </c>
      <c r="BS430" s="323">
        <f>BM430/Modelling[[#This Row],[Comisined DC ]]/BP430</f>
        <v>0.75891985169387688</v>
      </c>
      <c r="BT430" s="337">
        <f>BN430/BQ430/Modelling[[#This Row],[Comisined DC ]]</f>
        <v>0.75891985169387688</v>
      </c>
      <c r="BU430" s="337">
        <f>BO430/BR430/Modelling[[#This Row],[Comisined DC ]]</f>
        <v>0.76367011454364409</v>
      </c>
      <c r="BV430" s="323">
        <f>BM430/(24*Modelling[[#This Row],[Comisined DC ]])</f>
        <v>0.2064588413747859</v>
      </c>
      <c r="BW430" s="323">
        <f>Modelling[[#This Row],[Target E_Grid MTD
MWh]]/Modelling[[#This Row],[MTD DC Capcity]]/(24*CG430)</f>
        <v>0.20645884137478593</v>
      </c>
      <c r="BX430" s="338">
        <f>Modelling[[#This Row],[Target E_Grid YTD
MWh]]/Modelling[[#This Row],[YTD DC Capcity]]/(24*CH430)</f>
        <v>0.20966640742039164</v>
      </c>
      <c r="BY430" s="4">
        <f>Modelling_old[[#This Row],[DC Capcity]]+Modelling_new[[#This Row],[Comisined DC ]]</f>
        <v>24.303100000000001</v>
      </c>
      <c r="BZ430" s="4">
        <v>0</v>
      </c>
      <c r="CA430">
        <f>AVERAGEIFS(Modelling[[Comisined DC ]],Modelling[Date],"&lt;="&amp;Modelling[[#This Row],[Date]],Modelling[Month Year],Modelling[[#This Row],[Month Year]])</f>
        <v>24.303099999999993</v>
      </c>
      <c r="CB430">
        <f>AVERAGEIFS(Modelling[[Comisined DC ]],Modelling[Date],"&lt;="&amp;Modelling[[#This Row],[Date]],Modelling[Finacial Year],Modelling[[#This Row],[Finacial Year]])</f>
        <v>24.30309999999999</v>
      </c>
      <c r="CG430">
        <f t="shared" si="160"/>
        <v>17</v>
      </c>
      <c r="CH430">
        <f t="shared" si="161"/>
        <v>47</v>
      </c>
    </row>
    <row r="431" spans="1:86" x14ac:dyDescent="0.35">
      <c r="A431" s="27">
        <f t="shared" si="139"/>
        <v>45430</v>
      </c>
      <c r="B431" s="5">
        <f>MONTH(Modelling_old[[#This Row],[Date]])</f>
        <v>5</v>
      </c>
      <c r="C431" s="25">
        <f t="shared" si="140"/>
        <v>2025</v>
      </c>
      <c r="D431" s="3">
        <f t="shared" si="141"/>
        <v>2024</v>
      </c>
      <c r="E431" s="3" t="s">
        <v>627</v>
      </c>
      <c r="F431" s="3" t="s">
        <v>627</v>
      </c>
      <c r="G431" s="102">
        <f>DATE(Modelling_old[[#This Row],[Calendor Year]],Modelling_old[[#This Row],[Start Month]],1)</f>
        <v>45413</v>
      </c>
      <c r="H431" s="5">
        <f t="shared" si="142"/>
        <v>31</v>
      </c>
      <c r="I431" s="5">
        <f t="shared" si="143"/>
        <v>5</v>
      </c>
      <c r="J431" s="4">
        <f>_xlfn.XLOOKUP(Modelling_old[[#This Row],[Month]],$C$1:$C$14,$N$1:$N$14)/Modelling_old[[#This Row],[Total Days]]</f>
        <v>50.761290322580649</v>
      </c>
      <c r="K431" s="4">
        <f>SUM($J$414:J431)</f>
        <v>913.70322580645154</v>
      </c>
      <c r="L431" s="4">
        <f>SUM($J$384:J431)</f>
        <v>2442.8032258064536</v>
      </c>
      <c r="M431" s="4">
        <f t="shared" si="144"/>
        <v>6.5290322580645164</v>
      </c>
      <c r="N431" s="4">
        <f>SUM($M$414:M431)</f>
        <v>117.52258064516131</v>
      </c>
      <c r="O431" s="4">
        <f>SUM($M$384:M431)</f>
        <v>316.22258064516109</v>
      </c>
      <c r="P431" s="323">
        <f t="shared" si="145"/>
        <v>0.67587898543107972</v>
      </c>
      <c r="Q431" s="337">
        <f t="shared" si="146"/>
        <v>0.6758789854310796</v>
      </c>
      <c r="R431" s="337">
        <f t="shared" si="147"/>
        <v>0.67155364550935692</v>
      </c>
      <c r="S431" s="323">
        <f t="shared" si="148"/>
        <v>0.18386815410114321</v>
      </c>
      <c r="T431" s="9">
        <f>Modelling_old[[#This Row],[Target E_Grid MTD
MWh]]/Modelling_old[[#This Row],[DC Capcity]]/(24*CG431)</f>
        <v>0.18386815410114318</v>
      </c>
      <c r="U431" s="338">
        <f>Modelling_old[[#This Row],[Target E_Grid YTD
MWh]]/Modelling_old[[#This Row],[DC Capcity]]/(24*CH431)</f>
        <v>0.18434064828527305</v>
      </c>
      <c r="V431" s="134">
        <v>11.5031</v>
      </c>
      <c r="Y431" s="27">
        <f t="shared" si="162"/>
        <v>45430</v>
      </c>
      <c r="Z431" s="5">
        <f>MONTH(Modelling_new[[#This Row],[Date]])</f>
        <v>5</v>
      </c>
      <c r="AA431" s="25">
        <f>YEAR(Y431)+IF(MONTH(Modelling_new[[#This Row],[Date]])&gt;=4,1,0)</f>
        <v>2025</v>
      </c>
      <c r="AB431" s="3">
        <f t="shared" si="149"/>
        <v>2024</v>
      </c>
      <c r="AC431" s="3" t="s">
        <v>627</v>
      </c>
      <c r="AD431" s="3" t="s">
        <v>627</v>
      </c>
      <c r="AE431" s="102">
        <f>DATE(Modelling_old[[#This Row],[Calendor Year]],Modelling_old[[#This Row],[Start Month]],1)</f>
        <v>45413</v>
      </c>
      <c r="AF431" s="5">
        <f t="shared" si="150"/>
        <v>31</v>
      </c>
      <c r="AG431" s="5">
        <f t="shared" si="151"/>
        <v>5</v>
      </c>
      <c r="AH431" s="4">
        <f>_xlfn.XLOOKUP(Modelling_new[[#This Row],[Month]],$AA$1:$AA$14,$AL$1:$AL$14)/Modelling_new[[#This Row],[Total Days]]</f>
        <v>69.660866504992768</v>
      </c>
      <c r="AI431" s="4">
        <f>SUM($AH$414:AH431)</f>
        <v>1253.8955970898699</v>
      </c>
      <c r="AJ431" s="4">
        <f>SUM($AH$384:AH431)</f>
        <v>3425.3921864704876</v>
      </c>
      <c r="AK431" s="4">
        <f t="shared" si="152"/>
        <v>6.5290322580645164</v>
      </c>
      <c r="AL431" s="4">
        <f>SUM($AK$414:AK431)</f>
        <v>117.52258064516131</v>
      </c>
      <c r="AM431" s="4">
        <f>SUM($AK$384:AK431)</f>
        <v>316.22258064516109</v>
      </c>
      <c r="AN431" s="323">
        <f t="shared" si="153"/>
        <v>0.92752401442995447</v>
      </c>
      <c r="AO431" s="323">
        <f t="shared" si="154"/>
        <v>0.92752401442995425</v>
      </c>
      <c r="AP431" s="323">
        <f t="shared" si="155"/>
        <v>0.94167822681014479</v>
      </c>
      <c r="AQ431" s="323">
        <f t="shared" si="156"/>
        <v>0.25232642543094463</v>
      </c>
      <c r="AR431" s="323">
        <f>Modelling_new[[#This Row],[Target E_Grid MTD
MWh]]/Modelling_new[[#This Row],[MTD DC Capcity]]/(24*CG431)</f>
        <v>0.22676063315427328</v>
      </c>
      <c r="AS431" s="323">
        <f>Modelling_new[[#This Row],[Target E_Grid YTD
MWh]]/Modelling_new[[#This Row],[YTD DC Capcity]]/(24*CH431)</f>
        <v>0.23229927479861712</v>
      </c>
      <c r="AT431" s="5">
        <v>12.8</v>
      </c>
      <c r="AU431" s="9">
        <f>Modelling_new[[#This Row],[Comisined DC ]]/$AO$1</f>
        <v>1</v>
      </c>
      <c r="AV43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31" s="5">
        <f>AVERAGEIFS(Modelling_new[[Comisined DC ]],Modelling_new[Date],"&lt;="&amp;Modelling_new[[#This Row],[Date]],Modelling_new[[Comisined DC ]],"&gt;"&amp;0,Modelling_new[Finacial Year],Modelling_new[[#This Row],[Finacial Year]])</f>
        <v>12.799999999999997</v>
      </c>
      <c r="BD431" s="27">
        <f t="shared" si="163"/>
        <v>45430</v>
      </c>
      <c r="BE431" s="5">
        <f>MONTH(Modelling[[#This Row],[Date]])</f>
        <v>5</v>
      </c>
      <c r="BF431" s="25">
        <f>YEAR(BD431)+IF(MONTH(Modelling[[#This Row],[Date]])&gt;=4,1,0)</f>
        <v>2025</v>
      </c>
      <c r="BG431" s="3">
        <f t="shared" si="157"/>
        <v>2024</v>
      </c>
      <c r="BH431" s="3" t="s">
        <v>627</v>
      </c>
      <c r="BI431" s="3" t="s">
        <v>627</v>
      </c>
      <c r="BJ431" s="102">
        <f>DATE(Modelling_old[[#This Row],[Calendor Year]],Modelling_old[[#This Row],[Start Month]],1)</f>
        <v>45413</v>
      </c>
      <c r="BK431" s="5">
        <f t="shared" si="158"/>
        <v>31</v>
      </c>
      <c r="BL431" s="5">
        <f t="shared" si="159"/>
        <v>5</v>
      </c>
      <c r="BM431" s="4">
        <f>Modelling_old[[#This Row],[Target E_Grid daily
MWh]]+Modelling_new[[#This Row],[Target E_Grid daily
MWh]]</f>
        <v>120.42215682757342</v>
      </c>
      <c r="BN431" s="4">
        <f>Modelling_old[[#This Row],[Target E_Grid MTD
MWh]]+Modelling_new[[#This Row],[Target E_Grid MTD
MWh]]</f>
        <v>2167.5988228963215</v>
      </c>
      <c r="BO431" s="4">
        <f>Modelling_old[[#This Row],[Target E_Grid YTD
MWh]]+Modelling_new[[#This Row],[Target E_Grid YTD
MWh]]</f>
        <v>5868.1954122769412</v>
      </c>
      <c r="BP431" s="4">
        <f>AVERAGE(Modelling_old[[#This Row],[Target POA Daily (KWh/m2)]],Modelling_new[[#This Row],[Target POA Daily (KWh/m2)]])</f>
        <v>6.5290322580645164</v>
      </c>
      <c r="BQ431" s="4">
        <f>SUM($BP$414:BP431)</f>
        <v>117.52258064516131</v>
      </c>
      <c r="BR431" s="4">
        <f>SUM($BP$384:BP431)</f>
        <v>316.22258064516109</v>
      </c>
      <c r="BS431" s="323">
        <f>BM431/Modelling[[#This Row],[Comisined DC ]]/BP431</f>
        <v>0.75891985169387688</v>
      </c>
      <c r="BT431" s="337">
        <f>BN431/BQ431/Modelling[[#This Row],[Comisined DC ]]</f>
        <v>0.75891985169387688</v>
      </c>
      <c r="BU431" s="337">
        <f>BO431/BR431/Modelling[[#This Row],[Comisined DC ]]</f>
        <v>0.76357203609738922</v>
      </c>
      <c r="BV431" s="323">
        <f>BM431/(24*Modelling[[#This Row],[Comisined DC ]])</f>
        <v>0.2064588413747859</v>
      </c>
      <c r="BW431" s="323">
        <f>Modelling[[#This Row],[Target E_Grid MTD
MWh]]/Modelling[[#This Row],[MTD DC Capcity]]/(24*CG431)</f>
        <v>0.20645884137478598</v>
      </c>
      <c r="BX431" s="338">
        <f>Modelling[[#This Row],[Target E_Grid YTD
MWh]]/Modelling[[#This Row],[YTD DC Capcity]]/(24*CH431)</f>
        <v>0.20959958312777485</v>
      </c>
      <c r="BY431" s="4">
        <f>Modelling_old[[#This Row],[DC Capcity]]+Modelling_new[[#This Row],[Comisined DC ]]</f>
        <v>24.303100000000001</v>
      </c>
      <c r="BZ431" s="4">
        <v>0</v>
      </c>
      <c r="CA431">
        <f>AVERAGEIFS(Modelling[[Comisined DC ]],Modelling[Date],"&lt;="&amp;Modelling[[#This Row],[Date]],Modelling[Month Year],Modelling[[#This Row],[Month Year]])</f>
        <v>24.30309999999999</v>
      </c>
      <c r="CB431">
        <f>AVERAGEIFS(Modelling[[Comisined DC ]],Modelling[Date],"&lt;="&amp;Modelling[[#This Row],[Date]],Modelling[Finacial Year],Modelling[[#This Row],[Finacial Year]])</f>
        <v>24.30309999999999</v>
      </c>
      <c r="CG431">
        <f t="shared" si="160"/>
        <v>18</v>
      </c>
      <c r="CH431">
        <f t="shared" si="161"/>
        <v>48</v>
      </c>
    </row>
    <row r="432" spans="1:86" x14ac:dyDescent="0.35">
      <c r="A432" s="27">
        <f t="shared" si="139"/>
        <v>45431</v>
      </c>
      <c r="B432" s="5">
        <f>MONTH(Modelling_old[[#This Row],[Date]])</f>
        <v>5</v>
      </c>
      <c r="C432" s="25">
        <f t="shared" si="140"/>
        <v>2025</v>
      </c>
      <c r="D432" s="3">
        <f t="shared" si="141"/>
        <v>2024</v>
      </c>
      <c r="E432" s="3" t="s">
        <v>627</v>
      </c>
      <c r="F432" s="3" t="s">
        <v>627</v>
      </c>
      <c r="G432" s="102">
        <f>DATE(Modelling_old[[#This Row],[Calendor Year]],Modelling_old[[#This Row],[Start Month]],1)</f>
        <v>45413</v>
      </c>
      <c r="H432" s="5">
        <f t="shared" si="142"/>
        <v>31</v>
      </c>
      <c r="I432" s="5">
        <f t="shared" si="143"/>
        <v>5</v>
      </c>
      <c r="J432" s="4">
        <f>_xlfn.XLOOKUP(Modelling_old[[#This Row],[Month]],$C$1:$C$14,$N$1:$N$14)/Modelling_old[[#This Row],[Total Days]]</f>
        <v>50.761290322580649</v>
      </c>
      <c r="K432" s="4">
        <f>SUM($J$414:J432)</f>
        <v>964.46451612903218</v>
      </c>
      <c r="L432" s="4">
        <f>SUM($J$384:J432)</f>
        <v>2493.5645161290345</v>
      </c>
      <c r="M432" s="4">
        <f t="shared" si="144"/>
        <v>6.5290322580645164</v>
      </c>
      <c r="N432" s="4">
        <f>SUM($M$414:M432)</f>
        <v>124.05161290322583</v>
      </c>
      <c r="O432" s="4">
        <f>SUM($M$384:M432)</f>
        <v>322.75161290322558</v>
      </c>
      <c r="P432" s="323">
        <f t="shared" si="145"/>
        <v>0.67587898543107972</v>
      </c>
      <c r="Q432" s="337">
        <f t="shared" si="146"/>
        <v>0.6758789854310796</v>
      </c>
      <c r="R432" s="337">
        <f t="shared" si="147"/>
        <v>0.67164114401516462</v>
      </c>
      <c r="S432" s="323">
        <f t="shared" si="148"/>
        <v>0.18386815410114321</v>
      </c>
      <c r="T432" s="9">
        <f>Modelling_old[[#This Row],[Target E_Grid MTD
MWh]]/Modelling_old[[#This Row],[DC Capcity]]/(24*CG432)</f>
        <v>0.18386815410114318</v>
      </c>
      <c r="U432" s="338">
        <f>Modelling_old[[#This Row],[Target E_Grid YTD
MWh]]/Modelling_old[[#This Row],[DC Capcity]]/(24*CH432)</f>
        <v>0.18433100554682141</v>
      </c>
      <c r="V432" s="134">
        <v>11.5031</v>
      </c>
      <c r="Y432" s="27">
        <f t="shared" si="162"/>
        <v>45431</v>
      </c>
      <c r="Z432" s="5">
        <f>MONTH(Modelling_new[[#This Row],[Date]])</f>
        <v>5</v>
      </c>
      <c r="AA432" s="25">
        <f>YEAR(Y432)+IF(MONTH(Modelling_new[[#This Row],[Date]])&gt;=4,1,0)</f>
        <v>2025</v>
      </c>
      <c r="AB432" s="3">
        <f t="shared" si="149"/>
        <v>2024</v>
      </c>
      <c r="AC432" s="3" t="s">
        <v>627</v>
      </c>
      <c r="AD432" s="3" t="s">
        <v>627</v>
      </c>
      <c r="AE432" s="102">
        <f>DATE(Modelling_old[[#This Row],[Calendor Year]],Modelling_old[[#This Row],[Start Month]],1)</f>
        <v>45413</v>
      </c>
      <c r="AF432" s="5">
        <f t="shared" si="150"/>
        <v>31</v>
      </c>
      <c r="AG432" s="5">
        <f t="shared" si="151"/>
        <v>5</v>
      </c>
      <c r="AH432" s="4">
        <f>_xlfn.XLOOKUP(Modelling_new[[#This Row],[Month]],$AA$1:$AA$14,$AL$1:$AL$14)/Modelling_new[[#This Row],[Total Days]]</f>
        <v>69.660866504992768</v>
      </c>
      <c r="AI432" s="4">
        <f>SUM($AH$414:AH432)</f>
        <v>1323.5564635948626</v>
      </c>
      <c r="AJ432" s="4">
        <f>SUM($AH$384:AH432)</f>
        <v>3495.0530529754801</v>
      </c>
      <c r="AK432" s="4">
        <f t="shared" si="152"/>
        <v>6.5290322580645164</v>
      </c>
      <c r="AL432" s="4">
        <f>SUM($AK$414:AK432)</f>
        <v>124.05161290322583</v>
      </c>
      <c r="AM432" s="4">
        <f>SUM($AK$384:AK432)</f>
        <v>322.75161290322558</v>
      </c>
      <c r="AN432" s="323">
        <f t="shared" si="153"/>
        <v>0.92752401442995447</v>
      </c>
      <c r="AO432" s="323">
        <f t="shared" si="154"/>
        <v>0.92752401442995425</v>
      </c>
      <c r="AP432" s="323">
        <f t="shared" si="155"/>
        <v>0.94139189730620676</v>
      </c>
      <c r="AQ432" s="323">
        <f t="shared" si="156"/>
        <v>0.25232642543094463</v>
      </c>
      <c r="AR432" s="323">
        <f>Modelling_new[[#This Row],[Target E_Grid MTD
MWh]]/Modelling_new[[#This Row],[MTD DC Capcity]]/(24*CG432)</f>
        <v>0.22676063315427325</v>
      </c>
      <c r="AS432" s="323">
        <f>Modelling_new[[#This Row],[Target E_Grid YTD
MWh]]/Modelling_new[[#This Row],[YTD DC Capcity]]/(24*CH432)</f>
        <v>0.23218624129567131</v>
      </c>
      <c r="AT432" s="5">
        <v>12.8</v>
      </c>
      <c r="AU432" s="9">
        <f>Modelling_new[[#This Row],[Comisined DC ]]/$AO$1</f>
        <v>1</v>
      </c>
      <c r="AV43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32" s="5">
        <f>AVERAGEIFS(Modelling_new[[Comisined DC ]],Modelling_new[Date],"&lt;="&amp;Modelling_new[[#This Row],[Date]],Modelling_new[[Comisined DC ]],"&gt;"&amp;0,Modelling_new[Finacial Year],Modelling_new[[#This Row],[Finacial Year]])</f>
        <v>12.799999999999997</v>
      </c>
      <c r="BD432" s="27">
        <f t="shared" si="163"/>
        <v>45431</v>
      </c>
      <c r="BE432" s="5">
        <f>MONTH(Modelling[[#This Row],[Date]])</f>
        <v>5</v>
      </c>
      <c r="BF432" s="25">
        <f>YEAR(BD432)+IF(MONTH(Modelling[[#This Row],[Date]])&gt;=4,1,0)</f>
        <v>2025</v>
      </c>
      <c r="BG432" s="3">
        <f t="shared" si="157"/>
        <v>2024</v>
      </c>
      <c r="BH432" s="3" t="s">
        <v>627</v>
      </c>
      <c r="BI432" s="3" t="s">
        <v>627</v>
      </c>
      <c r="BJ432" s="102">
        <f>DATE(Modelling_old[[#This Row],[Calendor Year]],Modelling_old[[#This Row],[Start Month]],1)</f>
        <v>45413</v>
      </c>
      <c r="BK432" s="5">
        <f t="shared" si="158"/>
        <v>31</v>
      </c>
      <c r="BL432" s="5">
        <f t="shared" si="159"/>
        <v>5</v>
      </c>
      <c r="BM432" s="4">
        <f>Modelling_old[[#This Row],[Target E_Grid daily
MWh]]+Modelling_new[[#This Row],[Target E_Grid daily
MWh]]</f>
        <v>120.42215682757342</v>
      </c>
      <c r="BN432" s="4">
        <f>Modelling_old[[#This Row],[Target E_Grid MTD
MWh]]+Modelling_new[[#This Row],[Target E_Grid MTD
MWh]]</f>
        <v>2288.0209797238949</v>
      </c>
      <c r="BO432" s="4">
        <f>Modelling_old[[#This Row],[Target E_Grid YTD
MWh]]+Modelling_new[[#This Row],[Target E_Grid YTD
MWh]]</f>
        <v>5988.6175691045146</v>
      </c>
      <c r="BP432" s="4">
        <f>AVERAGE(Modelling_old[[#This Row],[Target POA Daily (KWh/m2)]],Modelling_new[[#This Row],[Target POA Daily (KWh/m2)]])</f>
        <v>6.5290322580645164</v>
      </c>
      <c r="BQ432" s="4">
        <f>SUM($BP$414:BP432)</f>
        <v>124.05161290322583</v>
      </c>
      <c r="BR432" s="4">
        <f>SUM($BP$384:BP432)</f>
        <v>322.75161290322558</v>
      </c>
      <c r="BS432" s="323">
        <f>BM432/Modelling[[#This Row],[Comisined DC ]]/BP432</f>
        <v>0.75891985169387688</v>
      </c>
      <c r="BT432" s="337">
        <f>BN432/BQ432/Modelling[[#This Row],[Comisined DC ]]</f>
        <v>0.75891985169387688</v>
      </c>
      <c r="BU432" s="337">
        <f>BO432/BR432/Modelling[[#This Row],[Comisined DC ]]</f>
        <v>0.76347792576353912</v>
      </c>
      <c r="BV432" s="323">
        <f>BM432/(24*Modelling[[#This Row],[Comisined DC ]])</f>
        <v>0.2064588413747859</v>
      </c>
      <c r="BW432" s="323">
        <f>Modelling[[#This Row],[Target E_Grid MTD
MWh]]/Modelling[[#This Row],[MTD DC Capcity]]/(24*CG432)</f>
        <v>0.20645884137478598</v>
      </c>
      <c r="BX432" s="338">
        <f>Modelling[[#This Row],[Target E_Grid YTD
MWh]]/Modelling[[#This Row],[YTD DC Capcity]]/(24*CH432)</f>
        <v>0.20953548635730565</v>
      </c>
      <c r="BY432" s="4">
        <f>Modelling_old[[#This Row],[DC Capcity]]+Modelling_new[[#This Row],[Comisined DC ]]</f>
        <v>24.303100000000001</v>
      </c>
      <c r="BZ432" s="4">
        <v>0</v>
      </c>
      <c r="CA432">
        <f>AVERAGEIFS(Modelling[[Comisined DC ]],Modelling[Date],"&lt;="&amp;Modelling[[#This Row],[Date]],Modelling[Month Year],Modelling[[#This Row],[Month Year]])</f>
        <v>24.30309999999999</v>
      </c>
      <c r="CB432">
        <f>AVERAGEIFS(Modelling[[Comisined DC ]],Modelling[Date],"&lt;="&amp;Modelling[[#This Row],[Date]],Modelling[Finacial Year],Modelling[[#This Row],[Finacial Year]])</f>
        <v>24.303099999999993</v>
      </c>
      <c r="CG432">
        <f t="shared" si="160"/>
        <v>19</v>
      </c>
      <c r="CH432">
        <f t="shared" si="161"/>
        <v>49</v>
      </c>
    </row>
    <row r="433" spans="1:86" x14ac:dyDescent="0.35">
      <c r="A433" s="27">
        <f t="shared" si="139"/>
        <v>45432</v>
      </c>
      <c r="B433" s="5">
        <f>MONTH(Modelling_old[[#This Row],[Date]])</f>
        <v>5</v>
      </c>
      <c r="C433" s="25">
        <f t="shared" si="140"/>
        <v>2025</v>
      </c>
      <c r="D433" s="3">
        <f t="shared" si="141"/>
        <v>2024</v>
      </c>
      <c r="E433" s="3" t="s">
        <v>627</v>
      </c>
      <c r="F433" s="3" t="s">
        <v>627</v>
      </c>
      <c r="G433" s="102">
        <f>DATE(Modelling_old[[#This Row],[Calendor Year]],Modelling_old[[#This Row],[Start Month]],1)</f>
        <v>45413</v>
      </c>
      <c r="H433" s="5">
        <f t="shared" si="142"/>
        <v>31</v>
      </c>
      <c r="I433" s="5">
        <f t="shared" si="143"/>
        <v>5</v>
      </c>
      <c r="J433" s="4">
        <f>_xlfn.XLOOKUP(Modelling_old[[#This Row],[Month]],$C$1:$C$14,$N$1:$N$14)/Modelling_old[[#This Row],[Total Days]]</f>
        <v>50.761290322580649</v>
      </c>
      <c r="K433" s="4">
        <f>SUM($J$414:J433)</f>
        <v>1015.2258064516128</v>
      </c>
      <c r="L433" s="4">
        <f>SUM($J$384:J433)</f>
        <v>2544.3258064516153</v>
      </c>
      <c r="M433" s="4">
        <f t="shared" si="144"/>
        <v>6.5290322580645164</v>
      </c>
      <c r="N433" s="4">
        <f>SUM($M$414:M433)</f>
        <v>130.58064516129033</v>
      </c>
      <c r="O433" s="4">
        <f>SUM($M$384:M433)</f>
        <v>329.28064516129007</v>
      </c>
      <c r="P433" s="323">
        <f t="shared" si="145"/>
        <v>0.67587898543107972</v>
      </c>
      <c r="Q433" s="337">
        <f t="shared" si="146"/>
        <v>0.6758789854310796</v>
      </c>
      <c r="R433" s="337">
        <f t="shared" si="147"/>
        <v>0.67172517265066356</v>
      </c>
      <c r="S433" s="323">
        <f t="shared" si="148"/>
        <v>0.18386815410114321</v>
      </c>
      <c r="T433" s="9">
        <f>Modelling_old[[#This Row],[Target E_Grid MTD
MWh]]/Modelling_old[[#This Row],[DC Capcity]]/(24*CG433)</f>
        <v>0.18386815410114318</v>
      </c>
      <c r="U433" s="338">
        <f>Modelling_old[[#This Row],[Target E_Grid YTD
MWh]]/Modelling_old[[#This Row],[DC Capcity]]/(24*CH433)</f>
        <v>0.18432174851790789</v>
      </c>
      <c r="V433" s="134">
        <v>11.5031</v>
      </c>
      <c r="Y433" s="27">
        <f t="shared" si="162"/>
        <v>45432</v>
      </c>
      <c r="Z433" s="5">
        <f>MONTH(Modelling_new[[#This Row],[Date]])</f>
        <v>5</v>
      </c>
      <c r="AA433" s="25">
        <f>YEAR(Y433)+IF(MONTH(Modelling_new[[#This Row],[Date]])&gt;=4,1,0)</f>
        <v>2025</v>
      </c>
      <c r="AB433" s="3">
        <f t="shared" si="149"/>
        <v>2024</v>
      </c>
      <c r="AC433" s="3" t="s">
        <v>627</v>
      </c>
      <c r="AD433" s="3" t="s">
        <v>627</v>
      </c>
      <c r="AE433" s="102">
        <f>DATE(Modelling_old[[#This Row],[Calendor Year]],Modelling_old[[#This Row],[Start Month]],1)</f>
        <v>45413</v>
      </c>
      <c r="AF433" s="5">
        <f t="shared" si="150"/>
        <v>31</v>
      </c>
      <c r="AG433" s="5">
        <f t="shared" si="151"/>
        <v>5</v>
      </c>
      <c r="AH433" s="4">
        <f>_xlfn.XLOOKUP(Modelling_new[[#This Row],[Month]],$AA$1:$AA$14,$AL$1:$AL$14)/Modelling_new[[#This Row],[Total Days]]</f>
        <v>69.660866504992768</v>
      </c>
      <c r="AI433" s="4">
        <f>SUM($AH$414:AH433)</f>
        <v>1393.2173300998554</v>
      </c>
      <c r="AJ433" s="4">
        <f>SUM($AH$384:AH433)</f>
        <v>3564.7139194804727</v>
      </c>
      <c r="AK433" s="4">
        <f t="shared" si="152"/>
        <v>6.5290322580645164</v>
      </c>
      <c r="AL433" s="4">
        <f>SUM($AK$414:AK433)</f>
        <v>130.58064516129033</v>
      </c>
      <c r="AM433" s="4">
        <f>SUM($AK$384:AK433)</f>
        <v>329.28064516129007</v>
      </c>
      <c r="AN433" s="323">
        <f t="shared" si="153"/>
        <v>0.92752401442995447</v>
      </c>
      <c r="AO433" s="323">
        <f t="shared" si="154"/>
        <v>0.92752401442995425</v>
      </c>
      <c r="AP433" s="323">
        <f t="shared" si="155"/>
        <v>0.94111692258181701</v>
      </c>
      <c r="AQ433" s="323">
        <f t="shared" si="156"/>
        <v>0.25232642543094463</v>
      </c>
      <c r="AR433" s="323">
        <f>Modelling_new[[#This Row],[Target E_Grid MTD
MWh]]/Modelling_new[[#This Row],[MTD DC Capcity]]/(24*CG433)</f>
        <v>0.22676063315427328</v>
      </c>
      <c r="AS433" s="323">
        <f>Modelling_new[[#This Row],[Target E_Grid YTD
MWh]]/Modelling_new[[#This Row],[YTD DC Capcity]]/(24*CH433)</f>
        <v>0.23207772913284336</v>
      </c>
      <c r="AT433" s="5">
        <v>12.8</v>
      </c>
      <c r="AU433" s="9">
        <f>Modelling_new[[#This Row],[Comisined DC ]]/$AO$1</f>
        <v>1</v>
      </c>
      <c r="AV433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33" s="5">
        <f>AVERAGEIFS(Modelling_new[[Comisined DC ]],Modelling_new[Date],"&lt;="&amp;Modelling_new[[#This Row],[Date]],Modelling_new[[Comisined DC ]],"&gt;"&amp;0,Modelling_new[Finacial Year],Modelling_new[[#This Row],[Finacial Year]])</f>
        <v>12.799999999999995</v>
      </c>
      <c r="BD433" s="27">
        <f t="shared" si="163"/>
        <v>45432</v>
      </c>
      <c r="BE433" s="5">
        <f>MONTH(Modelling[[#This Row],[Date]])</f>
        <v>5</v>
      </c>
      <c r="BF433" s="25">
        <f>YEAR(BD433)+IF(MONTH(Modelling[[#This Row],[Date]])&gt;=4,1,0)</f>
        <v>2025</v>
      </c>
      <c r="BG433" s="3">
        <f t="shared" si="157"/>
        <v>2024</v>
      </c>
      <c r="BH433" s="3" t="s">
        <v>627</v>
      </c>
      <c r="BI433" s="3" t="s">
        <v>627</v>
      </c>
      <c r="BJ433" s="102">
        <f>DATE(Modelling_old[[#This Row],[Calendor Year]],Modelling_old[[#This Row],[Start Month]],1)</f>
        <v>45413</v>
      </c>
      <c r="BK433" s="5">
        <f t="shared" si="158"/>
        <v>31</v>
      </c>
      <c r="BL433" s="5">
        <f t="shared" si="159"/>
        <v>5</v>
      </c>
      <c r="BM433" s="4">
        <f>Modelling_old[[#This Row],[Target E_Grid daily
MWh]]+Modelling_new[[#This Row],[Target E_Grid daily
MWh]]</f>
        <v>120.42215682757342</v>
      </c>
      <c r="BN433" s="4">
        <f>Modelling_old[[#This Row],[Target E_Grid MTD
MWh]]+Modelling_new[[#This Row],[Target E_Grid MTD
MWh]]</f>
        <v>2408.4431365514683</v>
      </c>
      <c r="BO433" s="4">
        <f>Modelling_old[[#This Row],[Target E_Grid YTD
MWh]]+Modelling_new[[#This Row],[Target E_Grid YTD
MWh]]</f>
        <v>6109.039725932088</v>
      </c>
      <c r="BP433" s="4">
        <f>AVERAGE(Modelling_old[[#This Row],[Target POA Daily (KWh/m2)]],Modelling_new[[#This Row],[Target POA Daily (KWh/m2)]])</f>
        <v>6.5290322580645164</v>
      </c>
      <c r="BQ433" s="4">
        <f>SUM($BP$414:BP433)</f>
        <v>130.58064516129033</v>
      </c>
      <c r="BR433" s="4">
        <f>SUM($BP$384:BP433)</f>
        <v>329.28064516129007</v>
      </c>
      <c r="BS433" s="323">
        <f>BM433/Modelling[[#This Row],[Comisined DC ]]/BP433</f>
        <v>0.75891985169387688</v>
      </c>
      <c r="BT433" s="337">
        <f>BN433/BQ433/Modelling[[#This Row],[Comisined DC ]]</f>
        <v>0.75891985169387688</v>
      </c>
      <c r="BU433" s="337">
        <f>BO433/BR433/Modelling[[#This Row],[Comisined DC ]]</f>
        <v>0.76338754750088456</v>
      </c>
      <c r="BV433" s="323">
        <f>BM433/(24*Modelling[[#This Row],[Comisined DC ]])</f>
        <v>0.2064588413747859</v>
      </c>
      <c r="BW433" s="323">
        <f>Modelling[[#This Row],[Target E_Grid MTD
MWh]]/Modelling[[#This Row],[MTD DC Capcity]]/(24*CG433)</f>
        <v>0.20645884137478598</v>
      </c>
      <c r="BX433" s="338">
        <f>Modelling[[#This Row],[Target E_Grid YTD
MWh]]/Modelling[[#This Row],[YTD DC Capcity]]/(24*CH433)</f>
        <v>0.20947395345765527</v>
      </c>
      <c r="BY433" s="4">
        <f>Modelling_old[[#This Row],[DC Capcity]]+Modelling_new[[#This Row],[Comisined DC ]]</f>
        <v>24.303100000000001</v>
      </c>
      <c r="BZ433" s="4">
        <v>0</v>
      </c>
      <c r="CA433">
        <f>AVERAGEIFS(Modelling[[Comisined DC ]],Modelling[Date],"&lt;="&amp;Modelling[[#This Row],[Date]],Modelling[Month Year],Modelling[[#This Row],[Month Year]])</f>
        <v>24.30309999999999</v>
      </c>
      <c r="CB433">
        <f>AVERAGEIFS(Modelling[[Comisined DC ]],Modelling[Date],"&lt;="&amp;Modelling[[#This Row],[Date]],Modelling[Finacial Year],Modelling[[#This Row],[Finacial Year]])</f>
        <v>24.303099999999993</v>
      </c>
      <c r="CG433">
        <f t="shared" si="160"/>
        <v>20</v>
      </c>
      <c r="CH433">
        <f t="shared" si="161"/>
        <v>50</v>
      </c>
    </row>
    <row r="434" spans="1:86" x14ac:dyDescent="0.35">
      <c r="A434" s="27">
        <f t="shared" si="139"/>
        <v>45433</v>
      </c>
      <c r="B434" s="5">
        <f>MONTH(Modelling_old[[#This Row],[Date]])</f>
        <v>5</v>
      </c>
      <c r="C434" s="25">
        <f t="shared" si="140"/>
        <v>2025</v>
      </c>
      <c r="D434" s="3">
        <f t="shared" si="141"/>
        <v>2024</v>
      </c>
      <c r="E434" s="3" t="s">
        <v>627</v>
      </c>
      <c r="F434" s="3" t="s">
        <v>627</v>
      </c>
      <c r="G434" s="102">
        <f>DATE(Modelling_old[[#This Row],[Calendor Year]],Modelling_old[[#This Row],[Start Month]],1)</f>
        <v>45413</v>
      </c>
      <c r="H434" s="5">
        <f t="shared" si="142"/>
        <v>31</v>
      </c>
      <c r="I434" s="5">
        <f t="shared" si="143"/>
        <v>5</v>
      </c>
      <c r="J434" s="4">
        <f>_xlfn.XLOOKUP(Modelling_old[[#This Row],[Month]],$C$1:$C$14,$N$1:$N$14)/Modelling_old[[#This Row],[Total Days]]</f>
        <v>50.761290322580649</v>
      </c>
      <c r="K434" s="4">
        <f>SUM($J$414:J434)</f>
        <v>1065.9870967741936</v>
      </c>
      <c r="L434" s="4">
        <f>SUM($J$384:J434)</f>
        <v>2595.0870967741962</v>
      </c>
      <c r="M434" s="4">
        <f t="shared" si="144"/>
        <v>6.5290322580645164</v>
      </c>
      <c r="N434" s="4">
        <f>SUM($M$414:M434)</f>
        <v>137.10967741935485</v>
      </c>
      <c r="O434" s="4">
        <f>SUM($M$384:M434)</f>
        <v>335.80967741935456</v>
      </c>
      <c r="P434" s="323">
        <f t="shared" si="145"/>
        <v>0.67587898543107972</v>
      </c>
      <c r="Q434" s="337">
        <f t="shared" si="146"/>
        <v>0.6758789854310796</v>
      </c>
      <c r="R434" s="337">
        <f t="shared" si="147"/>
        <v>0.67180593380634479</v>
      </c>
      <c r="S434" s="323">
        <f t="shared" si="148"/>
        <v>0.18386815410114321</v>
      </c>
      <c r="T434" s="9">
        <f>Modelling_old[[#This Row],[Target E_Grid MTD
MWh]]/Modelling_old[[#This Row],[DC Capcity]]/(24*CG434)</f>
        <v>0.18386815410114318</v>
      </c>
      <c r="U434" s="338">
        <f>Modelling_old[[#This Row],[Target E_Grid YTD
MWh]]/Modelling_old[[#This Row],[DC Capcity]]/(24*CH434)</f>
        <v>0.18431285450973603</v>
      </c>
      <c r="V434" s="134">
        <v>11.5031</v>
      </c>
      <c r="Y434" s="27">
        <f t="shared" si="162"/>
        <v>45433</v>
      </c>
      <c r="Z434" s="5">
        <f>MONTH(Modelling_new[[#This Row],[Date]])</f>
        <v>5</v>
      </c>
      <c r="AA434" s="25">
        <f>YEAR(Y434)+IF(MONTH(Modelling_new[[#This Row],[Date]])&gt;=4,1,0)</f>
        <v>2025</v>
      </c>
      <c r="AB434" s="3">
        <f t="shared" si="149"/>
        <v>2024</v>
      </c>
      <c r="AC434" s="3" t="s">
        <v>627</v>
      </c>
      <c r="AD434" s="3" t="s">
        <v>627</v>
      </c>
      <c r="AE434" s="102">
        <f>DATE(Modelling_old[[#This Row],[Calendor Year]],Modelling_old[[#This Row],[Start Month]],1)</f>
        <v>45413</v>
      </c>
      <c r="AF434" s="5">
        <f t="shared" si="150"/>
        <v>31</v>
      </c>
      <c r="AG434" s="5">
        <f t="shared" si="151"/>
        <v>5</v>
      </c>
      <c r="AH434" s="4">
        <f>_xlfn.XLOOKUP(Modelling_new[[#This Row],[Month]],$AA$1:$AA$14,$AL$1:$AL$14)/Modelling_new[[#This Row],[Total Days]]</f>
        <v>69.660866504992768</v>
      </c>
      <c r="AI434" s="4">
        <f>SUM($AH$414:AH434)</f>
        <v>1462.8781966048482</v>
      </c>
      <c r="AJ434" s="4">
        <f>SUM($AH$384:AH434)</f>
        <v>3634.3747859854652</v>
      </c>
      <c r="AK434" s="4">
        <f t="shared" si="152"/>
        <v>6.5290322580645164</v>
      </c>
      <c r="AL434" s="4">
        <f>SUM($AK$414:AK434)</f>
        <v>137.10967741935485</v>
      </c>
      <c r="AM434" s="4">
        <f>SUM($AK$384:AK434)</f>
        <v>335.80967741935456</v>
      </c>
      <c r="AN434" s="323">
        <f t="shared" si="153"/>
        <v>0.92752401442995447</v>
      </c>
      <c r="AO434" s="323">
        <f t="shared" si="154"/>
        <v>0.92752401442995425</v>
      </c>
      <c r="AP434" s="323">
        <f t="shared" si="155"/>
        <v>0.94085264033573512</v>
      </c>
      <c r="AQ434" s="323">
        <f t="shared" si="156"/>
        <v>0.25232642543094463</v>
      </c>
      <c r="AR434" s="323">
        <f>Modelling_new[[#This Row],[Target E_Grid MTD
MWh]]/Modelling_new[[#This Row],[MTD DC Capcity]]/(24*CG434)</f>
        <v>0.22676063315427328</v>
      </c>
      <c r="AS434" s="323">
        <f>Modelling_new[[#This Row],[Target E_Grid YTD
MWh]]/Modelling_new[[#This Row],[YTD DC Capcity]]/(24*CH434)</f>
        <v>0.23197347234894983</v>
      </c>
      <c r="AT434" s="5">
        <v>12.8</v>
      </c>
      <c r="AU434" s="9">
        <f>Modelling_new[[#This Row],[Comisined DC ]]/$AO$1</f>
        <v>1</v>
      </c>
      <c r="AV434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34" s="5">
        <f>AVERAGEIFS(Modelling_new[[Comisined DC ]],Modelling_new[Date],"&lt;="&amp;Modelling_new[[#This Row],[Date]],Modelling_new[[Comisined DC ]],"&gt;"&amp;0,Modelling_new[Finacial Year],Modelling_new[[#This Row],[Finacial Year]])</f>
        <v>12.799999999999995</v>
      </c>
      <c r="BD434" s="27">
        <f t="shared" si="163"/>
        <v>45433</v>
      </c>
      <c r="BE434" s="5">
        <f>MONTH(Modelling[[#This Row],[Date]])</f>
        <v>5</v>
      </c>
      <c r="BF434" s="25">
        <f>YEAR(BD434)+IF(MONTH(Modelling[[#This Row],[Date]])&gt;=4,1,0)</f>
        <v>2025</v>
      </c>
      <c r="BG434" s="3">
        <f t="shared" si="157"/>
        <v>2024</v>
      </c>
      <c r="BH434" s="3" t="s">
        <v>627</v>
      </c>
      <c r="BI434" s="3" t="s">
        <v>627</v>
      </c>
      <c r="BJ434" s="102">
        <f>DATE(Modelling_old[[#This Row],[Calendor Year]],Modelling_old[[#This Row],[Start Month]],1)</f>
        <v>45413</v>
      </c>
      <c r="BK434" s="5">
        <f t="shared" si="158"/>
        <v>31</v>
      </c>
      <c r="BL434" s="5">
        <f t="shared" si="159"/>
        <v>5</v>
      </c>
      <c r="BM434" s="4">
        <f>Modelling_old[[#This Row],[Target E_Grid daily
MWh]]+Modelling_new[[#This Row],[Target E_Grid daily
MWh]]</f>
        <v>120.42215682757342</v>
      </c>
      <c r="BN434" s="4">
        <f>Modelling_old[[#This Row],[Target E_Grid MTD
MWh]]+Modelling_new[[#This Row],[Target E_Grid MTD
MWh]]</f>
        <v>2528.8652933790418</v>
      </c>
      <c r="BO434" s="4">
        <f>Modelling_old[[#This Row],[Target E_Grid YTD
MWh]]+Modelling_new[[#This Row],[Target E_Grid YTD
MWh]]</f>
        <v>6229.4618827596614</v>
      </c>
      <c r="BP434" s="4">
        <f>AVERAGE(Modelling_old[[#This Row],[Target POA Daily (KWh/m2)]],Modelling_new[[#This Row],[Target POA Daily (KWh/m2)]])</f>
        <v>6.5290322580645164</v>
      </c>
      <c r="BQ434" s="4">
        <f>SUM($BP$414:BP434)</f>
        <v>137.10967741935485</v>
      </c>
      <c r="BR434" s="4">
        <f>SUM($BP$384:BP434)</f>
        <v>335.80967741935456</v>
      </c>
      <c r="BS434" s="323">
        <f>BM434/Modelling[[#This Row],[Comisined DC ]]/BP434</f>
        <v>0.75891985169387688</v>
      </c>
      <c r="BT434" s="337">
        <f>BN434/BQ434/Modelling[[#This Row],[Comisined DC ]]</f>
        <v>0.75891985169387688</v>
      </c>
      <c r="BU434" s="337">
        <f>BO434/BR434/Modelling[[#This Row],[Comisined DC ]]</f>
        <v>0.76330068362528902</v>
      </c>
      <c r="BV434" s="323">
        <f>BM434/(24*Modelling[[#This Row],[Comisined DC ]])</f>
        <v>0.2064588413747859</v>
      </c>
      <c r="BW434" s="323">
        <f>Modelling[[#This Row],[Target E_Grid MTD
MWh]]/Modelling[[#This Row],[MTD DC Capcity]]/(24*CG434)</f>
        <v>0.20645884137478598</v>
      </c>
      <c r="BX434" s="338">
        <f>Modelling[[#This Row],[Target E_Grid YTD
MWh]]/Modelling[[#This Row],[YTD DC Capcity]]/(24*CH434)</f>
        <v>0.20941483361289306</v>
      </c>
      <c r="BY434" s="4">
        <f>Modelling_old[[#This Row],[DC Capcity]]+Modelling_new[[#This Row],[Comisined DC ]]</f>
        <v>24.303100000000001</v>
      </c>
      <c r="BZ434" s="4">
        <v>0</v>
      </c>
      <c r="CA434">
        <f>AVERAGEIFS(Modelling[[Comisined DC ]],Modelling[Date],"&lt;="&amp;Modelling[[#This Row],[Date]],Modelling[Month Year],Modelling[[#This Row],[Month Year]])</f>
        <v>24.30309999999999</v>
      </c>
      <c r="CB434">
        <f>AVERAGEIFS(Modelling[[Comisined DC ]],Modelling[Date],"&lt;="&amp;Modelling[[#This Row],[Date]],Modelling[Finacial Year],Modelling[[#This Row],[Finacial Year]])</f>
        <v>24.303099999999997</v>
      </c>
      <c r="CG434">
        <f t="shared" si="160"/>
        <v>21</v>
      </c>
      <c r="CH434">
        <f t="shared" si="161"/>
        <v>51</v>
      </c>
    </row>
    <row r="435" spans="1:86" x14ac:dyDescent="0.35">
      <c r="A435" s="27">
        <f t="shared" si="139"/>
        <v>45434</v>
      </c>
      <c r="B435" s="5">
        <f>MONTH(Modelling_old[[#This Row],[Date]])</f>
        <v>5</v>
      </c>
      <c r="C435" s="25">
        <f t="shared" si="140"/>
        <v>2025</v>
      </c>
      <c r="D435" s="3">
        <f t="shared" si="141"/>
        <v>2024</v>
      </c>
      <c r="E435" s="3" t="s">
        <v>627</v>
      </c>
      <c r="F435" s="3" t="s">
        <v>627</v>
      </c>
      <c r="G435" s="102">
        <f>DATE(Modelling_old[[#This Row],[Calendor Year]],Modelling_old[[#This Row],[Start Month]],1)</f>
        <v>45413</v>
      </c>
      <c r="H435" s="5">
        <f t="shared" si="142"/>
        <v>31</v>
      </c>
      <c r="I435" s="5">
        <f t="shared" si="143"/>
        <v>5</v>
      </c>
      <c r="J435" s="4">
        <f>_xlfn.XLOOKUP(Modelling_old[[#This Row],[Month]],$C$1:$C$14,$N$1:$N$14)/Modelling_old[[#This Row],[Total Days]]</f>
        <v>50.761290322580649</v>
      </c>
      <c r="K435" s="4">
        <f>SUM($J$414:J435)</f>
        <v>1116.7483870967742</v>
      </c>
      <c r="L435" s="4">
        <f>SUM($J$384:J435)</f>
        <v>2645.8483870967771</v>
      </c>
      <c r="M435" s="4">
        <f t="shared" si="144"/>
        <v>6.5290322580645164</v>
      </c>
      <c r="N435" s="4">
        <f>SUM($M$414:M435)</f>
        <v>143.63870967741937</v>
      </c>
      <c r="O435" s="4">
        <f>SUM($M$384:M435)</f>
        <v>342.33870967741905</v>
      </c>
      <c r="P435" s="323">
        <f t="shared" si="145"/>
        <v>0.67587898543107972</v>
      </c>
      <c r="Q435" s="337">
        <f t="shared" si="146"/>
        <v>0.6758789854310796</v>
      </c>
      <c r="R435" s="337">
        <f t="shared" si="147"/>
        <v>0.67188361443285582</v>
      </c>
      <c r="S435" s="323">
        <f t="shared" si="148"/>
        <v>0.18386815410114321</v>
      </c>
      <c r="T435" s="9">
        <f>Modelling_old[[#This Row],[Target E_Grid MTD
MWh]]/Modelling_old[[#This Row],[DC Capcity]]/(24*CG435)</f>
        <v>0.18386815410114321</v>
      </c>
      <c r="U435" s="338">
        <f>Modelling_old[[#This Row],[Target E_Grid YTD
MWh]]/Modelling_old[[#This Row],[DC Capcity]]/(24*CH435)</f>
        <v>0.18430430257880159</v>
      </c>
      <c r="V435" s="134">
        <v>11.5031</v>
      </c>
      <c r="Y435" s="27">
        <f t="shared" si="162"/>
        <v>45434</v>
      </c>
      <c r="Z435" s="5">
        <f>MONTH(Modelling_new[[#This Row],[Date]])</f>
        <v>5</v>
      </c>
      <c r="AA435" s="25">
        <f>YEAR(Y435)+IF(MONTH(Modelling_new[[#This Row],[Date]])&gt;=4,1,0)</f>
        <v>2025</v>
      </c>
      <c r="AB435" s="3">
        <f t="shared" si="149"/>
        <v>2024</v>
      </c>
      <c r="AC435" s="3" t="s">
        <v>627</v>
      </c>
      <c r="AD435" s="3" t="s">
        <v>627</v>
      </c>
      <c r="AE435" s="102">
        <f>DATE(Modelling_old[[#This Row],[Calendor Year]],Modelling_old[[#This Row],[Start Month]],1)</f>
        <v>45413</v>
      </c>
      <c r="AF435" s="5">
        <f t="shared" si="150"/>
        <v>31</v>
      </c>
      <c r="AG435" s="5">
        <f t="shared" si="151"/>
        <v>5</v>
      </c>
      <c r="AH435" s="4">
        <f>_xlfn.XLOOKUP(Modelling_new[[#This Row],[Month]],$AA$1:$AA$14,$AL$1:$AL$14)/Modelling_new[[#This Row],[Total Days]]</f>
        <v>69.660866504992768</v>
      </c>
      <c r="AI435" s="4">
        <f>SUM($AH$414:AH435)</f>
        <v>1532.539063109841</v>
      </c>
      <c r="AJ435" s="4">
        <f>SUM($AH$384:AH435)</f>
        <v>3704.0356524904578</v>
      </c>
      <c r="AK435" s="4">
        <f t="shared" si="152"/>
        <v>6.5290322580645164</v>
      </c>
      <c r="AL435" s="4">
        <f>SUM($AK$414:AK435)</f>
        <v>143.63870967741937</v>
      </c>
      <c r="AM435" s="4">
        <f>SUM($AK$384:AK435)</f>
        <v>342.33870967741905</v>
      </c>
      <c r="AN435" s="323">
        <f t="shared" si="153"/>
        <v>0.92752401442995447</v>
      </c>
      <c r="AO435" s="323">
        <f t="shared" si="154"/>
        <v>0.92752401442995425</v>
      </c>
      <c r="AP435" s="323">
        <f t="shared" si="155"/>
        <v>0.94059843879195848</v>
      </c>
      <c r="AQ435" s="323">
        <f t="shared" si="156"/>
        <v>0.25232642543094463</v>
      </c>
      <c r="AR435" s="323">
        <f>Modelling_new[[#This Row],[Target E_Grid MTD
MWh]]/Modelling_new[[#This Row],[MTD DC Capcity]]/(24*CG435)</f>
        <v>0.22676063315427325</v>
      </c>
      <c r="AS435" s="323">
        <f>Modelling_new[[#This Row],[Target E_Grid YTD
MWh]]/Modelling_new[[#This Row],[YTD DC Capcity]]/(24*CH435)</f>
        <v>0.23187322544135988</v>
      </c>
      <c r="AT435" s="5">
        <v>12.8</v>
      </c>
      <c r="AU435" s="9">
        <f>Modelling_new[[#This Row],[Comisined DC ]]/$AO$1</f>
        <v>1</v>
      </c>
      <c r="AV43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35" s="5">
        <f>AVERAGEIFS(Modelling_new[[Comisined DC ]],Modelling_new[Date],"&lt;="&amp;Modelling_new[[#This Row],[Date]],Modelling_new[[Comisined DC ]],"&gt;"&amp;0,Modelling_new[Finacial Year],Modelling_new[[#This Row],[Finacial Year]])</f>
        <v>12.799999999999994</v>
      </c>
      <c r="BD435" s="27">
        <f t="shared" si="163"/>
        <v>45434</v>
      </c>
      <c r="BE435" s="5">
        <f>MONTH(Modelling[[#This Row],[Date]])</f>
        <v>5</v>
      </c>
      <c r="BF435" s="25">
        <f>YEAR(BD435)+IF(MONTH(Modelling[[#This Row],[Date]])&gt;=4,1,0)</f>
        <v>2025</v>
      </c>
      <c r="BG435" s="3">
        <f t="shared" si="157"/>
        <v>2024</v>
      </c>
      <c r="BH435" s="3" t="s">
        <v>627</v>
      </c>
      <c r="BI435" s="3" t="s">
        <v>627</v>
      </c>
      <c r="BJ435" s="102">
        <f>DATE(Modelling_old[[#This Row],[Calendor Year]],Modelling_old[[#This Row],[Start Month]],1)</f>
        <v>45413</v>
      </c>
      <c r="BK435" s="5">
        <f t="shared" si="158"/>
        <v>31</v>
      </c>
      <c r="BL435" s="5">
        <f t="shared" si="159"/>
        <v>5</v>
      </c>
      <c r="BM435" s="4">
        <f>Modelling_old[[#This Row],[Target E_Grid daily
MWh]]+Modelling_new[[#This Row],[Target E_Grid daily
MWh]]</f>
        <v>120.42215682757342</v>
      </c>
      <c r="BN435" s="4">
        <f>Modelling_old[[#This Row],[Target E_Grid MTD
MWh]]+Modelling_new[[#This Row],[Target E_Grid MTD
MWh]]</f>
        <v>2649.2874502066152</v>
      </c>
      <c r="BO435" s="4">
        <f>Modelling_old[[#This Row],[Target E_Grid YTD
MWh]]+Modelling_new[[#This Row],[Target E_Grid YTD
MWh]]</f>
        <v>6349.8840395872348</v>
      </c>
      <c r="BP435" s="4">
        <f>AVERAGE(Modelling_old[[#This Row],[Target POA Daily (KWh/m2)]],Modelling_new[[#This Row],[Target POA Daily (KWh/m2)]])</f>
        <v>6.5290322580645164</v>
      </c>
      <c r="BQ435" s="4">
        <f>SUM($BP$414:BP435)</f>
        <v>143.63870967741937</v>
      </c>
      <c r="BR435" s="4">
        <f>SUM($BP$384:BP435)</f>
        <v>342.33870967741905</v>
      </c>
      <c r="BS435" s="323">
        <f>BM435/Modelling[[#This Row],[Comisined DC ]]/BP435</f>
        <v>0.75891985169387688</v>
      </c>
      <c r="BT435" s="337">
        <f>BN435/BQ435/Modelling[[#This Row],[Comisined DC ]]</f>
        <v>0.75891985169387688</v>
      </c>
      <c r="BU435" s="337">
        <f>BO435/BR435/Modelling[[#This Row],[Comisined DC ]]</f>
        <v>0.76321713305917194</v>
      </c>
      <c r="BV435" s="323">
        <f>BM435/(24*Modelling[[#This Row],[Comisined DC ]])</f>
        <v>0.2064588413747859</v>
      </c>
      <c r="BW435" s="323">
        <f>Modelling[[#This Row],[Target E_Grid MTD
MWh]]/Modelling[[#This Row],[MTD DC Capcity]]/(24*CG435)</f>
        <v>0.20645884137478601</v>
      </c>
      <c r="BX435" s="338">
        <f>Modelling[[#This Row],[Target E_Grid YTD
MWh]]/Modelling[[#This Row],[YTD DC Capcity]]/(24*CH435)</f>
        <v>0.20935798760831409</v>
      </c>
      <c r="BY435" s="4">
        <f>Modelling_old[[#This Row],[DC Capcity]]+Modelling_new[[#This Row],[Comisined DC ]]</f>
        <v>24.303100000000001</v>
      </c>
      <c r="BZ435" s="4">
        <v>0</v>
      </c>
      <c r="CA435">
        <f>AVERAGEIFS(Modelling[[Comisined DC ]],Modelling[Date],"&lt;="&amp;Modelling[[#This Row],[Date]],Modelling[Month Year],Modelling[[#This Row],[Month Year]])</f>
        <v>24.303099999999986</v>
      </c>
      <c r="CB435">
        <f>AVERAGEIFS(Modelling[[Comisined DC ]],Modelling[Date],"&lt;="&amp;Modelling[[#This Row],[Date]],Modelling[Finacial Year],Modelling[[#This Row],[Finacial Year]])</f>
        <v>24.303099999999997</v>
      </c>
      <c r="CG435">
        <f t="shared" si="160"/>
        <v>22</v>
      </c>
      <c r="CH435">
        <f t="shared" si="161"/>
        <v>52</v>
      </c>
    </row>
    <row r="436" spans="1:86" x14ac:dyDescent="0.35">
      <c r="A436" s="27">
        <f t="shared" si="139"/>
        <v>45435</v>
      </c>
      <c r="B436" s="5">
        <f>MONTH(Modelling_old[[#This Row],[Date]])</f>
        <v>5</v>
      </c>
      <c r="C436" s="25">
        <f t="shared" si="140"/>
        <v>2025</v>
      </c>
      <c r="D436" s="3">
        <f t="shared" si="141"/>
        <v>2024</v>
      </c>
      <c r="E436" s="3" t="s">
        <v>627</v>
      </c>
      <c r="F436" s="3" t="s">
        <v>627</v>
      </c>
      <c r="G436" s="102">
        <f>DATE(Modelling_old[[#This Row],[Calendor Year]],Modelling_old[[#This Row],[Start Month]],1)</f>
        <v>45413</v>
      </c>
      <c r="H436" s="5">
        <f t="shared" si="142"/>
        <v>31</v>
      </c>
      <c r="I436" s="5">
        <f t="shared" si="143"/>
        <v>5</v>
      </c>
      <c r="J436" s="4">
        <f>_xlfn.XLOOKUP(Modelling_old[[#This Row],[Month]],$C$1:$C$14,$N$1:$N$14)/Modelling_old[[#This Row],[Total Days]]</f>
        <v>50.761290322580649</v>
      </c>
      <c r="K436" s="4">
        <f>SUM($J$414:J436)</f>
        <v>1167.5096774193548</v>
      </c>
      <c r="L436" s="4">
        <f>SUM($J$384:J436)</f>
        <v>2696.6096774193579</v>
      </c>
      <c r="M436" s="4">
        <f t="shared" si="144"/>
        <v>6.5290322580645164</v>
      </c>
      <c r="N436" s="4">
        <f>SUM($M$414:M436)</f>
        <v>150.16774193548389</v>
      </c>
      <c r="O436" s="4">
        <f>SUM($M$384:M436)</f>
        <v>348.86774193548354</v>
      </c>
      <c r="P436" s="323">
        <f t="shared" si="145"/>
        <v>0.67587898543107972</v>
      </c>
      <c r="Q436" s="337">
        <f t="shared" si="146"/>
        <v>0.6758789854310796</v>
      </c>
      <c r="R436" s="337">
        <f t="shared" si="147"/>
        <v>0.67195838748577741</v>
      </c>
      <c r="S436" s="323">
        <f t="shared" si="148"/>
        <v>0.18386815410114321</v>
      </c>
      <c r="T436" s="9">
        <f>Modelling_old[[#This Row],[Target E_Grid MTD
MWh]]/Modelling_old[[#This Row],[DC Capcity]]/(24*CG436)</f>
        <v>0.18386815410114318</v>
      </c>
      <c r="U436" s="338">
        <f>Modelling_old[[#This Row],[Target E_Grid YTD
MWh]]/Modelling_old[[#This Row],[DC Capcity]]/(24*CH436)</f>
        <v>0.18429607336224199</v>
      </c>
      <c r="V436" s="134">
        <v>11.5031</v>
      </c>
      <c r="Y436" s="27">
        <f t="shared" si="162"/>
        <v>45435</v>
      </c>
      <c r="Z436" s="5">
        <f>MONTH(Modelling_new[[#This Row],[Date]])</f>
        <v>5</v>
      </c>
      <c r="AA436" s="25">
        <f>YEAR(Y436)+IF(MONTH(Modelling_new[[#This Row],[Date]])&gt;=4,1,0)</f>
        <v>2025</v>
      </c>
      <c r="AB436" s="3">
        <f t="shared" si="149"/>
        <v>2024</v>
      </c>
      <c r="AC436" s="3" t="s">
        <v>627</v>
      </c>
      <c r="AD436" s="3" t="s">
        <v>627</v>
      </c>
      <c r="AE436" s="102">
        <f>DATE(Modelling_old[[#This Row],[Calendor Year]],Modelling_old[[#This Row],[Start Month]],1)</f>
        <v>45413</v>
      </c>
      <c r="AF436" s="5">
        <f t="shared" si="150"/>
        <v>31</v>
      </c>
      <c r="AG436" s="5">
        <f t="shared" si="151"/>
        <v>5</v>
      </c>
      <c r="AH436" s="4">
        <f>_xlfn.XLOOKUP(Modelling_new[[#This Row],[Month]],$AA$1:$AA$14,$AL$1:$AL$14)/Modelling_new[[#This Row],[Total Days]]</f>
        <v>69.660866504992768</v>
      </c>
      <c r="AI436" s="4">
        <f>SUM($AH$414:AH436)</f>
        <v>1602.1999296148338</v>
      </c>
      <c r="AJ436" s="4">
        <f>SUM($AH$384:AH436)</f>
        <v>3773.6965189954503</v>
      </c>
      <c r="AK436" s="4">
        <f t="shared" si="152"/>
        <v>6.5290322580645164</v>
      </c>
      <c r="AL436" s="4">
        <f>SUM($AK$414:AK436)</f>
        <v>150.16774193548389</v>
      </c>
      <c r="AM436" s="4">
        <f>SUM($AK$384:AK436)</f>
        <v>348.86774193548354</v>
      </c>
      <c r="AN436" s="323">
        <f t="shared" si="153"/>
        <v>0.92752401442995447</v>
      </c>
      <c r="AO436" s="323">
        <f t="shared" si="154"/>
        <v>0.92752401442995425</v>
      </c>
      <c r="AP436" s="323">
        <f t="shared" si="155"/>
        <v>0.9403537519718429</v>
      </c>
      <c r="AQ436" s="323">
        <f t="shared" si="156"/>
        <v>0.25232642543094463</v>
      </c>
      <c r="AR436" s="323">
        <f>Modelling_new[[#This Row],[Target E_Grid MTD
MWh]]/Modelling_new[[#This Row],[MTD DC Capcity]]/(24*CG436)</f>
        <v>0.22676063315427328</v>
      </c>
      <c r="AS436" s="323">
        <f>Modelling_new[[#This Row],[Target E_Grid YTD
MWh]]/Modelling_new[[#This Row],[YTD DC Capcity]]/(24*CH436)</f>
        <v>0.23177676143594314</v>
      </c>
      <c r="AT436" s="5">
        <v>12.8</v>
      </c>
      <c r="AU436" s="9">
        <f>Modelling_new[[#This Row],[Comisined DC ]]/$AO$1</f>
        <v>1</v>
      </c>
      <c r="AV43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36" s="5">
        <f>AVERAGEIFS(Modelling_new[[Comisined DC ]],Modelling_new[Date],"&lt;="&amp;Modelling_new[[#This Row],[Date]],Modelling_new[[Comisined DC ]],"&gt;"&amp;0,Modelling_new[Finacial Year],Modelling_new[[#This Row],[Finacial Year]])</f>
        <v>12.799999999999994</v>
      </c>
      <c r="BD436" s="27">
        <f t="shared" si="163"/>
        <v>45435</v>
      </c>
      <c r="BE436" s="5">
        <f>MONTH(Modelling[[#This Row],[Date]])</f>
        <v>5</v>
      </c>
      <c r="BF436" s="25">
        <f>YEAR(BD436)+IF(MONTH(Modelling[[#This Row],[Date]])&gt;=4,1,0)</f>
        <v>2025</v>
      </c>
      <c r="BG436" s="3">
        <f t="shared" si="157"/>
        <v>2024</v>
      </c>
      <c r="BH436" s="3" t="s">
        <v>627</v>
      </c>
      <c r="BI436" s="3" t="s">
        <v>627</v>
      </c>
      <c r="BJ436" s="102">
        <f>DATE(Modelling_old[[#This Row],[Calendor Year]],Modelling_old[[#This Row],[Start Month]],1)</f>
        <v>45413</v>
      </c>
      <c r="BK436" s="5">
        <f t="shared" si="158"/>
        <v>31</v>
      </c>
      <c r="BL436" s="5">
        <f t="shared" si="159"/>
        <v>5</v>
      </c>
      <c r="BM436" s="4">
        <f>Modelling_old[[#This Row],[Target E_Grid daily
MWh]]+Modelling_new[[#This Row],[Target E_Grid daily
MWh]]</f>
        <v>120.42215682757342</v>
      </c>
      <c r="BN436" s="4">
        <f>Modelling_old[[#This Row],[Target E_Grid MTD
MWh]]+Modelling_new[[#This Row],[Target E_Grid MTD
MWh]]</f>
        <v>2769.7096070341886</v>
      </c>
      <c r="BO436" s="4">
        <f>Modelling_old[[#This Row],[Target E_Grid YTD
MWh]]+Modelling_new[[#This Row],[Target E_Grid YTD
MWh]]</f>
        <v>6470.3061964148083</v>
      </c>
      <c r="BP436" s="4">
        <f>AVERAGE(Modelling_old[[#This Row],[Target POA Daily (KWh/m2)]],Modelling_new[[#This Row],[Target POA Daily (KWh/m2)]])</f>
        <v>6.5290322580645164</v>
      </c>
      <c r="BQ436" s="4">
        <f>SUM($BP$414:BP436)</f>
        <v>150.16774193548389</v>
      </c>
      <c r="BR436" s="4">
        <f>SUM($BP$384:BP436)</f>
        <v>348.86774193548354</v>
      </c>
      <c r="BS436" s="323">
        <f>BM436/Modelling[[#This Row],[Comisined DC ]]/BP436</f>
        <v>0.75891985169387688</v>
      </c>
      <c r="BT436" s="337">
        <f>BN436/BQ436/Modelling[[#This Row],[Comisined DC ]]</f>
        <v>0.75891985169387688</v>
      </c>
      <c r="BU436" s="337">
        <f>BO436/BR436/Modelling[[#This Row],[Comisined DC ]]</f>
        <v>0.76313670977755721</v>
      </c>
      <c r="BV436" s="323">
        <f>BM436/(24*Modelling[[#This Row],[Comisined DC ]])</f>
        <v>0.2064588413747859</v>
      </c>
      <c r="BW436" s="323">
        <f>Modelling[[#This Row],[Target E_Grid MTD
MWh]]/Modelling[[#This Row],[MTD DC Capcity]]/(24*CG436)</f>
        <v>0.20645884137478601</v>
      </c>
      <c r="BX436" s="338">
        <f>Modelling[[#This Row],[Target E_Grid YTD
MWh]]/Modelling[[#This Row],[YTD DC Capcity]]/(24*CH436)</f>
        <v>0.20930328673598333</v>
      </c>
      <c r="BY436" s="4">
        <f>Modelling_old[[#This Row],[DC Capcity]]+Modelling_new[[#This Row],[Comisined DC ]]</f>
        <v>24.303100000000001</v>
      </c>
      <c r="BZ436" s="4">
        <v>0</v>
      </c>
      <c r="CA436">
        <f>AVERAGEIFS(Modelling[[Comisined DC ]],Modelling[Date],"&lt;="&amp;Modelling[[#This Row],[Date]],Modelling[Month Year],Modelling[[#This Row],[Month Year]])</f>
        <v>24.303099999999986</v>
      </c>
      <c r="CB436">
        <f>AVERAGEIFS(Modelling[[Comisined DC ]],Modelling[Date],"&lt;="&amp;Modelling[[#This Row],[Date]],Modelling[Finacial Year],Modelling[[#This Row],[Finacial Year]])</f>
        <v>24.303100000000001</v>
      </c>
      <c r="CG436">
        <f t="shared" si="160"/>
        <v>23</v>
      </c>
      <c r="CH436">
        <f t="shared" si="161"/>
        <v>53</v>
      </c>
    </row>
    <row r="437" spans="1:86" x14ac:dyDescent="0.35">
      <c r="A437" s="27">
        <f t="shared" si="139"/>
        <v>45436</v>
      </c>
      <c r="B437" s="5">
        <f>MONTH(Modelling_old[[#This Row],[Date]])</f>
        <v>5</v>
      </c>
      <c r="C437" s="25">
        <f t="shared" si="140"/>
        <v>2025</v>
      </c>
      <c r="D437" s="3">
        <f t="shared" si="141"/>
        <v>2024</v>
      </c>
      <c r="E437" s="3" t="s">
        <v>627</v>
      </c>
      <c r="F437" s="3" t="s">
        <v>627</v>
      </c>
      <c r="G437" s="102">
        <f>DATE(Modelling_old[[#This Row],[Calendor Year]],Modelling_old[[#This Row],[Start Month]],1)</f>
        <v>45413</v>
      </c>
      <c r="H437" s="5">
        <f t="shared" si="142"/>
        <v>31</v>
      </c>
      <c r="I437" s="5">
        <f t="shared" si="143"/>
        <v>5</v>
      </c>
      <c r="J437" s="4">
        <f>_xlfn.XLOOKUP(Modelling_old[[#This Row],[Month]],$C$1:$C$14,$N$1:$N$14)/Modelling_old[[#This Row],[Total Days]]</f>
        <v>50.761290322580649</v>
      </c>
      <c r="K437" s="4">
        <f>SUM($J$414:J437)</f>
        <v>1218.2709677419355</v>
      </c>
      <c r="L437" s="4">
        <f>SUM($J$384:J437)</f>
        <v>2747.3709677419388</v>
      </c>
      <c r="M437" s="4">
        <f t="shared" si="144"/>
        <v>6.5290322580645164</v>
      </c>
      <c r="N437" s="4">
        <f>SUM($M$414:M437)</f>
        <v>156.69677419354841</v>
      </c>
      <c r="O437" s="4">
        <f>SUM($M$384:M437)</f>
        <v>355.39677419354803</v>
      </c>
      <c r="P437" s="323">
        <f t="shared" si="145"/>
        <v>0.67587898543107972</v>
      </c>
      <c r="Q437" s="337">
        <f t="shared" si="146"/>
        <v>0.6758789854310796</v>
      </c>
      <c r="R437" s="337">
        <f t="shared" si="147"/>
        <v>0.67203041321114831</v>
      </c>
      <c r="S437" s="323">
        <f t="shared" si="148"/>
        <v>0.18386815410114321</v>
      </c>
      <c r="T437" s="9">
        <f>Modelling_old[[#This Row],[Target E_Grid MTD
MWh]]/Modelling_old[[#This Row],[DC Capcity]]/(24*CG437)</f>
        <v>0.18386815410114321</v>
      </c>
      <c r="U437" s="338">
        <f>Modelling_old[[#This Row],[Target E_Grid YTD
MWh]]/Modelling_old[[#This Row],[DC Capcity]]/(24*CH437)</f>
        <v>0.18428814893148093</v>
      </c>
      <c r="V437" s="134">
        <v>11.5031</v>
      </c>
      <c r="Y437" s="27">
        <f t="shared" si="162"/>
        <v>45436</v>
      </c>
      <c r="Z437" s="5">
        <f>MONTH(Modelling_new[[#This Row],[Date]])</f>
        <v>5</v>
      </c>
      <c r="AA437" s="25">
        <f>YEAR(Y437)+IF(MONTH(Modelling_new[[#This Row],[Date]])&gt;=4,1,0)</f>
        <v>2025</v>
      </c>
      <c r="AB437" s="3">
        <f t="shared" si="149"/>
        <v>2024</v>
      </c>
      <c r="AC437" s="3" t="s">
        <v>627</v>
      </c>
      <c r="AD437" s="3" t="s">
        <v>627</v>
      </c>
      <c r="AE437" s="102">
        <f>DATE(Modelling_old[[#This Row],[Calendor Year]],Modelling_old[[#This Row],[Start Month]],1)</f>
        <v>45413</v>
      </c>
      <c r="AF437" s="5">
        <f t="shared" si="150"/>
        <v>31</v>
      </c>
      <c r="AG437" s="5">
        <f t="shared" si="151"/>
        <v>5</v>
      </c>
      <c r="AH437" s="4">
        <f>_xlfn.XLOOKUP(Modelling_new[[#This Row],[Month]],$AA$1:$AA$14,$AL$1:$AL$14)/Modelling_new[[#This Row],[Total Days]]</f>
        <v>69.660866504992768</v>
      </c>
      <c r="AI437" s="4">
        <f>SUM($AH$414:AH437)</f>
        <v>1671.8607961198265</v>
      </c>
      <c r="AJ437" s="4">
        <f>SUM($AH$384:AH437)</f>
        <v>3843.3573855004429</v>
      </c>
      <c r="AK437" s="4">
        <f t="shared" si="152"/>
        <v>6.5290322580645164</v>
      </c>
      <c r="AL437" s="4">
        <f>SUM($AK$414:AK437)</f>
        <v>156.69677419354841</v>
      </c>
      <c r="AM437" s="4">
        <f>SUM($AK$384:AK437)</f>
        <v>355.39677419354803</v>
      </c>
      <c r="AN437" s="323">
        <f t="shared" si="153"/>
        <v>0.92752401442995447</v>
      </c>
      <c r="AO437" s="323">
        <f t="shared" si="154"/>
        <v>0.92752401442995425</v>
      </c>
      <c r="AP437" s="323">
        <f t="shared" si="155"/>
        <v>0.94011805548736127</v>
      </c>
      <c r="AQ437" s="323">
        <f t="shared" si="156"/>
        <v>0.25232642543094463</v>
      </c>
      <c r="AR437" s="323">
        <f>Modelling_new[[#This Row],[Target E_Grid MTD
MWh]]/Modelling_new[[#This Row],[MTD DC Capcity]]/(24*CG437)</f>
        <v>0.22676063315427328</v>
      </c>
      <c r="AS437" s="323">
        <f>Modelling_new[[#This Row],[Target E_Grid YTD
MWh]]/Modelling_new[[#This Row],[YTD DC Capcity]]/(24*CH437)</f>
        <v>0.23168387017146783</v>
      </c>
      <c r="AT437" s="5">
        <v>12.8</v>
      </c>
      <c r="AU437" s="9">
        <f>Modelling_new[[#This Row],[Comisined DC ]]/$AO$1</f>
        <v>1</v>
      </c>
      <c r="AV437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37" s="5">
        <f>AVERAGEIFS(Modelling_new[[Comisined DC ]],Modelling_new[Date],"&lt;="&amp;Modelling_new[[#This Row],[Date]],Modelling_new[[Comisined DC ]],"&gt;"&amp;0,Modelling_new[Finacial Year],Modelling_new[[#This Row],[Finacial Year]])</f>
        <v>12.799999999999992</v>
      </c>
      <c r="BD437" s="27">
        <f t="shared" si="163"/>
        <v>45436</v>
      </c>
      <c r="BE437" s="5">
        <f>MONTH(Modelling[[#This Row],[Date]])</f>
        <v>5</v>
      </c>
      <c r="BF437" s="25">
        <f>YEAR(BD437)+IF(MONTH(Modelling[[#This Row],[Date]])&gt;=4,1,0)</f>
        <v>2025</v>
      </c>
      <c r="BG437" s="3">
        <f t="shared" si="157"/>
        <v>2024</v>
      </c>
      <c r="BH437" s="3" t="s">
        <v>627</v>
      </c>
      <c r="BI437" s="3" t="s">
        <v>627</v>
      </c>
      <c r="BJ437" s="102">
        <f>DATE(Modelling_old[[#This Row],[Calendor Year]],Modelling_old[[#This Row],[Start Month]],1)</f>
        <v>45413</v>
      </c>
      <c r="BK437" s="5">
        <f t="shared" si="158"/>
        <v>31</v>
      </c>
      <c r="BL437" s="5">
        <f t="shared" si="159"/>
        <v>5</v>
      </c>
      <c r="BM437" s="4">
        <f>Modelling_old[[#This Row],[Target E_Grid daily
MWh]]+Modelling_new[[#This Row],[Target E_Grid daily
MWh]]</f>
        <v>120.42215682757342</v>
      </c>
      <c r="BN437" s="4">
        <f>Modelling_old[[#This Row],[Target E_Grid MTD
MWh]]+Modelling_new[[#This Row],[Target E_Grid MTD
MWh]]</f>
        <v>2890.131763861762</v>
      </c>
      <c r="BO437" s="4">
        <f>Modelling_old[[#This Row],[Target E_Grid YTD
MWh]]+Modelling_new[[#This Row],[Target E_Grid YTD
MWh]]</f>
        <v>6590.7283532423817</v>
      </c>
      <c r="BP437" s="4">
        <f>AVERAGE(Modelling_old[[#This Row],[Target POA Daily (KWh/m2)]],Modelling_new[[#This Row],[Target POA Daily (KWh/m2)]])</f>
        <v>6.5290322580645164</v>
      </c>
      <c r="BQ437" s="4">
        <f>SUM($BP$414:BP437)</f>
        <v>156.69677419354841</v>
      </c>
      <c r="BR437" s="4">
        <f>SUM($BP$384:BP437)</f>
        <v>355.39677419354803</v>
      </c>
      <c r="BS437" s="323">
        <f>BM437/Modelling[[#This Row],[Comisined DC ]]/BP437</f>
        <v>0.75891985169387688</v>
      </c>
      <c r="BT437" s="337">
        <f>BN437/BQ437/Modelling[[#This Row],[Comisined DC ]]</f>
        <v>0.75891985169387688</v>
      </c>
      <c r="BU437" s="337">
        <f>BO437/BR437/Modelling[[#This Row],[Comisined DC ]]</f>
        <v>0.76305924142540771</v>
      </c>
      <c r="BV437" s="323">
        <f>BM437/(24*Modelling[[#This Row],[Comisined DC ]])</f>
        <v>0.2064588413747859</v>
      </c>
      <c r="BW437" s="323">
        <f>Modelling[[#This Row],[Target E_Grid MTD
MWh]]/Modelling[[#This Row],[MTD DC Capcity]]/(24*CG437)</f>
        <v>0.20645884137478601</v>
      </c>
      <c r="BX437" s="338">
        <f>Modelling[[#This Row],[Target E_Grid YTD
MWh]]/Modelling[[#This Row],[YTD DC Capcity]]/(24*CH437)</f>
        <v>0.20925061182188709</v>
      </c>
      <c r="BY437" s="4">
        <f>Modelling_old[[#This Row],[DC Capcity]]+Modelling_new[[#This Row],[Comisined DC ]]</f>
        <v>24.303100000000001</v>
      </c>
      <c r="BZ437" s="4">
        <v>0</v>
      </c>
      <c r="CA437">
        <f>AVERAGEIFS(Modelling[[Comisined DC ]],Modelling[Date],"&lt;="&amp;Modelling[[#This Row],[Date]],Modelling[Month Year],Modelling[[#This Row],[Month Year]])</f>
        <v>24.303099999999986</v>
      </c>
      <c r="CB437">
        <f>AVERAGEIFS(Modelling[[Comisined DC ]],Modelling[Date],"&lt;="&amp;Modelling[[#This Row],[Date]],Modelling[Finacial Year],Modelling[[#This Row],[Finacial Year]])</f>
        <v>24.303100000000001</v>
      </c>
      <c r="CG437">
        <f t="shared" si="160"/>
        <v>24</v>
      </c>
      <c r="CH437">
        <f t="shared" si="161"/>
        <v>54</v>
      </c>
    </row>
    <row r="438" spans="1:86" x14ac:dyDescent="0.35">
      <c r="A438" s="27">
        <f t="shared" si="139"/>
        <v>45437</v>
      </c>
      <c r="B438" s="5">
        <f>MONTH(Modelling_old[[#This Row],[Date]])</f>
        <v>5</v>
      </c>
      <c r="C438" s="25">
        <f t="shared" si="140"/>
        <v>2025</v>
      </c>
      <c r="D438" s="3">
        <f t="shared" si="141"/>
        <v>2024</v>
      </c>
      <c r="E438" s="3" t="s">
        <v>627</v>
      </c>
      <c r="F438" s="3" t="s">
        <v>627</v>
      </c>
      <c r="G438" s="102">
        <f>DATE(Modelling_old[[#This Row],[Calendor Year]],Modelling_old[[#This Row],[Start Month]],1)</f>
        <v>45413</v>
      </c>
      <c r="H438" s="5">
        <f t="shared" si="142"/>
        <v>31</v>
      </c>
      <c r="I438" s="5">
        <f t="shared" si="143"/>
        <v>5</v>
      </c>
      <c r="J438" s="4">
        <f>_xlfn.XLOOKUP(Modelling_old[[#This Row],[Month]],$C$1:$C$14,$N$1:$N$14)/Modelling_old[[#This Row],[Total Days]]</f>
        <v>50.761290322580649</v>
      </c>
      <c r="K438" s="4">
        <f>SUM($J$414:J438)</f>
        <v>1269.0322580645161</v>
      </c>
      <c r="L438" s="4">
        <f>SUM($J$384:J438)</f>
        <v>2798.1322580645196</v>
      </c>
      <c r="M438" s="4">
        <f t="shared" si="144"/>
        <v>6.5290322580645164</v>
      </c>
      <c r="N438" s="4">
        <f>SUM($M$414:M438)</f>
        <v>163.22580645161293</v>
      </c>
      <c r="O438" s="4">
        <f>SUM($M$384:M438)</f>
        <v>361.92580645161252</v>
      </c>
      <c r="P438" s="323">
        <f t="shared" si="145"/>
        <v>0.67587898543107972</v>
      </c>
      <c r="Q438" s="337">
        <f t="shared" si="146"/>
        <v>0.6758789854310796</v>
      </c>
      <c r="R438" s="337">
        <f t="shared" si="147"/>
        <v>0.67209984029184711</v>
      </c>
      <c r="S438" s="323">
        <f t="shared" si="148"/>
        <v>0.18386815410114321</v>
      </c>
      <c r="T438" s="9">
        <f>Modelling_old[[#This Row],[Target E_Grid MTD
MWh]]/Modelling_old[[#This Row],[DC Capcity]]/(24*CG438)</f>
        <v>0.18386815410114318</v>
      </c>
      <c r="U438" s="338">
        <f>Modelling_old[[#This Row],[Target E_Grid YTD
MWh]]/Modelling_old[[#This Row],[DC Capcity]]/(24*CH438)</f>
        <v>0.18428051266183842</v>
      </c>
      <c r="V438" s="134">
        <v>11.5031</v>
      </c>
      <c r="Y438" s="27">
        <f t="shared" si="162"/>
        <v>45437</v>
      </c>
      <c r="Z438" s="5">
        <f>MONTH(Modelling_new[[#This Row],[Date]])</f>
        <v>5</v>
      </c>
      <c r="AA438" s="25">
        <f>YEAR(Y438)+IF(MONTH(Modelling_new[[#This Row],[Date]])&gt;=4,1,0)</f>
        <v>2025</v>
      </c>
      <c r="AB438" s="3">
        <f t="shared" si="149"/>
        <v>2024</v>
      </c>
      <c r="AC438" s="3" t="s">
        <v>627</v>
      </c>
      <c r="AD438" s="3" t="s">
        <v>627</v>
      </c>
      <c r="AE438" s="102">
        <f>DATE(Modelling_old[[#This Row],[Calendor Year]],Modelling_old[[#This Row],[Start Month]],1)</f>
        <v>45413</v>
      </c>
      <c r="AF438" s="5">
        <f t="shared" si="150"/>
        <v>31</v>
      </c>
      <c r="AG438" s="5">
        <f t="shared" si="151"/>
        <v>5</v>
      </c>
      <c r="AH438" s="4">
        <f>_xlfn.XLOOKUP(Modelling_new[[#This Row],[Month]],$AA$1:$AA$14,$AL$1:$AL$14)/Modelling_new[[#This Row],[Total Days]]</f>
        <v>69.660866504992768</v>
      </c>
      <c r="AI438" s="4">
        <f>SUM($AH$414:AH438)</f>
        <v>1741.5216626248193</v>
      </c>
      <c r="AJ438" s="4">
        <f>SUM($AH$384:AH438)</f>
        <v>3913.0182520054354</v>
      </c>
      <c r="AK438" s="4">
        <f t="shared" si="152"/>
        <v>6.5290322580645164</v>
      </c>
      <c r="AL438" s="4">
        <f>SUM($AK$414:AK438)</f>
        <v>163.22580645161293</v>
      </c>
      <c r="AM438" s="4">
        <f>SUM($AK$384:AK438)</f>
        <v>361.92580645161252</v>
      </c>
      <c r="AN438" s="323">
        <f t="shared" si="153"/>
        <v>0.92752401442995447</v>
      </c>
      <c r="AO438" s="323">
        <f t="shared" si="154"/>
        <v>0.92752401442995425</v>
      </c>
      <c r="AP438" s="323">
        <f t="shared" si="155"/>
        <v>0.93989086278969391</v>
      </c>
      <c r="AQ438" s="323">
        <f t="shared" si="156"/>
        <v>0.25232642543094463</v>
      </c>
      <c r="AR438" s="323">
        <f>Modelling_new[[#This Row],[Target E_Grid MTD
MWh]]/Modelling_new[[#This Row],[MTD DC Capcity]]/(24*CG438)</f>
        <v>0.22676063315427328</v>
      </c>
      <c r="AS438" s="323">
        <f>Modelling_new[[#This Row],[Target E_Grid YTD
MWh]]/Modelling_new[[#This Row],[YTD DC Capcity]]/(24*CH438)</f>
        <v>0.2315943567711552</v>
      </c>
      <c r="AT438" s="5">
        <v>12.8</v>
      </c>
      <c r="AU438" s="9">
        <f>Modelling_new[[#This Row],[Comisined DC ]]/$AO$1</f>
        <v>1</v>
      </c>
      <c r="AV438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38" s="5">
        <f>AVERAGEIFS(Modelling_new[[Comisined DC ]],Modelling_new[Date],"&lt;="&amp;Modelling_new[[#This Row],[Date]],Modelling_new[[Comisined DC ]],"&gt;"&amp;0,Modelling_new[Finacial Year],Modelling_new[[#This Row],[Finacial Year]])</f>
        <v>12.799999999999992</v>
      </c>
      <c r="BD438" s="27">
        <f t="shared" si="163"/>
        <v>45437</v>
      </c>
      <c r="BE438" s="5">
        <f>MONTH(Modelling[[#This Row],[Date]])</f>
        <v>5</v>
      </c>
      <c r="BF438" s="25">
        <f>YEAR(BD438)+IF(MONTH(Modelling[[#This Row],[Date]])&gt;=4,1,0)</f>
        <v>2025</v>
      </c>
      <c r="BG438" s="3">
        <f t="shared" si="157"/>
        <v>2024</v>
      </c>
      <c r="BH438" s="3" t="s">
        <v>627</v>
      </c>
      <c r="BI438" s="3" t="s">
        <v>627</v>
      </c>
      <c r="BJ438" s="102">
        <f>DATE(Modelling_old[[#This Row],[Calendor Year]],Modelling_old[[#This Row],[Start Month]],1)</f>
        <v>45413</v>
      </c>
      <c r="BK438" s="5">
        <f t="shared" si="158"/>
        <v>31</v>
      </c>
      <c r="BL438" s="5">
        <f t="shared" si="159"/>
        <v>5</v>
      </c>
      <c r="BM438" s="4">
        <f>Modelling_old[[#This Row],[Target E_Grid daily
MWh]]+Modelling_new[[#This Row],[Target E_Grid daily
MWh]]</f>
        <v>120.42215682757342</v>
      </c>
      <c r="BN438" s="4">
        <f>Modelling_old[[#This Row],[Target E_Grid MTD
MWh]]+Modelling_new[[#This Row],[Target E_Grid MTD
MWh]]</f>
        <v>3010.5539206893354</v>
      </c>
      <c r="BO438" s="4">
        <f>Modelling_old[[#This Row],[Target E_Grid YTD
MWh]]+Modelling_new[[#This Row],[Target E_Grid YTD
MWh]]</f>
        <v>6711.1505100699551</v>
      </c>
      <c r="BP438" s="4">
        <f>AVERAGE(Modelling_old[[#This Row],[Target POA Daily (KWh/m2)]],Modelling_new[[#This Row],[Target POA Daily (KWh/m2)]])</f>
        <v>6.5290322580645164</v>
      </c>
      <c r="BQ438" s="4">
        <f>SUM($BP$414:BP438)</f>
        <v>163.22580645161293</v>
      </c>
      <c r="BR438" s="4">
        <f>SUM($BP$384:BP438)</f>
        <v>361.92580645161252</v>
      </c>
      <c r="BS438" s="323">
        <f>BM438/Modelling[[#This Row],[Comisined DC ]]/BP438</f>
        <v>0.75891985169387688</v>
      </c>
      <c r="BT438" s="337">
        <f>BN438/BQ438/Modelling[[#This Row],[Comisined DC ]]</f>
        <v>0.75891985169387688</v>
      </c>
      <c r="BU438" s="337">
        <f>BO438/BR438/Modelling[[#This Row],[Comisined DC ]]</f>
        <v>0.76298456808461768</v>
      </c>
      <c r="BV438" s="323">
        <f>BM438/(24*Modelling[[#This Row],[Comisined DC ]])</f>
        <v>0.2064588413747859</v>
      </c>
      <c r="BW438" s="323">
        <f>Modelling[[#This Row],[Target E_Grid MTD
MWh]]/Modelling[[#This Row],[MTD DC Capcity]]/(24*CG438)</f>
        <v>0.20645884137478601</v>
      </c>
      <c r="BX438" s="338">
        <f>Modelling[[#This Row],[Target E_Grid YTD
MWh]]/Modelling[[#This Row],[YTD DC Capcity]]/(24*CH438)</f>
        <v>0.20919985235921251</v>
      </c>
      <c r="BY438" s="4">
        <f>Modelling_old[[#This Row],[DC Capcity]]+Modelling_new[[#This Row],[Comisined DC ]]</f>
        <v>24.303100000000001</v>
      </c>
      <c r="BZ438" s="4">
        <v>0</v>
      </c>
      <c r="CA438">
        <f>AVERAGEIFS(Modelling[[Comisined DC ]],Modelling[Date],"&lt;="&amp;Modelling[[#This Row],[Date]],Modelling[Month Year],Modelling[[#This Row],[Month Year]])</f>
        <v>24.303099999999986</v>
      </c>
      <c r="CB438">
        <f>AVERAGEIFS(Modelling[[Comisined DC ]],Modelling[Date],"&lt;="&amp;Modelling[[#This Row],[Date]],Modelling[Finacial Year],Modelling[[#This Row],[Finacial Year]])</f>
        <v>24.303100000000004</v>
      </c>
      <c r="CG438">
        <f t="shared" si="160"/>
        <v>25</v>
      </c>
      <c r="CH438">
        <f t="shared" si="161"/>
        <v>55</v>
      </c>
    </row>
    <row r="439" spans="1:86" x14ac:dyDescent="0.35">
      <c r="A439" s="27">
        <f t="shared" si="139"/>
        <v>45438</v>
      </c>
      <c r="B439" s="5">
        <f>MONTH(Modelling_old[[#This Row],[Date]])</f>
        <v>5</v>
      </c>
      <c r="C439" s="25">
        <f t="shared" si="140"/>
        <v>2025</v>
      </c>
      <c r="D439" s="3">
        <f t="shared" si="141"/>
        <v>2024</v>
      </c>
      <c r="E439" s="3" t="s">
        <v>627</v>
      </c>
      <c r="F439" s="3" t="s">
        <v>627</v>
      </c>
      <c r="G439" s="102">
        <f>DATE(Modelling_old[[#This Row],[Calendor Year]],Modelling_old[[#This Row],[Start Month]],1)</f>
        <v>45413</v>
      </c>
      <c r="H439" s="5">
        <f t="shared" si="142"/>
        <v>31</v>
      </c>
      <c r="I439" s="5">
        <f t="shared" si="143"/>
        <v>5</v>
      </c>
      <c r="J439" s="4">
        <f>_xlfn.XLOOKUP(Modelling_old[[#This Row],[Month]],$C$1:$C$14,$N$1:$N$14)/Modelling_old[[#This Row],[Total Days]]</f>
        <v>50.761290322580649</v>
      </c>
      <c r="K439" s="4">
        <f>SUM($J$414:J439)</f>
        <v>1319.7935483870967</v>
      </c>
      <c r="L439" s="4">
        <f>SUM($J$384:J439)</f>
        <v>2848.8935483871005</v>
      </c>
      <c r="M439" s="4">
        <f t="shared" si="144"/>
        <v>6.5290322580645164</v>
      </c>
      <c r="N439" s="4">
        <f>SUM($M$414:M439)</f>
        <v>169.75483870967744</v>
      </c>
      <c r="O439" s="4">
        <f>SUM($M$384:M439)</f>
        <v>368.45483870967701</v>
      </c>
      <c r="P439" s="323">
        <f t="shared" si="145"/>
        <v>0.67587898543107972</v>
      </c>
      <c r="Q439" s="337">
        <f t="shared" si="146"/>
        <v>0.6758789854310796</v>
      </c>
      <c r="R439" s="337">
        <f t="shared" si="147"/>
        <v>0.67216680687208907</v>
      </c>
      <c r="S439" s="323">
        <f t="shared" si="148"/>
        <v>0.18386815410114321</v>
      </c>
      <c r="T439" s="9">
        <f>Modelling_old[[#This Row],[Target E_Grid MTD
MWh]]/Modelling_old[[#This Row],[DC Capcity]]/(24*CG439)</f>
        <v>0.18386815410114318</v>
      </c>
      <c r="U439" s="338">
        <f>Modelling_old[[#This Row],[Target E_Grid YTD
MWh]]/Modelling_old[[#This Row],[DC Capcity]]/(24*CH439)</f>
        <v>0.18427314911611173</v>
      </c>
      <c r="V439" s="134">
        <v>11.5031</v>
      </c>
      <c r="Y439" s="27">
        <f t="shared" si="162"/>
        <v>45438</v>
      </c>
      <c r="Z439" s="5">
        <f>MONTH(Modelling_new[[#This Row],[Date]])</f>
        <v>5</v>
      </c>
      <c r="AA439" s="25">
        <f>YEAR(Y439)+IF(MONTH(Modelling_new[[#This Row],[Date]])&gt;=4,1,0)</f>
        <v>2025</v>
      </c>
      <c r="AB439" s="3">
        <f t="shared" si="149"/>
        <v>2024</v>
      </c>
      <c r="AC439" s="3" t="s">
        <v>627</v>
      </c>
      <c r="AD439" s="3" t="s">
        <v>627</v>
      </c>
      <c r="AE439" s="102">
        <f>DATE(Modelling_old[[#This Row],[Calendor Year]],Modelling_old[[#This Row],[Start Month]],1)</f>
        <v>45413</v>
      </c>
      <c r="AF439" s="5">
        <f t="shared" si="150"/>
        <v>31</v>
      </c>
      <c r="AG439" s="5">
        <f t="shared" si="151"/>
        <v>5</v>
      </c>
      <c r="AH439" s="4">
        <f>_xlfn.XLOOKUP(Modelling_new[[#This Row],[Month]],$AA$1:$AA$14,$AL$1:$AL$14)/Modelling_new[[#This Row],[Total Days]]</f>
        <v>69.660866504992768</v>
      </c>
      <c r="AI439" s="4">
        <f>SUM($AH$414:AH439)</f>
        <v>1811.1825291298121</v>
      </c>
      <c r="AJ439" s="4">
        <f>SUM($AH$384:AH439)</f>
        <v>3982.679118510428</v>
      </c>
      <c r="AK439" s="4">
        <f t="shared" si="152"/>
        <v>6.5290322580645164</v>
      </c>
      <c r="AL439" s="4">
        <f>SUM($AK$414:AK439)</f>
        <v>169.75483870967744</v>
      </c>
      <c r="AM439" s="4">
        <f>SUM($AK$384:AK439)</f>
        <v>368.45483870967701</v>
      </c>
      <c r="AN439" s="323">
        <f t="shared" si="153"/>
        <v>0.92752401442995447</v>
      </c>
      <c r="AO439" s="323">
        <f t="shared" si="154"/>
        <v>0.92752401442995425</v>
      </c>
      <c r="AP439" s="323">
        <f t="shared" si="155"/>
        <v>0.93967172181666692</v>
      </c>
      <c r="AQ439" s="323">
        <f t="shared" si="156"/>
        <v>0.25232642543094463</v>
      </c>
      <c r="AR439" s="323">
        <f>Modelling_new[[#This Row],[Target E_Grid MTD
MWh]]/Modelling_new[[#This Row],[MTD DC Capcity]]/(24*CG439)</f>
        <v>0.22676063315427328</v>
      </c>
      <c r="AS439" s="323">
        <f>Modelling_new[[#This Row],[Target E_Grid YTD
MWh]]/Modelling_new[[#This Row],[YTD DC Capcity]]/(24*CH439)</f>
        <v>0.23150804027799654</v>
      </c>
      <c r="AT439" s="5">
        <v>12.8</v>
      </c>
      <c r="AU439" s="9">
        <f>Modelling_new[[#This Row],[Comisined DC ]]/$AO$1</f>
        <v>1</v>
      </c>
      <c r="AV43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39" s="5">
        <f>AVERAGEIFS(Modelling_new[[Comisined DC ]],Modelling_new[Date],"&lt;="&amp;Modelling_new[[#This Row],[Date]],Modelling_new[[Comisined DC ]],"&gt;"&amp;0,Modelling_new[Finacial Year],Modelling_new[[#This Row],[Finacial Year]])</f>
        <v>12.799999999999992</v>
      </c>
      <c r="BD439" s="27">
        <f t="shared" si="163"/>
        <v>45438</v>
      </c>
      <c r="BE439" s="5">
        <f>MONTH(Modelling[[#This Row],[Date]])</f>
        <v>5</v>
      </c>
      <c r="BF439" s="25">
        <f>YEAR(BD439)+IF(MONTH(Modelling[[#This Row],[Date]])&gt;=4,1,0)</f>
        <v>2025</v>
      </c>
      <c r="BG439" s="3">
        <f t="shared" si="157"/>
        <v>2024</v>
      </c>
      <c r="BH439" s="3" t="s">
        <v>627</v>
      </c>
      <c r="BI439" s="3" t="s">
        <v>627</v>
      </c>
      <c r="BJ439" s="102">
        <f>DATE(Modelling_old[[#This Row],[Calendor Year]],Modelling_old[[#This Row],[Start Month]],1)</f>
        <v>45413</v>
      </c>
      <c r="BK439" s="5">
        <f t="shared" si="158"/>
        <v>31</v>
      </c>
      <c r="BL439" s="5">
        <f t="shared" si="159"/>
        <v>5</v>
      </c>
      <c r="BM439" s="4">
        <f>Modelling_old[[#This Row],[Target E_Grid daily
MWh]]+Modelling_new[[#This Row],[Target E_Grid daily
MWh]]</f>
        <v>120.42215682757342</v>
      </c>
      <c r="BN439" s="4">
        <f>Modelling_old[[#This Row],[Target E_Grid MTD
MWh]]+Modelling_new[[#This Row],[Target E_Grid MTD
MWh]]</f>
        <v>3130.9760775169088</v>
      </c>
      <c r="BO439" s="4">
        <f>Modelling_old[[#This Row],[Target E_Grid YTD
MWh]]+Modelling_new[[#This Row],[Target E_Grid YTD
MWh]]</f>
        <v>6831.5726668975285</v>
      </c>
      <c r="BP439" s="4">
        <f>AVERAGE(Modelling_old[[#This Row],[Target POA Daily (KWh/m2)]],Modelling_new[[#This Row],[Target POA Daily (KWh/m2)]])</f>
        <v>6.5290322580645164</v>
      </c>
      <c r="BQ439" s="4">
        <f>SUM($BP$414:BP439)</f>
        <v>169.75483870967744</v>
      </c>
      <c r="BR439" s="4">
        <f>SUM($BP$384:BP439)</f>
        <v>368.45483870967701</v>
      </c>
      <c r="BS439" s="323">
        <f>BM439/Modelling[[#This Row],[Comisined DC ]]/BP439</f>
        <v>0.75891985169387688</v>
      </c>
      <c r="BT439" s="337">
        <f>BN439/BQ439/Modelling[[#This Row],[Comisined DC ]]</f>
        <v>0.75891985169387688</v>
      </c>
      <c r="BU439" s="337">
        <f>BO439/BR439/Modelling[[#This Row],[Comisined DC ]]</f>
        <v>0.7629125411720985</v>
      </c>
      <c r="BV439" s="323">
        <f>BM439/(24*Modelling[[#This Row],[Comisined DC ]])</f>
        <v>0.2064588413747859</v>
      </c>
      <c r="BW439" s="323">
        <f>Modelling[[#This Row],[Target E_Grid MTD
MWh]]/Modelling[[#This Row],[MTD DC Capcity]]/(24*CG439)</f>
        <v>0.20645884137478601</v>
      </c>
      <c r="BX439" s="338">
        <f>Modelling[[#This Row],[Target E_Grid YTD
MWh]]/Modelling[[#This Row],[YTD DC Capcity]]/(24*CH439)</f>
        <v>0.20915090573449058</v>
      </c>
      <c r="BY439" s="4">
        <f>Modelling_old[[#This Row],[DC Capcity]]+Modelling_new[[#This Row],[Comisined DC ]]</f>
        <v>24.303100000000001</v>
      </c>
      <c r="BZ439" s="4">
        <v>0</v>
      </c>
      <c r="CA439">
        <f>AVERAGEIFS(Modelling[[Comisined DC ]],Modelling[Date],"&lt;="&amp;Modelling[[#This Row],[Date]],Modelling[Month Year],Modelling[[#This Row],[Month Year]])</f>
        <v>24.303099999999986</v>
      </c>
      <c r="CB439">
        <f>AVERAGEIFS(Modelling[[Comisined DC ]],Modelling[Date],"&lt;="&amp;Modelling[[#This Row],[Date]],Modelling[Finacial Year],Modelling[[#This Row],[Finacial Year]])</f>
        <v>24.303100000000004</v>
      </c>
      <c r="CG439">
        <f t="shared" si="160"/>
        <v>26</v>
      </c>
      <c r="CH439">
        <f t="shared" si="161"/>
        <v>56</v>
      </c>
    </row>
    <row r="440" spans="1:86" x14ac:dyDescent="0.35">
      <c r="A440" s="27">
        <f t="shared" si="139"/>
        <v>45439</v>
      </c>
      <c r="B440" s="5">
        <f>MONTH(Modelling_old[[#This Row],[Date]])</f>
        <v>5</v>
      </c>
      <c r="C440" s="25">
        <f t="shared" si="140"/>
        <v>2025</v>
      </c>
      <c r="D440" s="3">
        <f t="shared" si="141"/>
        <v>2024</v>
      </c>
      <c r="E440" s="3" t="s">
        <v>627</v>
      </c>
      <c r="F440" s="3" t="s">
        <v>627</v>
      </c>
      <c r="G440" s="102">
        <f>DATE(Modelling_old[[#This Row],[Calendor Year]],Modelling_old[[#This Row],[Start Month]],1)</f>
        <v>45413</v>
      </c>
      <c r="H440" s="5">
        <f t="shared" si="142"/>
        <v>31</v>
      </c>
      <c r="I440" s="5">
        <f t="shared" si="143"/>
        <v>5</v>
      </c>
      <c r="J440" s="4">
        <f>_xlfn.XLOOKUP(Modelling_old[[#This Row],[Month]],$C$1:$C$14,$N$1:$N$14)/Modelling_old[[#This Row],[Total Days]]</f>
        <v>50.761290322580649</v>
      </c>
      <c r="K440" s="4">
        <f>SUM($J$414:J440)</f>
        <v>1370.5548387096774</v>
      </c>
      <c r="L440" s="4">
        <f>SUM($J$384:J440)</f>
        <v>2899.6548387096814</v>
      </c>
      <c r="M440" s="4">
        <f t="shared" si="144"/>
        <v>6.5290322580645164</v>
      </c>
      <c r="N440" s="4">
        <f>SUM($M$414:M440)</f>
        <v>176.28387096774196</v>
      </c>
      <c r="O440" s="4">
        <f>SUM($M$384:M440)</f>
        <v>374.9838709677415</v>
      </c>
      <c r="P440" s="323">
        <f t="shared" si="145"/>
        <v>0.67587898543107972</v>
      </c>
      <c r="Q440" s="337">
        <f t="shared" si="146"/>
        <v>0.6758789854310796</v>
      </c>
      <c r="R440" s="337">
        <f t="shared" si="147"/>
        <v>0.672231441474897</v>
      </c>
      <c r="S440" s="323">
        <f t="shared" si="148"/>
        <v>0.18386815410114321</v>
      </c>
      <c r="T440" s="9">
        <f>Modelling_old[[#This Row],[Target E_Grid MTD
MWh]]/Modelling_old[[#This Row],[DC Capcity]]/(24*CG440)</f>
        <v>0.18386815410114318</v>
      </c>
      <c r="U440" s="338">
        <f>Modelling_old[[#This Row],[Target E_Grid YTD
MWh]]/Modelling_old[[#This Row],[DC Capcity]]/(24*CH440)</f>
        <v>0.18426604394041057</v>
      </c>
      <c r="V440" s="134">
        <v>11.5031</v>
      </c>
      <c r="Y440" s="27">
        <f t="shared" si="162"/>
        <v>45439</v>
      </c>
      <c r="Z440" s="5">
        <f>MONTH(Modelling_new[[#This Row],[Date]])</f>
        <v>5</v>
      </c>
      <c r="AA440" s="25">
        <f>YEAR(Y440)+IF(MONTH(Modelling_new[[#This Row],[Date]])&gt;=4,1,0)</f>
        <v>2025</v>
      </c>
      <c r="AB440" s="3">
        <f t="shared" si="149"/>
        <v>2024</v>
      </c>
      <c r="AC440" s="3" t="s">
        <v>627</v>
      </c>
      <c r="AD440" s="3" t="s">
        <v>627</v>
      </c>
      <c r="AE440" s="102">
        <f>DATE(Modelling_old[[#This Row],[Calendor Year]],Modelling_old[[#This Row],[Start Month]],1)</f>
        <v>45413</v>
      </c>
      <c r="AF440" s="5">
        <f t="shared" si="150"/>
        <v>31</v>
      </c>
      <c r="AG440" s="5">
        <f t="shared" si="151"/>
        <v>5</v>
      </c>
      <c r="AH440" s="4">
        <f>_xlfn.XLOOKUP(Modelling_new[[#This Row],[Month]],$AA$1:$AA$14,$AL$1:$AL$14)/Modelling_new[[#This Row],[Total Days]]</f>
        <v>69.660866504992768</v>
      </c>
      <c r="AI440" s="4">
        <f>SUM($AH$414:AH440)</f>
        <v>1880.8433956348049</v>
      </c>
      <c r="AJ440" s="4">
        <f>SUM($AH$384:AH440)</f>
        <v>4052.3399850154206</v>
      </c>
      <c r="AK440" s="4">
        <f t="shared" si="152"/>
        <v>6.5290322580645164</v>
      </c>
      <c r="AL440" s="4">
        <f>SUM($AK$414:AK440)</f>
        <v>176.28387096774196</v>
      </c>
      <c r="AM440" s="4">
        <f>SUM($AK$384:AK440)</f>
        <v>374.9838709677415</v>
      </c>
      <c r="AN440" s="323">
        <f t="shared" si="153"/>
        <v>0.92752401442995447</v>
      </c>
      <c r="AO440" s="323">
        <f t="shared" si="154"/>
        <v>0.92752401442995425</v>
      </c>
      <c r="AP440" s="323">
        <f t="shared" si="155"/>
        <v>0.93946021199043184</v>
      </c>
      <c r="AQ440" s="323">
        <f t="shared" si="156"/>
        <v>0.25232642543094463</v>
      </c>
      <c r="AR440" s="323">
        <f>Modelling_new[[#This Row],[Target E_Grid MTD
MWh]]/Modelling_new[[#This Row],[MTD DC Capcity]]/(24*CG440)</f>
        <v>0.22676063315427328</v>
      </c>
      <c r="AS440" s="323">
        <f>Modelling_new[[#This Row],[Target E_Grid YTD
MWh]]/Modelling_new[[#This Row],[YTD DC Capcity]]/(24*CH440)</f>
        <v>0.23142475243372074</v>
      </c>
      <c r="AT440" s="5">
        <v>12.8</v>
      </c>
      <c r="AU440" s="9">
        <f>Modelling_new[[#This Row],[Comisined DC ]]/$AO$1</f>
        <v>1</v>
      </c>
      <c r="AV44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40" s="5">
        <f>AVERAGEIFS(Modelling_new[[Comisined DC ]],Modelling_new[Date],"&lt;="&amp;Modelling_new[[#This Row],[Date]],Modelling_new[[Comisined DC ]],"&gt;"&amp;0,Modelling_new[Finacial Year],Modelling_new[[#This Row],[Finacial Year]])</f>
        <v>12.79999999999999</v>
      </c>
      <c r="BD440" s="27">
        <f t="shared" si="163"/>
        <v>45439</v>
      </c>
      <c r="BE440" s="5">
        <f>MONTH(Modelling[[#This Row],[Date]])</f>
        <v>5</v>
      </c>
      <c r="BF440" s="25">
        <f>YEAR(BD440)+IF(MONTH(Modelling[[#This Row],[Date]])&gt;=4,1,0)</f>
        <v>2025</v>
      </c>
      <c r="BG440" s="3">
        <f t="shared" si="157"/>
        <v>2024</v>
      </c>
      <c r="BH440" s="3" t="s">
        <v>627</v>
      </c>
      <c r="BI440" s="3" t="s">
        <v>627</v>
      </c>
      <c r="BJ440" s="102">
        <f>DATE(Modelling_old[[#This Row],[Calendor Year]],Modelling_old[[#This Row],[Start Month]],1)</f>
        <v>45413</v>
      </c>
      <c r="BK440" s="5">
        <f t="shared" si="158"/>
        <v>31</v>
      </c>
      <c r="BL440" s="5">
        <f t="shared" si="159"/>
        <v>5</v>
      </c>
      <c r="BM440" s="4">
        <f>Modelling_old[[#This Row],[Target E_Grid daily
MWh]]+Modelling_new[[#This Row],[Target E_Grid daily
MWh]]</f>
        <v>120.42215682757342</v>
      </c>
      <c r="BN440" s="4">
        <f>Modelling_old[[#This Row],[Target E_Grid MTD
MWh]]+Modelling_new[[#This Row],[Target E_Grid MTD
MWh]]</f>
        <v>3251.3982343444823</v>
      </c>
      <c r="BO440" s="4">
        <f>Modelling_old[[#This Row],[Target E_Grid YTD
MWh]]+Modelling_new[[#This Row],[Target E_Grid YTD
MWh]]</f>
        <v>6951.9948237251019</v>
      </c>
      <c r="BP440" s="4">
        <f>AVERAGE(Modelling_old[[#This Row],[Target POA Daily (KWh/m2)]],Modelling_new[[#This Row],[Target POA Daily (KWh/m2)]])</f>
        <v>6.5290322580645164</v>
      </c>
      <c r="BQ440" s="4">
        <f>SUM($BP$414:BP440)</f>
        <v>176.28387096774196</v>
      </c>
      <c r="BR440" s="4">
        <f>SUM($BP$384:BP440)</f>
        <v>374.9838709677415</v>
      </c>
      <c r="BS440" s="323">
        <f>BM440/Modelling[[#This Row],[Comisined DC ]]/BP440</f>
        <v>0.75891985169387688</v>
      </c>
      <c r="BT440" s="337">
        <f>BN440/BQ440/Modelling[[#This Row],[Comisined DC ]]</f>
        <v>0.75891985169387688</v>
      </c>
      <c r="BU440" s="337">
        <f>BO440/BR440/Modelling[[#This Row],[Comisined DC ]]</f>
        <v>0.76284302245298019</v>
      </c>
      <c r="BV440" s="323">
        <f>BM440/(24*Modelling[[#This Row],[Comisined DC ]])</f>
        <v>0.2064588413747859</v>
      </c>
      <c r="BW440" s="323">
        <f>Modelling[[#This Row],[Target E_Grid MTD
MWh]]/Modelling[[#This Row],[MTD DC Capcity]]/(24*CG440)</f>
        <v>0.20645884137478601</v>
      </c>
      <c r="BX440" s="338">
        <f>Modelling[[#This Row],[Target E_Grid YTD
MWh]]/Modelling[[#This Row],[YTD DC Capcity]]/(24*CH440)</f>
        <v>0.20910367653519751</v>
      </c>
      <c r="BY440" s="4">
        <f>Modelling_old[[#This Row],[DC Capcity]]+Modelling_new[[#This Row],[Comisined DC ]]</f>
        <v>24.303100000000001</v>
      </c>
      <c r="BZ440" s="4">
        <v>0</v>
      </c>
      <c r="CA440">
        <f>AVERAGEIFS(Modelling[[Comisined DC ]],Modelling[Date],"&lt;="&amp;Modelling[[#This Row],[Date]],Modelling[Month Year],Modelling[[#This Row],[Month Year]])</f>
        <v>24.303099999999986</v>
      </c>
      <c r="CB440">
        <f>AVERAGEIFS(Modelling[[Comisined DC ]],Modelling[Date],"&lt;="&amp;Modelling[[#This Row],[Date]],Modelling[Finacial Year],Modelling[[#This Row],[Finacial Year]])</f>
        <v>24.303100000000008</v>
      </c>
      <c r="CG440">
        <f t="shared" si="160"/>
        <v>27</v>
      </c>
      <c r="CH440">
        <f t="shared" si="161"/>
        <v>57</v>
      </c>
    </row>
    <row r="441" spans="1:86" x14ac:dyDescent="0.35">
      <c r="A441" s="27">
        <f t="shared" si="139"/>
        <v>45440</v>
      </c>
      <c r="B441" s="5">
        <f>MONTH(Modelling_old[[#This Row],[Date]])</f>
        <v>5</v>
      </c>
      <c r="C441" s="25">
        <f t="shared" si="140"/>
        <v>2025</v>
      </c>
      <c r="D441" s="3">
        <f t="shared" si="141"/>
        <v>2024</v>
      </c>
      <c r="E441" s="3" t="s">
        <v>627</v>
      </c>
      <c r="F441" s="3" t="s">
        <v>627</v>
      </c>
      <c r="G441" s="102">
        <f>DATE(Modelling_old[[#This Row],[Calendor Year]],Modelling_old[[#This Row],[Start Month]],1)</f>
        <v>45413</v>
      </c>
      <c r="H441" s="5">
        <f t="shared" si="142"/>
        <v>31</v>
      </c>
      <c r="I441" s="5">
        <f t="shared" si="143"/>
        <v>5</v>
      </c>
      <c r="J441" s="4">
        <f>_xlfn.XLOOKUP(Modelling_old[[#This Row],[Month]],$C$1:$C$14,$N$1:$N$14)/Modelling_old[[#This Row],[Total Days]]</f>
        <v>50.761290322580649</v>
      </c>
      <c r="K441" s="4">
        <f>SUM($J$414:J441)</f>
        <v>1421.316129032258</v>
      </c>
      <c r="L441" s="4">
        <f>SUM($J$384:J441)</f>
        <v>2950.4161290322622</v>
      </c>
      <c r="M441" s="4">
        <f t="shared" si="144"/>
        <v>6.5290322580645164</v>
      </c>
      <c r="N441" s="4">
        <f>SUM($M$414:M441)</f>
        <v>182.81290322580648</v>
      </c>
      <c r="O441" s="4">
        <f>SUM($M$384:M441)</f>
        <v>381.51290322580599</v>
      </c>
      <c r="P441" s="323">
        <f t="shared" si="145"/>
        <v>0.67587898543107972</v>
      </c>
      <c r="Q441" s="337">
        <f t="shared" si="146"/>
        <v>0.6758789854310796</v>
      </c>
      <c r="R441" s="337">
        <f t="shared" si="147"/>
        <v>0.67229386382536349</v>
      </c>
      <c r="S441" s="323">
        <f t="shared" si="148"/>
        <v>0.18386815410114321</v>
      </c>
      <c r="T441" s="9">
        <f>Modelling_old[[#This Row],[Target E_Grid MTD
MWh]]/Modelling_old[[#This Row],[DC Capcity]]/(24*CG441)</f>
        <v>0.18386815410114318</v>
      </c>
      <c r="U441" s="338">
        <f>Modelling_old[[#This Row],[Target E_Grid YTD
MWh]]/Modelling_old[[#This Row],[DC Capcity]]/(24*CH441)</f>
        <v>0.18425918377076803</v>
      </c>
      <c r="V441" s="134">
        <v>11.5031</v>
      </c>
      <c r="Y441" s="27">
        <f t="shared" si="162"/>
        <v>45440</v>
      </c>
      <c r="Z441" s="5">
        <f>MONTH(Modelling_new[[#This Row],[Date]])</f>
        <v>5</v>
      </c>
      <c r="AA441" s="25">
        <f>YEAR(Y441)+IF(MONTH(Modelling_new[[#This Row],[Date]])&gt;=4,1,0)</f>
        <v>2025</v>
      </c>
      <c r="AB441" s="3">
        <f t="shared" si="149"/>
        <v>2024</v>
      </c>
      <c r="AC441" s="3" t="s">
        <v>627</v>
      </c>
      <c r="AD441" s="3" t="s">
        <v>627</v>
      </c>
      <c r="AE441" s="102">
        <f>DATE(Modelling_old[[#This Row],[Calendor Year]],Modelling_old[[#This Row],[Start Month]],1)</f>
        <v>45413</v>
      </c>
      <c r="AF441" s="5">
        <f t="shared" si="150"/>
        <v>31</v>
      </c>
      <c r="AG441" s="5">
        <f t="shared" si="151"/>
        <v>5</v>
      </c>
      <c r="AH441" s="4">
        <f>_xlfn.XLOOKUP(Modelling_new[[#This Row],[Month]],$AA$1:$AA$14,$AL$1:$AL$14)/Modelling_new[[#This Row],[Total Days]]</f>
        <v>69.660866504992768</v>
      </c>
      <c r="AI441" s="4">
        <f>SUM($AH$414:AH441)</f>
        <v>1950.5042621397977</v>
      </c>
      <c r="AJ441" s="4">
        <f>SUM($AH$384:AH441)</f>
        <v>4122.0008515204136</v>
      </c>
      <c r="AK441" s="4">
        <f t="shared" si="152"/>
        <v>6.5290322580645164</v>
      </c>
      <c r="AL441" s="4">
        <f>SUM($AK$414:AK441)</f>
        <v>182.81290322580648</v>
      </c>
      <c r="AM441" s="4">
        <f>SUM($AK$384:AK441)</f>
        <v>381.51290322580599</v>
      </c>
      <c r="AN441" s="323">
        <f t="shared" si="153"/>
        <v>0.92752401442995447</v>
      </c>
      <c r="AO441" s="323">
        <f t="shared" si="154"/>
        <v>0.92752401442995425</v>
      </c>
      <c r="AP441" s="323">
        <f t="shared" si="155"/>
        <v>0.9392559415234254</v>
      </c>
      <c r="AQ441" s="323">
        <f t="shared" si="156"/>
        <v>0.25232642543094463</v>
      </c>
      <c r="AR441" s="323">
        <f>Modelling_new[[#This Row],[Target E_Grid MTD
MWh]]/Modelling_new[[#This Row],[MTD DC Capcity]]/(24*CG441)</f>
        <v>0.22676063315427322</v>
      </c>
      <c r="AS441" s="323">
        <f>Modelling_new[[#This Row],[Target E_Grid YTD
MWh]]/Modelling_new[[#This Row],[YTD DC Capcity]]/(24*CH441)</f>
        <v>0.23134433658407511</v>
      </c>
      <c r="AT441" s="5">
        <v>12.8</v>
      </c>
      <c r="AU441" s="9">
        <f>Modelling_new[[#This Row],[Comisined DC ]]/$AO$1</f>
        <v>1</v>
      </c>
      <c r="AV441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441" s="5">
        <f>AVERAGEIFS(Modelling_new[[Comisined DC ]],Modelling_new[Date],"&lt;="&amp;Modelling_new[[#This Row],[Date]],Modelling_new[[Comisined DC ]],"&gt;"&amp;0,Modelling_new[Finacial Year],Modelling_new[[#This Row],[Finacial Year]])</f>
        <v>12.79999999999999</v>
      </c>
      <c r="BD441" s="27">
        <f t="shared" si="163"/>
        <v>45440</v>
      </c>
      <c r="BE441" s="5">
        <f>MONTH(Modelling[[#This Row],[Date]])</f>
        <v>5</v>
      </c>
      <c r="BF441" s="25">
        <f>YEAR(BD441)+IF(MONTH(Modelling[[#This Row],[Date]])&gt;=4,1,0)</f>
        <v>2025</v>
      </c>
      <c r="BG441" s="3">
        <f t="shared" si="157"/>
        <v>2024</v>
      </c>
      <c r="BH441" s="3" t="s">
        <v>627</v>
      </c>
      <c r="BI441" s="3" t="s">
        <v>627</v>
      </c>
      <c r="BJ441" s="102">
        <f>DATE(Modelling_old[[#This Row],[Calendor Year]],Modelling_old[[#This Row],[Start Month]],1)</f>
        <v>45413</v>
      </c>
      <c r="BK441" s="5">
        <f t="shared" si="158"/>
        <v>31</v>
      </c>
      <c r="BL441" s="5">
        <f t="shared" si="159"/>
        <v>5</v>
      </c>
      <c r="BM441" s="4">
        <f>Modelling_old[[#This Row],[Target E_Grid daily
MWh]]+Modelling_new[[#This Row],[Target E_Grid daily
MWh]]</f>
        <v>120.42215682757342</v>
      </c>
      <c r="BN441" s="4">
        <f>Modelling_old[[#This Row],[Target E_Grid MTD
MWh]]+Modelling_new[[#This Row],[Target E_Grid MTD
MWh]]</f>
        <v>3371.8203911720557</v>
      </c>
      <c r="BO441" s="4">
        <f>Modelling_old[[#This Row],[Target E_Grid YTD
MWh]]+Modelling_new[[#This Row],[Target E_Grid YTD
MWh]]</f>
        <v>7072.4169805526763</v>
      </c>
      <c r="BP441" s="4">
        <f>AVERAGE(Modelling_old[[#This Row],[Target POA Daily (KWh/m2)]],Modelling_new[[#This Row],[Target POA Daily (KWh/m2)]])</f>
        <v>6.5290322580645164</v>
      </c>
      <c r="BQ441" s="4">
        <f>SUM($BP$414:BP441)</f>
        <v>182.81290322580648</v>
      </c>
      <c r="BR441" s="4">
        <f>SUM($BP$384:BP441)</f>
        <v>381.51290322580599</v>
      </c>
      <c r="BS441" s="323">
        <f>BM441/Modelling[[#This Row],[Comisined DC ]]/BP441</f>
        <v>0.75891985169387688</v>
      </c>
      <c r="BT441" s="337">
        <f>BN441/BQ441/Modelling[[#This Row],[Comisined DC ]]</f>
        <v>0.75891985169387688</v>
      </c>
      <c r="BU441" s="337">
        <f>BO441/BR441/Modelling[[#This Row],[Comisined DC ]]</f>
        <v>0.76277588315513878</v>
      </c>
      <c r="BV441" s="323">
        <f>BM441/(24*Modelling[[#This Row],[Comisined DC ]])</f>
        <v>0.2064588413747859</v>
      </c>
      <c r="BW441" s="323">
        <f>Modelling[[#This Row],[Target E_Grid MTD
MWh]]/Modelling[[#This Row],[MTD DC Capcity]]/(24*CG441)</f>
        <v>0.20645884137478601</v>
      </c>
      <c r="BX441" s="338">
        <f>Modelling[[#This Row],[Target E_Grid YTD
MWh]]/Modelling[[#This Row],[YTD DC Capcity]]/(24*CH441)</f>
        <v>0.20905807592898354</v>
      </c>
      <c r="BY441" s="4">
        <f>Modelling_old[[#This Row],[DC Capcity]]+Modelling_new[[#This Row],[Comisined DC ]]</f>
        <v>24.303100000000001</v>
      </c>
      <c r="BZ441" s="4">
        <v>0</v>
      </c>
      <c r="CA441">
        <f>AVERAGEIFS(Modelling[[Comisined DC ]],Modelling[Date],"&lt;="&amp;Modelling[[#This Row],[Date]],Modelling[Month Year],Modelling[[#This Row],[Month Year]])</f>
        <v>24.303099999999983</v>
      </c>
      <c r="CB441">
        <f>AVERAGEIFS(Modelling[[Comisined DC ]],Modelling[Date],"&lt;="&amp;Modelling[[#This Row],[Date]],Modelling[Finacial Year],Modelling[[#This Row],[Finacial Year]])</f>
        <v>24.303100000000008</v>
      </c>
      <c r="CG441">
        <f t="shared" si="160"/>
        <v>28</v>
      </c>
      <c r="CH441">
        <f t="shared" si="161"/>
        <v>58</v>
      </c>
    </row>
    <row r="442" spans="1:86" x14ac:dyDescent="0.35">
      <c r="A442" s="27">
        <f t="shared" si="139"/>
        <v>45441</v>
      </c>
      <c r="B442" s="5">
        <f>MONTH(Modelling_old[[#This Row],[Date]])</f>
        <v>5</v>
      </c>
      <c r="C442" s="25">
        <f t="shared" si="140"/>
        <v>2025</v>
      </c>
      <c r="D442" s="3">
        <f t="shared" si="141"/>
        <v>2024</v>
      </c>
      <c r="E442" s="3" t="s">
        <v>627</v>
      </c>
      <c r="F442" s="3" t="s">
        <v>627</v>
      </c>
      <c r="G442" s="102">
        <f>DATE(Modelling_old[[#This Row],[Calendor Year]],Modelling_old[[#This Row],[Start Month]],1)</f>
        <v>45413</v>
      </c>
      <c r="H442" s="5">
        <f t="shared" si="142"/>
        <v>31</v>
      </c>
      <c r="I442" s="5">
        <f t="shared" si="143"/>
        <v>5</v>
      </c>
      <c r="J442" s="4">
        <f>_xlfn.XLOOKUP(Modelling_old[[#This Row],[Month]],$C$1:$C$14,$N$1:$N$14)/Modelling_old[[#This Row],[Total Days]]</f>
        <v>50.761290322580649</v>
      </c>
      <c r="K442" s="4">
        <f>SUM($J$414:J442)</f>
        <v>1472.0774193548386</v>
      </c>
      <c r="L442" s="4">
        <f>SUM($J$384:J442)</f>
        <v>3001.1774193548431</v>
      </c>
      <c r="M442" s="4">
        <f t="shared" si="144"/>
        <v>6.5290322580645164</v>
      </c>
      <c r="N442" s="4">
        <f>SUM($M$414:M442)</f>
        <v>189.341935483871</v>
      </c>
      <c r="O442" s="4">
        <f>SUM($M$384:M442)</f>
        <v>388.04193548387047</v>
      </c>
      <c r="P442" s="323">
        <f t="shared" si="145"/>
        <v>0.67587898543107972</v>
      </c>
      <c r="Q442" s="337">
        <f t="shared" si="146"/>
        <v>0.6758789854310796</v>
      </c>
      <c r="R442" s="337">
        <f t="shared" si="147"/>
        <v>0.67235418559080273</v>
      </c>
      <c r="S442" s="323">
        <f t="shared" si="148"/>
        <v>0.18386815410114321</v>
      </c>
      <c r="T442" s="9">
        <f>Modelling_old[[#This Row],[Target E_Grid MTD
MWh]]/Modelling_old[[#This Row],[DC Capcity]]/(24*CG442)</f>
        <v>0.18386815410114318</v>
      </c>
      <c r="U442" s="338">
        <f>Modelling_old[[#This Row],[Target E_Grid YTD
MWh]]/Modelling_old[[#This Row],[DC Capcity]]/(24*CH442)</f>
        <v>0.18425255614924896</v>
      </c>
      <c r="V442" s="134">
        <v>11.5031</v>
      </c>
      <c r="Y442" s="27">
        <f t="shared" si="162"/>
        <v>45441</v>
      </c>
      <c r="Z442" s="5">
        <f>MONTH(Modelling_new[[#This Row],[Date]])</f>
        <v>5</v>
      </c>
      <c r="AA442" s="25">
        <f>YEAR(Y442)+IF(MONTH(Modelling_new[[#This Row],[Date]])&gt;=4,1,0)</f>
        <v>2025</v>
      </c>
      <c r="AB442" s="3">
        <f t="shared" si="149"/>
        <v>2024</v>
      </c>
      <c r="AC442" s="3" t="s">
        <v>627</v>
      </c>
      <c r="AD442" s="3" t="s">
        <v>627</v>
      </c>
      <c r="AE442" s="102">
        <f>DATE(Modelling_old[[#This Row],[Calendor Year]],Modelling_old[[#This Row],[Start Month]],1)</f>
        <v>45413</v>
      </c>
      <c r="AF442" s="5">
        <f t="shared" si="150"/>
        <v>31</v>
      </c>
      <c r="AG442" s="5">
        <f t="shared" si="151"/>
        <v>5</v>
      </c>
      <c r="AH442" s="4">
        <f>_xlfn.XLOOKUP(Modelling_new[[#This Row],[Month]],$AA$1:$AA$14,$AL$1:$AL$14)/Modelling_new[[#This Row],[Total Days]]</f>
        <v>69.660866504992768</v>
      </c>
      <c r="AI442" s="4">
        <f>SUM($AH$414:AH442)</f>
        <v>2020.1651286447905</v>
      </c>
      <c r="AJ442" s="4">
        <f>SUM($AH$384:AH442)</f>
        <v>4191.6617180254061</v>
      </c>
      <c r="AK442" s="4">
        <f t="shared" si="152"/>
        <v>6.5290322580645164</v>
      </c>
      <c r="AL442" s="4">
        <f>SUM($AK$414:AK442)</f>
        <v>189.341935483871</v>
      </c>
      <c r="AM442" s="4">
        <f>SUM($AK$384:AK442)</f>
        <v>388.04193548387047</v>
      </c>
      <c r="AN442" s="323">
        <f t="shared" si="153"/>
        <v>0.92752401442995447</v>
      </c>
      <c r="AO442" s="323">
        <f t="shared" si="154"/>
        <v>0.92752401442995425</v>
      </c>
      <c r="AP442" s="323">
        <f t="shared" si="155"/>
        <v>0.93905854499630259</v>
      </c>
      <c r="AQ442" s="323">
        <f t="shared" si="156"/>
        <v>0.25232642543094463</v>
      </c>
      <c r="AR442" s="323">
        <f>Modelling_new[[#This Row],[Target E_Grid MTD
MWh]]/Modelling_new[[#This Row],[MTD DC Capcity]]/(24*CG442)</f>
        <v>0.22676063315427322</v>
      </c>
      <c r="AS442" s="323">
        <f>Modelling_new[[#This Row],[Target E_Grid YTD
MWh]]/Modelling_new[[#This Row],[YTD DC Capcity]]/(24*CH442)</f>
        <v>0.2312666466954344</v>
      </c>
      <c r="AT442" s="5">
        <v>12.8</v>
      </c>
      <c r="AU442" s="9">
        <f>Modelling_new[[#This Row],[Comisined DC ]]/$AO$1</f>
        <v>1</v>
      </c>
      <c r="AV442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442" s="5">
        <f>AVERAGEIFS(Modelling_new[[Comisined DC ]],Modelling_new[Date],"&lt;="&amp;Modelling_new[[#This Row],[Date]],Modelling_new[[Comisined DC ]],"&gt;"&amp;0,Modelling_new[Finacial Year],Modelling_new[[#This Row],[Finacial Year]])</f>
        <v>12.79999999999999</v>
      </c>
      <c r="BD442" s="27">
        <f t="shared" si="163"/>
        <v>45441</v>
      </c>
      <c r="BE442" s="5">
        <f>MONTH(Modelling[[#This Row],[Date]])</f>
        <v>5</v>
      </c>
      <c r="BF442" s="25">
        <f>YEAR(BD442)+IF(MONTH(Modelling[[#This Row],[Date]])&gt;=4,1,0)</f>
        <v>2025</v>
      </c>
      <c r="BG442" s="3">
        <f t="shared" si="157"/>
        <v>2024</v>
      </c>
      <c r="BH442" s="3" t="s">
        <v>627</v>
      </c>
      <c r="BI442" s="3" t="s">
        <v>627</v>
      </c>
      <c r="BJ442" s="102">
        <f>DATE(Modelling_old[[#This Row],[Calendor Year]],Modelling_old[[#This Row],[Start Month]],1)</f>
        <v>45413</v>
      </c>
      <c r="BK442" s="5">
        <f t="shared" si="158"/>
        <v>31</v>
      </c>
      <c r="BL442" s="5">
        <f t="shared" si="159"/>
        <v>5</v>
      </c>
      <c r="BM442" s="4">
        <f>Modelling_old[[#This Row],[Target E_Grid daily
MWh]]+Modelling_new[[#This Row],[Target E_Grid daily
MWh]]</f>
        <v>120.42215682757342</v>
      </c>
      <c r="BN442" s="4">
        <f>Modelling_old[[#This Row],[Target E_Grid MTD
MWh]]+Modelling_new[[#This Row],[Target E_Grid MTD
MWh]]</f>
        <v>3492.2425479996291</v>
      </c>
      <c r="BO442" s="4">
        <f>Modelling_old[[#This Row],[Target E_Grid YTD
MWh]]+Modelling_new[[#This Row],[Target E_Grid YTD
MWh]]</f>
        <v>7192.8391373802497</v>
      </c>
      <c r="BP442" s="4">
        <f>AVERAGE(Modelling_old[[#This Row],[Target POA Daily (KWh/m2)]],Modelling_new[[#This Row],[Target POA Daily (KWh/m2)]])</f>
        <v>6.5290322580645164</v>
      </c>
      <c r="BQ442" s="4">
        <f>SUM($BP$414:BP442)</f>
        <v>189.341935483871</v>
      </c>
      <c r="BR442" s="4">
        <f>SUM($BP$384:BP442)</f>
        <v>388.04193548387047</v>
      </c>
      <c r="BS442" s="323">
        <f>BM442/Modelling[[#This Row],[Comisined DC ]]/BP442</f>
        <v>0.75891985169387688</v>
      </c>
      <c r="BT442" s="337">
        <f>BN442/BQ442/Modelling[[#This Row],[Comisined DC ]]</f>
        <v>0.75891985169387688</v>
      </c>
      <c r="BU442" s="337">
        <f>BO442/BR442/Modelling[[#This Row],[Comisined DC ]]</f>
        <v>0.76271100317311502</v>
      </c>
      <c r="BV442" s="323">
        <f>BM442/(24*Modelling[[#This Row],[Comisined DC ]])</f>
        <v>0.2064588413747859</v>
      </c>
      <c r="BW442" s="323">
        <f>Modelling[[#This Row],[Target E_Grid MTD
MWh]]/Modelling[[#This Row],[MTD DC Capcity]]/(24*CG442)</f>
        <v>0.20645884137478604</v>
      </c>
      <c r="BX442" s="338">
        <f>Modelling[[#This Row],[Target E_Grid YTD
MWh]]/Modelling[[#This Row],[YTD DC Capcity]]/(24*CH442)</f>
        <v>0.20901402110603101</v>
      </c>
      <c r="BY442" s="4">
        <f>Modelling_old[[#This Row],[DC Capcity]]+Modelling_new[[#This Row],[Comisined DC ]]</f>
        <v>24.303100000000001</v>
      </c>
      <c r="BZ442" s="4">
        <v>0</v>
      </c>
      <c r="CA442">
        <f>AVERAGEIFS(Modelling[[Comisined DC ]],Modelling[Date],"&lt;="&amp;Modelling[[#This Row],[Date]],Modelling[Month Year],Modelling[[#This Row],[Month Year]])</f>
        <v>24.303099999999983</v>
      </c>
      <c r="CB442">
        <f>AVERAGEIFS(Modelling[[Comisined DC ]],Modelling[Date],"&lt;="&amp;Modelling[[#This Row],[Date]],Modelling[Finacial Year],Modelling[[#This Row],[Finacial Year]])</f>
        <v>24.303100000000008</v>
      </c>
      <c r="CG442">
        <f t="shared" si="160"/>
        <v>29</v>
      </c>
      <c r="CH442">
        <f t="shared" si="161"/>
        <v>59</v>
      </c>
    </row>
    <row r="443" spans="1:86" x14ac:dyDescent="0.35">
      <c r="A443" s="27">
        <f t="shared" si="139"/>
        <v>45442</v>
      </c>
      <c r="B443" s="5">
        <f>MONTH(Modelling_old[[#This Row],[Date]])</f>
        <v>5</v>
      </c>
      <c r="C443" s="25">
        <f t="shared" si="140"/>
        <v>2025</v>
      </c>
      <c r="D443" s="3">
        <f t="shared" si="141"/>
        <v>2024</v>
      </c>
      <c r="E443" s="3" t="s">
        <v>627</v>
      </c>
      <c r="F443" s="3" t="s">
        <v>627</v>
      </c>
      <c r="G443" s="102">
        <f>DATE(Modelling_old[[#This Row],[Calendor Year]],Modelling_old[[#This Row],[Start Month]],1)</f>
        <v>45413</v>
      </c>
      <c r="H443" s="5">
        <f t="shared" si="142"/>
        <v>31</v>
      </c>
      <c r="I443" s="5">
        <f t="shared" si="143"/>
        <v>5</v>
      </c>
      <c r="J443" s="4">
        <f>_xlfn.XLOOKUP(Modelling_old[[#This Row],[Month]],$C$1:$C$14,$N$1:$N$14)/Modelling_old[[#This Row],[Total Days]]</f>
        <v>50.761290322580649</v>
      </c>
      <c r="K443" s="4">
        <f>SUM($J$414:J443)</f>
        <v>1522.8387096774193</v>
      </c>
      <c r="L443" s="4">
        <f>SUM($J$384:J443)</f>
        <v>3051.938709677424</v>
      </c>
      <c r="M443" s="4">
        <f t="shared" si="144"/>
        <v>6.5290322580645164</v>
      </c>
      <c r="N443" s="4">
        <f>SUM($M$414:M443)</f>
        <v>195.87096774193552</v>
      </c>
      <c r="O443" s="4">
        <f>SUM($M$384:M443)</f>
        <v>394.57096774193496</v>
      </c>
      <c r="P443" s="323">
        <f t="shared" si="145"/>
        <v>0.67587898543107972</v>
      </c>
      <c r="Q443" s="337">
        <f t="shared" si="146"/>
        <v>0.6758789854310796</v>
      </c>
      <c r="R443" s="337">
        <f t="shared" si="147"/>
        <v>0.67241251104741739</v>
      </c>
      <c r="S443" s="323">
        <f t="shared" si="148"/>
        <v>0.18386815410114321</v>
      </c>
      <c r="T443" s="9">
        <f>Modelling_old[[#This Row],[Target E_Grid MTD
MWh]]/Modelling_old[[#This Row],[DC Capcity]]/(24*CG443)</f>
        <v>0.18386815410114318</v>
      </c>
      <c r="U443" s="338">
        <f>Modelling_old[[#This Row],[Target E_Grid YTD
MWh]]/Modelling_old[[#This Row],[DC Capcity]]/(24*CH443)</f>
        <v>0.18424614944844725</v>
      </c>
      <c r="V443" s="134">
        <v>11.5031</v>
      </c>
      <c r="Y443" s="27">
        <f t="shared" si="162"/>
        <v>45442</v>
      </c>
      <c r="Z443" s="5">
        <f>MONTH(Modelling_new[[#This Row],[Date]])</f>
        <v>5</v>
      </c>
      <c r="AA443" s="25">
        <f>YEAR(Y443)+IF(MONTH(Modelling_new[[#This Row],[Date]])&gt;=4,1,0)</f>
        <v>2025</v>
      </c>
      <c r="AB443" s="3">
        <f t="shared" si="149"/>
        <v>2024</v>
      </c>
      <c r="AC443" s="3" t="s">
        <v>627</v>
      </c>
      <c r="AD443" s="3" t="s">
        <v>627</v>
      </c>
      <c r="AE443" s="102">
        <f>DATE(Modelling_old[[#This Row],[Calendor Year]],Modelling_old[[#This Row],[Start Month]],1)</f>
        <v>45413</v>
      </c>
      <c r="AF443" s="5">
        <f t="shared" si="150"/>
        <v>31</v>
      </c>
      <c r="AG443" s="5">
        <f t="shared" si="151"/>
        <v>5</v>
      </c>
      <c r="AH443" s="4">
        <f>_xlfn.XLOOKUP(Modelling_new[[#This Row],[Month]],$AA$1:$AA$14,$AL$1:$AL$14)/Modelling_new[[#This Row],[Total Days]]</f>
        <v>69.660866504992768</v>
      </c>
      <c r="AI443" s="4">
        <f>SUM($AH$414:AH443)</f>
        <v>2089.825995149783</v>
      </c>
      <c r="AJ443" s="4">
        <f>SUM($AH$384:AH443)</f>
        <v>4261.3225845303987</v>
      </c>
      <c r="AK443" s="4">
        <f t="shared" si="152"/>
        <v>6.5290322580645164</v>
      </c>
      <c r="AL443" s="4">
        <f>SUM($AK$414:AK443)</f>
        <v>195.87096774193552</v>
      </c>
      <c r="AM443" s="4">
        <f>SUM($AK$384:AK443)</f>
        <v>394.57096774193496</v>
      </c>
      <c r="AN443" s="323">
        <f t="shared" si="153"/>
        <v>0.92752401442995447</v>
      </c>
      <c r="AO443" s="323">
        <f t="shared" si="154"/>
        <v>0.92752401442995425</v>
      </c>
      <c r="AP443" s="323">
        <f t="shared" si="155"/>
        <v>0.93886768117634056</v>
      </c>
      <c r="AQ443" s="323">
        <f t="shared" si="156"/>
        <v>0.25232642543094463</v>
      </c>
      <c r="AR443" s="323">
        <f>Modelling_new[[#This Row],[Target E_Grid MTD
MWh]]/Modelling_new[[#This Row],[MTD DC Capcity]]/(24*CG443)</f>
        <v>0.22676063315427322</v>
      </c>
      <c r="AS443" s="323">
        <f>Modelling_new[[#This Row],[Target E_Grid YTD
MWh]]/Modelling_new[[#This Row],[YTD DC Capcity]]/(24*CH443)</f>
        <v>0.2311915464697484</v>
      </c>
      <c r="AT443" s="5">
        <v>12.8</v>
      </c>
      <c r="AU443" s="9">
        <f>Modelling_new[[#This Row],[Comisined DC ]]/$AO$1</f>
        <v>1</v>
      </c>
      <c r="AV443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443" s="5">
        <f>AVERAGEIFS(Modelling_new[[Comisined DC ]],Modelling_new[Date],"&lt;="&amp;Modelling_new[[#This Row],[Date]],Modelling_new[[Comisined DC ]],"&gt;"&amp;0,Modelling_new[Finacial Year],Modelling_new[[#This Row],[Finacial Year]])</f>
        <v>12.799999999999988</v>
      </c>
      <c r="BD443" s="27">
        <f t="shared" si="163"/>
        <v>45442</v>
      </c>
      <c r="BE443" s="5">
        <f>MONTH(Modelling[[#This Row],[Date]])</f>
        <v>5</v>
      </c>
      <c r="BF443" s="25">
        <f>YEAR(BD443)+IF(MONTH(Modelling[[#This Row],[Date]])&gt;=4,1,0)</f>
        <v>2025</v>
      </c>
      <c r="BG443" s="3">
        <f t="shared" si="157"/>
        <v>2024</v>
      </c>
      <c r="BH443" s="3" t="s">
        <v>627</v>
      </c>
      <c r="BI443" s="3" t="s">
        <v>627</v>
      </c>
      <c r="BJ443" s="102">
        <f>DATE(Modelling_old[[#This Row],[Calendor Year]],Modelling_old[[#This Row],[Start Month]],1)</f>
        <v>45413</v>
      </c>
      <c r="BK443" s="5">
        <f t="shared" si="158"/>
        <v>31</v>
      </c>
      <c r="BL443" s="5">
        <f t="shared" si="159"/>
        <v>5</v>
      </c>
      <c r="BM443" s="4">
        <f>Modelling_old[[#This Row],[Target E_Grid daily
MWh]]+Modelling_new[[#This Row],[Target E_Grid daily
MWh]]</f>
        <v>120.42215682757342</v>
      </c>
      <c r="BN443" s="4">
        <f>Modelling_old[[#This Row],[Target E_Grid MTD
MWh]]+Modelling_new[[#This Row],[Target E_Grid MTD
MWh]]</f>
        <v>3612.6647048272025</v>
      </c>
      <c r="BO443" s="4">
        <f>Modelling_old[[#This Row],[Target E_Grid YTD
MWh]]+Modelling_new[[#This Row],[Target E_Grid YTD
MWh]]</f>
        <v>7313.2612942078231</v>
      </c>
      <c r="BP443" s="4">
        <f>AVERAGE(Modelling_old[[#This Row],[Target POA Daily (KWh/m2)]],Modelling_new[[#This Row],[Target POA Daily (KWh/m2)]])</f>
        <v>6.5290322580645164</v>
      </c>
      <c r="BQ443" s="4">
        <f>SUM($BP$414:BP443)</f>
        <v>195.87096774193552</v>
      </c>
      <c r="BR443" s="4">
        <f>SUM($BP$384:BP443)</f>
        <v>394.57096774193496</v>
      </c>
      <c r="BS443" s="323">
        <f>BM443/Modelling[[#This Row],[Comisined DC ]]/BP443</f>
        <v>0.75891985169387688</v>
      </c>
      <c r="BT443" s="337">
        <f>BN443/BQ443/Modelling[[#This Row],[Comisined DC ]]</f>
        <v>0.75891985169387688</v>
      </c>
      <c r="BU443" s="337">
        <f>BO443/BR443/Modelling[[#This Row],[Comisined DC ]]</f>
        <v>0.76264827035107086</v>
      </c>
      <c r="BV443" s="323">
        <f>BM443/(24*Modelling[[#This Row],[Comisined DC ]])</f>
        <v>0.2064588413747859</v>
      </c>
      <c r="BW443" s="323">
        <f>Modelling[[#This Row],[Target E_Grid MTD
MWh]]/Modelling[[#This Row],[MTD DC Capcity]]/(24*CG443)</f>
        <v>0.20645884137478604</v>
      </c>
      <c r="BX443" s="338">
        <f>Modelling[[#This Row],[Target E_Grid YTD
MWh]]/Modelling[[#This Row],[YTD DC Capcity]]/(24*CH443)</f>
        <v>0.20897143477717692</v>
      </c>
      <c r="BY443" s="4">
        <f>Modelling_old[[#This Row],[DC Capcity]]+Modelling_new[[#This Row],[Comisined DC ]]</f>
        <v>24.303100000000001</v>
      </c>
      <c r="BZ443" s="4">
        <v>0</v>
      </c>
      <c r="CA443">
        <f>AVERAGEIFS(Modelling[[Comisined DC ]],Modelling[Date],"&lt;="&amp;Modelling[[#This Row],[Date]],Modelling[Month Year],Modelling[[#This Row],[Month Year]])</f>
        <v>24.303099999999983</v>
      </c>
      <c r="CB443">
        <f>AVERAGEIFS(Modelling[[Comisined DC ]],Modelling[Date],"&lt;="&amp;Modelling[[#This Row],[Date]],Modelling[Finacial Year],Modelling[[#This Row],[Finacial Year]])</f>
        <v>24.303100000000011</v>
      </c>
      <c r="CG443">
        <f t="shared" si="160"/>
        <v>30</v>
      </c>
      <c r="CH443">
        <f t="shared" si="161"/>
        <v>60</v>
      </c>
    </row>
    <row r="444" spans="1:86" x14ac:dyDescent="0.35">
      <c r="A444" s="27">
        <f t="shared" si="139"/>
        <v>45443</v>
      </c>
      <c r="B444" s="5">
        <f>MONTH(Modelling_old[[#This Row],[Date]])</f>
        <v>5</v>
      </c>
      <c r="C444" s="25">
        <f t="shared" si="140"/>
        <v>2025</v>
      </c>
      <c r="D444" s="3">
        <f t="shared" si="141"/>
        <v>2024</v>
      </c>
      <c r="E444" s="3" t="s">
        <v>627</v>
      </c>
      <c r="F444" s="3" t="s">
        <v>627</v>
      </c>
      <c r="G444" s="102">
        <f>DATE(Modelling_old[[#This Row],[Calendor Year]],Modelling_old[[#This Row],[Start Month]],1)</f>
        <v>45413</v>
      </c>
      <c r="H444" s="5">
        <f t="shared" si="142"/>
        <v>31</v>
      </c>
      <c r="I444" s="5">
        <f t="shared" si="143"/>
        <v>5</v>
      </c>
      <c r="J444" s="4">
        <f>_xlfn.XLOOKUP(Modelling_old[[#This Row],[Month]],$C$1:$C$14,$N$1:$N$14)/Modelling_old[[#This Row],[Total Days]]</f>
        <v>50.761290322580649</v>
      </c>
      <c r="K444" s="4">
        <f>SUM($J$414:J444)</f>
        <v>1573.6</v>
      </c>
      <c r="L444" s="4">
        <f>SUM($J$384:J444)</f>
        <v>3102.7000000000048</v>
      </c>
      <c r="M444" s="4">
        <f t="shared" si="144"/>
        <v>6.5290322580645164</v>
      </c>
      <c r="N444" s="4">
        <f>SUM($M$414:M444)</f>
        <v>202.40000000000003</v>
      </c>
      <c r="O444" s="4">
        <f>SUM($M$384:M444)</f>
        <v>401.09999999999945</v>
      </c>
      <c r="P444" s="323">
        <f t="shared" si="145"/>
        <v>0.67587898543107972</v>
      </c>
      <c r="Q444" s="337">
        <f t="shared" si="146"/>
        <v>0.6758789854310796</v>
      </c>
      <c r="R444" s="337">
        <f t="shared" si="147"/>
        <v>0.67246893768185445</v>
      </c>
      <c r="S444" s="323">
        <f t="shared" si="148"/>
        <v>0.18386815410114321</v>
      </c>
      <c r="T444" s="9">
        <f>Modelling_old[[#This Row],[Target E_Grid MTD
MWh]]/Modelling_old[[#This Row],[DC Capcity]]/(24*CG444)</f>
        <v>0.18386815410114316</v>
      </c>
      <c r="U444" s="338">
        <f>Modelling_old[[#This Row],[Target E_Grid YTD
MWh]]/Modelling_old[[#This Row],[DC Capcity]]/(24*CH444)</f>
        <v>0.18423995280340949</v>
      </c>
      <c r="V444" s="134">
        <v>11.5031</v>
      </c>
      <c r="Y444" s="27">
        <f t="shared" si="162"/>
        <v>45443</v>
      </c>
      <c r="Z444" s="5">
        <f>MONTH(Modelling_new[[#This Row],[Date]])</f>
        <v>5</v>
      </c>
      <c r="AA444" s="25">
        <f>YEAR(Y444)+IF(MONTH(Modelling_new[[#This Row],[Date]])&gt;=4,1,0)</f>
        <v>2025</v>
      </c>
      <c r="AB444" s="3">
        <f t="shared" si="149"/>
        <v>2024</v>
      </c>
      <c r="AC444" s="3" t="s">
        <v>627</v>
      </c>
      <c r="AD444" s="3" t="s">
        <v>627</v>
      </c>
      <c r="AE444" s="102">
        <f>DATE(Modelling_old[[#This Row],[Calendor Year]],Modelling_old[[#This Row],[Start Month]],1)</f>
        <v>45413</v>
      </c>
      <c r="AF444" s="5">
        <f t="shared" si="150"/>
        <v>31</v>
      </c>
      <c r="AG444" s="5">
        <f t="shared" si="151"/>
        <v>5</v>
      </c>
      <c r="AH444" s="4">
        <f>_xlfn.XLOOKUP(Modelling_new[[#This Row],[Month]],$AA$1:$AA$14,$AL$1:$AL$14)/Modelling_new[[#This Row],[Total Days]]</f>
        <v>69.660866504992768</v>
      </c>
      <c r="AI444" s="4">
        <f>SUM($AH$414:AH444)</f>
        <v>2159.4868616547756</v>
      </c>
      <c r="AJ444" s="4">
        <f>SUM($AH$384:AH444)</f>
        <v>4330.9834510353912</v>
      </c>
      <c r="AK444" s="4">
        <f t="shared" si="152"/>
        <v>6.5290322580645164</v>
      </c>
      <c r="AL444" s="4">
        <f>SUM($AK$414:AK444)</f>
        <v>202.40000000000003</v>
      </c>
      <c r="AM444" s="4">
        <f>SUM($AK$384:AK444)</f>
        <v>401.09999999999945</v>
      </c>
      <c r="AN444" s="323">
        <f t="shared" si="153"/>
        <v>0.92752401442995447</v>
      </c>
      <c r="AO444" s="323">
        <f t="shared" si="154"/>
        <v>0.92752401442995414</v>
      </c>
      <c r="AP444" s="323">
        <f t="shared" si="155"/>
        <v>0.93868303104891126</v>
      </c>
      <c r="AQ444" s="323">
        <f t="shared" si="156"/>
        <v>0.25232642543094463</v>
      </c>
      <c r="AR444" s="323">
        <f>Modelling_new[[#This Row],[Target E_Grid MTD
MWh]]/Modelling_new[[#This Row],[MTD DC Capcity]]/(24*CG444)</f>
        <v>0.22676063315427319</v>
      </c>
      <c r="AS444" s="323">
        <f>Modelling_new[[#This Row],[Target E_Grid YTD
MWh]]/Modelling_new[[#This Row],[YTD DC Capcity]]/(24*CH444)</f>
        <v>0.23111890854654391</v>
      </c>
      <c r="AT444" s="5">
        <v>12.8</v>
      </c>
      <c r="AU444" s="9">
        <f>Modelling_new[[#This Row],[Comisined DC ]]/$AO$1</f>
        <v>1</v>
      </c>
      <c r="AV444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444" s="5">
        <f>AVERAGEIFS(Modelling_new[[Comisined DC ]],Modelling_new[Date],"&lt;="&amp;Modelling_new[[#This Row],[Date]],Modelling_new[[Comisined DC ]],"&gt;"&amp;0,Modelling_new[Finacial Year],Modelling_new[[#This Row],[Finacial Year]])</f>
        <v>12.799999999999988</v>
      </c>
      <c r="BD444" s="27">
        <f t="shared" si="163"/>
        <v>45443</v>
      </c>
      <c r="BE444" s="5">
        <f>MONTH(Modelling[[#This Row],[Date]])</f>
        <v>5</v>
      </c>
      <c r="BF444" s="25">
        <f>YEAR(BD444)+IF(MONTH(Modelling[[#This Row],[Date]])&gt;=4,1,0)</f>
        <v>2025</v>
      </c>
      <c r="BG444" s="3">
        <f t="shared" si="157"/>
        <v>2024</v>
      </c>
      <c r="BH444" s="3" t="s">
        <v>627</v>
      </c>
      <c r="BI444" s="3" t="s">
        <v>627</v>
      </c>
      <c r="BJ444" s="102">
        <f>DATE(Modelling_old[[#This Row],[Calendor Year]],Modelling_old[[#This Row],[Start Month]],1)</f>
        <v>45413</v>
      </c>
      <c r="BK444" s="5">
        <f t="shared" si="158"/>
        <v>31</v>
      </c>
      <c r="BL444" s="5">
        <f t="shared" si="159"/>
        <v>5</v>
      </c>
      <c r="BM444" s="4">
        <f>Modelling_old[[#This Row],[Target E_Grid daily
MWh]]+Modelling_new[[#This Row],[Target E_Grid daily
MWh]]</f>
        <v>120.42215682757342</v>
      </c>
      <c r="BN444" s="4">
        <f>Modelling_old[[#This Row],[Target E_Grid MTD
MWh]]+Modelling_new[[#This Row],[Target E_Grid MTD
MWh]]</f>
        <v>3733.0868616547755</v>
      </c>
      <c r="BO444" s="4">
        <f>Modelling_old[[#This Row],[Target E_Grid YTD
MWh]]+Modelling_new[[#This Row],[Target E_Grid YTD
MWh]]</f>
        <v>7433.6834510353965</v>
      </c>
      <c r="BP444" s="4">
        <f>AVERAGE(Modelling_old[[#This Row],[Target POA Daily (KWh/m2)]],Modelling_new[[#This Row],[Target POA Daily (KWh/m2)]])</f>
        <v>6.5290322580645164</v>
      </c>
      <c r="BQ444" s="4">
        <f>SUM($BP$414:BP444)</f>
        <v>202.40000000000003</v>
      </c>
      <c r="BR444" s="4">
        <f>SUM($BP$384:BP444)</f>
        <v>401.09999999999945</v>
      </c>
      <c r="BS444" s="323">
        <f>BM444/Modelling[[#This Row],[Comisined DC ]]/BP444</f>
        <v>0.75891985169387688</v>
      </c>
      <c r="BT444" s="337">
        <f>BN444/BQ444/Modelling[[#This Row],[Comisined DC ]]</f>
        <v>0.75891985169387677</v>
      </c>
      <c r="BU444" s="337">
        <f>BO444/BR444/Modelling[[#This Row],[Comisined DC ]]</f>
        <v>0.76258757983577707</v>
      </c>
      <c r="BV444" s="323">
        <f>BM444/(24*Modelling[[#This Row],[Comisined DC ]])</f>
        <v>0.2064588413747859</v>
      </c>
      <c r="BW444" s="323">
        <f>Modelling[[#This Row],[Target E_Grid MTD
MWh]]/Modelling[[#This Row],[MTD DC Capcity]]/(24*CG444)</f>
        <v>0.20645884137478601</v>
      </c>
      <c r="BX444" s="338">
        <f>Modelling[[#This Row],[Target E_Grid YTD
MWh]]/Modelling[[#This Row],[YTD DC Capcity]]/(24*CH444)</f>
        <v>0.20893024472140001</v>
      </c>
      <c r="BY444" s="4">
        <f>Modelling_old[[#This Row],[DC Capcity]]+Modelling_new[[#This Row],[Comisined DC ]]</f>
        <v>24.303100000000001</v>
      </c>
      <c r="BZ444" s="4">
        <v>0</v>
      </c>
      <c r="CA444">
        <f>AVERAGEIFS(Modelling[[Comisined DC ]],Modelling[Date],"&lt;="&amp;Modelling[[#This Row],[Date]],Modelling[Month Year],Modelling[[#This Row],[Month Year]])</f>
        <v>24.303099999999983</v>
      </c>
      <c r="CB444">
        <f>AVERAGEIFS(Modelling[[Comisined DC ]],Modelling[Date],"&lt;="&amp;Modelling[[#This Row],[Date]],Modelling[Finacial Year],Modelling[[#This Row],[Finacial Year]])</f>
        <v>24.303100000000011</v>
      </c>
      <c r="CG444">
        <f t="shared" si="160"/>
        <v>31</v>
      </c>
      <c r="CH444">
        <f t="shared" si="161"/>
        <v>61</v>
      </c>
    </row>
    <row r="445" spans="1:86" x14ac:dyDescent="0.35">
      <c r="A445" s="27">
        <f t="shared" si="139"/>
        <v>45444</v>
      </c>
      <c r="B445" s="5">
        <f>MONTH(Modelling_old[[#This Row],[Date]])</f>
        <v>6</v>
      </c>
      <c r="C445" s="25">
        <f t="shared" si="140"/>
        <v>2025</v>
      </c>
      <c r="D445" s="3">
        <f t="shared" si="141"/>
        <v>2024</v>
      </c>
      <c r="E445" s="3" t="s">
        <v>627</v>
      </c>
      <c r="F445" s="3" t="s">
        <v>627</v>
      </c>
      <c r="G445" s="102">
        <f>DATE(Modelling_old[[#This Row],[Calendor Year]],Modelling_old[[#This Row],[Start Month]],1)</f>
        <v>45444</v>
      </c>
      <c r="H445" s="5">
        <f t="shared" si="142"/>
        <v>30</v>
      </c>
      <c r="I445" s="5">
        <f t="shared" si="143"/>
        <v>6</v>
      </c>
      <c r="J445" s="4">
        <f>_xlfn.XLOOKUP(Modelling_old[[#This Row],[Month]],$C$1:$C$14,$N$1:$N$14)/Modelling_old[[#This Row],[Total Days]]</f>
        <v>41.21</v>
      </c>
      <c r="K445" s="4">
        <f>SUM($J$445:J445)</f>
        <v>41.21</v>
      </c>
      <c r="L445" s="4">
        <f>SUM($J$384:J445)</f>
        <v>3143.9100000000049</v>
      </c>
      <c r="M445" s="4">
        <f t="shared" si="144"/>
        <v>5.1233333333333331</v>
      </c>
      <c r="N445" s="4">
        <f>SUM($M$445:M445)</f>
        <v>5.1233333333333331</v>
      </c>
      <c r="O445" s="4">
        <f>SUM($M$384:M445)</f>
        <v>406.22333333333279</v>
      </c>
      <c r="P445" s="323">
        <f t="shared" si="145"/>
        <v>0.69925423684408983</v>
      </c>
      <c r="Q445" s="337">
        <f t="shared" si="146"/>
        <v>0.69925423684408983</v>
      </c>
      <c r="R445" s="337">
        <f t="shared" si="147"/>
        <v>0.67280675681921209</v>
      </c>
      <c r="S445" s="323">
        <f t="shared" si="148"/>
        <v>0.14927135583741197</v>
      </c>
      <c r="T445" s="9">
        <f>Modelling_old[[#This Row],[Target E_Grid MTD
MWh]]/Modelling_old[[#This Row],[DC Capcity]]/(24*CG445)</f>
        <v>0.14927135583741194</v>
      </c>
      <c r="U445" s="338">
        <f>Modelling_old[[#This Row],[Target E_Grid YTD
MWh]]/Modelling_old[[#This Row],[DC Capcity]]/(24*CH445)</f>
        <v>0.18367594317492564</v>
      </c>
      <c r="V445" s="134">
        <v>11.5031</v>
      </c>
      <c r="Y445" s="27">
        <f t="shared" si="162"/>
        <v>45444</v>
      </c>
      <c r="Z445" s="5">
        <f>MONTH(Modelling_new[[#This Row],[Date]])</f>
        <v>6</v>
      </c>
      <c r="AA445" s="25">
        <f>YEAR(Y445)+IF(MONTH(Modelling_new[[#This Row],[Date]])&gt;=4,1,0)</f>
        <v>2025</v>
      </c>
      <c r="AB445" s="3">
        <f t="shared" si="149"/>
        <v>2024</v>
      </c>
      <c r="AC445" s="3" t="s">
        <v>627</v>
      </c>
      <c r="AD445" s="3" t="s">
        <v>627</v>
      </c>
      <c r="AE445" s="102">
        <f>DATE(Modelling_old[[#This Row],[Calendor Year]],Modelling_old[[#This Row],[Start Month]],1)</f>
        <v>45444</v>
      </c>
      <c r="AF445" s="5">
        <f t="shared" si="150"/>
        <v>30</v>
      </c>
      <c r="AG445" s="5">
        <f t="shared" si="151"/>
        <v>6</v>
      </c>
      <c r="AH445" s="4">
        <f>_xlfn.XLOOKUP(Modelling_new[[#This Row],[Month]],$AA$1:$AA$14,$AL$1:$AL$14)/Modelling_new[[#This Row],[Total Days]]</f>
        <v>51.960119819336249</v>
      </c>
      <c r="AI445" s="4">
        <f>SUM($AH$445:AH445)</f>
        <v>51.960119819336249</v>
      </c>
      <c r="AJ445" s="4">
        <f>SUM($AH$384:AH445)</f>
        <v>4382.9435708547271</v>
      </c>
      <c r="AK445" s="4">
        <f t="shared" si="152"/>
        <v>5.1233333333333331</v>
      </c>
      <c r="AL445" s="4">
        <f>SUM($AK$445:AK445)</f>
        <v>5.1233333333333331</v>
      </c>
      <c r="AM445" s="4">
        <f>SUM($AK$384:AK445)</f>
        <v>406.22333333333279</v>
      </c>
      <c r="AN445" s="323">
        <f t="shared" si="153"/>
        <v>0.88166304126662065</v>
      </c>
      <c r="AO445" s="323">
        <f t="shared" si="154"/>
        <v>0.88166304126662054</v>
      </c>
      <c r="AP445" s="323">
        <f t="shared" si="155"/>
        <v>0.93796388866996216</v>
      </c>
      <c r="AQ445" s="323">
        <f t="shared" si="156"/>
        <v>0.18821056867038832</v>
      </c>
      <c r="AR445" s="323">
        <f>Modelling_new[[#This Row],[Target E_Grid MTD
MWh]]/Modelling_new[[#This Row],[MTD DC Capcity]]/(24*CG445)</f>
        <v>0.16914101503690185</v>
      </c>
      <c r="AS445" s="323">
        <f>Modelling_new[[#This Row],[Target E_Grid YTD
MWh]]/Modelling_new[[#This Row],[YTD DC Capcity]]/(24*CH445)</f>
        <v>0.23011926510283995</v>
      </c>
      <c r="AT445" s="5">
        <v>12.8</v>
      </c>
      <c r="AU445" s="9">
        <f>Modelling_new[[#This Row],[Comisined DC ]]/$AO$1</f>
        <v>1</v>
      </c>
      <c r="AV445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45" s="5">
        <f>AVERAGEIFS(Modelling_new[[Comisined DC ]],Modelling_new[Date],"&lt;="&amp;Modelling_new[[#This Row],[Date]],Modelling_new[[Comisined DC ]],"&gt;"&amp;0,Modelling_new[Finacial Year],Modelling_new[[#This Row],[Finacial Year]])</f>
        <v>12.799999999999988</v>
      </c>
      <c r="BD445" s="27">
        <f t="shared" si="163"/>
        <v>45444</v>
      </c>
      <c r="BE445" s="5">
        <f>MONTH(Modelling[[#This Row],[Date]])</f>
        <v>6</v>
      </c>
      <c r="BF445" s="25">
        <f>YEAR(BD445)+IF(MONTH(Modelling[[#This Row],[Date]])&gt;=4,1,0)</f>
        <v>2025</v>
      </c>
      <c r="BG445" s="3">
        <f t="shared" si="157"/>
        <v>2024</v>
      </c>
      <c r="BH445" s="3" t="s">
        <v>627</v>
      </c>
      <c r="BI445" s="3" t="s">
        <v>627</v>
      </c>
      <c r="BJ445" s="102">
        <f>DATE(Modelling_old[[#This Row],[Calendor Year]],Modelling_old[[#This Row],[Start Month]],1)</f>
        <v>45444</v>
      </c>
      <c r="BK445" s="5">
        <f t="shared" si="158"/>
        <v>30</v>
      </c>
      <c r="BL445" s="5">
        <f t="shared" si="159"/>
        <v>6</v>
      </c>
      <c r="BM445" s="4">
        <f>Modelling_old[[#This Row],[Target E_Grid daily
MWh]]+Modelling_new[[#This Row],[Target E_Grid daily
MWh]]</f>
        <v>93.17011981933625</v>
      </c>
      <c r="BN445" s="4">
        <f>Modelling_old[[#This Row],[Target E_Grid MTD
MWh]]+Modelling_new[[#This Row],[Target E_Grid MTD
MWh]]</f>
        <v>93.17011981933625</v>
      </c>
      <c r="BO445" s="4">
        <f>Modelling_old[[#This Row],[Target E_Grid YTD
MWh]]+Modelling_new[[#This Row],[Target E_Grid YTD
MWh]]</f>
        <v>7526.8535708547315</v>
      </c>
      <c r="BP445" s="4">
        <f>AVERAGE(Modelling_old[[#This Row],[Target POA Daily (KWh/m2)]],Modelling_new[[#This Row],[Target POA Daily (KWh/m2)]])</f>
        <v>5.1233333333333331</v>
      </c>
      <c r="BQ445" s="4">
        <f>SUM($BP$445:BP445)</f>
        <v>5.1233333333333331</v>
      </c>
      <c r="BR445" s="4">
        <f>SUM($BP$384:BP445)</f>
        <v>406.22333333333279</v>
      </c>
      <c r="BS445" s="323">
        <f>BM445/Modelling[[#This Row],[Comisined DC ]]/BP445</f>
        <v>0.74827694992965155</v>
      </c>
      <c r="BT445" s="337">
        <f>BN445/BQ445/Modelling[[#This Row],[Comisined DC ]]</f>
        <v>0.74827694992965155</v>
      </c>
      <c r="BU445" s="337">
        <f>BO445/BR445/Modelling[[#This Row],[Comisined DC ]]</f>
        <v>0.76240709259833184</v>
      </c>
      <c r="BV445" s="323">
        <f>BM445/(24*Modelling[[#This Row],[Comisined DC ]])</f>
        <v>0.15973634333914921</v>
      </c>
      <c r="BW445" s="323">
        <f>Modelling[[#This Row],[Target E_Grid MTD
MWh]]/Modelling[[#This Row],[MTD DC Capcity]]/(24*CG445)</f>
        <v>0.15973634333914921</v>
      </c>
      <c r="BX445" s="338">
        <f>Modelling[[#This Row],[Target E_Grid YTD
MWh]]/Modelling[[#This Row],[YTD DC Capcity]]/(24*CH445)</f>
        <v>0.20813679469910559</v>
      </c>
      <c r="BY445" s="4">
        <f>Modelling_old[[#This Row],[DC Capcity]]+Modelling_new[[#This Row],[Comisined DC ]]</f>
        <v>24.303100000000001</v>
      </c>
      <c r="BZ445" s="4">
        <v>0</v>
      </c>
      <c r="CA445">
        <f>AVERAGEIFS(Modelling[[Comisined DC ]],Modelling[Date],"&lt;="&amp;Modelling[[#This Row],[Date]],Modelling[Month Year],Modelling[[#This Row],[Month Year]])</f>
        <v>24.303100000000001</v>
      </c>
      <c r="CB445">
        <f>AVERAGEIFS(Modelling[[Comisined DC ]],Modelling[Date],"&lt;="&amp;Modelling[[#This Row],[Date]],Modelling[Finacial Year],Modelling[[#This Row],[Finacial Year]])</f>
        <v>24.303100000000011</v>
      </c>
      <c r="CG445">
        <v>1</v>
      </c>
      <c r="CH445">
        <f t="shared" si="161"/>
        <v>62</v>
      </c>
    </row>
    <row r="446" spans="1:86" x14ac:dyDescent="0.35">
      <c r="A446" s="27">
        <f t="shared" si="139"/>
        <v>45445</v>
      </c>
      <c r="B446" s="5">
        <f>MONTH(Modelling_old[[#This Row],[Date]])</f>
        <v>6</v>
      </c>
      <c r="C446" s="25">
        <f t="shared" si="140"/>
        <v>2025</v>
      </c>
      <c r="D446" s="3">
        <f t="shared" si="141"/>
        <v>2024</v>
      </c>
      <c r="E446" s="3" t="s">
        <v>627</v>
      </c>
      <c r="F446" s="3" t="s">
        <v>627</v>
      </c>
      <c r="G446" s="102">
        <f>DATE(Modelling_old[[#This Row],[Calendor Year]],Modelling_old[[#This Row],[Start Month]],1)</f>
        <v>45444</v>
      </c>
      <c r="H446" s="5">
        <f t="shared" si="142"/>
        <v>30</v>
      </c>
      <c r="I446" s="5">
        <f t="shared" si="143"/>
        <v>6</v>
      </c>
      <c r="J446" s="4">
        <f>_xlfn.XLOOKUP(Modelling_old[[#This Row],[Month]],$C$1:$C$14,$N$1:$N$14)/Modelling_old[[#This Row],[Total Days]]</f>
        <v>41.21</v>
      </c>
      <c r="K446" s="4">
        <f>SUM($J$445:J446)</f>
        <v>82.42</v>
      </c>
      <c r="L446" s="4">
        <f>SUM($J$384:J446)</f>
        <v>3185.1200000000049</v>
      </c>
      <c r="M446" s="4">
        <f t="shared" si="144"/>
        <v>5.1233333333333331</v>
      </c>
      <c r="N446" s="4">
        <f>SUM($M$445:M446)</f>
        <v>10.246666666666666</v>
      </c>
      <c r="O446" s="4">
        <f>SUM($M$384:M446)</f>
        <v>411.34666666666612</v>
      </c>
      <c r="P446" s="323">
        <f t="shared" si="145"/>
        <v>0.69925423684408983</v>
      </c>
      <c r="Q446" s="337">
        <f t="shared" si="146"/>
        <v>0.69925423684408983</v>
      </c>
      <c r="R446" s="337">
        <f t="shared" si="147"/>
        <v>0.6731361608644475</v>
      </c>
      <c r="S446" s="323">
        <f t="shared" si="148"/>
        <v>0.14927135583741197</v>
      </c>
      <c r="T446" s="9">
        <f>Modelling_old[[#This Row],[Target E_Grid MTD
MWh]]/Modelling_old[[#This Row],[DC Capcity]]/(24*CG446)</f>
        <v>0.14927135583741194</v>
      </c>
      <c r="U446" s="338">
        <f>Modelling_old[[#This Row],[Target E_Grid YTD
MWh]]/Modelling_old[[#This Row],[DC Capcity]]/(24*CH446)</f>
        <v>0.18312983861401275</v>
      </c>
      <c r="V446" s="134">
        <v>11.5031</v>
      </c>
      <c r="Y446" s="27">
        <f t="shared" si="162"/>
        <v>45445</v>
      </c>
      <c r="Z446" s="5">
        <f>MONTH(Modelling_new[[#This Row],[Date]])</f>
        <v>6</v>
      </c>
      <c r="AA446" s="25">
        <f>YEAR(Y446)+IF(MONTH(Modelling_new[[#This Row],[Date]])&gt;=4,1,0)</f>
        <v>2025</v>
      </c>
      <c r="AB446" s="3">
        <f t="shared" si="149"/>
        <v>2024</v>
      </c>
      <c r="AC446" s="3" t="s">
        <v>627</v>
      </c>
      <c r="AD446" s="3" t="s">
        <v>627</v>
      </c>
      <c r="AE446" s="102">
        <f>DATE(Modelling_old[[#This Row],[Calendor Year]],Modelling_old[[#This Row],[Start Month]],1)</f>
        <v>45444</v>
      </c>
      <c r="AF446" s="5">
        <f t="shared" si="150"/>
        <v>30</v>
      </c>
      <c r="AG446" s="5">
        <f t="shared" si="151"/>
        <v>6</v>
      </c>
      <c r="AH446" s="4">
        <f>_xlfn.XLOOKUP(Modelling_new[[#This Row],[Month]],$AA$1:$AA$14,$AL$1:$AL$14)/Modelling_new[[#This Row],[Total Days]]</f>
        <v>51.960119819336249</v>
      </c>
      <c r="AI446" s="4">
        <f>SUM($AH$445:AH446)</f>
        <v>103.9202396386725</v>
      </c>
      <c r="AJ446" s="4">
        <f>SUM($AH$384:AH446)</f>
        <v>4434.903690674063</v>
      </c>
      <c r="AK446" s="4">
        <f t="shared" si="152"/>
        <v>5.1233333333333331</v>
      </c>
      <c r="AL446" s="4">
        <f>SUM($AK$445:AK446)</f>
        <v>10.246666666666666</v>
      </c>
      <c r="AM446" s="4">
        <f>SUM($AK$384:AK446)</f>
        <v>411.34666666666612</v>
      </c>
      <c r="AN446" s="323">
        <f t="shared" si="153"/>
        <v>0.88166304126662065</v>
      </c>
      <c r="AO446" s="323">
        <f t="shared" si="154"/>
        <v>0.88166304126662054</v>
      </c>
      <c r="AP446" s="323">
        <f t="shared" si="155"/>
        <v>0.93726266016473592</v>
      </c>
      <c r="AQ446" s="323">
        <f t="shared" si="156"/>
        <v>0.18821056867038832</v>
      </c>
      <c r="AR446" s="323">
        <f>Modelling_new[[#This Row],[Target E_Grid MTD
MWh]]/Modelling_new[[#This Row],[MTD DC Capcity]]/(24*CG446)</f>
        <v>0.16914101503690185</v>
      </c>
      <c r="AS446" s="323">
        <f>Modelling_new[[#This Row],[Target E_Grid YTD
MWh]]/Modelling_new[[#This Row],[YTD DC Capcity]]/(24*CH446)</f>
        <v>0.22915135637163464</v>
      </c>
      <c r="AT446" s="5">
        <v>12.8</v>
      </c>
      <c r="AU446" s="9">
        <f>Modelling_new[[#This Row],[Comisined DC ]]/$AO$1</f>
        <v>1</v>
      </c>
      <c r="AV446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46" s="5">
        <f>AVERAGEIFS(Modelling_new[[Comisined DC ]],Modelling_new[Date],"&lt;="&amp;Modelling_new[[#This Row],[Date]],Modelling_new[[Comisined DC ]],"&gt;"&amp;0,Modelling_new[Finacial Year],Modelling_new[[#This Row],[Finacial Year]])</f>
        <v>12.799999999999986</v>
      </c>
      <c r="BD446" s="27">
        <f t="shared" si="163"/>
        <v>45445</v>
      </c>
      <c r="BE446" s="5">
        <f>MONTH(Modelling[[#This Row],[Date]])</f>
        <v>6</v>
      </c>
      <c r="BF446" s="25">
        <f>YEAR(BD446)+IF(MONTH(Modelling[[#This Row],[Date]])&gt;=4,1,0)</f>
        <v>2025</v>
      </c>
      <c r="BG446" s="3">
        <f t="shared" si="157"/>
        <v>2024</v>
      </c>
      <c r="BH446" s="3" t="s">
        <v>627</v>
      </c>
      <c r="BI446" s="3" t="s">
        <v>627</v>
      </c>
      <c r="BJ446" s="102">
        <f>DATE(Modelling_old[[#This Row],[Calendor Year]],Modelling_old[[#This Row],[Start Month]],1)</f>
        <v>45444</v>
      </c>
      <c r="BK446" s="5">
        <f t="shared" si="158"/>
        <v>30</v>
      </c>
      <c r="BL446" s="5">
        <f t="shared" si="159"/>
        <v>6</v>
      </c>
      <c r="BM446" s="4">
        <f>Modelling_old[[#This Row],[Target E_Grid daily
MWh]]+Modelling_new[[#This Row],[Target E_Grid daily
MWh]]</f>
        <v>93.17011981933625</v>
      </c>
      <c r="BN446" s="4">
        <f>Modelling_old[[#This Row],[Target E_Grid MTD
MWh]]+Modelling_new[[#This Row],[Target E_Grid MTD
MWh]]</f>
        <v>186.3402396386725</v>
      </c>
      <c r="BO446" s="4">
        <f>Modelling_old[[#This Row],[Target E_Grid YTD
MWh]]+Modelling_new[[#This Row],[Target E_Grid YTD
MWh]]</f>
        <v>7620.0236906740683</v>
      </c>
      <c r="BP446" s="4">
        <f>AVERAGE(Modelling_old[[#This Row],[Target POA Daily (KWh/m2)]],Modelling_new[[#This Row],[Target POA Daily (KWh/m2)]])</f>
        <v>5.1233333333333331</v>
      </c>
      <c r="BQ446" s="4">
        <f>SUM($BP$445:BP446)</f>
        <v>10.246666666666666</v>
      </c>
      <c r="BR446" s="4">
        <f>SUM($BP$384:BP446)</f>
        <v>411.34666666666612</v>
      </c>
      <c r="BS446" s="323">
        <f>BM446/Modelling[[#This Row],[Comisined DC ]]/BP446</f>
        <v>0.74827694992965155</v>
      </c>
      <c r="BT446" s="337">
        <f>BN446/BQ446/Modelling[[#This Row],[Comisined DC ]]</f>
        <v>0.74827694992965155</v>
      </c>
      <c r="BU446" s="337">
        <f>BO446/BR446/Modelling[[#This Row],[Comisined DC ]]</f>
        <v>0.76223110130727367</v>
      </c>
      <c r="BV446" s="323">
        <f>BM446/(24*Modelling[[#This Row],[Comisined DC ]])</f>
        <v>0.15973634333914921</v>
      </c>
      <c r="BW446" s="323">
        <f>Modelling[[#This Row],[Target E_Grid MTD
MWh]]/Modelling[[#This Row],[MTD DC Capcity]]/(24*CG446)</f>
        <v>0.15973634333914921</v>
      </c>
      <c r="BX446" s="338">
        <f>Modelling[[#This Row],[Target E_Grid YTD
MWh]]/Modelling[[#This Row],[YTD DC Capcity]]/(24*CH446)</f>
        <v>0.20736853356640789</v>
      </c>
      <c r="BY446" s="4">
        <f>Modelling_old[[#This Row],[DC Capcity]]+Modelling_new[[#This Row],[Comisined DC ]]</f>
        <v>24.303100000000001</v>
      </c>
      <c r="BZ446" s="4">
        <v>0</v>
      </c>
      <c r="CA446">
        <f>AVERAGEIFS(Modelling[[Comisined DC ]],Modelling[Date],"&lt;="&amp;Modelling[[#This Row],[Date]],Modelling[Month Year],Modelling[[#This Row],[Month Year]])</f>
        <v>24.303100000000001</v>
      </c>
      <c r="CB446">
        <f>AVERAGEIFS(Modelling[[Comisined DC ]],Modelling[Date],"&lt;="&amp;Modelling[[#This Row],[Date]],Modelling[Finacial Year],Modelling[[#This Row],[Finacial Year]])</f>
        <v>24.303100000000015</v>
      </c>
      <c r="CG446">
        <f t="shared" si="160"/>
        <v>2</v>
      </c>
      <c r="CH446">
        <f t="shared" si="161"/>
        <v>63</v>
      </c>
    </row>
    <row r="447" spans="1:86" x14ac:dyDescent="0.35">
      <c r="A447" s="27">
        <f t="shared" si="139"/>
        <v>45446</v>
      </c>
      <c r="B447" s="5">
        <f>MONTH(Modelling_old[[#This Row],[Date]])</f>
        <v>6</v>
      </c>
      <c r="C447" s="25">
        <f t="shared" si="140"/>
        <v>2025</v>
      </c>
      <c r="D447" s="3">
        <f t="shared" si="141"/>
        <v>2024</v>
      </c>
      <c r="E447" s="3" t="s">
        <v>627</v>
      </c>
      <c r="F447" s="3" t="s">
        <v>627</v>
      </c>
      <c r="G447" s="102">
        <f>DATE(Modelling_old[[#This Row],[Calendor Year]],Modelling_old[[#This Row],[Start Month]],1)</f>
        <v>45444</v>
      </c>
      <c r="H447" s="5">
        <f t="shared" si="142"/>
        <v>30</v>
      </c>
      <c r="I447" s="5">
        <f t="shared" si="143"/>
        <v>6</v>
      </c>
      <c r="J447" s="4">
        <f>_xlfn.XLOOKUP(Modelling_old[[#This Row],[Month]],$C$1:$C$14,$N$1:$N$14)/Modelling_old[[#This Row],[Total Days]]</f>
        <v>41.21</v>
      </c>
      <c r="K447" s="4">
        <f>SUM($J$445:J447)</f>
        <v>123.63</v>
      </c>
      <c r="L447" s="4">
        <f>SUM($J$384:J447)</f>
        <v>3226.3300000000049</v>
      </c>
      <c r="M447" s="4">
        <f t="shared" si="144"/>
        <v>5.1233333333333331</v>
      </c>
      <c r="N447" s="4">
        <f>SUM($M$445:M447)</f>
        <v>15.37</v>
      </c>
      <c r="O447" s="4">
        <f>SUM($M$384:M447)</f>
        <v>416.46999999999946</v>
      </c>
      <c r="P447" s="323">
        <f t="shared" si="145"/>
        <v>0.69925423684408983</v>
      </c>
      <c r="Q447" s="337">
        <f t="shared" si="146"/>
        <v>0.69925423684408983</v>
      </c>
      <c r="R447" s="337">
        <f t="shared" si="147"/>
        <v>0.6734574603800646</v>
      </c>
      <c r="S447" s="323">
        <f t="shared" si="148"/>
        <v>0.14927135583741197</v>
      </c>
      <c r="T447" s="9">
        <f>Modelling_old[[#This Row],[Target E_Grid MTD
MWh]]/Modelling_old[[#This Row],[DC Capcity]]/(24*CG447)</f>
        <v>0.14927135583741194</v>
      </c>
      <c r="U447" s="338">
        <f>Modelling_old[[#This Row],[Target E_Grid YTD
MWh]]/Modelling_old[[#This Row],[DC Capcity]]/(24*CH447)</f>
        <v>0.18260079982062835</v>
      </c>
      <c r="V447" s="134">
        <v>11.5031</v>
      </c>
      <c r="Y447" s="27">
        <f t="shared" si="162"/>
        <v>45446</v>
      </c>
      <c r="Z447" s="5">
        <f>MONTH(Modelling_new[[#This Row],[Date]])</f>
        <v>6</v>
      </c>
      <c r="AA447" s="25">
        <f>YEAR(Y447)+IF(MONTH(Modelling_new[[#This Row],[Date]])&gt;=4,1,0)</f>
        <v>2025</v>
      </c>
      <c r="AB447" s="3">
        <f t="shared" si="149"/>
        <v>2024</v>
      </c>
      <c r="AC447" s="3" t="s">
        <v>627</v>
      </c>
      <c r="AD447" s="3" t="s">
        <v>627</v>
      </c>
      <c r="AE447" s="102">
        <f>DATE(Modelling_old[[#This Row],[Calendor Year]],Modelling_old[[#This Row],[Start Month]],1)</f>
        <v>45444</v>
      </c>
      <c r="AF447" s="5">
        <f t="shared" si="150"/>
        <v>30</v>
      </c>
      <c r="AG447" s="5">
        <f t="shared" si="151"/>
        <v>6</v>
      </c>
      <c r="AH447" s="4">
        <f>_xlfn.XLOOKUP(Modelling_new[[#This Row],[Month]],$AA$1:$AA$14,$AL$1:$AL$14)/Modelling_new[[#This Row],[Total Days]]</f>
        <v>51.960119819336249</v>
      </c>
      <c r="AI447" s="4">
        <f>SUM($AH$445:AH447)</f>
        <v>155.88035945800874</v>
      </c>
      <c r="AJ447" s="4">
        <f>SUM($AH$384:AH447)</f>
        <v>4486.8638104933989</v>
      </c>
      <c r="AK447" s="4">
        <f t="shared" si="152"/>
        <v>5.1233333333333331</v>
      </c>
      <c r="AL447" s="4">
        <f>SUM($AK$445:AK447)</f>
        <v>15.37</v>
      </c>
      <c r="AM447" s="4">
        <f>SUM($AK$384:AK447)</f>
        <v>416.46999999999946</v>
      </c>
      <c r="AN447" s="323">
        <f t="shared" si="153"/>
        <v>0.88166304126662065</v>
      </c>
      <c r="AO447" s="323">
        <f t="shared" si="154"/>
        <v>0.88166304126662054</v>
      </c>
      <c r="AP447" s="323">
        <f t="shared" si="155"/>
        <v>0.93657868441421022</v>
      </c>
      <c r="AQ447" s="323">
        <f t="shared" si="156"/>
        <v>0.18821056867038832</v>
      </c>
      <c r="AR447" s="323">
        <f>Modelling_new[[#This Row],[Target E_Grid MTD
MWh]]/Modelling_new[[#This Row],[MTD DC Capcity]]/(24*CG447)</f>
        <v>0.16914101503690182</v>
      </c>
      <c r="AS447" s="323">
        <f>Modelling_new[[#This Row],[Target E_Grid YTD
MWh]]/Modelling_new[[#This Row],[YTD DC Capcity]]/(24*CH447)</f>
        <v>0.22821369478827938</v>
      </c>
      <c r="AT447" s="5">
        <v>12.8</v>
      </c>
      <c r="AU447" s="9">
        <f>Modelling_new[[#This Row],[Comisined DC ]]/$AO$1</f>
        <v>1</v>
      </c>
      <c r="AV447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47" s="5">
        <f>AVERAGEIFS(Modelling_new[[Comisined DC ]],Modelling_new[Date],"&lt;="&amp;Modelling_new[[#This Row],[Date]],Modelling_new[[Comisined DC ]],"&gt;"&amp;0,Modelling_new[Finacial Year],Modelling_new[[#This Row],[Finacial Year]])</f>
        <v>12.799999999999986</v>
      </c>
      <c r="BD447" s="27">
        <f t="shared" si="163"/>
        <v>45446</v>
      </c>
      <c r="BE447" s="5">
        <f>MONTH(Modelling[[#This Row],[Date]])</f>
        <v>6</v>
      </c>
      <c r="BF447" s="25">
        <f>YEAR(BD447)+IF(MONTH(Modelling[[#This Row],[Date]])&gt;=4,1,0)</f>
        <v>2025</v>
      </c>
      <c r="BG447" s="3">
        <f t="shared" si="157"/>
        <v>2024</v>
      </c>
      <c r="BH447" s="3" t="s">
        <v>627</v>
      </c>
      <c r="BI447" s="3" t="s">
        <v>627</v>
      </c>
      <c r="BJ447" s="102">
        <f>DATE(Modelling_old[[#This Row],[Calendor Year]],Modelling_old[[#This Row],[Start Month]],1)</f>
        <v>45444</v>
      </c>
      <c r="BK447" s="5">
        <f t="shared" si="158"/>
        <v>30</v>
      </c>
      <c r="BL447" s="5">
        <f t="shared" si="159"/>
        <v>6</v>
      </c>
      <c r="BM447" s="4">
        <f>Modelling_old[[#This Row],[Target E_Grid daily
MWh]]+Modelling_new[[#This Row],[Target E_Grid daily
MWh]]</f>
        <v>93.17011981933625</v>
      </c>
      <c r="BN447" s="4">
        <f>Modelling_old[[#This Row],[Target E_Grid MTD
MWh]]+Modelling_new[[#This Row],[Target E_Grid MTD
MWh]]</f>
        <v>279.51035945800874</v>
      </c>
      <c r="BO447" s="4">
        <f>Modelling_old[[#This Row],[Target E_Grid YTD
MWh]]+Modelling_new[[#This Row],[Target E_Grid YTD
MWh]]</f>
        <v>7713.1938104934034</v>
      </c>
      <c r="BP447" s="4">
        <f>AVERAGE(Modelling_old[[#This Row],[Target POA Daily (KWh/m2)]],Modelling_new[[#This Row],[Target POA Daily (KWh/m2)]])</f>
        <v>5.1233333333333331</v>
      </c>
      <c r="BQ447" s="4">
        <f>SUM($BP$445:BP447)</f>
        <v>15.37</v>
      </c>
      <c r="BR447" s="4">
        <f>SUM($BP$384:BP447)</f>
        <v>416.46999999999946</v>
      </c>
      <c r="BS447" s="323">
        <f>BM447/Modelling[[#This Row],[Comisined DC ]]/BP447</f>
        <v>0.74827694992965155</v>
      </c>
      <c r="BT447" s="337">
        <f>BN447/BQ447/Modelling[[#This Row],[Comisined DC ]]</f>
        <v>0.74827694992965144</v>
      </c>
      <c r="BU447" s="337">
        <f>BO447/BR447/Modelling[[#This Row],[Comisined DC ]]</f>
        <v>0.76205944003781501</v>
      </c>
      <c r="BV447" s="323">
        <f>BM447/(24*Modelling[[#This Row],[Comisined DC ]])</f>
        <v>0.15973634333914921</v>
      </c>
      <c r="BW447" s="323">
        <f>Modelling[[#This Row],[Target E_Grid MTD
MWh]]/Modelling[[#This Row],[MTD DC Capcity]]/(24*CG447)</f>
        <v>0.15973634333914918</v>
      </c>
      <c r="BX447" s="338">
        <f>Modelling[[#This Row],[Target E_Grid YTD
MWh]]/Modelling[[#This Row],[YTD DC Capcity]]/(24*CH447)</f>
        <v>0.2066242805941069</v>
      </c>
      <c r="BY447" s="4">
        <f>Modelling_old[[#This Row],[DC Capcity]]+Modelling_new[[#This Row],[Comisined DC ]]</f>
        <v>24.303100000000001</v>
      </c>
      <c r="BZ447" s="4">
        <v>0</v>
      </c>
      <c r="CA447">
        <f>AVERAGEIFS(Modelling[[Comisined DC ]],Modelling[Date],"&lt;="&amp;Modelling[[#This Row],[Date]],Modelling[Month Year],Modelling[[#This Row],[Month Year]])</f>
        <v>24.303100000000001</v>
      </c>
      <c r="CB447">
        <f>AVERAGEIFS(Modelling[[Comisined DC ]],Modelling[Date],"&lt;="&amp;Modelling[[#This Row],[Date]],Modelling[Finacial Year],Modelling[[#This Row],[Finacial Year]])</f>
        <v>24.303100000000015</v>
      </c>
      <c r="CG447">
        <f t="shared" si="160"/>
        <v>3</v>
      </c>
      <c r="CH447">
        <f t="shared" si="161"/>
        <v>64</v>
      </c>
    </row>
    <row r="448" spans="1:86" x14ac:dyDescent="0.35">
      <c r="A448" s="27">
        <f t="shared" ref="A448:A511" si="164">A447+1</f>
        <v>45447</v>
      </c>
      <c r="B448" s="5">
        <f>MONTH(Modelling_old[[#This Row],[Date]])</f>
        <v>6</v>
      </c>
      <c r="C448" s="25">
        <f t="shared" ref="C448:C511" si="165">YEAR(A448)+(MONTH(A448)&gt;=B448)</f>
        <v>2025</v>
      </c>
      <c r="D448" s="3">
        <f t="shared" ref="D448:D511" si="166">YEAR(A448)</f>
        <v>2024</v>
      </c>
      <c r="E448" s="3" t="s">
        <v>627</v>
      </c>
      <c r="F448" s="3" t="s">
        <v>627</v>
      </c>
      <c r="G448" s="102">
        <f>DATE(Modelling_old[[#This Row],[Calendor Year]],Modelling_old[[#This Row],[Start Month]],1)</f>
        <v>45444</v>
      </c>
      <c r="H448" s="5">
        <f t="shared" ref="H448:H511" si="167">DAY(EOMONTH(G448,0))</f>
        <v>30</v>
      </c>
      <c r="I448" s="5">
        <f t="shared" ref="I448:I511" si="168">MONTH(A448)</f>
        <v>6</v>
      </c>
      <c r="J448" s="4">
        <f>_xlfn.XLOOKUP(Modelling_old[[#This Row],[Month]],$C$1:$C$14,$N$1:$N$14)/Modelling_old[[#This Row],[Total Days]]</f>
        <v>41.21</v>
      </c>
      <c r="K448" s="4">
        <f>SUM($J$445:J448)</f>
        <v>164.84</v>
      </c>
      <c r="L448" s="4">
        <f>SUM($J$384:J448)</f>
        <v>3267.540000000005</v>
      </c>
      <c r="M448" s="4">
        <f t="shared" ref="M448:M511" si="169">VLOOKUP(I448,$C$2:$M$13,11,0)</f>
        <v>5.1233333333333331</v>
      </c>
      <c r="N448" s="4">
        <f>SUM($M$445:M448)</f>
        <v>20.493333333333332</v>
      </c>
      <c r="O448" s="4">
        <f>SUM($M$384:M448)</f>
        <v>421.59333333333279</v>
      </c>
      <c r="P448" s="323">
        <f t="shared" ref="P448:P511" si="170">J448/$Q$1/M448</f>
        <v>0.69925423684408983</v>
      </c>
      <c r="Q448" s="337">
        <f t="shared" ref="Q448:Q511" si="171">K448/N448/$Q$1</f>
        <v>0.69925423684408983</v>
      </c>
      <c r="R448" s="337">
        <f t="shared" ref="R448:R511" si="172">L448/O448/$Q$1</f>
        <v>0.67377095083235838</v>
      </c>
      <c r="S448" s="323">
        <f t="shared" ref="S448:S511" si="173">J448/(24*$Q$1)</f>
        <v>0.14927135583741197</v>
      </c>
      <c r="T448" s="9">
        <f>Modelling_old[[#This Row],[Target E_Grid MTD
MWh]]/Modelling_old[[#This Row],[DC Capcity]]/(24*CG448)</f>
        <v>0.14927135583741194</v>
      </c>
      <c r="U448" s="338">
        <f>Modelling_old[[#This Row],[Target E_Grid YTD
MWh]]/Modelling_old[[#This Row],[DC Capcity]]/(24*CH448)</f>
        <v>0.18208803914396346</v>
      </c>
      <c r="V448" s="134">
        <v>11.5031</v>
      </c>
      <c r="Y448" s="27">
        <f t="shared" si="162"/>
        <v>45447</v>
      </c>
      <c r="Z448" s="5">
        <f>MONTH(Modelling_new[[#This Row],[Date]])</f>
        <v>6</v>
      </c>
      <c r="AA448" s="25">
        <f>YEAR(Y448)+IF(MONTH(Modelling_new[[#This Row],[Date]])&gt;=4,1,0)</f>
        <v>2025</v>
      </c>
      <c r="AB448" s="3">
        <f t="shared" ref="AB448:AB511" si="174">YEAR(Y448)</f>
        <v>2024</v>
      </c>
      <c r="AC448" s="3" t="s">
        <v>627</v>
      </c>
      <c r="AD448" s="3" t="s">
        <v>627</v>
      </c>
      <c r="AE448" s="102">
        <f>DATE(Modelling_old[[#This Row],[Calendor Year]],Modelling_old[[#This Row],[Start Month]],1)</f>
        <v>45444</v>
      </c>
      <c r="AF448" s="5">
        <f t="shared" ref="AF448:AF511" si="175">DAY(EOMONTH(AE448,0))</f>
        <v>30</v>
      </c>
      <c r="AG448" s="5">
        <f t="shared" ref="AG448:AG511" si="176">MONTH(Y448)</f>
        <v>6</v>
      </c>
      <c r="AH448" s="4">
        <f>_xlfn.XLOOKUP(Modelling_new[[#This Row],[Month]],$AA$1:$AA$14,$AL$1:$AL$14)/Modelling_new[[#This Row],[Total Days]]</f>
        <v>51.960119819336249</v>
      </c>
      <c r="AI448" s="4">
        <f>SUM($AH$445:AH448)</f>
        <v>207.840479277345</v>
      </c>
      <c r="AJ448" s="4">
        <f>SUM($AH$384:AH448)</f>
        <v>4538.8239303127348</v>
      </c>
      <c r="AK448" s="4">
        <f t="shared" ref="AK448:AK511" si="177">VLOOKUP(AG448,$C$2:$M$13,11,0)</f>
        <v>5.1233333333333331</v>
      </c>
      <c r="AL448" s="4">
        <f>SUM($AK$445:AK448)</f>
        <v>20.493333333333332</v>
      </c>
      <c r="AM448" s="4">
        <f>SUM($AK$384:AK448)</f>
        <v>421.59333333333279</v>
      </c>
      <c r="AN448" s="323">
        <f t="shared" ref="AN448:AN511" si="178">AH448/$Q$1/AK448</f>
        <v>0.88166304126662065</v>
      </c>
      <c r="AO448" s="323">
        <f t="shared" ref="AO448:AO511" si="179">AI448/AL448/$Q$1</f>
        <v>0.88166304126662054</v>
      </c>
      <c r="AP448" s="323">
        <f t="shared" ref="AP448:AP511" si="180">AJ448/AM448/$Q$1</f>
        <v>0.93591133243585944</v>
      </c>
      <c r="AQ448" s="323">
        <f t="shared" ref="AQ448:AQ511" si="181">AH448/(24*$Q$1)</f>
        <v>0.18821056867038832</v>
      </c>
      <c r="AR448" s="323">
        <f>Modelling_new[[#This Row],[Target E_Grid MTD
MWh]]/Modelling_new[[#This Row],[MTD DC Capcity]]/(24*CG448)</f>
        <v>0.16914101503690185</v>
      </c>
      <c r="AS448" s="323">
        <f>Modelling_new[[#This Row],[Target E_Grid YTD
MWh]]/Modelling_new[[#This Row],[YTD DC Capcity]]/(24*CH448)</f>
        <v>0.22730488433056589</v>
      </c>
      <c r="AT448" s="5">
        <v>12.8</v>
      </c>
      <c r="AU448" s="9">
        <f>Modelling_new[[#This Row],[Comisined DC ]]/$AO$1</f>
        <v>1</v>
      </c>
      <c r="AV44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48" s="5">
        <f>AVERAGEIFS(Modelling_new[[Comisined DC ]],Modelling_new[Date],"&lt;="&amp;Modelling_new[[#This Row],[Date]],Modelling_new[[Comisined DC ]],"&gt;"&amp;0,Modelling_new[Finacial Year],Modelling_new[[#This Row],[Finacial Year]])</f>
        <v>12.799999999999986</v>
      </c>
      <c r="BD448" s="27">
        <f t="shared" si="163"/>
        <v>45447</v>
      </c>
      <c r="BE448" s="5">
        <f>MONTH(Modelling[[#This Row],[Date]])</f>
        <v>6</v>
      </c>
      <c r="BF448" s="25">
        <f>YEAR(BD448)+IF(MONTH(Modelling[[#This Row],[Date]])&gt;=4,1,0)</f>
        <v>2025</v>
      </c>
      <c r="BG448" s="3">
        <f t="shared" ref="BG448:BG511" si="182">YEAR(BD448)</f>
        <v>2024</v>
      </c>
      <c r="BH448" s="3" t="s">
        <v>627</v>
      </c>
      <c r="BI448" s="3" t="s">
        <v>627</v>
      </c>
      <c r="BJ448" s="102">
        <f>DATE(Modelling_old[[#This Row],[Calendor Year]],Modelling_old[[#This Row],[Start Month]],1)</f>
        <v>45444</v>
      </c>
      <c r="BK448" s="5">
        <f t="shared" ref="BK448:BK511" si="183">DAY(EOMONTH(BJ448,0))</f>
        <v>30</v>
      </c>
      <c r="BL448" s="5">
        <f t="shared" ref="BL448:BL511" si="184">MONTH(BD448)</f>
        <v>6</v>
      </c>
      <c r="BM448" s="4">
        <f>Modelling_old[[#This Row],[Target E_Grid daily
MWh]]+Modelling_new[[#This Row],[Target E_Grid daily
MWh]]</f>
        <v>93.17011981933625</v>
      </c>
      <c r="BN448" s="4">
        <f>Modelling_old[[#This Row],[Target E_Grid MTD
MWh]]+Modelling_new[[#This Row],[Target E_Grid MTD
MWh]]</f>
        <v>372.680479277345</v>
      </c>
      <c r="BO448" s="4">
        <f>Modelling_old[[#This Row],[Target E_Grid YTD
MWh]]+Modelling_new[[#This Row],[Target E_Grid YTD
MWh]]</f>
        <v>7806.3639303127402</v>
      </c>
      <c r="BP448" s="4">
        <f>AVERAGE(Modelling_old[[#This Row],[Target POA Daily (KWh/m2)]],Modelling_new[[#This Row],[Target POA Daily (KWh/m2)]])</f>
        <v>5.1233333333333331</v>
      </c>
      <c r="BQ448" s="4">
        <f>SUM($BP$445:BP448)</f>
        <v>20.493333333333332</v>
      </c>
      <c r="BR448" s="4">
        <f>SUM($BP$384:BP448)</f>
        <v>421.59333333333279</v>
      </c>
      <c r="BS448" s="323">
        <f>BM448/Modelling[[#This Row],[Comisined DC ]]/BP448</f>
        <v>0.74827694992965155</v>
      </c>
      <c r="BT448" s="337">
        <f>BN448/BQ448/Modelling[[#This Row],[Comisined DC ]]</f>
        <v>0.74827694992965155</v>
      </c>
      <c r="BU448" s="337">
        <f>BO448/BR448/Modelling[[#This Row],[Comisined DC ]]</f>
        <v>0.76189195093064821</v>
      </c>
      <c r="BV448" s="323">
        <f>BM448/(24*Modelling[[#This Row],[Comisined DC ]])</f>
        <v>0.15973634333914921</v>
      </c>
      <c r="BW448" s="323">
        <f>Modelling[[#This Row],[Target E_Grid MTD
MWh]]/Modelling[[#This Row],[MTD DC Capcity]]/(24*CG448)</f>
        <v>0.15973634333914921</v>
      </c>
      <c r="BX448" s="338">
        <f>Modelling[[#This Row],[Target E_Grid YTD
MWh]]/Modelling[[#This Row],[YTD DC Capcity]]/(24*CH448)</f>
        <v>0.20590292771326141</v>
      </c>
      <c r="BY448" s="4">
        <f>Modelling_old[[#This Row],[DC Capcity]]+Modelling_new[[#This Row],[Comisined DC ]]</f>
        <v>24.303100000000001</v>
      </c>
      <c r="BZ448" s="4">
        <v>0</v>
      </c>
      <c r="CA448">
        <f>AVERAGEIFS(Modelling[[Comisined DC ]],Modelling[Date],"&lt;="&amp;Modelling[[#This Row],[Date]],Modelling[Month Year],Modelling[[#This Row],[Month Year]])</f>
        <v>24.303100000000001</v>
      </c>
      <c r="CB448">
        <f>AVERAGEIFS(Modelling[[Comisined DC ]],Modelling[Date],"&lt;="&amp;Modelling[[#This Row],[Date]],Modelling[Finacial Year],Modelling[[#This Row],[Finacial Year]])</f>
        <v>24.303100000000015</v>
      </c>
      <c r="CG448">
        <f t="shared" si="160"/>
        <v>4</v>
      </c>
      <c r="CH448">
        <f t="shared" si="161"/>
        <v>65</v>
      </c>
    </row>
    <row r="449" spans="1:86" x14ac:dyDescent="0.35">
      <c r="A449" s="27">
        <f t="shared" si="164"/>
        <v>45448</v>
      </c>
      <c r="B449" s="5">
        <f>MONTH(Modelling_old[[#This Row],[Date]])</f>
        <v>6</v>
      </c>
      <c r="C449" s="25">
        <f t="shared" si="165"/>
        <v>2025</v>
      </c>
      <c r="D449" s="3">
        <f t="shared" si="166"/>
        <v>2024</v>
      </c>
      <c r="E449" s="3" t="s">
        <v>627</v>
      </c>
      <c r="F449" s="3" t="s">
        <v>627</v>
      </c>
      <c r="G449" s="102">
        <f>DATE(Modelling_old[[#This Row],[Calendor Year]],Modelling_old[[#This Row],[Start Month]],1)</f>
        <v>45444</v>
      </c>
      <c r="H449" s="5">
        <f t="shared" si="167"/>
        <v>30</v>
      </c>
      <c r="I449" s="5">
        <f t="shared" si="168"/>
        <v>6</v>
      </c>
      <c r="J449" s="4">
        <f>_xlfn.XLOOKUP(Modelling_old[[#This Row],[Month]],$C$1:$C$14,$N$1:$N$14)/Modelling_old[[#This Row],[Total Days]]</f>
        <v>41.21</v>
      </c>
      <c r="K449" s="4">
        <f>SUM($J$445:J449)</f>
        <v>206.05</v>
      </c>
      <c r="L449" s="4">
        <f>SUM($J$384:J449)</f>
        <v>3308.750000000005</v>
      </c>
      <c r="M449" s="4">
        <f t="shared" si="169"/>
        <v>5.1233333333333331</v>
      </c>
      <c r="N449" s="4">
        <f>SUM($M$445:M449)</f>
        <v>25.616666666666667</v>
      </c>
      <c r="O449" s="4">
        <f>SUM($M$384:M449)</f>
        <v>426.71666666666613</v>
      </c>
      <c r="P449" s="323">
        <f t="shared" si="170"/>
        <v>0.69925423684408983</v>
      </c>
      <c r="Q449" s="337">
        <f t="shared" si="171"/>
        <v>0.69925423684408983</v>
      </c>
      <c r="R449" s="337">
        <f t="shared" si="172"/>
        <v>0.67407691349767118</v>
      </c>
      <c r="S449" s="323">
        <f t="shared" si="173"/>
        <v>0.14927135583741197</v>
      </c>
      <c r="T449" s="9">
        <f>Modelling_old[[#This Row],[Target E_Grid MTD
MWh]]/Modelling_old[[#This Row],[DC Capcity]]/(24*CG449)</f>
        <v>0.14927135583741197</v>
      </c>
      <c r="U449" s="338">
        <f>Modelling_old[[#This Row],[Target E_Grid YTD
MWh]]/Modelling_old[[#This Row],[DC Capcity]]/(24*CH449)</f>
        <v>0.18159081666962179</v>
      </c>
      <c r="V449" s="134">
        <v>11.5031</v>
      </c>
      <c r="Y449" s="27">
        <f t="shared" si="162"/>
        <v>45448</v>
      </c>
      <c r="Z449" s="5">
        <f>MONTH(Modelling_new[[#This Row],[Date]])</f>
        <v>6</v>
      </c>
      <c r="AA449" s="25">
        <f>YEAR(Y449)+IF(MONTH(Modelling_new[[#This Row],[Date]])&gt;=4,1,0)</f>
        <v>2025</v>
      </c>
      <c r="AB449" s="3">
        <f t="shared" si="174"/>
        <v>2024</v>
      </c>
      <c r="AC449" s="3" t="s">
        <v>627</v>
      </c>
      <c r="AD449" s="3" t="s">
        <v>627</v>
      </c>
      <c r="AE449" s="102">
        <f>DATE(Modelling_old[[#This Row],[Calendor Year]],Modelling_old[[#This Row],[Start Month]],1)</f>
        <v>45444</v>
      </c>
      <c r="AF449" s="5">
        <f t="shared" si="175"/>
        <v>30</v>
      </c>
      <c r="AG449" s="5">
        <f t="shared" si="176"/>
        <v>6</v>
      </c>
      <c r="AH449" s="4">
        <f>_xlfn.XLOOKUP(Modelling_new[[#This Row],[Month]],$AA$1:$AA$14,$AL$1:$AL$14)/Modelling_new[[#This Row],[Total Days]]</f>
        <v>51.960119819336249</v>
      </c>
      <c r="AI449" s="4">
        <f>SUM($AH$445:AH449)</f>
        <v>259.80059909668125</v>
      </c>
      <c r="AJ449" s="4">
        <f>SUM($AH$384:AH449)</f>
        <v>4590.7840501320707</v>
      </c>
      <c r="AK449" s="4">
        <f t="shared" si="177"/>
        <v>5.1233333333333331</v>
      </c>
      <c r="AL449" s="4">
        <f>SUM($AK$445:AK449)</f>
        <v>25.616666666666667</v>
      </c>
      <c r="AM449" s="4">
        <f>SUM($AK$384:AK449)</f>
        <v>426.71666666666613</v>
      </c>
      <c r="AN449" s="323">
        <f t="shared" si="178"/>
        <v>0.88166304126662065</v>
      </c>
      <c r="AO449" s="323">
        <f t="shared" si="179"/>
        <v>0.88166304126662054</v>
      </c>
      <c r="AP449" s="323">
        <f t="shared" si="180"/>
        <v>0.93526000545443433</v>
      </c>
      <c r="AQ449" s="323">
        <f t="shared" si="181"/>
        <v>0.18821056867038832</v>
      </c>
      <c r="AR449" s="323">
        <f>Modelling_new[[#This Row],[Target E_Grid MTD
MWh]]/Modelling_new[[#This Row],[MTD DC Capcity]]/(24*CG449)</f>
        <v>0.16914101503690185</v>
      </c>
      <c r="AS449" s="323">
        <f>Modelling_new[[#This Row],[Target E_Grid YTD
MWh]]/Modelling_new[[#This Row],[YTD DC Capcity]]/(24*CH449)</f>
        <v>0.2264236135836922</v>
      </c>
      <c r="AT449" s="5">
        <v>12.8</v>
      </c>
      <c r="AU449" s="9">
        <f>Modelling_new[[#This Row],[Comisined DC ]]/$AO$1</f>
        <v>1</v>
      </c>
      <c r="AV449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49" s="5">
        <f>AVERAGEIFS(Modelling_new[[Comisined DC ]],Modelling_new[Date],"&lt;="&amp;Modelling_new[[#This Row],[Date]],Modelling_new[[Comisined DC ]],"&gt;"&amp;0,Modelling_new[Finacial Year],Modelling_new[[#This Row],[Finacial Year]])</f>
        <v>12.799999999999985</v>
      </c>
      <c r="BD449" s="27">
        <f t="shared" si="163"/>
        <v>45448</v>
      </c>
      <c r="BE449" s="5">
        <f>MONTH(Modelling[[#This Row],[Date]])</f>
        <v>6</v>
      </c>
      <c r="BF449" s="25">
        <f>YEAR(BD449)+IF(MONTH(Modelling[[#This Row],[Date]])&gt;=4,1,0)</f>
        <v>2025</v>
      </c>
      <c r="BG449" s="3">
        <f t="shared" si="182"/>
        <v>2024</v>
      </c>
      <c r="BH449" s="3" t="s">
        <v>627</v>
      </c>
      <c r="BI449" s="3" t="s">
        <v>627</v>
      </c>
      <c r="BJ449" s="102">
        <f>DATE(Modelling_old[[#This Row],[Calendor Year]],Modelling_old[[#This Row],[Start Month]],1)</f>
        <v>45444</v>
      </c>
      <c r="BK449" s="5">
        <f t="shared" si="183"/>
        <v>30</v>
      </c>
      <c r="BL449" s="5">
        <f t="shared" si="184"/>
        <v>6</v>
      </c>
      <c r="BM449" s="4">
        <f>Modelling_old[[#This Row],[Target E_Grid daily
MWh]]+Modelling_new[[#This Row],[Target E_Grid daily
MWh]]</f>
        <v>93.17011981933625</v>
      </c>
      <c r="BN449" s="4">
        <f>Modelling_old[[#This Row],[Target E_Grid MTD
MWh]]+Modelling_new[[#This Row],[Target E_Grid MTD
MWh]]</f>
        <v>465.85059909668126</v>
      </c>
      <c r="BO449" s="4">
        <f>Modelling_old[[#This Row],[Target E_Grid YTD
MWh]]+Modelling_new[[#This Row],[Target E_Grid YTD
MWh]]</f>
        <v>7899.5340501320752</v>
      </c>
      <c r="BP449" s="4">
        <f>AVERAGE(Modelling_old[[#This Row],[Target POA Daily (KWh/m2)]],Modelling_new[[#This Row],[Target POA Daily (KWh/m2)]])</f>
        <v>5.1233333333333331</v>
      </c>
      <c r="BQ449" s="4">
        <f>SUM($BP$445:BP449)</f>
        <v>25.616666666666667</v>
      </c>
      <c r="BR449" s="4">
        <f>SUM($BP$384:BP449)</f>
        <v>426.71666666666613</v>
      </c>
      <c r="BS449" s="323">
        <f>BM449/Modelling[[#This Row],[Comisined DC ]]/BP449</f>
        <v>0.74827694992965155</v>
      </c>
      <c r="BT449" s="337">
        <f>BN449/BQ449/Modelling[[#This Row],[Comisined DC ]]</f>
        <v>0.74827694992965144</v>
      </c>
      <c r="BU449" s="337">
        <f>BO449/BR449/Modelling[[#This Row],[Comisined DC ]]</f>
        <v>0.76172848370775592</v>
      </c>
      <c r="BV449" s="323">
        <f>BM449/(24*Modelling[[#This Row],[Comisined DC ]])</f>
        <v>0.15973634333914921</v>
      </c>
      <c r="BW449" s="323">
        <f>Modelling[[#This Row],[Target E_Grid MTD
MWh]]/Modelling[[#This Row],[MTD DC Capcity]]/(24*CG449)</f>
        <v>0.15973634333914921</v>
      </c>
      <c r="BX449" s="338">
        <f>Modelling[[#This Row],[Target E_Grid YTD
MWh]]/Modelling[[#This Row],[YTD DC Capcity]]/(24*CH449)</f>
        <v>0.2052034340106233</v>
      </c>
      <c r="BY449" s="4">
        <f>Modelling_old[[#This Row],[DC Capcity]]+Modelling_new[[#This Row],[Comisined DC ]]</f>
        <v>24.303100000000001</v>
      </c>
      <c r="BZ449" s="4">
        <v>0</v>
      </c>
      <c r="CA449">
        <f>AVERAGEIFS(Modelling[[Comisined DC ]],Modelling[Date],"&lt;="&amp;Modelling[[#This Row],[Date]],Modelling[Month Year],Modelling[[#This Row],[Month Year]])</f>
        <v>24.303100000000001</v>
      </c>
      <c r="CB449">
        <f>AVERAGEIFS(Modelling[[Comisined DC ]],Modelling[Date],"&lt;="&amp;Modelling[[#This Row],[Date]],Modelling[Finacial Year],Modelling[[#This Row],[Finacial Year]])</f>
        <v>24.303100000000018</v>
      </c>
      <c r="CG449">
        <f t="shared" si="160"/>
        <v>5</v>
      </c>
      <c r="CH449">
        <f t="shared" si="161"/>
        <v>66</v>
      </c>
    </row>
    <row r="450" spans="1:86" x14ac:dyDescent="0.35">
      <c r="A450" s="27">
        <f t="shared" si="164"/>
        <v>45449</v>
      </c>
      <c r="B450" s="5">
        <f>MONTH(Modelling_old[[#This Row],[Date]])</f>
        <v>6</v>
      </c>
      <c r="C450" s="25">
        <f t="shared" si="165"/>
        <v>2025</v>
      </c>
      <c r="D450" s="3">
        <f t="shared" si="166"/>
        <v>2024</v>
      </c>
      <c r="E450" s="3" t="s">
        <v>627</v>
      </c>
      <c r="F450" s="3" t="s">
        <v>627</v>
      </c>
      <c r="G450" s="102">
        <f>DATE(Modelling_old[[#This Row],[Calendor Year]],Modelling_old[[#This Row],[Start Month]],1)</f>
        <v>45444</v>
      </c>
      <c r="H450" s="5">
        <f t="shared" si="167"/>
        <v>30</v>
      </c>
      <c r="I450" s="5">
        <f t="shared" si="168"/>
        <v>6</v>
      </c>
      <c r="J450" s="4">
        <f>_xlfn.XLOOKUP(Modelling_old[[#This Row],[Month]],$C$1:$C$14,$N$1:$N$14)/Modelling_old[[#This Row],[Total Days]]</f>
        <v>41.21</v>
      </c>
      <c r="K450" s="4">
        <f>SUM($J$445:J450)</f>
        <v>247.26000000000002</v>
      </c>
      <c r="L450" s="4">
        <f>SUM($J$384:J450)</f>
        <v>3349.960000000005</v>
      </c>
      <c r="M450" s="4">
        <f t="shared" si="169"/>
        <v>5.1233333333333331</v>
      </c>
      <c r="N450" s="4">
        <f>SUM($M$445:M450)</f>
        <v>30.740000000000002</v>
      </c>
      <c r="O450" s="4">
        <f>SUM($M$384:M450)</f>
        <v>431.83999999999946</v>
      </c>
      <c r="P450" s="323">
        <f t="shared" si="170"/>
        <v>0.69925423684408983</v>
      </c>
      <c r="Q450" s="337">
        <f t="shared" si="171"/>
        <v>0.69925423684408983</v>
      </c>
      <c r="R450" s="337">
        <f t="shared" si="172"/>
        <v>0.67437561630413845</v>
      </c>
      <c r="S450" s="323">
        <f t="shared" si="173"/>
        <v>0.14927135583741197</v>
      </c>
      <c r="T450" s="9">
        <f>Modelling_old[[#This Row],[Target E_Grid MTD
MWh]]/Modelling_old[[#This Row],[DC Capcity]]/(24*CG450)</f>
        <v>0.14927135583741197</v>
      </c>
      <c r="U450" s="338">
        <f>Modelling_old[[#This Row],[Target E_Grid YTD
MWh]]/Modelling_old[[#This Row],[DC Capcity]]/(24*CH450)</f>
        <v>0.18110843665720075</v>
      </c>
      <c r="V450" s="134">
        <v>11.5031</v>
      </c>
      <c r="Y450" s="27">
        <f t="shared" si="162"/>
        <v>45449</v>
      </c>
      <c r="Z450" s="5">
        <f>MONTH(Modelling_new[[#This Row],[Date]])</f>
        <v>6</v>
      </c>
      <c r="AA450" s="25">
        <f>YEAR(Y450)+IF(MONTH(Modelling_new[[#This Row],[Date]])&gt;=4,1,0)</f>
        <v>2025</v>
      </c>
      <c r="AB450" s="3">
        <f t="shared" si="174"/>
        <v>2024</v>
      </c>
      <c r="AC450" s="3" t="s">
        <v>627</v>
      </c>
      <c r="AD450" s="3" t="s">
        <v>627</v>
      </c>
      <c r="AE450" s="102">
        <f>DATE(Modelling_old[[#This Row],[Calendor Year]],Modelling_old[[#This Row],[Start Month]],1)</f>
        <v>45444</v>
      </c>
      <c r="AF450" s="5">
        <f t="shared" si="175"/>
        <v>30</v>
      </c>
      <c r="AG450" s="5">
        <f t="shared" si="176"/>
        <v>6</v>
      </c>
      <c r="AH450" s="4">
        <f>_xlfn.XLOOKUP(Modelling_new[[#This Row],[Month]],$AA$1:$AA$14,$AL$1:$AL$14)/Modelling_new[[#This Row],[Total Days]]</f>
        <v>51.960119819336249</v>
      </c>
      <c r="AI450" s="4">
        <f>SUM($AH$445:AH450)</f>
        <v>311.76071891601748</v>
      </c>
      <c r="AJ450" s="4">
        <f>SUM($AH$384:AH450)</f>
        <v>4642.7441699514065</v>
      </c>
      <c r="AK450" s="4">
        <f t="shared" si="177"/>
        <v>5.1233333333333331</v>
      </c>
      <c r="AL450" s="4">
        <f>SUM($AK$445:AK450)</f>
        <v>30.740000000000002</v>
      </c>
      <c r="AM450" s="4">
        <f>SUM($AK$384:AK450)</f>
        <v>431.83999999999946</v>
      </c>
      <c r="AN450" s="323">
        <f t="shared" si="178"/>
        <v>0.88166304126662065</v>
      </c>
      <c r="AO450" s="323">
        <f t="shared" si="179"/>
        <v>0.88166304126662054</v>
      </c>
      <c r="AP450" s="323">
        <f t="shared" si="180"/>
        <v>0.9346241331100732</v>
      </c>
      <c r="AQ450" s="323">
        <f t="shared" si="181"/>
        <v>0.18821056867038832</v>
      </c>
      <c r="AR450" s="323">
        <f>Modelling_new[[#This Row],[Target E_Grid MTD
MWh]]/Modelling_new[[#This Row],[MTD DC Capcity]]/(24*CG450)</f>
        <v>0.16914101503690185</v>
      </c>
      <c r="AS450" s="323">
        <f>Modelling_new[[#This Row],[Target E_Grid YTD
MWh]]/Modelling_new[[#This Row],[YTD DC Capcity]]/(24*CH450)</f>
        <v>0.22556864942627741</v>
      </c>
      <c r="AT450" s="5">
        <v>12.8</v>
      </c>
      <c r="AU450" s="9">
        <f>Modelling_new[[#This Row],[Comisined DC ]]/$AO$1</f>
        <v>1</v>
      </c>
      <c r="AV450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50" s="5">
        <f>AVERAGEIFS(Modelling_new[[Comisined DC ]],Modelling_new[Date],"&lt;="&amp;Modelling_new[[#This Row],[Date]],Modelling_new[[Comisined DC ]],"&gt;"&amp;0,Modelling_new[Finacial Year],Modelling_new[[#This Row],[Finacial Year]])</f>
        <v>12.799999999999985</v>
      </c>
      <c r="BD450" s="27">
        <f t="shared" si="163"/>
        <v>45449</v>
      </c>
      <c r="BE450" s="5">
        <f>MONTH(Modelling[[#This Row],[Date]])</f>
        <v>6</v>
      </c>
      <c r="BF450" s="25">
        <f>YEAR(BD450)+IF(MONTH(Modelling[[#This Row],[Date]])&gt;=4,1,0)</f>
        <v>2025</v>
      </c>
      <c r="BG450" s="3">
        <f t="shared" si="182"/>
        <v>2024</v>
      </c>
      <c r="BH450" s="3" t="s">
        <v>627</v>
      </c>
      <c r="BI450" s="3" t="s">
        <v>627</v>
      </c>
      <c r="BJ450" s="102">
        <f>DATE(Modelling_old[[#This Row],[Calendor Year]],Modelling_old[[#This Row],[Start Month]],1)</f>
        <v>45444</v>
      </c>
      <c r="BK450" s="5">
        <f t="shared" si="183"/>
        <v>30</v>
      </c>
      <c r="BL450" s="5">
        <f t="shared" si="184"/>
        <v>6</v>
      </c>
      <c r="BM450" s="4">
        <f>Modelling_old[[#This Row],[Target E_Grid daily
MWh]]+Modelling_new[[#This Row],[Target E_Grid daily
MWh]]</f>
        <v>93.17011981933625</v>
      </c>
      <c r="BN450" s="4">
        <f>Modelling_old[[#This Row],[Target E_Grid MTD
MWh]]+Modelling_new[[#This Row],[Target E_Grid MTD
MWh]]</f>
        <v>559.02071891601747</v>
      </c>
      <c r="BO450" s="4">
        <f>Modelling_old[[#This Row],[Target E_Grid YTD
MWh]]+Modelling_new[[#This Row],[Target E_Grid YTD
MWh]]</f>
        <v>7992.704169951412</v>
      </c>
      <c r="BP450" s="4">
        <f>AVERAGE(Modelling_old[[#This Row],[Target POA Daily (KWh/m2)]],Modelling_new[[#This Row],[Target POA Daily (KWh/m2)]])</f>
        <v>5.1233333333333331</v>
      </c>
      <c r="BQ450" s="4">
        <f>SUM($BP$445:BP450)</f>
        <v>30.740000000000002</v>
      </c>
      <c r="BR450" s="4">
        <f>SUM($BP$384:BP450)</f>
        <v>431.83999999999946</v>
      </c>
      <c r="BS450" s="323">
        <f>BM450/Modelling[[#This Row],[Comisined DC ]]/BP450</f>
        <v>0.74827694992965155</v>
      </c>
      <c r="BT450" s="337">
        <f>BN450/BQ450/Modelling[[#This Row],[Comisined DC ]]</f>
        <v>0.74827694992965144</v>
      </c>
      <c r="BU450" s="337">
        <f>BO450/BR450/Modelling[[#This Row],[Comisined DC ]]</f>
        <v>0.76156889522269255</v>
      </c>
      <c r="BV450" s="323">
        <f>BM450/(24*Modelling[[#This Row],[Comisined DC ]])</f>
        <v>0.15973634333914921</v>
      </c>
      <c r="BW450" s="323">
        <f>Modelling[[#This Row],[Target E_Grid MTD
MWh]]/Modelling[[#This Row],[MTD DC Capcity]]/(24*CG450)</f>
        <v>0.15973634333914918</v>
      </c>
      <c r="BX450" s="338">
        <f>Modelling[[#This Row],[Target E_Grid YTD
MWh]]/Modelling[[#This Row],[YTD DC Capcity]]/(24*CH450)</f>
        <v>0.20452482071701922</v>
      </c>
      <c r="BY450" s="4">
        <f>Modelling_old[[#This Row],[DC Capcity]]+Modelling_new[[#This Row],[Comisined DC ]]</f>
        <v>24.303100000000001</v>
      </c>
      <c r="BZ450" s="4">
        <v>0</v>
      </c>
      <c r="CA450">
        <f>AVERAGEIFS(Modelling[[Comisined DC ]],Modelling[Date],"&lt;="&amp;Modelling[[#This Row],[Date]],Modelling[Month Year],Modelling[[#This Row],[Month Year]])</f>
        <v>24.303100000000001</v>
      </c>
      <c r="CB450">
        <f>AVERAGEIFS(Modelling[[Comisined DC ]],Modelling[Date],"&lt;="&amp;Modelling[[#This Row],[Date]],Modelling[Finacial Year],Modelling[[#This Row],[Finacial Year]])</f>
        <v>24.303100000000018</v>
      </c>
      <c r="CG450">
        <f t="shared" ref="CG450:CG513" si="185">CG449+1</f>
        <v>6</v>
      </c>
      <c r="CH450">
        <f t="shared" ref="CH450:CH513" si="186">CH449+1</f>
        <v>67</v>
      </c>
    </row>
    <row r="451" spans="1:86" x14ac:dyDescent="0.35">
      <c r="A451" s="27">
        <f t="shared" si="164"/>
        <v>45450</v>
      </c>
      <c r="B451" s="5">
        <f>MONTH(Modelling_old[[#This Row],[Date]])</f>
        <v>6</v>
      </c>
      <c r="C451" s="25">
        <f t="shared" si="165"/>
        <v>2025</v>
      </c>
      <c r="D451" s="3">
        <f t="shared" si="166"/>
        <v>2024</v>
      </c>
      <c r="E451" s="3" t="s">
        <v>627</v>
      </c>
      <c r="F451" s="3" t="s">
        <v>627</v>
      </c>
      <c r="G451" s="102">
        <f>DATE(Modelling_old[[#This Row],[Calendor Year]],Modelling_old[[#This Row],[Start Month]],1)</f>
        <v>45444</v>
      </c>
      <c r="H451" s="5">
        <f t="shared" si="167"/>
        <v>30</v>
      </c>
      <c r="I451" s="5">
        <f t="shared" si="168"/>
        <v>6</v>
      </c>
      <c r="J451" s="4">
        <f>_xlfn.XLOOKUP(Modelling_old[[#This Row],[Month]],$C$1:$C$14,$N$1:$N$14)/Modelling_old[[#This Row],[Total Days]]</f>
        <v>41.21</v>
      </c>
      <c r="K451" s="4">
        <f>SUM($J$445:J451)</f>
        <v>288.47000000000003</v>
      </c>
      <c r="L451" s="4">
        <f>SUM($J$384:J451)</f>
        <v>3391.1700000000051</v>
      </c>
      <c r="M451" s="4">
        <f t="shared" si="169"/>
        <v>5.1233333333333331</v>
      </c>
      <c r="N451" s="4">
        <f>SUM($M$445:M451)</f>
        <v>35.863333333333337</v>
      </c>
      <c r="O451" s="4">
        <f>SUM($M$384:M451)</f>
        <v>436.9633333333328</v>
      </c>
      <c r="P451" s="323">
        <f t="shared" si="170"/>
        <v>0.69925423684408983</v>
      </c>
      <c r="Q451" s="337">
        <f t="shared" si="171"/>
        <v>0.69925423684408972</v>
      </c>
      <c r="R451" s="337">
        <f t="shared" si="172"/>
        <v>0.67466731461421714</v>
      </c>
      <c r="S451" s="323">
        <f t="shared" si="173"/>
        <v>0.14927135583741197</v>
      </c>
      <c r="T451" s="9">
        <f>Modelling_old[[#This Row],[Target E_Grid MTD
MWh]]/Modelling_old[[#This Row],[DC Capcity]]/(24*CG451)</f>
        <v>0.14927135583741197</v>
      </c>
      <c r="U451" s="338">
        <f>Modelling_old[[#This Row],[Target E_Grid YTD
MWh]]/Modelling_old[[#This Row],[DC Capcity]]/(24*CH451)</f>
        <v>0.18064024429220388</v>
      </c>
      <c r="V451" s="134">
        <v>11.5031</v>
      </c>
      <c r="Y451" s="27">
        <f t="shared" si="162"/>
        <v>45450</v>
      </c>
      <c r="Z451" s="5">
        <f>MONTH(Modelling_new[[#This Row],[Date]])</f>
        <v>6</v>
      </c>
      <c r="AA451" s="25">
        <f>YEAR(Y451)+IF(MONTH(Modelling_new[[#This Row],[Date]])&gt;=4,1,0)</f>
        <v>2025</v>
      </c>
      <c r="AB451" s="3">
        <f t="shared" si="174"/>
        <v>2024</v>
      </c>
      <c r="AC451" s="3" t="s">
        <v>627</v>
      </c>
      <c r="AD451" s="3" t="s">
        <v>627</v>
      </c>
      <c r="AE451" s="102">
        <f>DATE(Modelling_old[[#This Row],[Calendor Year]],Modelling_old[[#This Row],[Start Month]],1)</f>
        <v>45444</v>
      </c>
      <c r="AF451" s="5">
        <f t="shared" si="175"/>
        <v>30</v>
      </c>
      <c r="AG451" s="5">
        <f t="shared" si="176"/>
        <v>6</v>
      </c>
      <c r="AH451" s="4">
        <f>_xlfn.XLOOKUP(Modelling_new[[#This Row],[Month]],$AA$1:$AA$14,$AL$1:$AL$14)/Modelling_new[[#This Row],[Total Days]]</f>
        <v>51.960119819336249</v>
      </c>
      <c r="AI451" s="4">
        <f>SUM($AH$445:AH451)</f>
        <v>363.72083873535371</v>
      </c>
      <c r="AJ451" s="4">
        <f>SUM($AH$384:AH451)</f>
        <v>4694.7042897707424</v>
      </c>
      <c r="AK451" s="4">
        <f t="shared" si="177"/>
        <v>5.1233333333333331</v>
      </c>
      <c r="AL451" s="4">
        <f>SUM($AK$445:AK451)</f>
        <v>35.863333333333337</v>
      </c>
      <c r="AM451" s="4">
        <f>SUM($AK$384:AK451)</f>
        <v>436.9633333333328</v>
      </c>
      <c r="AN451" s="323">
        <f t="shared" si="178"/>
        <v>0.88166304126662065</v>
      </c>
      <c r="AO451" s="323">
        <f t="shared" si="179"/>
        <v>0.88166304126662043</v>
      </c>
      <c r="AP451" s="323">
        <f t="shared" si="180"/>
        <v>0.93400317179246928</v>
      </c>
      <c r="AQ451" s="323">
        <f t="shared" si="181"/>
        <v>0.18821056867038832</v>
      </c>
      <c r="AR451" s="323">
        <f>Modelling_new[[#This Row],[Target E_Grid MTD
MWh]]/Modelling_new[[#This Row],[MTD DC Capcity]]/(24*CG451)</f>
        <v>0.16914101503690185</v>
      </c>
      <c r="AS451" s="323">
        <f>Modelling_new[[#This Row],[Target E_Grid YTD
MWh]]/Modelling_new[[#This Row],[YTD DC Capcity]]/(24*CH451)</f>
        <v>0.22473883127349245</v>
      </c>
      <c r="AT451" s="5">
        <v>12.8</v>
      </c>
      <c r="AU451" s="9">
        <f>Modelling_new[[#This Row],[Comisined DC ]]/$AO$1</f>
        <v>1</v>
      </c>
      <c r="AV451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51" s="5">
        <f>AVERAGEIFS(Modelling_new[[Comisined DC ]],Modelling_new[Date],"&lt;="&amp;Modelling_new[[#This Row],[Date]],Modelling_new[[Comisined DC ]],"&gt;"&amp;0,Modelling_new[Finacial Year],Modelling_new[[#This Row],[Finacial Year]])</f>
        <v>12.799999999999985</v>
      </c>
      <c r="BD451" s="27">
        <f t="shared" si="163"/>
        <v>45450</v>
      </c>
      <c r="BE451" s="5">
        <f>MONTH(Modelling[[#This Row],[Date]])</f>
        <v>6</v>
      </c>
      <c r="BF451" s="25">
        <f>YEAR(BD451)+IF(MONTH(Modelling[[#This Row],[Date]])&gt;=4,1,0)</f>
        <v>2025</v>
      </c>
      <c r="BG451" s="3">
        <f t="shared" si="182"/>
        <v>2024</v>
      </c>
      <c r="BH451" s="3" t="s">
        <v>627</v>
      </c>
      <c r="BI451" s="3" t="s">
        <v>627</v>
      </c>
      <c r="BJ451" s="102">
        <f>DATE(Modelling_old[[#This Row],[Calendor Year]],Modelling_old[[#This Row],[Start Month]],1)</f>
        <v>45444</v>
      </c>
      <c r="BK451" s="5">
        <f t="shared" si="183"/>
        <v>30</v>
      </c>
      <c r="BL451" s="5">
        <f t="shared" si="184"/>
        <v>6</v>
      </c>
      <c r="BM451" s="4">
        <f>Modelling_old[[#This Row],[Target E_Grid daily
MWh]]+Modelling_new[[#This Row],[Target E_Grid daily
MWh]]</f>
        <v>93.17011981933625</v>
      </c>
      <c r="BN451" s="4">
        <f>Modelling_old[[#This Row],[Target E_Grid MTD
MWh]]+Modelling_new[[#This Row],[Target E_Grid MTD
MWh]]</f>
        <v>652.19083873535374</v>
      </c>
      <c r="BO451" s="4">
        <f>Modelling_old[[#This Row],[Target E_Grid YTD
MWh]]+Modelling_new[[#This Row],[Target E_Grid YTD
MWh]]</f>
        <v>8085.8742897707471</v>
      </c>
      <c r="BP451" s="4">
        <f>AVERAGE(Modelling_old[[#This Row],[Target POA Daily (KWh/m2)]],Modelling_new[[#This Row],[Target POA Daily (KWh/m2)]])</f>
        <v>5.1233333333333331</v>
      </c>
      <c r="BQ451" s="4">
        <f>SUM($BP$445:BP451)</f>
        <v>35.863333333333337</v>
      </c>
      <c r="BR451" s="4">
        <f>SUM($BP$384:BP451)</f>
        <v>436.9633333333328</v>
      </c>
      <c r="BS451" s="323">
        <f>BM451/Modelling[[#This Row],[Comisined DC ]]/BP451</f>
        <v>0.74827694992965155</v>
      </c>
      <c r="BT451" s="337">
        <f>BN451/BQ451/Modelling[[#This Row],[Comisined DC ]]</f>
        <v>0.74827694992965144</v>
      </c>
      <c r="BU451" s="337">
        <f>BO451/BR451/Modelling[[#This Row],[Comisined DC ]]</f>
        <v>0.76141304904249874</v>
      </c>
      <c r="BV451" s="323">
        <f>BM451/(24*Modelling[[#This Row],[Comisined DC ]])</f>
        <v>0.15973634333914921</v>
      </c>
      <c r="BW451" s="323">
        <f>Modelling[[#This Row],[Target E_Grid MTD
MWh]]/Modelling[[#This Row],[MTD DC Capcity]]/(24*CG451)</f>
        <v>0.15973634333914918</v>
      </c>
      <c r="BX451" s="338">
        <f>Modelling[[#This Row],[Target E_Grid YTD
MWh]]/Modelling[[#This Row],[YTD DC Capcity]]/(24*CH451)</f>
        <v>0.20386616663793289</v>
      </c>
      <c r="BY451" s="4">
        <f>Modelling_old[[#This Row],[DC Capcity]]+Modelling_new[[#This Row],[Comisined DC ]]</f>
        <v>24.303100000000001</v>
      </c>
      <c r="BZ451" s="4">
        <v>0</v>
      </c>
      <c r="CA451">
        <f>AVERAGEIFS(Modelling[[Comisined DC ]],Modelling[Date],"&lt;="&amp;Modelling[[#This Row],[Date]],Modelling[Month Year],Modelling[[#This Row],[Month Year]])</f>
        <v>24.303100000000001</v>
      </c>
      <c r="CB451">
        <f>AVERAGEIFS(Modelling[[Comisined DC ]],Modelling[Date],"&lt;="&amp;Modelling[[#This Row],[Date]],Modelling[Finacial Year],Modelling[[#This Row],[Finacial Year]])</f>
        <v>24.303100000000018</v>
      </c>
      <c r="CG451">
        <f t="shared" si="185"/>
        <v>7</v>
      </c>
      <c r="CH451">
        <f t="shared" si="186"/>
        <v>68</v>
      </c>
    </row>
    <row r="452" spans="1:86" x14ac:dyDescent="0.35">
      <c r="A452" s="27">
        <f t="shared" si="164"/>
        <v>45451</v>
      </c>
      <c r="B452" s="5">
        <f>MONTH(Modelling_old[[#This Row],[Date]])</f>
        <v>6</v>
      </c>
      <c r="C452" s="25">
        <f t="shared" si="165"/>
        <v>2025</v>
      </c>
      <c r="D452" s="3">
        <f t="shared" si="166"/>
        <v>2024</v>
      </c>
      <c r="E452" s="3" t="s">
        <v>627</v>
      </c>
      <c r="F452" s="3" t="s">
        <v>627</v>
      </c>
      <c r="G452" s="102">
        <f>DATE(Modelling_old[[#This Row],[Calendor Year]],Modelling_old[[#This Row],[Start Month]],1)</f>
        <v>45444</v>
      </c>
      <c r="H452" s="5">
        <f t="shared" si="167"/>
        <v>30</v>
      </c>
      <c r="I452" s="5">
        <f t="shared" si="168"/>
        <v>6</v>
      </c>
      <c r="J452" s="4">
        <f>_xlfn.XLOOKUP(Modelling_old[[#This Row],[Month]],$C$1:$C$14,$N$1:$N$14)/Modelling_old[[#This Row],[Total Days]]</f>
        <v>41.21</v>
      </c>
      <c r="K452" s="4">
        <f>SUM($J$445:J452)</f>
        <v>329.68</v>
      </c>
      <c r="L452" s="4">
        <f>SUM($J$384:J452)</f>
        <v>3432.3800000000051</v>
      </c>
      <c r="M452" s="4">
        <f t="shared" si="169"/>
        <v>5.1233333333333331</v>
      </c>
      <c r="N452" s="4">
        <f>SUM($M$445:M452)</f>
        <v>40.986666666666672</v>
      </c>
      <c r="O452" s="4">
        <f>SUM($M$384:M452)</f>
        <v>442.08666666666613</v>
      </c>
      <c r="P452" s="323">
        <f t="shared" si="170"/>
        <v>0.69925423684408983</v>
      </c>
      <c r="Q452" s="337">
        <f t="shared" si="171"/>
        <v>0.69925423684408972</v>
      </c>
      <c r="R452" s="337">
        <f t="shared" si="172"/>
        <v>0.67495225195280328</v>
      </c>
      <c r="S452" s="323">
        <f t="shared" si="173"/>
        <v>0.14927135583741197</v>
      </c>
      <c r="T452" s="9">
        <f>Modelling_old[[#This Row],[Target E_Grid MTD
MWh]]/Modelling_old[[#This Row],[DC Capcity]]/(24*CG452)</f>
        <v>0.14927135583741194</v>
      </c>
      <c r="U452" s="338">
        <f>Modelling_old[[#This Row],[Target E_Grid YTD
MWh]]/Modelling_old[[#This Row],[DC Capcity]]/(24*CH452)</f>
        <v>0.18018562272039529</v>
      </c>
      <c r="V452" s="134">
        <v>11.5031</v>
      </c>
      <c r="Y452" s="27">
        <f t="shared" si="162"/>
        <v>45451</v>
      </c>
      <c r="Z452" s="5">
        <f>MONTH(Modelling_new[[#This Row],[Date]])</f>
        <v>6</v>
      </c>
      <c r="AA452" s="25">
        <f>YEAR(Y452)+IF(MONTH(Modelling_new[[#This Row],[Date]])&gt;=4,1,0)</f>
        <v>2025</v>
      </c>
      <c r="AB452" s="3">
        <f t="shared" si="174"/>
        <v>2024</v>
      </c>
      <c r="AC452" s="3" t="s">
        <v>627</v>
      </c>
      <c r="AD452" s="3" t="s">
        <v>627</v>
      </c>
      <c r="AE452" s="102">
        <f>DATE(Modelling_old[[#This Row],[Calendor Year]],Modelling_old[[#This Row],[Start Month]],1)</f>
        <v>45444</v>
      </c>
      <c r="AF452" s="5">
        <f t="shared" si="175"/>
        <v>30</v>
      </c>
      <c r="AG452" s="5">
        <f t="shared" si="176"/>
        <v>6</v>
      </c>
      <c r="AH452" s="4">
        <f>_xlfn.XLOOKUP(Modelling_new[[#This Row],[Month]],$AA$1:$AA$14,$AL$1:$AL$14)/Modelling_new[[#This Row],[Total Days]]</f>
        <v>51.960119819336249</v>
      </c>
      <c r="AI452" s="4">
        <f>SUM($AH$445:AH452)</f>
        <v>415.68095855468994</v>
      </c>
      <c r="AJ452" s="4">
        <f>SUM($AH$384:AH452)</f>
        <v>4746.6644095900783</v>
      </c>
      <c r="AK452" s="4">
        <f t="shared" si="177"/>
        <v>5.1233333333333331</v>
      </c>
      <c r="AL452" s="4">
        <f>SUM($AK$445:AK452)</f>
        <v>40.986666666666672</v>
      </c>
      <c r="AM452" s="4">
        <f>SUM($AK$384:AK452)</f>
        <v>442.08666666666613</v>
      </c>
      <c r="AN452" s="323">
        <f t="shared" si="178"/>
        <v>0.88166304126662065</v>
      </c>
      <c r="AO452" s="323">
        <f t="shared" si="179"/>
        <v>0.88166304126662043</v>
      </c>
      <c r="AP452" s="323">
        <f t="shared" si="180"/>
        <v>0.93339660309087036</v>
      </c>
      <c r="AQ452" s="323">
        <f t="shared" si="181"/>
        <v>0.18821056867038832</v>
      </c>
      <c r="AR452" s="323">
        <f>Modelling_new[[#This Row],[Target E_Grid MTD
MWh]]/Modelling_new[[#This Row],[MTD DC Capcity]]/(24*CG452)</f>
        <v>0.16914101503690185</v>
      </c>
      <c r="AS452" s="323">
        <f>Modelling_new[[#This Row],[Target E_Grid YTD
MWh]]/Modelling_new[[#This Row],[YTD DC Capcity]]/(24*CH452)</f>
        <v>0.22393306582078823</v>
      </c>
      <c r="AT452" s="5">
        <v>12.8</v>
      </c>
      <c r="AU452" s="9">
        <f>Modelling_new[[#This Row],[Comisined DC ]]/$AO$1</f>
        <v>1</v>
      </c>
      <c r="AV452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52" s="5">
        <f>AVERAGEIFS(Modelling_new[[Comisined DC ]],Modelling_new[Date],"&lt;="&amp;Modelling_new[[#This Row],[Date]],Modelling_new[[Comisined DC ]],"&gt;"&amp;0,Modelling_new[Finacial Year],Modelling_new[[#This Row],[Finacial Year]])</f>
        <v>12.799999999999985</v>
      </c>
      <c r="BD452" s="27">
        <f t="shared" si="163"/>
        <v>45451</v>
      </c>
      <c r="BE452" s="5">
        <f>MONTH(Modelling[[#This Row],[Date]])</f>
        <v>6</v>
      </c>
      <c r="BF452" s="25">
        <f>YEAR(BD452)+IF(MONTH(Modelling[[#This Row],[Date]])&gt;=4,1,0)</f>
        <v>2025</v>
      </c>
      <c r="BG452" s="3">
        <f t="shared" si="182"/>
        <v>2024</v>
      </c>
      <c r="BH452" s="3" t="s">
        <v>627</v>
      </c>
      <c r="BI452" s="3" t="s">
        <v>627</v>
      </c>
      <c r="BJ452" s="102">
        <f>DATE(Modelling_old[[#This Row],[Calendor Year]],Modelling_old[[#This Row],[Start Month]],1)</f>
        <v>45444</v>
      </c>
      <c r="BK452" s="5">
        <f t="shared" si="183"/>
        <v>30</v>
      </c>
      <c r="BL452" s="5">
        <f t="shared" si="184"/>
        <v>6</v>
      </c>
      <c r="BM452" s="4">
        <f>Modelling_old[[#This Row],[Target E_Grid daily
MWh]]+Modelling_new[[#This Row],[Target E_Grid daily
MWh]]</f>
        <v>93.17011981933625</v>
      </c>
      <c r="BN452" s="4">
        <f>Modelling_old[[#This Row],[Target E_Grid MTD
MWh]]+Modelling_new[[#This Row],[Target E_Grid MTD
MWh]]</f>
        <v>745.36095855468989</v>
      </c>
      <c r="BO452" s="4">
        <f>Modelling_old[[#This Row],[Target E_Grid YTD
MWh]]+Modelling_new[[#This Row],[Target E_Grid YTD
MWh]]</f>
        <v>8179.0444095900839</v>
      </c>
      <c r="BP452" s="4">
        <f>AVERAGE(Modelling_old[[#This Row],[Target POA Daily (KWh/m2)]],Modelling_new[[#This Row],[Target POA Daily (KWh/m2)]])</f>
        <v>5.1233333333333331</v>
      </c>
      <c r="BQ452" s="4">
        <f>SUM($BP$445:BP452)</f>
        <v>40.986666666666672</v>
      </c>
      <c r="BR452" s="4">
        <f>SUM($BP$384:BP452)</f>
        <v>442.08666666666613</v>
      </c>
      <c r="BS452" s="323">
        <f>BM452/Modelling[[#This Row],[Comisined DC ]]/BP452</f>
        <v>0.74827694992965155</v>
      </c>
      <c r="BT452" s="337">
        <f>BN452/BQ452/Modelling[[#This Row],[Comisined DC ]]</f>
        <v>0.74827694992965121</v>
      </c>
      <c r="BU452" s="337">
        <f>BO452/BR452/Modelling[[#This Row],[Comisined DC ]]</f>
        <v>0.76126081505869136</v>
      </c>
      <c r="BV452" s="323">
        <f>BM452/(24*Modelling[[#This Row],[Comisined DC ]])</f>
        <v>0.15973634333914921</v>
      </c>
      <c r="BW452" s="323">
        <f>Modelling[[#This Row],[Target E_Grid MTD
MWh]]/Modelling[[#This Row],[MTD DC Capcity]]/(24*CG452)</f>
        <v>0.15973634333914918</v>
      </c>
      <c r="BX452" s="338">
        <f>Modelling[[#This Row],[Target E_Grid YTD
MWh]]/Modelling[[#This Row],[YTD DC Capcity]]/(24*CH452)</f>
        <v>0.20322660398142875</v>
      </c>
      <c r="BY452" s="4">
        <f>Modelling_old[[#This Row],[DC Capcity]]+Modelling_new[[#This Row],[Comisined DC ]]</f>
        <v>24.303100000000001</v>
      </c>
      <c r="BZ452" s="4">
        <v>0</v>
      </c>
      <c r="CA452">
        <f>AVERAGEIFS(Modelling[[Comisined DC ]],Modelling[Date],"&lt;="&amp;Modelling[[#This Row],[Date]],Modelling[Month Year],Modelling[[#This Row],[Month Year]])</f>
        <v>24.303100000000001</v>
      </c>
      <c r="CB452">
        <f>AVERAGEIFS(Modelling[[Comisined DC ]],Modelling[Date],"&lt;="&amp;Modelling[[#This Row],[Date]],Modelling[Finacial Year],Modelling[[#This Row],[Finacial Year]])</f>
        <v>24.303100000000018</v>
      </c>
      <c r="CG452">
        <f t="shared" si="185"/>
        <v>8</v>
      </c>
      <c r="CH452">
        <f t="shared" si="186"/>
        <v>69</v>
      </c>
    </row>
    <row r="453" spans="1:86" x14ac:dyDescent="0.35">
      <c r="A453" s="27">
        <f t="shared" si="164"/>
        <v>45452</v>
      </c>
      <c r="B453" s="5">
        <f>MONTH(Modelling_old[[#This Row],[Date]])</f>
        <v>6</v>
      </c>
      <c r="C453" s="25">
        <f t="shared" si="165"/>
        <v>2025</v>
      </c>
      <c r="D453" s="3">
        <f t="shared" si="166"/>
        <v>2024</v>
      </c>
      <c r="E453" s="3" t="s">
        <v>627</v>
      </c>
      <c r="F453" s="3" t="s">
        <v>627</v>
      </c>
      <c r="G453" s="102">
        <f>DATE(Modelling_old[[#This Row],[Calendor Year]],Modelling_old[[#This Row],[Start Month]],1)</f>
        <v>45444</v>
      </c>
      <c r="H453" s="5">
        <f t="shared" si="167"/>
        <v>30</v>
      </c>
      <c r="I453" s="5">
        <f t="shared" si="168"/>
        <v>6</v>
      </c>
      <c r="J453" s="4">
        <f>_xlfn.XLOOKUP(Modelling_old[[#This Row],[Month]],$C$1:$C$14,$N$1:$N$14)/Modelling_old[[#This Row],[Total Days]]</f>
        <v>41.21</v>
      </c>
      <c r="K453" s="4">
        <f>SUM($J$445:J453)</f>
        <v>370.89</v>
      </c>
      <c r="L453" s="4">
        <f>SUM($J$384:J453)</f>
        <v>3473.5900000000051</v>
      </c>
      <c r="M453" s="4">
        <f t="shared" si="169"/>
        <v>5.1233333333333331</v>
      </c>
      <c r="N453" s="4">
        <f>SUM($M$445:M453)</f>
        <v>46.110000000000007</v>
      </c>
      <c r="O453" s="4">
        <f>SUM($M$384:M453)</f>
        <v>447.20999999999947</v>
      </c>
      <c r="P453" s="323">
        <f t="shared" si="170"/>
        <v>0.69925423684408983</v>
      </c>
      <c r="Q453" s="337">
        <f t="shared" si="171"/>
        <v>0.69925423684408972</v>
      </c>
      <c r="R453" s="337">
        <f t="shared" si="172"/>
        <v>0.67523066068529958</v>
      </c>
      <c r="S453" s="323">
        <f t="shared" si="173"/>
        <v>0.14927135583741197</v>
      </c>
      <c r="T453" s="9">
        <f>Modelling_old[[#This Row],[Target E_Grid MTD
MWh]]/Modelling_old[[#This Row],[DC Capcity]]/(24*CG453)</f>
        <v>0.14927135583741194</v>
      </c>
      <c r="U453" s="338">
        <f>Modelling_old[[#This Row],[Target E_Grid YTD
MWh]]/Modelling_old[[#This Row],[DC Capcity]]/(24*CH453)</f>
        <v>0.17974399033635269</v>
      </c>
      <c r="V453" s="134">
        <v>11.5031</v>
      </c>
      <c r="Y453" s="27">
        <f t="shared" si="162"/>
        <v>45452</v>
      </c>
      <c r="Z453" s="5">
        <f>MONTH(Modelling_new[[#This Row],[Date]])</f>
        <v>6</v>
      </c>
      <c r="AA453" s="25">
        <f>YEAR(Y453)+IF(MONTH(Modelling_new[[#This Row],[Date]])&gt;=4,1,0)</f>
        <v>2025</v>
      </c>
      <c r="AB453" s="3">
        <f t="shared" si="174"/>
        <v>2024</v>
      </c>
      <c r="AC453" s="3" t="s">
        <v>627</v>
      </c>
      <c r="AD453" s="3" t="s">
        <v>627</v>
      </c>
      <c r="AE453" s="102">
        <f>DATE(Modelling_old[[#This Row],[Calendor Year]],Modelling_old[[#This Row],[Start Month]],1)</f>
        <v>45444</v>
      </c>
      <c r="AF453" s="5">
        <f t="shared" si="175"/>
        <v>30</v>
      </c>
      <c r="AG453" s="5">
        <f t="shared" si="176"/>
        <v>6</v>
      </c>
      <c r="AH453" s="4">
        <f>_xlfn.XLOOKUP(Modelling_new[[#This Row],[Month]],$AA$1:$AA$14,$AL$1:$AL$14)/Modelling_new[[#This Row],[Total Days]]</f>
        <v>51.960119819336249</v>
      </c>
      <c r="AI453" s="4">
        <f>SUM($AH$445:AH453)</f>
        <v>467.64107837402616</v>
      </c>
      <c r="AJ453" s="4">
        <f>SUM($AH$384:AH453)</f>
        <v>4798.6245294094142</v>
      </c>
      <c r="AK453" s="4">
        <f t="shared" si="177"/>
        <v>5.1233333333333331</v>
      </c>
      <c r="AL453" s="4">
        <f>SUM($AK$445:AK453)</f>
        <v>46.110000000000007</v>
      </c>
      <c r="AM453" s="4">
        <f>SUM($AK$384:AK453)</f>
        <v>447.20999999999947</v>
      </c>
      <c r="AN453" s="323">
        <f t="shared" si="178"/>
        <v>0.88166304126662065</v>
      </c>
      <c r="AO453" s="323">
        <f t="shared" si="179"/>
        <v>0.88166304126662021</v>
      </c>
      <c r="AP453" s="323">
        <f t="shared" si="180"/>
        <v>0.93280393235062242</v>
      </c>
      <c r="AQ453" s="323">
        <f t="shared" si="181"/>
        <v>0.18821056867038832</v>
      </c>
      <c r="AR453" s="323">
        <f>Modelling_new[[#This Row],[Target E_Grid MTD
MWh]]/Modelling_new[[#This Row],[MTD DC Capcity]]/(24*CG453)</f>
        <v>0.16914101503690182</v>
      </c>
      <c r="AS453" s="323">
        <f>Modelling_new[[#This Row],[Target E_Grid YTD
MWh]]/Modelling_new[[#This Row],[YTD DC Capcity]]/(24*CH453)</f>
        <v>0.22315032223816131</v>
      </c>
      <c r="AT453" s="5">
        <v>12.8</v>
      </c>
      <c r="AU453" s="9">
        <f>Modelling_new[[#This Row],[Comisined DC ]]/$AO$1</f>
        <v>1</v>
      </c>
      <c r="AV45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53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453" s="27">
        <f t="shared" si="163"/>
        <v>45452</v>
      </c>
      <c r="BE453" s="5">
        <f>MONTH(Modelling[[#This Row],[Date]])</f>
        <v>6</v>
      </c>
      <c r="BF453" s="25">
        <f>YEAR(BD453)+IF(MONTH(Modelling[[#This Row],[Date]])&gt;=4,1,0)</f>
        <v>2025</v>
      </c>
      <c r="BG453" s="3">
        <f t="shared" si="182"/>
        <v>2024</v>
      </c>
      <c r="BH453" s="3" t="s">
        <v>627</v>
      </c>
      <c r="BI453" s="3" t="s">
        <v>627</v>
      </c>
      <c r="BJ453" s="102">
        <f>DATE(Modelling_old[[#This Row],[Calendor Year]],Modelling_old[[#This Row],[Start Month]],1)</f>
        <v>45444</v>
      </c>
      <c r="BK453" s="5">
        <f t="shared" si="183"/>
        <v>30</v>
      </c>
      <c r="BL453" s="5">
        <f t="shared" si="184"/>
        <v>6</v>
      </c>
      <c r="BM453" s="4">
        <f>Modelling_old[[#This Row],[Target E_Grid daily
MWh]]+Modelling_new[[#This Row],[Target E_Grid daily
MWh]]</f>
        <v>93.17011981933625</v>
      </c>
      <c r="BN453" s="4">
        <f>Modelling_old[[#This Row],[Target E_Grid MTD
MWh]]+Modelling_new[[#This Row],[Target E_Grid MTD
MWh]]</f>
        <v>838.53107837402615</v>
      </c>
      <c r="BO453" s="4">
        <f>Modelling_old[[#This Row],[Target E_Grid YTD
MWh]]+Modelling_new[[#This Row],[Target E_Grid YTD
MWh]]</f>
        <v>8272.2145294094189</v>
      </c>
      <c r="BP453" s="4">
        <f>AVERAGE(Modelling_old[[#This Row],[Target POA Daily (KWh/m2)]],Modelling_new[[#This Row],[Target POA Daily (KWh/m2)]])</f>
        <v>5.1233333333333331</v>
      </c>
      <c r="BQ453" s="4">
        <f>SUM($BP$445:BP453)</f>
        <v>46.110000000000007</v>
      </c>
      <c r="BR453" s="4">
        <f>SUM($BP$384:BP453)</f>
        <v>447.20999999999947</v>
      </c>
      <c r="BS453" s="323">
        <f>BM453/Modelling[[#This Row],[Comisined DC ]]/BP453</f>
        <v>0.74827694992965155</v>
      </c>
      <c r="BT453" s="337">
        <f>BN453/BQ453/Modelling[[#This Row],[Comisined DC ]]</f>
        <v>0.74827694992965121</v>
      </c>
      <c r="BU453" s="337">
        <f>BO453/BR453/Modelling[[#This Row],[Comisined DC ]]</f>
        <v>0.76111206912498874</v>
      </c>
      <c r="BV453" s="323">
        <f>BM453/(24*Modelling[[#This Row],[Comisined DC ]])</f>
        <v>0.15973634333914921</v>
      </c>
      <c r="BW453" s="323">
        <f>Modelling[[#This Row],[Target E_Grid MTD
MWh]]/Modelling[[#This Row],[MTD DC Capcity]]/(24*CG453)</f>
        <v>0.15973634333914918</v>
      </c>
      <c r="BX453" s="338">
        <f>Modelling[[#This Row],[Target E_Grid YTD
MWh]]/Modelling[[#This Row],[YTD DC Capcity]]/(24*CH453)</f>
        <v>0.20260531454368186</v>
      </c>
      <c r="BY453" s="4">
        <f>Modelling_old[[#This Row],[DC Capcity]]+Modelling_new[[#This Row],[Comisined DC ]]</f>
        <v>24.303100000000001</v>
      </c>
      <c r="BZ453" s="4">
        <v>0</v>
      </c>
      <c r="CA453">
        <f>AVERAGEIFS(Modelling[[Comisined DC ]],Modelling[Date],"&lt;="&amp;Modelling[[#This Row],[Date]],Modelling[Month Year],Modelling[[#This Row],[Month Year]])</f>
        <v>24.303100000000001</v>
      </c>
      <c r="CB453">
        <f>AVERAGEIFS(Modelling[[Comisined DC ]],Modelling[Date],"&lt;="&amp;Modelling[[#This Row],[Date]],Modelling[Finacial Year],Modelling[[#This Row],[Finacial Year]])</f>
        <v>24.303100000000022</v>
      </c>
      <c r="CG453">
        <f t="shared" si="185"/>
        <v>9</v>
      </c>
      <c r="CH453">
        <f t="shared" si="186"/>
        <v>70</v>
      </c>
    </row>
    <row r="454" spans="1:86" x14ac:dyDescent="0.35">
      <c r="A454" s="27">
        <f t="shared" si="164"/>
        <v>45453</v>
      </c>
      <c r="B454" s="5">
        <f>MONTH(Modelling_old[[#This Row],[Date]])</f>
        <v>6</v>
      </c>
      <c r="C454" s="25">
        <f t="shared" si="165"/>
        <v>2025</v>
      </c>
      <c r="D454" s="3">
        <f t="shared" si="166"/>
        <v>2024</v>
      </c>
      <c r="E454" s="3" t="s">
        <v>627</v>
      </c>
      <c r="F454" s="3" t="s">
        <v>627</v>
      </c>
      <c r="G454" s="102">
        <f>DATE(Modelling_old[[#This Row],[Calendor Year]],Modelling_old[[#This Row],[Start Month]],1)</f>
        <v>45444</v>
      </c>
      <c r="H454" s="5">
        <f t="shared" si="167"/>
        <v>30</v>
      </c>
      <c r="I454" s="5">
        <f t="shared" si="168"/>
        <v>6</v>
      </c>
      <c r="J454" s="4">
        <f>_xlfn.XLOOKUP(Modelling_old[[#This Row],[Month]],$C$1:$C$14,$N$1:$N$14)/Modelling_old[[#This Row],[Total Days]]</f>
        <v>41.21</v>
      </c>
      <c r="K454" s="4">
        <f>SUM($J$445:J454)</f>
        <v>412.09999999999997</v>
      </c>
      <c r="L454" s="4">
        <f>SUM($J$384:J454)</f>
        <v>3514.8000000000052</v>
      </c>
      <c r="M454" s="4">
        <f t="shared" si="169"/>
        <v>5.1233333333333331</v>
      </c>
      <c r="N454" s="4">
        <f>SUM($M$445:M454)</f>
        <v>51.233333333333341</v>
      </c>
      <c r="O454" s="4">
        <f>SUM($M$384:M454)</f>
        <v>452.3333333333328</v>
      </c>
      <c r="P454" s="323">
        <f t="shared" si="170"/>
        <v>0.69925423684408983</v>
      </c>
      <c r="Q454" s="337">
        <f t="shared" si="171"/>
        <v>0.69925423684408961</v>
      </c>
      <c r="R454" s="337">
        <f t="shared" si="172"/>
        <v>0.67550276264960363</v>
      </c>
      <c r="S454" s="323">
        <f t="shared" si="173"/>
        <v>0.14927135583741197</v>
      </c>
      <c r="T454" s="9">
        <f>Modelling_old[[#This Row],[Target E_Grid MTD
MWh]]/Modelling_old[[#This Row],[DC Capcity]]/(24*CG454)</f>
        <v>0.14927135583741194</v>
      </c>
      <c r="U454" s="338">
        <f>Modelling_old[[#This Row],[Target E_Grid YTD
MWh]]/Modelling_old[[#This Row],[DC Capcity]]/(24*CH454)</f>
        <v>0.17931479830115632</v>
      </c>
      <c r="V454" s="134">
        <v>11.5031</v>
      </c>
      <c r="Y454" s="27">
        <f t="shared" si="162"/>
        <v>45453</v>
      </c>
      <c r="Z454" s="5">
        <f>MONTH(Modelling_new[[#This Row],[Date]])</f>
        <v>6</v>
      </c>
      <c r="AA454" s="25">
        <f>YEAR(Y454)+IF(MONTH(Modelling_new[[#This Row],[Date]])&gt;=4,1,0)</f>
        <v>2025</v>
      </c>
      <c r="AB454" s="3">
        <f t="shared" si="174"/>
        <v>2024</v>
      </c>
      <c r="AC454" s="3" t="s">
        <v>627</v>
      </c>
      <c r="AD454" s="3" t="s">
        <v>627</v>
      </c>
      <c r="AE454" s="102">
        <f>DATE(Modelling_old[[#This Row],[Calendor Year]],Modelling_old[[#This Row],[Start Month]],1)</f>
        <v>45444</v>
      </c>
      <c r="AF454" s="5">
        <f t="shared" si="175"/>
        <v>30</v>
      </c>
      <c r="AG454" s="5">
        <f t="shared" si="176"/>
        <v>6</v>
      </c>
      <c r="AH454" s="4">
        <f>_xlfn.XLOOKUP(Modelling_new[[#This Row],[Month]],$AA$1:$AA$14,$AL$1:$AL$14)/Modelling_new[[#This Row],[Total Days]]</f>
        <v>51.960119819336249</v>
      </c>
      <c r="AI454" s="4">
        <f>SUM($AH$445:AH454)</f>
        <v>519.60119819336239</v>
      </c>
      <c r="AJ454" s="4">
        <f>SUM($AH$384:AH454)</f>
        <v>4850.5846492287501</v>
      </c>
      <c r="AK454" s="4">
        <f t="shared" si="177"/>
        <v>5.1233333333333331</v>
      </c>
      <c r="AL454" s="4">
        <f>SUM($AK$445:AK454)</f>
        <v>51.233333333333341</v>
      </c>
      <c r="AM454" s="4">
        <f>SUM($AK$384:AK454)</f>
        <v>452.3333333333328</v>
      </c>
      <c r="AN454" s="323">
        <f t="shared" si="178"/>
        <v>0.88166304126662065</v>
      </c>
      <c r="AO454" s="323">
        <f t="shared" si="179"/>
        <v>0.88166304126662021</v>
      </c>
      <c r="AP454" s="323">
        <f t="shared" si="180"/>
        <v>0.9322246873278065</v>
      </c>
      <c r="AQ454" s="323">
        <f t="shared" si="181"/>
        <v>0.18821056867038832</v>
      </c>
      <c r="AR454" s="323">
        <f>Modelling_new[[#This Row],[Target E_Grid MTD
MWh]]/Modelling_new[[#This Row],[MTD DC Capcity]]/(24*CG454)</f>
        <v>0.16914101503690182</v>
      </c>
      <c r="AS454" s="323">
        <f>Modelling_new[[#This Row],[Target E_Grid YTD
MWh]]/Modelling_new[[#This Row],[YTD DC Capcity]]/(24*CH454)</f>
        <v>0.22238962777053792</v>
      </c>
      <c r="AT454" s="5">
        <v>12.8</v>
      </c>
      <c r="AU454" s="9">
        <f>Modelling_new[[#This Row],[Comisined DC ]]/$AO$1</f>
        <v>1</v>
      </c>
      <c r="AV45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54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454" s="27">
        <f t="shared" si="163"/>
        <v>45453</v>
      </c>
      <c r="BE454" s="5">
        <f>MONTH(Modelling[[#This Row],[Date]])</f>
        <v>6</v>
      </c>
      <c r="BF454" s="25">
        <f>YEAR(BD454)+IF(MONTH(Modelling[[#This Row],[Date]])&gt;=4,1,0)</f>
        <v>2025</v>
      </c>
      <c r="BG454" s="3">
        <f t="shared" si="182"/>
        <v>2024</v>
      </c>
      <c r="BH454" s="3" t="s">
        <v>627</v>
      </c>
      <c r="BI454" s="3" t="s">
        <v>627</v>
      </c>
      <c r="BJ454" s="102">
        <f>DATE(Modelling_old[[#This Row],[Calendor Year]],Modelling_old[[#This Row],[Start Month]],1)</f>
        <v>45444</v>
      </c>
      <c r="BK454" s="5">
        <f t="shared" si="183"/>
        <v>30</v>
      </c>
      <c r="BL454" s="5">
        <f t="shared" si="184"/>
        <v>6</v>
      </c>
      <c r="BM454" s="4">
        <f>Modelling_old[[#This Row],[Target E_Grid daily
MWh]]+Modelling_new[[#This Row],[Target E_Grid daily
MWh]]</f>
        <v>93.17011981933625</v>
      </c>
      <c r="BN454" s="4">
        <f>Modelling_old[[#This Row],[Target E_Grid MTD
MWh]]+Modelling_new[[#This Row],[Target E_Grid MTD
MWh]]</f>
        <v>931.70119819336242</v>
      </c>
      <c r="BO454" s="4">
        <f>Modelling_old[[#This Row],[Target E_Grid YTD
MWh]]+Modelling_new[[#This Row],[Target E_Grid YTD
MWh]]</f>
        <v>8365.3846492287557</v>
      </c>
      <c r="BP454" s="4">
        <f>AVERAGE(Modelling_old[[#This Row],[Target POA Daily (KWh/m2)]],Modelling_new[[#This Row],[Target POA Daily (KWh/m2)]])</f>
        <v>5.1233333333333331</v>
      </c>
      <c r="BQ454" s="4">
        <f>SUM($BP$445:BP454)</f>
        <v>51.233333333333341</v>
      </c>
      <c r="BR454" s="4">
        <f>SUM($BP$384:BP454)</f>
        <v>452.3333333333328</v>
      </c>
      <c r="BS454" s="323">
        <f>BM454/Modelling[[#This Row],[Comisined DC ]]/BP454</f>
        <v>0.74827694992965155</v>
      </c>
      <c r="BT454" s="337">
        <f>BN454/BQ454/Modelling[[#This Row],[Comisined DC ]]</f>
        <v>0.74827694992965121</v>
      </c>
      <c r="BU454" s="337">
        <f>BO454/BR454/Modelling[[#This Row],[Comisined DC ]]</f>
        <v>0.76096669271965922</v>
      </c>
      <c r="BV454" s="323">
        <f>BM454/(24*Modelling[[#This Row],[Comisined DC ]])</f>
        <v>0.15973634333914921</v>
      </c>
      <c r="BW454" s="323">
        <f>Modelling[[#This Row],[Target E_Grid MTD
MWh]]/Modelling[[#This Row],[MTD DC Capcity]]/(24*CG454)</f>
        <v>0.15973634333914918</v>
      </c>
      <c r="BX454" s="338">
        <f>Modelling[[#This Row],[Target E_Grid YTD
MWh]]/Modelling[[#This Row],[YTD DC Capcity]]/(24*CH454)</f>
        <v>0.20200152621685746</v>
      </c>
      <c r="BY454" s="4">
        <f>Modelling_old[[#This Row],[DC Capcity]]+Modelling_new[[#This Row],[Comisined DC ]]</f>
        <v>24.303100000000001</v>
      </c>
      <c r="BZ454" s="4">
        <v>0</v>
      </c>
      <c r="CA454">
        <f>AVERAGEIFS(Modelling[[Comisined DC ]],Modelling[Date],"&lt;="&amp;Modelling[[#This Row],[Date]],Modelling[Month Year],Modelling[[#This Row],[Month Year]])</f>
        <v>24.303100000000001</v>
      </c>
      <c r="CB454">
        <f>AVERAGEIFS(Modelling[[Comisined DC ]],Modelling[Date],"&lt;="&amp;Modelling[[#This Row],[Date]],Modelling[Finacial Year],Modelling[[#This Row],[Finacial Year]])</f>
        <v>24.303100000000022</v>
      </c>
      <c r="CG454">
        <f t="shared" si="185"/>
        <v>10</v>
      </c>
      <c r="CH454">
        <f t="shared" si="186"/>
        <v>71</v>
      </c>
    </row>
    <row r="455" spans="1:86" x14ac:dyDescent="0.35">
      <c r="A455" s="27">
        <f t="shared" si="164"/>
        <v>45454</v>
      </c>
      <c r="B455" s="5">
        <f>MONTH(Modelling_old[[#This Row],[Date]])</f>
        <v>6</v>
      </c>
      <c r="C455" s="25">
        <f t="shared" si="165"/>
        <v>2025</v>
      </c>
      <c r="D455" s="3">
        <f t="shared" si="166"/>
        <v>2024</v>
      </c>
      <c r="E455" s="3" t="s">
        <v>627</v>
      </c>
      <c r="F455" s="3" t="s">
        <v>627</v>
      </c>
      <c r="G455" s="102">
        <f>DATE(Modelling_old[[#This Row],[Calendor Year]],Modelling_old[[#This Row],[Start Month]],1)</f>
        <v>45444</v>
      </c>
      <c r="H455" s="5">
        <f t="shared" si="167"/>
        <v>30</v>
      </c>
      <c r="I455" s="5">
        <f t="shared" si="168"/>
        <v>6</v>
      </c>
      <c r="J455" s="4">
        <f>_xlfn.XLOOKUP(Modelling_old[[#This Row],[Month]],$C$1:$C$14,$N$1:$N$14)/Modelling_old[[#This Row],[Total Days]]</f>
        <v>41.21</v>
      </c>
      <c r="K455" s="4">
        <f>SUM($J$445:J455)</f>
        <v>453.30999999999995</v>
      </c>
      <c r="L455" s="4">
        <f>SUM($J$384:J455)</f>
        <v>3556.0100000000052</v>
      </c>
      <c r="M455" s="4">
        <f t="shared" si="169"/>
        <v>5.1233333333333331</v>
      </c>
      <c r="N455" s="4">
        <f>SUM($M$445:M455)</f>
        <v>56.356666666666676</v>
      </c>
      <c r="O455" s="4">
        <f>SUM($M$384:M455)</f>
        <v>457.45666666666614</v>
      </c>
      <c r="P455" s="323">
        <f t="shared" si="170"/>
        <v>0.69925423684408983</v>
      </c>
      <c r="Q455" s="337">
        <f t="shared" si="171"/>
        <v>0.69925423684408961</v>
      </c>
      <c r="R455" s="337">
        <f t="shared" si="172"/>
        <v>0.67576876974562683</v>
      </c>
      <c r="S455" s="323">
        <f t="shared" si="173"/>
        <v>0.14927135583741197</v>
      </c>
      <c r="T455" s="9">
        <f>Modelling_old[[#This Row],[Target E_Grid MTD
MWh]]/Modelling_old[[#This Row],[DC Capcity]]/(24*CG455)</f>
        <v>0.14927135583741194</v>
      </c>
      <c r="U455" s="338">
        <f>Modelling_old[[#This Row],[Target E_Grid YTD
MWh]]/Modelling_old[[#This Row],[DC Capcity]]/(24*CH455)</f>
        <v>0.17889752826693764</v>
      </c>
      <c r="V455" s="134">
        <v>11.5031</v>
      </c>
      <c r="Y455" s="27">
        <f t="shared" si="162"/>
        <v>45454</v>
      </c>
      <c r="Z455" s="5">
        <f>MONTH(Modelling_new[[#This Row],[Date]])</f>
        <v>6</v>
      </c>
      <c r="AA455" s="25">
        <f>YEAR(Y455)+IF(MONTH(Modelling_new[[#This Row],[Date]])&gt;=4,1,0)</f>
        <v>2025</v>
      </c>
      <c r="AB455" s="3">
        <f t="shared" si="174"/>
        <v>2024</v>
      </c>
      <c r="AC455" s="3" t="s">
        <v>627</v>
      </c>
      <c r="AD455" s="3" t="s">
        <v>627</v>
      </c>
      <c r="AE455" s="102">
        <f>DATE(Modelling_old[[#This Row],[Calendor Year]],Modelling_old[[#This Row],[Start Month]],1)</f>
        <v>45444</v>
      </c>
      <c r="AF455" s="5">
        <f t="shared" si="175"/>
        <v>30</v>
      </c>
      <c r="AG455" s="5">
        <f t="shared" si="176"/>
        <v>6</v>
      </c>
      <c r="AH455" s="4">
        <f>_xlfn.XLOOKUP(Modelling_new[[#This Row],[Month]],$AA$1:$AA$14,$AL$1:$AL$14)/Modelling_new[[#This Row],[Total Days]]</f>
        <v>51.960119819336249</v>
      </c>
      <c r="AI455" s="4">
        <f>SUM($AH$445:AH455)</f>
        <v>571.56131801269862</v>
      </c>
      <c r="AJ455" s="4">
        <f>SUM($AH$384:AH455)</f>
        <v>4902.544769048086</v>
      </c>
      <c r="AK455" s="4">
        <f t="shared" si="177"/>
        <v>5.1233333333333331</v>
      </c>
      <c r="AL455" s="4">
        <f>SUM($AK$445:AK455)</f>
        <v>56.356666666666676</v>
      </c>
      <c r="AM455" s="4">
        <f>SUM($AK$384:AK455)</f>
        <v>457.45666666666614</v>
      </c>
      <c r="AN455" s="323">
        <f t="shared" si="178"/>
        <v>0.88166304126662065</v>
      </c>
      <c r="AO455" s="323">
        <f t="shared" si="179"/>
        <v>0.88166304126662021</v>
      </c>
      <c r="AP455" s="323">
        <f t="shared" si="180"/>
        <v>0.93165841693428264</v>
      </c>
      <c r="AQ455" s="323">
        <f t="shared" si="181"/>
        <v>0.18821056867038832</v>
      </c>
      <c r="AR455" s="323">
        <f>Modelling_new[[#This Row],[Target E_Grid MTD
MWh]]/Modelling_new[[#This Row],[MTD DC Capcity]]/(24*CG455)</f>
        <v>0.16914101503690182</v>
      </c>
      <c r="AS455" s="323">
        <f>Modelling_new[[#This Row],[Target E_Grid YTD
MWh]]/Modelling_new[[#This Row],[YTD DC Capcity]]/(24*CH455)</f>
        <v>0.22165006370479295</v>
      </c>
      <c r="AT455" s="5">
        <v>12.8</v>
      </c>
      <c r="AU455" s="9">
        <f>Modelling_new[[#This Row],[Comisined DC ]]/$AO$1</f>
        <v>1</v>
      </c>
      <c r="AV45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55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455" s="27">
        <f t="shared" si="163"/>
        <v>45454</v>
      </c>
      <c r="BE455" s="5">
        <f>MONTH(Modelling[[#This Row],[Date]])</f>
        <v>6</v>
      </c>
      <c r="BF455" s="25">
        <f>YEAR(BD455)+IF(MONTH(Modelling[[#This Row],[Date]])&gt;=4,1,0)</f>
        <v>2025</v>
      </c>
      <c r="BG455" s="3">
        <f t="shared" si="182"/>
        <v>2024</v>
      </c>
      <c r="BH455" s="3" t="s">
        <v>627</v>
      </c>
      <c r="BI455" s="3" t="s">
        <v>627</v>
      </c>
      <c r="BJ455" s="102">
        <f>DATE(Modelling_old[[#This Row],[Calendor Year]],Modelling_old[[#This Row],[Start Month]],1)</f>
        <v>45444</v>
      </c>
      <c r="BK455" s="5">
        <f t="shared" si="183"/>
        <v>30</v>
      </c>
      <c r="BL455" s="5">
        <f t="shared" si="184"/>
        <v>6</v>
      </c>
      <c r="BM455" s="4">
        <f>Modelling_old[[#This Row],[Target E_Grid daily
MWh]]+Modelling_new[[#This Row],[Target E_Grid daily
MWh]]</f>
        <v>93.17011981933625</v>
      </c>
      <c r="BN455" s="4">
        <f>Modelling_old[[#This Row],[Target E_Grid MTD
MWh]]+Modelling_new[[#This Row],[Target E_Grid MTD
MWh]]</f>
        <v>1024.8713180126986</v>
      </c>
      <c r="BO455" s="4">
        <f>Modelling_old[[#This Row],[Target E_Grid YTD
MWh]]+Modelling_new[[#This Row],[Target E_Grid YTD
MWh]]</f>
        <v>8458.5547690480907</v>
      </c>
      <c r="BP455" s="4">
        <f>AVERAGE(Modelling_old[[#This Row],[Target POA Daily (KWh/m2)]],Modelling_new[[#This Row],[Target POA Daily (KWh/m2)]])</f>
        <v>5.1233333333333331</v>
      </c>
      <c r="BQ455" s="4">
        <f>SUM($BP$445:BP455)</f>
        <v>56.356666666666676</v>
      </c>
      <c r="BR455" s="4">
        <f>SUM($BP$384:BP455)</f>
        <v>457.45666666666614</v>
      </c>
      <c r="BS455" s="323">
        <f>BM455/Modelling[[#This Row],[Comisined DC ]]/BP455</f>
        <v>0.74827694992965155</v>
      </c>
      <c r="BT455" s="337">
        <f>BN455/BQ455/Modelling[[#This Row],[Comisined DC ]]</f>
        <v>0.74827694992965121</v>
      </c>
      <c r="BU455" s="337">
        <f>BO455/BR455/Modelling[[#This Row],[Comisined DC ]]</f>
        <v>0.76082457263055603</v>
      </c>
      <c r="BV455" s="323">
        <f>BM455/(24*Modelling[[#This Row],[Comisined DC ]])</f>
        <v>0.15973634333914921</v>
      </c>
      <c r="BW455" s="323">
        <f>Modelling[[#This Row],[Target E_Grid MTD
MWh]]/Modelling[[#This Row],[MTD DC Capcity]]/(24*CG455)</f>
        <v>0.15973634333914916</v>
      </c>
      <c r="BX455" s="338">
        <f>Modelling[[#This Row],[Target E_Grid YTD
MWh]]/Modelling[[#This Row],[YTD DC Capcity]]/(24*CH455)</f>
        <v>0.20141450978800038</v>
      </c>
      <c r="BY455" s="4">
        <f>Modelling_old[[#This Row],[DC Capcity]]+Modelling_new[[#This Row],[Comisined DC ]]</f>
        <v>24.303100000000001</v>
      </c>
      <c r="BZ455" s="4">
        <v>0</v>
      </c>
      <c r="CA455">
        <f>AVERAGEIFS(Modelling[[Comisined DC ]],Modelling[Date],"&lt;="&amp;Modelling[[#This Row],[Date]],Modelling[Month Year],Modelling[[#This Row],[Month Year]])</f>
        <v>24.303100000000004</v>
      </c>
      <c r="CB455">
        <f>AVERAGEIFS(Modelling[[Comisined DC ]],Modelling[Date],"&lt;="&amp;Modelling[[#This Row],[Date]],Modelling[Finacial Year],Modelling[[#This Row],[Finacial Year]])</f>
        <v>24.303100000000022</v>
      </c>
      <c r="CG455">
        <f t="shared" si="185"/>
        <v>11</v>
      </c>
      <c r="CH455">
        <f t="shared" si="186"/>
        <v>72</v>
      </c>
    </row>
    <row r="456" spans="1:86" x14ac:dyDescent="0.35">
      <c r="A456" s="27">
        <f t="shared" si="164"/>
        <v>45455</v>
      </c>
      <c r="B456" s="5">
        <f>MONTH(Modelling_old[[#This Row],[Date]])</f>
        <v>6</v>
      </c>
      <c r="C456" s="25">
        <f t="shared" si="165"/>
        <v>2025</v>
      </c>
      <c r="D456" s="3">
        <f t="shared" si="166"/>
        <v>2024</v>
      </c>
      <c r="E456" s="3" t="s">
        <v>627</v>
      </c>
      <c r="F456" s="3" t="s">
        <v>627</v>
      </c>
      <c r="G456" s="102">
        <f>DATE(Modelling_old[[#This Row],[Calendor Year]],Modelling_old[[#This Row],[Start Month]],1)</f>
        <v>45444</v>
      </c>
      <c r="H456" s="5">
        <f t="shared" si="167"/>
        <v>30</v>
      </c>
      <c r="I456" s="5">
        <f t="shared" si="168"/>
        <v>6</v>
      </c>
      <c r="J456" s="4">
        <f>_xlfn.XLOOKUP(Modelling_old[[#This Row],[Month]],$C$1:$C$14,$N$1:$N$14)/Modelling_old[[#This Row],[Total Days]]</f>
        <v>41.21</v>
      </c>
      <c r="K456" s="4">
        <f>SUM($J$445:J456)</f>
        <v>494.51999999999992</v>
      </c>
      <c r="L456" s="4">
        <f>SUM($J$384:J456)</f>
        <v>3597.2200000000053</v>
      </c>
      <c r="M456" s="4">
        <f t="shared" si="169"/>
        <v>5.1233333333333331</v>
      </c>
      <c r="N456" s="4">
        <f>SUM($M$445:M456)</f>
        <v>61.480000000000011</v>
      </c>
      <c r="O456" s="4">
        <f>SUM($M$384:M456)</f>
        <v>462.57999999999947</v>
      </c>
      <c r="P456" s="323">
        <f t="shared" si="170"/>
        <v>0.69925423684408983</v>
      </c>
      <c r="Q456" s="337">
        <f t="shared" si="171"/>
        <v>0.69925423684408961</v>
      </c>
      <c r="R456" s="337">
        <f t="shared" si="172"/>
        <v>0.67602888448563814</v>
      </c>
      <c r="S456" s="323">
        <f t="shared" si="173"/>
        <v>0.14927135583741197</v>
      </c>
      <c r="T456" s="9">
        <f>Modelling_old[[#This Row],[Target E_Grid MTD
MWh]]/Modelling_old[[#This Row],[DC Capcity]]/(24*CG456)</f>
        <v>0.14927135583741191</v>
      </c>
      <c r="U456" s="338">
        <f>Modelling_old[[#This Row],[Target E_Grid YTD
MWh]]/Modelling_old[[#This Row],[DC Capcity]]/(24*CH456)</f>
        <v>0.17849169028845099</v>
      </c>
      <c r="V456" s="134">
        <v>11.5031</v>
      </c>
      <c r="Y456" s="27">
        <f t="shared" si="162"/>
        <v>45455</v>
      </c>
      <c r="Z456" s="5">
        <f>MONTH(Modelling_new[[#This Row],[Date]])</f>
        <v>6</v>
      </c>
      <c r="AA456" s="25">
        <f>YEAR(Y456)+IF(MONTH(Modelling_new[[#This Row],[Date]])&gt;=4,1,0)</f>
        <v>2025</v>
      </c>
      <c r="AB456" s="3">
        <f t="shared" si="174"/>
        <v>2024</v>
      </c>
      <c r="AC456" s="3" t="s">
        <v>627</v>
      </c>
      <c r="AD456" s="3" t="s">
        <v>627</v>
      </c>
      <c r="AE456" s="102">
        <f>DATE(Modelling_old[[#This Row],[Calendor Year]],Modelling_old[[#This Row],[Start Month]],1)</f>
        <v>45444</v>
      </c>
      <c r="AF456" s="5">
        <f t="shared" si="175"/>
        <v>30</v>
      </c>
      <c r="AG456" s="5">
        <f t="shared" si="176"/>
        <v>6</v>
      </c>
      <c r="AH456" s="4">
        <f>_xlfn.XLOOKUP(Modelling_new[[#This Row],[Month]],$AA$1:$AA$14,$AL$1:$AL$14)/Modelling_new[[#This Row],[Total Days]]</f>
        <v>51.960119819336249</v>
      </c>
      <c r="AI456" s="4">
        <f>SUM($AH$445:AH456)</f>
        <v>623.52143783203485</v>
      </c>
      <c r="AJ456" s="4">
        <f>SUM($AH$384:AH456)</f>
        <v>4954.5048888674219</v>
      </c>
      <c r="AK456" s="4">
        <f t="shared" si="177"/>
        <v>5.1233333333333331</v>
      </c>
      <c r="AL456" s="4">
        <f>SUM($AK$445:AK456)</f>
        <v>61.480000000000011</v>
      </c>
      <c r="AM456" s="4">
        <f>SUM($AK$384:AK456)</f>
        <v>462.57999999999947</v>
      </c>
      <c r="AN456" s="323">
        <f t="shared" si="178"/>
        <v>0.88166304126662065</v>
      </c>
      <c r="AO456" s="323">
        <f t="shared" si="179"/>
        <v>0.88166304126662021</v>
      </c>
      <c r="AP456" s="323">
        <f t="shared" si="180"/>
        <v>0.9311046900661285</v>
      </c>
      <c r="AQ456" s="323">
        <f t="shared" si="181"/>
        <v>0.18821056867038832</v>
      </c>
      <c r="AR456" s="323">
        <f>Modelling_new[[#This Row],[Target E_Grid MTD
MWh]]/Modelling_new[[#This Row],[MTD DC Capcity]]/(24*CG456)</f>
        <v>0.16914101503690182</v>
      </c>
      <c r="AS456" s="323">
        <f>Modelling_new[[#This Row],[Target E_Grid YTD
MWh]]/Modelling_new[[#This Row],[YTD DC Capcity]]/(24*CH456)</f>
        <v>0.22093076166824649</v>
      </c>
      <c r="AT456" s="5">
        <v>12.8</v>
      </c>
      <c r="AU456" s="9">
        <f>Modelling_new[[#This Row],[Comisined DC ]]/$AO$1</f>
        <v>1</v>
      </c>
      <c r="AV456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56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456" s="27">
        <f t="shared" si="163"/>
        <v>45455</v>
      </c>
      <c r="BE456" s="5">
        <f>MONTH(Modelling[[#This Row],[Date]])</f>
        <v>6</v>
      </c>
      <c r="BF456" s="25">
        <f>YEAR(BD456)+IF(MONTH(Modelling[[#This Row],[Date]])&gt;=4,1,0)</f>
        <v>2025</v>
      </c>
      <c r="BG456" s="3">
        <f t="shared" si="182"/>
        <v>2024</v>
      </c>
      <c r="BH456" s="3" t="s">
        <v>627</v>
      </c>
      <c r="BI456" s="3" t="s">
        <v>627</v>
      </c>
      <c r="BJ456" s="102">
        <f>DATE(Modelling_old[[#This Row],[Calendor Year]],Modelling_old[[#This Row],[Start Month]],1)</f>
        <v>45444</v>
      </c>
      <c r="BK456" s="5">
        <f t="shared" si="183"/>
        <v>30</v>
      </c>
      <c r="BL456" s="5">
        <f t="shared" si="184"/>
        <v>6</v>
      </c>
      <c r="BM456" s="4">
        <f>Modelling_old[[#This Row],[Target E_Grid daily
MWh]]+Modelling_new[[#This Row],[Target E_Grid daily
MWh]]</f>
        <v>93.17011981933625</v>
      </c>
      <c r="BN456" s="4">
        <f>Modelling_old[[#This Row],[Target E_Grid MTD
MWh]]+Modelling_new[[#This Row],[Target E_Grid MTD
MWh]]</f>
        <v>1118.0414378320347</v>
      </c>
      <c r="BO456" s="4">
        <f>Modelling_old[[#This Row],[Target E_Grid YTD
MWh]]+Modelling_new[[#This Row],[Target E_Grid YTD
MWh]]</f>
        <v>8551.7248888674276</v>
      </c>
      <c r="BP456" s="4">
        <f>AVERAGE(Modelling_old[[#This Row],[Target POA Daily (KWh/m2)]],Modelling_new[[#This Row],[Target POA Daily (KWh/m2)]])</f>
        <v>5.1233333333333331</v>
      </c>
      <c r="BQ456" s="4">
        <f>SUM($BP$445:BP456)</f>
        <v>61.480000000000011</v>
      </c>
      <c r="BR456" s="4">
        <f>SUM($BP$384:BP456)</f>
        <v>462.57999999999947</v>
      </c>
      <c r="BS456" s="323">
        <f>BM456/Modelling[[#This Row],[Comisined DC ]]/BP456</f>
        <v>0.74827694992965155</v>
      </c>
      <c r="BT456" s="337">
        <f>BN456/BQ456/Modelling[[#This Row],[Comisined DC ]]</f>
        <v>0.7482769499296511</v>
      </c>
      <c r="BU456" s="337">
        <f>BO456/BR456/Modelling[[#This Row],[Comisined DC ]]</f>
        <v>0.76068560066108548</v>
      </c>
      <c r="BV456" s="323">
        <f>BM456/(24*Modelling[[#This Row],[Comisined DC ]])</f>
        <v>0.15973634333914921</v>
      </c>
      <c r="BW456" s="323">
        <f>Modelling[[#This Row],[Target E_Grid MTD
MWh]]/Modelling[[#This Row],[MTD DC Capcity]]/(24*CG456)</f>
        <v>0.15973634333914916</v>
      </c>
      <c r="BX456" s="338">
        <f>Modelling[[#This Row],[Target E_Grid YTD
MWh]]/Modelling[[#This Row],[YTD DC Capcity]]/(24*CH456)</f>
        <v>0.20084357600102984</v>
      </c>
      <c r="BY456" s="4">
        <f>Modelling_old[[#This Row],[DC Capcity]]+Modelling_new[[#This Row],[Comisined DC ]]</f>
        <v>24.303100000000001</v>
      </c>
      <c r="BZ456" s="4">
        <v>0</v>
      </c>
      <c r="CA456">
        <f>AVERAGEIFS(Modelling[[Comisined DC ]],Modelling[Date],"&lt;="&amp;Modelling[[#This Row],[Date]],Modelling[Month Year],Modelling[[#This Row],[Month Year]])</f>
        <v>24.303100000000001</v>
      </c>
      <c r="CB456">
        <f>AVERAGEIFS(Modelling[[Comisined DC ]],Modelling[Date],"&lt;="&amp;Modelling[[#This Row],[Date]],Modelling[Finacial Year],Modelling[[#This Row],[Finacial Year]])</f>
        <v>24.303100000000022</v>
      </c>
      <c r="CG456">
        <f t="shared" si="185"/>
        <v>12</v>
      </c>
      <c r="CH456">
        <f t="shared" si="186"/>
        <v>73</v>
      </c>
    </row>
    <row r="457" spans="1:86" x14ac:dyDescent="0.35">
      <c r="A457" s="27">
        <f t="shared" si="164"/>
        <v>45456</v>
      </c>
      <c r="B457" s="5">
        <f>MONTH(Modelling_old[[#This Row],[Date]])</f>
        <v>6</v>
      </c>
      <c r="C457" s="25">
        <f t="shared" si="165"/>
        <v>2025</v>
      </c>
      <c r="D457" s="3">
        <f t="shared" si="166"/>
        <v>2024</v>
      </c>
      <c r="E457" s="3" t="s">
        <v>627</v>
      </c>
      <c r="F457" s="3" t="s">
        <v>627</v>
      </c>
      <c r="G457" s="102">
        <f>DATE(Modelling_old[[#This Row],[Calendor Year]],Modelling_old[[#This Row],[Start Month]],1)</f>
        <v>45444</v>
      </c>
      <c r="H457" s="5">
        <f t="shared" si="167"/>
        <v>30</v>
      </c>
      <c r="I457" s="5">
        <f t="shared" si="168"/>
        <v>6</v>
      </c>
      <c r="J457" s="4">
        <f>_xlfn.XLOOKUP(Modelling_old[[#This Row],[Month]],$C$1:$C$14,$N$1:$N$14)/Modelling_old[[#This Row],[Total Days]]</f>
        <v>41.21</v>
      </c>
      <c r="K457" s="4">
        <f>SUM($J$445:J457)</f>
        <v>535.7299999999999</v>
      </c>
      <c r="L457" s="4">
        <f>SUM($J$384:J457)</f>
        <v>3638.4300000000053</v>
      </c>
      <c r="M457" s="4">
        <f t="shared" si="169"/>
        <v>5.1233333333333331</v>
      </c>
      <c r="N457" s="4">
        <f>SUM($M$445:M457)</f>
        <v>66.603333333333339</v>
      </c>
      <c r="O457" s="4">
        <f>SUM($M$384:M457)</f>
        <v>467.70333333333281</v>
      </c>
      <c r="P457" s="323">
        <f t="shared" si="170"/>
        <v>0.69925423684408983</v>
      </c>
      <c r="Q457" s="337">
        <f t="shared" si="171"/>
        <v>0.69925423684408961</v>
      </c>
      <c r="R457" s="337">
        <f t="shared" si="172"/>
        <v>0.6762833005084371</v>
      </c>
      <c r="S457" s="323">
        <f t="shared" si="173"/>
        <v>0.14927135583741197</v>
      </c>
      <c r="T457" s="9">
        <f>Modelling_old[[#This Row],[Target E_Grid MTD
MWh]]/Modelling_old[[#This Row],[DC Capcity]]/(24*CG457)</f>
        <v>0.14927135583741191</v>
      </c>
      <c r="U457" s="338">
        <f>Modelling_old[[#This Row],[Target E_Grid YTD
MWh]]/Modelling_old[[#This Row],[DC Capcity]]/(24*CH457)</f>
        <v>0.17809682090397749</v>
      </c>
      <c r="V457" s="134">
        <v>11.5031</v>
      </c>
      <c r="Y457" s="27">
        <f t="shared" si="162"/>
        <v>45456</v>
      </c>
      <c r="Z457" s="5">
        <f>MONTH(Modelling_new[[#This Row],[Date]])</f>
        <v>6</v>
      </c>
      <c r="AA457" s="25">
        <f>YEAR(Y457)+IF(MONTH(Modelling_new[[#This Row],[Date]])&gt;=4,1,0)</f>
        <v>2025</v>
      </c>
      <c r="AB457" s="3">
        <f t="shared" si="174"/>
        <v>2024</v>
      </c>
      <c r="AC457" s="3" t="s">
        <v>627</v>
      </c>
      <c r="AD457" s="3" t="s">
        <v>627</v>
      </c>
      <c r="AE457" s="102">
        <f>DATE(Modelling_old[[#This Row],[Calendor Year]],Modelling_old[[#This Row],[Start Month]],1)</f>
        <v>45444</v>
      </c>
      <c r="AF457" s="5">
        <f t="shared" si="175"/>
        <v>30</v>
      </c>
      <c r="AG457" s="5">
        <f t="shared" si="176"/>
        <v>6</v>
      </c>
      <c r="AH457" s="4">
        <f>_xlfn.XLOOKUP(Modelling_new[[#This Row],[Month]],$AA$1:$AA$14,$AL$1:$AL$14)/Modelling_new[[#This Row],[Total Days]]</f>
        <v>51.960119819336249</v>
      </c>
      <c r="AI457" s="4">
        <f>SUM($AH$445:AH457)</f>
        <v>675.48155765137108</v>
      </c>
      <c r="AJ457" s="4">
        <f>SUM($AH$384:AH457)</f>
        <v>5006.4650086867578</v>
      </c>
      <c r="AK457" s="4">
        <f t="shared" si="177"/>
        <v>5.1233333333333331</v>
      </c>
      <c r="AL457" s="4">
        <f>SUM($AK$445:AK457)</f>
        <v>66.603333333333339</v>
      </c>
      <c r="AM457" s="4">
        <f>SUM($AK$384:AK457)</f>
        <v>467.70333333333281</v>
      </c>
      <c r="AN457" s="323">
        <f t="shared" si="178"/>
        <v>0.88166304126662065</v>
      </c>
      <c r="AO457" s="323">
        <f t="shared" si="179"/>
        <v>0.88166304126662021</v>
      </c>
      <c r="AP457" s="323">
        <f t="shared" si="180"/>
        <v>0.93056309450908126</v>
      </c>
      <c r="AQ457" s="323">
        <f t="shared" si="181"/>
        <v>0.18821056867038832</v>
      </c>
      <c r="AR457" s="323">
        <f>Modelling_new[[#This Row],[Target E_Grid MTD
MWh]]/Modelling_new[[#This Row],[MTD DC Capcity]]/(24*CG457)</f>
        <v>0.16914101503690182</v>
      </c>
      <c r="AS457" s="323">
        <f>Modelling_new[[#This Row],[Target E_Grid YTD
MWh]]/Modelling_new[[#This Row],[YTD DC Capcity]]/(24*CH457)</f>
        <v>0.22023090022728237</v>
      </c>
      <c r="AT457" s="5">
        <v>12.8</v>
      </c>
      <c r="AU457" s="9">
        <f>Modelling_new[[#This Row],[Comisined DC ]]/$AO$1</f>
        <v>1</v>
      </c>
      <c r="AV45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57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457" s="27">
        <f t="shared" si="163"/>
        <v>45456</v>
      </c>
      <c r="BE457" s="5">
        <f>MONTH(Modelling[[#This Row],[Date]])</f>
        <v>6</v>
      </c>
      <c r="BF457" s="25">
        <f>YEAR(BD457)+IF(MONTH(Modelling[[#This Row],[Date]])&gt;=4,1,0)</f>
        <v>2025</v>
      </c>
      <c r="BG457" s="3">
        <f t="shared" si="182"/>
        <v>2024</v>
      </c>
      <c r="BH457" s="3" t="s">
        <v>627</v>
      </c>
      <c r="BI457" s="3" t="s">
        <v>627</v>
      </c>
      <c r="BJ457" s="102">
        <f>DATE(Modelling_old[[#This Row],[Calendor Year]],Modelling_old[[#This Row],[Start Month]],1)</f>
        <v>45444</v>
      </c>
      <c r="BK457" s="5">
        <f t="shared" si="183"/>
        <v>30</v>
      </c>
      <c r="BL457" s="5">
        <f t="shared" si="184"/>
        <v>6</v>
      </c>
      <c r="BM457" s="4">
        <f>Modelling_old[[#This Row],[Target E_Grid daily
MWh]]+Modelling_new[[#This Row],[Target E_Grid daily
MWh]]</f>
        <v>93.17011981933625</v>
      </c>
      <c r="BN457" s="4">
        <f>Modelling_old[[#This Row],[Target E_Grid MTD
MWh]]+Modelling_new[[#This Row],[Target E_Grid MTD
MWh]]</f>
        <v>1211.2115576513711</v>
      </c>
      <c r="BO457" s="4">
        <f>Modelling_old[[#This Row],[Target E_Grid YTD
MWh]]+Modelling_new[[#This Row],[Target E_Grid YTD
MWh]]</f>
        <v>8644.8950086867626</v>
      </c>
      <c r="BP457" s="4">
        <f>AVERAGE(Modelling_old[[#This Row],[Target POA Daily (KWh/m2)]],Modelling_new[[#This Row],[Target POA Daily (KWh/m2)]])</f>
        <v>5.1233333333333331</v>
      </c>
      <c r="BQ457" s="4">
        <f>SUM($BP$445:BP457)</f>
        <v>66.603333333333339</v>
      </c>
      <c r="BR457" s="4">
        <f>SUM($BP$384:BP457)</f>
        <v>467.70333333333281</v>
      </c>
      <c r="BS457" s="323">
        <f>BM457/Modelling[[#This Row],[Comisined DC ]]/BP457</f>
        <v>0.74827694992965155</v>
      </c>
      <c r="BT457" s="337">
        <f>BN457/BQ457/Modelling[[#This Row],[Comisined DC ]]</f>
        <v>0.74827694992965121</v>
      </c>
      <c r="BU457" s="337">
        <f>BO457/BR457/Modelling[[#This Row],[Comisined DC ]]</f>
        <v>0.76054967335549839</v>
      </c>
      <c r="BV457" s="323">
        <f>BM457/(24*Modelling[[#This Row],[Comisined DC ]])</f>
        <v>0.15973634333914921</v>
      </c>
      <c r="BW457" s="323">
        <f>Modelling[[#This Row],[Target E_Grid MTD
MWh]]/Modelling[[#This Row],[MTD DC Capcity]]/(24*CG457)</f>
        <v>0.15973634333914921</v>
      </c>
      <c r="BX457" s="338">
        <f>Modelling[[#This Row],[Target E_Grid YTD
MWh]]/Modelling[[#This Row],[YTD DC Capcity]]/(24*CH457)</f>
        <v>0.20028807285695027</v>
      </c>
      <c r="BY457" s="4">
        <f>Modelling_old[[#This Row],[DC Capcity]]+Modelling_new[[#This Row],[Comisined DC ]]</f>
        <v>24.303100000000001</v>
      </c>
      <c r="BZ457" s="4">
        <v>0</v>
      </c>
      <c r="CA457">
        <f>AVERAGEIFS(Modelling[[Comisined DC ]],Modelling[Date],"&lt;="&amp;Modelling[[#This Row],[Date]],Modelling[Month Year],Modelling[[#This Row],[Month Year]])</f>
        <v>24.303099999999997</v>
      </c>
      <c r="CB457">
        <f>AVERAGEIFS(Modelling[[Comisined DC ]],Modelling[Date],"&lt;="&amp;Modelling[[#This Row],[Date]],Modelling[Finacial Year],Modelling[[#This Row],[Finacial Year]])</f>
        <v>24.303100000000025</v>
      </c>
      <c r="CG457">
        <f t="shared" si="185"/>
        <v>13</v>
      </c>
      <c r="CH457">
        <f t="shared" si="186"/>
        <v>74</v>
      </c>
    </row>
    <row r="458" spans="1:86" x14ac:dyDescent="0.35">
      <c r="A458" s="27">
        <f t="shared" si="164"/>
        <v>45457</v>
      </c>
      <c r="B458" s="5">
        <f>MONTH(Modelling_old[[#This Row],[Date]])</f>
        <v>6</v>
      </c>
      <c r="C458" s="25">
        <f t="shared" si="165"/>
        <v>2025</v>
      </c>
      <c r="D458" s="3">
        <f t="shared" si="166"/>
        <v>2024</v>
      </c>
      <c r="E458" s="3" t="s">
        <v>627</v>
      </c>
      <c r="F458" s="3" t="s">
        <v>627</v>
      </c>
      <c r="G458" s="102">
        <f>DATE(Modelling_old[[#This Row],[Calendor Year]],Modelling_old[[#This Row],[Start Month]],1)</f>
        <v>45444</v>
      </c>
      <c r="H458" s="5">
        <f t="shared" si="167"/>
        <v>30</v>
      </c>
      <c r="I458" s="5">
        <f t="shared" si="168"/>
        <v>6</v>
      </c>
      <c r="J458" s="4">
        <f>_xlfn.XLOOKUP(Modelling_old[[#This Row],[Month]],$C$1:$C$14,$N$1:$N$14)/Modelling_old[[#This Row],[Total Days]]</f>
        <v>41.21</v>
      </c>
      <c r="K458" s="4">
        <f>SUM($J$445:J458)</f>
        <v>576.93999999999994</v>
      </c>
      <c r="L458" s="4">
        <f>SUM($J$384:J458)</f>
        <v>3679.6400000000053</v>
      </c>
      <c r="M458" s="4">
        <f t="shared" si="169"/>
        <v>5.1233333333333331</v>
      </c>
      <c r="N458" s="4">
        <f>SUM($M$445:M458)</f>
        <v>71.726666666666674</v>
      </c>
      <c r="O458" s="4">
        <f>SUM($M$384:M458)</f>
        <v>472.82666666666614</v>
      </c>
      <c r="P458" s="323">
        <f t="shared" si="170"/>
        <v>0.69925423684408983</v>
      </c>
      <c r="Q458" s="337">
        <f t="shared" si="171"/>
        <v>0.69925423684408972</v>
      </c>
      <c r="R458" s="337">
        <f t="shared" si="172"/>
        <v>0.67653220306009731</v>
      </c>
      <c r="S458" s="323">
        <f t="shared" si="173"/>
        <v>0.14927135583741197</v>
      </c>
      <c r="T458" s="9">
        <f>Modelling_old[[#This Row],[Target E_Grid MTD
MWh]]/Modelling_old[[#This Row],[DC Capcity]]/(24*CG458)</f>
        <v>0.14927135583741191</v>
      </c>
      <c r="U458" s="338">
        <f>Modelling_old[[#This Row],[Target E_Grid YTD
MWh]]/Modelling_old[[#This Row],[DC Capcity]]/(24*CH458)</f>
        <v>0.17771248136975665</v>
      </c>
      <c r="V458" s="134">
        <v>11.5031</v>
      </c>
      <c r="Y458" s="27">
        <f t="shared" si="162"/>
        <v>45457</v>
      </c>
      <c r="Z458" s="5">
        <f>MONTH(Modelling_new[[#This Row],[Date]])</f>
        <v>6</v>
      </c>
      <c r="AA458" s="25">
        <f>YEAR(Y458)+IF(MONTH(Modelling_new[[#This Row],[Date]])&gt;=4,1,0)</f>
        <v>2025</v>
      </c>
      <c r="AB458" s="3">
        <f t="shared" si="174"/>
        <v>2024</v>
      </c>
      <c r="AC458" s="3" t="s">
        <v>627</v>
      </c>
      <c r="AD458" s="3" t="s">
        <v>627</v>
      </c>
      <c r="AE458" s="102">
        <f>DATE(Modelling_old[[#This Row],[Calendor Year]],Modelling_old[[#This Row],[Start Month]],1)</f>
        <v>45444</v>
      </c>
      <c r="AF458" s="5">
        <f t="shared" si="175"/>
        <v>30</v>
      </c>
      <c r="AG458" s="5">
        <f t="shared" si="176"/>
        <v>6</v>
      </c>
      <c r="AH458" s="4">
        <f>_xlfn.XLOOKUP(Modelling_new[[#This Row],[Month]],$AA$1:$AA$14,$AL$1:$AL$14)/Modelling_new[[#This Row],[Total Days]]</f>
        <v>51.960119819336249</v>
      </c>
      <c r="AI458" s="4">
        <f>SUM($AH$445:AH458)</f>
        <v>727.4416774707073</v>
      </c>
      <c r="AJ458" s="4">
        <f>SUM($AH$384:AH458)</f>
        <v>5058.4251285060936</v>
      </c>
      <c r="AK458" s="4">
        <f t="shared" si="177"/>
        <v>5.1233333333333331</v>
      </c>
      <c r="AL458" s="4">
        <f>SUM($AK$445:AK458)</f>
        <v>71.726666666666674</v>
      </c>
      <c r="AM458" s="4">
        <f>SUM($AK$384:AK458)</f>
        <v>472.82666666666614</v>
      </c>
      <c r="AN458" s="323">
        <f t="shared" si="178"/>
        <v>0.88166304126662065</v>
      </c>
      <c r="AO458" s="323">
        <f t="shared" si="179"/>
        <v>0.88166304126662021</v>
      </c>
      <c r="AP458" s="323">
        <f t="shared" si="180"/>
        <v>0.93003323591513809</v>
      </c>
      <c r="AQ458" s="323">
        <f t="shared" si="181"/>
        <v>0.18821056867038832</v>
      </c>
      <c r="AR458" s="323">
        <f>Modelling_new[[#This Row],[Target E_Grid MTD
MWh]]/Modelling_new[[#This Row],[MTD DC Capcity]]/(24*CG458)</f>
        <v>0.16914101503690179</v>
      </c>
      <c r="AS458" s="323">
        <f>Modelling_new[[#This Row],[Target E_Grid YTD
MWh]]/Modelling_new[[#This Row],[YTD DC Capcity]]/(24*CH458)</f>
        <v>0.21954970175807728</v>
      </c>
      <c r="AT458" s="5">
        <v>12.8</v>
      </c>
      <c r="AU458" s="9">
        <f>Modelling_new[[#This Row],[Comisined DC ]]/$AO$1</f>
        <v>1</v>
      </c>
      <c r="AV45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58" s="5">
        <f>AVERAGEIFS(Modelling_new[[Comisined DC ]],Modelling_new[Date],"&lt;="&amp;Modelling_new[[#This Row],[Date]],Modelling_new[[Comisined DC ]],"&gt;"&amp;0,Modelling_new[Finacial Year],Modelling_new[[#This Row],[Finacial Year]])</f>
        <v>12.799999999999981</v>
      </c>
      <c r="BD458" s="27">
        <f t="shared" si="163"/>
        <v>45457</v>
      </c>
      <c r="BE458" s="5">
        <f>MONTH(Modelling[[#This Row],[Date]])</f>
        <v>6</v>
      </c>
      <c r="BF458" s="25">
        <f>YEAR(BD458)+IF(MONTH(Modelling[[#This Row],[Date]])&gt;=4,1,0)</f>
        <v>2025</v>
      </c>
      <c r="BG458" s="3">
        <f t="shared" si="182"/>
        <v>2024</v>
      </c>
      <c r="BH458" s="3" t="s">
        <v>627</v>
      </c>
      <c r="BI458" s="3" t="s">
        <v>627</v>
      </c>
      <c r="BJ458" s="102">
        <f>DATE(Modelling_old[[#This Row],[Calendor Year]],Modelling_old[[#This Row],[Start Month]],1)</f>
        <v>45444</v>
      </c>
      <c r="BK458" s="5">
        <f t="shared" si="183"/>
        <v>30</v>
      </c>
      <c r="BL458" s="5">
        <f t="shared" si="184"/>
        <v>6</v>
      </c>
      <c r="BM458" s="4">
        <f>Modelling_old[[#This Row],[Target E_Grid daily
MWh]]+Modelling_new[[#This Row],[Target E_Grid daily
MWh]]</f>
        <v>93.17011981933625</v>
      </c>
      <c r="BN458" s="4">
        <f>Modelling_old[[#This Row],[Target E_Grid MTD
MWh]]+Modelling_new[[#This Row],[Target E_Grid MTD
MWh]]</f>
        <v>1304.3816774707072</v>
      </c>
      <c r="BO458" s="4">
        <f>Modelling_old[[#This Row],[Target E_Grid YTD
MWh]]+Modelling_new[[#This Row],[Target E_Grid YTD
MWh]]</f>
        <v>8738.0651285060994</v>
      </c>
      <c r="BP458" s="4">
        <f>AVERAGE(Modelling_old[[#This Row],[Target POA Daily (KWh/m2)]],Modelling_new[[#This Row],[Target POA Daily (KWh/m2)]])</f>
        <v>5.1233333333333331</v>
      </c>
      <c r="BQ458" s="4">
        <f>SUM($BP$445:BP458)</f>
        <v>71.726666666666674</v>
      </c>
      <c r="BR458" s="4">
        <f>SUM($BP$384:BP458)</f>
        <v>472.82666666666614</v>
      </c>
      <c r="BS458" s="323">
        <f>BM458/Modelling[[#This Row],[Comisined DC ]]/BP458</f>
        <v>0.74827694992965155</v>
      </c>
      <c r="BT458" s="337">
        <f>BN458/BQ458/Modelling[[#This Row],[Comisined DC ]]</f>
        <v>0.74827694992965121</v>
      </c>
      <c r="BU458" s="337">
        <f>BO458/BR458/Modelling[[#This Row],[Comisined DC ]]</f>
        <v>0.76041669174204241</v>
      </c>
      <c r="BV458" s="323">
        <f>BM458/(24*Modelling[[#This Row],[Comisined DC ]])</f>
        <v>0.15973634333914921</v>
      </c>
      <c r="BW458" s="323">
        <f>Modelling[[#This Row],[Target E_Grid MTD
MWh]]/Modelling[[#This Row],[MTD DC Capcity]]/(24*CG458)</f>
        <v>0.15973634333914918</v>
      </c>
      <c r="BX458" s="338">
        <f>Modelling[[#This Row],[Target E_Grid YTD
MWh]]/Modelling[[#This Row],[YTD DC Capcity]]/(24*CH458)</f>
        <v>0.19974738313004628</v>
      </c>
      <c r="BY458" s="4">
        <f>Modelling_old[[#This Row],[DC Capcity]]+Modelling_new[[#This Row],[Comisined DC ]]</f>
        <v>24.303100000000001</v>
      </c>
      <c r="BZ458" s="4">
        <v>0</v>
      </c>
      <c r="CA458">
        <f>AVERAGEIFS(Modelling[[Comisined DC ]],Modelling[Date],"&lt;="&amp;Modelling[[#This Row],[Date]],Modelling[Month Year],Modelling[[#This Row],[Month Year]])</f>
        <v>24.303099999999997</v>
      </c>
      <c r="CB458">
        <f>AVERAGEIFS(Modelling[[Comisined DC ]],Modelling[Date],"&lt;="&amp;Modelling[[#This Row],[Date]],Modelling[Finacial Year],Modelling[[#This Row],[Finacial Year]])</f>
        <v>24.303100000000025</v>
      </c>
      <c r="CG458">
        <f t="shared" si="185"/>
        <v>14</v>
      </c>
      <c r="CH458">
        <f t="shared" si="186"/>
        <v>75</v>
      </c>
    </row>
    <row r="459" spans="1:86" x14ac:dyDescent="0.35">
      <c r="A459" s="27">
        <f t="shared" si="164"/>
        <v>45458</v>
      </c>
      <c r="B459" s="5">
        <f>MONTH(Modelling_old[[#This Row],[Date]])</f>
        <v>6</v>
      </c>
      <c r="C459" s="25">
        <f t="shared" si="165"/>
        <v>2025</v>
      </c>
      <c r="D459" s="3">
        <f t="shared" si="166"/>
        <v>2024</v>
      </c>
      <c r="E459" s="3" t="s">
        <v>627</v>
      </c>
      <c r="F459" s="3" t="s">
        <v>627</v>
      </c>
      <c r="G459" s="102">
        <f>DATE(Modelling_old[[#This Row],[Calendor Year]],Modelling_old[[#This Row],[Start Month]],1)</f>
        <v>45444</v>
      </c>
      <c r="H459" s="5">
        <f t="shared" si="167"/>
        <v>30</v>
      </c>
      <c r="I459" s="5">
        <f t="shared" si="168"/>
        <v>6</v>
      </c>
      <c r="J459" s="4">
        <f>_xlfn.XLOOKUP(Modelling_old[[#This Row],[Month]],$C$1:$C$14,$N$1:$N$14)/Modelling_old[[#This Row],[Total Days]]</f>
        <v>41.21</v>
      </c>
      <c r="K459" s="4">
        <f>SUM($J$445:J459)</f>
        <v>618.15</v>
      </c>
      <c r="L459" s="4">
        <f>SUM($J$384:J459)</f>
        <v>3720.8500000000054</v>
      </c>
      <c r="M459" s="4">
        <f t="shared" si="169"/>
        <v>5.1233333333333331</v>
      </c>
      <c r="N459" s="4">
        <f>SUM($M$445:M459)</f>
        <v>76.850000000000009</v>
      </c>
      <c r="O459" s="4">
        <f>SUM($M$384:M459)</f>
        <v>477.94999999999948</v>
      </c>
      <c r="P459" s="323">
        <f t="shared" si="170"/>
        <v>0.69925423684408983</v>
      </c>
      <c r="Q459" s="337">
        <f t="shared" si="171"/>
        <v>0.69925423684408972</v>
      </c>
      <c r="R459" s="337">
        <f t="shared" si="172"/>
        <v>0.67677576944379159</v>
      </c>
      <c r="S459" s="323">
        <f t="shared" si="173"/>
        <v>0.14927135583741197</v>
      </c>
      <c r="T459" s="9">
        <f>Modelling_old[[#This Row],[Target E_Grid MTD
MWh]]/Modelling_old[[#This Row],[DC Capcity]]/(24*CG459)</f>
        <v>0.14927135583741194</v>
      </c>
      <c r="U459" s="338">
        <f>Modelling_old[[#This Row],[Target E_Grid YTD
MWh]]/Modelling_old[[#This Row],[DC Capcity]]/(24*CH459)</f>
        <v>0.17733825603380471</v>
      </c>
      <c r="V459" s="134">
        <v>11.5031</v>
      </c>
      <c r="Y459" s="27">
        <f t="shared" si="162"/>
        <v>45458</v>
      </c>
      <c r="Z459" s="5">
        <f>MONTH(Modelling_new[[#This Row],[Date]])</f>
        <v>6</v>
      </c>
      <c r="AA459" s="25">
        <f>YEAR(Y459)+IF(MONTH(Modelling_new[[#This Row],[Date]])&gt;=4,1,0)</f>
        <v>2025</v>
      </c>
      <c r="AB459" s="3">
        <f t="shared" si="174"/>
        <v>2024</v>
      </c>
      <c r="AC459" s="3" t="s">
        <v>627</v>
      </c>
      <c r="AD459" s="3" t="s">
        <v>627</v>
      </c>
      <c r="AE459" s="102">
        <f>DATE(Modelling_old[[#This Row],[Calendor Year]],Modelling_old[[#This Row],[Start Month]],1)</f>
        <v>45444</v>
      </c>
      <c r="AF459" s="5">
        <f t="shared" si="175"/>
        <v>30</v>
      </c>
      <c r="AG459" s="5">
        <f t="shared" si="176"/>
        <v>6</v>
      </c>
      <c r="AH459" s="4">
        <f>_xlfn.XLOOKUP(Modelling_new[[#This Row],[Month]],$AA$1:$AA$14,$AL$1:$AL$14)/Modelling_new[[#This Row],[Total Days]]</f>
        <v>51.960119819336249</v>
      </c>
      <c r="AI459" s="4">
        <f>SUM($AH$445:AH459)</f>
        <v>779.40179729004353</v>
      </c>
      <c r="AJ459" s="4">
        <f>SUM($AH$384:AH459)</f>
        <v>5110.3852483254295</v>
      </c>
      <c r="AK459" s="4">
        <f t="shared" si="177"/>
        <v>5.1233333333333331</v>
      </c>
      <c r="AL459" s="4">
        <f>SUM($AK$445:AK459)</f>
        <v>76.850000000000009</v>
      </c>
      <c r="AM459" s="4">
        <f>SUM($AK$384:AK459)</f>
        <v>477.94999999999948</v>
      </c>
      <c r="AN459" s="323">
        <f t="shared" si="178"/>
        <v>0.88166304126662065</v>
      </c>
      <c r="AO459" s="323">
        <f t="shared" si="179"/>
        <v>0.88166304126662021</v>
      </c>
      <c r="AP459" s="323">
        <f t="shared" si="180"/>
        <v>0.92951473684497887</v>
      </c>
      <c r="AQ459" s="323">
        <f t="shared" si="181"/>
        <v>0.18821056867038832</v>
      </c>
      <c r="AR459" s="323">
        <f>Modelling_new[[#This Row],[Target E_Grid MTD
MWh]]/Modelling_new[[#This Row],[MTD DC Capcity]]/(24*CG459)</f>
        <v>0.16914101503690177</v>
      </c>
      <c r="AS459" s="323">
        <f>Modelling_new[[#This Row],[Target E_Grid YTD
MWh]]/Modelling_new[[#This Row],[YTD DC Capcity]]/(24*CH459)</f>
        <v>0.21888642956437762</v>
      </c>
      <c r="AT459" s="5">
        <v>12.8</v>
      </c>
      <c r="AU459" s="9">
        <f>Modelling_new[[#This Row],[Comisined DC ]]/$AO$1</f>
        <v>1</v>
      </c>
      <c r="AV459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59" s="5">
        <f>AVERAGEIFS(Modelling_new[[Comisined DC ]],Modelling_new[Date],"&lt;="&amp;Modelling_new[[#This Row],[Date]],Modelling_new[[Comisined DC ]],"&gt;"&amp;0,Modelling_new[Finacial Year],Modelling_new[[#This Row],[Finacial Year]])</f>
        <v>12.799999999999981</v>
      </c>
      <c r="BD459" s="27">
        <f t="shared" si="163"/>
        <v>45458</v>
      </c>
      <c r="BE459" s="5">
        <f>MONTH(Modelling[[#This Row],[Date]])</f>
        <v>6</v>
      </c>
      <c r="BF459" s="25">
        <f>YEAR(BD459)+IF(MONTH(Modelling[[#This Row],[Date]])&gt;=4,1,0)</f>
        <v>2025</v>
      </c>
      <c r="BG459" s="3">
        <f t="shared" si="182"/>
        <v>2024</v>
      </c>
      <c r="BH459" s="3" t="s">
        <v>627</v>
      </c>
      <c r="BI459" s="3" t="s">
        <v>627</v>
      </c>
      <c r="BJ459" s="102">
        <f>DATE(Modelling_old[[#This Row],[Calendor Year]],Modelling_old[[#This Row],[Start Month]],1)</f>
        <v>45444</v>
      </c>
      <c r="BK459" s="5">
        <f t="shared" si="183"/>
        <v>30</v>
      </c>
      <c r="BL459" s="5">
        <f t="shared" si="184"/>
        <v>6</v>
      </c>
      <c r="BM459" s="4">
        <f>Modelling_old[[#This Row],[Target E_Grid daily
MWh]]+Modelling_new[[#This Row],[Target E_Grid daily
MWh]]</f>
        <v>93.17011981933625</v>
      </c>
      <c r="BN459" s="4">
        <f>Modelling_old[[#This Row],[Target E_Grid MTD
MWh]]+Modelling_new[[#This Row],[Target E_Grid MTD
MWh]]</f>
        <v>1397.5517972900434</v>
      </c>
      <c r="BO459" s="4">
        <f>Modelling_old[[#This Row],[Target E_Grid YTD
MWh]]+Modelling_new[[#This Row],[Target E_Grid YTD
MWh]]</f>
        <v>8831.2352483254344</v>
      </c>
      <c r="BP459" s="4">
        <f>AVERAGE(Modelling_old[[#This Row],[Target POA Daily (KWh/m2)]],Modelling_new[[#This Row],[Target POA Daily (KWh/m2)]])</f>
        <v>5.1233333333333331</v>
      </c>
      <c r="BQ459" s="4">
        <f>SUM($BP$445:BP459)</f>
        <v>76.850000000000009</v>
      </c>
      <c r="BR459" s="4">
        <f>SUM($BP$384:BP459)</f>
        <v>477.94999999999948</v>
      </c>
      <c r="BS459" s="323">
        <f>BM459/Modelling[[#This Row],[Comisined DC ]]/BP459</f>
        <v>0.74827694992965155</v>
      </c>
      <c r="BT459" s="337">
        <f>BN459/BQ459/Modelling[[#This Row],[Comisined DC ]]</f>
        <v>0.7482769499296511</v>
      </c>
      <c r="BU459" s="337">
        <f>BO459/BR459/Modelling[[#This Row],[Comisined DC ]]</f>
        <v>0.76028656109263237</v>
      </c>
      <c r="BV459" s="323">
        <f>BM459/(24*Modelling[[#This Row],[Comisined DC ]])</f>
        <v>0.15973634333914921</v>
      </c>
      <c r="BW459" s="323">
        <f>Modelling[[#This Row],[Target E_Grid MTD
MWh]]/Modelling[[#This Row],[MTD DC Capcity]]/(24*CG459)</f>
        <v>0.15973634333914921</v>
      </c>
      <c r="BX459" s="338">
        <f>Modelling[[#This Row],[Target E_Grid YTD
MWh]]/Modelling[[#This Row],[YTD DC Capcity]]/(24*CH459)</f>
        <v>0.19922092208016604</v>
      </c>
      <c r="BY459" s="4">
        <f>Modelling_old[[#This Row],[DC Capcity]]+Modelling_new[[#This Row],[Comisined DC ]]</f>
        <v>24.303100000000001</v>
      </c>
      <c r="BZ459" s="4">
        <v>0</v>
      </c>
      <c r="CA459">
        <f>AVERAGEIFS(Modelling[[Comisined DC ]],Modelling[Date],"&lt;="&amp;Modelling[[#This Row],[Date]],Modelling[Month Year],Modelling[[#This Row],[Month Year]])</f>
        <v>24.303099999999993</v>
      </c>
      <c r="CB459">
        <f>AVERAGEIFS(Modelling[[Comisined DC ]],Modelling[Date],"&lt;="&amp;Modelling[[#This Row],[Date]],Modelling[Finacial Year],Modelling[[#This Row],[Finacial Year]])</f>
        <v>24.303100000000025</v>
      </c>
      <c r="CG459">
        <f t="shared" si="185"/>
        <v>15</v>
      </c>
      <c r="CH459">
        <f t="shared" si="186"/>
        <v>76</v>
      </c>
    </row>
    <row r="460" spans="1:86" x14ac:dyDescent="0.35">
      <c r="A460" s="27">
        <f t="shared" si="164"/>
        <v>45459</v>
      </c>
      <c r="B460" s="5">
        <f>MONTH(Modelling_old[[#This Row],[Date]])</f>
        <v>6</v>
      </c>
      <c r="C460" s="25">
        <f t="shared" si="165"/>
        <v>2025</v>
      </c>
      <c r="D460" s="3">
        <f t="shared" si="166"/>
        <v>2024</v>
      </c>
      <c r="E460" s="3" t="s">
        <v>627</v>
      </c>
      <c r="F460" s="3" t="s">
        <v>627</v>
      </c>
      <c r="G460" s="102">
        <f>DATE(Modelling_old[[#This Row],[Calendor Year]],Modelling_old[[#This Row],[Start Month]],1)</f>
        <v>45444</v>
      </c>
      <c r="H460" s="5">
        <f t="shared" si="167"/>
        <v>30</v>
      </c>
      <c r="I460" s="5">
        <f t="shared" si="168"/>
        <v>6</v>
      </c>
      <c r="J460" s="4">
        <f>_xlfn.XLOOKUP(Modelling_old[[#This Row],[Month]],$C$1:$C$14,$N$1:$N$14)/Modelling_old[[#This Row],[Total Days]]</f>
        <v>41.21</v>
      </c>
      <c r="K460" s="4">
        <f>SUM($J$445:J460)</f>
        <v>659.36</v>
      </c>
      <c r="L460" s="4">
        <f>SUM($J$384:J460)</f>
        <v>3762.0600000000054</v>
      </c>
      <c r="M460" s="4">
        <f t="shared" si="169"/>
        <v>5.1233333333333331</v>
      </c>
      <c r="N460" s="4">
        <f>SUM($M$445:M460)</f>
        <v>81.973333333333343</v>
      </c>
      <c r="O460" s="4">
        <f>SUM($M$384:M460)</f>
        <v>483.07333333333281</v>
      </c>
      <c r="P460" s="323">
        <f t="shared" si="170"/>
        <v>0.69925423684408983</v>
      </c>
      <c r="Q460" s="337">
        <f t="shared" si="171"/>
        <v>0.69925423684408972</v>
      </c>
      <c r="R460" s="337">
        <f t="shared" si="172"/>
        <v>0.6770141694409918</v>
      </c>
      <c r="S460" s="323">
        <f t="shared" si="173"/>
        <v>0.14927135583741197</v>
      </c>
      <c r="T460" s="9">
        <f>Modelling_old[[#This Row],[Target E_Grid MTD
MWh]]/Modelling_old[[#This Row],[DC Capcity]]/(24*CG460)</f>
        <v>0.14927135583741194</v>
      </c>
      <c r="U460" s="338">
        <f>Modelling_old[[#This Row],[Target E_Grid YTD
MWh]]/Modelling_old[[#This Row],[DC Capcity]]/(24*CH460)</f>
        <v>0.17697375083644895</v>
      </c>
      <c r="V460" s="134">
        <v>11.5031</v>
      </c>
      <c r="Y460" s="27">
        <f t="shared" si="162"/>
        <v>45459</v>
      </c>
      <c r="Z460" s="5">
        <f>MONTH(Modelling_new[[#This Row],[Date]])</f>
        <v>6</v>
      </c>
      <c r="AA460" s="25">
        <f>YEAR(Y460)+IF(MONTH(Modelling_new[[#This Row],[Date]])&gt;=4,1,0)</f>
        <v>2025</v>
      </c>
      <c r="AB460" s="3">
        <f t="shared" si="174"/>
        <v>2024</v>
      </c>
      <c r="AC460" s="3" t="s">
        <v>627</v>
      </c>
      <c r="AD460" s="3" t="s">
        <v>627</v>
      </c>
      <c r="AE460" s="102">
        <f>DATE(Modelling_old[[#This Row],[Calendor Year]],Modelling_old[[#This Row],[Start Month]],1)</f>
        <v>45444</v>
      </c>
      <c r="AF460" s="5">
        <f t="shared" si="175"/>
        <v>30</v>
      </c>
      <c r="AG460" s="5">
        <f t="shared" si="176"/>
        <v>6</v>
      </c>
      <c r="AH460" s="4">
        <f>_xlfn.XLOOKUP(Modelling_new[[#This Row],[Month]],$AA$1:$AA$14,$AL$1:$AL$14)/Modelling_new[[#This Row],[Total Days]]</f>
        <v>51.960119819336249</v>
      </c>
      <c r="AI460" s="4">
        <f>SUM($AH$445:AH460)</f>
        <v>831.36191710937976</v>
      </c>
      <c r="AJ460" s="4">
        <f>SUM($AH$384:AH460)</f>
        <v>5162.3453681447654</v>
      </c>
      <c r="AK460" s="4">
        <f t="shared" si="177"/>
        <v>5.1233333333333331</v>
      </c>
      <c r="AL460" s="4">
        <f>SUM($AK$445:AK460)</f>
        <v>81.973333333333343</v>
      </c>
      <c r="AM460" s="4">
        <f>SUM($AK$384:AK460)</f>
        <v>483.07333333333281</v>
      </c>
      <c r="AN460" s="323">
        <f t="shared" si="178"/>
        <v>0.88166304126662065</v>
      </c>
      <c r="AO460" s="323">
        <f t="shared" si="179"/>
        <v>0.88166304126662021</v>
      </c>
      <c r="AP460" s="323">
        <f t="shared" si="180"/>
        <v>0.92900723587132439</v>
      </c>
      <c r="AQ460" s="323">
        <f t="shared" si="181"/>
        <v>0.18821056867038832</v>
      </c>
      <c r="AR460" s="323">
        <f>Modelling_new[[#This Row],[Target E_Grid MTD
MWh]]/Modelling_new[[#This Row],[MTD DC Capcity]]/(24*CG460)</f>
        <v>0.16914101503690179</v>
      </c>
      <c r="AS460" s="323">
        <f>Modelling_new[[#This Row],[Target E_Grid YTD
MWh]]/Modelling_new[[#This Row],[YTD DC Capcity]]/(24*CH460)</f>
        <v>0.21824038521986494</v>
      </c>
      <c r="AT460" s="5">
        <v>12.8</v>
      </c>
      <c r="AU460" s="9">
        <f>Modelling_new[[#This Row],[Comisined DC ]]/$AO$1</f>
        <v>1</v>
      </c>
      <c r="AV460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60" s="5">
        <f>AVERAGEIFS(Modelling_new[[Comisined DC ]],Modelling_new[Date],"&lt;="&amp;Modelling_new[[#This Row],[Date]],Modelling_new[[Comisined DC ]],"&gt;"&amp;0,Modelling_new[Finacial Year],Modelling_new[[#This Row],[Finacial Year]])</f>
        <v>12.799999999999981</v>
      </c>
      <c r="BD460" s="27">
        <f t="shared" si="163"/>
        <v>45459</v>
      </c>
      <c r="BE460" s="5">
        <f>MONTH(Modelling[[#This Row],[Date]])</f>
        <v>6</v>
      </c>
      <c r="BF460" s="25">
        <f>YEAR(BD460)+IF(MONTH(Modelling[[#This Row],[Date]])&gt;=4,1,0)</f>
        <v>2025</v>
      </c>
      <c r="BG460" s="3">
        <f t="shared" si="182"/>
        <v>2024</v>
      </c>
      <c r="BH460" s="3" t="s">
        <v>627</v>
      </c>
      <c r="BI460" s="3" t="s">
        <v>627</v>
      </c>
      <c r="BJ460" s="102">
        <f>DATE(Modelling_old[[#This Row],[Calendor Year]],Modelling_old[[#This Row],[Start Month]],1)</f>
        <v>45444</v>
      </c>
      <c r="BK460" s="5">
        <f t="shared" si="183"/>
        <v>30</v>
      </c>
      <c r="BL460" s="5">
        <f t="shared" si="184"/>
        <v>6</v>
      </c>
      <c r="BM460" s="4">
        <f>Modelling_old[[#This Row],[Target E_Grid daily
MWh]]+Modelling_new[[#This Row],[Target E_Grid daily
MWh]]</f>
        <v>93.17011981933625</v>
      </c>
      <c r="BN460" s="4">
        <f>Modelling_old[[#This Row],[Target E_Grid MTD
MWh]]+Modelling_new[[#This Row],[Target E_Grid MTD
MWh]]</f>
        <v>1490.7219171093798</v>
      </c>
      <c r="BO460" s="4">
        <f>Modelling_old[[#This Row],[Target E_Grid YTD
MWh]]+Modelling_new[[#This Row],[Target E_Grid YTD
MWh]]</f>
        <v>8924.4053681447713</v>
      </c>
      <c r="BP460" s="4">
        <f>AVERAGE(Modelling_old[[#This Row],[Target POA Daily (KWh/m2)]],Modelling_new[[#This Row],[Target POA Daily (KWh/m2)]])</f>
        <v>5.1233333333333331</v>
      </c>
      <c r="BQ460" s="4">
        <f>SUM($BP$445:BP460)</f>
        <v>81.973333333333343</v>
      </c>
      <c r="BR460" s="4">
        <f>SUM($BP$384:BP460)</f>
        <v>483.07333333333281</v>
      </c>
      <c r="BS460" s="323">
        <f>BM460/Modelling[[#This Row],[Comisined DC ]]/BP460</f>
        <v>0.74827694992965155</v>
      </c>
      <c r="BT460" s="337">
        <f>BN460/BQ460/Modelling[[#This Row],[Comisined DC ]]</f>
        <v>0.74827694992965121</v>
      </c>
      <c r="BU460" s="337">
        <f>BO460/BR460/Modelling[[#This Row],[Comisined DC ]]</f>
        <v>0.76015919069781646</v>
      </c>
      <c r="BV460" s="323">
        <f>BM460/(24*Modelling[[#This Row],[Comisined DC ]])</f>
        <v>0.15973634333914921</v>
      </c>
      <c r="BW460" s="323">
        <f>Modelling[[#This Row],[Target E_Grid MTD
MWh]]/Modelling[[#This Row],[MTD DC Capcity]]/(24*CG460)</f>
        <v>0.15973634333914924</v>
      </c>
      <c r="BX460" s="338">
        <f>Modelling[[#This Row],[Target E_Grid YTD
MWh]]/Modelling[[#This Row],[YTD DC Capcity]]/(24*CH460)</f>
        <v>0.19870813534326973</v>
      </c>
      <c r="BY460" s="4">
        <f>Modelling_old[[#This Row],[DC Capcity]]+Modelling_new[[#This Row],[Comisined DC ]]</f>
        <v>24.303100000000001</v>
      </c>
      <c r="BZ460" s="4">
        <v>0</v>
      </c>
      <c r="CA460">
        <f>AVERAGEIFS(Modelling[[Comisined DC ]],Modelling[Date],"&lt;="&amp;Modelling[[#This Row],[Date]],Modelling[Month Year],Modelling[[#This Row],[Month Year]])</f>
        <v>24.303099999999993</v>
      </c>
      <c r="CB460">
        <f>AVERAGEIFS(Modelling[[Comisined DC ]],Modelling[Date],"&lt;="&amp;Modelling[[#This Row],[Date]],Modelling[Finacial Year],Modelling[[#This Row],[Finacial Year]])</f>
        <v>24.303100000000025</v>
      </c>
      <c r="CG460">
        <f t="shared" si="185"/>
        <v>16</v>
      </c>
      <c r="CH460">
        <f t="shared" si="186"/>
        <v>77</v>
      </c>
    </row>
    <row r="461" spans="1:86" x14ac:dyDescent="0.35">
      <c r="A461" s="27">
        <f t="shared" si="164"/>
        <v>45460</v>
      </c>
      <c r="B461" s="5">
        <f>MONTH(Modelling_old[[#This Row],[Date]])</f>
        <v>6</v>
      </c>
      <c r="C461" s="25">
        <f t="shared" si="165"/>
        <v>2025</v>
      </c>
      <c r="D461" s="3">
        <f t="shared" si="166"/>
        <v>2024</v>
      </c>
      <c r="E461" s="3" t="s">
        <v>627</v>
      </c>
      <c r="F461" s="3" t="s">
        <v>627</v>
      </c>
      <c r="G461" s="102">
        <f>DATE(Modelling_old[[#This Row],[Calendor Year]],Modelling_old[[#This Row],[Start Month]],1)</f>
        <v>45444</v>
      </c>
      <c r="H461" s="5">
        <f t="shared" si="167"/>
        <v>30</v>
      </c>
      <c r="I461" s="5">
        <f t="shared" si="168"/>
        <v>6</v>
      </c>
      <c r="J461" s="4">
        <f>_xlfn.XLOOKUP(Modelling_old[[#This Row],[Month]],$C$1:$C$14,$N$1:$N$14)/Modelling_old[[#This Row],[Total Days]]</f>
        <v>41.21</v>
      </c>
      <c r="K461" s="4">
        <f>SUM($J$445:J461)</f>
        <v>700.57</v>
      </c>
      <c r="L461" s="4">
        <f>SUM($J$384:J461)</f>
        <v>3803.2700000000054</v>
      </c>
      <c r="M461" s="4">
        <f t="shared" si="169"/>
        <v>5.1233333333333331</v>
      </c>
      <c r="N461" s="4">
        <f>SUM($M$445:M461)</f>
        <v>87.096666666666678</v>
      </c>
      <c r="O461" s="4">
        <f>SUM($M$384:M461)</f>
        <v>488.19666666666615</v>
      </c>
      <c r="P461" s="323">
        <f t="shared" si="170"/>
        <v>0.69925423684408983</v>
      </c>
      <c r="Q461" s="337">
        <f t="shared" si="171"/>
        <v>0.69925423684408972</v>
      </c>
      <c r="R461" s="337">
        <f t="shared" si="172"/>
        <v>0.6772475657061483</v>
      </c>
      <c r="S461" s="323">
        <f t="shared" si="173"/>
        <v>0.14927135583741197</v>
      </c>
      <c r="T461" s="9">
        <f>Modelling_old[[#This Row],[Target E_Grid MTD
MWh]]/Modelling_old[[#This Row],[DC Capcity]]/(24*CG461)</f>
        <v>0.14927135583741194</v>
      </c>
      <c r="U461" s="338">
        <f>Modelling_old[[#This Row],[Target E_Grid YTD
MWh]]/Modelling_old[[#This Row],[DC Capcity]]/(24*CH461)</f>
        <v>0.17661859192620491</v>
      </c>
      <c r="V461" s="134">
        <v>11.5031</v>
      </c>
      <c r="Y461" s="27">
        <f t="shared" si="162"/>
        <v>45460</v>
      </c>
      <c r="Z461" s="5">
        <f>MONTH(Modelling_new[[#This Row],[Date]])</f>
        <v>6</v>
      </c>
      <c r="AA461" s="25">
        <f>YEAR(Y461)+IF(MONTH(Modelling_new[[#This Row],[Date]])&gt;=4,1,0)</f>
        <v>2025</v>
      </c>
      <c r="AB461" s="3">
        <f t="shared" si="174"/>
        <v>2024</v>
      </c>
      <c r="AC461" s="3" t="s">
        <v>627</v>
      </c>
      <c r="AD461" s="3" t="s">
        <v>627</v>
      </c>
      <c r="AE461" s="102">
        <f>DATE(Modelling_old[[#This Row],[Calendor Year]],Modelling_old[[#This Row],[Start Month]],1)</f>
        <v>45444</v>
      </c>
      <c r="AF461" s="5">
        <f t="shared" si="175"/>
        <v>30</v>
      </c>
      <c r="AG461" s="5">
        <f t="shared" si="176"/>
        <v>6</v>
      </c>
      <c r="AH461" s="4">
        <f>_xlfn.XLOOKUP(Modelling_new[[#This Row],[Month]],$AA$1:$AA$14,$AL$1:$AL$14)/Modelling_new[[#This Row],[Total Days]]</f>
        <v>51.960119819336249</v>
      </c>
      <c r="AI461" s="4">
        <f>SUM($AH$445:AH461)</f>
        <v>883.32203692871599</v>
      </c>
      <c r="AJ461" s="4">
        <f>SUM($AH$384:AH461)</f>
        <v>5214.3054879641013</v>
      </c>
      <c r="AK461" s="4">
        <f t="shared" si="177"/>
        <v>5.1233333333333331</v>
      </c>
      <c r="AL461" s="4">
        <f>SUM($AK$445:AK461)</f>
        <v>87.096666666666678</v>
      </c>
      <c r="AM461" s="4">
        <f>SUM($AK$384:AK461)</f>
        <v>488.19666666666615</v>
      </c>
      <c r="AN461" s="323">
        <f t="shared" si="178"/>
        <v>0.88166304126662065</v>
      </c>
      <c r="AO461" s="323">
        <f t="shared" si="179"/>
        <v>0.88166304126662021</v>
      </c>
      <c r="AP461" s="323">
        <f t="shared" si="180"/>
        <v>0.92851038673875175</v>
      </c>
      <c r="AQ461" s="323">
        <f t="shared" si="181"/>
        <v>0.18821056867038832</v>
      </c>
      <c r="AR461" s="323">
        <f>Modelling_new[[#This Row],[Target E_Grid MTD
MWh]]/Modelling_new[[#This Row],[MTD DC Capcity]]/(24*CG461)</f>
        <v>0.16914101503690179</v>
      </c>
      <c r="AS461" s="323">
        <f>Modelling_new[[#This Row],[Target E_Grid YTD
MWh]]/Modelling_new[[#This Row],[YTD DC Capcity]]/(24*CH461)</f>
        <v>0.21761090611495512</v>
      </c>
      <c r="AT461" s="5">
        <v>12.8</v>
      </c>
      <c r="AU461" s="9">
        <f>Modelling_new[[#This Row],[Comisined DC ]]/$AO$1</f>
        <v>1</v>
      </c>
      <c r="AV461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61" s="5">
        <f>AVERAGEIFS(Modelling_new[[Comisined DC ]],Modelling_new[Date],"&lt;="&amp;Modelling_new[[#This Row],[Date]],Modelling_new[[Comisined DC ]],"&gt;"&amp;0,Modelling_new[Finacial Year],Modelling_new[[#This Row],[Finacial Year]])</f>
        <v>12.799999999999981</v>
      </c>
      <c r="BD461" s="27">
        <f t="shared" si="163"/>
        <v>45460</v>
      </c>
      <c r="BE461" s="5">
        <f>MONTH(Modelling[[#This Row],[Date]])</f>
        <v>6</v>
      </c>
      <c r="BF461" s="25">
        <f>YEAR(BD461)+IF(MONTH(Modelling[[#This Row],[Date]])&gt;=4,1,0)</f>
        <v>2025</v>
      </c>
      <c r="BG461" s="3">
        <f t="shared" si="182"/>
        <v>2024</v>
      </c>
      <c r="BH461" s="3" t="s">
        <v>627</v>
      </c>
      <c r="BI461" s="3" t="s">
        <v>627</v>
      </c>
      <c r="BJ461" s="102">
        <f>DATE(Modelling_old[[#This Row],[Calendor Year]],Modelling_old[[#This Row],[Start Month]],1)</f>
        <v>45444</v>
      </c>
      <c r="BK461" s="5">
        <f t="shared" si="183"/>
        <v>30</v>
      </c>
      <c r="BL461" s="5">
        <f t="shared" si="184"/>
        <v>6</v>
      </c>
      <c r="BM461" s="4">
        <f>Modelling_old[[#This Row],[Target E_Grid daily
MWh]]+Modelling_new[[#This Row],[Target E_Grid daily
MWh]]</f>
        <v>93.17011981933625</v>
      </c>
      <c r="BN461" s="4">
        <f>Modelling_old[[#This Row],[Target E_Grid MTD
MWh]]+Modelling_new[[#This Row],[Target E_Grid MTD
MWh]]</f>
        <v>1583.8920369287162</v>
      </c>
      <c r="BO461" s="4">
        <f>Modelling_old[[#This Row],[Target E_Grid YTD
MWh]]+Modelling_new[[#This Row],[Target E_Grid YTD
MWh]]</f>
        <v>9017.5754879641063</v>
      </c>
      <c r="BP461" s="4">
        <f>AVERAGE(Modelling_old[[#This Row],[Target POA Daily (KWh/m2)]],Modelling_new[[#This Row],[Target POA Daily (KWh/m2)]])</f>
        <v>5.1233333333333331</v>
      </c>
      <c r="BQ461" s="4">
        <f>SUM($BP$445:BP461)</f>
        <v>87.096666666666678</v>
      </c>
      <c r="BR461" s="4">
        <f>SUM($BP$384:BP461)</f>
        <v>488.19666666666615</v>
      </c>
      <c r="BS461" s="323">
        <f>BM461/Modelling[[#This Row],[Comisined DC ]]/BP461</f>
        <v>0.74827694992965155</v>
      </c>
      <c r="BT461" s="337">
        <f>BN461/BQ461/Modelling[[#This Row],[Comisined DC ]]</f>
        <v>0.74827694992965121</v>
      </c>
      <c r="BU461" s="337">
        <f>BO461/BR461/Modelling[[#This Row],[Comisined DC ]]</f>
        <v>0.76003449365590925</v>
      </c>
      <c r="BV461" s="323">
        <f>BM461/(24*Modelling[[#This Row],[Comisined DC ]])</f>
        <v>0.15973634333914921</v>
      </c>
      <c r="BW461" s="323">
        <f>Modelling[[#This Row],[Target E_Grid MTD
MWh]]/Modelling[[#This Row],[MTD DC Capcity]]/(24*CG461)</f>
        <v>0.15973634333914924</v>
      </c>
      <c r="BX461" s="338">
        <f>Modelling[[#This Row],[Target E_Grid YTD
MWh]]/Modelling[[#This Row],[YTD DC Capcity]]/(24*CH461)</f>
        <v>0.19820849698424248</v>
      </c>
      <c r="BY461" s="4">
        <f>Modelling_old[[#This Row],[DC Capcity]]+Modelling_new[[#This Row],[Comisined DC ]]</f>
        <v>24.303100000000001</v>
      </c>
      <c r="BZ461" s="4">
        <v>0</v>
      </c>
      <c r="CA461">
        <f>AVERAGEIFS(Modelling[[Comisined DC ]],Modelling[Date],"&lt;="&amp;Modelling[[#This Row],[Date]],Modelling[Month Year],Modelling[[#This Row],[Month Year]])</f>
        <v>24.303099999999993</v>
      </c>
      <c r="CB461">
        <f>AVERAGEIFS(Modelling[[Comisined DC ]],Modelling[Date],"&lt;="&amp;Modelling[[#This Row],[Date]],Modelling[Finacial Year],Modelling[[#This Row],[Finacial Year]])</f>
        <v>24.303100000000029</v>
      </c>
      <c r="CG461">
        <f t="shared" si="185"/>
        <v>17</v>
      </c>
      <c r="CH461">
        <f t="shared" si="186"/>
        <v>78</v>
      </c>
    </row>
    <row r="462" spans="1:86" x14ac:dyDescent="0.35">
      <c r="A462" s="27">
        <f t="shared" si="164"/>
        <v>45461</v>
      </c>
      <c r="B462" s="5">
        <f>MONTH(Modelling_old[[#This Row],[Date]])</f>
        <v>6</v>
      </c>
      <c r="C462" s="25">
        <f t="shared" si="165"/>
        <v>2025</v>
      </c>
      <c r="D462" s="3">
        <f t="shared" si="166"/>
        <v>2024</v>
      </c>
      <c r="E462" s="3" t="s">
        <v>627</v>
      </c>
      <c r="F462" s="3" t="s">
        <v>627</v>
      </c>
      <c r="G462" s="102">
        <f>DATE(Modelling_old[[#This Row],[Calendor Year]],Modelling_old[[#This Row],[Start Month]],1)</f>
        <v>45444</v>
      </c>
      <c r="H462" s="5">
        <f t="shared" si="167"/>
        <v>30</v>
      </c>
      <c r="I462" s="5">
        <f t="shared" si="168"/>
        <v>6</v>
      </c>
      <c r="J462" s="4">
        <f>_xlfn.XLOOKUP(Modelling_old[[#This Row],[Month]],$C$1:$C$14,$N$1:$N$14)/Modelling_old[[#This Row],[Total Days]]</f>
        <v>41.21</v>
      </c>
      <c r="K462" s="4">
        <f>SUM($J$445:J462)</f>
        <v>741.78000000000009</v>
      </c>
      <c r="L462" s="4">
        <f>SUM($J$384:J462)</f>
        <v>3844.4800000000055</v>
      </c>
      <c r="M462" s="4">
        <f t="shared" si="169"/>
        <v>5.1233333333333331</v>
      </c>
      <c r="N462" s="4">
        <f>SUM($M$445:M462)</f>
        <v>92.220000000000013</v>
      </c>
      <c r="O462" s="4">
        <f>SUM($M$384:M462)</f>
        <v>493.31999999999948</v>
      </c>
      <c r="P462" s="323">
        <f t="shared" si="170"/>
        <v>0.69925423684408983</v>
      </c>
      <c r="Q462" s="337">
        <f t="shared" si="171"/>
        <v>0.69925423684408972</v>
      </c>
      <c r="R462" s="337">
        <f t="shared" si="172"/>
        <v>0.677476114136775</v>
      </c>
      <c r="S462" s="323">
        <f t="shared" si="173"/>
        <v>0.14927135583741197</v>
      </c>
      <c r="T462" s="9">
        <f>Modelling_old[[#This Row],[Target E_Grid MTD
MWh]]/Modelling_old[[#This Row],[DC Capcity]]/(24*CG462)</f>
        <v>0.14927135583741194</v>
      </c>
      <c r="U462" s="338">
        <f>Modelling_old[[#This Row],[Target E_Grid YTD
MWh]]/Modelling_old[[#This Row],[DC Capcity]]/(24*CH462)</f>
        <v>0.17627242438077714</v>
      </c>
      <c r="V462" s="134">
        <v>11.5031</v>
      </c>
      <c r="Y462" s="27">
        <f t="shared" si="162"/>
        <v>45461</v>
      </c>
      <c r="Z462" s="5">
        <f>MONTH(Modelling_new[[#This Row],[Date]])</f>
        <v>6</v>
      </c>
      <c r="AA462" s="25">
        <f>YEAR(Y462)+IF(MONTH(Modelling_new[[#This Row],[Date]])&gt;=4,1,0)</f>
        <v>2025</v>
      </c>
      <c r="AB462" s="3">
        <f t="shared" si="174"/>
        <v>2024</v>
      </c>
      <c r="AC462" s="3" t="s">
        <v>627</v>
      </c>
      <c r="AD462" s="3" t="s">
        <v>627</v>
      </c>
      <c r="AE462" s="102">
        <f>DATE(Modelling_old[[#This Row],[Calendor Year]],Modelling_old[[#This Row],[Start Month]],1)</f>
        <v>45444</v>
      </c>
      <c r="AF462" s="5">
        <f t="shared" si="175"/>
        <v>30</v>
      </c>
      <c r="AG462" s="5">
        <f t="shared" si="176"/>
        <v>6</v>
      </c>
      <c r="AH462" s="4">
        <f>_xlfn.XLOOKUP(Modelling_new[[#This Row],[Month]],$AA$1:$AA$14,$AL$1:$AL$14)/Modelling_new[[#This Row],[Total Days]]</f>
        <v>51.960119819336249</v>
      </c>
      <c r="AI462" s="4">
        <f>SUM($AH$445:AH462)</f>
        <v>935.28215674805222</v>
      </c>
      <c r="AJ462" s="4">
        <f>SUM($AH$384:AH462)</f>
        <v>5266.2656077834372</v>
      </c>
      <c r="AK462" s="4">
        <f t="shared" si="177"/>
        <v>5.1233333333333331</v>
      </c>
      <c r="AL462" s="4">
        <f>SUM($AK$445:AK462)</f>
        <v>92.220000000000013</v>
      </c>
      <c r="AM462" s="4">
        <f>SUM($AK$384:AK462)</f>
        <v>493.31999999999948</v>
      </c>
      <c r="AN462" s="323">
        <f t="shared" si="178"/>
        <v>0.88166304126662065</v>
      </c>
      <c r="AO462" s="323">
        <f t="shared" si="179"/>
        <v>0.88166304126662021</v>
      </c>
      <c r="AP462" s="323">
        <f t="shared" si="180"/>
        <v>0.92802385757586447</v>
      </c>
      <c r="AQ462" s="323">
        <f t="shared" si="181"/>
        <v>0.18821056867038832</v>
      </c>
      <c r="AR462" s="323">
        <f>Modelling_new[[#This Row],[Target E_Grid MTD
MWh]]/Modelling_new[[#This Row],[MTD DC Capcity]]/(24*CG462)</f>
        <v>0.16914101503690177</v>
      </c>
      <c r="AS462" s="323">
        <f>Modelling_new[[#This Row],[Target E_Grid YTD
MWh]]/Modelling_new[[#This Row],[YTD DC Capcity]]/(24*CH462)</f>
        <v>0.21699736318991647</v>
      </c>
      <c r="AT462" s="5">
        <v>12.8</v>
      </c>
      <c r="AU462" s="9">
        <f>Modelling_new[[#This Row],[Comisined DC ]]/$AO$1</f>
        <v>1</v>
      </c>
      <c r="AV46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62" s="5">
        <f>AVERAGEIFS(Modelling_new[[Comisined DC ]],Modelling_new[Date],"&lt;="&amp;Modelling_new[[#This Row],[Date]],Modelling_new[[Comisined DC ]],"&gt;"&amp;0,Modelling_new[Finacial Year],Modelling_new[[#This Row],[Finacial Year]])</f>
        <v>12.799999999999981</v>
      </c>
      <c r="BD462" s="27">
        <f t="shared" si="163"/>
        <v>45461</v>
      </c>
      <c r="BE462" s="5">
        <f>MONTH(Modelling[[#This Row],[Date]])</f>
        <v>6</v>
      </c>
      <c r="BF462" s="25">
        <f>YEAR(BD462)+IF(MONTH(Modelling[[#This Row],[Date]])&gt;=4,1,0)</f>
        <v>2025</v>
      </c>
      <c r="BG462" s="3">
        <f t="shared" si="182"/>
        <v>2024</v>
      </c>
      <c r="BH462" s="3" t="s">
        <v>627</v>
      </c>
      <c r="BI462" s="3" t="s">
        <v>627</v>
      </c>
      <c r="BJ462" s="102">
        <f>DATE(Modelling_old[[#This Row],[Calendor Year]],Modelling_old[[#This Row],[Start Month]],1)</f>
        <v>45444</v>
      </c>
      <c r="BK462" s="5">
        <f t="shared" si="183"/>
        <v>30</v>
      </c>
      <c r="BL462" s="5">
        <f t="shared" si="184"/>
        <v>6</v>
      </c>
      <c r="BM462" s="4">
        <f>Modelling_old[[#This Row],[Target E_Grid daily
MWh]]+Modelling_new[[#This Row],[Target E_Grid daily
MWh]]</f>
        <v>93.17011981933625</v>
      </c>
      <c r="BN462" s="4">
        <f>Modelling_old[[#This Row],[Target E_Grid MTD
MWh]]+Modelling_new[[#This Row],[Target E_Grid MTD
MWh]]</f>
        <v>1677.0621567480523</v>
      </c>
      <c r="BO462" s="4">
        <f>Modelling_old[[#This Row],[Target E_Grid YTD
MWh]]+Modelling_new[[#This Row],[Target E_Grid YTD
MWh]]</f>
        <v>9110.7456077834431</v>
      </c>
      <c r="BP462" s="4">
        <f>AVERAGE(Modelling_old[[#This Row],[Target POA Daily (KWh/m2)]],Modelling_new[[#This Row],[Target POA Daily (KWh/m2)]])</f>
        <v>5.1233333333333331</v>
      </c>
      <c r="BQ462" s="4">
        <f>SUM($BP$445:BP462)</f>
        <v>92.220000000000013</v>
      </c>
      <c r="BR462" s="4">
        <f>SUM($BP$384:BP462)</f>
        <v>493.31999999999948</v>
      </c>
      <c r="BS462" s="323">
        <f>BM462/Modelling[[#This Row],[Comisined DC ]]/BP462</f>
        <v>0.74827694992965155</v>
      </c>
      <c r="BT462" s="337">
        <f>BN462/BQ462/Modelling[[#This Row],[Comisined DC ]]</f>
        <v>0.74827694992965121</v>
      </c>
      <c r="BU462" s="337">
        <f>BO462/BR462/Modelling[[#This Row],[Comisined DC ]]</f>
        <v>0.75991238667526628</v>
      </c>
      <c r="BV462" s="323">
        <f>BM462/(24*Modelling[[#This Row],[Comisined DC ]])</f>
        <v>0.15973634333914921</v>
      </c>
      <c r="BW462" s="323">
        <f>Modelling[[#This Row],[Target E_Grid MTD
MWh]]/Modelling[[#This Row],[MTD DC Capcity]]/(24*CG462)</f>
        <v>0.15973634333914927</v>
      </c>
      <c r="BX462" s="338">
        <f>Modelling[[#This Row],[Target E_Grid YTD
MWh]]/Modelling[[#This Row],[YTD DC Capcity]]/(24*CH462)</f>
        <v>0.19772150769759572</v>
      </c>
      <c r="BY462" s="4">
        <f>Modelling_old[[#This Row],[DC Capcity]]+Modelling_new[[#This Row],[Comisined DC ]]</f>
        <v>24.303100000000001</v>
      </c>
      <c r="BZ462" s="4">
        <v>0</v>
      </c>
      <c r="CA462">
        <f>AVERAGEIFS(Modelling[[Comisined DC ]],Modelling[Date],"&lt;="&amp;Modelling[[#This Row],[Date]],Modelling[Month Year],Modelling[[#This Row],[Month Year]])</f>
        <v>24.30309999999999</v>
      </c>
      <c r="CB462">
        <f>AVERAGEIFS(Modelling[[Comisined DC ]],Modelling[Date],"&lt;="&amp;Modelling[[#This Row],[Date]],Modelling[Finacial Year],Modelling[[#This Row],[Finacial Year]])</f>
        <v>24.303100000000029</v>
      </c>
      <c r="CG462">
        <f t="shared" si="185"/>
        <v>18</v>
      </c>
      <c r="CH462">
        <f t="shared" si="186"/>
        <v>79</v>
      </c>
    </row>
    <row r="463" spans="1:86" x14ac:dyDescent="0.35">
      <c r="A463" s="27">
        <f t="shared" si="164"/>
        <v>45462</v>
      </c>
      <c r="B463" s="5">
        <f>MONTH(Modelling_old[[#This Row],[Date]])</f>
        <v>6</v>
      </c>
      <c r="C463" s="25">
        <f t="shared" si="165"/>
        <v>2025</v>
      </c>
      <c r="D463" s="3">
        <f t="shared" si="166"/>
        <v>2024</v>
      </c>
      <c r="E463" s="3" t="s">
        <v>627</v>
      </c>
      <c r="F463" s="3" t="s">
        <v>627</v>
      </c>
      <c r="G463" s="102">
        <f>DATE(Modelling_old[[#This Row],[Calendor Year]],Modelling_old[[#This Row],[Start Month]],1)</f>
        <v>45444</v>
      </c>
      <c r="H463" s="5">
        <f t="shared" si="167"/>
        <v>30</v>
      </c>
      <c r="I463" s="5">
        <f t="shared" si="168"/>
        <v>6</v>
      </c>
      <c r="J463" s="4">
        <f>_xlfn.XLOOKUP(Modelling_old[[#This Row],[Month]],$C$1:$C$14,$N$1:$N$14)/Modelling_old[[#This Row],[Total Days]]</f>
        <v>41.21</v>
      </c>
      <c r="K463" s="4">
        <f>SUM($J$445:J463)</f>
        <v>782.99000000000012</v>
      </c>
      <c r="L463" s="4">
        <f>SUM($J$384:J463)</f>
        <v>3885.6900000000055</v>
      </c>
      <c r="M463" s="4">
        <f t="shared" si="169"/>
        <v>5.1233333333333331</v>
      </c>
      <c r="N463" s="4">
        <f>SUM($M$445:M463)</f>
        <v>97.343333333333348</v>
      </c>
      <c r="O463" s="4">
        <f>SUM($M$384:M463)</f>
        <v>498.44333333333282</v>
      </c>
      <c r="P463" s="323">
        <f t="shared" si="170"/>
        <v>0.69925423684408983</v>
      </c>
      <c r="Q463" s="337">
        <f t="shared" si="171"/>
        <v>0.69925423684408972</v>
      </c>
      <c r="R463" s="337">
        <f t="shared" si="172"/>
        <v>0.67769996422071066</v>
      </c>
      <c r="S463" s="323">
        <f t="shared" si="173"/>
        <v>0.14927135583741197</v>
      </c>
      <c r="T463" s="9">
        <f>Modelling_old[[#This Row],[Target E_Grid MTD
MWh]]/Modelling_old[[#This Row],[DC Capcity]]/(24*CG463)</f>
        <v>0.14927135583741197</v>
      </c>
      <c r="U463" s="338">
        <f>Modelling_old[[#This Row],[Target E_Grid YTD
MWh]]/Modelling_old[[#This Row],[DC Capcity]]/(24*CH463)</f>
        <v>0.17593491102398509</v>
      </c>
      <c r="V463" s="134">
        <v>11.5031</v>
      </c>
      <c r="Y463" s="27">
        <f t="shared" si="162"/>
        <v>45462</v>
      </c>
      <c r="Z463" s="5">
        <f>MONTH(Modelling_new[[#This Row],[Date]])</f>
        <v>6</v>
      </c>
      <c r="AA463" s="25">
        <f>YEAR(Y463)+IF(MONTH(Modelling_new[[#This Row],[Date]])&gt;=4,1,0)</f>
        <v>2025</v>
      </c>
      <c r="AB463" s="3">
        <f t="shared" si="174"/>
        <v>2024</v>
      </c>
      <c r="AC463" s="3" t="s">
        <v>627</v>
      </c>
      <c r="AD463" s="3" t="s">
        <v>627</v>
      </c>
      <c r="AE463" s="102">
        <f>DATE(Modelling_old[[#This Row],[Calendor Year]],Modelling_old[[#This Row],[Start Month]],1)</f>
        <v>45444</v>
      </c>
      <c r="AF463" s="5">
        <f t="shared" si="175"/>
        <v>30</v>
      </c>
      <c r="AG463" s="5">
        <f t="shared" si="176"/>
        <v>6</v>
      </c>
      <c r="AH463" s="4">
        <f>_xlfn.XLOOKUP(Modelling_new[[#This Row],[Month]],$AA$1:$AA$14,$AL$1:$AL$14)/Modelling_new[[#This Row],[Total Days]]</f>
        <v>51.960119819336249</v>
      </c>
      <c r="AI463" s="4">
        <f>SUM($AH$445:AH463)</f>
        <v>987.24227656738844</v>
      </c>
      <c r="AJ463" s="4">
        <f>SUM($AH$384:AH463)</f>
        <v>5318.2257276027731</v>
      </c>
      <c r="AK463" s="4">
        <f t="shared" si="177"/>
        <v>5.1233333333333331</v>
      </c>
      <c r="AL463" s="4">
        <f>SUM($AK$445:AK463)</f>
        <v>97.343333333333348</v>
      </c>
      <c r="AM463" s="4">
        <f>SUM($AK$384:AK463)</f>
        <v>498.44333333333282</v>
      </c>
      <c r="AN463" s="323">
        <f t="shared" si="178"/>
        <v>0.88166304126662065</v>
      </c>
      <c r="AO463" s="323">
        <f t="shared" si="179"/>
        <v>0.88166304126662021</v>
      </c>
      <c r="AP463" s="323">
        <f t="shared" si="180"/>
        <v>0.92754733015604873</v>
      </c>
      <c r="AQ463" s="323">
        <f t="shared" si="181"/>
        <v>0.18821056867038832</v>
      </c>
      <c r="AR463" s="323">
        <f>Modelling_new[[#This Row],[Target E_Grid MTD
MWh]]/Modelling_new[[#This Row],[MTD DC Capcity]]/(24*CG463)</f>
        <v>0.16914101503690174</v>
      </c>
      <c r="AS463" s="323">
        <f>Modelling_new[[#This Row],[Target E_Grid YTD
MWh]]/Modelling_new[[#This Row],[YTD DC Capcity]]/(24*CH463)</f>
        <v>0.21639915883800381</v>
      </c>
      <c r="AT463" s="5">
        <v>12.8</v>
      </c>
      <c r="AU463" s="9">
        <f>Modelling_new[[#This Row],[Comisined DC ]]/$AO$1</f>
        <v>1</v>
      </c>
      <c r="AV463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63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463" s="27">
        <f t="shared" si="163"/>
        <v>45462</v>
      </c>
      <c r="BE463" s="5">
        <f>MONTH(Modelling[[#This Row],[Date]])</f>
        <v>6</v>
      </c>
      <c r="BF463" s="25">
        <f>YEAR(BD463)+IF(MONTH(Modelling[[#This Row],[Date]])&gt;=4,1,0)</f>
        <v>2025</v>
      </c>
      <c r="BG463" s="3">
        <f t="shared" si="182"/>
        <v>2024</v>
      </c>
      <c r="BH463" s="3" t="s">
        <v>627</v>
      </c>
      <c r="BI463" s="3" t="s">
        <v>627</v>
      </c>
      <c r="BJ463" s="102">
        <f>DATE(Modelling_old[[#This Row],[Calendor Year]],Modelling_old[[#This Row],[Start Month]],1)</f>
        <v>45444</v>
      </c>
      <c r="BK463" s="5">
        <f t="shared" si="183"/>
        <v>30</v>
      </c>
      <c r="BL463" s="5">
        <f t="shared" si="184"/>
        <v>6</v>
      </c>
      <c r="BM463" s="4">
        <f>Modelling_old[[#This Row],[Target E_Grid daily
MWh]]+Modelling_new[[#This Row],[Target E_Grid daily
MWh]]</f>
        <v>93.17011981933625</v>
      </c>
      <c r="BN463" s="4">
        <f>Modelling_old[[#This Row],[Target E_Grid MTD
MWh]]+Modelling_new[[#This Row],[Target E_Grid MTD
MWh]]</f>
        <v>1770.2322765673885</v>
      </c>
      <c r="BO463" s="4">
        <f>Modelling_old[[#This Row],[Target E_Grid YTD
MWh]]+Modelling_new[[#This Row],[Target E_Grid YTD
MWh]]</f>
        <v>9203.9157276027781</v>
      </c>
      <c r="BP463" s="4">
        <f>AVERAGE(Modelling_old[[#This Row],[Target POA Daily (KWh/m2)]],Modelling_new[[#This Row],[Target POA Daily (KWh/m2)]])</f>
        <v>5.1233333333333331</v>
      </c>
      <c r="BQ463" s="4">
        <f>SUM($BP$445:BP463)</f>
        <v>97.343333333333348</v>
      </c>
      <c r="BR463" s="4">
        <f>SUM($BP$384:BP463)</f>
        <v>498.44333333333282</v>
      </c>
      <c r="BS463" s="323">
        <f>BM463/Modelling[[#This Row],[Comisined DC ]]/BP463</f>
        <v>0.74827694992965155</v>
      </c>
      <c r="BT463" s="337">
        <f>BN463/BQ463/Modelling[[#This Row],[Comisined DC ]]</f>
        <v>0.74827694992965121</v>
      </c>
      <c r="BU463" s="337">
        <f>BO463/BR463/Modelling[[#This Row],[Comisined DC ]]</f>
        <v>0.75979278988875076</v>
      </c>
      <c r="BV463" s="323">
        <f>BM463/(24*Modelling[[#This Row],[Comisined DC ]])</f>
        <v>0.15973634333914921</v>
      </c>
      <c r="BW463" s="323">
        <f>Modelling[[#This Row],[Target E_Grid MTD
MWh]]/Modelling[[#This Row],[MTD DC Capcity]]/(24*CG463)</f>
        <v>0.15973634333914924</v>
      </c>
      <c r="BX463" s="338">
        <f>Modelling[[#This Row],[Target E_Grid YTD
MWh]]/Modelling[[#This Row],[YTD DC Capcity]]/(24*CH463)</f>
        <v>0.19724669314311513</v>
      </c>
      <c r="BY463" s="4">
        <f>Modelling_old[[#This Row],[DC Capcity]]+Modelling_new[[#This Row],[Comisined DC ]]</f>
        <v>24.303100000000001</v>
      </c>
      <c r="BZ463" s="4">
        <v>0</v>
      </c>
      <c r="CA463">
        <f>AVERAGEIFS(Modelling[[Comisined DC ]],Modelling[Date],"&lt;="&amp;Modelling[[#This Row],[Date]],Modelling[Month Year],Modelling[[#This Row],[Month Year]])</f>
        <v>24.30309999999999</v>
      </c>
      <c r="CB463">
        <f>AVERAGEIFS(Modelling[[Comisined DC ]],Modelling[Date],"&lt;="&amp;Modelling[[#This Row],[Date]],Modelling[Finacial Year],Modelling[[#This Row],[Finacial Year]])</f>
        <v>24.303100000000029</v>
      </c>
      <c r="CG463">
        <f t="shared" si="185"/>
        <v>19</v>
      </c>
      <c r="CH463">
        <f t="shared" si="186"/>
        <v>80</v>
      </c>
    </row>
    <row r="464" spans="1:86" x14ac:dyDescent="0.35">
      <c r="A464" s="27">
        <f t="shared" si="164"/>
        <v>45463</v>
      </c>
      <c r="B464" s="5">
        <f>MONTH(Modelling_old[[#This Row],[Date]])</f>
        <v>6</v>
      </c>
      <c r="C464" s="25">
        <f t="shared" si="165"/>
        <v>2025</v>
      </c>
      <c r="D464" s="3">
        <f t="shared" si="166"/>
        <v>2024</v>
      </c>
      <c r="E464" s="3" t="s">
        <v>627</v>
      </c>
      <c r="F464" s="3" t="s">
        <v>627</v>
      </c>
      <c r="G464" s="102">
        <f>DATE(Modelling_old[[#This Row],[Calendor Year]],Modelling_old[[#This Row],[Start Month]],1)</f>
        <v>45444</v>
      </c>
      <c r="H464" s="5">
        <f t="shared" si="167"/>
        <v>30</v>
      </c>
      <c r="I464" s="5">
        <f t="shared" si="168"/>
        <v>6</v>
      </c>
      <c r="J464" s="4">
        <f>_xlfn.XLOOKUP(Modelling_old[[#This Row],[Month]],$C$1:$C$14,$N$1:$N$14)/Modelling_old[[#This Row],[Total Days]]</f>
        <v>41.21</v>
      </c>
      <c r="K464" s="4">
        <f>SUM($J$445:J464)</f>
        <v>824.20000000000016</v>
      </c>
      <c r="L464" s="4">
        <f>SUM($J$384:J464)</f>
        <v>3926.9000000000055</v>
      </c>
      <c r="M464" s="4">
        <f t="shared" si="169"/>
        <v>5.1233333333333331</v>
      </c>
      <c r="N464" s="4">
        <f>SUM($M$445:M464)</f>
        <v>102.46666666666668</v>
      </c>
      <c r="O464" s="4">
        <f>SUM($M$384:M464)</f>
        <v>503.56666666666615</v>
      </c>
      <c r="P464" s="323">
        <f t="shared" si="170"/>
        <v>0.69925423684408983</v>
      </c>
      <c r="Q464" s="337">
        <f t="shared" si="171"/>
        <v>0.69925423684408983</v>
      </c>
      <c r="R464" s="337">
        <f t="shared" si="172"/>
        <v>0.67791925936218234</v>
      </c>
      <c r="S464" s="323">
        <f t="shared" si="173"/>
        <v>0.14927135583741197</v>
      </c>
      <c r="T464" s="9">
        <f>Modelling_old[[#This Row],[Target E_Grid MTD
MWh]]/Modelling_old[[#This Row],[DC Capcity]]/(24*CG464)</f>
        <v>0.149271355837412</v>
      </c>
      <c r="U464" s="338">
        <f>Modelling_old[[#This Row],[Target E_Grid YTD
MWh]]/Modelling_old[[#This Row],[DC Capcity]]/(24*CH464)</f>
        <v>0.1756057313303237</v>
      </c>
      <c r="V464" s="134">
        <v>11.5031</v>
      </c>
      <c r="Y464" s="27">
        <f t="shared" si="162"/>
        <v>45463</v>
      </c>
      <c r="Z464" s="5">
        <f>MONTH(Modelling_new[[#This Row],[Date]])</f>
        <v>6</v>
      </c>
      <c r="AA464" s="25">
        <f>YEAR(Y464)+IF(MONTH(Modelling_new[[#This Row],[Date]])&gt;=4,1,0)</f>
        <v>2025</v>
      </c>
      <c r="AB464" s="3">
        <f t="shared" si="174"/>
        <v>2024</v>
      </c>
      <c r="AC464" s="3" t="s">
        <v>627</v>
      </c>
      <c r="AD464" s="3" t="s">
        <v>627</v>
      </c>
      <c r="AE464" s="102">
        <f>DATE(Modelling_old[[#This Row],[Calendor Year]],Modelling_old[[#This Row],[Start Month]],1)</f>
        <v>45444</v>
      </c>
      <c r="AF464" s="5">
        <f t="shared" si="175"/>
        <v>30</v>
      </c>
      <c r="AG464" s="5">
        <f t="shared" si="176"/>
        <v>6</v>
      </c>
      <c r="AH464" s="4">
        <f>_xlfn.XLOOKUP(Modelling_new[[#This Row],[Month]],$AA$1:$AA$14,$AL$1:$AL$14)/Modelling_new[[#This Row],[Total Days]]</f>
        <v>51.960119819336249</v>
      </c>
      <c r="AI464" s="4">
        <f>SUM($AH$445:AH464)</f>
        <v>1039.2023963867248</v>
      </c>
      <c r="AJ464" s="4">
        <f>SUM($AH$384:AH464)</f>
        <v>5370.185847422109</v>
      </c>
      <c r="AK464" s="4">
        <f t="shared" si="177"/>
        <v>5.1233333333333331</v>
      </c>
      <c r="AL464" s="4">
        <f>SUM($AK$445:AK464)</f>
        <v>102.46666666666668</v>
      </c>
      <c r="AM464" s="4">
        <f>SUM($AK$384:AK464)</f>
        <v>503.56666666666615</v>
      </c>
      <c r="AN464" s="323">
        <f t="shared" si="178"/>
        <v>0.88166304126662065</v>
      </c>
      <c r="AO464" s="323">
        <f t="shared" si="179"/>
        <v>0.88166304126662021</v>
      </c>
      <c r="AP464" s="323">
        <f t="shared" si="180"/>
        <v>0.92708049920335744</v>
      </c>
      <c r="AQ464" s="323">
        <f t="shared" si="181"/>
        <v>0.18821056867038832</v>
      </c>
      <c r="AR464" s="323">
        <f>Modelling_new[[#This Row],[Target E_Grid MTD
MWh]]/Modelling_new[[#This Row],[MTD DC Capcity]]/(24*CG464)</f>
        <v>0.16914101503690179</v>
      </c>
      <c r="AS464" s="323">
        <f>Modelling_new[[#This Row],[Target E_Grid YTD
MWh]]/Modelling_new[[#This Row],[YTD DC Capcity]]/(24*CH464)</f>
        <v>0.21581572496391613</v>
      </c>
      <c r="AT464" s="5">
        <v>12.8</v>
      </c>
      <c r="AU464" s="9">
        <f>Modelling_new[[#This Row],[Comisined DC ]]/$AO$1</f>
        <v>1</v>
      </c>
      <c r="AV464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64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464" s="27">
        <f t="shared" si="163"/>
        <v>45463</v>
      </c>
      <c r="BE464" s="5">
        <f>MONTH(Modelling[[#This Row],[Date]])</f>
        <v>6</v>
      </c>
      <c r="BF464" s="25">
        <f>YEAR(BD464)+IF(MONTH(Modelling[[#This Row],[Date]])&gt;=4,1,0)</f>
        <v>2025</v>
      </c>
      <c r="BG464" s="3">
        <f t="shared" si="182"/>
        <v>2024</v>
      </c>
      <c r="BH464" s="3" t="s">
        <v>627</v>
      </c>
      <c r="BI464" s="3" t="s">
        <v>627</v>
      </c>
      <c r="BJ464" s="102">
        <f>DATE(Modelling_old[[#This Row],[Calendor Year]],Modelling_old[[#This Row],[Start Month]],1)</f>
        <v>45444</v>
      </c>
      <c r="BK464" s="5">
        <f t="shared" si="183"/>
        <v>30</v>
      </c>
      <c r="BL464" s="5">
        <f t="shared" si="184"/>
        <v>6</v>
      </c>
      <c r="BM464" s="4">
        <f>Modelling_old[[#This Row],[Target E_Grid daily
MWh]]+Modelling_new[[#This Row],[Target E_Grid daily
MWh]]</f>
        <v>93.17011981933625</v>
      </c>
      <c r="BN464" s="4">
        <f>Modelling_old[[#This Row],[Target E_Grid MTD
MWh]]+Modelling_new[[#This Row],[Target E_Grid MTD
MWh]]</f>
        <v>1863.4023963867248</v>
      </c>
      <c r="BO464" s="4">
        <f>Modelling_old[[#This Row],[Target E_Grid YTD
MWh]]+Modelling_new[[#This Row],[Target E_Grid YTD
MWh]]</f>
        <v>9297.085847422115</v>
      </c>
      <c r="BP464" s="4">
        <f>AVERAGE(Modelling_old[[#This Row],[Target POA Daily (KWh/m2)]],Modelling_new[[#This Row],[Target POA Daily (KWh/m2)]])</f>
        <v>5.1233333333333331</v>
      </c>
      <c r="BQ464" s="4">
        <f>SUM($BP$445:BP464)</f>
        <v>102.46666666666668</v>
      </c>
      <c r="BR464" s="4">
        <f>SUM($BP$384:BP464)</f>
        <v>503.56666666666615</v>
      </c>
      <c r="BS464" s="323">
        <f>BM464/Modelling[[#This Row],[Comisined DC ]]/BP464</f>
        <v>0.74827694992965155</v>
      </c>
      <c r="BT464" s="337">
        <f>BN464/BQ464/Modelling[[#This Row],[Comisined DC ]]</f>
        <v>0.74827694992965121</v>
      </c>
      <c r="BU464" s="337">
        <f>BO464/BR464/Modelling[[#This Row],[Comisined DC ]]</f>
        <v>0.75967562667952904</v>
      </c>
      <c r="BV464" s="323">
        <f>BM464/(24*Modelling[[#This Row],[Comisined DC ]])</f>
        <v>0.15973634333914921</v>
      </c>
      <c r="BW464" s="323">
        <f>Modelling[[#This Row],[Target E_Grid MTD
MWh]]/Modelling[[#This Row],[MTD DC Capcity]]/(24*CG464)</f>
        <v>0.15973634333914927</v>
      </c>
      <c r="BX464" s="338">
        <f>Modelling[[#This Row],[Target E_Grid YTD
MWh]]/Modelling[[#This Row],[YTD DC Capcity]]/(24*CH464)</f>
        <v>0.19678360240479459</v>
      </c>
      <c r="BY464" s="4">
        <f>Modelling_old[[#This Row],[DC Capcity]]+Modelling_new[[#This Row],[Comisined DC ]]</f>
        <v>24.303100000000001</v>
      </c>
      <c r="BZ464" s="4">
        <v>0</v>
      </c>
      <c r="CA464">
        <f>AVERAGEIFS(Modelling[[Comisined DC ]],Modelling[Date],"&lt;="&amp;Modelling[[#This Row],[Date]],Modelling[Month Year],Modelling[[#This Row],[Month Year]])</f>
        <v>24.30309999999999</v>
      </c>
      <c r="CB464">
        <f>AVERAGEIFS(Modelling[[Comisined DC ]],Modelling[Date],"&lt;="&amp;Modelling[[#This Row],[Date]],Modelling[Finacial Year],Modelling[[#This Row],[Finacial Year]])</f>
        <v>24.303100000000029</v>
      </c>
      <c r="CG464">
        <f t="shared" si="185"/>
        <v>20</v>
      </c>
      <c r="CH464">
        <f t="shared" si="186"/>
        <v>81</v>
      </c>
    </row>
    <row r="465" spans="1:86" x14ac:dyDescent="0.35">
      <c r="A465" s="27">
        <f t="shared" si="164"/>
        <v>45464</v>
      </c>
      <c r="B465" s="5">
        <f>MONTH(Modelling_old[[#This Row],[Date]])</f>
        <v>6</v>
      </c>
      <c r="C465" s="25">
        <f t="shared" si="165"/>
        <v>2025</v>
      </c>
      <c r="D465" s="3">
        <f t="shared" si="166"/>
        <v>2024</v>
      </c>
      <c r="E465" s="3" t="s">
        <v>627</v>
      </c>
      <c r="F465" s="3" t="s">
        <v>627</v>
      </c>
      <c r="G465" s="102">
        <f>DATE(Modelling_old[[#This Row],[Calendor Year]],Modelling_old[[#This Row],[Start Month]],1)</f>
        <v>45444</v>
      </c>
      <c r="H465" s="5">
        <f t="shared" si="167"/>
        <v>30</v>
      </c>
      <c r="I465" s="5">
        <f t="shared" si="168"/>
        <v>6</v>
      </c>
      <c r="J465" s="4">
        <f>_xlfn.XLOOKUP(Modelling_old[[#This Row],[Month]],$C$1:$C$14,$N$1:$N$14)/Modelling_old[[#This Row],[Total Days]]</f>
        <v>41.21</v>
      </c>
      <c r="K465" s="4">
        <f>SUM($J$445:J465)</f>
        <v>865.4100000000002</v>
      </c>
      <c r="L465" s="4">
        <f>SUM($J$384:J465)</f>
        <v>3968.1100000000056</v>
      </c>
      <c r="M465" s="4">
        <f t="shared" si="169"/>
        <v>5.1233333333333331</v>
      </c>
      <c r="N465" s="4">
        <f>SUM($M$445:M465)</f>
        <v>107.59000000000002</v>
      </c>
      <c r="O465" s="4">
        <f>SUM($M$384:M465)</f>
        <v>508.68999999999949</v>
      </c>
      <c r="P465" s="323">
        <f t="shared" si="170"/>
        <v>0.69925423684408983</v>
      </c>
      <c r="Q465" s="337">
        <f t="shared" si="171"/>
        <v>0.69925423684408983</v>
      </c>
      <c r="R465" s="337">
        <f t="shared" si="172"/>
        <v>0.67813413718816473</v>
      </c>
      <c r="S465" s="323">
        <f t="shared" si="173"/>
        <v>0.14927135583741197</v>
      </c>
      <c r="T465" s="9">
        <f>Modelling_old[[#This Row],[Target E_Grid MTD
MWh]]/Modelling_old[[#This Row],[DC Capcity]]/(24*CG465)</f>
        <v>0.14927135583741197</v>
      </c>
      <c r="U465" s="338">
        <f>Modelling_old[[#This Row],[Target E_Grid YTD
MWh]]/Modelling_old[[#This Row],[DC Capcity]]/(24*CH465)</f>
        <v>0.17528458040967843</v>
      </c>
      <c r="V465" s="134">
        <v>11.5031</v>
      </c>
      <c r="Y465" s="27">
        <f t="shared" si="162"/>
        <v>45464</v>
      </c>
      <c r="Z465" s="5">
        <f>MONTH(Modelling_new[[#This Row],[Date]])</f>
        <v>6</v>
      </c>
      <c r="AA465" s="25">
        <f>YEAR(Y465)+IF(MONTH(Modelling_new[[#This Row],[Date]])&gt;=4,1,0)</f>
        <v>2025</v>
      </c>
      <c r="AB465" s="3">
        <f t="shared" si="174"/>
        <v>2024</v>
      </c>
      <c r="AC465" s="3" t="s">
        <v>627</v>
      </c>
      <c r="AD465" s="3" t="s">
        <v>627</v>
      </c>
      <c r="AE465" s="102">
        <f>DATE(Modelling_old[[#This Row],[Calendor Year]],Modelling_old[[#This Row],[Start Month]],1)</f>
        <v>45444</v>
      </c>
      <c r="AF465" s="5">
        <f t="shared" si="175"/>
        <v>30</v>
      </c>
      <c r="AG465" s="5">
        <f t="shared" si="176"/>
        <v>6</v>
      </c>
      <c r="AH465" s="4">
        <f>_xlfn.XLOOKUP(Modelling_new[[#This Row],[Month]],$AA$1:$AA$14,$AL$1:$AL$14)/Modelling_new[[#This Row],[Total Days]]</f>
        <v>51.960119819336249</v>
      </c>
      <c r="AI465" s="4">
        <f>SUM($AH$445:AH465)</f>
        <v>1091.1625162060611</v>
      </c>
      <c r="AJ465" s="4">
        <f>SUM($AH$384:AH465)</f>
        <v>5422.1459672414449</v>
      </c>
      <c r="AK465" s="4">
        <f t="shared" si="177"/>
        <v>5.1233333333333331</v>
      </c>
      <c r="AL465" s="4">
        <f>SUM($AK$445:AK465)</f>
        <v>107.59000000000002</v>
      </c>
      <c r="AM465" s="4">
        <f>SUM($AK$384:AK465)</f>
        <v>508.68999999999949</v>
      </c>
      <c r="AN465" s="323">
        <f t="shared" si="178"/>
        <v>0.88166304126662065</v>
      </c>
      <c r="AO465" s="323">
        <f t="shared" si="179"/>
        <v>0.88166304126662043</v>
      </c>
      <c r="AP465" s="323">
        <f t="shared" si="180"/>
        <v>0.92662307174033953</v>
      </c>
      <c r="AQ465" s="323">
        <f t="shared" si="181"/>
        <v>0.18821056867038832</v>
      </c>
      <c r="AR465" s="323">
        <f>Modelling_new[[#This Row],[Target E_Grid MTD
MWh]]/Modelling_new[[#This Row],[MTD DC Capcity]]/(24*CG465)</f>
        <v>0.16914101503690179</v>
      </c>
      <c r="AS465" s="323">
        <f>Modelling_new[[#This Row],[Target E_Grid YTD
MWh]]/Modelling_new[[#This Row],[YTD DC Capcity]]/(24*CH465)</f>
        <v>0.21524652118431839</v>
      </c>
      <c r="AT465" s="5">
        <v>12.8</v>
      </c>
      <c r="AU465" s="9">
        <f>Modelling_new[[#This Row],[Comisined DC ]]/$AO$1</f>
        <v>1</v>
      </c>
      <c r="AV465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65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465" s="27">
        <f t="shared" si="163"/>
        <v>45464</v>
      </c>
      <c r="BE465" s="5">
        <f>MONTH(Modelling[[#This Row],[Date]])</f>
        <v>6</v>
      </c>
      <c r="BF465" s="25">
        <f>YEAR(BD465)+IF(MONTH(Modelling[[#This Row],[Date]])&gt;=4,1,0)</f>
        <v>2025</v>
      </c>
      <c r="BG465" s="3">
        <f t="shared" si="182"/>
        <v>2024</v>
      </c>
      <c r="BH465" s="3" t="s">
        <v>627</v>
      </c>
      <c r="BI465" s="3" t="s">
        <v>627</v>
      </c>
      <c r="BJ465" s="102">
        <f>DATE(Modelling_old[[#This Row],[Calendor Year]],Modelling_old[[#This Row],[Start Month]],1)</f>
        <v>45444</v>
      </c>
      <c r="BK465" s="5">
        <f t="shared" si="183"/>
        <v>30</v>
      </c>
      <c r="BL465" s="5">
        <f t="shared" si="184"/>
        <v>6</v>
      </c>
      <c r="BM465" s="4">
        <f>Modelling_old[[#This Row],[Target E_Grid daily
MWh]]+Modelling_new[[#This Row],[Target E_Grid daily
MWh]]</f>
        <v>93.17011981933625</v>
      </c>
      <c r="BN465" s="4">
        <f>Modelling_old[[#This Row],[Target E_Grid MTD
MWh]]+Modelling_new[[#This Row],[Target E_Grid MTD
MWh]]</f>
        <v>1956.5725162060612</v>
      </c>
      <c r="BO465" s="4">
        <f>Modelling_old[[#This Row],[Target E_Grid YTD
MWh]]+Modelling_new[[#This Row],[Target E_Grid YTD
MWh]]</f>
        <v>9390.25596724145</v>
      </c>
      <c r="BP465" s="4">
        <f>AVERAGE(Modelling_old[[#This Row],[Target POA Daily (KWh/m2)]],Modelling_new[[#This Row],[Target POA Daily (KWh/m2)]])</f>
        <v>5.1233333333333331</v>
      </c>
      <c r="BQ465" s="4">
        <f>SUM($BP$445:BP465)</f>
        <v>107.59000000000002</v>
      </c>
      <c r="BR465" s="4">
        <f>SUM($BP$384:BP465)</f>
        <v>508.68999999999949</v>
      </c>
      <c r="BS465" s="323">
        <f>BM465/Modelling[[#This Row],[Comisined DC ]]/BP465</f>
        <v>0.74827694992965155</v>
      </c>
      <c r="BT465" s="337">
        <f>BN465/BQ465/Modelling[[#This Row],[Comisined DC ]]</f>
        <v>0.74827694992965121</v>
      </c>
      <c r="BU465" s="337">
        <f>BO465/BR465/Modelling[[#This Row],[Comisined DC ]]</f>
        <v>0.75956082351738985</v>
      </c>
      <c r="BV465" s="323">
        <f>BM465/(24*Modelling[[#This Row],[Comisined DC ]])</f>
        <v>0.15973634333914921</v>
      </c>
      <c r="BW465" s="323">
        <f>Modelling[[#This Row],[Target E_Grid MTD
MWh]]/Modelling[[#This Row],[MTD DC Capcity]]/(24*CG465)</f>
        <v>0.15973634333914927</v>
      </c>
      <c r="BX465" s="338">
        <f>Modelling[[#This Row],[Target E_Grid YTD
MWh]]/Modelling[[#This Row],[YTD DC Capcity]]/(24*CH465)</f>
        <v>0.19633180656253058</v>
      </c>
      <c r="BY465" s="4">
        <f>Modelling_old[[#This Row],[DC Capcity]]+Modelling_new[[#This Row],[Comisined DC ]]</f>
        <v>24.303100000000001</v>
      </c>
      <c r="BZ465" s="4">
        <v>0</v>
      </c>
      <c r="CA465">
        <f>AVERAGEIFS(Modelling[[Comisined DC ]],Modelling[Date],"&lt;="&amp;Modelling[[#This Row],[Date]],Modelling[Month Year],Modelling[[#This Row],[Month Year]])</f>
        <v>24.30309999999999</v>
      </c>
      <c r="CB465">
        <f>AVERAGEIFS(Modelling[[Comisined DC ]],Modelling[Date],"&lt;="&amp;Modelling[[#This Row],[Date]],Modelling[Finacial Year],Modelling[[#This Row],[Finacial Year]])</f>
        <v>24.303100000000029</v>
      </c>
      <c r="CG465">
        <f t="shared" si="185"/>
        <v>21</v>
      </c>
      <c r="CH465">
        <f t="shared" si="186"/>
        <v>82</v>
      </c>
    </row>
    <row r="466" spans="1:86" x14ac:dyDescent="0.35">
      <c r="A466" s="27">
        <f t="shared" si="164"/>
        <v>45465</v>
      </c>
      <c r="B466" s="5">
        <f>MONTH(Modelling_old[[#This Row],[Date]])</f>
        <v>6</v>
      </c>
      <c r="C466" s="25">
        <f t="shared" si="165"/>
        <v>2025</v>
      </c>
      <c r="D466" s="3">
        <f t="shared" si="166"/>
        <v>2024</v>
      </c>
      <c r="E466" s="3" t="s">
        <v>627</v>
      </c>
      <c r="F466" s="3" t="s">
        <v>627</v>
      </c>
      <c r="G466" s="102">
        <f>DATE(Modelling_old[[#This Row],[Calendor Year]],Modelling_old[[#This Row],[Start Month]],1)</f>
        <v>45444</v>
      </c>
      <c r="H466" s="5">
        <f t="shared" si="167"/>
        <v>30</v>
      </c>
      <c r="I466" s="5">
        <f t="shared" si="168"/>
        <v>6</v>
      </c>
      <c r="J466" s="4">
        <f>_xlfn.XLOOKUP(Modelling_old[[#This Row],[Month]],$C$1:$C$14,$N$1:$N$14)/Modelling_old[[#This Row],[Total Days]]</f>
        <v>41.21</v>
      </c>
      <c r="K466" s="4">
        <f>SUM($J$445:J466)</f>
        <v>906.62000000000023</v>
      </c>
      <c r="L466" s="4">
        <f>SUM($J$384:J466)</f>
        <v>4009.3200000000056</v>
      </c>
      <c r="M466" s="4">
        <f t="shared" si="169"/>
        <v>5.1233333333333331</v>
      </c>
      <c r="N466" s="4">
        <f>SUM($M$445:M466)</f>
        <v>112.71333333333335</v>
      </c>
      <c r="O466" s="4">
        <f>SUM($M$384:M466)</f>
        <v>513.81333333333282</v>
      </c>
      <c r="P466" s="323">
        <f t="shared" si="170"/>
        <v>0.69925423684408983</v>
      </c>
      <c r="Q466" s="337">
        <f t="shared" si="171"/>
        <v>0.69925423684408983</v>
      </c>
      <c r="R466" s="337">
        <f t="shared" si="172"/>
        <v>0.67834472983641025</v>
      </c>
      <c r="S466" s="323">
        <f t="shared" si="173"/>
        <v>0.14927135583741197</v>
      </c>
      <c r="T466" s="9">
        <f>Modelling_old[[#This Row],[Target E_Grid MTD
MWh]]/Modelling_old[[#This Row],[DC Capcity]]/(24*CG466)</f>
        <v>0.149271355837412</v>
      </c>
      <c r="U466" s="338">
        <f>Modelling_old[[#This Row],[Target E_Grid YTD
MWh]]/Modelling_old[[#This Row],[DC Capcity]]/(24*CH466)</f>
        <v>0.17497116806543425</v>
      </c>
      <c r="V466" s="134">
        <v>11.5031</v>
      </c>
      <c r="Y466" s="27">
        <f t="shared" si="162"/>
        <v>45465</v>
      </c>
      <c r="Z466" s="5">
        <f>MONTH(Modelling_new[[#This Row],[Date]])</f>
        <v>6</v>
      </c>
      <c r="AA466" s="25">
        <f>YEAR(Y466)+IF(MONTH(Modelling_new[[#This Row],[Date]])&gt;=4,1,0)</f>
        <v>2025</v>
      </c>
      <c r="AB466" s="3">
        <f t="shared" si="174"/>
        <v>2024</v>
      </c>
      <c r="AC466" s="3" t="s">
        <v>627</v>
      </c>
      <c r="AD466" s="3" t="s">
        <v>627</v>
      </c>
      <c r="AE466" s="102">
        <f>DATE(Modelling_old[[#This Row],[Calendor Year]],Modelling_old[[#This Row],[Start Month]],1)</f>
        <v>45444</v>
      </c>
      <c r="AF466" s="5">
        <f t="shared" si="175"/>
        <v>30</v>
      </c>
      <c r="AG466" s="5">
        <f t="shared" si="176"/>
        <v>6</v>
      </c>
      <c r="AH466" s="4">
        <f>_xlfn.XLOOKUP(Modelling_new[[#This Row],[Month]],$AA$1:$AA$14,$AL$1:$AL$14)/Modelling_new[[#This Row],[Total Days]]</f>
        <v>51.960119819336249</v>
      </c>
      <c r="AI466" s="4">
        <f>SUM($AH$445:AH466)</f>
        <v>1143.1226360253975</v>
      </c>
      <c r="AJ466" s="4">
        <f>SUM($AH$384:AH466)</f>
        <v>5474.1060870607807</v>
      </c>
      <c r="AK466" s="4">
        <f t="shared" si="177"/>
        <v>5.1233333333333331</v>
      </c>
      <c r="AL466" s="4">
        <f>SUM($AK$445:AK466)</f>
        <v>112.71333333333335</v>
      </c>
      <c r="AM466" s="4">
        <f>SUM($AK$384:AK466)</f>
        <v>513.81333333333282</v>
      </c>
      <c r="AN466" s="323">
        <f t="shared" si="178"/>
        <v>0.88166304126662065</v>
      </c>
      <c r="AO466" s="323">
        <f t="shared" si="179"/>
        <v>0.88166304126662043</v>
      </c>
      <c r="AP466" s="323">
        <f t="shared" si="180"/>
        <v>0.92617476647488572</v>
      </c>
      <c r="AQ466" s="323">
        <f t="shared" si="181"/>
        <v>0.18821056867038832</v>
      </c>
      <c r="AR466" s="323">
        <f>Modelling_new[[#This Row],[Target E_Grid MTD
MWh]]/Modelling_new[[#This Row],[MTD DC Capcity]]/(24*CG466)</f>
        <v>0.16914101503690179</v>
      </c>
      <c r="AS466" s="323">
        <f>Modelling_new[[#This Row],[Target E_Grid YTD
MWh]]/Modelling_new[[#This Row],[YTD DC Capcity]]/(24*CH466)</f>
        <v>0.21469103315844587</v>
      </c>
      <c r="AT466" s="5">
        <v>12.8</v>
      </c>
      <c r="AU466" s="9">
        <f>Modelling_new[[#This Row],[Comisined DC ]]/$AO$1</f>
        <v>1</v>
      </c>
      <c r="AV46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66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466" s="27">
        <f t="shared" si="163"/>
        <v>45465</v>
      </c>
      <c r="BE466" s="5">
        <f>MONTH(Modelling[[#This Row],[Date]])</f>
        <v>6</v>
      </c>
      <c r="BF466" s="25">
        <f>YEAR(BD466)+IF(MONTH(Modelling[[#This Row],[Date]])&gt;=4,1,0)</f>
        <v>2025</v>
      </c>
      <c r="BG466" s="3">
        <f t="shared" si="182"/>
        <v>2024</v>
      </c>
      <c r="BH466" s="3" t="s">
        <v>627</v>
      </c>
      <c r="BI466" s="3" t="s">
        <v>627</v>
      </c>
      <c r="BJ466" s="102">
        <f>DATE(Modelling_old[[#This Row],[Calendor Year]],Modelling_old[[#This Row],[Start Month]],1)</f>
        <v>45444</v>
      </c>
      <c r="BK466" s="5">
        <f t="shared" si="183"/>
        <v>30</v>
      </c>
      <c r="BL466" s="5">
        <f t="shared" si="184"/>
        <v>6</v>
      </c>
      <c r="BM466" s="4">
        <f>Modelling_old[[#This Row],[Target E_Grid daily
MWh]]+Modelling_new[[#This Row],[Target E_Grid daily
MWh]]</f>
        <v>93.17011981933625</v>
      </c>
      <c r="BN466" s="4">
        <f>Modelling_old[[#This Row],[Target E_Grid MTD
MWh]]+Modelling_new[[#This Row],[Target E_Grid MTD
MWh]]</f>
        <v>2049.7426360253976</v>
      </c>
      <c r="BO466" s="4">
        <f>Modelling_old[[#This Row],[Target E_Grid YTD
MWh]]+Modelling_new[[#This Row],[Target E_Grid YTD
MWh]]</f>
        <v>9483.4260870607868</v>
      </c>
      <c r="BP466" s="4">
        <f>AVERAGE(Modelling_old[[#This Row],[Target POA Daily (KWh/m2)]],Modelling_new[[#This Row],[Target POA Daily (KWh/m2)]])</f>
        <v>5.1233333333333331</v>
      </c>
      <c r="BQ466" s="4">
        <f>SUM($BP$445:BP466)</f>
        <v>112.71333333333335</v>
      </c>
      <c r="BR466" s="4">
        <f>SUM($BP$384:BP466)</f>
        <v>513.81333333333282</v>
      </c>
      <c r="BS466" s="323">
        <f>BM466/Modelling[[#This Row],[Comisined DC ]]/BP466</f>
        <v>0.74827694992965155</v>
      </c>
      <c r="BT466" s="337">
        <f>BN466/BQ466/Modelling[[#This Row],[Comisined DC ]]</f>
        <v>0.74827694992965144</v>
      </c>
      <c r="BU466" s="337">
        <f>BO466/BR466/Modelling[[#This Row],[Comisined DC ]]</f>
        <v>0.75944830980485889</v>
      </c>
      <c r="BV466" s="323">
        <f>BM466/(24*Modelling[[#This Row],[Comisined DC ]])</f>
        <v>0.15973634333914921</v>
      </c>
      <c r="BW466" s="323">
        <f>Modelling[[#This Row],[Target E_Grid MTD
MWh]]/Modelling[[#This Row],[MTD DC Capcity]]/(24*CG466)</f>
        <v>0.15973634333914929</v>
      </c>
      <c r="BX466" s="338">
        <f>Modelling[[#This Row],[Target E_Grid YTD
MWh]]/Modelling[[#This Row],[YTD DC Capcity]]/(24*CH466)</f>
        <v>0.19589089736706813</v>
      </c>
      <c r="BY466" s="4">
        <f>Modelling_old[[#This Row],[DC Capcity]]+Modelling_new[[#This Row],[Comisined DC ]]</f>
        <v>24.303100000000001</v>
      </c>
      <c r="BZ466" s="4">
        <v>0</v>
      </c>
      <c r="CA466">
        <f>AVERAGEIFS(Modelling[[Comisined DC ]],Modelling[Date],"&lt;="&amp;Modelling[[#This Row],[Date]],Modelling[Month Year],Modelling[[#This Row],[Month Year]])</f>
        <v>24.303099999999986</v>
      </c>
      <c r="CB466">
        <f>AVERAGEIFS(Modelling[[Comisined DC ]],Modelling[Date],"&lt;="&amp;Modelling[[#This Row],[Date]],Modelling[Finacial Year],Modelling[[#This Row],[Finacial Year]])</f>
        <v>24.303100000000033</v>
      </c>
      <c r="CG466">
        <f t="shared" si="185"/>
        <v>22</v>
      </c>
      <c r="CH466">
        <f t="shared" si="186"/>
        <v>83</v>
      </c>
    </row>
    <row r="467" spans="1:86" x14ac:dyDescent="0.35">
      <c r="A467" s="27">
        <f t="shared" si="164"/>
        <v>45466</v>
      </c>
      <c r="B467" s="5">
        <f>MONTH(Modelling_old[[#This Row],[Date]])</f>
        <v>6</v>
      </c>
      <c r="C467" s="25">
        <f t="shared" si="165"/>
        <v>2025</v>
      </c>
      <c r="D467" s="3">
        <f t="shared" si="166"/>
        <v>2024</v>
      </c>
      <c r="E467" s="3" t="s">
        <v>627</v>
      </c>
      <c r="F467" s="3" t="s">
        <v>627</v>
      </c>
      <c r="G467" s="102">
        <f>DATE(Modelling_old[[#This Row],[Calendor Year]],Modelling_old[[#This Row],[Start Month]],1)</f>
        <v>45444</v>
      </c>
      <c r="H467" s="5">
        <f t="shared" si="167"/>
        <v>30</v>
      </c>
      <c r="I467" s="5">
        <f t="shared" si="168"/>
        <v>6</v>
      </c>
      <c r="J467" s="4">
        <f>_xlfn.XLOOKUP(Modelling_old[[#This Row],[Month]],$C$1:$C$14,$N$1:$N$14)/Modelling_old[[#This Row],[Total Days]]</f>
        <v>41.21</v>
      </c>
      <c r="K467" s="4">
        <f>SUM($J$445:J467)</f>
        <v>947.83000000000027</v>
      </c>
      <c r="L467" s="4">
        <f>SUM($J$384:J467)</f>
        <v>4050.5300000000057</v>
      </c>
      <c r="M467" s="4">
        <f t="shared" si="169"/>
        <v>5.1233333333333331</v>
      </c>
      <c r="N467" s="4">
        <f>SUM($M$445:M467)</f>
        <v>117.83666666666669</v>
      </c>
      <c r="O467" s="4">
        <f>SUM($M$384:M467)</f>
        <v>518.93666666666616</v>
      </c>
      <c r="P467" s="323">
        <f t="shared" si="170"/>
        <v>0.69925423684408983</v>
      </c>
      <c r="Q467" s="337">
        <f t="shared" si="171"/>
        <v>0.69925423684408983</v>
      </c>
      <c r="R467" s="337">
        <f t="shared" si="172"/>
        <v>0.67855116422641804</v>
      </c>
      <c r="S467" s="323">
        <f t="shared" si="173"/>
        <v>0.14927135583741197</v>
      </c>
      <c r="T467" s="9">
        <f>Modelling_old[[#This Row],[Target E_Grid MTD
MWh]]/Modelling_old[[#This Row],[DC Capcity]]/(24*CG467)</f>
        <v>0.149271355837412</v>
      </c>
      <c r="U467" s="338">
        <f>Modelling_old[[#This Row],[Target E_Grid YTD
MWh]]/Modelling_old[[#This Row],[DC Capcity]]/(24*CH467)</f>
        <v>0.17466521791986256</v>
      </c>
      <c r="V467" s="134">
        <v>11.5031</v>
      </c>
      <c r="Y467" s="27">
        <f t="shared" si="162"/>
        <v>45466</v>
      </c>
      <c r="Z467" s="5">
        <f>MONTH(Modelling_new[[#This Row],[Date]])</f>
        <v>6</v>
      </c>
      <c r="AA467" s="25">
        <f>YEAR(Y467)+IF(MONTH(Modelling_new[[#This Row],[Date]])&gt;=4,1,0)</f>
        <v>2025</v>
      </c>
      <c r="AB467" s="3">
        <f t="shared" si="174"/>
        <v>2024</v>
      </c>
      <c r="AC467" s="3" t="s">
        <v>627</v>
      </c>
      <c r="AD467" s="3" t="s">
        <v>627</v>
      </c>
      <c r="AE467" s="102">
        <f>DATE(Modelling_old[[#This Row],[Calendor Year]],Modelling_old[[#This Row],[Start Month]],1)</f>
        <v>45444</v>
      </c>
      <c r="AF467" s="5">
        <f t="shared" si="175"/>
        <v>30</v>
      </c>
      <c r="AG467" s="5">
        <f t="shared" si="176"/>
        <v>6</v>
      </c>
      <c r="AH467" s="4">
        <f>_xlfn.XLOOKUP(Modelling_new[[#This Row],[Month]],$AA$1:$AA$14,$AL$1:$AL$14)/Modelling_new[[#This Row],[Total Days]]</f>
        <v>51.960119819336249</v>
      </c>
      <c r="AI467" s="4">
        <f>SUM($AH$445:AH467)</f>
        <v>1195.0827558447338</v>
      </c>
      <c r="AJ467" s="4">
        <f>SUM($AH$384:AH467)</f>
        <v>5526.0662068801166</v>
      </c>
      <c r="AK467" s="4">
        <f t="shared" si="177"/>
        <v>5.1233333333333331</v>
      </c>
      <c r="AL467" s="4">
        <f>SUM($AK$445:AK467)</f>
        <v>117.83666666666669</v>
      </c>
      <c r="AM467" s="4">
        <f>SUM($AK$384:AK467)</f>
        <v>518.93666666666616</v>
      </c>
      <c r="AN467" s="323">
        <f t="shared" si="178"/>
        <v>0.88166304126662065</v>
      </c>
      <c r="AO467" s="323">
        <f t="shared" si="179"/>
        <v>0.88166304126662054</v>
      </c>
      <c r="AP467" s="323">
        <f t="shared" si="180"/>
        <v>0.92573531322339631</v>
      </c>
      <c r="AQ467" s="323">
        <f t="shared" si="181"/>
        <v>0.18821056867038832</v>
      </c>
      <c r="AR467" s="323">
        <f>Modelling_new[[#This Row],[Target E_Grid MTD
MWh]]/Modelling_new[[#This Row],[MTD DC Capcity]]/(24*CG467)</f>
        <v>0.16914101503690179</v>
      </c>
      <c r="AS467" s="323">
        <f>Modelling_new[[#This Row],[Target E_Grid YTD
MWh]]/Modelling_new[[#This Row],[YTD DC Capcity]]/(24*CH467)</f>
        <v>0.2141487710379513</v>
      </c>
      <c r="AT467" s="5">
        <v>12.8</v>
      </c>
      <c r="AU467" s="9">
        <f>Modelling_new[[#This Row],[Comisined DC ]]/$AO$1</f>
        <v>1</v>
      </c>
      <c r="AV467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67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467" s="27">
        <f t="shared" si="163"/>
        <v>45466</v>
      </c>
      <c r="BE467" s="5">
        <f>MONTH(Modelling[[#This Row],[Date]])</f>
        <v>6</v>
      </c>
      <c r="BF467" s="25">
        <f>YEAR(BD467)+IF(MONTH(Modelling[[#This Row],[Date]])&gt;=4,1,0)</f>
        <v>2025</v>
      </c>
      <c r="BG467" s="3">
        <f t="shared" si="182"/>
        <v>2024</v>
      </c>
      <c r="BH467" s="3" t="s">
        <v>627</v>
      </c>
      <c r="BI467" s="3" t="s">
        <v>627</v>
      </c>
      <c r="BJ467" s="102">
        <f>DATE(Modelling_old[[#This Row],[Calendor Year]],Modelling_old[[#This Row],[Start Month]],1)</f>
        <v>45444</v>
      </c>
      <c r="BK467" s="5">
        <f t="shared" si="183"/>
        <v>30</v>
      </c>
      <c r="BL467" s="5">
        <f t="shared" si="184"/>
        <v>6</v>
      </c>
      <c r="BM467" s="4">
        <f>Modelling_old[[#This Row],[Target E_Grid daily
MWh]]+Modelling_new[[#This Row],[Target E_Grid daily
MWh]]</f>
        <v>93.17011981933625</v>
      </c>
      <c r="BN467" s="4">
        <f>Modelling_old[[#This Row],[Target E_Grid MTD
MWh]]+Modelling_new[[#This Row],[Target E_Grid MTD
MWh]]</f>
        <v>2142.912755844734</v>
      </c>
      <c r="BO467" s="4">
        <f>Modelling_old[[#This Row],[Target E_Grid YTD
MWh]]+Modelling_new[[#This Row],[Target E_Grid YTD
MWh]]</f>
        <v>9576.5962068801218</v>
      </c>
      <c r="BP467" s="4">
        <f>AVERAGE(Modelling_old[[#This Row],[Target POA Daily (KWh/m2)]],Modelling_new[[#This Row],[Target POA Daily (KWh/m2)]])</f>
        <v>5.1233333333333331</v>
      </c>
      <c r="BQ467" s="4">
        <f>SUM($BP$445:BP467)</f>
        <v>117.83666666666669</v>
      </c>
      <c r="BR467" s="4">
        <f>SUM($BP$384:BP467)</f>
        <v>518.93666666666616</v>
      </c>
      <c r="BS467" s="323">
        <f>BM467/Modelling[[#This Row],[Comisined DC ]]/BP467</f>
        <v>0.74827694992965155</v>
      </c>
      <c r="BT467" s="337">
        <f>BN467/BQ467/Modelling[[#This Row],[Comisined DC ]]</f>
        <v>0.74827694992965144</v>
      </c>
      <c r="BU467" s="337">
        <f>BO467/BR467/Modelling[[#This Row],[Comisined DC ]]</f>
        <v>0.75933801773242759</v>
      </c>
      <c r="BV467" s="323">
        <f>BM467/(24*Modelling[[#This Row],[Comisined DC ]])</f>
        <v>0.15973634333914921</v>
      </c>
      <c r="BW467" s="323">
        <f>Modelling[[#This Row],[Target E_Grid MTD
MWh]]/Modelling[[#This Row],[MTD DC Capcity]]/(24*CG467)</f>
        <v>0.15973634333914932</v>
      </c>
      <c r="BX467" s="338">
        <f>Modelling[[#This Row],[Target E_Grid YTD
MWh]]/Modelling[[#This Row],[YTD DC Capcity]]/(24*CH467)</f>
        <v>0.19546048600959287</v>
      </c>
      <c r="BY467" s="4">
        <f>Modelling_old[[#This Row],[DC Capcity]]+Modelling_new[[#This Row],[Comisined DC ]]</f>
        <v>24.303100000000001</v>
      </c>
      <c r="BZ467" s="4">
        <v>0</v>
      </c>
      <c r="CA467">
        <f>AVERAGEIFS(Modelling[[Comisined DC ]],Modelling[Date],"&lt;="&amp;Modelling[[#This Row],[Date]],Modelling[Month Year],Modelling[[#This Row],[Month Year]])</f>
        <v>24.303099999999986</v>
      </c>
      <c r="CB467">
        <f>AVERAGEIFS(Modelling[[Comisined DC ]],Modelling[Date],"&lt;="&amp;Modelling[[#This Row],[Date]],Modelling[Finacial Year],Modelling[[#This Row],[Finacial Year]])</f>
        <v>24.303100000000033</v>
      </c>
      <c r="CG467">
        <f t="shared" si="185"/>
        <v>23</v>
      </c>
      <c r="CH467">
        <f t="shared" si="186"/>
        <v>84</v>
      </c>
    </row>
    <row r="468" spans="1:86" x14ac:dyDescent="0.35">
      <c r="A468" s="27">
        <f t="shared" si="164"/>
        <v>45467</v>
      </c>
      <c r="B468" s="5">
        <f>MONTH(Modelling_old[[#This Row],[Date]])</f>
        <v>6</v>
      </c>
      <c r="C468" s="25">
        <f t="shared" si="165"/>
        <v>2025</v>
      </c>
      <c r="D468" s="3">
        <f t="shared" si="166"/>
        <v>2024</v>
      </c>
      <c r="E468" s="3" t="s">
        <v>627</v>
      </c>
      <c r="F468" s="3" t="s">
        <v>627</v>
      </c>
      <c r="G468" s="102">
        <f>DATE(Modelling_old[[#This Row],[Calendor Year]],Modelling_old[[#This Row],[Start Month]],1)</f>
        <v>45444</v>
      </c>
      <c r="H468" s="5">
        <f t="shared" si="167"/>
        <v>30</v>
      </c>
      <c r="I468" s="5">
        <f t="shared" si="168"/>
        <v>6</v>
      </c>
      <c r="J468" s="4">
        <f>_xlfn.XLOOKUP(Modelling_old[[#This Row],[Month]],$C$1:$C$14,$N$1:$N$14)/Modelling_old[[#This Row],[Total Days]]</f>
        <v>41.21</v>
      </c>
      <c r="K468" s="4">
        <f>SUM($J$445:J468)</f>
        <v>989.0400000000003</v>
      </c>
      <c r="L468" s="4">
        <f>SUM($J$384:J468)</f>
        <v>4091.7400000000057</v>
      </c>
      <c r="M468" s="4">
        <f t="shared" si="169"/>
        <v>5.1233333333333331</v>
      </c>
      <c r="N468" s="4">
        <f>SUM($M$445:M468)</f>
        <v>122.96000000000002</v>
      </c>
      <c r="O468" s="4">
        <f>SUM($M$384:M468)</f>
        <v>524.05999999999949</v>
      </c>
      <c r="P468" s="323">
        <f t="shared" si="170"/>
        <v>0.69925423684408983</v>
      </c>
      <c r="Q468" s="337">
        <f t="shared" si="171"/>
        <v>0.69925423684408983</v>
      </c>
      <c r="R468" s="337">
        <f t="shared" si="172"/>
        <v>0.67875356231450812</v>
      </c>
      <c r="S468" s="323">
        <f t="shared" si="173"/>
        <v>0.14927135583741197</v>
      </c>
      <c r="T468" s="9">
        <f>Modelling_old[[#This Row],[Target E_Grid MTD
MWh]]/Modelling_old[[#This Row],[DC Capcity]]/(24*CG468)</f>
        <v>0.149271355837412</v>
      </c>
      <c r="U468" s="338">
        <f>Modelling_old[[#This Row],[Target E_Grid YTD
MWh]]/Modelling_old[[#This Row],[DC Capcity]]/(24*CH468)</f>
        <v>0.1743664666012455</v>
      </c>
      <c r="V468" s="134">
        <v>11.5031</v>
      </c>
      <c r="Y468" s="27">
        <f t="shared" ref="Y468:Y531" si="187">Y467+1</f>
        <v>45467</v>
      </c>
      <c r="Z468" s="5">
        <f>MONTH(Modelling_new[[#This Row],[Date]])</f>
        <v>6</v>
      </c>
      <c r="AA468" s="25">
        <f>YEAR(Y468)+IF(MONTH(Modelling_new[[#This Row],[Date]])&gt;=4,1,0)</f>
        <v>2025</v>
      </c>
      <c r="AB468" s="3">
        <f t="shared" si="174"/>
        <v>2024</v>
      </c>
      <c r="AC468" s="3" t="s">
        <v>627</v>
      </c>
      <c r="AD468" s="3" t="s">
        <v>627</v>
      </c>
      <c r="AE468" s="102">
        <f>DATE(Modelling_old[[#This Row],[Calendor Year]],Modelling_old[[#This Row],[Start Month]],1)</f>
        <v>45444</v>
      </c>
      <c r="AF468" s="5">
        <f t="shared" si="175"/>
        <v>30</v>
      </c>
      <c r="AG468" s="5">
        <f t="shared" si="176"/>
        <v>6</v>
      </c>
      <c r="AH468" s="4">
        <f>_xlfn.XLOOKUP(Modelling_new[[#This Row],[Month]],$AA$1:$AA$14,$AL$1:$AL$14)/Modelling_new[[#This Row],[Total Days]]</f>
        <v>51.960119819336249</v>
      </c>
      <c r="AI468" s="4">
        <f>SUM($AH$445:AH468)</f>
        <v>1247.0428756640702</v>
      </c>
      <c r="AJ468" s="4">
        <f>SUM($AH$384:AH468)</f>
        <v>5578.0263266994525</v>
      </c>
      <c r="AK468" s="4">
        <f t="shared" si="177"/>
        <v>5.1233333333333331</v>
      </c>
      <c r="AL468" s="4">
        <f>SUM($AK$445:AK468)</f>
        <v>122.96000000000002</v>
      </c>
      <c r="AM468" s="4">
        <f>SUM($AK$384:AK468)</f>
        <v>524.05999999999949</v>
      </c>
      <c r="AN468" s="323">
        <f t="shared" si="178"/>
        <v>0.88166304126662065</v>
      </c>
      <c r="AO468" s="323">
        <f t="shared" si="179"/>
        <v>0.88166304126662054</v>
      </c>
      <c r="AP468" s="323">
        <f t="shared" si="180"/>
        <v>0.92530445236778458</v>
      </c>
      <c r="AQ468" s="323">
        <f t="shared" si="181"/>
        <v>0.18821056867038832</v>
      </c>
      <c r="AR468" s="323">
        <f>Modelling_new[[#This Row],[Target E_Grid MTD
MWh]]/Modelling_new[[#This Row],[MTD DC Capcity]]/(24*CG468)</f>
        <v>0.16914101503690182</v>
      </c>
      <c r="AS468" s="323">
        <f>Modelling_new[[#This Row],[Target E_Grid YTD
MWh]]/Modelling_new[[#This Row],[YTD DC Capcity]]/(24*CH468)</f>
        <v>0.21361926802617423</v>
      </c>
      <c r="AT468" s="5">
        <v>12.8</v>
      </c>
      <c r="AU468" s="9">
        <f>Modelling_new[[#This Row],[Comisined DC ]]/$AO$1</f>
        <v>1</v>
      </c>
      <c r="AV468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68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468" s="27">
        <f t="shared" ref="BD468:BD531" si="188">BD467+1</f>
        <v>45467</v>
      </c>
      <c r="BE468" s="5">
        <f>MONTH(Modelling[[#This Row],[Date]])</f>
        <v>6</v>
      </c>
      <c r="BF468" s="25">
        <f>YEAR(BD468)+IF(MONTH(Modelling[[#This Row],[Date]])&gt;=4,1,0)</f>
        <v>2025</v>
      </c>
      <c r="BG468" s="3">
        <f t="shared" si="182"/>
        <v>2024</v>
      </c>
      <c r="BH468" s="3" t="s">
        <v>627</v>
      </c>
      <c r="BI468" s="3" t="s">
        <v>627</v>
      </c>
      <c r="BJ468" s="102">
        <f>DATE(Modelling_old[[#This Row],[Calendor Year]],Modelling_old[[#This Row],[Start Month]],1)</f>
        <v>45444</v>
      </c>
      <c r="BK468" s="5">
        <f t="shared" si="183"/>
        <v>30</v>
      </c>
      <c r="BL468" s="5">
        <f t="shared" si="184"/>
        <v>6</v>
      </c>
      <c r="BM468" s="4">
        <f>Modelling_old[[#This Row],[Target E_Grid daily
MWh]]+Modelling_new[[#This Row],[Target E_Grid daily
MWh]]</f>
        <v>93.17011981933625</v>
      </c>
      <c r="BN468" s="4">
        <f>Modelling_old[[#This Row],[Target E_Grid MTD
MWh]]+Modelling_new[[#This Row],[Target E_Grid MTD
MWh]]</f>
        <v>2236.0828756640703</v>
      </c>
      <c r="BO468" s="4">
        <f>Modelling_old[[#This Row],[Target E_Grid YTD
MWh]]+Modelling_new[[#This Row],[Target E_Grid YTD
MWh]]</f>
        <v>9669.7663266994587</v>
      </c>
      <c r="BP468" s="4">
        <f>AVERAGE(Modelling_old[[#This Row],[Target POA Daily (KWh/m2)]],Modelling_new[[#This Row],[Target POA Daily (KWh/m2)]])</f>
        <v>5.1233333333333331</v>
      </c>
      <c r="BQ468" s="4">
        <f>SUM($BP$445:BP468)</f>
        <v>122.96000000000002</v>
      </c>
      <c r="BR468" s="4">
        <f>SUM($BP$384:BP468)</f>
        <v>524.05999999999949</v>
      </c>
      <c r="BS468" s="323">
        <f>BM468/Modelling[[#This Row],[Comisined DC ]]/BP468</f>
        <v>0.74827694992965155</v>
      </c>
      <c r="BT468" s="337">
        <f>BN468/BQ468/Modelling[[#This Row],[Comisined DC ]]</f>
        <v>0.74827694992965144</v>
      </c>
      <c r="BU468" s="337">
        <f>BO468/BR468/Modelling[[#This Row],[Comisined DC ]]</f>
        <v>0.75922988214227327</v>
      </c>
      <c r="BV468" s="323">
        <f>BM468/(24*Modelling[[#This Row],[Comisined DC ]])</f>
        <v>0.15973634333914921</v>
      </c>
      <c r="BW468" s="323">
        <f>Modelling[[#This Row],[Target E_Grid MTD
MWh]]/Modelling[[#This Row],[MTD DC Capcity]]/(24*CG468)</f>
        <v>0.15973634333914932</v>
      </c>
      <c r="BX468" s="338">
        <f>Modelling[[#This Row],[Target E_Grid YTD
MWh]]/Modelling[[#This Row],[YTD DC Capcity]]/(24*CH468)</f>
        <v>0.1950402019781759</v>
      </c>
      <c r="BY468" s="4">
        <f>Modelling_old[[#This Row],[DC Capcity]]+Modelling_new[[#This Row],[Comisined DC ]]</f>
        <v>24.303100000000001</v>
      </c>
      <c r="BZ468" s="4">
        <v>0</v>
      </c>
      <c r="CA468">
        <f>AVERAGEIFS(Modelling[[Comisined DC ]],Modelling[Date],"&lt;="&amp;Modelling[[#This Row],[Date]],Modelling[Month Year],Modelling[[#This Row],[Month Year]])</f>
        <v>24.303099999999986</v>
      </c>
      <c r="CB468">
        <f>AVERAGEIFS(Modelling[[Comisined DC ]],Modelling[Date],"&lt;="&amp;Modelling[[#This Row],[Date]],Modelling[Finacial Year],Modelling[[#This Row],[Finacial Year]])</f>
        <v>24.303100000000033</v>
      </c>
      <c r="CG468">
        <f t="shared" si="185"/>
        <v>24</v>
      </c>
      <c r="CH468">
        <f t="shared" si="186"/>
        <v>85</v>
      </c>
    </row>
    <row r="469" spans="1:86" x14ac:dyDescent="0.35">
      <c r="A469" s="27">
        <f t="shared" si="164"/>
        <v>45468</v>
      </c>
      <c r="B469" s="5">
        <f>MONTH(Modelling_old[[#This Row],[Date]])</f>
        <v>6</v>
      </c>
      <c r="C469" s="25">
        <f t="shared" si="165"/>
        <v>2025</v>
      </c>
      <c r="D469" s="3">
        <f t="shared" si="166"/>
        <v>2024</v>
      </c>
      <c r="E469" s="3" t="s">
        <v>627</v>
      </c>
      <c r="F469" s="3" t="s">
        <v>627</v>
      </c>
      <c r="G469" s="102">
        <f>DATE(Modelling_old[[#This Row],[Calendor Year]],Modelling_old[[#This Row],[Start Month]],1)</f>
        <v>45444</v>
      </c>
      <c r="H469" s="5">
        <f t="shared" si="167"/>
        <v>30</v>
      </c>
      <c r="I469" s="5">
        <f t="shared" si="168"/>
        <v>6</v>
      </c>
      <c r="J469" s="4">
        <f>_xlfn.XLOOKUP(Modelling_old[[#This Row],[Month]],$C$1:$C$14,$N$1:$N$14)/Modelling_old[[#This Row],[Total Days]]</f>
        <v>41.21</v>
      </c>
      <c r="K469" s="4">
        <f>SUM($J$445:J469)</f>
        <v>1030.2500000000002</v>
      </c>
      <c r="L469" s="4">
        <f>SUM($J$384:J469)</f>
        <v>4132.9500000000053</v>
      </c>
      <c r="M469" s="4">
        <f t="shared" si="169"/>
        <v>5.1233333333333331</v>
      </c>
      <c r="N469" s="4">
        <f>SUM($M$445:M469)</f>
        <v>128.08333333333334</v>
      </c>
      <c r="O469" s="4">
        <f>SUM($M$384:M469)</f>
        <v>529.18333333333283</v>
      </c>
      <c r="P469" s="323">
        <f t="shared" si="170"/>
        <v>0.69925423684408983</v>
      </c>
      <c r="Q469" s="337">
        <f t="shared" si="171"/>
        <v>0.69925423684408983</v>
      </c>
      <c r="R469" s="337">
        <f t="shared" si="172"/>
        <v>0.67895204133407894</v>
      </c>
      <c r="S469" s="323">
        <f t="shared" si="173"/>
        <v>0.14927135583741197</v>
      </c>
      <c r="T469" s="9">
        <f>Modelling_old[[#This Row],[Target E_Grid MTD
MWh]]/Modelling_old[[#This Row],[DC Capcity]]/(24*CG469)</f>
        <v>0.14927135583741197</v>
      </c>
      <c r="U469" s="338">
        <f>Modelling_old[[#This Row],[Target E_Grid YTD
MWh]]/Modelling_old[[#This Row],[DC Capcity]]/(24*CH469)</f>
        <v>0.17407466298771251</v>
      </c>
      <c r="V469" s="134">
        <v>11.5031</v>
      </c>
      <c r="Y469" s="27">
        <f t="shared" si="187"/>
        <v>45468</v>
      </c>
      <c r="Z469" s="5">
        <f>MONTH(Modelling_new[[#This Row],[Date]])</f>
        <v>6</v>
      </c>
      <c r="AA469" s="25">
        <f>YEAR(Y469)+IF(MONTH(Modelling_new[[#This Row],[Date]])&gt;=4,1,0)</f>
        <v>2025</v>
      </c>
      <c r="AB469" s="3">
        <f t="shared" si="174"/>
        <v>2024</v>
      </c>
      <c r="AC469" s="3" t="s">
        <v>627</v>
      </c>
      <c r="AD469" s="3" t="s">
        <v>627</v>
      </c>
      <c r="AE469" s="102">
        <f>DATE(Modelling_old[[#This Row],[Calendor Year]],Modelling_old[[#This Row],[Start Month]],1)</f>
        <v>45444</v>
      </c>
      <c r="AF469" s="5">
        <f t="shared" si="175"/>
        <v>30</v>
      </c>
      <c r="AG469" s="5">
        <f t="shared" si="176"/>
        <v>6</v>
      </c>
      <c r="AH469" s="4">
        <f>_xlfn.XLOOKUP(Modelling_new[[#This Row],[Month]],$AA$1:$AA$14,$AL$1:$AL$14)/Modelling_new[[#This Row],[Total Days]]</f>
        <v>51.960119819336249</v>
      </c>
      <c r="AI469" s="4">
        <f>SUM($AH$445:AH469)</f>
        <v>1299.0029954834065</v>
      </c>
      <c r="AJ469" s="4">
        <f>SUM($AH$384:AH469)</f>
        <v>5629.9864465187884</v>
      </c>
      <c r="AK469" s="4">
        <f t="shared" si="177"/>
        <v>5.1233333333333331</v>
      </c>
      <c r="AL469" s="4">
        <f>SUM($AK$445:AK469)</f>
        <v>128.08333333333334</v>
      </c>
      <c r="AM469" s="4">
        <f>SUM($AK$384:AK469)</f>
        <v>529.18333333333283</v>
      </c>
      <c r="AN469" s="323">
        <f t="shared" si="178"/>
        <v>0.88166304126662065</v>
      </c>
      <c r="AO469" s="323">
        <f t="shared" si="179"/>
        <v>0.88166304126662065</v>
      </c>
      <c r="AP469" s="323">
        <f t="shared" si="180"/>
        <v>0.92488193434402155</v>
      </c>
      <c r="AQ469" s="323">
        <f t="shared" si="181"/>
        <v>0.18821056867038832</v>
      </c>
      <c r="AR469" s="323">
        <f>Modelling_new[[#This Row],[Target E_Grid MTD
MWh]]/Modelling_new[[#This Row],[MTD DC Capcity]]/(24*CG469)</f>
        <v>0.16914101503690182</v>
      </c>
      <c r="AS469" s="323">
        <f>Modelling_new[[#This Row],[Target E_Grid YTD
MWh]]/Modelling_new[[#This Row],[YTD DC Capcity]]/(24*CH469)</f>
        <v>0.21310207903792688</v>
      </c>
      <c r="AT469" s="5">
        <v>12.8</v>
      </c>
      <c r="AU469" s="9">
        <f>Modelling_new[[#This Row],[Comisined DC ]]/$AO$1</f>
        <v>1</v>
      </c>
      <c r="AV46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69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469" s="27">
        <f t="shared" si="188"/>
        <v>45468</v>
      </c>
      <c r="BE469" s="5">
        <f>MONTH(Modelling[[#This Row],[Date]])</f>
        <v>6</v>
      </c>
      <c r="BF469" s="25">
        <f>YEAR(BD469)+IF(MONTH(Modelling[[#This Row],[Date]])&gt;=4,1,0)</f>
        <v>2025</v>
      </c>
      <c r="BG469" s="3">
        <f t="shared" si="182"/>
        <v>2024</v>
      </c>
      <c r="BH469" s="3" t="s">
        <v>627</v>
      </c>
      <c r="BI469" s="3" t="s">
        <v>627</v>
      </c>
      <c r="BJ469" s="102">
        <f>DATE(Modelling_old[[#This Row],[Calendor Year]],Modelling_old[[#This Row],[Start Month]],1)</f>
        <v>45444</v>
      </c>
      <c r="BK469" s="5">
        <f t="shared" si="183"/>
        <v>30</v>
      </c>
      <c r="BL469" s="5">
        <f t="shared" si="184"/>
        <v>6</v>
      </c>
      <c r="BM469" s="4">
        <f>Modelling_old[[#This Row],[Target E_Grid daily
MWh]]+Modelling_new[[#This Row],[Target E_Grid daily
MWh]]</f>
        <v>93.17011981933625</v>
      </c>
      <c r="BN469" s="4">
        <f>Modelling_old[[#This Row],[Target E_Grid MTD
MWh]]+Modelling_new[[#This Row],[Target E_Grid MTD
MWh]]</f>
        <v>2329.2529954834067</v>
      </c>
      <c r="BO469" s="4">
        <f>Modelling_old[[#This Row],[Target E_Grid YTD
MWh]]+Modelling_new[[#This Row],[Target E_Grid YTD
MWh]]</f>
        <v>9762.9364465187937</v>
      </c>
      <c r="BP469" s="4">
        <f>AVERAGE(Modelling_old[[#This Row],[Target POA Daily (KWh/m2)]],Modelling_new[[#This Row],[Target POA Daily (KWh/m2)]])</f>
        <v>5.1233333333333331</v>
      </c>
      <c r="BQ469" s="4">
        <f>SUM($BP$445:BP469)</f>
        <v>128.08333333333334</v>
      </c>
      <c r="BR469" s="4">
        <f>SUM($BP$384:BP469)</f>
        <v>529.18333333333283</v>
      </c>
      <c r="BS469" s="323">
        <f>BM469/Modelling[[#This Row],[Comisined DC ]]/BP469</f>
        <v>0.74827694992965155</v>
      </c>
      <c r="BT469" s="337">
        <f>BN469/BQ469/Modelling[[#This Row],[Comisined DC ]]</f>
        <v>0.74827694992965155</v>
      </c>
      <c r="BU469" s="337">
        <f>BO469/BR469/Modelling[[#This Row],[Comisined DC ]]</f>
        <v>0.75912384039989778</v>
      </c>
      <c r="BV469" s="323">
        <f>BM469/(24*Modelling[[#This Row],[Comisined DC ]])</f>
        <v>0.15973634333914921</v>
      </c>
      <c r="BW469" s="323">
        <f>Modelling[[#This Row],[Target E_Grid MTD
MWh]]/Modelling[[#This Row],[MTD DC Capcity]]/(24*CG469)</f>
        <v>0.15973634333914932</v>
      </c>
      <c r="BX469" s="338">
        <f>Modelling[[#This Row],[Target E_Grid YTD
MWh]]/Modelling[[#This Row],[YTD DC Capcity]]/(24*CH469)</f>
        <v>0.19462969199400112</v>
      </c>
      <c r="BY469" s="4">
        <f>Modelling_old[[#This Row],[DC Capcity]]+Modelling_new[[#This Row],[Comisined DC ]]</f>
        <v>24.303100000000001</v>
      </c>
      <c r="BZ469" s="4">
        <v>0</v>
      </c>
      <c r="CA469">
        <f>AVERAGEIFS(Modelling[[Comisined DC ]],Modelling[Date],"&lt;="&amp;Modelling[[#This Row],[Date]],Modelling[Month Year],Modelling[[#This Row],[Month Year]])</f>
        <v>24.303099999999986</v>
      </c>
      <c r="CB469">
        <f>AVERAGEIFS(Modelling[[Comisined DC ]],Modelling[Date],"&lt;="&amp;Modelling[[#This Row],[Date]],Modelling[Finacial Year],Modelling[[#This Row],[Finacial Year]])</f>
        <v>24.303100000000033</v>
      </c>
      <c r="CG469">
        <f t="shared" si="185"/>
        <v>25</v>
      </c>
      <c r="CH469">
        <f t="shared" si="186"/>
        <v>86</v>
      </c>
    </row>
    <row r="470" spans="1:86" x14ac:dyDescent="0.35">
      <c r="A470" s="27">
        <f t="shared" si="164"/>
        <v>45469</v>
      </c>
      <c r="B470" s="5">
        <f>MONTH(Modelling_old[[#This Row],[Date]])</f>
        <v>6</v>
      </c>
      <c r="C470" s="25">
        <f t="shared" si="165"/>
        <v>2025</v>
      </c>
      <c r="D470" s="3">
        <f t="shared" si="166"/>
        <v>2024</v>
      </c>
      <c r="E470" s="3" t="s">
        <v>627</v>
      </c>
      <c r="F470" s="3" t="s">
        <v>627</v>
      </c>
      <c r="G470" s="102">
        <f>DATE(Modelling_old[[#This Row],[Calendor Year]],Modelling_old[[#This Row],[Start Month]],1)</f>
        <v>45444</v>
      </c>
      <c r="H470" s="5">
        <f t="shared" si="167"/>
        <v>30</v>
      </c>
      <c r="I470" s="5">
        <f t="shared" si="168"/>
        <v>6</v>
      </c>
      <c r="J470" s="4">
        <f>_xlfn.XLOOKUP(Modelling_old[[#This Row],[Month]],$C$1:$C$14,$N$1:$N$14)/Modelling_old[[#This Row],[Total Days]]</f>
        <v>41.21</v>
      </c>
      <c r="K470" s="4">
        <f>SUM($J$445:J470)</f>
        <v>1071.4600000000003</v>
      </c>
      <c r="L470" s="4">
        <f>SUM($J$384:J470)</f>
        <v>4174.1600000000053</v>
      </c>
      <c r="M470" s="4">
        <f t="shared" si="169"/>
        <v>5.1233333333333331</v>
      </c>
      <c r="N470" s="4">
        <f>SUM($M$445:M470)</f>
        <v>133.20666666666668</v>
      </c>
      <c r="O470" s="4">
        <f>SUM($M$384:M470)</f>
        <v>534.30666666666616</v>
      </c>
      <c r="P470" s="323">
        <f t="shared" si="170"/>
        <v>0.69925423684408983</v>
      </c>
      <c r="Q470" s="337">
        <f t="shared" si="171"/>
        <v>0.69925423684408983</v>
      </c>
      <c r="R470" s="337">
        <f t="shared" si="172"/>
        <v>0.67914671402204152</v>
      </c>
      <c r="S470" s="323">
        <f t="shared" si="173"/>
        <v>0.14927135583741197</v>
      </c>
      <c r="T470" s="9">
        <f>Modelling_old[[#This Row],[Target E_Grid MTD
MWh]]/Modelling_old[[#This Row],[DC Capcity]]/(24*CG470)</f>
        <v>0.149271355837412</v>
      </c>
      <c r="U470" s="338">
        <f>Modelling_old[[#This Row],[Target E_Grid YTD
MWh]]/Modelling_old[[#This Row],[DC Capcity]]/(24*CH470)</f>
        <v>0.17378956750322633</v>
      </c>
      <c r="V470" s="134">
        <v>11.5031</v>
      </c>
      <c r="Y470" s="27">
        <f t="shared" si="187"/>
        <v>45469</v>
      </c>
      <c r="Z470" s="5">
        <f>MONTH(Modelling_new[[#This Row],[Date]])</f>
        <v>6</v>
      </c>
      <c r="AA470" s="25">
        <f>YEAR(Y470)+IF(MONTH(Modelling_new[[#This Row],[Date]])&gt;=4,1,0)</f>
        <v>2025</v>
      </c>
      <c r="AB470" s="3">
        <f t="shared" si="174"/>
        <v>2024</v>
      </c>
      <c r="AC470" s="3" t="s">
        <v>627</v>
      </c>
      <c r="AD470" s="3" t="s">
        <v>627</v>
      </c>
      <c r="AE470" s="102">
        <f>DATE(Modelling_old[[#This Row],[Calendor Year]],Modelling_old[[#This Row],[Start Month]],1)</f>
        <v>45444</v>
      </c>
      <c r="AF470" s="5">
        <f t="shared" si="175"/>
        <v>30</v>
      </c>
      <c r="AG470" s="5">
        <f t="shared" si="176"/>
        <v>6</v>
      </c>
      <c r="AH470" s="4">
        <f>_xlfn.XLOOKUP(Modelling_new[[#This Row],[Month]],$AA$1:$AA$14,$AL$1:$AL$14)/Modelling_new[[#This Row],[Total Days]]</f>
        <v>51.960119819336249</v>
      </c>
      <c r="AI470" s="4">
        <f>SUM($AH$445:AH470)</f>
        <v>1350.9631153027428</v>
      </c>
      <c r="AJ470" s="4">
        <f>SUM($AH$384:AH470)</f>
        <v>5681.9465663381243</v>
      </c>
      <c r="AK470" s="4">
        <f t="shared" si="177"/>
        <v>5.1233333333333331</v>
      </c>
      <c r="AL470" s="4">
        <f>SUM($AK$445:AK470)</f>
        <v>133.20666666666668</v>
      </c>
      <c r="AM470" s="4">
        <f>SUM($AK$384:AK470)</f>
        <v>534.30666666666616</v>
      </c>
      <c r="AN470" s="323">
        <f t="shared" si="178"/>
        <v>0.88166304126662065</v>
      </c>
      <c r="AO470" s="323">
        <f t="shared" si="179"/>
        <v>0.88166304126662065</v>
      </c>
      <c r="AP470" s="323">
        <f t="shared" si="180"/>
        <v>0.92446751916010728</v>
      </c>
      <c r="AQ470" s="323">
        <f t="shared" si="181"/>
        <v>0.18821056867038832</v>
      </c>
      <c r="AR470" s="323">
        <f>Modelling_new[[#This Row],[Target E_Grid MTD
MWh]]/Modelling_new[[#This Row],[MTD DC Capcity]]/(24*CG470)</f>
        <v>0.16914101503690185</v>
      </c>
      <c r="AS470" s="323">
        <f>Modelling_new[[#This Row],[Target E_Grid YTD
MWh]]/Modelling_new[[#This Row],[YTD DC Capcity]]/(24*CH470)</f>
        <v>0.21259677945170821</v>
      </c>
      <c r="AT470" s="5">
        <v>12.8</v>
      </c>
      <c r="AU470" s="9">
        <f>Modelling_new[[#This Row],[Comisined DC ]]/$AO$1</f>
        <v>1</v>
      </c>
      <c r="AV47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70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470" s="27">
        <f t="shared" si="188"/>
        <v>45469</v>
      </c>
      <c r="BE470" s="5">
        <f>MONTH(Modelling[[#This Row],[Date]])</f>
        <v>6</v>
      </c>
      <c r="BF470" s="25">
        <f>YEAR(BD470)+IF(MONTH(Modelling[[#This Row],[Date]])&gt;=4,1,0)</f>
        <v>2025</v>
      </c>
      <c r="BG470" s="3">
        <f t="shared" si="182"/>
        <v>2024</v>
      </c>
      <c r="BH470" s="3" t="s">
        <v>627</v>
      </c>
      <c r="BI470" s="3" t="s">
        <v>627</v>
      </c>
      <c r="BJ470" s="102">
        <f>DATE(Modelling_old[[#This Row],[Calendor Year]],Modelling_old[[#This Row],[Start Month]],1)</f>
        <v>45444</v>
      </c>
      <c r="BK470" s="5">
        <f t="shared" si="183"/>
        <v>30</v>
      </c>
      <c r="BL470" s="5">
        <f t="shared" si="184"/>
        <v>6</v>
      </c>
      <c r="BM470" s="4">
        <f>Modelling_old[[#This Row],[Target E_Grid daily
MWh]]+Modelling_new[[#This Row],[Target E_Grid daily
MWh]]</f>
        <v>93.17011981933625</v>
      </c>
      <c r="BN470" s="4">
        <f>Modelling_old[[#This Row],[Target E_Grid MTD
MWh]]+Modelling_new[[#This Row],[Target E_Grid MTD
MWh]]</f>
        <v>2422.4231153027431</v>
      </c>
      <c r="BO470" s="4">
        <f>Modelling_old[[#This Row],[Target E_Grid YTD
MWh]]+Modelling_new[[#This Row],[Target E_Grid YTD
MWh]]</f>
        <v>9856.1065663381305</v>
      </c>
      <c r="BP470" s="4">
        <f>AVERAGE(Modelling_old[[#This Row],[Target POA Daily (KWh/m2)]],Modelling_new[[#This Row],[Target POA Daily (KWh/m2)]])</f>
        <v>5.1233333333333331</v>
      </c>
      <c r="BQ470" s="4">
        <f>SUM($BP$445:BP470)</f>
        <v>133.20666666666668</v>
      </c>
      <c r="BR470" s="4">
        <f>SUM($BP$384:BP470)</f>
        <v>534.30666666666616</v>
      </c>
      <c r="BS470" s="323">
        <f>BM470/Modelling[[#This Row],[Comisined DC ]]/BP470</f>
        <v>0.74827694992965155</v>
      </c>
      <c r="BT470" s="337">
        <f>BN470/BQ470/Modelling[[#This Row],[Comisined DC ]]</f>
        <v>0.74827694992965155</v>
      </c>
      <c r="BU470" s="337">
        <f>BO470/BR470/Modelling[[#This Row],[Comisined DC ]]</f>
        <v>0.75901983227314951</v>
      </c>
      <c r="BV470" s="323">
        <f>BM470/(24*Modelling[[#This Row],[Comisined DC ]])</f>
        <v>0.15973634333914921</v>
      </c>
      <c r="BW470" s="323">
        <f>Modelling[[#This Row],[Target E_Grid MTD
MWh]]/Modelling[[#This Row],[MTD DC Capcity]]/(24*CG470)</f>
        <v>0.15973634333914935</v>
      </c>
      <c r="BX470" s="338">
        <f>Modelling[[#This Row],[Target E_Grid YTD
MWh]]/Modelling[[#This Row],[YTD DC Capcity]]/(24*CH470)</f>
        <v>0.19422861902095687</v>
      </c>
      <c r="BY470" s="4">
        <f>Modelling_old[[#This Row],[DC Capcity]]+Modelling_new[[#This Row],[Comisined DC ]]</f>
        <v>24.303100000000001</v>
      </c>
      <c r="BZ470" s="4">
        <v>0</v>
      </c>
      <c r="CA470">
        <f>AVERAGEIFS(Modelling[[Comisined DC ]],Modelling[Date],"&lt;="&amp;Modelling[[#This Row],[Date]],Modelling[Month Year],Modelling[[#This Row],[Month Year]])</f>
        <v>24.303099999999986</v>
      </c>
      <c r="CB470">
        <f>AVERAGEIFS(Modelling[[Comisined DC ]],Modelling[Date],"&lt;="&amp;Modelling[[#This Row],[Date]],Modelling[Finacial Year],Modelling[[#This Row],[Finacial Year]])</f>
        <v>24.303100000000033</v>
      </c>
      <c r="CG470">
        <f t="shared" si="185"/>
        <v>26</v>
      </c>
      <c r="CH470">
        <f t="shared" si="186"/>
        <v>87</v>
      </c>
    </row>
    <row r="471" spans="1:86" x14ac:dyDescent="0.35">
      <c r="A471" s="27">
        <f t="shared" si="164"/>
        <v>45470</v>
      </c>
      <c r="B471" s="5">
        <f>MONTH(Modelling_old[[#This Row],[Date]])</f>
        <v>6</v>
      </c>
      <c r="C471" s="25">
        <f t="shared" si="165"/>
        <v>2025</v>
      </c>
      <c r="D471" s="3">
        <f t="shared" si="166"/>
        <v>2024</v>
      </c>
      <c r="E471" s="3" t="s">
        <v>627</v>
      </c>
      <c r="F471" s="3" t="s">
        <v>627</v>
      </c>
      <c r="G471" s="102">
        <f>DATE(Modelling_old[[#This Row],[Calendor Year]],Modelling_old[[#This Row],[Start Month]],1)</f>
        <v>45444</v>
      </c>
      <c r="H471" s="5">
        <f t="shared" si="167"/>
        <v>30</v>
      </c>
      <c r="I471" s="5">
        <f t="shared" si="168"/>
        <v>6</v>
      </c>
      <c r="J471" s="4">
        <f>_xlfn.XLOOKUP(Modelling_old[[#This Row],[Month]],$C$1:$C$14,$N$1:$N$14)/Modelling_old[[#This Row],[Total Days]]</f>
        <v>41.21</v>
      </c>
      <c r="K471" s="4">
        <f>SUM($J$445:J471)</f>
        <v>1112.6700000000003</v>
      </c>
      <c r="L471" s="4">
        <f>SUM($J$384:J471)</f>
        <v>4215.3700000000053</v>
      </c>
      <c r="M471" s="4">
        <f t="shared" si="169"/>
        <v>5.1233333333333331</v>
      </c>
      <c r="N471" s="4">
        <f>SUM($M$445:M471)</f>
        <v>138.33000000000001</v>
      </c>
      <c r="O471" s="4">
        <f>SUM($M$384:M471)</f>
        <v>539.4299999999995</v>
      </c>
      <c r="P471" s="323">
        <f t="shared" si="170"/>
        <v>0.69925423684408983</v>
      </c>
      <c r="Q471" s="337">
        <f t="shared" si="171"/>
        <v>0.69925423684408983</v>
      </c>
      <c r="R471" s="337">
        <f t="shared" si="172"/>
        <v>0.67933768883235046</v>
      </c>
      <c r="S471" s="323">
        <f t="shared" si="173"/>
        <v>0.14927135583741197</v>
      </c>
      <c r="T471" s="9">
        <f>Modelling_old[[#This Row],[Target E_Grid MTD
MWh]]/Modelling_old[[#This Row],[DC Capcity]]/(24*CG471)</f>
        <v>0.14927135583741197</v>
      </c>
      <c r="U471" s="338">
        <f>Modelling_old[[#This Row],[Target E_Grid YTD
MWh]]/Modelling_old[[#This Row],[DC Capcity]]/(24*CH471)</f>
        <v>0.17351095146156933</v>
      </c>
      <c r="V471" s="134">
        <v>11.5031</v>
      </c>
      <c r="Y471" s="27">
        <f t="shared" si="187"/>
        <v>45470</v>
      </c>
      <c r="Z471" s="5">
        <f>MONTH(Modelling_new[[#This Row],[Date]])</f>
        <v>6</v>
      </c>
      <c r="AA471" s="25">
        <f>YEAR(Y471)+IF(MONTH(Modelling_new[[#This Row],[Date]])&gt;=4,1,0)</f>
        <v>2025</v>
      </c>
      <c r="AB471" s="3">
        <f t="shared" si="174"/>
        <v>2024</v>
      </c>
      <c r="AC471" s="3" t="s">
        <v>627</v>
      </c>
      <c r="AD471" s="3" t="s">
        <v>627</v>
      </c>
      <c r="AE471" s="102">
        <f>DATE(Modelling_old[[#This Row],[Calendor Year]],Modelling_old[[#This Row],[Start Month]],1)</f>
        <v>45444</v>
      </c>
      <c r="AF471" s="5">
        <f t="shared" si="175"/>
        <v>30</v>
      </c>
      <c r="AG471" s="5">
        <f t="shared" si="176"/>
        <v>6</v>
      </c>
      <c r="AH471" s="4">
        <f>_xlfn.XLOOKUP(Modelling_new[[#This Row],[Month]],$AA$1:$AA$14,$AL$1:$AL$14)/Modelling_new[[#This Row],[Total Days]]</f>
        <v>51.960119819336249</v>
      </c>
      <c r="AI471" s="4">
        <f>SUM($AH$445:AH471)</f>
        <v>1402.9232351220792</v>
      </c>
      <c r="AJ471" s="4">
        <f>SUM($AH$384:AH471)</f>
        <v>5733.9066861574602</v>
      </c>
      <c r="AK471" s="4">
        <f t="shared" si="177"/>
        <v>5.1233333333333331</v>
      </c>
      <c r="AL471" s="4">
        <f>SUM($AK$445:AK471)</f>
        <v>138.33000000000001</v>
      </c>
      <c r="AM471" s="4">
        <f>SUM($AK$384:AK471)</f>
        <v>539.4299999999995</v>
      </c>
      <c r="AN471" s="323">
        <f t="shared" si="178"/>
        <v>0.88166304126662065</v>
      </c>
      <c r="AO471" s="323">
        <f t="shared" si="179"/>
        <v>0.88166304126662065</v>
      </c>
      <c r="AP471" s="323">
        <f t="shared" si="180"/>
        <v>0.9240609759415106</v>
      </c>
      <c r="AQ471" s="323">
        <f t="shared" si="181"/>
        <v>0.18821056867038832</v>
      </c>
      <c r="AR471" s="323">
        <f>Modelling_new[[#This Row],[Target E_Grid MTD
MWh]]/Modelling_new[[#This Row],[MTD DC Capcity]]/(24*CG471)</f>
        <v>0.16914101503690185</v>
      </c>
      <c r="AS471" s="323">
        <f>Modelling_new[[#This Row],[Target E_Grid YTD
MWh]]/Modelling_new[[#This Row],[YTD DC Capcity]]/(24*CH471)</f>
        <v>0.21210296394699449</v>
      </c>
      <c r="AT471" s="5">
        <v>12.8</v>
      </c>
      <c r="AU471" s="9">
        <f>Modelling_new[[#This Row],[Comisined DC ]]/$AO$1</f>
        <v>1</v>
      </c>
      <c r="AV47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71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471" s="27">
        <f t="shared" si="188"/>
        <v>45470</v>
      </c>
      <c r="BE471" s="5">
        <f>MONTH(Modelling[[#This Row],[Date]])</f>
        <v>6</v>
      </c>
      <c r="BF471" s="25">
        <f>YEAR(BD471)+IF(MONTH(Modelling[[#This Row],[Date]])&gt;=4,1,0)</f>
        <v>2025</v>
      </c>
      <c r="BG471" s="3">
        <f t="shared" si="182"/>
        <v>2024</v>
      </c>
      <c r="BH471" s="3" t="s">
        <v>627</v>
      </c>
      <c r="BI471" s="3" t="s">
        <v>627</v>
      </c>
      <c r="BJ471" s="102">
        <f>DATE(Modelling_old[[#This Row],[Calendor Year]],Modelling_old[[#This Row],[Start Month]],1)</f>
        <v>45444</v>
      </c>
      <c r="BK471" s="5">
        <f t="shared" si="183"/>
        <v>30</v>
      </c>
      <c r="BL471" s="5">
        <f t="shared" si="184"/>
        <v>6</v>
      </c>
      <c r="BM471" s="4">
        <f>Modelling_old[[#This Row],[Target E_Grid daily
MWh]]+Modelling_new[[#This Row],[Target E_Grid daily
MWh]]</f>
        <v>93.17011981933625</v>
      </c>
      <c r="BN471" s="4">
        <f>Modelling_old[[#This Row],[Target E_Grid MTD
MWh]]+Modelling_new[[#This Row],[Target E_Grid MTD
MWh]]</f>
        <v>2515.5932351220795</v>
      </c>
      <c r="BO471" s="4">
        <f>Modelling_old[[#This Row],[Target E_Grid YTD
MWh]]+Modelling_new[[#This Row],[Target E_Grid YTD
MWh]]</f>
        <v>9949.2766861574655</v>
      </c>
      <c r="BP471" s="4">
        <f>AVERAGE(Modelling_old[[#This Row],[Target POA Daily (KWh/m2)]],Modelling_new[[#This Row],[Target POA Daily (KWh/m2)]])</f>
        <v>5.1233333333333331</v>
      </c>
      <c r="BQ471" s="4">
        <f>SUM($BP$445:BP471)</f>
        <v>138.33000000000001</v>
      </c>
      <c r="BR471" s="4">
        <f>SUM($BP$384:BP471)</f>
        <v>539.4299999999995</v>
      </c>
      <c r="BS471" s="323">
        <f>BM471/Modelling[[#This Row],[Comisined DC ]]/BP471</f>
        <v>0.74827694992965155</v>
      </c>
      <c r="BT471" s="337">
        <f>BN471/BQ471/Modelling[[#This Row],[Comisined DC ]]</f>
        <v>0.74827694992965155</v>
      </c>
      <c r="BU471" s="337">
        <f>BO471/BR471/Modelling[[#This Row],[Comisined DC ]]</f>
        <v>0.75891779981813845</v>
      </c>
      <c r="BV471" s="323">
        <f>BM471/(24*Modelling[[#This Row],[Comisined DC ]])</f>
        <v>0.15973634333914921</v>
      </c>
      <c r="BW471" s="323">
        <f>Modelling[[#This Row],[Target E_Grid MTD
MWh]]/Modelling[[#This Row],[MTD DC Capcity]]/(24*CG471)</f>
        <v>0.15973634333914935</v>
      </c>
      <c r="BX471" s="338">
        <f>Modelling[[#This Row],[Target E_Grid YTD
MWh]]/Modelling[[#This Row],[YTD DC Capcity]]/(24*CH471)</f>
        <v>0.19383666134275448</v>
      </c>
      <c r="BY471" s="4">
        <f>Modelling_old[[#This Row],[DC Capcity]]+Modelling_new[[#This Row],[Comisined DC ]]</f>
        <v>24.303100000000001</v>
      </c>
      <c r="BZ471" s="4">
        <v>0</v>
      </c>
      <c r="CA471">
        <f>AVERAGEIFS(Modelling[[Comisined DC ]],Modelling[Date],"&lt;="&amp;Modelling[[#This Row],[Date]],Modelling[Month Year],Modelling[[#This Row],[Month Year]])</f>
        <v>24.303099999999986</v>
      </c>
      <c r="CB471">
        <f>AVERAGEIFS(Modelling[[Comisined DC ]],Modelling[Date],"&lt;="&amp;Modelling[[#This Row],[Date]],Modelling[Finacial Year],Modelling[[#This Row],[Finacial Year]])</f>
        <v>24.303100000000033</v>
      </c>
      <c r="CG471">
        <f t="shared" si="185"/>
        <v>27</v>
      </c>
      <c r="CH471">
        <f t="shared" si="186"/>
        <v>88</v>
      </c>
    </row>
    <row r="472" spans="1:86" x14ac:dyDescent="0.35">
      <c r="A472" s="27">
        <f t="shared" si="164"/>
        <v>45471</v>
      </c>
      <c r="B472" s="5">
        <f>MONTH(Modelling_old[[#This Row],[Date]])</f>
        <v>6</v>
      </c>
      <c r="C472" s="25">
        <f t="shared" si="165"/>
        <v>2025</v>
      </c>
      <c r="D472" s="3">
        <f t="shared" si="166"/>
        <v>2024</v>
      </c>
      <c r="E472" s="3" t="s">
        <v>627</v>
      </c>
      <c r="F472" s="3" t="s">
        <v>627</v>
      </c>
      <c r="G472" s="102">
        <f>DATE(Modelling_old[[#This Row],[Calendor Year]],Modelling_old[[#This Row],[Start Month]],1)</f>
        <v>45444</v>
      </c>
      <c r="H472" s="5">
        <f t="shared" si="167"/>
        <v>30</v>
      </c>
      <c r="I472" s="5">
        <f t="shared" si="168"/>
        <v>6</v>
      </c>
      <c r="J472" s="4">
        <f>_xlfn.XLOOKUP(Modelling_old[[#This Row],[Month]],$C$1:$C$14,$N$1:$N$14)/Modelling_old[[#This Row],[Total Days]]</f>
        <v>41.21</v>
      </c>
      <c r="K472" s="4">
        <f>SUM($J$445:J472)</f>
        <v>1153.8800000000003</v>
      </c>
      <c r="L472" s="4">
        <f>SUM($J$384:J472)</f>
        <v>4256.5800000000054</v>
      </c>
      <c r="M472" s="4">
        <f t="shared" si="169"/>
        <v>5.1233333333333331</v>
      </c>
      <c r="N472" s="4">
        <f>SUM($M$445:M472)</f>
        <v>143.45333333333335</v>
      </c>
      <c r="O472" s="4">
        <f>SUM($M$384:M472)</f>
        <v>544.55333333333283</v>
      </c>
      <c r="P472" s="323">
        <f t="shared" si="170"/>
        <v>0.69925423684408983</v>
      </c>
      <c r="Q472" s="337">
        <f t="shared" si="171"/>
        <v>0.69925423684408983</v>
      </c>
      <c r="R472" s="337">
        <f t="shared" si="172"/>
        <v>0.67952507013748153</v>
      </c>
      <c r="S472" s="323">
        <f t="shared" si="173"/>
        <v>0.14927135583741197</v>
      </c>
      <c r="T472" s="9">
        <f>Modelling_old[[#This Row],[Target E_Grid MTD
MWh]]/Modelling_old[[#This Row],[DC Capcity]]/(24*CG472)</f>
        <v>0.149271355837412</v>
      </c>
      <c r="U472" s="338">
        <f>Modelling_old[[#This Row],[Target E_Grid YTD
MWh]]/Modelling_old[[#This Row],[DC Capcity]]/(24*CH472)</f>
        <v>0.17323859645455636</v>
      </c>
      <c r="V472" s="134">
        <v>11.5031</v>
      </c>
      <c r="Y472" s="27">
        <f t="shared" si="187"/>
        <v>45471</v>
      </c>
      <c r="Z472" s="5">
        <f>MONTH(Modelling_new[[#This Row],[Date]])</f>
        <v>6</v>
      </c>
      <c r="AA472" s="25">
        <f>YEAR(Y472)+IF(MONTH(Modelling_new[[#This Row],[Date]])&gt;=4,1,0)</f>
        <v>2025</v>
      </c>
      <c r="AB472" s="3">
        <f t="shared" si="174"/>
        <v>2024</v>
      </c>
      <c r="AC472" s="3" t="s">
        <v>627</v>
      </c>
      <c r="AD472" s="3" t="s">
        <v>627</v>
      </c>
      <c r="AE472" s="102">
        <f>DATE(Modelling_old[[#This Row],[Calendor Year]],Modelling_old[[#This Row],[Start Month]],1)</f>
        <v>45444</v>
      </c>
      <c r="AF472" s="5">
        <f t="shared" si="175"/>
        <v>30</v>
      </c>
      <c r="AG472" s="5">
        <f t="shared" si="176"/>
        <v>6</v>
      </c>
      <c r="AH472" s="4">
        <f>_xlfn.XLOOKUP(Modelling_new[[#This Row],[Month]],$AA$1:$AA$14,$AL$1:$AL$14)/Modelling_new[[#This Row],[Total Days]]</f>
        <v>51.960119819336249</v>
      </c>
      <c r="AI472" s="4">
        <f>SUM($AH$445:AH472)</f>
        <v>1454.8833549414155</v>
      </c>
      <c r="AJ472" s="4">
        <f>SUM($AH$384:AH472)</f>
        <v>5785.8668059767961</v>
      </c>
      <c r="AK472" s="4">
        <f t="shared" si="177"/>
        <v>5.1233333333333331</v>
      </c>
      <c r="AL472" s="4">
        <f>SUM($AK$445:AK472)</f>
        <v>143.45333333333335</v>
      </c>
      <c r="AM472" s="4">
        <f>SUM($AK$384:AK472)</f>
        <v>544.55333333333283</v>
      </c>
      <c r="AN472" s="323">
        <f t="shared" si="178"/>
        <v>0.88166304126662065</v>
      </c>
      <c r="AO472" s="323">
        <f t="shared" si="179"/>
        <v>0.88166304126662087</v>
      </c>
      <c r="AP472" s="323">
        <f t="shared" si="180"/>
        <v>0.92366208250226789</v>
      </c>
      <c r="AQ472" s="323">
        <f t="shared" si="181"/>
        <v>0.18821056867038832</v>
      </c>
      <c r="AR472" s="323">
        <f>Modelling_new[[#This Row],[Target E_Grid MTD
MWh]]/Modelling_new[[#This Row],[MTD DC Capcity]]/(24*CG472)</f>
        <v>0.16914101503690185</v>
      </c>
      <c r="AS472" s="323">
        <f>Modelling_new[[#This Row],[Target E_Grid YTD
MWh]]/Modelling_new[[#This Row],[YTD DC Capcity]]/(24*CH472)</f>
        <v>0.21162024541991478</v>
      </c>
      <c r="AT472" s="5">
        <v>12.8</v>
      </c>
      <c r="AU472" s="9">
        <f>Modelling_new[[#This Row],[Comisined DC ]]/$AO$1</f>
        <v>1</v>
      </c>
      <c r="AV472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472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472" s="27">
        <f t="shared" si="188"/>
        <v>45471</v>
      </c>
      <c r="BE472" s="5">
        <f>MONTH(Modelling[[#This Row],[Date]])</f>
        <v>6</v>
      </c>
      <c r="BF472" s="25">
        <f>YEAR(BD472)+IF(MONTH(Modelling[[#This Row],[Date]])&gt;=4,1,0)</f>
        <v>2025</v>
      </c>
      <c r="BG472" s="3">
        <f t="shared" si="182"/>
        <v>2024</v>
      </c>
      <c r="BH472" s="3" t="s">
        <v>627</v>
      </c>
      <c r="BI472" s="3" t="s">
        <v>627</v>
      </c>
      <c r="BJ472" s="102">
        <f>DATE(Modelling_old[[#This Row],[Calendor Year]],Modelling_old[[#This Row],[Start Month]],1)</f>
        <v>45444</v>
      </c>
      <c r="BK472" s="5">
        <f t="shared" si="183"/>
        <v>30</v>
      </c>
      <c r="BL472" s="5">
        <f t="shared" si="184"/>
        <v>6</v>
      </c>
      <c r="BM472" s="4">
        <f>Modelling_old[[#This Row],[Target E_Grid daily
MWh]]+Modelling_new[[#This Row],[Target E_Grid daily
MWh]]</f>
        <v>93.17011981933625</v>
      </c>
      <c r="BN472" s="4">
        <f>Modelling_old[[#This Row],[Target E_Grid MTD
MWh]]+Modelling_new[[#This Row],[Target E_Grid MTD
MWh]]</f>
        <v>2608.7633549414159</v>
      </c>
      <c r="BO472" s="4">
        <f>Modelling_old[[#This Row],[Target E_Grid YTD
MWh]]+Modelling_new[[#This Row],[Target E_Grid YTD
MWh]]</f>
        <v>10042.446805976801</v>
      </c>
      <c r="BP472" s="4">
        <f>AVERAGE(Modelling_old[[#This Row],[Target POA Daily (KWh/m2)]],Modelling_new[[#This Row],[Target POA Daily (KWh/m2)]])</f>
        <v>5.1233333333333331</v>
      </c>
      <c r="BQ472" s="4">
        <f>SUM($BP$445:BP472)</f>
        <v>143.45333333333335</v>
      </c>
      <c r="BR472" s="4">
        <f>SUM($BP$384:BP472)</f>
        <v>544.55333333333283</v>
      </c>
      <c r="BS472" s="323">
        <f>BM472/Modelling[[#This Row],[Comisined DC ]]/BP472</f>
        <v>0.74827694992965155</v>
      </c>
      <c r="BT472" s="337">
        <f>BN472/BQ472/Modelling[[#This Row],[Comisined DC ]]</f>
        <v>0.74827694992965166</v>
      </c>
      <c r="BU472" s="337">
        <f>BO472/BR472/Modelling[[#This Row],[Comisined DC ]]</f>
        <v>0.75881768727159493</v>
      </c>
      <c r="BV472" s="323">
        <f>BM472/(24*Modelling[[#This Row],[Comisined DC ]])</f>
        <v>0.15973634333914921</v>
      </c>
      <c r="BW472" s="323">
        <f>Modelling[[#This Row],[Target E_Grid MTD
MWh]]/Modelling[[#This Row],[MTD DC Capcity]]/(24*CG472)</f>
        <v>0.15973634333914938</v>
      </c>
      <c r="BX472" s="338">
        <f>Modelling[[#This Row],[Target E_Grid YTD
MWh]]/Modelling[[#This Row],[YTD DC Capcity]]/(24*CH472)</f>
        <v>0.19345351170226449</v>
      </c>
      <c r="BY472" s="4">
        <f>Modelling_old[[#This Row],[DC Capcity]]+Modelling_new[[#This Row],[Comisined DC ]]</f>
        <v>24.303100000000001</v>
      </c>
      <c r="BZ472" s="4">
        <v>0</v>
      </c>
      <c r="CA472">
        <f>AVERAGEIFS(Modelling[[Comisined DC ]],Modelling[Date],"&lt;="&amp;Modelling[[#This Row],[Date]],Modelling[Month Year],Modelling[[#This Row],[Month Year]])</f>
        <v>24.303099999999983</v>
      </c>
      <c r="CB472">
        <f>AVERAGEIFS(Modelling[[Comisined DC ]],Modelling[Date],"&lt;="&amp;Modelling[[#This Row],[Date]],Modelling[Finacial Year],Modelling[[#This Row],[Finacial Year]])</f>
        <v>24.303100000000036</v>
      </c>
      <c r="CG472">
        <f t="shared" si="185"/>
        <v>28</v>
      </c>
      <c r="CH472">
        <f t="shared" si="186"/>
        <v>89</v>
      </c>
    </row>
    <row r="473" spans="1:86" x14ac:dyDescent="0.35">
      <c r="A473" s="27">
        <f t="shared" si="164"/>
        <v>45472</v>
      </c>
      <c r="B473" s="5">
        <f>MONTH(Modelling_old[[#This Row],[Date]])</f>
        <v>6</v>
      </c>
      <c r="C473" s="25">
        <f t="shared" si="165"/>
        <v>2025</v>
      </c>
      <c r="D473" s="3">
        <f t="shared" si="166"/>
        <v>2024</v>
      </c>
      <c r="E473" s="3" t="s">
        <v>627</v>
      </c>
      <c r="F473" s="3" t="s">
        <v>627</v>
      </c>
      <c r="G473" s="102">
        <f>DATE(Modelling_old[[#This Row],[Calendor Year]],Modelling_old[[#This Row],[Start Month]],1)</f>
        <v>45444</v>
      </c>
      <c r="H473" s="5">
        <f t="shared" si="167"/>
        <v>30</v>
      </c>
      <c r="I473" s="5">
        <f t="shared" si="168"/>
        <v>6</v>
      </c>
      <c r="J473" s="4">
        <f>_xlfn.XLOOKUP(Modelling_old[[#This Row],[Month]],$C$1:$C$14,$N$1:$N$14)/Modelling_old[[#This Row],[Total Days]]</f>
        <v>41.21</v>
      </c>
      <c r="K473" s="4">
        <f>SUM($J$445:J473)</f>
        <v>1195.0900000000004</v>
      </c>
      <c r="L473" s="4">
        <f>SUM($J$384:J473)</f>
        <v>4297.7900000000054</v>
      </c>
      <c r="M473" s="4">
        <f t="shared" si="169"/>
        <v>5.1233333333333331</v>
      </c>
      <c r="N473" s="4">
        <f>SUM($M$445:M473)</f>
        <v>148.57666666666668</v>
      </c>
      <c r="O473" s="4">
        <f>SUM($M$384:M473)</f>
        <v>549.67666666666616</v>
      </c>
      <c r="P473" s="323">
        <f t="shared" si="170"/>
        <v>0.69925423684408983</v>
      </c>
      <c r="Q473" s="337">
        <f t="shared" si="171"/>
        <v>0.69925423684408983</v>
      </c>
      <c r="R473" s="337">
        <f t="shared" si="172"/>
        <v>0.6797089584186411</v>
      </c>
      <c r="S473" s="323">
        <f t="shared" si="173"/>
        <v>0.14927135583741197</v>
      </c>
      <c r="T473" s="9">
        <f>Modelling_old[[#This Row],[Target E_Grid MTD
MWh]]/Modelling_old[[#This Row],[DC Capcity]]/(24*CG473)</f>
        <v>0.149271355837412</v>
      </c>
      <c r="U473" s="338">
        <f>Modelling_old[[#This Row],[Target E_Grid YTD
MWh]]/Modelling_old[[#This Row],[DC Capcity]]/(24*CH473)</f>
        <v>0.17297229378103252</v>
      </c>
      <c r="V473" s="134">
        <v>11.5031</v>
      </c>
      <c r="Y473" s="27">
        <f t="shared" si="187"/>
        <v>45472</v>
      </c>
      <c r="Z473" s="5">
        <f>MONTH(Modelling_new[[#This Row],[Date]])</f>
        <v>6</v>
      </c>
      <c r="AA473" s="25">
        <f>YEAR(Y473)+IF(MONTH(Modelling_new[[#This Row],[Date]])&gt;=4,1,0)</f>
        <v>2025</v>
      </c>
      <c r="AB473" s="3">
        <f t="shared" si="174"/>
        <v>2024</v>
      </c>
      <c r="AC473" s="3" t="s">
        <v>627</v>
      </c>
      <c r="AD473" s="3" t="s">
        <v>627</v>
      </c>
      <c r="AE473" s="102">
        <f>DATE(Modelling_old[[#This Row],[Calendor Year]],Modelling_old[[#This Row],[Start Month]],1)</f>
        <v>45444</v>
      </c>
      <c r="AF473" s="5">
        <f t="shared" si="175"/>
        <v>30</v>
      </c>
      <c r="AG473" s="5">
        <f t="shared" si="176"/>
        <v>6</v>
      </c>
      <c r="AH473" s="4">
        <f>_xlfn.XLOOKUP(Modelling_new[[#This Row],[Month]],$AA$1:$AA$14,$AL$1:$AL$14)/Modelling_new[[#This Row],[Total Days]]</f>
        <v>51.960119819336249</v>
      </c>
      <c r="AI473" s="4">
        <f>SUM($AH$445:AH473)</f>
        <v>1506.8434747607519</v>
      </c>
      <c r="AJ473" s="4">
        <f>SUM($AH$384:AH473)</f>
        <v>5837.8269257961319</v>
      </c>
      <c r="AK473" s="4">
        <f t="shared" si="177"/>
        <v>5.1233333333333331</v>
      </c>
      <c r="AL473" s="4">
        <f>SUM($AK$445:AK473)</f>
        <v>148.57666666666668</v>
      </c>
      <c r="AM473" s="4">
        <f>SUM($AK$384:AK473)</f>
        <v>549.67666666666616</v>
      </c>
      <c r="AN473" s="323">
        <f t="shared" si="178"/>
        <v>0.88166304126662065</v>
      </c>
      <c r="AO473" s="323">
        <f t="shared" si="179"/>
        <v>0.88166304126662087</v>
      </c>
      <c r="AP473" s="323">
        <f t="shared" si="180"/>
        <v>0.92327062494006962</v>
      </c>
      <c r="AQ473" s="323">
        <f t="shared" si="181"/>
        <v>0.18821056867038832</v>
      </c>
      <c r="AR473" s="323">
        <f>Modelling_new[[#This Row],[Target E_Grid MTD
MWh]]/Modelling_new[[#This Row],[MTD DC Capcity]]/(24*CG473)</f>
        <v>0.16914101503690185</v>
      </c>
      <c r="AS473" s="323">
        <f>Modelling_new[[#This Row],[Target E_Grid YTD
MWh]]/Modelling_new[[#This Row],[YTD DC Capcity]]/(24*CH473)</f>
        <v>0.21114825397121464</v>
      </c>
      <c r="AT473" s="5">
        <v>12.8</v>
      </c>
      <c r="AU473" s="9">
        <f>Modelling_new[[#This Row],[Comisined DC ]]/$AO$1</f>
        <v>1</v>
      </c>
      <c r="AV473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473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473" s="27">
        <f t="shared" si="188"/>
        <v>45472</v>
      </c>
      <c r="BE473" s="5">
        <f>MONTH(Modelling[[#This Row],[Date]])</f>
        <v>6</v>
      </c>
      <c r="BF473" s="25">
        <f>YEAR(BD473)+IF(MONTH(Modelling[[#This Row],[Date]])&gt;=4,1,0)</f>
        <v>2025</v>
      </c>
      <c r="BG473" s="3">
        <f t="shared" si="182"/>
        <v>2024</v>
      </c>
      <c r="BH473" s="3" t="s">
        <v>627</v>
      </c>
      <c r="BI473" s="3" t="s">
        <v>627</v>
      </c>
      <c r="BJ473" s="102">
        <f>DATE(Modelling_old[[#This Row],[Calendor Year]],Modelling_old[[#This Row],[Start Month]],1)</f>
        <v>45444</v>
      </c>
      <c r="BK473" s="5">
        <f t="shared" si="183"/>
        <v>30</v>
      </c>
      <c r="BL473" s="5">
        <f t="shared" si="184"/>
        <v>6</v>
      </c>
      <c r="BM473" s="4">
        <f>Modelling_old[[#This Row],[Target E_Grid daily
MWh]]+Modelling_new[[#This Row],[Target E_Grid daily
MWh]]</f>
        <v>93.17011981933625</v>
      </c>
      <c r="BN473" s="4">
        <f>Modelling_old[[#This Row],[Target E_Grid MTD
MWh]]+Modelling_new[[#This Row],[Target E_Grid MTD
MWh]]</f>
        <v>2701.9334747607522</v>
      </c>
      <c r="BO473" s="4">
        <f>Modelling_old[[#This Row],[Target E_Grid YTD
MWh]]+Modelling_new[[#This Row],[Target E_Grid YTD
MWh]]</f>
        <v>10135.616925796137</v>
      </c>
      <c r="BP473" s="4">
        <f>AVERAGE(Modelling_old[[#This Row],[Target POA Daily (KWh/m2)]],Modelling_new[[#This Row],[Target POA Daily (KWh/m2)]])</f>
        <v>5.1233333333333331</v>
      </c>
      <c r="BQ473" s="4">
        <f>SUM($BP$445:BP473)</f>
        <v>148.57666666666668</v>
      </c>
      <c r="BR473" s="4">
        <f>SUM($BP$384:BP473)</f>
        <v>549.67666666666616</v>
      </c>
      <c r="BS473" s="323">
        <f>BM473/Modelling[[#This Row],[Comisined DC ]]/BP473</f>
        <v>0.74827694992965155</v>
      </c>
      <c r="BT473" s="337">
        <f>BN473/BQ473/Modelling[[#This Row],[Comisined DC ]]</f>
        <v>0.74827694992965166</v>
      </c>
      <c r="BU473" s="337">
        <f>BO473/BR473/Modelling[[#This Row],[Comisined DC ]]</f>
        <v>0.75871944094924437</v>
      </c>
      <c r="BV473" s="323">
        <f>BM473/(24*Modelling[[#This Row],[Comisined DC ]])</f>
        <v>0.15973634333914921</v>
      </c>
      <c r="BW473" s="323">
        <f>Modelling[[#This Row],[Target E_Grid MTD
MWh]]/Modelling[[#This Row],[MTD DC Capcity]]/(24*CG473)</f>
        <v>0.15973634333914938</v>
      </c>
      <c r="BX473" s="338">
        <f>Modelling[[#This Row],[Target E_Grid YTD
MWh]]/Modelling[[#This Row],[YTD DC Capcity]]/(24*CH473)</f>
        <v>0.19307887649822988</v>
      </c>
      <c r="BY473" s="4">
        <f>Modelling_old[[#This Row],[DC Capcity]]+Modelling_new[[#This Row],[Comisined DC ]]</f>
        <v>24.303100000000001</v>
      </c>
      <c r="BZ473" s="4">
        <v>0</v>
      </c>
      <c r="CA473">
        <f>AVERAGEIFS(Modelling[[Comisined DC ]],Modelling[Date],"&lt;="&amp;Modelling[[#This Row],[Date]],Modelling[Month Year],Modelling[[#This Row],[Month Year]])</f>
        <v>24.303099999999983</v>
      </c>
      <c r="CB473">
        <f>AVERAGEIFS(Modelling[[Comisined DC ]],Modelling[Date],"&lt;="&amp;Modelling[[#This Row],[Date]],Modelling[Finacial Year],Modelling[[#This Row],[Finacial Year]])</f>
        <v>24.303100000000036</v>
      </c>
      <c r="CG473">
        <f t="shared" si="185"/>
        <v>29</v>
      </c>
      <c r="CH473">
        <f t="shared" si="186"/>
        <v>90</v>
      </c>
    </row>
    <row r="474" spans="1:86" x14ac:dyDescent="0.35">
      <c r="A474" s="27">
        <f t="shared" si="164"/>
        <v>45473</v>
      </c>
      <c r="B474" s="5">
        <f>MONTH(Modelling_old[[#This Row],[Date]])</f>
        <v>6</v>
      </c>
      <c r="C474" s="25">
        <f t="shared" si="165"/>
        <v>2025</v>
      </c>
      <c r="D474" s="3">
        <f t="shared" si="166"/>
        <v>2024</v>
      </c>
      <c r="E474" s="3" t="s">
        <v>627</v>
      </c>
      <c r="F474" s="3" t="s">
        <v>627</v>
      </c>
      <c r="G474" s="102">
        <f>DATE(Modelling_old[[#This Row],[Calendor Year]],Modelling_old[[#This Row],[Start Month]],1)</f>
        <v>45444</v>
      </c>
      <c r="H474" s="5">
        <f t="shared" si="167"/>
        <v>30</v>
      </c>
      <c r="I474" s="5">
        <f t="shared" si="168"/>
        <v>6</v>
      </c>
      <c r="J474" s="4">
        <f>_xlfn.XLOOKUP(Modelling_old[[#This Row],[Month]],$C$1:$C$14,$N$1:$N$14)/Modelling_old[[#This Row],[Total Days]]</f>
        <v>41.21</v>
      </c>
      <c r="K474" s="4">
        <f>SUM($J$445:J474)</f>
        <v>1236.3000000000004</v>
      </c>
      <c r="L474" s="4">
        <f>SUM($J$384:J474)</f>
        <v>4339.0000000000055</v>
      </c>
      <c r="M474" s="4">
        <f t="shared" si="169"/>
        <v>5.1233333333333331</v>
      </c>
      <c r="N474" s="4">
        <f>SUM($M$445:M474)</f>
        <v>153.70000000000002</v>
      </c>
      <c r="O474" s="4">
        <f>SUM($M$384:M474)</f>
        <v>554.7999999999995</v>
      </c>
      <c r="P474" s="323">
        <f t="shared" si="170"/>
        <v>0.69925423684408983</v>
      </c>
      <c r="Q474" s="337">
        <f t="shared" si="171"/>
        <v>0.69925423684408983</v>
      </c>
      <c r="R474" s="337">
        <f t="shared" si="172"/>
        <v>0.67988945044543703</v>
      </c>
      <c r="S474" s="323">
        <f t="shared" si="173"/>
        <v>0.14927135583741197</v>
      </c>
      <c r="T474" s="9">
        <f>Modelling_old[[#This Row],[Target E_Grid MTD
MWh]]/Modelling_old[[#This Row],[DC Capcity]]/(24*CG474)</f>
        <v>0.149271355837412</v>
      </c>
      <c r="U474" s="338">
        <f>Modelling_old[[#This Row],[Target E_Grid YTD
MWh]]/Modelling_old[[#This Row],[DC Capcity]]/(24*CH474)</f>
        <v>0.17271184391352021</v>
      </c>
      <c r="V474" s="134">
        <v>11.5031</v>
      </c>
      <c r="Y474" s="27">
        <f t="shared" si="187"/>
        <v>45473</v>
      </c>
      <c r="Z474" s="5">
        <f>MONTH(Modelling_new[[#This Row],[Date]])</f>
        <v>6</v>
      </c>
      <c r="AA474" s="25">
        <f>YEAR(Y474)+IF(MONTH(Modelling_new[[#This Row],[Date]])&gt;=4,1,0)</f>
        <v>2025</v>
      </c>
      <c r="AB474" s="3">
        <f t="shared" si="174"/>
        <v>2024</v>
      </c>
      <c r="AC474" s="3" t="s">
        <v>627</v>
      </c>
      <c r="AD474" s="3" t="s">
        <v>627</v>
      </c>
      <c r="AE474" s="102">
        <f>DATE(Modelling_old[[#This Row],[Calendor Year]],Modelling_old[[#This Row],[Start Month]],1)</f>
        <v>45444</v>
      </c>
      <c r="AF474" s="5">
        <f t="shared" si="175"/>
        <v>30</v>
      </c>
      <c r="AG474" s="5">
        <f t="shared" si="176"/>
        <v>6</v>
      </c>
      <c r="AH474" s="4">
        <f>_xlfn.XLOOKUP(Modelling_new[[#This Row],[Month]],$AA$1:$AA$14,$AL$1:$AL$14)/Modelling_new[[#This Row],[Total Days]]</f>
        <v>51.960119819336249</v>
      </c>
      <c r="AI474" s="4">
        <f>SUM($AH$445:AH474)</f>
        <v>1558.8035945800882</v>
      </c>
      <c r="AJ474" s="4">
        <f>SUM($AH$384:AH474)</f>
        <v>5889.7870456154678</v>
      </c>
      <c r="AK474" s="4">
        <f t="shared" si="177"/>
        <v>5.1233333333333331</v>
      </c>
      <c r="AL474" s="4">
        <f>SUM($AK$445:AK474)</f>
        <v>153.70000000000002</v>
      </c>
      <c r="AM474" s="4">
        <f>SUM($AK$384:AK474)</f>
        <v>554.7999999999995</v>
      </c>
      <c r="AN474" s="323">
        <f t="shared" si="178"/>
        <v>0.88166304126662065</v>
      </c>
      <c r="AO474" s="323">
        <f t="shared" si="179"/>
        <v>0.88166304126662087</v>
      </c>
      <c r="AP474" s="323">
        <f t="shared" si="180"/>
        <v>0.92288639725377952</v>
      </c>
      <c r="AQ474" s="323">
        <f t="shared" si="181"/>
        <v>0.18821056867038832</v>
      </c>
      <c r="AR474" s="323">
        <f>Modelling_new[[#This Row],[Target E_Grid MTD
MWh]]/Modelling_new[[#This Row],[MTD DC Capcity]]/(24*CG474)</f>
        <v>0.16914101503690185</v>
      </c>
      <c r="AS474" s="323">
        <f>Modelling_new[[#This Row],[Target E_Grid YTD
MWh]]/Modelling_new[[#This Row],[YTD DC Capcity]]/(24*CH474)</f>
        <v>0.21068663596094744</v>
      </c>
      <c r="AT474" s="5">
        <v>12.8</v>
      </c>
      <c r="AU474" s="9">
        <f>Modelling_new[[#This Row],[Comisined DC ]]/$AO$1</f>
        <v>1</v>
      </c>
      <c r="AV474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474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474" s="27">
        <f t="shared" si="188"/>
        <v>45473</v>
      </c>
      <c r="BE474" s="5">
        <f>MONTH(Modelling[[#This Row],[Date]])</f>
        <v>6</v>
      </c>
      <c r="BF474" s="25">
        <f>YEAR(BD474)+IF(MONTH(Modelling[[#This Row],[Date]])&gt;=4,1,0)</f>
        <v>2025</v>
      </c>
      <c r="BG474" s="3">
        <f t="shared" si="182"/>
        <v>2024</v>
      </c>
      <c r="BH474" s="3" t="s">
        <v>627</v>
      </c>
      <c r="BI474" s="3" t="s">
        <v>627</v>
      </c>
      <c r="BJ474" s="102">
        <f>DATE(Modelling_old[[#This Row],[Calendor Year]],Modelling_old[[#This Row],[Start Month]],1)</f>
        <v>45444</v>
      </c>
      <c r="BK474" s="5">
        <f t="shared" si="183"/>
        <v>30</v>
      </c>
      <c r="BL474" s="5">
        <f t="shared" si="184"/>
        <v>6</v>
      </c>
      <c r="BM474" s="4">
        <f>Modelling_old[[#This Row],[Target E_Grid daily
MWh]]+Modelling_new[[#This Row],[Target E_Grid daily
MWh]]</f>
        <v>93.17011981933625</v>
      </c>
      <c r="BN474" s="4">
        <f>Modelling_old[[#This Row],[Target E_Grid MTD
MWh]]+Modelling_new[[#This Row],[Target E_Grid MTD
MWh]]</f>
        <v>2795.1035945800886</v>
      </c>
      <c r="BO474" s="4">
        <f>Modelling_old[[#This Row],[Target E_Grid YTD
MWh]]+Modelling_new[[#This Row],[Target E_Grid YTD
MWh]]</f>
        <v>10228.787045615474</v>
      </c>
      <c r="BP474" s="4">
        <f>AVERAGE(Modelling_old[[#This Row],[Target POA Daily (KWh/m2)]],Modelling_new[[#This Row],[Target POA Daily (KWh/m2)]])</f>
        <v>5.1233333333333331</v>
      </c>
      <c r="BQ474" s="4">
        <f>SUM($BP$445:BP474)</f>
        <v>153.70000000000002</v>
      </c>
      <c r="BR474" s="4">
        <f>SUM($BP$384:BP474)</f>
        <v>554.7999999999995</v>
      </c>
      <c r="BS474" s="323">
        <f>BM474/Modelling[[#This Row],[Comisined DC ]]/BP474</f>
        <v>0.74827694992965155</v>
      </c>
      <c r="BT474" s="337">
        <f>BN474/BQ474/Modelling[[#This Row],[Comisined DC ]]</f>
        <v>0.74827694992965166</v>
      </c>
      <c r="BU474" s="337">
        <f>BO474/BR474/Modelling[[#This Row],[Comisined DC ]]</f>
        <v>0.75862300914981462</v>
      </c>
      <c r="BV474" s="323">
        <f>BM474/(24*Modelling[[#This Row],[Comisined DC ]])</f>
        <v>0.15973634333914921</v>
      </c>
      <c r="BW474" s="323">
        <f>Modelling[[#This Row],[Target E_Grid MTD
MWh]]/Modelling[[#This Row],[MTD DC Capcity]]/(24*CG474)</f>
        <v>0.15973634333914938</v>
      </c>
      <c r="BX474" s="338">
        <f>Modelling[[#This Row],[Target E_Grid YTD
MWh]]/Modelling[[#This Row],[YTD DC Capcity]]/(24*CH474)</f>
        <v>0.19271247503494329</v>
      </c>
      <c r="BY474" s="4">
        <f>Modelling_old[[#This Row],[DC Capcity]]+Modelling_new[[#This Row],[Comisined DC ]]</f>
        <v>24.303100000000001</v>
      </c>
      <c r="BZ474" s="4">
        <v>0</v>
      </c>
      <c r="CA474">
        <f>AVERAGEIFS(Modelling[[Comisined DC ]],Modelling[Date],"&lt;="&amp;Modelling[[#This Row],[Date]],Modelling[Month Year],Modelling[[#This Row],[Month Year]])</f>
        <v>24.303099999999983</v>
      </c>
      <c r="CB474">
        <f>AVERAGEIFS(Modelling[[Comisined DC ]],Modelling[Date],"&lt;="&amp;Modelling[[#This Row],[Date]],Modelling[Finacial Year],Modelling[[#This Row],[Finacial Year]])</f>
        <v>24.303100000000036</v>
      </c>
      <c r="CG474">
        <f t="shared" si="185"/>
        <v>30</v>
      </c>
      <c r="CH474">
        <f t="shared" si="186"/>
        <v>91</v>
      </c>
    </row>
    <row r="475" spans="1:86" x14ac:dyDescent="0.35">
      <c r="A475" s="27">
        <f t="shared" si="164"/>
        <v>45474</v>
      </c>
      <c r="B475" s="5">
        <f>MONTH(Modelling_old[[#This Row],[Date]])</f>
        <v>7</v>
      </c>
      <c r="C475" s="25">
        <f t="shared" si="165"/>
        <v>2025</v>
      </c>
      <c r="D475" s="3">
        <f t="shared" si="166"/>
        <v>2024</v>
      </c>
      <c r="E475" s="3" t="s">
        <v>627</v>
      </c>
      <c r="F475" s="3" t="s">
        <v>627</v>
      </c>
      <c r="G475" s="102">
        <f>DATE(Modelling_old[[#This Row],[Calendor Year]],Modelling_old[[#This Row],[Start Month]],1)</f>
        <v>45474</v>
      </c>
      <c r="H475" s="5">
        <f t="shared" si="167"/>
        <v>31</v>
      </c>
      <c r="I475" s="5">
        <f t="shared" si="168"/>
        <v>7</v>
      </c>
      <c r="J475" s="4">
        <f>_xlfn.XLOOKUP(Modelling_old[[#This Row],[Month]],$C$1:$C$14,$N$1:$N$14)/Modelling_old[[#This Row],[Total Days]]</f>
        <v>36.264516129032259</v>
      </c>
      <c r="K475" s="4">
        <f>SUM($J$475:J475)</f>
        <v>36.264516129032259</v>
      </c>
      <c r="L475" s="4">
        <f>SUM($J$384:J475)</f>
        <v>4375.2645161290375</v>
      </c>
      <c r="M475" s="4">
        <f t="shared" si="169"/>
        <v>4.4064516129032256</v>
      </c>
      <c r="N475" s="4">
        <f>SUM($M$475:M475)</f>
        <v>4.4064516129032256</v>
      </c>
      <c r="O475" s="4">
        <f>SUM($M$384:M475)</f>
        <v>559.2064516129027</v>
      </c>
      <c r="P475" s="323">
        <f t="shared" si="170"/>
        <v>0.71544785565665769</v>
      </c>
      <c r="Q475" s="337">
        <f t="shared" si="171"/>
        <v>0.71544785565665781</v>
      </c>
      <c r="R475" s="337">
        <f t="shared" si="172"/>
        <v>0.6801696446233535</v>
      </c>
      <c r="S475" s="323">
        <f t="shared" si="173"/>
        <v>0.13135776489610143</v>
      </c>
      <c r="T475" s="9">
        <f>Modelling_old[[#This Row],[Target E_Grid MTD
MWh]]/Modelling_old[[#This Row],[DC Capcity]]/(24*CG475)</f>
        <v>0.1313577648961014</v>
      </c>
      <c r="U475" s="338">
        <f>Modelling_old[[#This Row],[Target E_Grid YTD
MWh]]/Modelling_old[[#This Row],[DC Capcity]]/(24*CH475)</f>
        <v>0.1722623430546352</v>
      </c>
      <c r="V475" s="134">
        <v>11.5031</v>
      </c>
      <c r="Y475" s="27">
        <f t="shared" si="187"/>
        <v>45474</v>
      </c>
      <c r="Z475" s="5">
        <f>MONTH(Modelling_new[[#This Row],[Date]])</f>
        <v>7</v>
      </c>
      <c r="AA475" s="25">
        <f>YEAR(Y475)+IF(MONTH(Modelling_new[[#This Row],[Date]])&gt;=4,1,0)</f>
        <v>2025</v>
      </c>
      <c r="AB475" s="3">
        <f t="shared" si="174"/>
        <v>2024</v>
      </c>
      <c r="AC475" s="3" t="s">
        <v>627</v>
      </c>
      <c r="AD475" s="3" t="s">
        <v>627</v>
      </c>
      <c r="AE475" s="102">
        <f>DATE(Modelling_old[[#This Row],[Calendor Year]],Modelling_old[[#This Row],[Start Month]],1)</f>
        <v>45474</v>
      </c>
      <c r="AF475" s="5">
        <f t="shared" si="175"/>
        <v>31</v>
      </c>
      <c r="AG475" s="5">
        <f t="shared" si="176"/>
        <v>7</v>
      </c>
      <c r="AH475" s="4">
        <f>_xlfn.XLOOKUP(Modelling_new[[#This Row],[Month]],$AA$1:$AA$14,$AL$1:$AL$14)/Modelling_new[[#This Row],[Total Days]]</f>
        <v>41.560898063424602</v>
      </c>
      <c r="AI475" s="4">
        <f>SUM($AH$475:AH475)</f>
        <v>41.560898063424602</v>
      </c>
      <c r="AJ475" s="4">
        <f>SUM($AH$384:AH475)</f>
        <v>5931.3479436788921</v>
      </c>
      <c r="AK475" s="4">
        <f t="shared" si="177"/>
        <v>4.4064516129032256</v>
      </c>
      <c r="AL475" s="4">
        <f>SUM($AK$475:AK475)</f>
        <v>4.4064516129032256</v>
      </c>
      <c r="AM475" s="4">
        <f>SUM($AK$384:AK475)</f>
        <v>559.2064516129027</v>
      </c>
      <c r="AN475" s="323">
        <f t="shared" si="178"/>
        <v>0.81993801579603653</v>
      </c>
      <c r="AO475" s="323">
        <f t="shared" si="179"/>
        <v>0.81993801579603642</v>
      </c>
      <c r="AP475" s="323">
        <f t="shared" si="180"/>
        <v>0.9220751815387036</v>
      </c>
      <c r="AQ475" s="323">
        <f t="shared" si="181"/>
        <v>0.15054238300771317</v>
      </c>
      <c r="AR475" s="323">
        <f>Modelling_new[[#This Row],[Target E_Grid MTD
MWh]]/Modelling_new[[#This Row],[MTD DC Capcity]]/(24*CG475)</f>
        <v>0.13528938171687696</v>
      </c>
      <c r="AS475" s="323">
        <f>Modelling_new[[#This Row],[Target E_Grid YTD
MWh]]/Modelling_new[[#This Row],[YTD DC Capcity]]/(24*CH475)</f>
        <v>0.20986710058872929</v>
      </c>
      <c r="AT475" s="5">
        <v>12.8</v>
      </c>
      <c r="AU475" s="9">
        <f>Modelling_new[[#This Row],[Comisined DC ]]/$AO$1</f>
        <v>1</v>
      </c>
      <c r="AV475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75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475" s="27">
        <f t="shared" si="188"/>
        <v>45474</v>
      </c>
      <c r="BE475" s="5">
        <f>MONTH(Modelling[[#This Row],[Date]])</f>
        <v>7</v>
      </c>
      <c r="BF475" s="25">
        <f>YEAR(BD475)+IF(MONTH(Modelling[[#This Row],[Date]])&gt;=4,1,0)</f>
        <v>2025</v>
      </c>
      <c r="BG475" s="3">
        <f t="shared" si="182"/>
        <v>2024</v>
      </c>
      <c r="BH475" s="3" t="s">
        <v>627</v>
      </c>
      <c r="BI475" s="3" t="s">
        <v>627</v>
      </c>
      <c r="BJ475" s="102">
        <f>DATE(Modelling_old[[#This Row],[Calendor Year]],Modelling_old[[#This Row],[Start Month]],1)</f>
        <v>45474</v>
      </c>
      <c r="BK475" s="5">
        <f t="shared" si="183"/>
        <v>31</v>
      </c>
      <c r="BL475" s="5">
        <f t="shared" si="184"/>
        <v>7</v>
      </c>
      <c r="BM475" s="4">
        <f>Modelling_old[[#This Row],[Target E_Grid daily
MWh]]+Modelling_new[[#This Row],[Target E_Grid daily
MWh]]</f>
        <v>77.825414192456861</v>
      </c>
      <c r="BN475" s="4">
        <f>Modelling_old[[#This Row],[Target E_Grid MTD
MWh]]+Modelling_new[[#This Row],[Target E_Grid MTD
MWh]]</f>
        <v>77.825414192456861</v>
      </c>
      <c r="BO475" s="4">
        <f>Modelling_old[[#This Row],[Target E_Grid YTD
MWh]]+Modelling_new[[#This Row],[Target E_Grid YTD
MWh]]</f>
        <v>10306.61245980793</v>
      </c>
      <c r="BP475" s="4">
        <f>AVERAGE(Modelling_old[[#This Row],[Target POA Daily (KWh/m2)]],Modelling_new[[#This Row],[Target POA Daily (KWh/m2)]])</f>
        <v>4.4064516129032256</v>
      </c>
      <c r="BQ475" s="4">
        <f>SUM($BP$475:BP475)</f>
        <v>4.4064516129032256</v>
      </c>
      <c r="BR475" s="4">
        <f>SUM($BP$384:BP475)</f>
        <v>559.2064516129027</v>
      </c>
      <c r="BS475" s="323">
        <f>BM475/Modelling[[#This Row],[Comisined DC ]]/BP475</f>
        <v>0.72672610563703754</v>
      </c>
      <c r="BT475" s="337">
        <f>BN475/BQ475/Modelling[[#This Row],[Comisined DC ]]</f>
        <v>0.72672610563703754</v>
      </c>
      <c r="BU475" s="337">
        <f>BO475/BR475/Modelling[[#This Row],[Comisined DC ]]</f>
        <v>0.75837166698177427</v>
      </c>
      <c r="BV475" s="323">
        <f>BM475/(24*Modelling[[#This Row],[Comisined DC ]])</f>
        <v>0.13342847584680018</v>
      </c>
      <c r="BW475" s="323">
        <f>Modelling[[#This Row],[Target E_Grid MTD
MWh]]/Modelling[[#This Row],[MTD DC Capcity]]/(24*CG475)</f>
        <v>0.13342847584680018</v>
      </c>
      <c r="BX475" s="338">
        <f>Modelling[[#This Row],[Target E_Grid YTD
MWh]]/Modelling[[#This Row],[YTD DC Capcity]]/(24*CH475)</f>
        <v>0.19206808373941994</v>
      </c>
      <c r="BY475" s="4">
        <f>Modelling_old[[#This Row],[DC Capcity]]+Modelling_new[[#This Row],[Comisined DC ]]</f>
        <v>24.303100000000001</v>
      </c>
      <c r="BZ475" s="4">
        <v>0</v>
      </c>
      <c r="CA475">
        <f>AVERAGEIFS(Modelling[[Comisined DC ]],Modelling[Date],"&lt;="&amp;Modelling[[#This Row],[Date]],Modelling[Month Year],Modelling[[#This Row],[Month Year]])</f>
        <v>24.303100000000001</v>
      </c>
      <c r="CB475">
        <f>AVERAGEIFS(Modelling[[Comisined DC ]],Modelling[Date],"&lt;="&amp;Modelling[[#This Row],[Date]],Modelling[Finacial Year],Modelling[[#This Row],[Finacial Year]])</f>
        <v>24.303100000000036</v>
      </c>
      <c r="CG475">
        <v>1</v>
      </c>
      <c r="CH475">
        <f t="shared" si="186"/>
        <v>92</v>
      </c>
    </row>
    <row r="476" spans="1:86" x14ac:dyDescent="0.35">
      <c r="A476" s="27">
        <f t="shared" si="164"/>
        <v>45475</v>
      </c>
      <c r="B476" s="5">
        <f>MONTH(Modelling_old[[#This Row],[Date]])</f>
        <v>7</v>
      </c>
      <c r="C476" s="25">
        <f t="shared" si="165"/>
        <v>2025</v>
      </c>
      <c r="D476" s="3">
        <f t="shared" si="166"/>
        <v>2024</v>
      </c>
      <c r="E476" s="3" t="s">
        <v>627</v>
      </c>
      <c r="F476" s="3" t="s">
        <v>627</v>
      </c>
      <c r="G476" s="102">
        <f>DATE(Modelling_old[[#This Row],[Calendor Year]],Modelling_old[[#This Row],[Start Month]],1)</f>
        <v>45474</v>
      </c>
      <c r="H476" s="5">
        <f t="shared" si="167"/>
        <v>31</v>
      </c>
      <c r="I476" s="5">
        <f t="shared" si="168"/>
        <v>7</v>
      </c>
      <c r="J476" s="4">
        <f>_xlfn.XLOOKUP(Modelling_old[[#This Row],[Month]],$C$1:$C$14,$N$1:$N$14)/Modelling_old[[#This Row],[Total Days]]</f>
        <v>36.264516129032259</v>
      </c>
      <c r="K476" s="4">
        <f>SUM($J$475:J476)</f>
        <v>72.529032258064518</v>
      </c>
      <c r="L476" s="4">
        <f>SUM($J$384:J476)</f>
        <v>4411.5290322580695</v>
      </c>
      <c r="M476" s="4">
        <f t="shared" si="169"/>
        <v>4.4064516129032256</v>
      </c>
      <c r="N476" s="4">
        <f>SUM($M$475:M476)</f>
        <v>8.8129032258064512</v>
      </c>
      <c r="O476" s="4">
        <f>SUM($M$384:M476)</f>
        <v>563.61290322580589</v>
      </c>
      <c r="P476" s="323">
        <f t="shared" si="170"/>
        <v>0.71544785565665769</v>
      </c>
      <c r="Q476" s="337">
        <f t="shared" si="171"/>
        <v>0.71544785565665781</v>
      </c>
      <c r="R476" s="337">
        <f t="shared" si="172"/>
        <v>0.68044545755988906</v>
      </c>
      <c r="S476" s="323">
        <f t="shared" si="173"/>
        <v>0.13135776489610143</v>
      </c>
      <c r="T476" s="9">
        <f>Modelling_old[[#This Row],[Target E_Grid MTD
MWh]]/Modelling_old[[#This Row],[DC Capcity]]/(24*CG476)</f>
        <v>0.1313577648961014</v>
      </c>
      <c r="U476" s="338">
        <f>Modelling_old[[#This Row],[Target E_Grid YTD
MWh]]/Modelling_old[[#This Row],[DC Capcity]]/(24*CH476)</f>
        <v>0.17182250888088754</v>
      </c>
      <c r="V476" s="134">
        <v>11.5031</v>
      </c>
      <c r="Y476" s="27">
        <f t="shared" si="187"/>
        <v>45475</v>
      </c>
      <c r="Z476" s="5">
        <f>MONTH(Modelling_new[[#This Row],[Date]])</f>
        <v>7</v>
      </c>
      <c r="AA476" s="25">
        <f>YEAR(Y476)+IF(MONTH(Modelling_new[[#This Row],[Date]])&gt;=4,1,0)</f>
        <v>2025</v>
      </c>
      <c r="AB476" s="3">
        <f t="shared" si="174"/>
        <v>2024</v>
      </c>
      <c r="AC476" s="3" t="s">
        <v>627</v>
      </c>
      <c r="AD476" s="3" t="s">
        <v>627</v>
      </c>
      <c r="AE476" s="102">
        <f>DATE(Modelling_old[[#This Row],[Calendor Year]],Modelling_old[[#This Row],[Start Month]],1)</f>
        <v>45474</v>
      </c>
      <c r="AF476" s="5">
        <f t="shared" si="175"/>
        <v>31</v>
      </c>
      <c r="AG476" s="5">
        <f t="shared" si="176"/>
        <v>7</v>
      </c>
      <c r="AH476" s="4">
        <f>_xlfn.XLOOKUP(Modelling_new[[#This Row],[Month]],$AA$1:$AA$14,$AL$1:$AL$14)/Modelling_new[[#This Row],[Total Days]]</f>
        <v>41.560898063424602</v>
      </c>
      <c r="AI476" s="4">
        <f>SUM($AH$475:AH476)</f>
        <v>83.121796126849205</v>
      </c>
      <c r="AJ476" s="4">
        <f>SUM($AH$384:AH476)</f>
        <v>5972.9088417423163</v>
      </c>
      <c r="AK476" s="4">
        <f t="shared" si="177"/>
        <v>4.4064516129032256</v>
      </c>
      <c r="AL476" s="4">
        <f>SUM($AK$475:AK476)</f>
        <v>8.8129032258064512</v>
      </c>
      <c r="AM476" s="4">
        <f>SUM($AK$384:AK476)</f>
        <v>563.61290322580589</v>
      </c>
      <c r="AN476" s="323">
        <f t="shared" si="178"/>
        <v>0.81993801579603653</v>
      </c>
      <c r="AO476" s="323">
        <f t="shared" si="179"/>
        <v>0.81993801579603642</v>
      </c>
      <c r="AP476" s="323">
        <f t="shared" si="180"/>
        <v>0.92127665035506989</v>
      </c>
      <c r="AQ476" s="323">
        <f t="shared" si="181"/>
        <v>0.15054238300771317</v>
      </c>
      <c r="AR476" s="323">
        <f>Modelling_new[[#This Row],[Target E_Grid MTD
MWh]]/Modelling_new[[#This Row],[MTD DC Capcity]]/(24*CG476)</f>
        <v>0.13528938171687696</v>
      </c>
      <c r="AS476" s="323">
        <f>Modelling_new[[#This Row],[Target E_Grid YTD
MWh]]/Modelling_new[[#This Row],[YTD DC Capcity]]/(24*CH476)</f>
        <v>0.20906518963311799</v>
      </c>
      <c r="AT476" s="5">
        <v>12.8</v>
      </c>
      <c r="AU476" s="9">
        <f>Modelling_new[[#This Row],[Comisined DC ]]/$AO$1</f>
        <v>1</v>
      </c>
      <c r="AV476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76" s="5">
        <f>AVERAGEIFS(Modelling_new[[Comisined DC ]],Modelling_new[Date],"&lt;="&amp;Modelling_new[[#This Row],[Date]],Modelling_new[[Comisined DC ]],"&gt;"&amp;0,Modelling_new[Finacial Year],Modelling_new[[#This Row],[Finacial Year]])</f>
        <v>12.799999999999976</v>
      </c>
      <c r="BD476" s="27">
        <f t="shared" si="188"/>
        <v>45475</v>
      </c>
      <c r="BE476" s="5">
        <f>MONTH(Modelling[[#This Row],[Date]])</f>
        <v>7</v>
      </c>
      <c r="BF476" s="25">
        <f>YEAR(BD476)+IF(MONTH(Modelling[[#This Row],[Date]])&gt;=4,1,0)</f>
        <v>2025</v>
      </c>
      <c r="BG476" s="3">
        <f t="shared" si="182"/>
        <v>2024</v>
      </c>
      <c r="BH476" s="3" t="s">
        <v>627</v>
      </c>
      <c r="BI476" s="3" t="s">
        <v>627</v>
      </c>
      <c r="BJ476" s="102">
        <f>DATE(Modelling_old[[#This Row],[Calendor Year]],Modelling_old[[#This Row],[Start Month]],1)</f>
        <v>45474</v>
      </c>
      <c r="BK476" s="5">
        <f t="shared" si="183"/>
        <v>31</v>
      </c>
      <c r="BL476" s="5">
        <f t="shared" si="184"/>
        <v>7</v>
      </c>
      <c r="BM476" s="4">
        <f>Modelling_old[[#This Row],[Target E_Grid daily
MWh]]+Modelling_new[[#This Row],[Target E_Grid daily
MWh]]</f>
        <v>77.825414192456861</v>
      </c>
      <c r="BN476" s="4">
        <f>Modelling_old[[#This Row],[Target E_Grid MTD
MWh]]+Modelling_new[[#This Row],[Target E_Grid MTD
MWh]]</f>
        <v>155.65082838491372</v>
      </c>
      <c r="BO476" s="4">
        <f>Modelling_old[[#This Row],[Target E_Grid YTD
MWh]]+Modelling_new[[#This Row],[Target E_Grid YTD
MWh]]</f>
        <v>10384.437874000385</v>
      </c>
      <c r="BP476" s="4">
        <f>AVERAGE(Modelling_old[[#This Row],[Target POA Daily (KWh/m2)]],Modelling_new[[#This Row],[Target POA Daily (KWh/m2)]])</f>
        <v>4.4064516129032256</v>
      </c>
      <c r="BQ476" s="4">
        <f>SUM($BP$475:BP476)</f>
        <v>8.8129032258064512</v>
      </c>
      <c r="BR476" s="4">
        <f>SUM($BP$384:BP476)</f>
        <v>563.61290322580589</v>
      </c>
      <c r="BS476" s="323">
        <f>BM476/Modelling[[#This Row],[Comisined DC ]]/BP476</f>
        <v>0.72672610563703754</v>
      </c>
      <c r="BT476" s="337">
        <f>BN476/BQ476/Modelling[[#This Row],[Comisined DC ]]</f>
        <v>0.72672610563703754</v>
      </c>
      <c r="BU476" s="337">
        <f>BO476/BR476/Modelling[[#This Row],[Comisined DC ]]</f>
        <v>0.75812425491219471</v>
      </c>
      <c r="BV476" s="323">
        <f>BM476/(24*Modelling[[#This Row],[Comisined DC ]])</f>
        <v>0.13342847584680018</v>
      </c>
      <c r="BW476" s="323">
        <f>Modelling[[#This Row],[Target E_Grid MTD
MWh]]/Modelling[[#This Row],[MTD DC Capcity]]/(24*CG476)</f>
        <v>0.13342847584680018</v>
      </c>
      <c r="BX476" s="338">
        <f>Modelling[[#This Row],[Target E_Grid YTD
MWh]]/Modelling[[#This Row],[YTD DC Capcity]]/(24*CH476)</f>
        <v>0.19143755032121973</v>
      </c>
      <c r="BY476" s="4">
        <f>Modelling_old[[#This Row],[DC Capcity]]+Modelling_new[[#This Row],[Comisined DC ]]</f>
        <v>24.303100000000001</v>
      </c>
      <c r="BZ476" s="4">
        <v>0</v>
      </c>
      <c r="CA476">
        <f>AVERAGEIFS(Modelling[[Comisined DC ]],Modelling[Date],"&lt;="&amp;Modelling[[#This Row],[Date]],Modelling[Month Year],Modelling[[#This Row],[Month Year]])</f>
        <v>24.303100000000001</v>
      </c>
      <c r="CB476">
        <f>AVERAGEIFS(Modelling[[Comisined DC ]],Modelling[Date],"&lt;="&amp;Modelling[[#This Row],[Date]],Modelling[Finacial Year],Modelling[[#This Row],[Finacial Year]])</f>
        <v>24.303100000000036</v>
      </c>
      <c r="CG476">
        <f t="shared" si="185"/>
        <v>2</v>
      </c>
      <c r="CH476">
        <f t="shared" si="186"/>
        <v>93</v>
      </c>
    </row>
    <row r="477" spans="1:86" x14ac:dyDescent="0.35">
      <c r="A477" s="27">
        <f t="shared" si="164"/>
        <v>45476</v>
      </c>
      <c r="B477" s="5">
        <f>MONTH(Modelling_old[[#This Row],[Date]])</f>
        <v>7</v>
      </c>
      <c r="C477" s="25">
        <f t="shared" si="165"/>
        <v>2025</v>
      </c>
      <c r="D477" s="3">
        <f t="shared" si="166"/>
        <v>2024</v>
      </c>
      <c r="E477" s="3" t="s">
        <v>627</v>
      </c>
      <c r="F477" s="3" t="s">
        <v>627</v>
      </c>
      <c r="G477" s="102">
        <f>DATE(Modelling_old[[#This Row],[Calendor Year]],Modelling_old[[#This Row],[Start Month]],1)</f>
        <v>45474</v>
      </c>
      <c r="H477" s="5">
        <f t="shared" si="167"/>
        <v>31</v>
      </c>
      <c r="I477" s="5">
        <f t="shared" si="168"/>
        <v>7</v>
      </c>
      <c r="J477" s="4">
        <f>_xlfn.XLOOKUP(Modelling_old[[#This Row],[Month]],$C$1:$C$14,$N$1:$N$14)/Modelling_old[[#This Row],[Total Days]]</f>
        <v>36.264516129032259</v>
      </c>
      <c r="K477" s="4">
        <f>SUM($J$475:J477)</f>
        <v>108.79354838709678</v>
      </c>
      <c r="L477" s="4">
        <f>SUM($J$384:J477)</f>
        <v>4447.7935483871015</v>
      </c>
      <c r="M477" s="4">
        <f t="shared" si="169"/>
        <v>4.4064516129032256</v>
      </c>
      <c r="N477" s="4">
        <f>SUM($M$475:M477)</f>
        <v>13.219354838709677</v>
      </c>
      <c r="O477" s="4">
        <f>SUM($M$384:M477)</f>
        <v>568.01935483870909</v>
      </c>
      <c r="P477" s="323">
        <f t="shared" si="170"/>
        <v>0.71544785565665769</v>
      </c>
      <c r="Q477" s="337">
        <f t="shared" si="171"/>
        <v>0.71544785565665781</v>
      </c>
      <c r="R477" s="337">
        <f t="shared" si="172"/>
        <v>0.68071699121844331</v>
      </c>
      <c r="S477" s="323">
        <f t="shared" si="173"/>
        <v>0.13135776489610143</v>
      </c>
      <c r="T477" s="9">
        <f>Modelling_old[[#This Row],[Target E_Grid MTD
MWh]]/Modelling_old[[#This Row],[DC Capcity]]/(24*CG477)</f>
        <v>0.1313577648961014</v>
      </c>
      <c r="U477" s="338">
        <f>Modelling_old[[#This Row],[Target E_Grid YTD
MWh]]/Modelling_old[[#This Row],[DC Capcity]]/(24*CH477)</f>
        <v>0.17139203288104934</v>
      </c>
      <c r="V477" s="134">
        <v>11.5031</v>
      </c>
      <c r="Y477" s="27">
        <f t="shared" si="187"/>
        <v>45476</v>
      </c>
      <c r="Z477" s="5">
        <f>MONTH(Modelling_new[[#This Row],[Date]])</f>
        <v>7</v>
      </c>
      <c r="AA477" s="25">
        <f>YEAR(Y477)+IF(MONTH(Modelling_new[[#This Row],[Date]])&gt;=4,1,0)</f>
        <v>2025</v>
      </c>
      <c r="AB477" s="3">
        <f t="shared" si="174"/>
        <v>2024</v>
      </c>
      <c r="AC477" s="3" t="s">
        <v>627</v>
      </c>
      <c r="AD477" s="3" t="s">
        <v>627</v>
      </c>
      <c r="AE477" s="102">
        <f>DATE(Modelling_old[[#This Row],[Calendor Year]],Modelling_old[[#This Row],[Start Month]],1)</f>
        <v>45474</v>
      </c>
      <c r="AF477" s="5">
        <f t="shared" si="175"/>
        <v>31</v>
      </c>
      <c r="AG477" s="5">
        <f t="shared" si="176"/>
        <v>7</v>
      </c>
      <c r="AH477" s="4">
        <f>_xlfn.XLOOKUP(Modelling_new[[#This Row],[Month]],$AA$1:$AA$14,$AL$1:$AL$14)/Modelling_new[[#This Row],[Total Days]]</f>
        <v>41.560898063424602</v>
      </c>
      <c r="AI477" s="4">
        <f>SUM($AH$475:AH477)</f>
        <v>124.68269419027381</v>
      </c>
      <c r="AJ477" s="4">
        <f>SUM($AH$384:AH477)</f>
        <v>6014.4697398057406</v>
      </c>
      <c r="AK477" s="4">
        <f t="shared" si="177"/>
        <v>4.4064516129032256</v>
      </c>
      <c r="AL477" s="4">
        <f>SUM($AK$475:AK477)</f>
        <v>13.219354838709677</v>
      </c>
      <c r="AM477" s="4">
        <f>SUM($AK$384:AK477)</f>
        <v>568.01935483870909</v>
      </c>
      <c r="AN477" s="323">
        <f t="shared" si="178"/>
        <v>0.81993801579603653</v>
      </c>
      <c r="AO477" s="323">
        <f t="shared" si="179"/>
        <v>0.81993801579603642</v>
      </c>
      <c r="AP477" s="323">
        <f t="shared" si="180"/>
        <v>0.92049050849934233</v>
      </c>
      <c r="AQ477" s="323">
        <f t="shared" si="181"/>
        <v>0.15054238300771317</v>
      </c>
      <c r="AR477" s="323">
        <f>Modelling_new[[#This Row],[Target E_Grid MTD
MWh]]/Modelling_new[[#This Row],[MTD DC Capcity]]/(24*CG477)</f>
        <v>0.13528938171687693</v>
      </c>
      <c r="AS477" s="323">
        <f>Modelling_new[[#This Row],[Target E_Grid YTD
MWh]]/Modelling_new[[#This Row],[YTD DC Capcity]]/(24*CH477)</f>
        <v>0.20828034061273243</v>
      </c>
      <c r="AT477" s="5">
        <v>12.8</v>
      </c>
      <c r="AU477" s="9">
        <f>Modelling_new[[#This Row],[Comisined DC ]]/$AO$1</f>
        <v>1</v>
      </c>
      <c r="AV477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77" s="5">
        <f>AVERAGEIFS(Modelling_new[[Comisined DC ]],Modelling_new[Date],"&lt;="&amp;Modelling_new[[#This Row],[Date]],Modelling_new[[Comisined DC ]],"&gt;"&amp;0,Modelling_new[Finacial Year],Modelling_new[[#This Row],[Finacial Year]])</f>
        <v>12.799999999999976</v>
      </c>
      <c r="BD477" s="27">
        <f t="shared" si="188"/>
        <v>45476</v>
      </c>
      <c r="BE477" s="5">
        <f>MONTH(Modelling[[#This Row],[Date]])</f>
        <v>7</v>
      </c>
      <c r="BF477" s="25">
        <f>YEAR(BD477)+IF(MONTH(Modelling[[#This Row],[Date]])&gt;=4,1,0)</f>
        <v>2025</v>
      </c>
      <c r="BG477" s="3">
        <f t="shared" si="182"/>
        <v>2024</v>
      </c>
      <c r="BH477" s="3" t="s">
        <v>627</v>
      </c>
      <c r="BI477" s="3" t="s">
        <v>627</v>
      </c>
      <c r="BJ477" s="102">
        <f>DATE(Modelling_old[[#This Row],[Calendor Year]],Modelling_old[[#This Row],[Start Month]],1)</f>
        <v>45474</v>
      </c>
      <c r="BK477" s="5">
        <f t="shared" si="183"/>
        <v>31</v>
      </c>
      <c r="BL477" s="5">
        <f t="shared" si="184"/>
        <v>7</v>
      </c>
      <c r="BM477" s="4">
        <f>Modelling_old[[#This Row],[Target E_Grid daily
MWh]]+Modelling_new[[#This Row],[Target E_Grid daily
MWh]]</f>
        <v>77.825414192456861</v>
      </c>
      <c r="BN477" s="4">
        <f>Modelling_old[[#This Row],[Target E_Grid MTD
MWh]]+Modelling_new[[#This Row],[Target E_Grid MTD
MWh]]</f>
        <v>233.47624257737058</v>
      </c>
      <c r="BO477" s="4">
        <f>Modelling_old[[#This Row],[Target E_Grid YTD
MWh]]+Modelling_new[[#This Row],[Target E_Grid YTD
MWh]]</f>
        <v>10462.263288192842</v>
      </c>
      <c r="BP477" s="4">
        <f>AVERAGE(Modelling_old[[#This Row],[Target POA Daily (KWh/m2)]],Modelling_new[[#This Row],[Target POA Daily (KWh/m2)]])</f>
        <v>4.4064516129032256</v>
      </c>
      <c r="BQ477" s="4">
        <f>SUM($BP$475:BP477)</f>
        <v>13.219354838709677</v>
      </c>
      <c r="BR477" s="4">
        <f>SUM($BP$384:BP477)</f>
        <v>568.01935483870909</v>
      </c>
      <c r="BS477" s="323">
        <f>BM477/Modelling[[#This Row],[Comisined DC ]]/BP477</f>
        <v>0.72672610563703754</v>
      </c>
      <c r="BT477" s="337">
        <f>BN477/BQ477/Modelling[[#This Row],[Comisined DC ]]</f>
        <v>0.72672610563703754</v>
      </c>
      <c r="BU477" s="337">
        <f>BO477/BR477/Modelling[[#This Row],[Comisined DC ]]</f>
        <v>0.75788068147699927</v>
      </c>
      <c r="BV477" s="323">
        <f>BM477/(24*Modelling[[#This Row],[Comisined DC ]])</f>
        <v>0.13342847584680018</v>
      </c>
      <c r="BW477" s="323">
        <f>Modelling[[#This Row],[Target E_Grid MTD
MWh]]/Modelling[[#This Row],[MTD DC Capcity]]/(24*CG477)</f>
        <v>0.13342847584680018</v>
      </c>
      <c r="BX477" s="338">
        <f>Modelling[[#This Row],[Target E_Grid YTD
MWh]]/Modelling[[#This Row],[YTD DC Capcity]]/(24*CH477)</f>
        <v>0.19082043250766209</v>
      </c>
      <c r="BY477" s="4">
        <f>Modelling_old[[#This Row],[DC Capcity]]+Modelling_new[[#This Row],[Comisined DC ]]</f>
        <v>24.303100000000001</v>
      </c>
      <c r="BZ477" s="4">
        <v>0</v>
      </c>
      <c r="CA477">
        <f>AVERAGEIFS(Modelling[[Comisined DC ]],Modelling[Date],"&lt;="&amp;Modelling[[#This Row],[Date]],Modelling[Month Year],Modelling[[#This Row],[Month Year]])</f>
        <v>24.303100000000001</v>
      </c>
      <c r="CB477">
        <f>AVERAGEIFS(Modelling[[Comisined DC ]],Modelling[Date],"&lt;="&amp;Modelling[[#This Row],[Date]],Modelling[Finacial Year],Modelling[[#This Row],[Finacial Year]])</f>
        <v>24.303100000000036</v>
      </c>
      <c r="CG477">
        <f t="shared" si="185"/>
        <v>3</v>
      </c>
      <c r="CH477">
        <f t="shared" si="186"/>
        <v>94</v>
      </c>
    </row>
    <row r="478" spans="1:86" x14ac:dyDescent="0.35">
      <c r="A478" s="27">
        <f t="shared" si="164"/>
        <v>45477</v>
      </c>
      <c r="B478" s="5">
        <f>MONTH(Modelling_old[[#This Row],[Date]])</f>
        <v>7</v>
      </c>
      <c r="C478" s="25">
        <f t="shared" si="165"/>
        <v>2025</v>
      </c>
      <c r="D478" s="3">
        <f t="shared" si="166"/>
        <v>2024</v>
      </c>
      <c r="E478" s="3" t="s">
        <v>627</v>
      </c>
      <c r="F478" s="3" t="s">
        <v>627</v>
      </c>
      <c r="G478" s="102">
        <f>DATE(Modelling_old[[#This Row],[Calendor Year]],Modelling_old[[#This Row],[Start Month]],1)</f>
        <v>45474</v>
      </c>
      <c r="H478" s="5">
        <f t="shared" si="167"/>
        <v>31</v>
      </c>
      <c r="I478" s="5">
        <f t="shared" si="168"/>
        <v>7</v>
      </c>
      <c r="J478" s="4">
        <f>_xlfn.XLOOKUP(Modelling_old[[#This Row],[Month]],$C$1:$C$14,$N$1:$N$14)/Modelling_old[[#This Row],[Total Days]]</f>
        <v>36.264516129032259</v>
      </c>
      <c r="K478" s="4">
        <f>SUM($J$475:J478)</f>
        <v>145.05806451612904</v>
      </c>
      <c r="L478" s="4">
        <f>SUM($J$384:J478)</f>
        <v>4484.0580645161335</v>
      </c>
      <c r="M478" s="4">
        <f t="shared" si="169"/>
        <v>4.4064516129032256</v>
      </c>
      <c r="N478" s="4">
        <f>SUM($M$475:M478)</f>
        <v>17.625806451612902</v>
      </c>
      <c r="O478" s="4">
        <f>SUM($M$384:M478)</f>
        <v>572.42580645161229</v>
      </c>
      <c r="P478" s="323">
        <f t="shared" si="170"/>
        <v>0.71544785565665769</v>
      </c>
      <c r="Q478" s="337">
        <f t="shared" si="171"/>
        <v>0.71544785565665781</v>
      </c>
      <c r="R478" s="337">
        <f t="shared" si="172"/>
        <v>0.68098434442281741</v>
      </c>
      <c r="S478" s="323">
        <f t="shared" si="173"/>
        <v>0.13135776489610143</v>
      </c>
      <c r="T478" s="9">
        <f>Modelling_old[[#This Row],[Target E_Grid MTD
MWh]]/Modelling_old[[#This Row],[DC Capcity]]/(24*CG478)</f>
        <v>0.1313577648961014</v>
      </c>
      <c r="U478" s="338">
        <f>Modelling_old[[#This Row],[Target E_Grid YTD
MWh]]/Modelling_old[[#This Row],[DC Capcity]]/(24*CH478)</f>
        <v>0.17097061953383938</v>
      </c>
      <c r="V478" s="134">
        <v>11.5031</v>
      </c>
      <c r="Y478" s="27">
        <f t="shared" si="187"/>
        <v>45477</v>
      </c>
      <c r="Z478" s="5">
        <f>MONTH(Modelling_new[[#This Row],[Date]])</f>
        <v>7</v>
      </c>
      <c r="AA478" s="25">
        <f>YEAR(Y478)+IF(MONTH(Modelling_new[[#This Row],[Date]])&gt;=4,1,0)</f>
        <v>2025</v>
      </c>
      <c r="AB478" s="3">
        <f t="shared" si="174"/>
        <v>2024</v>
      </c>
      <c r="AC478" s="3" t="s">
        <v>627</v>
      </c>
      <c r="AD478" s="3" t="s">
        <v>627</v>
      </c>
      <c r="AE478" s="102">
        <f>DATE(Modelling_old[[#This Row],[Calendor Year]],Modelling_old[[#This Row],[Start Month]],1)</f>
        <v>45474</v>
      </c>
      <c r="AF478" s="5">
        <f t="shared" si="175"/>
        <v>31</v>
      </c>
      <c r="AG478" s="5">
        <f t="shared" si="176"/>
        <v>7</v>
      </c>
      <c r="AH478" s="4">
        <f>_xlfn.XLOOKUP(Modelling_new[[#This Row],[Month]],$AA$1:$AA$14,$AL$1:$AL$14)/Modelling_new[[#This Row],[Total Days]]</f>
        <v>41.560898063424602</v>
      </c>
      <c r="AI478" s="4">
        <f>SUM($AH$475:AH478)</f>
        <v>166.24359225369841</v>
      </c>
      <c r="AJ478" s="4">
        <f>SUM($AH$384:AH478)</f>
        <v>6056.0306378691648</v>
      </c>
      <c r="AK478" s="4">
        <f t="shared" si="177"/>
        <v>4.4064516129032256</v>
      </c>
      <c r="AL478" s="4">
        <f>SUM($AK$475:AK478)</f>
        <v>17.625806451612902</v>
      </c>
      <c r="AM478" s="4">
        <f>SUM($AK$384:AK478)</f>
        <v>572.42580645161229</v>
      </c>
      <c r="AN478" s="323">
        <f t="shared" si="178"/>
        <v>0.81993801579603653</v>
      </c>
      <c r="AO478" s="323">
        <f t="shared" si="179"/>
        <v>0.81993801579603642</v>
      </c>
      <c r="AP478" s="323">
        <f t="shared" si="180"/>
        <v>0.9197164698577226</v>
      </c>
      <c r="AQ478" s="323">
        <f t="shared" si="181"/>
        <v>0.15054238300771317</v>
      </c>
      <c r="AR478" s="323">
        <f>Modelling_new[[#This Row],[Target E_Grid MTD
MWh]]/Modelling_new[[#This Row],[MTD DC Capcity]]/(24*CG478)</f>
        <v>0.13528938171687696</v>
      </c>
      <c r="AS478" s="323">
        <f>Modelling_new[[#This Row],[Target E_Grid YTD
MWh]]/Modelling_new[[#This Row],[YTD DC Capcity]]/(24*CH478)</f>
        <v>0.20751201472961817</v>
      </c>
      <c r="AT478" s="5">
        <v>12.8</v>
      </c>
      <c r="AU478" s="9">
        <f>Modelling_new[[#This Row],[Comisined DC ]]/$AO$1</f>
        <v>1</v>
      </c>
      <c r="AV47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78" s="5">
        <f>AVERAGEIFS(Modelling_new[[Comisined DC ]],Modelling_new[Date],"&lt;="&amp;Modelling_new[[#This Row],[Date]],Modelling_new[[Comisined DC ]],"&gt;"&amp;0,Modelling_new[Finacial Year],Modelling_new[[#This Row],[Finacial Year]])</f>
        <v>12.799999999999976</v>
      </c>
      <c r="BD478" s="27">
        <f t="shared" si="188"/>
        <v>45477</v>
      </c>
      <c r="BE478" s="5">
        <f>MONTH(Modelling[[#This Row],[Date]])</f>
        <v>7</v>
      </c>
      <c r="BF478" s="25">
        <f>YEAR(BD478)+IF(MONTH(Modelling[[#This Row],[Date]])&gt;=4,1,0)</f>
        <v>2025</v>
      </c>
      <c r="BG478" s="3">
        <f t="shared" si="182"/>
        <v>2024</v>
      </c>
      <c r="BH478" s="3" t="s">
        <v>627</v>
      </c>
      <c r="BI478" s="3" t="s">
        <v>627</v>
      </c>
      <c r="BJ478" s="102">
        <f>DATE(Modelling_old[[#This Row],[Calendor Year]],Modelling_old[[#This Row],[Start Month]],1)</f>
        <v>45474</v>
      </c>
      <c r="BK478" s="5">
        <f t="shared" si="183"/>
        <v>31</v>
      </c>
      <c r="BL478" s="5">
        <f t="shared" si="184"/>
        <v>7</v>
      </c>
      <c r="BM478" s="4">
        <f>Modelling_old[[#This Row],[Target E_Grid daily
MWh]]+Modelling_new[[#This Row],[Target E_Grid daily
MWh]]</f>
        <v>77.825414192456861</v>
      </c>
      <c r="BN478" s="4">
        <f>Modelling_old[[#This Row],[Target E_Grid MTD
MWh]]+Modelling_new[[#This Row],[Target E_Grid MTD
MWh]]</f>
        <v>311.30165676982745</v>
      </c>
      <c r="BO478" s="4">
        <f>Modelling_old[[#This Row],[Target E_Grid YTD
MWh]]+Modelling_new[[#This Row],[Target E_Grid YTD
MWh]]</f>
        <v>10540.088702385299</v>
      </c>
      <c r="BP478" s="4">
        <f>AVERAGE(Modelling_old[[#This Row],[Target POA Daily (KWh/m2)]],Modelling_new[[#This Row],[Target POA Daily (KWh/m2)]])</f>
        <v>4.4064516129032256</v>
      </c>
      <c r="BQ478" s="4">
        <f>SUM($BP$475:BP478)</f>
        <v>17.625806451612902</v>
      </c>
      <c r="BR478" s="4">
        <f>SUM($BP$384:BP478)</f>
        <v>572.42580645161229</v>
      </c>
      <c r="BS478" s="323">
        <f>BM478/Modelling[[#This Row],[Comisined DC ]]/BP478</f>
        <v>0.72672610563703754</v>
      </c>
      <c r="BT478" s="337">
        <f>BN478/BQ478/Modelling[[#This Row],[Comisined DC ]]</f>
        <v>0.72672610563703754</v>
      </c>
      <c r="BU478" s="337">
        <f>BO478/BR478/Modelling[[#This Row],[Comisined DC ]]</f>
        <v>0.75764085802841941</v>
      </c>
      <c r="BV478" s="323">
        <f>BM478/(24*Modelling[[#This Row],[Comisined DC ]])</f>
        <v>0.13342847584680018</v>
      </c>
      <c r="BW478" s="323">
        <f>Modelling[[#This Row],[Target E_Grid MTD
MWh]]/Modelling[[#This Row],[MTD DC Capcity]]/(24*CG478)</f>
        <v>0.13342847584680018</v>
      </c>
      <c r="BX478" s="338">
        <f>Modelling[[#This Row],[Target E_Grid YTD
MWh]]/Modelling[[#This Row],[YTD DC Capcity]]/(24*CH478)</f>
        <v>0.19021630664807401</v>
      </c>
      <c r="BY478" s="4">
        <f>Modelling_old[[#This Row],[DC Capcity]]+Modelling_new[[#This Row],[Comisined DC ]]</f>
        <v>24.303100000000001</v>
      </c>
      <c r="BZ478" s="4">
        <v>0</v>
      </c>
      <c r="CA478">
        <f>AVERAGEIFS(Modelling[[Comisined DC ]],Modelling[Date],"&lt;="&amp;Modelling[[#This Row],[Date]],Modelling[Month Year],Modelling[[#This Row],[Month Year]])</f>
        <v>24.303100000000001</v>
      </c>
      <c r="CB478">
        <f>AVERAGEIFS(Modelling[[Comisined DC ]],Modelling[Date],"&lt;="&amp;Modelling[[#This Row],[Date]],Modelling[Finacial Year],Modelling[[#This Row],[Finacial Year]])</f>
        <v>24.30310000000004</v>
      </c>
      <c r="CG478">
        <f t="shared" si="185"/>
        <v>4</v>
      </c>
      <c r="CH478">
        <f t="shared" si="186"/>
        <v>95</v>
      </c>
    </row>
    <row r="479" spans="1:86" x14ac:dyDescent="0.35">
      <c r="A479" s="27">
        <f t="shared" si="164"/>
        <v>45478</v>
      </c>
      <c r="B479" s="5">
        <f>MONTH(Modelling_old[[#This Row],[Date]])</f>
        <v>7</v>
      </c>
      <c r="C479" s="25">
        <f t="shared" si="165"/>
        <v>2025</v>
      </c>
      <c r="D479" s="3">
        <f t="shared" si="166"/>
        <v>2024</v>
      </c>
      <c r="E479" s="3" t="s">
        <v>627</v>
      </c>
      <c r="F479" s="3" t="s">
        <v>627</v>
      </c>
      <c r="G479" s="102">
        <f>DATE(Modelling_old[[#This Row],[Calendor Year]],Modelling_old[[#This Row],[Start Month]],1)</f>
        <v>45474</v>
      </c>
      <c r="H479" s="5">
        <f t="shared" si="167"/>
        <v>31</v>
      </c>
      <c r="I479" s="5">
        <f t="shared" si="168"/>
        <v>7</v>
      </c>
      <c r="J479" s="4">
        <f>_xlfn.XLOOKUP(Modelling_old[[#This Row],[Month]],$C$1:$C$14,$N$1:$N$14)/Modelling_old[[#This Row],[Total Days]]</f>
        <v>36.264516129032259</v>
      </c>
      <c r="K479" s="4">
        <f>SUM($J$475:J479)</f>
        <v>181.32258064516128</v>
      </c>
      <c r="L479" s="4">
        <f>SUM($J$384:J479)</f>
        <v>4520.3225806451655</v>
      </c>
      <c r="M479" s="4">
        <f t="shared" si="169"/>
        <v>4.4064516129032256</v>
      </c>
      <c r="N479" s="4">
        <f>SUM($M$475:M479)</f>
        <v>22.032258064516128</v>
      </c>
      <c r="O479" s="4">
        <f>SUM($M$384:M479)</f>
        <v>576.83225806451549</v>
      </c>
      <c r="P479" s="323">
        <f t="shared" si="170"/>
        <v>0.71544785565665769</v>
      </c>
      <c r="Q479" s="337">
        <f t="shared" si="171"/>
        <v>0.71544785565665769</v>
      </c>
      <c r="R479" s="337">
        <f t="shared" si="172"/>
        <v>0.68124761297713199</v>
      </c>
      <c r="S479" s="323">
        <f t="shared" si="173"/>
        <v>0.13135776489610143</v>
      </c>
      <c r="T479" s="9">
        <f>Modelling_old[[#This Row],[Target E_Grid MTD
MWh]]/Modelling_old[[#This Row],[DC Capcity]]/(24*CG479)</f>
        <v>0.1313577648961014</v>
      </c>
      <c r="U479" s="338">
        <f>Modelling_old[[#This Row],[Target E_Grid YTD
MWh]]/Modelling_old[[#This Row],[DC Capcity]]/(24*CH479)</f>
        <v>0.17055798563136293</v>
      </c>
      <c r="V479" s="134">
        <v>11.5031</v>
      </c>
      <c r="Y479" s="27">
        <f t="shared" si="187"/>
        <v>45478</v>
      </c>
      <c r="Z479" s="5">
        <f>MONTH(Modelling_new[[#This Row],[Date]])</f>
        <v>7</v>
      </c>
      <c r="AA479" s="25">
        <f>YEAR(Y479)+IF(MONTH(Modelling_new[[#This Row],[Date]])&gt;=4,1,0)</f>
        <v>2025</v>
      </c>
      <c r="AB479" s="3">
        <f t="shared" si="174"/>
        <v>2024</v>
      </c>
      <c r="AC479" s="3" t="s">
        <v>627</v>
      </c>
      <c r="AD479" s="3" t="s">
        <v>627</v>
      </c>
      <c r="AE479" s="102">
        <f>DATE(Modelling_old[[#This Row],[Calendor Year]],Modelling_old[[#This Row],[Start Month]],1)</f>
        <v>45474</v>
      </c>
      <c r="AF479" s="5">
        <f t="shared" si="175"/>
        <v>31</v>
      </c>
      <c r="AG479" s="5">
        <f t="shared" si="176"/>
        <v>7</v>
      </c>
      <c r="AH479" s="4">
        <f>_xlfn.XLOOKUP(Modelling_new[[#This Row],[Month]],$AA$1:$AA$14,$AL$1:$AL$14)/Modelling_new[[#This Row],[Total Days]]</f>
        <v>41.560898063424602</v>
      </c>
      <c r="AI479" s="4">
        <f>SUM($AH$475:AH479)</f>
        <v>207.804490317123</v>
      </c>
      <c r="AJ479" s="4">
        <f>SUM($AH$384:AH479)</f>
        <v>6097.5915359325891</v>
      </c>
      <c r="AK479" s="4">
        <f t="shared" si="177"/>
        <v>4.4064516129032256</v>
      </c>
      <c r="AL479" s="4">
        <f>SUM($AK$475:AK479)</f>
        <v>22.032258064516128</v>
      </c>
      <c r="AM479" s="4">
        <f>SUM($AK$384:AK479)</f>
        <v>576.83225806451549</v>
      </c>
      <c r="AN479" s="323">
        <f t="shared" si="178"/>
        <v>0.81993801579603653</v>
      </c>
      <c r="AO479" s="323">
        <f t="shared" si="179"/>
        <v>0.81993801579603642</v>
      </c>
      <c r="AP479" s="323">
        <f t="shared" si="180"/>
        <v>0.91895425705896472</v>
      </c>
      <c r="AQ479" s="323">
        <f t="shared" si="181"/>
        <v>0.15054238300771317</v>
      </c>
      <c r="AR479" s="323">
        <f>Modelling_new[[#This Row],[Target E_Grid MTD
MWh]]/Modelling_new[[#This Row],[MTD DC Capcity]]/(24*CG479)</f>
        <v>0.13528938171687693</v>
      </c>
      <c r="AS479" s="323">
        <f>Modelling_new[[#This Row],[Target E_Grid YTD
MWh]]/Modelling_new[[#This Row],[YTD DC Capcity]]/(24*CH479)</f>
        <v>0.20675969563573543</v>
      </c>
      <c r="AT479" s="5">
        <v>12.8</v>
      </c>
      <c r="AU479" s="9">
        <f>Modelling_new[[#This Row],[Comisined DC ]]/$AO$1</f>
        <v>1</v>
      </c>
      <c r="AV479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79" s="5">
        <f>AVERAGEIFS(Modelling_new[[Comisined DC ]],Modelling_new[Date],"&lt;="&amp;Modelling_new[[#This Row],[Date]],Modelling_new[[Comisined DC ]],"&gt;"&amp;0,Modelling_new[Finacial Year],Modelling_new[[#This Row],[Finacial Year]])</f>
        <v>12.799999999999976</v>
      </c>
      <c r="BD479" s="27">
        <f t="shared" si="188"/>
        <v>45478</v>
      </c>
      <c r="BE479" s="5">
        <f>MONTH(Modelling[[#This Row],[Date]])</f>
        <v>7</v>
      </c>
      <c r="BF479" s="25">
        <f>YEAR(BD479)+IF(MONTH(Modelling[[#This Row],[Date]])&gt;=4,1,0)</f>
        <v>2025</v>
      </c>
      <c r="BG479" s="3">
        <f t="shared" si="182"/>
        <v>2024</v>
      </c>
      <c r="BH479" s="3" t="s">
        <v>627</v>
      </c>
      <c r="BI479" s="3" t="s">
        <v>627</v>
      </c>
      <c r="BJ479" s="102">
        <f>DATE(Modelling_old[[#This Row],[Calendor Year]],Modelling_old[[#This Row],[Start Month]],1)</f>
        <v>45474</v>
      </c>
      <c r="BK479" s="5">
        <f t="shared" si="183"/>
        <v>31</v>
      </c>
      <c r="BL479" s="5">
        <f t="shared" si="184"/>
        <v>7</v>
      </c>
      <c r="BM479" s="4">
        <f>Modelling_old[[#This Row],[Target E_Grid daily
MWh]]+Modelling_new[[#This Row],[Target E_Grid daily
MWh]]</f>
        <v>77.825414192456861</v>
      </c>
      <c r="BN479" s="4">
        <f>Modelling_old[[#This Row],[Target E_Grid MTD
MWh]]+Modelling_new[[#This Row],[Target E_Grid MTD
MWh]]</f>
        <v>389.12707096228428</v>
      </c>
      <c r="BO479" s="4">
        <f>Modelling_old[[#This Row],[Target E_Grid YTD
MWh]]+Modelling_new[[#This Row],[Target E_Grid YTD
MWh]]</f>
        <v>10617.914116577755</v>
      </c>
      <c r="BP479" s="4">
        <f>AVERAGE(Modelling_old[[#This Row],[Target POA Daily (KWh/m2)]],Modelling_new[[#This Row],[Target POA Daily (KWh/m2)]])</f>
        <v>4.4064516129032256</v>
      </c>
      <c r="BQ479" s="4">
        <f>SUM($BP$475:BP479)</f>
        <v>22.032258064516128</v>
      </c>
      <c r="BR479" s="4">
        <f>SUM($BP$384:BP479)</f>
        <v>576.83225806451549</v>
      </c>
      <c r="BS479" s="323">
        <f>BM479/Modelling[[#This Row],[Comisined DC ]]/BP479</f>
        <v>0.72672610563703754</v>
      </c>
      <c r="BT479" s="337">
        <f>BN479/BQ479/Modelling[[#This Row],[Comisined DC ]]</f>
        <v>0.72672610563703754</v>
      </c>
      <c r="BU479" s="337">
        <f>BO479/BR479/Modelling[[#This Row],[Comisined DC ]]</f>
        <v>0.7574046986274271</v>
      </c>
      <c r="BV479" s="323">
        <f>BM479/(24*Modelling[[#This Row],[Comisined DC ]])</f>
        <v>0.13342847584680018</v>
      </c>
      <c r="BW479" s="323">
        <f>Modelling[[#This Row],[Target E_Grid MTD
MWh]]/Modelling[[#This Row],[MTD DC Capcity]]/(24*CG479)</f>
        <v>0.13342847584680015</v>
      </c>
      <c r="BX479" s="338">
        <f>Modelling[[#This Row],[Target E_Grid YTD
MWh]]/Modelling[[#This Row],[YTD DC Capcity]]/(24*CH479)</f>
        <v>0.18962476674389406</v>
      </c>
      <c r="BY479" s="4">
        <f>Modelling_old[[#This Row],[DC Capcity]]+Modelling_new[[#This Row],[Comisined DC ]]</f>
        <v>24.303100000000001</v>
      </c>
      <c r="BZ479" s="4">
        <v>0</v>
      </c>
      <c r="CA479">
        <f>AVERAGEIFS(Modelling[[Comisined DC ]],Modelling[Date],"&lt;="&amp;Modelling[[#This Row],[Date]],Modelling[Month Year],Modelling[[#This Row],[Month Year]])</f>
        <v>24.303100000000001</v>
      </c>
      <c r="CB479">
        <f>AVERAGEIFS(Modelling[[Comisined DC ]],Modelling[Date],"&lt;="&amp;Modelling[[#This Row],[Date]],Modelling[Finacial Year],Modelling[[#This Row],[Finacial Year]])</f>
        <v>24.30310000000004</v>
      </c>
      <c r="CG479">
        <f t="shared" si="185"/>
        <v>5</v>
      </c>
      <c r="CH479">
        <f t="shared" si="186"/>
        <v>96</v>
      </c>
    </row>
    <row r="480" spans="1:86" x14ac:dyDescent="0.35">
      <c r="A480" s="27">
        <f t="shared" si="164"/>
        <v>45479</v>
      </c>
      <c r="B480" s="5">
        <f>MONTH(Modelling_old[[#This Row],[Date]])</f>
        <v>7</v>
      </c>
      <c r="C480" s="25">
        <f t="shared" si="165"/>
        <v>2025</v>
      </c>
      <c r="D480" s="3">
        <f t="shared" si="166"/>
        <v>2024</v>
      </c>
      <c r="E480" s="3" t="s">
        <v>627</v>
      </c>
      <c r="F480" s="3" t="s">
        <v>627</v>
      </c>
      <c r="G480" s="102">
        <f>DATE(Modelling_old[[#This Row],[Calendor Year]],Modelling_old[[#This Row],[Start Month]],1)</f>
        <v>45474</v>
      </c>
      <c r="H480" s="5">
        <f t="shared" si="167"/>
        <v>31</v>
      </c>
      <c r="I480" s="5">
        <f t="shared" si="168"/>
        <v>7</v>
      </c>
      <c r="J480" s="4">
        <f>_xlfn.XLOOKUP(Modelling_old[[#This Row],[Month]],$C$1:$C$14,$N$1:$N$14)/Modelling_old[[#This Row],[Total Days]]</f>
        <v>36.264516129032259</v>
      </c>
      <c r="K480" s="4">
        <f>SUM($J$475:J480)</f>
        <v>217.58709677419353</v>
      </c>
      <c r="L480" s="4">
        <f>SUM($J$384:J480)</f>
        <v>4556.5870967741976</v>
      </c>
      <c r="M480" s="4">
        <f t="shared" si="169"/>
        <v>4.4064516129032256</v>
      </c>
      <c r="N480" s="4">
        <f>SUM($M$475:M480)</f>
        <v>26.438709677419354</v>
      </c>
      <c r="O480" s="4">
        <f>SUM($M$384:M480)</f>
        <v>581.23870967741868</v>
      </c>
      <c r="P480" s="323">
        <f t="shared" si="170"/>
        <v>0.71544785565665769</v>
      </c>
      <c r="Q480" s="337">
        <f t="shared" si="171"/>
        <v>0.71544785565665769</v>
      </c>
      <c r="R480" s="337">
        <f t="shared" si="172"/>
        <v>0.68150688978029006</v>
      </c>
      <c r="S480" s="323">
        <f t="shared" si="173"/>
        <v>0.13135776489610143</v>
      </c>
      <c r="T480" s="9">
        <f>Modelling_old[[#This Row],[Target E_Grid MTD
MWh]]/Modelling_old[[#This Row],[DC Capcity]]/(24*CG480)</f>
        <v>0.1313577648961014</v>
      </c>
      <c r="U480" s="338">
        <f>Modelling_old[[#This Row],[Target E_Grid YTD
MWh]]/Modelling_old[[#This Row],[DC Capcity]]/(24*CH480)</f>
        <v>0.17015385964440147</v>
      </c>
      <c r="V480" s="134">
        <v>11.5031</v>
      </c>
      <c r="Y480" s="27">
        <f t="shared" si="187"/>
        <v>45479</v>
      </c>
      <c r="Z480" s="5">
        <f>MONTH(Modelling_new[[#This Row],[Date]])</f>
        <v>7</v>
      </c>
      <c r="AA480" s="25">
        <f>YEAR(Y480)+IF(MONTH(Modelling_new[[#This Row],[Date]])&gt;=4,1,0)</f>
        <v>2025</v>
      </c>
      <c r="AB480" s="3">
        <f t="shared" si="174"/>
        <v>2024</v>
      </c>
      <c r="AC480" s="3" t="s">
        <v>627</v>
      </c>
      <c r="AD480" s="3" t="s">
        <v>627</v>
      </c>
      <c r="AE480" s="102">
        <f>DATE(Modelling_old[[#This Row],[Calendor Year]],Modelling_old[[#This Row],[Start Month]],1)</f>
        <v>45474</v>
      </c>
      <c r="AF480" s="5">
        <f t="shared" si="175"/>
        <v>31</v>
      </c>
      <c r="AG480" s="5">
        <f t="shared" si="176"/>
        <v>7</v>
      </c>
      <c r="AH480" s="4">
        <f>_xlfn.XLOOKUP(Modelling_new[[#This Row],[Month]],$AA$1:$AA$14,$AL$1:$AL$14)/Modelling_new[[#This Row],[Total Days]]</f>
        <v>41.560898063424602</v>
      </c>
      <c r="AI480" s="4">
        <f>SUM($AH$475:AH480)</f>
        <v>249.36538838054759</v>
      </c>
      <c r="AJ480" s="4">
        <f>SUM($AH$384:AH480)</f>
        <v>6139.1524339960133</v>
      </c>
      <c r="AK480" s="4">
        <f t="shared" si="177"/>
        <v>4.4064516129032256</v>
      </c>
      <c r="AL480" s="4">
        <f>SUM($AK$475:AK480)</f>
        <v>26.438709677419354</v>
      </c>
      <c r="AM480" s="4">
        <f>SUM($AK$384:AK480)</f>
        <v>581.23870967741868</v>
      </c>
      <c r="AN480" s="323">
        <f t="shared" si="178"/>
        <v>0.81993801579603653</v>
      </c>
      <c r="AO480" s="323">
        <f t="shared" si="179"/>
        <v>0.81993801579603642</v>
      </c>
      <c r="AP480" s="323">
        <f t="shared" si="180"/>
        <v>0.91820360114298349</v>
      </c>
      <c r="AQ480" s="323">
        <f t="shared" si="181"/>
        <v>0.15054238300771317</v>
      </c>
      <c r="AR480" s="323">
        <f>Modelling_new[[#This Row],[Target E_Grid MTD
MWh]]/Modelling_new[[#This Row],[MTD DC Capcity]]/(24*CG480)</f>
        <v>0.13528938171687696</v>
      </c>
      <c r="AS480" s="323">
        <f>Modelling_new[[#This Row],[Target E_Grid YTD
MWh]]/Modelling_new[[#This Row],[YTD DC Capcity]]/(24*CH480)</f>
        <v>0.20602288827574719</v>
      </c>
      <c r="AT480" s="5">
        <v>12.8</v>
      </c>
      <c r="AU480" s="9">
        <f>Modelling_new[[#This Row],[Comisined DC ]]/$AO$1</f>
        <v>1</v>
      </c>
      <c r="AV480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80" s="5">
        <f>AVERAGEIFS(Modelling_new[[Comisined DC ]],Modelling_new[Date],"&lt;="&amp;Modelling_new[[#This Row],[Date]],Modelling_new[[Comisined DC ]],"&gt;"&amp;0,Modelling_new[Finacial Year],Modelling_new[[#This Row],[Finacial Year]])</f>
        <v>12.799999999999976</v>
      </c>
      <c r="BD480" s="27">
        <f t="shared" si="188"/>
        <v>45479</v>
      </c>
      <c r="BE480" s="5">
        <f>MONTH(Modelling[[#This Row],[Date]])</f>
        <v>7</v>
      </c>
      <c r="BF480" s="25">
        <f>YEAR(BD480)+IF(MONTH(Modelling[[#This Row],[Date]])&gt;=4,1,0)</f>
        <v>2025</v>
      </c>
      <c r="BG480" s="3">
        <f t="shared" si="182"/>
        <v>2024</v>
      </c>
      <c r="BH480" s="3" t="s">
        <v>627</v>
      </c>
      <c r="BI480" s="3" t="s">
        <v>627</v>
      </c>
      <c r="BJ480" s="102">
        <f>DATE(Modelling_old[[#This Row],[Calendor Year]],Modelling_old[[#This Row],[Start Month]],1)</f>
        <v>45474</v>
      </c>
      <c r="BK480" s="5">
        <f t="shared" si="183"/>
        <v>31</v>
      </c>
      <c r="BL480" s="5">
        <f t="shared" si="184"/>
        <v>7</v>
      </c>
      <c r="BM480" s="4">
        <f>Modelling_old[[#This Row],[Target E_Grid daily
MWh]]+Modelling_new[[#This Row],[Target E_Grid daily
MWh]]</f>
        <v>77.825414192456861</v>
      </c>
      <c r="BN480" s="4">
        <f>Modelling_old[[#This Row],[Target E_Grid MTD
MWh]]+Modelling_new[[#This Row],[Target E_Grid MTD
MWh]]</f>
        <v>466.95248515474111</v>
      </c>
      <c r="BO480" s="4">
        <f>Modelling_old[[#This Row],[Target E_Grid YTD
MWh]]+Modelling_new[[#This Row],[Target E_Grid YTD
MWh]]</f>
        <v>10695.73953077021</v>
      </c>
      <c r="BP480" s="4">
        <f>AVERAGE(Modelling_old[[#This Row],[Target POA Daily (KWh/m2)]],Modelling_new[[#This Row],[Target POA Daily (KWh/m2)]])</f>
        <v>4.4064516129032256</v>
      </c>
      <c r="BQ480" s="4">
        <f>SUM($BP$475:BP480)</f>
        <v>26.438709677419354</v>
      </c>
      <c r="BR480" s="4">
        <f>SUM($BP$384:BP480)</f>
        <v>581.23870967741868</v>
      </c>
      <c r="BS480" s="323">
        <f>BM480/Modelling[[#This Row],[Comisined DC ]]/BP480</f>
        <v>0.72672610563703754</v>
      </c>
      <c r="BT480" s="337">
        <f>BN480/BQ480/Modelling[[#This Row],[Comisined DC ]]</f>
        <v>0.72672610563703743</v>
      </c>
      <c r="BU480" s="337">
        <f>BO480/BR480/Modelling[[#This Row],[Comisined DC ]]</f>
        <v>0.75717211994105715</v>
      </c>
      <c r="BV480" s="323">
        <f>BM480/(24*Modelling[[#This Row],[Comisined DC ]])</f>
        <v>0.13342847584680018</v>
      </c>
      <c r="BW480" s="323">
        <f>Modelling[[#This Row],[Target E_Grid MTD
MWh]]/Modelling[[#This Row],[MTD DC Capcity]]/(24*CG480)</f>
        <v>0.13342847584680015</v>
      </c>
      <c r="BX480" s="338">
        <f>Modelling[[#This Row],[Target E_Grid YTD
MWh]]/Modelling[[#This Row],[YTD DC Capcity]]/(24*CH480)</f>
        <v>0.18904542353876935</v>
      </c>
      <c r="BY480" s="4">
        <f>Modelling_old[[#This Row],[DC Capcity]]+Modelling_new[[#This Row],[Comisined DC ]]</f>
        <v>24.303100000000001</v>
      </c>
      <c r="BZ480" s="4">
        <v>0</v>
      </c>
      <c r="CA480">
        <f>AVERAGEIFS(Modelling[[Comisined DC ]],Modelling[Date],"&lt;="&amp;Modelling[[#This Row],[Date]],Modelling[Month Year],Modelling[[#This Row],[Month Year]])</f>
        <v>24.303100000000001</v>
      </c>
      <c r="CB480">
        <f>AVERAGEIFS(Modelling[[Comisined DC ]],Modelling[Date],"&lt;="&amp;Modelling[[#This Row],[Date]],Modelling[Finacial Year],Modelling[[#This Row],[Finacial Year]])</f>
        <v>24.30310000000004</v>
      </c>
      <c r="CG480">
        <f t="shared" si="185"/>
        <v>6</v>
      </c>
      <c r="CH480">
        <f t="shared" si="186"/>
        <v>97</v>
      </c>
    </row>
    <row r="481" spans="1:86" x14ac:dyDescent="0.35">
      <c r="A481" s="27">
        <f t="shared" si="164"/>
        <v>45480</v>
      </c>
      <c r="B481" s="5">
        <f>MONTH(Modelling_old[[#This Row],[Date]])</f>
        <v>7</v>
      </c>
      <c r="C481" s="25">
        <f t="shared" si="165"/>
        <v>2025</v>
      </c>
      <c r="D481" s="3">
        <f t="shared" si="166"/>
        <v>2024</v>
      </c>
      <c r="E481" s="3" t="s">
        <v>627</v>
      </c>
      <c r="F481" s="3" t="s">
        <v>627</v>
      </c>
      <c r="G481" s="102">
        <f>DATE(Modelling_old[[#This Row],[Calendor Year]],Modelling_old[[#This Row],[Start Month]],1)</f>
        <v>45474</v>
      </c>
      <c r="H481" s="5">
        <f t="shared" si="167"/>
        <v>31</v>
      </c>
      <c r="I481" s="5">
        <f t="shared" si="168"/>
        <v>7</v>
      </c>
      <c r="J481" s="4">
        <f>_xlfn.XLOOKUP(Modelling_old[[#This Row],[Month]],$C$1:$C$14,$N$1:$N$14)/Modelling_old[[#This Row],[Total Days]]</f>
        <v>36.264516129032259</v>
      </c>
      <c r="K481" s="4">
        <f>SUM($J$475:J481)</f>
        <v>253.85161290322577</v>
      </c>
      <c r="L481" s="4">
        <f>SUM($J$384:J481)</f>
        <v>4592.8516129032296</v>
      </c>
      <c r="M481" s="4">
        <f t="shared" si="169"/>
        <v>4.4064516129032256</v>
      </c>
      <c r="N481" s="4">
        <f>SUM($M$475:M481)</f>
        <v>30.845161290322579</v>
      </c>
      <c r="O481" s="4">
        <f>SUM($M$384:M481)</f>
        <v>585.64516129032188</v>
      </c>
      <c r="P481" s="323">
        <f t="shared" si="170"/>
        <v>0.71544785565665769</v>
      </c>
      <c r="Q481" s="337">
        <f t="shared" si="171"/>
        <v>0.71544785565665769</v>
      </c>
      <c r="R481" s="337">
        <f t="shared" si="172"/>
        <v>0.68176226493527281</v>
      </c>
      <c r="S481" s="323">
        <f t="shared" si="173"/>
        <v>0.13135776489610143</v>
      </c>
      <c r="T481" s="9">
        <f>Modelling_old[[#This Row],[Target E_Grid MTD
MWh]]/Modelling_old[[#This Row],[DC Capcity]]/(24*CG481)</f>
        <v>0.13135776489610138</v>
      </c>
      <c r="U481" s="338">
        <f>Modelling_old[[#This Row],[Target E_Grid YTD
MWh]]/Modelling_old[[#This Row],[DC Capcity]]/(24*CH481)</f>
        <v>0.16975798112656165</v>
      </c>
      <c r="V481" s="134">
        <v>11.5031</v>
      </c>
      <c r="Y481" s="27">
        <f t="shared" si="187"/>
        <v>45480</v>
      </c>
      <c r="Z481" s="5">
        <f>MONTH(Modelling_new[[#This Row],[Date]])</f>
        <v>7</v>
      </c>
      <c r="AA481" s="25">
        <f>YEAR(Y481)+IF(MONTH(Modelling_new[[#This Row],[Date]])&gt;=4,1,0)</f>
        <v>2025</v>
      </c>
      <c r="AB481" s="3">
        <f t="shared" si="174"/>
        <v>2024</v>
      </c>
      <c r="AC481" s="3" t="s">
        <v>627</v>
      </c>
      <c r="AD481" s="3" t="s">
        <v>627</v>
      </c>
      <c r="AE481" s="102">
        <f>DATE(Modelling_old[[#This Row],[Calendor Year]],Modelling_old[[#This Row],[Start Month]],1)</f>
        <v>45474</v>
      </c>
      <c r="AF481" s="5">
        <f t="shared" si="175"/>
        <v>31</v>
      </c>
      <c r="AG481" s="5">
        <f t="shared" si="176"/>
        <v>7</v>
      </c>
      <c r="AH481" s="4">
        <f>_xlfn.XLOOKUP(Modelling_new[[#This Row],[Month]],$AA$1:$AA$14,$AL$1:$AL$14)/Modelling_new[[#This Row],[Total Days]]</f>
        <v>41.560898063424602</v>
      </c>
      <c r="AI481" s="4">
        <f>SUM($AH$475:AH481)</f>
        <v>290.92628644397217</v>
      </c>
      <c r="AJ481" s="4">
        <f>SUM($AH$384:AH481)</f>
        <v>6180.7133320594376</v>
      </c>
      <c r="AK481" s="4">
        <f t="shared" si="177"/>
        <v>4.4064516129032256</v>
      </c>
      <c r="AL481" s="4">
        <f>SUM($AK$475:AK481)</f>
        <v>30.845161290322579</v>
      </c>
      <c r="AM481" s="4">
        <f>SUM($AK$384:AK481)</f>
        <v>585.64516129032188</v>
      </c>
      <c r="AN481" s="323">
        <f t="shared" si="178"/>
        <v>0.81993801579603653</v>
      </c>
      <c r="AO481" s="323">
        <f t="shared" si="179"/>
        <v>0.81993801579603631</v>
      </c>
      <c r="AP481" s="323">
        <f t="shared" si="180"/>
        <v>0.9174642412444215</v>
      </c>
      <c r="AQ481" s="323">
        <f t="shared" si="181"/>
        <v>0.15054238300771317</v>
      </c>
      <c r="AR481" s="323">
        <f>Modelling_new[[#This Row],[Target E_Grid MTD
MWh]]/Modelling_new[[#This Row],[MTD DC Capcity]]/(24*CG481)</f>
        <v>0.13528938171687693</v>
      </c>
      <c r="AS481" s="323">
        <f>Modelling_new[[#This Row],[Target E_Grid YTD
MWh]]/Modelling_new[[#This Row],[YTD DC Capcity]]/(24*CH481)</f>
        <v>0.20530111780065666</v>
      </c>
      <c r="AT481" s="5">
        <v>12.8</v>
      </c>
      <c r="AU481" s="9">
        <f>Modelling_new[[#This Row],[Comisined DC ]]/$AO$1</f>
        <v>1</v>
      </c>
      <c r="AV481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81" s="5">
        <f>AVERAGEIFS(Modelling_new[[Comisined DC ]],Modelling_new[Date],"&lt;="&amp;Modelling_new[[#This Row],[Date]],Modelling_new[[Comisined DC ]],"&gt;"&amp;0,Modelling_new[Finacial Year],Modelling_new[[#This Row],[Finacial Year]])</f>
        <v>12.799999999999976</v>
      </c>
      <c r="BD481" s="27">
        <f t="shared" si="188"/>
        <v>45480</v>
      </c>
      <c r="BE481" s="5">
        <f>MONTH(Modelling[[#This Row],[Date]])</f>
        <v>7</v>
      </c>
      <c r="BF481" s="25">
        <f>YEAR(BD481)+IF(MONTH(Modelling[[#This Row],[Date]])&gt;=4,1,0)</f>
        <v>2025</v>
      </c>
      <c r="BG481" s="3">
        <f t="shared" si="182"/>
        <v>2024</v>
      </c>
      <c r="BH481" s="3" t="s">
        <v>627</v>
      </c>
      <c r="BI481" s="3" t="s">
        <v>627</v>
      </c>
      <c r="BJ481" s="102">
        <f>DATE(Modelling_old[[#This Row],[Calendor Year]],Modelling_old[[#This Row],[Start Month]],1)</f>
        <v>45474</v>
      </c>
      <c r="BK481" s="5">
        <f t="shared" si="183"/>
        <v>31</v>
      </c>
      <c r="BL481" s="5">
        <f t="shared" si="184"/>
        <v>7</v>
      </c>
      <c r="BM481" s="4">
        <f>Modelling_old[[#This Row],[Target E_Grid daily
MWh]]+Modelling_new[[#This Row],[Target E_Grid daily
MWh]]</f>
        <v>77.825414192456861</v>
      </c>
      <c r="BN481" s="4">
        <f>Modelling_old[[#This Row],[Target E_Grid MTD
MWh]]+Modelling_new[[#This Row],[Target E_Grid MTD
MWh]]</f>
        <v>544.77789934719794</v>
      </c>
      <c r="BO481" s="4">
        <f>Modelling_old[[#This Row],[Target E_Grid YTD
MWh]]+Modelling_new[[#This Row],[Target E_Grid YTD
MWh]]</f>
        <v>10773.564944962667</v>
      </c>
      <c r="BP481" s="4">
        <f>AVERAGE(Modelling_old[[#This Row],[Target POA Daily (KWh/m2)]],Modelling_new[[#This Row],[Target POA Daily (KWh/m2)]])</f>
        <v>4.4064516129032256</v>
      </c>
      <c r="BQ481" s="4">
        <f>SUM($BP$475:BP481)</f>
        <v>30.845161290322579</v>
      </c>
      <c r="BR481" s="4">
        <f>SUM($BP$384:BP481)</f>
        <v>585.64516129032188</v>
      </c>
      <c r="BS481" s="323">
        <f>BM481/Modelling[[#This Row],[Comisined DC ]]/BP481</f>
        <v>0.72672610563703754</v>
      </c>
      <c r="BT481" s="337">
        <f>BN481/BQ481/Modelling[[#This Row],[Comisined DC ]]</f>
        <v>0.72672610563703743</v>
      </c>
      <c r="BU481" s="337">
        <f>BO481/BR481/Modelling[[#This Row],[Comisined DC ]]</f>
        <v>0.75694304114436595</v>
      </c>
      <c r="BV481" s="323">
        <f>BM481/(24*Modelling[[#This Row],[Comisined DC ]])</f>
        <v>0.13342847584680018</v>
      </c>
      <c r="BW481" s="323">
        <f>Modelling[[#This Row],[Target E_Grid MTD
MWh]]/Modelling[[#This Row],[MTD DC Capcity]]/(24*CG481)</f>
        <v>0.13342847584680015</v>
      </c>
      <c r="BX481" s="338">
        <f>Modelling[[#This Row],[Target E_Grid YTD
MWh]]/Modelling[[#This Row],[YTD DC Capcity]]/(24*CH481)</f>
        <v>0.18847790366436151</v>
      </c>
      <c r="BY481" s="4">
        <f>Modelling_old[[#This Row],[DC Capcity]]+Modelling_new[[#This Row],[Comisined DC ]]</f>
        <v>24.303100000000001</v>
      </c>
      <c r="BZ481" s="4">
        <v>0</v>
      </c>
      <c r="CA481">
        <f>AVERAGEIFS(Modelling[[Comisined DC ]],Modelling[Date],"&lt;="&amp;Modelling[[#This Row],[Date]],Modelling[Month Year],Modelling[[#This Row],[Month Year]])</f>
        <v>24.303100000000001</v>
      </c>
      <c r="CB481">
        <f>AVERAGEIFS(Modelling[[Comisined DC ]],Modelling[Date],"&lt;="&amp;Modelling[[#This Row],[Date]],Modelling[Finacial Year],Modelling[[#This Row],[Finacial Year]])</f>
        <v>24.30310000000004</v>
      </c>
      <c r="CG481">
        <f t="shared" si="185"/>
        <v>7</v>
      </c>
      <c r="CH481">
        <f t="shared" si="186"/>
        <v>98</v>
      </c>
    </row>
    <row r="482" spans="1:86" x14ac:dyDescent="0.35">
      <c r="A482" s="27">
        <f t="shared" si="164"/>
        <v>45481</v>
      </c>
      <c r="B482" s="5">
        <f>MONTH(Modelling_old[[#This Row],[Date]])</f>
        <v>7</v>
      </c>
      <c r="C482" s="25">
        <f t="shared" si="165"/>
        <v>2025</v>
      </c>
      <c r="D482" s="3">
        <f t="shared" si="166"/>
        <v>2024</v>
      </c>
      <c r="E482" s="3" t="s">
        <v>627</v>
      </c>
      <c r="F482" s="3" t="s">
        <v>627</v>
      </c>
      <c r="G482" s="102">
        <f>DATE(Modelling_old[[#This Row],[Calendor Year]],Modelling_old[[#This Row],[Start Month]],1)</f>
        <v>45474</v>
      </c>
      <c r="H482" s="5">
        <f t="shared" si="167"/>
        <v>31</v>
      </c>
      <c r="I482" s="5">
        <f t="shared" si="168"/>
        <v>7</v>
      </c>
      <c r="J482" s="4">
        <f>_xlfn.XLOOKUP(Modelling_old[[#This Row],[Month]],$C$1:$C$14,$N$1:$N$14)/Modelling_old[[#This Row],[Total Days]]</f>
        <v>36.264516129032259</v>
      </c>
      <c r="K482" s="4">
        <f>SUM($J$475:J482)</f>
        <v>290.11612903225802</v>
      </c>
      <c r="L482" s="4">
        <f>SUM($J$384:J482)</f>
        <v>4629.1161290322616</v>
      </c>
      <c r="M482" s="4">
        <f t="shared" si="169"/>
        <v>4.4064516129032256</v>
      </c>
      <c r="N482" s="4">
        <f>SUM($M$475:M482)</f>
        <v>35.251612903225805</v>
      </c>
      <c r="O482" s="4">
        <f>SUM($M$384:M482)</f>
        <v>590.05161290322508</v>
      </c>
      <c r="P482" s="323">
        <f t="shared" si="170"/>
        <v>0.71544785565665769</v>
      </c>
      <c r="Q482" s="337">
        <f t="shared" si="171"/>
        <v>0.71544785565665769</v>
      </c>
      <c r="R482" s="337">
        <f t="shared" si="172"/>
        <v>0.68201382585353809</v>
      </c>
      <c r="S482" s="323">
        <f t="shared" si="173"/>
        <v>0.13135776489610143</v>
      </c>
      <c r="T482" s="9">
        <f>Modelling_old[[#This Row],[Target E_Grid MTD
MWh]]/Modelling_old[[#This Row],[DC Capcity]]/(24*CG482)</f>
        <v>0.13135776489610138</v>
      </c>
      <c r="U482" s="338">
        <f>Modelling_old[[#This Row],[Target E_Grid YTD
MWh]]/Modelling_old[[#This Row],[DC Capcity]]/(24*CH482)</f>
        <v>0.1693701001545368</v>
      </c>
      <c r="V482" s="134">
        <v>11.5031</v>
      </c>
      <c r="Y482" s="27">
        <f t="shared" si="187"/>
        <v>45481</v>
      </c>
      <c r="Z482" s="5">
        <f>MONTH(Modelling_new[[#This Row],[Date]])</f>
        <v>7</v>
      </c>
      <c r="AA482" s="25">
        <f>YEAR(Y482)+IF(MONTH(Modelling_new[[#This Row],[Date]])&gt;=4,1,0)</f>
        <v>2025</v>
      </c>
      <c r="AB482" s="3">
        <f t="shared" si="174"/>
        <v>2024</v>
      </c>
      <c r="AC482" s="3" t="s">
        <v>627</v>
      </c>
      <c r="AD482" s="3" t="s">
        <v>627</v>
      </c>
      <c r="AE482" s="102">
        <f>DATE(Modelling_old[[#This Row],[Calendor Year]],Modelling_old[[#This Row],[Start Month]],1)</f>
        <v>45474</v>
      </c>
      <c r="AF482" s="5">
        <f t="shared" si="175"/>
        <v>31</v>
      </c>
      <c r="AG482" s="5">
        <f t="shared" si="176"/>
        <v>7</v>
      </c>
      <c r="AH482" s="4">
        <f>_xlfn.XLOOKUP(Modelling_new[[#This Row],[Month]],$AA$1:$AA$14,$AL$1:$AL$14)/Modelling_new[[#This Row],[Total Days]]</f>
        <v>41.560898063424602</v>
      </c>
      <c r="AI482" s="4">
        <f>SUM($AH$475:AH482)</f>
        <v>332.48718450739676</v>
      </c>
      <c r="AJ482" s="4">
        <f>SUM($AH$384:AH482)</f>
        <v>6222.2742301228618</v>
      </c>
      <c r="AK482" s="4">
        <f t="shared" si="177"/>
        <v>4.4064516129032256</v>
      </c>
      <c r="AL482" s="4">
        <f>SUM($AK$475:AK482)</f>
        <v>35.251612903225805</v>
      </c>
      <c r="AM482" s="4">
        <f>SUM($AK$384:AK482)</f>
        <v>590.05161290322508</v>
      </c>
      <c r="AN482" s="323">
        <f t="shared" si="178"/>
        <v>0.81993801579603653</v>
      </c>
      <c r="AO482" s="323">
        <f t="shared" si="179"/>
        <v>0.81993801579603631</v>
      </c>
      <c r="AP482" s="323">
        <f t="shared" si="180"/>
        <v>0.91673592429039619</v>
      </c>
      <c r="AQ482" s="323">
        <f t="shared" si="181"/>
        <v>0.15054238300771317</v>
      </c>
      <c r="AR482" s="323">
        <f>Modelling_new[[#This Row],[Target E_Grid MTD
MWh]]/Modelling_new[[#This Row],[MTD DC Capcity]]/(24*CG482)</f>
        <v>0.13528938171687696</v>
      </c>
      <c r="AS482" s="323">
        <f>Modelling_new[[#This Row],[Target E_Grid YTD
MWh]]/Modelling_new[[#This Row],[YTD DC Capcity]]/(24*CH482)</f>
        <v>0.20459392854728514</v>
      </c>
      <c r="AT482" s="5">
        <v>12.8</v>
      </c>
      <c r="AU482" s="9">
        <f>Modelling_new[[#This Row],[Comisined DC ]]/$AO$1</f>
        <v>1</v>
      </c>
      <c r="AV482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82" s="5">
        <f>AVERAGEIFS(Modelling_new[[Comisined DC ]],Modelling_new[Date],"&lt;="&amp;Modelling_new[[#This Row],[Date]],Modelling_new[[Comisined DC ]],"&gt;"&amp;0,Modelling_new[Finacial Year],Modelling_new[[#This Row],[Finacial Year]])</f>
        <v>12.799999999999976</v>
      </c>
      <c r="BD482" s="27">
        <f t="shared" si="188"/>
        <v>45481</v>
      </c>
      <c r="BE482" s="5">
        <f>MONTH(Modelling[[#This Row],[Date]])</f>
        <v>7</v>
      </c>
      <c r="BF482" s="25">
        <f>YEAR(BD482)+IF(MONTH(Modelling[[#This Row],[Date]])&gt;=4,1,0)</f>
        <v>2025</v>
      </c>
      <c r="BG482" s="3">
        <f t="shared" si="182"/>
        <v>2024</v>
      </c>
      <c r="BH482" s="3" t="s">
        <v>627</v>
      </c>
      <c r="BI482" s="3" t="s">
        <v>627</v>
      </c>
      <c r="BJ482" s="102">
        <f>DATE(Modelling_old[[#This Row],[Calendor Year]],Modelling_old[[#This Row],[Start Month]],1)</f>
        <v>45474</v>
      </c>
      <c r="BK482" s="5">
        <f t="shared" si="183"/>
        <v>31</v>
      </c>
      <c r="BL482" s="5">
        <f t="shared" si="184"/>
        <v>7</v>
      </c>
      <c r="BM482" s="4">
        <f>Modelling_old[[#This Row],[Target E_Grid daily
MWh]]+Modelling_new[[#This Row],[Target E_Grid daily
MWh]]</f>
        <v>77.825414192456861</v>
      </c>
      <c r="BN482" s="4">
        <f>Modelling_old[[#This Row],[Target E_Grid MTD
MWh]]+Modelling_new[[#This Row],[Target E_Grid MTD
MWh]]</f>
        <v>622.60331353965478</v>
      </c>
      <c r="BO482" s="4">
        <f>Modelling_old[[#This Row],[Target E_Grid YTD
MWh]]+Modelling_new[[#This Row],[Target E_Grid YTD
MWh]]</f>
        <v>10851.390359155124</v>
      </c>
      <c r="BP482" s="4">
        <f>AVERAGE(Modelling_old[[#This Row],[Target POA Daily (KWh/m2)]],Modelling_new[[#This Row],[Target POA Daily (KWh/m2)]])</f>
        <v>4.4064516129032256</v>
      </c>
      <c r="BQ482" s="4">
        <f>SUM($BP$475:BP482)</f>
        <v>35.251612903225805</v>
      </c>
      <c r="BR482" s="4">
        <f>SUM($BP$384:BP482)</f>
        <v>590.05161290322508</v>
      </c>
      <c r="BS482" s="323">
        <f>BM482/Modelling[[#This Row],[Comisined DC ]]/BP482</f>
        <v>0.72672610563703754</v>
      </c>
      <c r="BT482" s="337">
        <f>BN482/BQ482/Modelling[[#This Row],[Comisined DC ]]</f>
        <v>0.72672610563703743</v>
      </c>
      <c r="BU482" s="337">
        <f>BO482/BR482/Modelling[[#This Row],[Comisined DC ]]</f>
        <v>0.75671738382678311</v>
      </c>
      <c r="BV482" s="323">
        <f>BM482/(24*Modelling[[#This Row],[Comisined DC ]])</f>
        <v>0.13342847584680018</v>
      </c>
      <c r="BW482" s="323">
        <f>Modelling[[#This Row],[Target E_Grid MTD
MWh]]/Modelling[[#This Row],[MTD DC Capcity]]/(24*CG482)</f>
        <v>0.13342847584680015</v>
      </c>
      <c r="BX482" s="338">
        <f>Modelling[[#This Row],[Target E_Grid YTD
MWh]]/Modelling[[#This Row],[YTD DC Capcity]]/(24*CH482)</f>
        <v>0.18792184883792151</v>
      </c>
      <c r="BY482" s="4">
        <f>Modelling_old[[#This Row],[DC Capcity]]+Modelling_new[[#This Row],[Comisined DC ]]</f>
        <v>24.303100000000001</v>
      </c>
      <c r="BZ482" s="4">
        <v>0</v>
      </c>
      <c r="CA482">
        <f>AVERAGEIFS(Modelling[[Comisined DC ]],Modelling[Date],"&lt;="&amp;Modelling[[#This Row],[Date]],Modelling[Month Year],Modelling[[#This Row],[Month Year]])</f>
        <v>24.303100000000001</v>
      </c>
      <c r="CB482">
        <f>AVERAGEIFS(Modelling[[Comisined DC ]],Modelling[Date],"&lt;="&amp;Modelling[[#This Row],[Date]],Modelling[Finacial Year],Modelling[[#This Row],[Finacial Year]])</f>
        <v>24.30310000000004</v>
      </c>
      <c r="CG482">
        <f t="shared" si="185"/>
        <v>8</v>
      </c>
      <c r="CH482">
        <f t="shared" si="186"/>
        <v>99</v>
      </c>
    </row>
    <row r="483" spans="1:86" x14ac:dyDescent="0.35">
      <c r="A483" s="27">
        <f t="shared" si="164"/>
        <v>45482</v>
      </c>
      <c r="B483" s="5">
        <f>MONTH(Modelling_old[[#This Row],[Date]])</f>
        <v>7</v>
      </c>
      <c r="C483" s="25">
        <f t="shared" si="165"/>
        <v>2025</v>
      </c>
      <c r="D483" s="3">
        <f t="shared" si="166"/>
        <v>2024</v>
      </c>
      <c r="E483" s="3" t="s">
        <v>627</v>
      </c>
      <c r="F483" s="3" t="s">
        <v>627</v>
      </c>
      <c r="G483" s="102">
        <f>DATE(Modelling_old[[#This Row],[Calendor Year]],Modelling_old[[#This Row],[Start Month]],1)</f>
        <v>45474</v>
      </c>
      <c r="H483" s="5">
        <f t="shared" si="167"/>
        <v>31</v>
      </c>
      <c r="I483" s="5">
        <f t="shared" si="168"/>
        <v>7</v>
      </c>
      <c r="J483" s="4">
        <f>_xlfn.XLOOKUP(Modelling_old[[#This Row],[Month]],$C$1:$C$14,$N$1:$N$14)/Modelling_old[[#This Row],[Total Days]]</f>
        <v>36.264516129032259</v>
      </c>
      <c r="K483" s="4">
        <f>SUM($J$475:J483)</f>
        <v>326.38064516129026</v>
      </c>
      <c r="L483" s="4">
        <f>SUM($J$384:J483)</f>
        <v>4665.3806451612936</v>
      </c>
      <c r="M483" s="4">
        <f t="shared" si="169"/>
        <v>4.4064516129032256</v>
      </c>
      <c r="N483" s="4">
        <f>SUM($M$475:M483)</f>
        <v>39.658064516129031</v>
      </c>
      <c r="O483" s="4">
        <f>SUM($M$384:M483)</f>
        <v>594.45806451612827</v>
      </c>
      <c r="P483" s="323">
        <f t="shared" si="170"/>
        <v>0.71544785565665769</v>
      </c>
      <c r="Q483" s="337">
        <f t="shared" si="171"/>
        <v>0.71544785565665769</v>
      </c>
      <c r="R483" s="337">
        <f t="shared" si="172"/>
        <v>0.68226165735477573</v>
      </c>
      <c r="S483" s="323">
        <f t="shared" si="173"/>
        <v>0.13135776489610143</v>
      </c>
      <c r="T483" s="9">
        <f>Modelling_old[[#This Row],[Target E_Grid MTD
MWh]]/Modelling_old[[#This Row],[DC Capcity]]/(24*CG483)</f>
        <v>0.13135776489610138</v>
      </c>
      <c r="U483" s="338">
        <f>Modelling_old[[#This Row],[Target E_Grid YTD
MWh]]/Modelling_old[[#This Row],[DC Capcity]]/(24*CH483)</f>
        <v>0.16898997680195244</v>
      </c>
      <c r="V483" s="134">
        <v>11.5031</v>
      </c>
      <c r="Y483" s="27">
        <f t="shared" si="187"/>
        <v>45482</v>
      </c>
      <c r="Z483" s="5">
        <f>MONTH(Modelling_new[[#This Row],[Date]])</f>
        <v>7</v>
      </c>
      <c r="AA483" s="25">
        <f>YEAR(Y483)+IF(MONTH(Modelling_new[[#This Row],[Date]])&gt;=4,1,0)</f>
        <v>2025</v>
      </c>
      <c r="AB483" s="3">
        <f t="shared" si="174"/>
        <v>2024</v>
      </c>
      <c r="AC483" s="3" t="s">
        <v>627</v>
      </c>
      <c r="AD483" s="3" t="s">
        <v>627</v>
      </c>
      <c r="AE483" s="102">
        <f>DATE(Modelling_old[[#This Row],[Calendor Year]],Modelling_old[[#This Row],[Start Month]],1)</f>
        <v>45474</v>
      </c>
      <c r="AF483" s="5">
        <f t="shared" si="175"/>
        <v>31</v>
      </c>
      <c r="AG483" s="5">
        <f t="shared" si="176"/>
        <v>7</v>
      </c>
      <c r="AH483" s="4">
        <f>_xlfn.XLOOKUP(Modelling_new[[#This Row],[Month]],$AA$1:$AA$14,$AL$1:$AL$14)/Modelling_new[[#This Row],[Total Days]]</f>
        <v>41.560898063424602</v>
      </c>
      <c r="AI483" s="4">
        <f>SUM($AH$475:AH483)</f>
        <v>374.04808257082135</v>
      </c>
      <c r="AJ483" s="4">
        <f>SUM($AH$384:AH483)</f>
        <v>6263.8351281862861</v>
      </c>
      <c r="AK483" s="4">
        <f t="shared" si="177"/>
        <v>4.4064516129032256</v>
      </c>
      <c r="AL483" s="4">
        <f>SUM($AK$475:AK483)</f>
        <v>39.658064516129031</v>
      </c>
      <c r="AM483" s="4">
        <f>SUM($AK$384:AK483)</f>
        <v>594.45806451612827</v>
      </c>
      <c r="AN483" s="323">
        <f t="shared" si="178"/>
        <v>0.81993801579603653</v>
      </c>
      <c r="AO483" s="323">
        <f t="shared" si="179"/>
        <v>0.81993801579603631</v>
      </c>
      <c r="AP483" s="323">
        <f t="shared" si="180"/>
        <v>0.91601840471168916</v>
      </c>
      <c r="AQ483" s="323">
        <f t="shared" si="181"/>
        <v>0.15054238300771317</v>
      </c>
      <c r="AR483" s="323">
        <f>Modelling_new[[#This Row],[Target E_Grid MTD
MWh]]/Modelling_new[[#This Row],[MTD DC Capcity]]/(24*CG483)</f>
        <v>0.13528938171687693</v>
      </c>
      <c r="AS483" s="323">
        <f>Modelling_new[[#This Row],[Target E_Grid YTD
MWh]]/Modelling_new[[#This Row],[YTD DC Capcity]]/(24*CH483)</f>
        <v>0.20390088307898105</v>
      </c>
      <c r="AT483" s="5">
        <v>12.8</v>
      </c>
      <c r="AU483" s="9">
        <f>Modelling_new[[#This Row],[Comisined DC ]]/$AO$1</f>
        <v>1</v>
      </c>
      <c r="AV48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83" s="5">
        <f>AVERAGEIFS(Modelling_new[[Comisined DC ]],Modelling_new[Date],"&lt;="&amp;Modelling_new[[#This Row],[Date]],Modelling_new[[Comisined DC ]],"&gt;"&amp;0,Modelling_new[Finacial Year],Modelling_new[[#This Row],[Finacial Year]])</f>
        <v>12.799999999999976</v>
      </c>
      <c r="BD483" s="27">
        <f t="shared" si="188"/>
        <v>45482</v>
      </c>
      <c r="BE483" s="5">
        <f>MONTH(Modelling[[#This Row],[Date]])</f>
        <v>7</v>
      </c>
      <c r="BF483" s="25">
        <f>YEAR(BD483)+IF(MONTH(Modelling[[#This Row],[Date]])&gt;=4,1,0)</f>
        <v>2025</v>
      </c>
      <c r="BG483" s="3">
        <f t="shared" si="182"/>
        <v>2024</v>
      </c>
      <c r="BH483" s="3" t="s">
        <v>627</v>
      </c>
      <c r="BI483" s="3" t="s">
        <v>627</v>
      </c>
      <c r="BJ483" s="102">
        <f>DATE(Modelling_old[[#This Row],[Calendor Year]],Modelling_old[[#This Row],[Start Month]],1)</f>
        <v>45474</v>
      </c>
      <c r="BK483" s="5">
        <f t="shared" si="183"/>
        <v>31</v>
      </c>
      <c r="BL483" s="5">
        <f t="shared" si="184"/>
        <v>7</v>
      </c>
      <c r="BM483" s="4">
        <f>Modelling_old[[#This Row],[Target E_Grid daily
MWh]]+Modelling_new[[#This Row],[Target E_Grid daily
MWh]]</f>
        <v>77.825414192456861</v>
      </c>
      <c r="BN483" s="4">
        <f>Modelling_old[[#This Row],[Target E_Grid MTD
MWh]]+Modelling_new[[#This Row],[Target E_Grid MTD
MWh]]</f>
        <v>700.42872773211161</v>
      </c>
      <c r="BO483" s="4">
        <f>Modelling_old[[#This Row],[Target E_Grid YTD
MWh]]+Modelling_new[[#This Row],[Target E_Grid YTD
MWh]]</f>
        <v>10929.21577334758</v>
      </c>
      <c r="BP483" s="4">
        <f>AVERAGE(Modelling_old[[#This Row],[Target POA Daily (KWh/m2)]],Modelling_new[[#This Row],[Target POA Daily (KWh/m2)]])</f>
        <v>4.4064516129032256</v>
      </c>
      <c r="BQ483" s="4">
        <f>SUM($BP$475:BP483)</f>
        <v>39.658064516129031</v>
      </c>
      <c r="BR483" s="4">
        <f>SUM($BP$384:BP483)</f>
        <v>594.45806451612827</v>
      </c>
      <c r="BS483" s="323">
        <f>BM483/Modelling[[#This Row],[Comisined DC ]]/BP483</f>
        <v>0.72672610563703754</v>
      </c>
      <c r="BT483" s="337">
        <f>BN483/BQ483/Modelling[[#This Row],[Comisined DC ]]</f>
        <v>0.72672610563703743</v>
      </c>
      <c r="BU483" s="337">
        <f>BO483/BR483/Modelling[[#This Row],[Comisined DC ]]</f>
        <v>0.75649507190262777</v>
      </c>
      <c r="BV483" s="323">
        <f>BM483/(24*Modelling[[#This Row],[Comisined DC ]])</f>
        <v>0.13342847584680018</v>
      </c>
      <c r="BW483" s="323">
        <f>Modelling[[#This Row],[Target E_Grid MTD
MWh]]/Modelling[[#This Row],[MTD DC Capcity]]/(24*CG483)</f>
        <v>0.13342847584680015</v>
      </c>
      <c r="BX483" s="338">
        <f>Modelling[[#This Row],[Target E_Grid YTD
MWh]]/Modelling[[#This Row],[YTD DC Capcity]]/(24*CH483)</f>
        <v>0.18737691510801024</v>
      </c>
      <c r="BY483" s="4">
        <f>Modelling_old[[#This Row],[DC Capcity]]+Modelling_new[[#This Row],[Comisined DC ]]</f>
        <v>24.303100000000001</v>
      </c>
      <c r="BZ483" s="4">
        <v>0</v>
      </c>
      <c r="CA483">
        <f>AVERAGEIFS(Modelling[[Comisined DC ]],Modelling[Date],"&lt;="&amp;Modelling[[#This Row],[Date]],Modelling[Month Year],Modelling[[#This Row],[Month Year]])</f>
        <v>24.303100000000001</v>
      </c>
      <c r="CB483">
        <f>AVERAGEIFS(Modelling[[Comisined DC ]],Modelling[Date],"&lt;="&amp;Modelling[[#This Row],[Date]],Modelling[Finacial Year],Modelling[[#This Row],[Finacial Year]])</f>
        <v>24.30310000000004</v>
      </c>
      <c r="CG483">
        <f t="shared" si="185"/>
        <v>9</v>
      </c>
      <c r="CH483">
        <f t="shared" si="186"/>
        <v>100</v>
      </c>
    </row>
    <row r="484" spans="1:86" x14ac:dyDescent="0.35">
      <c r="A484" s="27">
        <f t="shared" si="164"/>
        <v>45483</v>
      </c>
      <c r="B484" s="5">
        <f>MONTH(Modelling_old[[#This Row],[Date]])</f>
        <v>7</v>
      </c>
      <c r="C484" s="25">
        <f t="shared" si="165"/>
        <v>2025</v>
      </c>
      <c r="D484" s="3">
        <f t="shared" si="166"/>
        <v>2024</v>
      </c>
      <c r="E484" s="3" t="s">
        <v>627</v>
      </c>
      <c r="F484" s="3" t="s">
        <v>627</v>
      </c>
      <c r="G484" s="102">
        <f>DATE(Modelling_old[[#This Row],[Calendor Year]],Modelling_old[[#This Row],[Start Month]],1)</f>
        <v>45474</v>
      </c>
      <c r="H484" s="5">
        <f t="shared" si="167"/>
        <v>31</v>
      </c>
      <c r="I484" s="5">
        <f t="shared" si="168"/>
        <v>7</v>
      </c>
      <c r="J484" s="4">
        <f>_xlfn.XLOOKUP(Modelling_old[[#This Row],[Month]],$C$1:$C$14,$N$1:$N$14)/Modelling_old[[#This Row],[Total Days]]</f>
        <v>36.264516129032259</v>
      </c>
      <c r="K484" s="4">
        <f>SUM($J$475:J484)</f>
        <v>362.64516129032251</v>
      </c>
      <c r="L484" s="4">
        <f>SUM($J$384:J484)</f>
        <v>4701.6451612903256</v>
      </c>
      <c r="M484" s="4">
        <f t="shared" si="169"/>
        <v>4.4064516129032256</v>
      </c>
      <c r="N484" s="4">
        <f>SUM($M$475:M484)</f>
        <v>44.064516129032256</v>
      </c>
      <c r="O484" s="4">
        <f>SUM($M$384:M484)</f>
        <v>598.86451612903147</v>
      </c>
      <c r="P484" s="323">
        <f t="shared" si="170"/>
        <v>0.71544785565665769</v>
      </c>
      <c r="Q484" s="337">
        <f t="shared" si="171"/>
        <v>0.71544785565665769</v>
      </c>
      <c r="R484" s="337">
        <f t="shared" si="172"/>
        <v>0.68250584176225848</v>
      </c>
      <c r="S484" s="323">
        <f t="shared" si="173"/>
        <v>0.13135776489610143</v>
      </c>
      <c r="T484" s="9">
        <f>Modelling_old[[#This Row],[Target E_Grid MTD
MWh]]/Modelling_old[[#This Row],[DC Capcity]]/(24*CG484)</f>
        <v>0.13135776489610138</v>
      </c>
      <c r="U484" s="338">
        <f>Modelling_old[[#This Row],[Target E_Grid YTD
MWh]]/Modelling_old[[#This Row],[DC Capcity]]/(24*CH484)</f>
        <v>0.16861738064446874</v>
      </c>
      <c r="V484" s="134">
        <v>11.5031</v>
      </c>
      <c r="Y484" s="27">
        <f t="shared" si="187"/>
        <v>45483</v>
      </c>
      <c r="Z484" s="5">
        <f>MONTH(Modelling_new[[#This Row],[Date]])</f>
        <v>7</v>
      </c>
      <c r="AA484" s="25">
        <f>YEAR(Y484)+IF(MONTH(Modelling_new[[#This Row],[Date]])&gt;=4,1,0)</f>
        <v>2025</v>
      </c>
      <c r="AB484" s="3">
        <f t="shared" si="174"/>
        <v>2024</v>
      </c>
      <c r="AC484" s="3" t="s">
        <v>627</v>
      </c>
      <c r="AD484" s="3" t="s">
        <v>627</v>
      </c>
      <c r="AE484" s="102">
        <f>DATE(Modelling_old[[#This Row],[Calendor Year]],Modelling_old[[#This Row],[Start Month]],1)</f>
        <v>45474</v>
      </c>
      <c r="AF484" s="5">
        <f t="shared" si="175"/>
        <v>31</v>
      </c>
      <c r="AG484" s="5">
        <f t="shared" si="176"/>
        <v>7</v>
      </c>
      <c r="AH484" s="4">
        <f>_xlfn.XLOOKUP(Modelling_new[[#This Row],[Month]],$AA$1:$AA$14,$AL$1:$AL$14)/Modelling_new[[#This Row],[Total Days]]</f>
        <v>41.560898063424602</v>
      </c>
      <c r="AI484" s="4">
        <f>SUM($AH$475:AH484)</f>
        <v>415.60898063424594</v>
      </c>
      <c r="AJ484" s="4">
        <f>SUM($AH$384:AH484)</f>
        <v>6305.3960262497103</v>
      </c>
      <c r="AK484" s="4">
        <f t="shared" si="177"/>
        <v>4.4064516129032256</v>
      </c>
      <c r="AL484" s="4">
        <f>SUM($AK$475:AK484)</f>
        <v>44.064516129032256</v>
      </c>
      <c r="AM484" s="4">
        <f>SUM($AK$384:AK484)</f>
        <v>598.86451612903147</v>
      </c>
      <c r="AN484" s="323">
        <f t="shared" si="178"/>
        <v>0.81993801579603653</v>
      </c>
      <c r="AO484" s="323">
        <f t="shared" si="179"/>
        <v>0.81993801579603631</v>
      </c>
      <c r="AP484" s="323">
        <f t="shared" si="180"/>
        <v>0.91531144416668575</v>
      </c>
      <c r="AQ484" s="323">
        <f t="shared" si="181"/>
        <v>0.15054238300771317</v>
      </c>
      <c r="AR484" s="323">
        <f>Modelling_new[[#This Row],[Target E_Grid MTD
MWh]]/Modelling_new[[#This Row],[MTD DC Capcity]]/(24*CG484)</f>
        <v>0.13528938171687696</v>
      </c>
      <c r="AS484" s="323">
        <f>Modelling_new[[#This Row],[Target E_Grid YTD
MWh]]/Modelling_new[[#This Row],[YTD DC Capcity]]/(24*CH484)</f>
        <v>0.20322156128331667</v>
      </c>
      <c r="AT484" s="5">
        <v>12.8</v>
      </c>
      <c r="AU484" s="9">
        <f>Modelling_new[[#This Row],[Comisined DC ]]/$AO$1</f>
        <v>1</v>
      </c>
      <c r="AV48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84" s="5">
        <f>AVERAGEIFS(Modelling_new[[Comisined DC ]],Modelling_new[Date],"&lt;="&amp;Modelling_new[[#This Row],[Date]],Modelling_new[[Comisined DC ]],"&gt;"&amp;0,Modelling_new[Finacial Year],Modelling_new[[#This Row],[Finacial Year]])</f>
        <v>12.799999999999974</v>
      </c>
      <c r="BD484" s="27">
        <f t="shared" si="188"/>
        <v>45483</v>
      </c>
      <c r="BE484" s="5">
        <f>MONTH(Modelling[[#This Row],[Date]])</f>
        <v>7</v>
      </c>
      <c r="BF484" s="25">
        <f>YEAR(BD484)+IF(MONTH(Modelling[[#This Row],[Date]])&gt;=4,1,0)</f>
        <v>2025</v>
      </c>
      <c r="BG484" s="3">
        <f t="shared" si="182"/>
        <v>2024</v>
      </c>
      <c r="BH484" s="3" t="s">
        <v>627</v>
      </c>
      <c r="BI484" s="3" t="s">
        <v>627</v>
      </c>
      <c r="BJ484" s="102">
        <f>DATE(Modelling_old[[#This Row],[Calendor Year]],Modelling_old[[#This Row],[Start Month]],1)</f>
        <v>45474</v>
      </c>
      <c r="BK484" s="5">
        <f t="shared" si="183"/>
        <v>31</v>
      </c>
      <c r="BL484" s="5">
        <f t="shared" si="184"/>
        <v>7</v>
      </c>
      <c r="BM484" s="4">
        <f>Modelling_old[[#This Row],[Target E_Grid daily
MWh]]+Modelling_new[[#This Row],[Target E_Grid daily
MWh]]</f>
        <v>77.825414192456861</v>
      </c>
      <c r="BN484" s="4">
        <f>Modelling_old[[#This Row],[Target E_Grid MTD
MWh]]+Modelling_new[[#This Row],[Target E_Grid MTD
MWh]]</f>
        <v>778.25414192456844</v>
      </c>
      <c r="BO484" s="4">
        <f>Modelling_old[[#This Row],[Target E_Grid YTD
MWh]]+Modelling_new[[#This Row],[Target E_Grid YTD
MWh]]</f>
        <v>11007.041187540035</v>
      </c>
      <c r="BP484" s="4">
        <f>AVERAGE(Modelling_old[[#This Row],[Target POA Daily (KWh/m2)]],Modelling_new[[#This Row],[Target POA Daily (KWh/m2)]])</f>
        <v>4.4064516129032256</v>
      </c>
      <c r="BQ484" s="4">
        <f>SUM($BP$475:BP484)</f>
        <v>44.064516129032256</v>
      </c>
      <c r="BR484" s="4">
        <f>SUM($BP$384:BP484)</f>
        <v>598.86451612903147</v>
      </c>
      <c r="BS484" s="323">
        <f>BM484/Modelling[[#This Row],[Comisined DC ]]/BP484</f>
        <v>0.72672610563703754</v>
      </c>
      <c r="BT484" s="337">
        <f>BN484/BQ484/Modelling[[#This Row],[Comisined DC ]]</f>
        <v>0.72672610563703743</v>
      </c>
      <c r="BU484" s="337">
        <f>BO484/BR484/Modelling[[#This Row],[Comisined DC ]]</f>
        <v>0.75627603152557654</v>
      </c>
      <c r="BV484" s="323">
        <f>BM484/(24*Modelling[[#This Row],[Comisined DC ]])</f>
        <v>0.13342847584680018</v>
      </c>
      <c r="BW484" s="323">
        <f>Modelling[[#This Row],[Target E_Grid MTD
MWh]]/Modelling[[#This Row],[MTD DC Capcity]]/(24*CG484)</f>
        <v>0.13342847584680012</v>
      </c>
      <c r="BX484" s="338">
        <f>Modelling[[#This Row],[Target E_Grid YTD
MWh]]/Modelling[[#This Row],[YTD DC Capcity]]/(24*CH484)</f>
        <v>0.18684277214502795</v>
      </c>
      <c r="BY484" s="4">
        <f>Modelling_old[[#This Row],[DC Capcity]]+Modelling_new[[#This Row],[Comisined DC ]]</f>
        <v>24.303100000000001</v>
      </c>
      <c r="BZ484" s="4">
        <v>0</v>
      </c>
      <c r="CA484">
        <f>AVERAGEIFS(Modelling[[Comisined DC ]],Modelling[Date],"&lt;="&amp;Modelling[[#This Row],[Date]],Modelling[Month Year],Modelling[[#This Row],[Month Year]])</f>
        <v>24.303100000000001</v>
      </c>
      <c r="CB484">
        <f>AVERAGEIFS(Modelling[[Comisined DC ]],Modelling[Date],"&lt;="&amp;Modelling[[#This Row],[Date]],Modelling[Finacial Year],Modelling[[#This Row],[Finacial Year]])</f>
        <v>24.30310000000004</v>
      </c>
      <c r="CG484">
        <f t="shared" si="185"/>
        <v>10</v>
      </c>
      <c r="CH484">
        <f t="shared" si="186"/>
        <v>101</v>
      </c>
    </row>
    <row r="485" spans="1:86" x14ac:dyDescent="0.35">
      <c r="A485" s="27">
        <f t="shared" si="164"/>
        <v>45484</v>
      </c>
      <c r="B485" s="5">
        <f>MONTH(Modelling_old[[#This Row],[Date]])</f>
        <v>7</v>
      </c>
      <c r="C485" s="25">
        <f t="shared" si="165"/>
        <v>2025</v>
      </c>
      <c r="D485" s="3">
        <f t="shared" si="166"/>
        <v>2024</v>
      </c>
      <c r="E485" s="3" t="s">
        <v>627</v>
      </c>
      <c r="F485" s="3" t="s">
        <v>627</v>
      </c>
      <c r="G485" s="102">
        <f>DATE(Modelling_old[[#This Row],[Calendor Year]],Modelling_old[[#This Row],[Start Month]],1)</f>
        <v>45474</v>
      </c>
      <c r="H485" s="5">
        <f t="shared" si="167"/>
        <v>31</v>
      </c>
      <c r="I485" s="5">
        <f t="shared" si="168"/>
        <v>7</v>
      </c>
      <c r="J485" s="4">
        <f>_xlfn.XLOOKUP(Modelling_old[[#This Row],[Month]],$C$1:$C$14,$N$1:$N$14)/Modelling_old[[#This Row],[Total Days]]</f>
        <v>36.264516129032259</v>
      </c>
      <c r="K485" s="4">
        <f>SUM($J$475:J485)</f>
        <v>398.90967741935475</v>
      </c>
      <c r="L485" s="4">
        <f>SUM($J$384:J485)</f>
        <v>4737.9096774193576</v>
      </c>
      <c r="M485" s="4">
        <f t="shared" si="169"/>
        <v>4.4064516129032256</v>
      </c>
      <c r="N485" s="4">
        <f>SUM($M$475:M485)</f>
        <v>48.470967741935482</v>
      </c>
      <c r="O485" s="4">
        <f>SUM($M$384:M485)</f>
        <v>603.27096774193467</v>
      </c>
      <c r="P485" s="323">
        <f t="shared" si="170"/>
        <v>0.71544785565665769</v>
      </c>
      <c r="Q485" s="337">
        <f t="shared" si="171"/>
        <v>0.71544785565665769</v>
      </c>
      <c r="R485" s="337">
        <f t="shared" si="172"/>
        <v>0.6827464589940152</v>
      </c>
      <c r="S485" s="323">
        <f t="shared" si="173"/>
        <v>0.13135776489610143</v>
      </c>
      <c r="T485" s="9">
        <f>Modelling_old[[#This Row],[Target E_Grid MTD
MWh]]/Modelling_old[[#This Row],[DC Capcity]]/(24*CG485)</f>
        <v>0.13135776489610138</v>
      </c>
      <c r="U485" s="338">
        <f>Modelling_old[[#This Row],[Target E_Grid YTD
MWh]]/Modelling_old[[#This Row],[DC Capcity]]/(24*CH485)</f>
        <v>0.16825209029399454</v>
      </c>
      <c r="V485" s="134">
        <v>11.5031</v>
      </c>
      <c r="Y485" s="27">
        <f t="shared" si="187"/>
        <v>45484</v>
      </c>
      <c r="Z485" s="5">
        <f>MONTH(Modelling_new[[#This Row],[Date]])</f>
        <v>7</v>
      </c>
      <c r="AA485" s="25">
        <f>YEAR(Y485)+IF(MONTH(Modelling_new[[#This Row],[Date]])&gt;=4,1,0)</f>
        <v>2025</v>
      </c>
      <c r="AB485" s="3">
        <f t="shared" si="174"/>
        <v>2024</v>
      </c>
      <c r="AC485" s="3" t="s">
        <v>627</v>
      </c>
      <c r="AD485" s="3" t="s">
        <v>627</v>
      </c>
      <c r="AE485" s="102">
        <f>DATE(Modelling_old[[#This Row],[Calendor Year]],Modelling_old[[#This Row],[Start Month]],1)</f>
        <v>45474</v>
      </c>
      <c r="AF485" s="5">
        <f t="shared" si="175"/>
        <v>31</v>
      </c>
      <c r="AG485" s="5">
        <f t="shared" si="176"/>
        <v>7</v>
      </c>
      <c r="AH485" s="4">
        <f>_xlfn.XLOOKUP(Modelling_new[[#This Row],[Month]],$AA$1:$AA$14,$AL$1:$AL$14)/Modelling_new[[#This Row],[Total Days]]</f>
        <v>41.560898063424602</v>
      </c>
      <c r="AI485" s="4">
        <f>SUM($AH$475:AH485)</f>
        <v>457.16987869767053</v>
      </c>
      <c r="AJ485" s="4">
        <f>SUM($AH$384:AH485)</f>
        <v>6346.9569243131346</v>
      </c>
      <c r="AK485" s="4">
        <f t="shared" si="177"/>
        <v>4.4064516129032256</v>
      </c>
      <c r="AL485" s="4">
        <f>SUM($AK$475:AK485)</f>
        <v>48.470967741935482</v>
      </c>
      <c r="AM485" s="4">
        <f>SUM($AK$384:AK485)</f>
        <v>603.27096774193467</v>
      </c>
      <c r="AN485" s="323">
        <f t="shared" si="178"/>
        <v>0.81993801579603653</v>
      </c>
      <c r="AO485" s="323">
        <f t="shared" si="179"/>
        <v>0.81993801579603631</v>
      </c>
      <c r="AP485" s="323">
        <f t="shared" si="180"/>
        <v>0.91461481127741384</v>
      </c>
      <c r="AQ485" s="323">
        <f t="shared" si="181"/>
        <v>0.15054238300771317</v>
      </c>
      <c r="AR485" s="323">
        <f>Modelling_new[[#This Row],[Target E_Grid MTD
MWh]]/Modelling_new[[#This Row],[MTD DC Capcity]]/(24*CG485)</f>
        <v>0.13528938171687693</v>
      </c>
      <c r="AS485" s="323">
        <f>Modelling_new[[#This Row],[Target E_Grid YTD
MWh]]/Modelling_new[[#This Row],[YTD DC Capcity]]/(24*CH485)</f>
        <v>0.20255555952286136</v>
      </c>
      <c r="AT485" s="5">
        <v>12.8</v>
      </c>
      <c r="AU485" s="9">
        <f>Modelling_new[[#This Row],[Comisined DC ]]/$AO$1</f>
        <v>1</v>
      </c>
      <c r="AV48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85" s="5">
        <f>AVERAGEIFS(Modelling_new[[Comisined DC ]],Modelling_new[Date],"&lt;="&amp;Modelling_new[[#This Row],[Date]],Modelling_new[[Comisined DC ]],"&gt;"&amp;0,Modelling_new[Finacial Year],Modelling_new[[#This Row],[Finacial Year]])</f>
        <v>12.799999999999974</v>
      </c>
      <c r="BD485" s="27">
        <f t="shared" si="188"/>
        <v>45484</v>
      </c>
      <c r="BE485" s="5">
        <f>MONTH(Modelling[[#This Row],[Date]])</f>
        <v>7</v>
      </c>
      <c r="BF485" s="25">
        <f>YEAR(BD485)+IF(MONTH(Modelling[[#This Row],[Date]])&gt;=4,1,0)</f>
        <v>2025</v>
      </c>
      <c r="BG485" s="3">
        <f t="shared" si="182"/>
        <v>2024</v>
      </c>
      <c r="BH485" s="3" t="s">
        <v>627</v>
      </c>
      <c r="BI485" s="3" t="s">
        <v>627</v>
      </c>
      <c r="BJ485" s="102">
        <f>DATE(Modelling_old[[#This Row],[Calendor Year]],Modelling_old[[#This Row],[Start Month]],1)</f>
        <v>45474</v>
      </c>
      <c r="BK485" s="5">
        <f t="shared" si="183"/>
        <v>31</v>
      </c>
      <c r="BL485" s="5">
        <f t="shared" si="184"/>
        <v>7</v>
      </c>
      <c r="BM485" s="4">
        <f>Modelling_old[[#This Row],[Target E_Grid daily
MWh]]+Modelling_new[[#This Row],[Target E_Grid daily
MWh]]</f>
        <v>77.825414192456861</v>
      </c>
      <c r="BN485" s="4">
        <f>Modelling_old[[#This Row],[Target E_Grid MTD
MWh]]+Modelling_new[[#This Row],[Target E_Grid MTD
MWh]]</f>
        <v>856.07955611702528</v>
      </c>
      <c r="BO485" s="4">
        <f>Modelling_old[[#This Row],[Target E_Grid YTD
MWh]]+Modelling_new[[#This Row],[Target E_Grid YTD
MWh]]</f>
        <v>11084.866601732492</v>
      </c>
      <c r="BP485" s="4">
        <f>AVERAGE(Modelling_old[[#This Row],[Target POA Daily (KWh/m2)]],Modelling_new[[#This Row],[Target POA Daily (KWh/m2)]])</f>
        <v>4.4064516129032256</v>
      </c>
      <c r="BQ485" s="4">
        <f>SUM($BP$475:BP485)</f>
        <v>48.470967741935482</v>
      </c>
      <c r="BR485" s="4">
        <f>SUM($BP$384:BP485)</f>
        <v>603.27096774193467</v>
      </c>
      <c r="BS485" s="323">
        <f>BM485/Modelling[[#This Row],[Comisined DC ]]/BP485</f>
        <v>0.72672610563703754</v>
      </c>
      <c r="BT485" s="337">
        <f>BN485/BQ485/Modelling[[#This Row],[Comisined DC ]]</f>
        <v>0.72672610563703743</v>
      </c>
      <c r="BU485" s="337">
        <f>BO485/BR485/Modelling[[#This Row],[Comisined DC ]]</f>
        <v>0.75606019100687871</v>
      </c>
      <c r="BV485" s="323">
        <f>BM485/(24*Modelling[[#This Row],[Comisined DC ]])</f>
        <v>0.13342847584680018</v>
      </c>
      <c r="BW485" s="323">
        <f>Modelling[[#This Row],[Target E_Grid MTD
MWh]]/Modelling[[#This Row],[MTD DC Capcity]]/(24*CG485)</f>
        <v>0.13342847584680009</v>
      </c>
      <c r="BX485" s="338">
        <f>Modelling[[#This Row],[Target E_Grid YTD
MWh]]/Modelling[[#This Row],[YTD DC Capcity]]/(24*CH485)</f>
        <v>0.1863191025734767</v>
      </c>
      <c r="BY485" s="4">
        <f>Modelling_old[[#This Row],[DC Capcity]]+Modelling_new[[#This Row],[Comisined DC ]]</f>
        <v>24.303100000000001</v>
      </c>
      <c r="BZ485" s="4">
        <v>0</v>
      </c>
      <c r="CA485">
        <f>AVERAGEIFS(Modelling[[Comisined DC ]],Modelling[Date],"&lt;="&amp;Modelling[[#This Row],[Date]],Modelling[Month Year],Modelling[[#This Row],[Month Year]])</f>
        <v>24.303100000000004</v>
      </c>
      <c r="CB485">
        <f>AVERAGEIFS(Modelling[[Comisined DC ]],Modelling[Date],"&lt;="&amp;Modelling[[#This Row],[Date]],Modelling[Finacial Year],Modelling[[#This Row],[Finacial Year]])</f>
        <v>24.30310000000004</v>
      </c>
      <c r="CG485">
        <f t="shared" si="185"/>
        <v>11</v>
      </c>
      <c r="CH485">
        <f t="shared" si="186"/>
        <v>102</v>
      </c>
    </row>
    <row r="486" spans="1:86" x14ac:dyDescent="0.35">
      <c r="A486" s="27">
        <f t="shared" si="164"/>
        <v>45485</v>
      </c>
      <c r="B486" s="5">
        <f>MONTH(Modelling_old[[#This Row],[Date]])</f>
        <v>7</v>
      </c>
      <c r="C486" s="25">
        <f t="shared" si="165"/>
        <v>2025</v>
      </c>
      <c r="D486" s="3">
        <f t="shared" si="166"/>
        <v>2024</v>
      </c>
      <c r="E486" s="3" t="s">
        <v>627</v>
      </c>
      <c r="F486" s="3" t="s">
        <v>627</v>
      </c>
      <c r="G486" s="102">
        <f>DATE(Modelling_old[[#This Row],[Calendor Year]],Modelling_old[[#This Row],[Start Month]],1)</f>
        <v>45474</v>
      </c>
      <c r="H486" s="5">
        <f t="shared" si="167"/>
        <v>31</v>
      </c>
      <c r="I486" s="5">
        <f t="shared" si="168"/>
        <v>7</v>
      </c>
      <c r="J486" s="4">
        <f>_xlfn.XLOOKUP(Modelling_old[[#This Row],[Month]],$C$1:$C$14,$N$1:$N$14)/Modelling_old[[#This Row],[Total Days]]</f>
        <v>36.264516129032259</v>
      </c>
      <c r="K486" s="4">
        <f>SUM($J$475:J486)</f>
        <v>435.174193548387</v>
      </c>
      <c r="L486" s="4">
        <f>SUM($J$384:J486)</f>
        <v>4774.1741935483897</v>
      </c>
      <c r="M486" s="4">
        <f t="shared" si="169"/>
        <v>4.4064516129032256</v>
      </c>
      <c r="N486" s="4">
        <f>SUM($M$475:M486)</f>
        <v>52.877419354838707</v>
      </c>
      <c r="O486" s="4">
        <f>SUM($M$384:M486)</f>
        <v>607.67741935483787</v>
      </c>
      <c r="P486" s="323">
        <f t="shared" si="170"/>
        <v>0.71544785565665769</v>
      </c>
      <c r="Q486" s="337">
        <f t="shared" si="171"/>
        <v>0.71544785565665758</v>
      </c>
      <c r="R486" s="337">
        <f t="shared" si="172"/>
        <v>0.68298358665003589</v>
      </c>
      <c r="S486" s="323">
        <f t="shared" si="173"/>
        <v>0.13135776489610143</v>
      </c>
      <c r="T486" s="9">
        <f>Modelling_old[[#This Row],[Target E_Grid MTD
MWh]]/Modelling_old[[#This Row],[DC Capcity]]/(24*CG486)</f>
        <v>0.13135776489610138</v>
      </c>
      <c r="U486" s="338">
        <f>Modelling_old[[#This Row],[Target E_Grid YTD
MWh]]/Modelling_old[[#This Row],[DC Capcity]]/(24*CH486)</f>
        <v>0.16789389296003443</v>
      </c>
      <c r="V486" s="134">
        <v>11.5031</v>
      </c>
      <c r="Y486" s="27">
        <f t="shared" si="187"/>
        <v>45485</v>
      </c>
      <c r="Z486" s="5">
        <f>MONTH(Modelling_new[[#This Row],[Date]])</f>
        <v>7</v>
      </c>
      <c r="AA486" s="25">
        <f>YEAR(Y486)+IF(MONTH(Modelling_new[[#This Row],[Date]])&gt;=4,1,0)</f>
        <v>2025</v>
      </c>
      <c r="AB486" s="3">
        <f t="shared" si="174"/>
        <v>2024</v>
      </c>
      <c r="AC486" s="3" t="s">
        <v>627</v>
      </c>
      <c r="AD486" s="3" t="s">
        <v>627</v>
      </c>
      <c r="AE486" s="102">
        <f>DATE(Modelling_old[[#This Row],[Calendor Year]],Modelling_old[[#This Row],[Start Month]],1)</f>
        <v>45474</v>
      </c>
      <c r="AF486" s="5">
        <f t="shared" si="175"/>
        <v>31</v>
      </c>
      <c r="AG486" s="5">
        <f t="shared" si="176"/>
        <v>7</v>
      </c>
      <c r="AH486" s="4">
        <f>_xlfn.XLOOKUP(Modelling_new[[#This Row],[Month]],$AA$1:$AA$14,$AL$1:$AL$14)/Modelling_new[[#This Row],[Total Days]]</f>
        <v>41.560898063424602</v>
      </c>
      <c r="AI486" s="4">
        <f>SUM($AH$475:AH486)</f>
        <v>498.73077676109511</v>
      </c>
      <c r="AJ486" s="4">
        <f>SUM($AH$384:AH486)</f>
        <v>6388.5178223765588</v>
      </c>
      <c r="AK486" s="4">
        <f t="shared" si="177"/>
        <v>4.4064516129032256</v>
      </c>
      <c r="AL486" s="4">
        <f>SUM($AK$475:AK486)</f>
        <v>52.877419354838707</v>
      </c>
      <c r="AM486" s="4">
        <f>SUM($AK$384:AK486)</f>
        <v>607.67741935483787</v>
      </c>
      <c r="AN486" s="323">
        <f t="shared" si="178"/>
        <v>0.81993801579603653</v>
      </c>
      <c r="AO486" s="323">
        <f t="shared" si="179"/>
        <v>0.81993801579603631</v>
      </c>
      <c r="AP486" s="323">
        <f t="shared" si="180"/>
        <v>0.91392828137706572</v>
      </c>
      <c r="AQ486" s="323">
        <f t="shared" si="181"/>
        <v>0.15054238300771317</v>
      </c>
      <c r="AR486" s="323">
        <f>Modelling_new[[#This Row],[Target E_Grid MTD
MWh]]/Modelling_new[[#This Row],[MTD DC Capcity]]/(24*CG486)</f>
        <v>0.13528938171687693</v>
      </c>
      <c r="AS486" s="323">
        <f>Modelling_new[[#This Row],[Target E_Grid YTD
MWh]]/Modelling_new[[#This Row],[YTD DC Capcity]]/(24*CH486)</f>
        <v>0.20190248983542461</v>
      </c>
      <c r="AT486" s="5">
        <v>12.8</v>
      </c>
      <c r="AU486" s="9">
        <f>Modelling_new[[#This Row],[Comisined DC ]]/$AO$1</f>
        <v>1</v>
      </c>
      <c r="AV486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486" s="5">
        <f>AVERAGEIFS(Modelling_new[[Comisined DC ]],Modelling_new[Date],"&lt;="&amp;Modelling_new[[#This Row],[Date]],Modelling_new[[Comisined DC ]],"&gt;"&amp;0,Modelling_new[Finacial Year],Modelling_new[[#This Row],[Finacial Year]])</f>
        <v>12.799999999999974</v>
      </c>
      <c r="BD486" s="27">
        <f t="shared" si="188"/>
        <v>45485</v>
      </c>
      <c r="BE486" s="5">
        <f>MONTH(Modelling[[#This Row],[Date]])</f>
        <v>7</v>
      </c>
      <c r="BF486" s="25">
        <f>YEAR(BD486)+IF(MONTH(Modelling[[#This Row],[Date]])&gt;=4,1,0)</f>
        <v>2025</v>
      </c>
      <c r="BG486" s="3">
        <f t="shared" si="182"/>
        <v>2024</v>
      </c>
      <c r="BH486" s="3" t="s">
        <v>627</v>
      </c>
      <c r="BI486" s="3" t="s">
        <v>627</v>
      </c>
      <c r="BJ486" s="102">
        <f>DATE(Modelling_old[[#This Row],[Calendor Year]],Modelling_old[[#This Row],[Start Month]],1)</f>
        <v>45474</v>
      </c>
      <c r="BK486" s="5">
        <f t="shared" si="183"/>
        <v>31</v>
      </c>
      <c r="BL486" s="5">
        <f t="shared" si="184"/>
        <v>7</v>
      </c>
      <c r="BM486" s="4">
        <f>Modelling_old[[#This Row],[Target E_Grid daily
MWh]]+Modelling_new[[#This Row],[Target E_Grid daily
MWh]]</f>
        <v>77.825414192456861</v>
      </c>
      <c r="BN486" s="4">
        <f>Modelling_old[[#This Row],[Target E_Grid MTD
MWh]]+Modelling_new[[#This Row],[Target E_Grid MTD
MWh]]</f>
        <v>933.90497030948211</v>
      </c>
      <c r="BO486" s="4">
        <f>Modelling_old[[#This Row],[Target E_Grid YTD
MWh]]+Modelling_new[[#This Row],[Target E_Grid YTD
MWh]]</f>
        <v>11162.692015924949</v>
      </c>
      <c r="BP486" s="4">
        <f>AVERAGE(Modelling_old[[#This Row],[Target POA Daily (KWh/m2)]],Modelling_new[[#This Row],[Target POA Daily (KWh/m2)]])</f>
        <v>4.4064516129032256</v>
      </c>
      <c r="BQ486" s="4">
        <f>SUM($BP$475:BP486)</f>
        <v>52.877419354838707</v>
      </c>
      <c r="BR486" s="4">
        <f>SUM($BP$384:BP486)</f>
        <v>607.67741935483787</v>
      </c>
      <c r="BS486" s="323">
        <f>BM486/Modelling[[#This Row],[Comisined DC ]]/BP486</f>
        <v>0.72672610563703754</v>
      </c>
      <c r="BT486" s="337">
        <f>BN486/BQ486/Modelling[[#This Row],[Comisined DC ]]</f>
        <v>0.72672610563703743</v>
      </c>
      <c r="BU486" s="337">
        <f>BO486/BR486/Modelling[[#This Row],[Comisined DC ]]</f>
        <v>0.75584748073713037</v>
      </c>
      <c r="BV486" s="323">
        <f>BM486/(24*Modelling[[#This Row],[Comisined DC ]])</f>
        <v>0.13342847584680018</v>
      </c>
      <c r="BW486" s="323">
        <f>Modelling[[#This Row],[Target E_Grid MTD
MWh]]/Modelling[[#This Row],[MTD DC Capcity]]/(24*CG486)</f>
        <v>0.13342847584680015</v>
      </c>
      <c r="BX486" s="338">
        <f>Modelling[[#This Row],[Target E_Grid YTD
MWh]]/Modelling[[#This Row],[YTD DC Capcity]]/(24*CH486)</f>
        <v>0.1858056013431206</v>
      </c>
      <c r="BY486" s="4">
        <f>Modelling_old[[#This Row],[DC Capcity]]+Modelling_new[[#This Row],[Comisined DC ]]</f>
        <v>24.303100000000001</v>
      </c>
      <c r="BZ486" s="4">
        <v>0</v>
      </c>
      <c r="CA486">
        <f>AVERAGEIFS(Modelling[[Comisined DC ]],Modelling[Date],"&lt;="&amp;Modelling[[#This Row],[Date]],Modelling[Month Year],Modelling[[#This Row],[Month Year]])</f>
        <v>24.303100000000001</v>
      </c>
      <c r="CB486">
        <f>AVERAGEIFS(Modelling[[Comisined DC ]],Modelling[Date],"&lt;="&amp;Modelling[[#This Row],[Date]],Modelling[Finacial Year],Modelling[[#This Row],[Finacial Year]])</f>
        <v>24.303100000000043</v>
      </c>
      <c r="CG486">
        <f t="shared" si="185"/>
        <v>12</v>
      </c>
      <c r="CH486">
        <f t="shared" si="186"/>
        <v>103</v>
      </c>
    </row>
    <row r="487" spans="1:86" x14ac:dyDescent="0.35">
      <c r="A487" s="27">
        <f t="shared" si="164"/>
        <v>45486</v>
      </c>
      <c r="B487" s="5">
        <f>MONTH(Modelling_old[[#This Row],[Date]])</f>
        <v>7</v>
      </c>
      <c r="C487" s="25">
        <f t="shared" si="165"/>
        <v>2025</v>
      </c>
      <c r="D487" s="3">
        <f t="shared" si="166"/>
        <v>2024</v>
      </c>
      <c r="E487" s="3" t="s">
        <v>627</v>
      </c>
      <c r="F487" s="3" t="s">
        <v>627</v>
      </c>
      <c r="G487" s="102">
        <f>DATE(Modelling_old[[#This Row],[Calendor Year]],Modelling_old[[#This Row],[Start Month]],1)</f>
        <v>45474</v>
      </c>
      <c r="H487" s="5">
        <f t="shared" si="167"/>
        <v>31</v>
      </c>
      <c r="I487" s="5">
        <f t="shared" si="168"/>
        <v>7</v>
      </c>
      <c r="J487" s="4">
        <f>_xlfn.XLOOKUP(Modelling_old[[#This Row],[Month]],$C$1:$C$14,$N$1:$N$14)/Modelling_old[[#This Row],[Total Days]]</f>
        <v>36.264516129032259</v>
      </c>
      <c r="K487" s="4">
        <f>SUM($J$475:J487)</f>
        <v>471.43870967741924</v>
      </c>
      <c r="L487" s="4">
        <f>SUM($J$384:J487)</f>
        <v>4810.4387096774217</v>
      </c>
      <c r="M487" s="4">
        <f t="shared" si="169"/>
        <v>4.4064516129032256</v>
      </c>
      <c r="N487" s="4">
        <f>SUM($M$475:M487)</f>
        <v>57.283870967741933</v>
      </c>
      <c r="O487" s="4">
        <f>SUM($M$384:M487)</f>
        <v>612.08387096774106</v>
      </c>
      <c r="P487" s="323">
        <f t="shared" si="170"/>
        <v>0.71544785565665769</v>
      </c>
      <c r="Q487" s="337">
        <f t="shared" si="171"/>
        <v>0.71544785565665758</v>
      </c>
      <c r="R487" s="337">
        <f t="shared" si="172"/>
        <v>0.6832173000957108</v>
      </c>
      <c r="S487" s="323">
        <f t="shared" si="173"/>
        <v>0.13135776489610143</v>
      </c>
      <c r="T487" s="9">
        <f>Modelling_old[[#This Row],[Target E_Grid MTD
MWh]]/Modelling_old[[#This Row],[DC Capcity]]/(24*CG487)</f>
        <v>0.13135776489610138</v>
      </c>
      <c r="U487" s="338">
        <f>Modelling_old[[#This Row],[Target E_Grid YTD
MWh]]/Modelling_old[[#This Row],[DC Capcity]]/(24*CH487)</f>
        <v>0.16754258403634273</v>
      </c>
      <c r="V487" s="134">
        <v>11.5031</v>
      </c>
      <c r="Y487" s="27">
        <f t="shared" si="187"/>
        <v>45486</v>
      </c>
      <c r="Z487" s="5">
        <f>MONTH(Modelling_new[[#This Row],[Date]])</f>
        <v>7</v>
      </c>
      <c r="AA487" s="25">
        <f>YEAR(Y487)+IF(MONTH(Modelling_new[[#This Row],[Date]])&gt;=4,1,0)</f>
        <v>2025</v>
      </c>
      <c r="AB487" s="3">
        <f t="shared" si="174"/>
        <v>2024</v>
      </c>
      <c r="AC487" s="3" t="s">
        <v>627</v>
      </c>
      <c r="AD487" s="3" t="s">
        <v>627</v>
      </c>
      <c r="AE487" s="102">
        <f>DATE(Modelling_old[[#This Row],[Calendor Year]],Modelling_old[[#This Row],[Start Month]],1)</f>
        <v>45474</v>
      </c>
      <c r="AF487" s="5">
        <f t="shared" si="175"/>
        <v>31</v>
      </c>
      <c r="AG487" s="5">
        <f t="shared" si="176"/>
        <v>7</v>
      </c>
      <c r="AH487" s="4">
        <f>_xlfn.XLOOKUP(Modelling_new[[#This Row],[Month]],$AA$1:$AA$14,$AL$1:$AL$14)/Modelling_new[[#This Row],[Total Days]]</f>
        <v>41.560898063424602</v>
      </c>
      <c r="AI487" s="4">
        <f>SUM($AH$475:AH487)</f>
        <v>540.29167482451976</v>
      </c>
      <c r="AJ487" s="4">
        <f>SUM($AH$384:AH487)</f>
        <v>6430.078720439983</v>
      </c>
      <c r="AK487" s="4">
        <f t="shared" si="177"/>
        <v>4.4064516129032256</v>
      </c>
      <c r="AL487" s="4">
        <f>SUM($AK$475:AK487)</f>
        <v>57.283870967741933</v>
      </c>
      <c r="AM487" s="4">
        <f>SUM($AK$384:AK487)</f>
        <v>612.08387096774106</v>
      </c>
      <c r="AN487" s="323">
        <f t="shared" si="178"/>
        <v>0.81993801579603653</v>
      </c>
      <c r="AO487" s="323">
        <f t="shared" si="179"/>
        <v>0.81993801579603631</v>
      </c>
      <c r="AP487" s="323">
        <f t="shared" si="180"/>
        <v>0.91325163626842742</v>
      </c>
      <c r="AQ487" s="323">
        <f t="shared" si="181"/>
        <v>0.15054238300771317</v>
      </c>
      <c r="AR487" s="323">
        <f>Modelling_new[[#This Row],[Target E_Grid MTD
MWh]]/Modelling_new[[#This Row],[MTD DC Capcity]]/(24*CG487)</f>
        <v>0.13528938171687693</v>
      </c>
      <c r="AS487" s="323">
        <f>Modelling_new[[#This Row],[Target E_Grid YTD
MWh]]/Modelling_new[[#This Row],[YTD DC Capcity]]/(24*CH487)</f>
        <v>0.20126197918043859</v>
      </c>
      <c r="AT487" s="5">
        <v>12.8</v>
      </c>
      <c r="AU487" s="9">
        <f>Modelling_new[[#This Row],[Comisined DC ]]/$AO$1</f>
        <v>1</v>
      </c>
      <c r="AV48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87" s="5">
        <f>AVERAGEIFS(Modelling_new[[Comisined DC ]],Modelling_new[Date],"&lt;="&amp;Modelling_new[[#This Row],[Date]],Modelling_new[[Comisined DC ]],"&gt;"&amp;0,Modelling_new[Finacial Year],Modelling_new[[#This Row],[Finacial Year]])</f>
        <v>12.799999999999974</v>
      </c>
      <c r="BD487" s="27">
        <f t="shared" si="188"/>
        <v>45486</v>
      </c>
      <c r="BE487" s="5">
        <f>MONTH(Modelling[[#This Row],[Date]])</f>
        <v>7</v>
      </c>
      <c r="BF487" s="25">
        <f>YEAR(BD487)+IF(MONTH(Modelling[[#This Row],[Date]])&gt;=4,1,0)</f>
        <v>2025</v>
      </c>
      <c r="BG487" s="3">
        <f t="shared" si="182"/>
        <v>2024</v>
      </c>
      <c r="BH487" s="3" t="s">
        <v>627</v>
      </c>
      <c r="BI487" s="3" t="s">
        <v>627</v>
      </c>
      <c r="BJ487" s="102">
        <f>DATE(Modelling_old[[#This Row],[Calendor Year]],Modelling_old[[#This Row],[Start Month]],1)</f>
        <v>45474</v>
      </c>
      <c r="BK487" s="5">
        <f t="shared" si="183"/>
        <v>31</v>
      </c>
      <c r="BL487" s="5">
        <f t="shared" si="184"/>
        <v>7</v>
      </c>
      <c r="BM487" s="4">
        <f>Modelling_old[[#This Row],[Target E_Grid daily
MWh]]+Modelling_new[[#This Row],[Target E_Grid daily
MWh]]</f>
        <v>77.825414192456861</v>
      </c>
      <c r="BN487" s="4">
        <f>Modelling_old[[#This Row],[Target E_Grid MTD
MWh]]+Modelling_new[[#This Row],[Target E_Grid MTD
MWh]]</f>
        <v>1011.7303845019389</v>
      </c>
      <c r="BO487" s="4">
        <f>Modelling_old[[#This Row],[Target E_Grid YTD
MWh]]+Modelling_new[[#This Row],[Target E_Grid YTD
MWh]]</f>
        <v>11240.517430117405</v>
      </c>
      <c r="BP487" s="4">
        <f>AVERAGE(Modelling_old[[#This Row],[Target POA Daily (KWh/m2)]],Modelling_new[[#This Row],[Target POA Daily (KWh/m2)]])</f>
        <v>4.4064516129032256</v>
      </c>
      <c r="BQ487" s="4">
        <f>SUM($BP$475:BP487)</f>
        <v>57.283870967741933</v>
      </c>
      <c r="BR487" s="4">
        <f>SUM($BP$384:BP487)</f>
        <v>612.08387096774106</v>
      </c>
      <c r="BS487" s="323">
        <f>BM487/Modelling[[#This Row],[Comisined DC ]]/BP487</f>
        <v>0.72672610563703754</v>
      </c>
      <c r="BT487" s="337">
        <f>BN487/BQ487/Modelling[[#This Row],[Comisined DC ]]</f>
        <v>0.72672610563703743</v>
      </c>
      <c r="BU487" s="337">
        <f>BO487/BR487/Modelling[[#This Row],[Comisined DC ]]</f>
        <v>0.75563783311142685</v>
      </c>
      <c r="BV487" s="323">
        <f>BM487/(24*Modelling[[#This Row],[Comisined DC ]])</f>
        <v>0.13342847584680018</v>
      </c>
      <c r="BW487" s="323">
        <f>Modelling[[#This Row],[Target E_Grid MTD
MWh]]/Modelling[[#This Row],[MTD DC Capcity]]/(24*CG487)</f>
        <v>0.13342847584680015</v>
      </c>
      <c r="BX487" s="338">
        <f>Modelling[[#This Row],[Target E_Grid YTD
MWh]]/Modelling[[#This Row],[YTD DC Capcity]]/(24*CH487)</f>
        <v>0.18530197513642518</v>
      </c>
      <c r="BY487" s="4">
        <f>Modelling_old[[#This Row],[DC Capcity]]+Modelling_new[[#This Row],[Comisined DC ]]</f>
        <v>24.303100000000001</v>
      </c>
      <c r="BZ487" s="4">
        <v>0</v>
      </c>
      <c r="CA487">
        <f>AVERAGEIFS(Modelling[[Comisined DC ]],Modelling[Date],"&lt;="&amp;Modelling[[#This Row],[Date]],Modelling[Month Year],Modelling[[#This Row],[Month Year]])</f>
        <v>24.303099999999997</v>
      </c>
      <c r="CB487">
        <f>AVERAGEIFS(Modelling[[Comisined DC ]],Modelling[Date],"&lt;="&amp;Modelling[[#This Row],[Date]],Modelling[Finacial Year],Modelling[[#This Row],[Finacial Year]])</f>
        <v>24.303100000000043</v>
      </c>
      <c r="CG487">
        <f t="shared" si="185"/>
        <v>13</v>
      </c>
      <c r="CH487">
        <f t="shared" si="186"/>
        <v>104</v>
      </c>
    </row>
    <row r="488" spans="1:86" x14ac:dyDescent="0.35">
      <c r="A488" s="27">
        <f t="shared" si="164"/>
        <v>45487</v>
      </c>
      <c r="B488" s="5">
        <f>MONTH(Modelling_old[[#This Row],[Date]])</f>
        <v>7</v>
      </c>
      <c r="C488" s="25">
        <f t="shared" si="165"/>
        <v>2025</v>
      </c>
      <c r="D488" s="3">
        <f t="shared" si="166"/>
        <v>2024</v>
      </c>
      <c r="E488" s="3" t="s">
        <v>627</v>
      </c>
      <c r="F488" s="3" t="s">
        <v>627</v>
      </c>
      <c r="G488" s="102">
        <f>DATE(Modelling_old[[#This Row],[Calendor Year]],Modelling_old[[#This Row],[Start Month]],1)</f>
        <v>45474</v>
      </c>
      <c r="H488" s="5">
        <f t="shared" si="167"/>
        <v>31</v>
      </c>
      <c r="I488" s="5">
        <f t="shared" si="168"/>
        <v>7</v>
      </c>
      <c r="J488" s="4">
        <f>_xlfn.XLOOKUP(Modelling_old[[#This Row],[Month]],$C$1:$C$14,$N$1:$N$14)/Modelling_old[[#This Row],[Total Days]]</f>
        <v>36.264516129032259</v>
      </c>
      <c r="K488" s="4">
        <f>SUM($J$475:J488)</f>
        <v>507.70322580645148</v>
      </c>
      <c r="L488" s="4">
        <f>SUM($J$384:J488)</f>
        <v>4846.7032258064537</v>
      </c>
      <c r="M488" s="4">
        <f t="shared" si="169"/>
        <v>4.4064516129032256</v>
      </c>
      <c r="N488" s="4">
        <f>SUM($M$475:M488)</f>
        <v>61.690322580645159</v>
      </c>
      <c r="O488" s="4">
        <f>SUM($M$384:M488)</f>
        <v>616.49032258064426</v>
      </c>
      <c r="P488" s="323">
        <f t="shared" si="170"/>
        <v>0.71544785565665769</v>
      </c>
      <c r="Q488" s="337">
        <f t="shared" si="171"/>
        <v>0.71544785565665758</v>
      </c>
      <c r="R488" s="337">
        <f t="shared" si="172"/>
        <v>0.68344767254169148</v>
      </c>
      <c r="S488" s="323">
        <f t="shared" si="173"/>
        <v>0.13135776489610143</v>
      </c>
      <c r="T488" s="9">
        <f>Modelling_old[[#This Row],[Target E_Grid MTD
MWh]]/Modelling_old[[#This Row],[DC Capcity]]/(24*CG488)</f>
        <v>0.13135776489610138</v>
      </c>
      <c r="U488" s="338">
        <f>Modelling_old[[#This Row],[Target E_Grid YTD
MWh]]/Modelling_old[[#This Row],[DC Capcity]]/(24*CH488)</f>
        <v>0.16719796671119758</v>
      </c>
      <c r="V488" s="134">
        <v>11.5031</v>
      </c>
      <c r="Y488" s="27">
        <f t="shared" si="187"/>
        <v>45487</v>
      </c>
      <c r="Z488" s="5">
        <f>MONTH(Modelling_new[[#This Row],[Date]])</f>
        <v>7</v>
      </c>
      <c r="AA488" s="25">
        <f>YEAR(Y488)+IF(MONTH(Modelling_new[[#This Row],[Date]])&gt;=4,1,0)</f>
        <v>2025</v>
      </c>
      <c r="AB488" s="3">
        <f t="shared" si="174"/>
        <v>2024</v>
      </c>
      <c r="AC488" s="3" t="s">
        <v>627</v>
      </c>
      <c r="AD488" s="3" t="s">
        <v>627</v>
      </c>
      <c r="AE488" s="102">
        <f>DATE(Modelling_old[[#This Row],[Calendor Year]],Modelling_old[[#This Row],[Start Month]],1)</f>
        <v>45474</v>
      </c>
      <c r="AF488" s="5">
        <f t="shared" si="175"/>
        <v>31</v>
      </c>
      <c r="AG488" s="5">
        <f t="shared" si="176"/>
        <v>7</v>
      </c>
      <c r="AH488" s="4">
        <f>_xlfn.XLOOKUP(Modelling_new[[#This Row],[Month]],$AA$1:$AA$14,$AL$1:$AL$14)/Modelling_new[[#This Row],[Total Days]]</f>
        <v>41.560898063424602</v>
      </c>
      <c r="AI488" s="4">
        <f>SUM($AH$475:AH488)</f>
        <v>581.85257288794435</v>
      </c>
      <c r="AJ488" s="4">
        <f>SUM($AH$384:AH488)</f>
        <v>6471.6396185034073</v>
      </c>
      <c r="AK488" s="4">
        <f t="shared" si="177"/>
        <v>4.4064516129032256</v>
      </c>
      <c r="AL488" s="4">
        <f>SUM($AK$475:AK488)</f>
        <v>61.690322580645159</v>
      </c>
      <c r="AM488" s="4">
        <f>SUM($AK$384:AK488)</f>
        <v>616.49032258064426</v>
      </c>
      <c r="AN488" s="323">
        <f t="shared" si="178"/>
        <v>0.81993801579603653</v>
      </c>
      <c r="AO488" s="323">
        <f t="shared" si="179"/>
        <v>0.81993801579603631</v>
      </c>
      <c r="AP488" s="323">
        <f t="shared" si="180"/>
        <v>0.91258466399266613</v>
      </c>
      <c r="AQ488" s="323">
        <f t="shared" si="181"/>
        <v>0.15054238300771317</v>
      </c>
      <c r="AR488" s="323">
        <f>Modelling_new[[#This Row],[Target E_Grid MTD
MWh]]/Modelling_new[[#This Row],[MTD DC Capcity]]/(24*CG488)</f>
        <v>0.13528938171687693</v>
      </c>
      <c r="AS488" s="323">
        <f>Modelling_new[[#This Row],[Target E_Grid YTD
MWh]]/Modelling_new[[#This Row],[YTD DC Capcity]]/(24*CH488)</f>
        <v>0.20063366872840466</v>
      </c>
      <c r="AT488" s="5">
        <v>12.8</v>
      </c>
      <c r="AU488" s="9">
        <f>Modelling_new[[#This Row],[Comisined DC ]]/$AO$1</f>
        <v>1</v>
      </c>
      <c r="AV48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488" s="5">
        <f>AVERAGEIFS(Modelling_new[[Comisined DC ]],Modelling_new[Date],"&lt;="&amp;Modelling_new[[#This Row],[Date]],Modelling_new[[Comisined DC ]],"&gt;"&amp;0,Modelling_new[Finacial Year],Modelling_new[[#This Row],[Finacial Year]])</f>
        <v>12.799999999999974</v>
      </c>
      <c r="BD488" s="27">
        <f t="shared" si="188"/>
        <v>45487</v>
      </c>
      <c r="BE488" s="5">
        <f>MONTH(Modelling[[#This Row],[Date]])</f>
        <v>7</v>
      </c>
      <c r="BF488" s="25">
        <f>YEAR(BD488)+IF(MONTH(Modelling[[#This Row],[Date]])&gt;=4,1,0)</f>
        <v>2025</v>
      </c>
      <c r="BG488" s="3">
        <f t="shared" si="182"/>
        <v>2024</v>
      </c>
      <c r="BH488" s="3" t="s">
        <v>627</v>
      </c>
      <c r="BI488" s="3" t="s">
        <v>627</v>
      </c>
      <c r="BJ488" s="102">
        <f>DATE(Modelling_old[[#This Row],[Calendor Year]],Modelling_old[[#This Row],[Start Month]],1)</f>
        <v>45474</v>
      </c>
      <c r="BK488" s="5">
        <f t="shared" si="183"/>
        <v>31</v>
      </c>
      <c r="BL488" s="5">
        <f t="shared" si="184"/>
        <v>7</v>
      </c>
      <c r="BM488" s="4">
        <f>Modelling_old[[#This Row],[Target E_Grid daily
MWh]]+Modelling_new[[#This Row],[Target E_Grid daily
MWh]]</f>
        <v>77.825414192456861</v>
      </c>
      <c r="BN488" s="4">
        <f>Modelling_old[[#This Row],[Target E_Grid MTD
MWh]]+Modelling_new[[#This Row],[Target E_Grid MTD
MWh]]</f>
        <v>1089.5557986943959</v>
      </c>
      <c r="BO488" s="4">
        <f>Modelling_old[[#This Row],[Target E_Grid YTD
MWh]]+Modelling_new[[#This Row],[Target E_Grid YTD
MWh]]</f>
        <v>11318.34284430986</v>
      </c>
      <c r="BP488" s="4">
        <f>AVERAGE(Modelling_old[[#This Row],[Target POA Daily (KWh/m2)]],Modelling_new[[#This Row],[Target POA Daily (KWh/m2)]])</f>
        <v>4.4064516129032256</v>
      </c>
      <c r="BQ488" s="4">
        <f>SUM($BP$475:BP488)</f>
        <v>61.690322580645159</v>
      </c>
      <c r="BR488" s="4">
        <f>SUM($BP$384:BP488)</f>
        <v>616.49032258064426</v>
      </c>
      <c r="BS488" s="323">
        <f>BM488/Modelling[[#This Row],[Comisined DC ]]/BP488</f>
        <v>0.72672610563703754</v>
      </c>
      <c r="BT488" s="337">
        <f>BN488/BQ488/Modelling[[#This Row],[Comisined DC ]]</f>
        <v>0.72672610563703743</v>
      </c>
      <c r="BU488" s="337">
        <f>BO488/BR488/Modelling[[#This Row],[Comisined DC ]]</f>
        <v>0.75543118245772634</v>
      </c>
      <c r="BV488" s="323">
        <f>BM488/(24*Modelling[[#This Row],[Comisined DC ]])</f>
        <v>0.13342847584680018</v>
      </c>
      <c r="BW488" s="323">
        <f>Modelling[[#This Row],[Target E_Grid MTD
MWh]]/Modelling[[#This Row],[MTD DC Capcity]]/(24*CG488)</f>
        <v>0.13342847584680018</v>
      </c>
      <c r="BX488" s="338">
        <f>Modelling[[#This Row],[Target E_Grid YTD
MWh]]/Modelling[[#This Row],[YTD DC Capcity]]/(24*CH488)</f>
        <v>0.1848079418098573</v>
      </c>
      <c r="BY488" s="4">
        <f>Modelling_old[[#This Row],[DC Capcity]]+Modelling_new[[#This Row],[Comisined DC ]]</f>
        <v>24.303100000000001</v>
      </c>
      <c r="BZ488" s="4">
        <v>0</v>
      </c>
      <c r="CA488">
        <f>AVERAGEIFS(Modelling[[Comisined DC ]],Modelling[Date],"&lt;="&amp;Modelling[[#This Row],[Date]],Modelling[Month Year],Modelling[[#This Row],[Month Year]])</f>
        <v>24.303099999999997</v>
      </c>
      <c r="CB488">
        <f>AVERAGEIFS(Modelling[[Comisined DC ]],Modelling[Date],"&lt;="&amp;Modelling[[#This Row],[Date]],Modelling[Finacial Year],Modelling[[#This Row],[Finacial Year]])</f>
        <v>24.303100000000043</v>
      </c>
      <c r="CG488">
        <f t="shared" si="185"/>
        <v>14</v>
      </c>
      <c r="CH488">
        <f t="shared" si="186"/>
        <v>105</v>
      </c>
    </row>
    <row r="489" spans="1:86" x14ac:dyDescent="0.35">
      <c r="A489" s="27">
        <f t="shared" si="164"/>
        <v>45488</v>
      </c>
      <c r="B489" s="5">
        <f>MONTH(Modelling_old[[#This Row],[Date]])</f>
        <v>7</v>
      </c>
      <c r="C489" s="25">
        <f t="shared" si="165"/>
        <v>2025</v>
      </c>
      <c r="D489" s="3">
        <f t="shared" si="166"/>
        <v>2024</v>
      </c>
      <c r="E489" s="3" t="s">
        <v>627</v>
      </c>
      <c r="F489" s="3" t="s">
        <v>627</v>
      </c>
      <c r="G489" s="102">
        <f>DATE(Modelling_old[[#This Row],[Calendor Year]],Modelling_old[[#This Row],[Start Month]],1)</f>
        <v>45474</v>
      </c>
      <c r="H489" s="5">
        <f t="shared" si="167"/>
        <v>31</v>
      </c>
      <c r="I489" s="5">
        <f t="shared" si="168"/>
        <v>7</v>
      </c>
      <c r="J489" s="4">
        <f>_xlfn.XLOOKUP(Modelling_old[[#This Row],[Month]],$C$1:$C$14,$N$1:$N$14)/Modelling_old[[#This Row],[Total Days]]</f>
        <v>36.264516129032259</v>
      </c>
      <c r="K489" s="4">
        <f>SUM($J$475:J489)</f>
        <v>543.96774193548379</v>
      </c>
      <c r="L489" s="4">
        <f>SUM($J$384:J489)</f>
        <v>4882.9677419354857</v>
      </c>
      <c r="M489" s="4">
        <f t="shared" si="169"/>
        <v>4.4064516129032256</v>
      </c>
      <c r="N489" s="4">
        <f>SUM($M$475:M489)</f>
        <v>66.096774193548384</v>
      </c>
      <c r="O489" s="4">
        <f>SUM($M$384:M489)</f>
        <v>620.89677419354746</v>
      </c>
      <c r="P489" s="323">
        <f t="shared" si="170"/>
        <v>0.71544785565665769</v>
      </c>
      <c r="Q489" s="337">
        <f t="shared" si="171"/>
        <v>0.71544785565665769</v>
      </c>
      <c r="R489" s="337">
        <f t="shared" si="172"/>
        <v>0.68367477512035002</v>
      </c>
      <c r="S489" s="323">
        <f t="shared" si="173"/>
        <v>0.13135776489610143</v>
      </c>
      <c r="T489" s="9">
        <f>Modelling_old[[#This Row],[Target E_Grid MTD
MWh]]/Modelling_old[[#This Row],[DC Capcity]]/(24*CG489)</f>
        <v>0.1313577648961014</v>
      </c>
      <c r="U489" s="338">
        <f>Modelling_old[[#This Row],[Target E_Grid YTD
MWh]]/Modelling_old[[#This Row],[DC Capcity]]/(24*CH489)</f>
        <v>0.1668598515997344</v>
      </c>
      <c r="V489" s="134">
        <v>11.5031</v>
      </c>
      <c r="Y489" s="27">
        <f t="shared" si="187"/>
        <v>45488</v>
      </c>
      <c r="Z489" s="5">
        <f>MONTH(Modelling_new[[#This Row],[Date]])</f>
        <v>7</v>
      </c>
      <c r="AA489" s="25">
        <f>YEAR(Y489)+IF(MONTH(Modelling_new[[#This Row],[Date]])&gt;=4,1,0)</f>
        <v>2025</v>
      </c>
      <c r="AB489" s="3">
        <f t="shared" si="174"/>
        <v>2024</v>
      </c>
      <c r="AC489" s="3" t="s">
        <v>627</v>
      </c>
      <c r="AD489" s="3" t="s">
        <v>627</v>
      </c>
      <c r="AE489" s="102">
        <f>DATE(Modelling_old[[#This Row],[Calendor Year]],Modelling_old[[#This Row],[Start Month]],1)</f>
        <v>45474</v>
      </c>
      <c r="AF489" s="5">
        <f t="shared" si="175"/>
        <v>31</v>
      </c>
      <c r="AG489" s="5">
        <f t="shared" si="176"/>
        <v>7</v>
      </c>
      <c r="AH489" s="4">
        <f>_xlfn.XLOOKUP(Modelling_new[[#This Row],[Month]],$AA$1:$AA$14,$AL$1:$AL$14)/Modelling_new[[#This Row],[Total Days]]</f>
        <v>41.560898063424602</v>
      </c>
      <c r="AI489" s="4">
        <f>SUM($AH$475:AH489)</f>
        <v>623.41347095136894</v>
      </c>
      <c r="AJ489" s="4">
        <f>SUM($AH$384:AH489)</f>
        <v>6513.2005165668315</v>
      </c>
      <c r="AK489" s="4">
        <f t="shared" si="177"/>
        <v>4.4064516129032256</v>
      </c>
      <c r="AL489" s="4">
        <f>SUM($AK$475:AK489)</f>
        <v>66.096774193548384</v>
      </c>
      <c r="AM489" s="4">
        <f>SUM($AK$384:AK489)</f>
        <v>620.89677419354746</v>
      </c>
      <c r="AN489" s="323">
        <f t="shared" si="178"/>
        <v>0.81993801579603653</v>
      </c>
      <c r="AO489" s="323">
        <f t="shared" si="179"/>
        <v>0.81993801579603631</v>
      </c>
      <c r="AP489" s="323">
        <f t="shared" si="180"/>
        <v>0.91192715860796458</v>
      </c>
      <c r="AQ489" s="323">
        <f t="shared" si="181"/>
        <v>0.15054238300771317</v>
      </c>
      <c r="AR489" s="323">
        <f>Modelling_new[[#This Row],[Target E_Grid MTD
MWh]]/Modelling_new[[#This Row],[MTD DC Capcity]]/(24*CG489)</f>
        <v>0.13528938171687691</v>
      </c>
      <c r="AS489" s="323">
        <f>Modelling_new[[#This Row],[Target E_Grid YTD
MWh]]/Modelling_new[[#This Row],[YTD DC Capcity]]/(24*CH489)</f>
        <v>0.20001721319056004</v>
      </c>
      <c r="AT489" s="5">
        <v>12.8</v>
      </c>
      <c r="AU489" s="9">
        <f>Modelling_new[[#This Row],[Comisined DC ]]/$AO$1</f>
        <v>1</v>
      </c>
      <c r="AV489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89" s="5">
        <f>AVERAGEIFS(Modelling_new[[Comisined DC ]],Modelling_new[Date],"&lt;="&amp;Modelling_new[[#This Row],[Date]],Modelling_new[[Comisined DC ]],"&gt;"&amp;0,Modelling_new[Finacial Year],Modelling_new[[#This Row],[Finacial Year]])</f>
        <v>12.799999999999974</v>
      </c>
      <c r="BD489" s="27">
        <f t="shared" si="188"/>
        <v>45488</v>
      </c>
      <c r="BE489" s="5">
        <f>MONTH(Modelling[[#This Row],[Date]])</f>
        <v>7</v>
      </c>
      <c r="BF489" s="25">
        <f>YEAR(BD489)+IF(MONTH(Modelling[[#This Row],[Date]])&gt;=4,1,0)</f>
        <v>2025</v>
      </c>
      <c r="BG489" s="3">
        <f t="shared" si="182"/>
        <v>2024</v>
      </c>
      <c r="BH489" s="3" t="s">
        <v>627</v>
      </c>
      <c r="BI489" s="3" t="s">
        <v>627</v>
      </c>
      <c r="BJ489" s="102">
        <f>DATE(Modelling_old[[#This Row],[Calendor Year]],Modelling_old[[#This Row],[Start Month]],1)</f>
        <v>45474</v>
      </c>
      <c r="BK489" s="5">
        <f t="shared" si="183"/>
        <v>31</v>
      </c>
      <c r="BL489" s="5">
        <f t="shared" si="184"/>
        <v>7</v>
      </c>
      <c r="BM489" s="4">
        <f>Modelling_old[[#This Row],[Target E_Grid daily
MWh]]+Modelling_new[[#This Row],[Target E_Grid daily
MWh]]</f>
        <v>77.825414192456861</v>
      </c>
      <c r="BN489" s="4">
        <f>Modelling_old[[#This Row],[Target E_Grid MTD
MWh]]+Modelling_new[[#This Row],[Target E_Grid MTD
MWh]]</f>
        <v>1167.3812128868526</v>
      </c>
      <c r="BO489" s="4">
        <f>Modelling_old[[#This Row],[Target E_Grid YTD
MWh]]+Modelling_new[[#This Row],[Target E_Grid YTD
MWh]]</f>
        <v>11396.168258502317</v>
      </c>
      <c r="BP489" s="4">
        <f>AVERAGE(Modelling_old[[#This Row],[Target POA Daily (KWh/m2)]],Modelling_new[[#This Row],[Target POA Daily (KWh/m2)]])</f>
        <v>4.4064516129032256</v>
      </c>
      <c r="BQ489" s="4">
        <f>SUM($BP$475:BP489)</f>
        <v>66.096774193548384</v>
      </c>
      <c r="BR489" s="4">
        <f>SUM($BP$384:BP489)</f>
        <v>620.89677419354746</v>
      </c>
      <c r="BS489" s="323">
        <f>BM489/Modelling[[#This Row],[Comisined DC ]]/BP489</f>
        <v>0.72672610563703754</v>
      </c>
      <c r="BT489" s="337">
        <f>BN489/BQ489/Modelling[[#This Row],[Comisined DC ]]</f>
        <v>0.72672610563703743</v>
      </c>
      <c r="BU489" s="337">
        <f>BO489/BR489/Modelling[[#This Row],[Comisined DC ]]</f>
        <v>0.75522746496826221</v>
      </c>
      <c r="BV489" s="323">
        <f>BM489/(24*Modelling[[#This Row],[Comisined DC ]])</f>
        <v>0.13342847584680018</v>
      </c>
      <c r="BW489" s="323">
        <f>Modelling[[#This Row],[Target E_Grid MTD
MWh]]/Modelling[[#This Row],[MTD DC Capcity]]/(24*CG489)</f>
        <v>0.13342847584680018</v>
      </c>
      <c r="BX489" s="338">
        <f>Modelling[[#This Row],[Target E_Grid YTD
MWh]]/Modelling[[#This Row],[YTD DC Capcity]]/(24*CH489)</f>
        <v>0.18432322986680957</v>
      </c>
      <c r="BY489" s="4">
        <f>Modelling_old[[#This Row],[DC Capcity]]+Modelling_new[[#This Row],[Comisined DC ]]</f>
        <v>24.303100000000001</v>
      </c>
      <c r="BZ489" s="4">
        <v>0</v>
      </c>
      <c r="CA489">
        <f>AVERAGEIFS(Modelling[[Comisined DC ]],Modelling[Date],"&lt;="&amp;Modelling[[#This Row],[Date]],Modelling[Month Year],Modelling[[#This Row],[Month Year]])</f>
        <v>24.303099999999993</v>
      </c>
      <c r="CB489">
        <f>AVERAGEIFS(Modelling[[Comisined DC ]],Modelling[Date],"&lt;="&amp;Modelling[[#This Row],[Date]],Modelling[Finacial Year],Modelling[[#This Row],[Finacial Year]])</f>
        <v>24.303100000000043</v>
      </c>
      <c r="CG489">
        <f t="shared" si="185"/>
        <v>15</v>
      </c>
      <c r="CH489">
        <f t="shared" si="186"/>
        <v>106</v>
      </c>
    </row>
    <row r="490" spans="1:86" x14ac:dyDescent="0.35">
      <c r="A490" s="27">
        <f t="shared" si="164"/>
        <v>45489</v>
      </c>
      <c r="B490" s="5">
        <f>MONTH(Modelling_old[[#This Row],[Date]])</f>
        <v>7</v>
      </c>
      <c r="C490" s="25">
        <f t="shared" si="165"/>
        <v>2025</v>
      </c>
      <c r="D490" s="3">
        <f t="shared" si="166"/>
        <v>2024</v>
      </c>
      <c r="E490" s="3" t="s">
        <v>627</v>
      </c>
      <c r="F490" s="3" t="s">
        <v>627</v>
      </c>
      <c r="G490" s="102">
        <f>DATE(Modelling_old[[#This Row],[Calendor Year]],Modelling_old[[#This Row],[Start Month]],1)</f>
        <v>45474</v>
      </c>
      <c r="H490" s="5">
        <f t="shared" si="167"/>
        <v>31</v>
      </c>
      <c r="I490" s="5">
        <f t="shared" si="168"/>
        <v>7</v>
      </c>
      <c r="J490" s="4">
        <f>_xlfn.XLOOKUP(Modelling_old[[#This Row],[Month]],$C$1:$C$14,$N$1:$N$14)/Modelling_old[[#This Row],[Total Days]]</f>
        <v>36.264516129032259</v>
      </c>
      <c r="K490" s="4">
        <f>SUM($J$475:J490)</f>
        <v>580.23225806451603</v>
      </c>
      <c r="L490" s="4">
        <f>SUM($J$384:J490)</f>
        <v>4919.2322580645177</v>
      </c>
      <c r="M490" s="4">
        <f t="shared" si="169"/>
        <v>4.4064516129032256</v>
      </c>
      <c r="N490" s="4">
        <f>SUM($M$475:M490)</f>
        <v>70.50322580645161</v>
      </c>
      <c r="O490" s="4">
        <f>SUM($M$384:M490)</f>
        <v>625.30322580645065</v>
      </c>
      <c r="P490" s="323">
        <f t="shared" si="170"/>
        <v>0.71544785565665769</v>
      </c>
      <c r="Q490" s="337">
        <f t="shared" si="171"/>
        <v>0.71544785565665769</v>
      </c>
      <c r="R490" s="337">
        <f t="shared" si="172"/>
        <v>0.68389867695900686</v>
      </c>
      <c r="S490" s="323">
        <f t="shared" si="173"/>
        <v>0.13135776489610143</v>
      </c>
      <c r="T490" s="9">
        <f>Modelling_old[[#This Row],[Target E_Grid MTD
MWh]]/Modelling_old[[#This Row],[DC Capcity]]/(24*CG490)</f>
        <v>0.13135776489610138</v>
      </c>
      <c r="U490" s="338">
        <f>Modelling_old[[#This Row],[Target E_Grid YTD
MWh]]/Modelling_old[[#This Row],[DC Capcity]]/(24*CH490)</f>
        <v>0.16652805639689669</v>
      </c>
      <c r="V490" s="134">
        <v>11.5031</v>
      </c>
      <c r="Y490" s="27">
        <f t="shared" si="187"/>
        <v>45489</v>
      </c>
      <c r="Z490" s="5">
        <f>MONTH(Modelling_new[[#This Row],[Date]])</f>
        <v>7</v>
      </c>
      <c r="AA490" s="25">
        <f>YEAR(Y490)+IF(MONTH(Modelling_new[[#This Row],[Date]])&gt;=4,1,0)</f>
        <v>2025</v>
      </c>
      <c r="AB490" s="3">
        <f t="shared" si="174"/>
        <v>2024</v>
      </c>
      <c r="AC490" s="3" t="s">
        <v>627</v>
      </c>
      <c r="AD490" s="3" t="s">
        <v>627</v>
      </c>
      <c r="AE490" s="102">
        <f>DATE(Modelling_old[[#This Row],[Calendor Year]],Modelling_old[[#This Row],[Start Month]],1)</f>
        <v>45474</v>
      </c>
      <c r="AF490" s="5">
        <f t="shared" si="175"/>
        <v>31</v>
      </c>
      <c r="AG490" s="5">
        <f t="shared" si="176"/>
        <v>7</v>
      </c>
      <c r="AH490" s="4">
        <f>_xlfn.XLOOKUP(Modelling_new[[#This Row],[Month]],$AA$1:$AA$14,$AL$1:$AL$14)/Modelling_new[[#This Row],[Total Days]]</f>
        <v>41.560898063424602</v>
      </c>
      <c r="AI490" s="4">
        <f>SUM($AH$475:AH490)</f>
        <v>664.97436901479352</v>
      </c>
      <c r="AJ490" s="4">
        <f>SUM($AH$384:AH490)</f>
        <v>6554.7614146302558</v>
      </c>
      <c r="AK490" s="4">
        <f t="shared" si="177"/>
        <v>4.4064516129032256</v>
      </c>
      <c r="AL490" s="4">
        <f>SUM($AK$475:AK490)</f>
        <v>70.50322580645161</v>
      </c>
      <c r="AM490" s="4">
        <f>SUM($AK$384:AK490)</f>
        <v>625.30322580645065</v>
      </c>
      <c r="AN490" s="323">
        <f t="shared" si="178"/>
        <v>0.81993801579603653</v>
      </c>
      <c r="AO490" s="323">
        <f t="shared" si="179"/>
        <v>0.81993801579603631</v>
      </c>
      <c r="AP490" s="323">
        <f t="shared" si="180"/>
        <v>0.91127891997751376</v>
      </c>
      <c r="AQ490" s="323">
        <f t="shared" si="181"/>
        <v>0.15054238300771317</v>
      </c>
      <c r="AR490" s="323">
        <f>Modelling_new[[#This Row],[Target E_Grid MTD
MWh]]/Modelling_new[[#This Row],[MTD DC Capcity]]/(24*CG490)</f>
        <v>0.13528938171687691</v>
      </c>
      <c r="AS490" s="323">
        <f>Modelling_new[[#This Row],[Target E_Grid YTD
MWh]]/Modelling_new[[#This Row],[YTD DC Capcity]]/(24*CH490)</f>
        <v>0.19941228018613308</v>
      </c>
      <c r="AT490" s="5">
        <v>12.8</v>
      </c>
      <c r="AU490" s="9">
        <f>Modelling_new[[#This Row],[Comisined DC ]]/$AO$1</f>
        <v>1</v>
      </c>
      <c r="AV490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90" s="5">
        <f>AVERAGEIFS(Modelling_new[[Comisined DC ]],Modelling_new[Date],"&lt;="&amp;Modelling_new[[#This Row],[Date]],Modelling_new[[Comisined DC ]],"&gt;"&amp;0,Modelling_new[Finacial Year],Modelling_new[[#This Row],[Finacial Year]])</f>
        <v>12.799999999999974</v>
      </c>
      <c r="BD490" s="27">
        <f t="shared" si="188"/>
        <v>45489</v>
      </c>
      <c r="BE490" s="5">
        <f>MONTH(Modelling[[#This Row],[Date]])</f>
        <v>7</v>
      </c>
      <c r="BF490" s="25">
        <f>YEAR(BD490)+IF(MONTH(Modelling[[#This Row],[Date]])&gt;=4,1,0)</f>
        <v>2025</v>
      </c>
      <c r="BG490" s="3">
        <f t="shared" si="182"/>
        <v>2024</v>
      </c>
      <c r="BH490" s="3" t="s">
        <v>627</v>
      </c>
      <c r="BI490" s="3" t="s">
        <v>627</v>
      </c>
      <c r="BJ490" s="102">
        <f>DATE(Modelling_old[[#This Row],[Calendor Year]],Modelling_old[[#This Row],[Start Month]],1)</f>
        <v>45474</v>
      </c>
      <c r="BK490" s="5">
        <f t="shared" si="183"/>
        <v>31</v>
      </c>
      <c r="BL490" s="5">
        <f t="shared" si="184"/>
        <v>7</v>
      </c>
      <c r="BM490" s="4">
        <f>Modelling_old[[#This Row],[Target E_Grid daily
MWh]]+Modelling_new[[#This Row],[Target E_Grid daily
MWh]]</f>
        <v>77.825414192456861</v>
      </c>
      <c r="BN490" s="4">
        <f>Modelling_old[[#This Row],[Target E_Grid MTD
MWh]]+Modelling_new[[#This Row],[Target E_Grid MTD
MWh]]</f>
        <v>1245.2066270793096</v>
      </c>
      <c r="BO490" s="4">
        <f>Modelling_old[[#This Row],[Target E_Grid YTD
MWh]]+Modelling_new[[#This Row],[Target E_Grid YTD
MWh]]</f>
        <v>11473.993672694774</v>
      </c>
      <c r="BP490" s="4">
        <f>AVERAGE(Modelling_old[[#This Row],[Target POA Daily (KWh/m2)]],Modelling_new[[#This Row],[Target POA Daily (KWh/m2)]])</f>
        <v>4.4064516129032256</v>
      </c>
      <c r="BQ490" s="4">
        <f>SUM($BP$475:BP490)</f>
        <v>70.50322580645161</v>
      </c>
      <c r="BR490" s="4">
        <f>SUM($BP$384:BP490)</f>
        <v>625.30322580645065</v>
      </c>
      <c r="BS490" s="323">
        <f>BM490/Modelling[[#This Row],[Comisined DC ]]/BP490</f>
        <v>0.72672610563703754</v>
      </c>
      <c r="BT490" s="337">
        <f>BN490/BQ490/Modelling[[#This Row],[Comisined DC ]]</f>
        <v>0.72672610563703743</v>
      </c>
      <c r="BU490" s="337">
        <f>BO490/BR490/Modelling[[#This Row],[Comisined DC ]]</f>
        <v>0.75502661863385712</v>
      </c>
      <c r="BV490" s="323">
        <f>BM490/(24*Modelling[[#This Row],[Comisined DC ]])</f>
        <v>0.13342847584680018</v>
      </c>
      <c r="BW490" s="323">
        <f>Modelling[[#This Row],[Target E_Grid MTD
MWh]]/Modelling[[#This Row],[MTD DC Capcity]]/(24*CG490)</f>
        <v>0.13342847584680018</v>
      </c>
      <c r="BX490" s="338">
        <f>Modelling[[#This Row],[Target E_Grid YTD
MWh]]/Modelling[[#This Row],[YTD DC Capcity]]/(24*CH490)</f>
        <v>0.18384757796008053</v>
      </c>
      <c r="BY490" s="4">
        <f>Modelling_old[[#This Row],[DC Capcity]]+Modelling_new[[#This Row],[Comisined DC ]]</f>
        <v>24.303100000000001</v>
      </c>
      <c r="BZ490" s="4">
        <v>0</v>
      </c>
      <c r="CA490">
        <f>AVERAGEIFS(Modelling[[Comisined DC ]],Modelling[Date],"&lt;="&amp;Modelling[[#This Row],[Date]],Modelling[Month Year],Modelling[[#This Row],[Month Year]])</f>
        <v>24.303099999999993</v>
      </c>
      <c r="CB490">
        <f>AVERAGEIFS(Modelling[[Comisined DC ]],Modelling[Date],"&lt;="&amp;Modelling[[#This Row],[Date]],Modelling[Finacial Year],Modelling[[#This Row],[Finacial Year]])</f>
        <v>24.303100000000043</v>
      </c>
      <c r="CG490">
        <f t="shared" si="185"/>
        <v>16</v>
      </c>
      <c r="CH490">
        <f t="shared" si="186"/>
        <v>107</v>
      </c>
    </row>
    <row r="491" spans="1:86" x14ac:dyDescent="0.35">
      <c r="A491" s="27">
        <f t="shared" si="164"/>
        <v>45490</v>
      </c>
      <c r="B491" s="5">
        <f>MONTH(Modelling_old[[#This Row],[Date]])</f>
        <v>7</v>
      </c>
      <c r="C491" s="25">
        <f t="shared" si="165"/>
        <v>2025</v>
      </c>
      <c r="D491" s="3">
        <f t="shared" si="166"/>
        <v>2024</v>
      </c>
      <c r="E491" s="3" t="s">
        <v>627</v>
      </c>
      <c r="F491" s="3" t="s">
        <v>627</v>
      </c>
      <c r="G491" s="102">
        <f>DATE(Modelling_old[[#This Row],[Calendor Year]],Modelling_old[[#This Row],[Start Month]],1)</f>
        <v>45474</v>
      </c>
      <c r="H491" s="5">
        <f t="shared" si="167"/>
        <v>31</v>
      </c>
      <c r="I491" s="5">
        <f t="shared" si="168"/>
        <v>7</v>
      </c>
      <c r="J491" s="4">
        <f>_xlfn.XLOOKUP(Modelling_old[[#This Row],[Month]],$C$1:$C$14,$N$1:$N$14)/Modelling_old[[#This Row],[Total Days]]</f>
        <v>36.264516129032259</v>
      </c>
      <c r="K491" s="4">
        <f>SUM($J$475:J491)</f>
        <v>616.49677419354828</v>
      </c>
      <c r="L491" s="4">
        <f>SUM($J$384:J491)</f>
        <v>4955.4967741935498</v>
      </c>
      <c r="M491" s="4">
        <f t="shared" si="169"/>
        <v>4.4064516129032256</v>
      </c>
      <c r="N491" s="4">
        <f>SUM($M$475:M491)</f>
        <v>74.909677419354836</v>
      </c>
      <c r="O491" s="4">
        <f>SUM($M$384:M491)</f>
        <v>629.70967741935385</v>
      </c>
      <c r="P491" s="323">
        <f t="shared" si="170"/>
        <v>0.71544785565665769</v>
      </c>
      <c r="Q491" s="337">
        <f t="shared" si="171"/>
        <v>0.71544785565665769</v>
      </c>
      <c r="R491" s="337">
        <f t="shared" si="172"/>
        <v>0.68411944525008306</v>
      </c>
      <c r="S491" s="323">
        <f t="shared" si="173"/>
        <v>0.13135776489610143</v>
      </c>
      <c r="T491" s="9">
        <f>Modelling_old[[#This Row],[Target E_Grid MTD
MWh]]/Modelling_old[[#This Row],[DC Capcity]]/(24*CG491)</f>
        <v>0.1313577648961014</v>
      </c>
      <c r="U491" s="338">
        <f>Modelling_old[[#This Row],[Target E_Grid YTD
MWh]]/Modelling_old[[#This Row],[DC Capcity]]/(24*CH491)</f>
        <v>0.16620240554966709</v>
      </c>
      <c r="V491" s="134">
        <v>11.5031</v>
      </c>
      <c r="Y491" s="27">
        <f t="shared" si="187"/>
        <v>45490</v>
      </c>
      <c r="Z491" s="5">
        <f>MONTH(Modelling_new[[#This Row],[Date]])</f>
        <v>7</v>
      </c>
      <c r="AA491" s="25">
        <f>YEAR(Y491)+IF(MONTH(Modelling_new[[#This Row],[Date]])&gt;=4,1,0)</f>
        <v>2025</v>
      </c>
      <c r="AB491" s="3">
        <f t="shared" si="174"/>
        <v>2024</v>
      </c>
      <c r="AC491" s="3" t="s">
        <v>627</v>
      </c>
      <c r="AD491" s="3" t="s">
        <v>627</v>
      </c>
      <c r="AE491" s="102">
        <f>DATE(Modelling_old[[#This Row],[Calendor Year]],Modelling_old[[#This Row],[Start Month]],1)</f>
        <v>45474</v>
      </c>
      <c r="AF491" s="5">
        <f t="shared" si="175"/>
        <v>31</v>
      </c>
      <c r="AG491" s="5">
        <f t="shared" si="176"/>
        <v>7</v>
      </c>
      <c r="AH491" s="4">
        <f>_xlfn.XLOOKUP(Modelling_new[[#This Row],[Month]],$AA$1:$AA$14,$AL$1:$AL$14)/Modelling_new[[#This Row],[Total Days]]</f>
        <v>41.560898063424602</v>
      </c>
      <c r="AI491" s="4">
        <f>SUM($AH$475:AH491)</f>
        <v>706.53526707821811</v>
      </c>
      <c r="AJ491" s="4">
        <f>SUM($AH$384:AH491)</f>
        <v>6596.32231269368</v>
      </c>
      <c r="AK491" s="4">
        <f t="shared" si="177"/>
        <v>4.4064516129032256</v>
      </c>
      <c r="AL491" s="4">
        <f>SUM($AK$475:AK491)</f>
        <v>74.909677419354836</v>
      </c>
      <c r="AM491" s="4">
        <f>SUM($AK$384:AK491)</f>
        <v>629.70967741935385</v>
      </c>
      <c r="AN491" s="323">
        <f t="shared" si="178"/>
        <v>0.81993801579603653</v>
      </c>
      <c r="AO491" s="323">
        <f t="shared" si="179"/>
        <v>0.81993801579603631</v>
      </c>
      <c r="AP491" s="323">
        <f t="shared" si="180"/>
        <v>0.91063975356640836</v>
      </c>
      <c r="AQ491" s="323">
        <f t="shared" si="181"/>
        <v>0.15054238300771317</v>
      </c>
      <c r="AR491" s="323">
        <f>Modelling_new[[#This Row],[Target E_Grid MTD
MWh]]/Modelling_new[[#This Row],[MTD DC Capcity]]/(24*CG491)</f>
        <v>0.13528938171687691</v>
      </c>
      <c r="AS491" s="323">
        <f>Modelling_new[[#This Row],[Target E_Grid YTD
MWh]]/Modelling_new[[#This Row],[YTD DC Capcity]]/(24*CH491)</f>
        <v>0.1988185496447511</v>
      </c>
      <c r="AT491" s="5">
        <v>12.8</v>
      </c>
      <c r="AU491" s="9">
        <f>Modelling_new[[#This Row],[Comisined DC ]]/$AO$1</f>
        <v>1</v>
      </c>
      <c r="AV491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91" s="5">
        <f>AVERAGEIFS(Modelling_new[[Comisined DC ]],Modelling_new[Date],"&lt;="&amp;Modelling_new[[#This Row],[Date]],Modelling_new[[Comisined DC ]],"&gt;"&amp;0,Modelling_new[Finacial Year],Modelling_new[[#This Row],[Finacial Year]])</f>
        <v>12.799999999999974</v>
      </c>
      <c r="BD491" s="27">
        <f t="shared" si="188"/>
        <v>45490</v>
      </c>
      <c r="BE491" s="5">
        <f>MONTH(Modelling[[#This Row],[Date]])</f>
        <v>7</v>
      </c>
      <c r="BF491" s="25">
        <f>YEAR(BD491)+IF(MONTH(Modelling[[#This Row],[Date]])&gt;=4,1,0)</f>
        <v>2025</v>
      </c>
      <c r="BG491" s="3">
        <f t="shared" si="182"/>
        <v>2024</v>
      </c>
      <c r="BH491" s="3" t="s">
        <v>627</v>
      </c>
      <c r="BI491" s="3" t="s">
        <v>627</v>
      </c>
      <c r="BJ491" s="102">
        <f>DATE(Modelling_old[[#This Row],[Calendor Year]],Modelling_old[[#This Row],[Start Month]],1)</f>
        <v>45474</v>
      </c>
      <c r="BK491" s="5">
        <f t="shared" si="183"/>
        <v>31</v>
      </c>
      <c r="BL491" s="5">
        <f t="shared" si="184"/>
        <v>7</v>
      </c>
      <c r="BM491" s="4">
        <f>Modelling_old[[#This Row],[Target E_Grid daily
MWh]]+Modelling_new[[#This Row],[Target E_Grid daily
MWh]]</f>
        <v>77.825414192456861</v>
      </c>
      <c r="BN491" s="4">
        <f>Modelling_old[[#This Row],[Target E_Grid MTD
MWh]]+Modelling_new[[#This Row],[Target E_Grid MTD
MWh]]</f>
        <v>1323.0320412717665</v>
      </c>
      <c r="BO491" s="4">
        <f>Modelling_old[[#This Row],[Target E_Grid YTD
MWh]]+Modelling_new[[#This Row],[Target E_Grid YTD
MWh]]</f>
        <v>11551.81908688723</v>
      </c>
      <c r="BP491" s="4">
        <f>AVERAGE(Modelling_old[[#This Row],[Target POA Daily (KWh/m2)]],Modelling_new[[#This Row],[Target POA Daily (KWh/m2)]])</f>
        <v>4.4064516129032256</v>
      </c>
      <c r="BQ491" s="4">
        <f>SUM($BP$475:BP491)</f>
        <v>74.909677419354836</v>
      </c>
      <c r="BR491" s="4">
        <f>SUM($BP$384:BP491)</f>
        <v>629.70967741935385</v>
      </c>
      <c r="BS491" s="323">
        <f>BM491/Modelling[[#This Row],[Comisined DC ]]/BP491</f>
        <v>0.72672610563703754</v>
      </c>
      <c r="BT491" s="337">
        <f>BN491/BQ491/Modelling[[#This Row],[Comisined DC ]]</f>
        <v>0.72672610563703743</v>
      </c>
      <c r="BU491" s="337">
        <f>BO491/BR491/Modelling[[#This Row],[Comisined DC ]]</f>
        <v>0.75482858318099255</v>
      </c>
      <c r="BV491" s="323">
        <f>BM491/(24*Modelling[[#This Row],[Comisined DC ]])</f>
        <v>0.13342847584680018</v>
      </c>
      <c r="BW491" s="323">
        <f>Modelling[[#This Row],[Target E_Grid MTD
MWh]]/Modelling[[#This Row],[MTD DC Capcity]]/(24*CG491)</f>
        <v>0.1334284758468002</v>
      </c>
      <c r="BX491" s="338">
        <f>Modelling[[#This Row],[Target E_Grid YTD
MWh]]/Modelling[[#This Row],[YTD DC Capcity]]/(24*CH491)</f>
        <v>0.18338073442199457</v>
      </c>
      <c r="BY491" s="4">
        <f>Modelling_old[[#This Row],[DC Capcity]]+Modelling_new[[#This Row],[Comisined DC ]]</f>
        <v>24.303100000000001</v>
      </c>
      <c r="BZ491" s="4">
        <v>0</v>
      </c>
      <c r="CA491">
        <f>AVERAGEIFS(Modelling[[Comisined DC ]],Modelling[Date],"&lt;="&amp;Modelling[[#This Row],[Date]],Modelling[Month Year],Modelling[[#This Row],[Month Year]])</f>
        <v>24.303099999999993</v>
      </c>
      <c r="CB491">
        <f>AVERAGEIFS(Modelling[[Comisined DC ]],Modelling[Date],"&lt;="&amp;Modelling[[#This Row],[Date]],Modelling[Finacial Year],Modelling[[#This Row],[Finacial Year]])</f>
        <v>24.303100000000043</v>
      </c>
      <c r="CG491">
        <f t="shared" si="185"/>
        <v>17</v>
      </c>
      <c r="CH491">
        <f t="shared" si="186"/>
        <v>108</v>
      </c>
    </row>
    <row r="492" spans="1:86" x14ac:dyDescent="0.35">
      <c r="A492" s="27">
        <f t="shared" si="164"/>
        <v>45491</v>
      </c>
      <c r="B492" s="5">
        <f>MONTH(Modelling_old[[#This Row],[Date]])</f>
        <v>7</v>
      </c>
      <c r="C492" s="25">
        <f t="shared" si="165"/>
        <v>2025</v>
      </c>
      <c r="D492" s="3">
        <f t="shared" si="166"/>
        <v>2024</v>
      </c>
      <c r="E492" s="3" t="s">
        <v>627</v>
      </c>
      <c r="F492" s="3" t="s">
        <v>627</v>
      </c>
      <c r="G492" s="102">
        <f>DATE(Modelling_old[[#This Row],[Calendor Year]],Modelling_old[[#This Row],[Start Month]],1)</f>
        <v>45474</v>
      </c>
      <c r="H492" s="5">
        <f t="shared" si="167"/>
        <v>31</v>
      </c>
      <c r="I492" s="5">
        <f t="shared" si="168"/>
        <v>7</v>
      </c>
      <c r="J492" s="4">
        <f>_xlfn.XLOOKUP(Modelling_old[[#This Row],[Month]],$C$1:$C$14,$N$1:$N$14)/Modelling_old[[#This Row],[Total Days]]</f>
        <v>36.264516129032259</v>
      </c>
      <c r="K492" s="4">
        <f>SUM($J$475:J492)</f>
        <v>652.76129032258052</v>
      </c>
      <c r="L492" s="4">
        <f>SUM($J$384:J492)</f>
        <v>4991.7612903225818</v>
      </c>
      <c r="M492" s="4">
        <f t="shared" si="169"/>
        <v>4.4064516129032256</v>
      </c>
      <c r="N492" s="4">
        <f>SUM($M$475:M492)</f>
        <v>79.316129032258061</v>
      </c>
      <c r="O492" s="4">
        <f>SUM($M$384:M492)</f>
        <v>634.11612903225705</v>
      </c>
      <c r="P492" s="323">
        <f t="shared" si="170"/>
        <v>0.71544785565665769</v>
      </c>
      <c r="Q492" s="337">
        <f t="shared" si="171"/>
        <v>0.71544785565665769</v>
      </c>
      <c r="R492" s="337">
        <f t="shared" si="172"/>
        <v>0.68433714531832834</v>
      </c>
      <c r="S492" s="323">
        <f t="shared" si="173"/>
        <v>0.13135776489610143</v>
      </c>
      <c r="T492" s="9">
        <f>Modelling_old[[#This Row],[Target E_Grid MTD
MWh]]/Modelling_old[[#This Row],[DC Capcity]]/(24*CG492)</f>
        <v>0.13135776489610138</v>
      </c>
      <c r="U492" s="338">
        <f>Modelling_old[[#This Row],[Target E_Grid YTD
MWh]]/Modelling_old[[#This Row],[DC Capcity]]/(24*CH492)</f>
        <v>0.1658827299473408</v>
      </c>
      <c r="V492" s="134">
        <v>11.5031</v>
      </c>
      <c r="Y492" s="27">
        <f t="shared" si="187"/>
        <v>45491</v>
      </c>
      <c r="Z492" s="5">
        <f>MONTH(Modelling_new[[#This Row],[Date]])</f>
        <v>7</v>
      </c>
      <c r="AA492" s="25">
        <f>YEAR(Y492)+IF(MONTH(Modelling_new[[#This Row],[Date]])&gt;=4,1,0)</f>
        <v>2025</v>
      </c>
      <c r="AB492" s="3">
        <f t="shared" si="174"/>
        <v>2024</v>
      </c>
      <c r="AC492" s="3" t="s">
        <v>627</v>
      </c>
      <c r="AD492" s="3" t="s">
        <v>627</v>
      </c>
      <c r="AE492" s="102">
        <f>DATE(Modelling_old[[#This Row],[Calendor Year]],Modelling_old[[#This Row],[Start Month]],1)</f>
        <v>45474</v>
      </c>
      <c r="AF492" s="5">
        <f t="shared" si="175"/>
        <v>31</v>
      </c>
      <c r="AG492" s="5">
        <f t="shared" si="176"/>
        <v>7</v>
      </c>
      <c r="AH492" s="4">
        <f>_xlfn.XLOOKUP(Modelling_new[[#This Row],[Month]],$AA$1:$AA$14,$AL$1:$AL$14)/Modelling_new[[#This Row],[Total Days]]</f>
        <v>41.560898063424602</v>
      </c>
      <c r="AI492" s="4">
        <f>SUM($AH$475:AH492)</f>
        <v>748.0961651416427</v>
      </c>
      <c r="AJ492" s="4">
        <f>SUM($AH$384:AH492)</f>
        <v>6637.8832107571043</v>
      </c>
      <c r="AK492" s="4">
        <f t="shared" si="177"/>
        <v>4.4064516129032256</v>
      </c>
      <c r="AL492" s="4">
        <f>SUM($AK$475:AK492)</f>
        <v>79.316129032258061</v>
      </c>
      <c r="AM492" s="4">
        <f>SUM($AK$384:AK492)</f>
        <v>634.11612903225705</v>
      </c>
      <c r="AN492" s="323">
        <f t="shared" si="178"/>
        <v>0.81993801579603653</v>
      </c>
      <c r="AO492" s="323">
        <f t="shared" si="179"/>
        <v>0.81993801579603631</v>
      </c>
      <c r="AP492" s="323">
        <f t="shared" si="180"/>
        <v>0.91000947024700862</v>
      </c>
      <c r="AQ492" s="323">
        <f t="shared" si="181"/>
        <v>0.15054238300771317</v>
      </c>
      <c r="AR492" s="323">
        <f>Modelling_new[[#This Row],[Target E_Grid MTD
MWh]]/Modelling_new[[#This Row],[MTD DC Capcity]]/(24*CG492)</f>
        <v>0.13528938171687688</v>
      </c>
      <c r="AS492" s="323">
        <f>Modelling_new[[#This Row],[Target E_Grid YTD
MWh]]/Modelling_new[[#This Row],[YTD DC Capcity]]/(24*CH492)</f>
        <v>0.19823571324174302</v>
      </c>
      <c r="AT492" s="5">
        <v>12.8</v>
      </c>
      <c r="AU492" s="9">
        <f>Modelling_new[[#This Row],[Comisined DC ]]/$AO$1</f>
        <v>1</v>
      </c>
      <c r="AV49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92" s="5">
        <f>AVERAGEIFS(Modelling_new[[Comisined DC ]],Modelling_new[Date],"&lt;="&amp;Modelling_new[[#This Row],[Date]],Modelling_new[[Comisined DC ]],"&gt;"&amp;0,Modelling_new[Finacial Year],Modelling_new[[#This Row],[Finacial Year]])</f>
        <v>12.799999999999974</v>
      </c>
      <c r="BD492" s="27">
        <f t="shared" si="188"/>
        <v>45491</v>
      </c>
      <c r="BE492" s="5">
        <f>MONTH(Modelling[[#This Row],[Date]])</f>
        <v>7</v>
      </c>
      <c r="BF492" s="25">
        <f>YEAR(BD492)+IF(MONTH(Modelling[[#This Row],[Date]])&gt;=4,1,0)</f>
        <v>2025</v>
      </c>
      <c r="BG492" s="3">
        <f t="shared" si="182"/>
        <v>2024</v>
      </c>
      <c r="BH492" s="3" t="s">
        <v>627</v>
      </c>
      <c r="BI492" s="3" t="s">
        <v>627</v>
      </c>
      <c r="BJ492" s="102">
        <f>DATE(Modelling_old[[#This Row],[Calendor Year]],Modelling_old[[#This Row],[Start Month]],1)</f>
        <v>45474</v>
      </c>
      <c r="BK492" s="5">
        <f t="shared" si="183"/>
        <v>31</v>
      </c>
      <c r="BL492" s="5">
        <f t="shared" si="184"/>
        <v>7</v>
      </c>
      <c r="BM492" s="4">
        <f>Modelling_old[[#This Row],[Target E_Grid daily
MWh]]+Modelling_new[[#This Row],[Target E_Grid daily
MWh]]</f>
        <v>77.825414192456861</v>
      </c>
      <c r="BN492" s="4">
        <f>Modelling_old[[#This Row],[Target E_Grid MTD
MWh]]+Modelling_new[[#This Row],[Target E_Grid MTD
MWh]]</f>
        <v>1400.8574554642232</v>
      </c>
      <c r="BO492" s="4">
        <f>Modelling_old[[#This Row],[Target E_Grid YTD
MWh]]+Modelling_new[[#This Row],[Target E_Grid YTD
MWh]]</f>
        <v>11629.644501079685</v>
      </c>
      <c r="BP492" s="4">
        <f>AVERAGE(Modelling_old[[#This Row],[Target POA Daily (KWh/m2)]],Modelling_new[[#This Row],[Target POA Daily (KWh/m2)]])</f>
        <v>4.4064516129032256</v>
      </c>
      <c r="BQ492" s="4">
        <f>SUM($BP$475:BP492)</f>
        <v>79.316129032258061</v>
      </c>
      <c r="BR492" s="4">
        <f>SUM($BP$384:BP492)</f>
        <v>634.11612903225705</v>
      </c>
      <c r="BS492" s="323">
        <f>BM492/Modelling[[#This Row],[Comisined DC ]]/BP492</f>
        <v>0.72672610563703754</v>
      </c>
      <c r="BT492" s="337">
        <f>BN492/BQ492/Modelling[[#This Row],[Comisined DC ]]</f>
        <v>0.72672610563703743</v>
      </c>
      <c r="BU492" s="337">
        <f>BO492/BR492/Modelling[[#This Row],[Comisined DC ]]</f>
        <v>0.75463330001150575</v>
      </c>
      <c r="BV492" s="323">
        <f>BM492/(24*Modelling[[#This Row],[Comisined DC ]])</f>
        <v>0.13342847584680018</v>
      </c>
      <c r="BW492" s="323">
        <f>Modelling[[#This Row],[Target E_Grid MTD
MWh]]/Modelling[[#This Row],[MTD DC Capcity]]/(24*CG492)</f>
        <v>0.1334284758468002</v>
      </c>
      <c r="BX492" s="338">
        <f>Modelling[[#This Row],[Target E_Grid YTD
MWh]]/Modelling[[#This Row],[YTD DC Capcity]]/(24*CH492)</f>
        <v>0.18292245682038727</v>
      </c>
      <c r="BY492" s="4">
        <f>Modelling_old[[#This Row],[DC Capcity]]+Modelling_new[[#This Row],[Comisined DC ]]</f>
        <v>24.303100000000001</v>
      </c>
      <c r="BZ492" s="4">
        <v>0</v>
      </c>
      <c r="CA492">
        <f>AVERAGEIFS(Modelling[[Comisined DC ]],Modelling[Date],"&lt;="&amp;Modelling[[#This Row],[Date]],Modelling[Month Year],Modelling[[#This Row],[Month Year]])</f>
        <v>24.30309999999999</v>
      </c>
      <c r="CB492">
        <f>AVERAGEIFS(Modelling[[Comisined DC ]],Modelling[Date],"&lt;="&amp;Modelling[[#This Row],[Date]],Modelling[Finacial Year],Modelling[[#This Row],[Finacial Year]])</f>
        <v>24.303100000000043</v>
      </c>
      <c r="CG492">
        <f t="shared" si="185"/>
        <v>18</v>
      </c>
      <c r="CH492">
        <f t="shared" si="186"/>
        <v>109</v>
      </c>
    </row>
    <row r="493" spans="1:86" x14ac:dyDescent="0.35">
      <c r="A493" s="27">
        <f t="shared" si="164"/>
        <v>45492</v>
      </c>
      <c r="B493" s="5">
        <f>MONTH(Modelling_old[[#This Row],[Date]])</f>
        <v>7</v>
      </c>
      <c r="C493" s="25">
        <f t="shared" si="165"/>
        <v>2025</v>
      </c>
      <c r="D493" s="3">
        <f t="shared" si="166"/>
        <v>2024</v>
      </c>
      <c r="E493" s="3" t="s">
        <v>627</v>
      </c>
      <c r="F493" s="3" t="s">
        <v>627</v>
      </c>
      <c r="G493" s="102">
        <f>DATE(Modelling_old[[#This Row],[Calendor Year]],Modelling_old[[#This Row],[Start Month]],1)</f>
        <v>45474</v>
      </c>
      <c r="H493" s="5">
        <f t="shared" si="167"/>
        <v>31</v>
      </c>
      <c r="I493" s="5">
        <f t="shared" si="168"/>
        <v>7</v>
      </c>
      <c r="J493" s="4">
        <f>_xlfn.XLOOKUP(Modelling_old[[#This Row],[Month]],$C$1:$C$14,$N$1:$N$14)/Modelling_old[[#This Row],[Total Days]]</f>
        <v>36.264516129032259</v>
      </c>
      <c r="K493" s="4">
        <f>SUM($J$475:J493)</f>
        <v>689.02580645161277</v>
      </c>
      <c r="L493" s="4">
        <f>SUM($J$384:J493)</f>
        <v>5028.0258064516138</v>
      </c>
      <c r="M493" s="4">
        <f t="shared" si="169"/>
        <v>4.4064516129032256</v>
      </c>
      <c r="N493" s="4">
        <f>SUM($M$475:M493)</f>
        <v>83.722580645161287</v>
      </c>
      <c r="O493" s="4">
        <f>SUM($M$384:M493)</f>
        <v>638.52258064516025</v>
      </c>
      <c r="P493" s="323">
        <f t="shared" si="170"/>
        <v>0.71544785565665769</v>
      </c>
      <c r="Q493" s="337">
        <f t="shared" si="171"/>
        <v>0.71544785565665769</v>
      </c>
      <c r="R493" s="337">
        <f t="shared" si="172"/>
        <v>0.68455184068526498</v>
      </c>
      <c r="S493" s="323">
        <f t="shared" si="173"/>
        <v>0.13135776489610143</v>
      </c>
      <c r="T493" s="9">
        <f>Modelling_old[[#This Row],[Target E_Grid MTD
MWh]]/Modelling_old[[#This Row],[DC Capcity]]/(24*CG493)</f>
        <v>0.13135776489610138</v>
      </c>
      <c r="U493" s="338">
        <f>Modelling_old[[#This Row],[Target E_Grid YTD
MWh]]/Modelling_old[[#This Row],[DC Capcity]]/(24*CH493)</f>
        <v>0.16556886662869319</v>
      </c>
      <c r="V493" s="134">
        <v>11.5031</v>
      </c>
      <c r="Y493" s="27">
        <f t="shared" si="187"/>
        <v>45492</v>
      </c>
      <c r="Z493" s="5">
        <f>MONTH(Modelling_new[[#This Row],[Date]])</f>
        <v>7</v>
      </c>
      <c r="AA493" s="25">
        <f>YEAR(Y493)+IF(MONTH(Modelling_new[[#This Row],[Date]])&gt;=4,1,0)</f>
        <v>2025</v>
      </c>
      <c r="AB493" s="3">
        <f t="shared" si="174"/>
        <v>2024</v>
      </c>
      <c r="AC493" s="3" t="s">
        <v>627</v>
      </c>
      <c r="AD493" s="3" t="s">
        <v>627</v>
      </c>
      <c r="AE493" s="102">
        <f>DATE(Modelling_old[[#This Row],[Calendor Year]],Modelling_old[[#This Row],[Start Month]],1)</f>
        <v>45474</v>
      </c>
      <c r="AF493" s="5">
        <f t="shared" si="175"/>
        <v>31</v>
      </c>
      <c r="AG493" s="5">
        <f t="shared" si="176"/>
        <v>7</v>
      </c>
      <c r="AH493" s="4">
        <f>_xlfn.XLOOKUP(Modelling_new[[#This Row],[Month]],$AA$1:$AA$14,$AL$1:$AL$14)/Modelling_new[[#This Row],[Total Days]]</f>
        <v>41.560898063424602</v>
      </c>
      <c r="AI493" s="4">
        <f>SUM($AH$475:AH493)</f>
        <v>789.65706320506729</v>
      </c>
      <c r="AJ493" s="4">
        <f>SUM($AH$384:AH493)</f>
        <v>6679.4441088205285</v>
      </c>
      <c r="AK493" s="4">
        <f t="shared" si="177"/>
        <v>4.4064516129032256</v>
      </c>
      <c r="AL493" s="4">
        <f>SUM($AK$475:AK493)</f>
        <v>83.722580645161287</v>
      </c>
      <c r="AM493" s="4">
        <f>SUM($AK$384:AK493)</f>
        <v>638.52258064516025</v>
      </c>
      <c r="AN493" s="323">
        <f t="shared" si="178"/>
        <v>0.81993801579603653</v>
      </c>
      <c r="AO493" s="323">
        <f t="shared" si="179"/>
        <v>0.81993801579603631</v>
      </c>
      <c r="AP493" s="323">
        <f t="shared" si="180"/>
        <v>0.90938788611236288</v>
      </c>
      <c r="AQ493" s="323">
        <f t="shared" si="181"/>
        <v>0.15054238300771317</v>
      </c>
      <c r="AR493" s="323">
        <f>Modelling_new[[#This Row],[Target E_Grid MTD
MWh]]/Modelling_new[[#This Row],[MTD DC Capcity]]/(24*CG493)</f>
        <v>0.13528938171687691</v>
      </c>
      <c r="AS493" s="323">
        <f>Modelling_new[[#This Row],[Target E_Grid YTD
MWh]]/Modelling_new[[#This Row],[YTD DC Capcity]]/(24*CH493)</f>
        <v>0.19766347386424429</v>
      </c>
      <c r="AT493" s="5">
        <v>12.8</v>
      </c>
      <c r="AU493" s="9">
        <f>Modelling_new[[#This Row],[Comisined DC ]]/$AO$1</f>
        <v>1</v>
      </c>
      <c r="AV493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93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493" s="27">
        <f t="shared" si="188"/>
        <v>45492</v>
      </c>
      <c r="BE493" s="5">
        <f>MONTH(Modelling[[#This Row],[Date]])</f>
        <v>7</v>
      </c>
      <c r="BF493" s="25">
        <f>YEAR(BD493)+IF(MONTH(Modelling[[#This Row],[Date]])&gt;=4,1,0)</f>
        <v>2025</v>
      </c>
      <c r="BG493" s="3">
        <f t="shared" si="182"/>
        <v>2024</v>
      </c>
      <c r="BH493" s="3" t="s">
        <v>627</v>
      </c>
      <c r="BI493" s="3" t="s">
        <v>627</v>
      </c>
      <c r="BJ493" s="102">
        <f>DATE(Modelling_old[[#This Row],[Calendor Year]],Modelling_old[[#This Row],[Start Month]],1)</f>
        <v>45474</v>
      </c>
      <c r="BK493" s="5">
        <f t="shared" si="183"/>
        <v>31</v>
      </c>
      <c r="BL493" s="5">
        <f t="shared" si="184"/>
        <v>7</v>
      </c>
      <c r="BM493" s="4">
        <f>Modelling_old[[#This Row],[Target E_Grid daily
MWh]]+Modelling_new[[#This Row],[Target E_Grid daily
MWh]]</f>
        <v>77.825414192456861</v>
      </c>
      <c r="BN493" s="4">
        <f>Modelling_old[[#This Row],[Target E_Grid MTD
MWh]]+Modelling_new[[#This Row],[Target E_Grid MTD
MWh]]</f>
        <v>1478.6828696566799</v>
      </c>
      <c r="BO493" s="4">
        <f>Modelling_old[[#This Row],[Target E_Grid YTD
MWh]]+Modelling_new[[#This Row],[Target E_Grid YTD
MWh]]</f>
        <v>11707.469915272142</v>
      </c>
      <c r="BP493" s="4">
        <f>AVERAGE(Modelling_old[[#This Row],[Target POA Daily (KWh/m2)]],Modelling_new[[#This Row],[Target POA Daily (KWh/m2)]])</f>
        <v>4.4064516129032256</v>
      </c>
      <c r="BQ493" s="4">
        <f>SUM($BP$475:BP493)</f>
        <v>83.722580645161287</v>
      </c>
      <c r="BR493" s="4">
        <f>SUM($BP$384:BP493)</f>
        <v>638.52258064516025</v>
      </c>
      <c r="BS493" s="323">
        <f>BM493/Modelling[[#This Row],[Comisined DC ]]/BP493</f>
        <v>0.72672610563703754</v>
      </c>
      <c r="BT493" s="337">
        <f>BN493/BQ493/Modelling[[#This Row],[Comisined DC ]]</f>
        <v>0.72672610563703743</v>
      </c>
      <c r="BU493" s="337">
        <f>BO493/BR493/Modelling[[#This Row],[Comisined DC ]]</f>
        <v>0.75444071214477959</v>
      </c>
      <c r="BV493" s="323">
        <f>BM493/(24*Modelling[[#This Row],[Comisined DC ]])</f>
        <v>0.13342847584680018</v>
      </c>
      <c r="BW493" s="323">
        <f>Modelling[[#This Row],[Target E_Grid MTD
MWh]]/Modelling[[#This Row],[MTD DC Capcity]]/(24*CG493)</f>
        <v>0.13342847584680018</v>
      </c>
      <c r="BX493" s="338">
        <f>Modelling[[#This Row],[Target E_Grid YTD
MWh]]/Modelling[[#This Row],[YTD DC Capcity]]/(24*CH493)</f>
        <v>0.1824725115388092</v>
      </c>
      <c r="BY493" s="4">
        <f>Modelling_old[[#This Row],[DC Capcity]]+Modelling_new[[#This Row],[Comisined DC ]]</f>
        <v>24.303100000000001</v>
      </c>
      <c r="BZ493" s="4">
        <v>0</v>
      </c>
      <c r="CA493">
        <f>AVERAGEIFS(Modelling[[Comisined DC ]],Modelling[Date],"&lt;="&amp;Modelling[[#This Row],[Date]],Modelling[Month Year],Modelling[[#This Row],[Month Year]])</f>
        <v>24.30309999999999</v>
      </c>
      <c r="CB493">
        <f>AVERAGEIFS(Modelling[[Comisined DC ]],Modelling[Date],"&lt;="&amp;Modelling[[#This Row],[Date]],Modelling[Finacial Year],Modelling[[#This Row],[Finacial Year]])</f>
        <v>24.303100000000043</v>
      </c>
      <c r="CG493">
        <f t="shared" si="185"/>
        <v>19</v>
      </c>
      <c r="CH493">
        <f t="shared" si="186"/>
        <v>110</v>
      </c>
    </row>
    <row r="494" spans="1:86" x14ac:dyDescent="0.35">
      <c r="A494" s="27">
        <f t="shared" si="164"/>
        <v>45493</v>
      </c>
      <c r="B494" s="5">
        <f>MONTH(Modelling_old[[#This Row],[Date]])</f>
        <v>7</v>
      </c>
      <c r="C494" s="25">
        <f t="shared" si="165"/>
        <v>2025</v>
      </c>
      <c r="D494" s="3">
        <f t="shared" si="166"/>
        <v>2024</v>
      </c>
      <c r="E494" s="3" t="s">
        <v>627</v>
      </c>
      <c r="F494" s="3" t="s">
        <v>627</v>
      </c>
      <c r="G494" s="102">
        <f>DATE(Modelling_old[[#This Row],[Calendor Year]],Modelling_old[[#This Row],[Start Month]],1)</f>
        <v>45474</v>
      </c>
      <c r="H494" s="5">
        <f t="shared" si="167"/>
        <v>31</v>
      </c>
      <c r="I494" s="5">
        <f t="shared" si="168"/>
        <v>7</v>
      </c>
      <c r="J494" s="4">
        <f>_xlfn.XLOOKUP(Modelling_old[[#This Row],[Month]],$C$1:$C$14,$N$1:$N$14)/Modelling_old[[#This Row],[Total Days]]</f>
        <v>36.264516129032259</v>
      </c>
      <c r="K494" s="4">
        <f>SUM($J$475:J494)</f>
        <v>725.29032258064501</v>
      </c>
      <c r="L494" s="4">
        <f>SUM($J$384:J494)</f>
        <v>5064.2903225806458</v>
      </c>
      <c r="M494" s="4">
        <f t="shared" si="169"/>
        <v>4.4064516129032256</v>
      </c>
      <c r="N494" s="4">
        <f>SUM($M$475:M494)</f>
        <v>88.129032258064512</v>
      </c>
      <c r="O494" s="4">
        <f>SUM($M$384:M494)</f>
        <v>642.92903225806344</v>
      </c>
      <c r="P494" s="323">
        <f t="shared" si="170"/>
        <v>0.71544785565665769</v>
      </c>
      <c r="Q494" s="337">
        <f t="shared" si="171"/>
        <v>0.71544785565665769</v>
      </c>
      <c r="R494" s="337">
        <f t="shared" si="172"/>
        <v>0.68476359313098178</v>
      </c>
      <c r="S494" s="323">
        <f t="shared" si="173"/>
        <v>0.13135776489610143</v>
      </c>
      <c r="T494" s="9">
        <f>Modelling_old[[#This Row],[Target E_Grid MTD
MWh]]/Modelling_old[[#This Row],[DC Capcity]]/(24*CG494)</f>
        <v>0.13135776489610138</v>
      </c>
      <c r="U494" s="338">
        <f>Modelling_old[[#This Row],[Target E_Grid YTD
MWh]]/Modelling_old[[#This Row],[DC Capcity]]/(24*CH494)</f>
        <v>0.16526065850497612</v>
      </c>
      <c r="V494" s="134">
        <v>11.5031</v>
      </c>
      <c r="Y494" s="27">
        <f t="shared" si="187"/>
        <v>45493</v>
      </c>
      <c r="Z494" s="5">
        <f>MONTH(Modelling_new[[#This Row],[Date]])</f>
        <v>7</v>
      </c>
      <c r="AA494" s="25">
        <f>YEAR(Y494)+IF(MONTH(Modelling_new[[#This Row],[Date]])&gt;=4,1,0)</f>
        <v>2025</v>
      </c>
      <c r="AB494" s="3">
        <f t="shared" si="174"/>
        <v>2024</v>
      </c>
      <c r="AC494" s="3" t="s">
        <v>627</v>
      </c>
      <c r="AD494" s="3" t="s">
        <v>627</v>
      </c>
      <c r="AE494" s="102">
        <f>DATE(Modelling_old[[#This Row],[Calendor Year]],Modelling_old[[#This Row],[Start Month]],1)</f>
        <v>45474</v>
      </c>
      <c r="AF494" s="5">
        <f t="shared" si="175"/>
        <v>31</v>
      </c>
      <c r="AG494" s="5">
        <f t="shared" si="176"/>
        <v>7</v>
      </c>
      <c r="AH494" s="4">
        <f>_xlfn.XLOOKUP(Modelling_new[[#This Row],[Month]],$AA$1:$AA$14,$AL$1:$AL$14)/Modelling_new[[#This Row],[Total Days]]</f>
        <v>41.560898063424602</v>
      </c>
      <c r="AI494" s="4">
        <f>SUM($AH$475:AH494)</f>
        <v>831.21796126849188</v>
      </c>
      <c r="AJ494" s="4">
        <f>SUM($AH$384:AH494)</f>
        <v>6721.0050068839528</v>
      </c>
      <c r="AK494" s="4">
        <f t="shared" si="177"/>
        <v>4.4064516129032256</v>
      </c>
      <c r="AL494" s="4">
        <f>SUM($AK$475:AK494)</f>
        <v>88.129032258064512</v>
      </c>
      <c r="AM494" s="4">
        <f>SUM($AK$384:AK494)</f>
        <v>642.92903225806344</v>
      </c>
      <c r="AN494" s="323">
        <f t="shared" si="178"/>
        <v>0.81993801579603653</v>
      </c>
      <c r="AO494" s="323">
        <f t="shared" si="179"/>
        <v>0.81993801579603631</v>
      </c>
      <c r="AP494" s="323">
        <f t="shared" si="180"/>
        <v>0.90877482229730233</v>
      </c>
      <c r="AQ494" s="323">
        <f t="shared" si="181"/>
        <v>0.15054238300771317</v>
      </c>
      <c r="AR494" s="323">
        <f>Modelling_new[[#This Row],[Target E_Grid MTD
MWh]]/Modelling_new[[#This Row],[MTD DC Capcity]]/(24*CG494)</f>
        <v>0.13528938171687691</v>
      </c>
      <c r="AS494" s="323">
        <f>Modelling_new[[#This Row],[Target E_Grid YTD
MWh]]/Modelling_new[[#This Row],[YTD DC Capcity]]/(24*CH494)</f>
        <v>0.19710154510615988</v>
      </c>
      <c r="AT494" s="5">
        <v>12.8</v>
      </c>
      <c r="AU494" s="9">
        <f>Modelling_new[[#This Row],[Comisined DC ]]/$AO$1</f>
        <v>1</v>
      </c>
      <c r="AV494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94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494" s="27">
        <f t="shared" si="188"/>
        <v>45493</v>
      </c>
      <c r="BE494" s="5">
        <f>MONTH(Modelling[[#This Row],[Date]])</f>
        <v>7</v>
      </c>
      <c r="BF494" s="25">
        <f>YEAR(BD494)+IF(MONTH(Modelling[[#This Row],[Date]])&gt;=4,1,0)</f>
        <v>2025</v>
      </c>
      <c r="BG494" s="3">
        <f t="shared" si="182"/>
        <v>2024</v>
      </c>
      <c r="BH494" s="3" t="s">
        <v>627</v>
      </c>
      <c r="BI494" s="3" t="s">
        <v>627</v>
      </c>
      <c r="BJ494" s="102">
        <f>DATE(Modelling_old[[#This Row],[Calendor Year]],Modelling_old[[#This Row],[Start Month]],1)</f>
        <v>45474</v>
      </c>
      <c r="BK494" s="5">
        <f t="shared" si="183"/>
        <v>31</v>
      </c>
      <c r="BL494" s="5">
        <f t="shared" si="184"/>
        <v>7</v>
      </c>
      <c r="BM494" s="4">
        <f>Modelling_old[[#This Row],[Target E_Grid daily
MWh]]+Modelling_new[[#This Row],[Target E_Grid daily
MWh]]</f>
        <v>77.825414192456861</v>
      </c>
      <c r="BN494" s="4">
        <f>Modelling_old[[#This Row],[Target E_Grid MTD
MWh]]+Modelling_new[[#This Row],[Target E_Grid MTD
MWh]]</f>
        <v>1556.5082838491369</v>
      </c>
      <c r="BO494" s="4">
        <f>Modelling_old[[#This Row],[Target E_Grid YTD
MWh]]+Modelling_new[[#This Row],[Target E_Grid YTD
MWh]]</f>
        <v>11785.295329464599</v>
      </c>
      <c r="BP494" s="4">
        <f>AVERAGE(Modelling_old[[#This Row],[Target POA Daily (KWh/m2)]],Modelling_new[[#This Row],[Target POA Daily (KWh/m2)]])</f>
        <v>4.4064516129032256</v>
      </c>
      <c r="BQ494" s="4">
        <f>SUM($BP$475:BP494)</f>
        <v>88.129032258064512</v>
      </c>
      <c r="BR494" s="4">
        <f>SUM($BP$384:BP494)</f>
        <v>642.92903225806344</v>
      </c>
      <c r="BS494" s="323">
        <f>BM494/Modelling[[#This Row],[Comisined DC ]]/BP494</f>
        <v>0.72672610563703754</v>
      </c>
      <c r="BT494" s="337">
        <f>BN494/BQ494/Modelling[[#This Row],[Comisined DC ]]</f>
        <v>0.72672610563703743</v>
      </c>
      <c r="BU494" s="337">
        <f>BO494/BR494/Modelling[[#This Row],[Comisined DC ]]</f>
        <v>0.7542507641623124</v>
      </c>
      <c r="BV494" s="323">
        <f>BM494/(24*Modelling[[#This Row],[Comisined DC ]])</f>
        <v>0.13342847584680018</v>
      </c>
      <c r="BW494" s="323">
        <f>Modelling[[#This Row],[Target E_Grid MTD
MWh]]/Modelling[[#This Row],[MTD DC Capcity]]/(24*CG494)</f>
        <v>0.13342847584680018</v>
      </c>
      <c r="BX494" s="338">
        <f>Modelling[[#This Row],[Target E_Grid YTD
MWh]]/Modelling[[#This Row],[YTD DC Capcity]]/(24*CH494)</f>
        <v>0.18203067337942172</v>
      </c>
      <c r="BY494" s="4">
        <f>Modelling_old[[#This Row],[DC Capcity]]+Modelling_new[[#This Row],[Comisined DC ]]</f>
        <v>24.303100000000001</v>
      </c>
      <c r="BZ494" s="4">
        <v>0</v>
      </c>
      <c r="CA494">
        <f>AVERAGEIFS(Modelling[[Comisined DC ]],Modelling[Date],"&lt;="&amp;Modelling[[#This Row],[Date]],Modelling[Month Year],Modelling[[#This Row],[Month Year]])</f>
        <v>24.30309999999999</v>
      </c>
      <c r="CB494">
        <f>AVERAGEIFS(Modelling[[Comisined DC ]],Modelling[Date],"&lt;="&amp;Modelling[[#This Row],[Date]],Modelling[Finacial Year],Modelling[[#This Row],[Finacial Year]])</f>
        <v>24.303100000000043</v>
      </c>
      <c r="CG494">
        <f t="shared" si="185"/>
        <v>20</v>
      </c>
      <c r="CH494">
        <f t="shared" si="186"/>
        <v>111</v>
      </c>
    </row>
    <row r="495" spans="1:86" x14ac:dyDescent="0.35">
      <c r="A495" s="27">
        <f t="shared" si="164"/>
        <v>45494</v>
      </c>
      <c r="B495" s="5">
        <f>MONTH(Modelling_old[[#This Row],[Date]])</f>
        <v>7</v>
      </c>
      <c r="C495" s="25">
        <f t="shared" si="165"/>
        <v>2025</v>
      </c>
      <c r="D495" s="3">
        <f t="shared" si="166"/>
        <v>2024</v>
      </c>
      <c r="E495" s="3" t="s">
        <v>627</v>
      </c>
      <c r="F495" s="3" t="s">
        <v>627</v>
      </c>
      <c r="G495" s="102">
        <f>DATE(Modelling_old[[#This Row],[Calendor Year]],Modelling_old[[#This Row],[Start Month]],1)</f>
        <v>45474</v>
      </c>
      <c r="H495" s="5">
        <f t="shared" si="167"/>
        <v>31</v>
      </c>
      <c r="I495" s="5">
        <f t="shared" si="168"/>
        <v>7</v>
      </c>
      <c r="J495" s="4">
        <f>_xlfn.XLOOKUP(Modelling_old[[#This Row],[Month]],$C$1:$C$14,$N$1:$N$14)/Modelling_old[[#This Row],[Total Days]]</f>
        <v>36.264516129032259</v>
      </c>
      <c r="K495" s="4">
        <f>SUM($J$475:J495)</f>
        <v>761.55483870967726</v>
      </c>
      <c r="L495" s="4">
        <f>SUM($J$384:J495)</f>
        <v>5100.5548387096778</v>
      </c>
      <c r="M495" s="4">
        <f t="shared" si="169"/>
        <v>4.4064516129032256</v>
      </c>
      <c r="N495" s="4">
        <f>SUM($M$475:M495)</f>
        <v>92.535483870967738</v>
      </c>
      <c r="O495" s="4">
        <f>SUM($M$384:M495)</f>
        <v>647.33548387096664</v>
      </c>
      <c r="P495" s="323">
        <f t="shared" si="170"/>
        <v>0.71544785565665769</v>
      </c>
      <c r="Q495" s="337">
        <f t="shared" si="171"/>
        <v>0.71544785565665769</v>
      </c>
      <c r="R495" s="337">
        <f t="shared" si="172"/>
        <v>0.68497246275340451</v>
      </c>
      <c r="S495" s="323">
        <f t="shared" si="173"/>
        <v>0.13135776489610143</v>
      </c>
      <c r="T495" s="9">
        <f>Modelling_old[[#This Row],[Target E_Grid MTD
MWh]]/Modelling_old[[#This Row],[DC Capcity]]/(24*CG495)</f>
        <v>0.13135776489610138</v>
      </c>
      <c r="U495" s="338">
        <f>Modelling_old[[#This Row],[Target E_Grid YTD
MWh]]/Modelling_old[[#This Row],[DC Capcity]]/(24*CH495)</f>
        <v>0.16495795409775402</v>
      </c>
      <c r="V495" s="134">
        <v>11.5031</v>
      </c>
      <c r="Y495" s="27">
        <f t="shared" si="187"/>
        <v>45494</v>
      </c>
      <c r="Z495" s="5">
        <f>MONTH(Modelling_new[[#This Row],[Date]])</f>
        <v>7</v>
      </c>
      <c r="AA495" s="25">
        <f>YEAR(Y495)+IF(MONTH(Modelling_new[[#This Row],[Date]])&gt;=4,1,0)</f>
        <v>2025</v>
      </c>
      <c r="AB495" s="3">
        <f t="shared" si="174"/>
        <v>2024</v>
      </c>
      <c r="AC495" s="3" t="s">
        <v>627</v>
      </c>
      <c r="AD495" s="3" t="s">
        <v>627</v>
      </c>
      <c r="AE495" s="102">
        <f>DATE(Modelling_old[[#This Row],[Calendor Year]],Modelling_old[[#This Row],[Start Month]],1)</f>
        <v>45474</v>
      </c>
      <c r="AF495" s="5">
        <f t="shared" si="175"/>
        <v>31</v>
      </c>
      <c r="AG495" s="5">
        <f t="shared" si="176"/>
        <v>7</v>
      </c>
      <c r="AH495" s="4">
        <f>_xlfn.XLOOKUP(Modelling_new[[#This Row],[Month]],$AA$1:$AA$14,$AL$1:$AL$14)/Modelling_new[[#This Row],[Total Days]]</f>
        <v>41.560898063424602</v>
      </c>
      <c r="AI495" s="4">
        <f>SUM($AH$475:AH495)</f>
        <v>872.77885933191646</v>
      </c>
      <c r="AJ495" s="4">
        <f>SUM($AH$384:AH495)</f>
        <v>6762.565904947377</v>
      </c>
      <c r="AK495" s="4">
        <f t="shared" si="177"/>
        <v>4.4064516129032256</v>
      </c>
      <c r="AL495" s="4">
        <f>SUM($AK$475:AK495)</f>
        <v>92.535483870967738</v>
      </c>
      <c r="AM495" s="4">
        <f>SUM($AK$384:AK495)</f>
        <v>647.33548387096664</v>
      </c>
      <c r="AN495" s="323">
        <f t="shared" si="178"/>
        <v>0.81993801579603653</v>
      </c>
      <c r="AO495" s="323">
        <f t="shared" si="179"/>
        <v>0.81993801579603631</v>
      </c>
      <c r="AP495" s="323">
        <f t="shared" si="180"/>
        <v>0.90817010480684146</v>
      </c>
      <c r="AQ495" s="323">
        <f t="shared" si="181"/>
        <v>0.15054238300771317</v>
      </c>
      <c r="AR495" s="323">
        <f>Modelling_new[[#This Row],[Target E_Grid MTD
MWh]]/Modelling_new[[#This Row],[MTD DC Capcity]]/(24*CG495)</f>
        <v>0.13528938171687691</v>
      </c>
      <c r="AS495" s="323">
        <f>Modelling_new[[#This Row],[Target E_Grid YTD
MWh]]/Modelling_new[[#This Row],[YTD DC Capcity]]/(24*CH495)</f>
        <v>0.19654965079018416</v>
      </c>
      <c r="AT495" s="5">
        <v>12.8</v>
      </c>
      <c r="AU495" s="9">
        <f>Modelling_new[[#This Row],[Comisined DC ]]/$AO$1</f>
        <v>1</v>
      </c>
      <c r="AV495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495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495" s="27">
        <f t="shared" si="188"/>
        <v>45494</v>
      </c>
      <c r="BE495" s="5">
        <f>MONTH(Modelling[[#This Row],[Date]])</f>
        <v>7</v>
      </c>
      <c r="BF495" s="25">
        <f>YEAR(BD495)+IF(MONTH(Modelling[[#This Row],[Date]])&gt;=4,1,0)</f>
        <v>2025</v>
      </c>
      <c r="BG495" s="3">
        <f t="shared" si="182"/>
        <v>2024</v>
      </c>
      <c r="BH495" s="3" t="s">
        <v>627</v>
      </c>
      <c r="BI495" s="3" t="s">
        <v>627</v>
      </c>
      <c r="BJ495" s="102">
        <f>DATE(Modelling_old[[#This Row],[Calendor Year]],Modelling_old[[#This Row],[Start Month]],1)</f>
        <v>45474</v>
      </c>
      <c r="BK495" s="5">
        <f t="shared" si="183"/>
        <v>31</v>
      </c>
      <c r="BL495" s="5">
        <f t="shared" si="184"/>
        <v>7</v>
      </c>
      <c r="BM495" s="4">
        <f>Modelling_old[[#This Row],[Target E_Grid daily
MWh]]+Modelling_new[[#This Row],[Target E_Grid daily
MWh]]</f>
        <v>77.825414192456861</v>
      </c>
      <c r="BN495" s="4">
        <f>Modelling_old[[#This Row],[Target E_Grid MTD
MWh]]+Modelling_new[[#This Row],[Target E_Grid MTD
MWh]]</f>
        <v>1634.3336980415938</v>
      </c>
      <c r="BO495" s="4">
        <f>Modelling_old[[#This Row],[Target E_Grid YTD
MWh]]+Modelling_new[[#This Row],[Target E_Grid YTD
MWh]]</f>
        <v>11863.120743657055</v>
      </c>
      <c r="BP495" s="4">
        <f>AVERAGE(Modelling_old[[#This Row],[Target POA Daily (KWh/m2)]],Modelling_new[[#This Row],[Target POA Daily (KWh/m2)]])</f>
        <v>4.4064516129032256</v>
      </c>
      <c r="BQ495" s="4">
        <f>SUM($BP$475:BP495)</f>
        <v>92.535483870967738</v>
      </c>
      <c r="BR495" s="4">
        <f>SUM($BP$384:BP495)</f>
        <v>647.33548387096664</v>
      </c>
      <c r="BS495" s="323">
        <f>BM495/Modelling[[#This Row],[Comisined DC ]]/BP495</f>
        <v>0.72672610563703754</v>
      </c>
      <c r="BT495" s="337">
        <f>BN495/BQ495/Modelling[[#This Row],[Comisined DC ]]</f>
        <v>0.72672610563703743</v>
      </c>
      <c r="BU495" s="337">
        <f>BO495/BR495/Modelling[[#This Row],[Comisined DC ]]</f>
        <v>0.75406340215455081</v>
      </c>
      <c r="BV495" s="323">
        <f>BM495/(24*Modelling[[#This Row],[Comisined DC ]])</f>
        <v>0.13342847584680018</v>
      </c>
      <c r="BW495" s="323">
        <f>Modelling[[#This Row],[Target E_Grid MTD
MWh]]/Modelling[[#This Row],[MTD DC Capcity]]/(24*CG495)</f>
        <v>0.1334284758468002</v>
      </c>
      <c r="BX495" s="338">
        <f>Modelling[[#This Row],[Target E_Grid YTD
MWh]]/Modelling[[#This Row],[YTD DC Capcity]]/(24*CH495)</f>
        <v>0.18159672518716613</v>
      </c>
      <c r="BY495" s="4">
        <f>Modelling_old[[#This Row],[DC Capcity]]+Modelling_new[[#This Row],[Comisined DC ]]</f>
        <v>24.303100000000001</v>
      </c>
      <c r="BZ495" s="4">
        <v>0</v>
      </c>
      <c r="CA495">
        <f>AVERAGEIFS(Modelling[[Comisined DC ]],Modelling[Date],"&lt;="&amp;Modelling[[#This Row],[Date]],Modelling[Month Year],Modelling[[#This Row],[Month Year]])</f>
        <v>24.30309999999999</v>
      </c>
      <c r="CB495">
        <f>AVERAGEIFS(Modelling[[Comisined DC ]],Modelling[Date],"&lt;="&amp;Modelling[[#This Row],[Date]],Modelling[Finacial Year],Modelling[[#This Row],[Finacial Year]])</f>
        <v>24.303100000000047</v>
      </c>
      <c r="CG495">
        <f t="shared" si="185"/>
        <v>21</v>
      </c>
      <c r="CH495">
        <f t="shared" si="186"/>
        <v>112</v>
      </c>
    </row>
    <row r="496" spans="1:86" x14ac:dyDescent="0.35">
      <c r="A496" s="27">
        <f t="shared" si="164"/>
        <v>45495</v>
      </c>
      <c r="B496" s="5">
        <f>MONTH(Modelling_old[[#This Row],[Date]])</f>
        <v>7</v>
      </c>
      <c r="C496" s="25">
        <f t="shared" si="165"/>
        <v>2025</v>
      </c>
      <c r="D496" s="3">
        <f t="shared" si="166"/>
        <v>2024</v>
      </c>
      <c r="E496" s="3" t="s">
        <v>627</v>
      </c>
      <c r="F496" s="3" t="s">
        <v>627</v>
      </c>
      <c r="G496" s="102">
        <f>DATE(Modelling_old[[#This Row],[Calendor Year]],Modelling_old[[#This Row],[Start Month]],1)</f>
        <v>45474</v>
      </c>
      <c r="H496" s="5">
        <f t="shared" si="167"/>
        <v>31</v>
      </c>
      <c r="I496" s="5">
        <f t="shared" si="168"/>
        <v>7</v>
      </c>
      <c r="J496" s="4">
        <f>_xlfn.XLOOKUP(Modelling_old[[#This Row],[Month]],$C$1:$C$14,$N$1:$N$14)/Modelling_old[[#This Row],[Total Days]]</f>
        <v>36.264516129032259</v>
      </c>
      <c r="K496" s="4">
        <f>SUM($J$475:J496)</f>
        <v>797.8193548387095</v>
      </c>
      <c r="L496" s="4">
        <f>SUM($J$384:J496)</f>
        <v>5136.8193548387098</v>
      </c>
      <c r="M496" s="4">
        <f t="shared" si="169"/>
        <v>4.4064516129032256</v>
      </c>
      <c r="N496" s="4">
        <f>SUM($M$475:M496)</f>
        <v>96.941935483870964</v>
      </c>
      <c r="O496" s="4">
        <f>SUM($M$384:M496)</f>
        <v>651.74193548386984</v>
      </c>
      <c r="P496" s="323">
        <f t="shared" si="170"/>
        <v>0.71544785565665769</v>
      </c>
      <c r="Q496" s="337">
        <f t="shared" si="171"/>
        <v>0.71544785565665769</v>
      </c>
      <c r="R496" s="337">
        <f t="shared" si="172"/>
        <v>0.68517850802516178</v>
      </c>
      <c r="S496" s="323">
        <f t="shared" si="173"/>
        <v>0.13135776489610143</v>
      </c>
      <c r="T496" s="9">
        <f>Modelling_old[[#This Row],[Target E_Grid MTD
MWh]]/Modelling_old[[#This Row],[DC Capcity]]/(24*CG496)</f>
        <v>0.13135776489610138</v>
      </c>
      <c r="U496" s="338">
        <f>Modelling_old[[#This Row],[Target E_Grid YTD
MWh]]/Modelling_old[[#This Row],[DC Capcity]]/(24*CH496)</f>
        <v>0.16466060729065973</v>
      </c>
      <c r="V496" s="134">
        <v>11.5031</v>
      </c>
      <c r="Y496" s="27">
        <f t="shared" si="187"/>
        <v>45495</v>
      </c>
      <c r="Z496" s="5">
        <f>MONTH(Modelling_new[[#This Row],[Date]])</f>
        <v>7</v>
      </c>
      <c r="AA496" s="25">
        <f>YEAR(Y496)+IF(MONTH(Modelling_new[[#This Row],[Date]])&gt;=4,1,0)</f>
        <v>2025</v>
      </c>
      <c r="AB496" s="3">
        <f t="shared" si="174"/>
        <v>2024</v>
      </c>
      <c r="AC496" s="3" t="s">
        <v>627</v>
      </c>
      <c r="AD496" s="3" t="s">
        <v>627</v>
      </c>
      <c r="AE496" s="102">
        <f>DATE(Modelling_old[[#This Row],[Calendor Year]],Modelling_old[[#This Row],[Start Month]],1)</f>
        <v>45474</v>
      </c>
      <c r="AF496" s="5">
        <f t="shared" si="175"/>
        <v>31</v>
      </c>
      <c r="AG496" s="5">
        <f t="shared" si="176"/>
        <v>7</v>
      </c>
      <c r="AH496" s="4">
        <f>_xlfn.XLOOKUP(Modelling_new[[#This Row],[Month]],$AA$1:$AA$14,$AL$1:$AL$14)/Modelling_new[[#This Row],[Total Days]]</f>
        <v>41.560898063424602</v>
      </c>
      <c r="AI496" s="4">
        <f>SUM($AH$475:AH496)</f>
        <v>914.33975739534105</v>
      </c>
      <c r="AJ496" s="4">
        <f>SUM($AH$384:AH496)</f>
        <v>6804.1268030108013</v>
      </c>
      <c r="AK496" s="4">
        <f t="shared" si="177"/>
        <v>4.4064516129032256</v>
      </c>
      <c r="AL496" s="4">
        <f>SUM($AK$475:AK496)</f>
        <v>96.941935483870964</v>
      </c>
      <c r="AM496" s="4">
        <f>SUM($AK$384:AK496)</f>
        <v>651.74193548386984</v>
      </c>
      <c r="AN496" s="323">
        <f t="shared" si="178"/>
        <v>0.81993801579603653</v>
      </c>
      <c r="AO496" s="323">
        <f t="shared" si="179"/>
        <v>0.81993801579603631</v>
      </c>
      <c r="AP496" s="323">
        <f t="shared" si="180"/>
        <v>0.90757356435154168</v>
      </c>
      <c r="AQ496" s="323">
        <f t="shared" si="181"/>
        <v>0.15054238300771317</v>
      </c>
      <c r="AR496" s="323">
        <f>Modelling_new[[#This Row],[Target E_Grid MTD
MWh]]/Modelling_new[[#This Row],[MTD DC Capcity]]/(24*CG496)</f>
        <v>0.13528938171687688</v>
      </c>
      <c r="AS496" s="323">
        <f>Modelling_new[[#This Row],[Target E_Grid YTD
MWh]]/Modelling_new[[#This Row],[YTD DC Capcity]]/(24*CH496)</f>
        <v>0.19600752451519909</v>
      </c>
      <c r="AT496" s="5">
        <v>12.8</v>
      </c>
      <c r="AU496" s="9">
        <f>Modelling_new[[#This Row],[Comisined DC ]]/$AO$1</f>
        <v>1</v>
      </c>
      <c r="AV49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96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496" s="27">
        <f t="shared" si="188"/>
        <v>45495</v>
      </c>
      <c r="BE496" s="5">
        <f>MONTH(Modelling[[#This Row],[Date]])</f>
        <v>7</v>
      </c>
      <c r="BF496" s="25">
        <f>YEAR(BD496)+IF(MONTH(Modelling[[#This Row],[Date]])&gt;=4,1,0)</f>
        <v>2025</v>
      </c>
      <c r="BG496" s="3">
        <f t="shared" si="182"/>
        <v>2024</v>
      </c>
      <c r="BH496" s="3" t="s">
        <v>627</v>
      </c>
      <c r="BI496" s="3" t="s">
        <v>627</v>
      </c>
      <c r="BJ496" s="102">
        <f>DATE(Modelling_old[[#This Row],[Calendor Year]],Modelling_old[[#This Row],[Start Month]],1)</f>
        <v>45474</v>
      </c>
      <c r="BK496" s="5">
        <f t="shared" si="183"/>
        <v>31</v>
      </c>
      <c r="BL496" s="5">
        <f t="shared" si="184"/>
        <v>7</v>
      </c>
      <c r="BM496" s="4">
        <f>Modelling_old[[#This Row],[Target E_Grid daily
MWh]]+Modelling_new[[#This Row],[Target E_Grid daily
MWh]]</f>
        <v>77.825414192456861</v>
      </c>
      <c r="BN496" s="4">
        <f>Modelling_old[[#This Row],[Target E_Grid MTD
MWh]]+Modelling_new[[#This Row],[Target E_Grid MTD
MWh]]</f>
        <v>1712.1591122340506</v>
      </c>
      <c r="BO496" s="4">
        <f>Modelling_old[[#This Row],[Target E_Grid YTD
MWh]]+Modelling_new[[#This Row],[Target E_Grid YTD
MWh]]</f>
        <v>11940.94615784951</v>
      </c>
      <c r="BP496" s="4">
        <f>AVERAGE(Modelling_old[[#This Row],[Target POA Daily (KWh/m2)]],Modelling_new[[#This Row],[Target POA Daily (KWh/m2)]])</f>
        <v>4.4064516129032256</v>
      </c>
      <c r="BQ496" s="4">
        <f>SUM($BP$475:BP496)</f>
        <v>96.941935483870964</v>
      </c>
      <c r="BR496" s="4">
        <f>SUM($BP$384:BP496)</f>
        <v>651.74193548386984</v>
      </c>
      <c r="BS496" s="323">
        <f>BM496/Modelling[[#This Row],[Comisined DC ]]/BP496</f>
        <v>0.72672610563703754</v>
      </c>
      <c r="BT496" s="337">
        <f>BN496/BQ496/Modelling[[#This Row],[Comisined DC ]]</f>
        <v>0.72672610563703743</v>
      </c>
      <c r="BU496" s="337">
        <f>BO496/BR496/Modelling[[#This Row],[Comisined DC ]]</f>
        <v>0.75387857366987976</v>
      </c>
      <c r="BV496" s="323">
        <f>BM496/(24*Modelling[[#This Row],[Comisined DC ]])</f>
        <v>0.13342847584680018</v>
      </c>
      <c r="BW496" s="323">
        <f>Modelling[[#This Row],[Target E_Grid MTD
MWh]]/Modelling[[#This Row],[MTD DC Capcity]]/(24*CG496)</f>
        <v>0.1334284758468002</v>
      </c>
      <c r="BX496" s="338">
        <f>Modelling[[#This Row],[Target E_Grid YTD
MWh]]/Modelling[[#This Row],[YTD DC Capcity]]/(24*CH496)</f>
        <v>0.18117045749388855</v>
      </c>
      <c r="BY496" s="4">
        <f>Modelling_old[[#This Row],[DC Capcity]]+Modelling_new[[#This Row],[Comisined DC ]]</f>
        <v>24.303100000000001</v>
      </c>
      <c r="BZ496" s="4">
        <v>0</v>
      </c>
      <c r="CA496">
        <f>AVERAGEIFS(Modelling[[Comisined DC ]],Modelling[Date],"&lt;="&amp;Modelling[[#This Row],[Date]],Modelling[Month Year],Modelling[[#This Row],[Month Year]])</f>
        <v>24.303099999999986</v>
      </c>
      <c r="CB496">
        <f>AVERAGEIFS(Modelling[[Comisined DC ]],Modelling[Date],"&lt;="&amp;Modelling[[#This Row],[Date]],Modelling[Finacial Year],Modelling[[#This Row],[Finacial Year]])</f>
        <v>24.303100000000047</v>
      </c>
      <c r="CG496">
        <f t="shared" si="185"/>
        <v>22</v>
      </c>
      <c r="CH496">
        <f t="shared" si="186"/>
        <v>113</v>
      </c>
    </row>
    <row r="497" spans="1:86" x14ac:dyDescent="0.35">
      <c r="A497" s="27">
        <f t="shared" si="164"/>
        <v>45496</v>
      </c>
      <c r="B497" s="5">
        <f>MONTH(Modelling_old[[#This Row],[Date]])</f>
        <v>7</v>
      </c>
      <c r="C497" s="25">
        <f t="shared" si="165"/>
        <v>2025</v>
      </c>
      <c r="D497" s="3">
        <f t="shared" si="166"/>
        <v>2024</v>
      </c>
      <c r="E497" s="3" t="s">
        <v>627</v>
      </c>
      <c r="F497" s="3" t="s">
        <v>627</v>
      </c>
      <c r="G497" s="102">
        <f>DATE(Modelling_old[[#This Row],[Calendor Year]],Modelling_old[[#This Row],[Start Month]],1)</f>
        <v>45474</v>
      </c>
      <c r="H497" s="5">
        <f t="shared" si="167"/>
        <v>31</v>
      </c>
      <c r="I497" s="5">
        <f t="shared" si="168"/>
        <v>7</v>
      </c>
      <c r="J497" s="4">
        <f>_xlfn.XLOOKUP(Modelling_old[[#This Row],[Month]],$C$1:$C$14,$N$1:$N$14)/Modelling_old[[#This Row],[Total Days]]</f>
        <v>36.264516129032259</v>
      </c>
      <c r="K497" s="4">
        <f>SUM($J$475:J497)</f>
        <v>834.08387096774175</v>
      </c>
      <c r="L497" s="4">
        <f>SUM($J$384:J497)</f>
        <v>5173.0838709677419</v>
      </c>
      <c r="M497" s="4">
        <f t="shared" si="169"/>
        <v>4.4064516129032256</v>
      </c>
      <c r="N497" s="4">
        <f>SUM($M$475:M497)</f>
        <v>101.34838709677419</v>
      </c>
      <c r="O497" s="4">
        <f>SUM($M$384:M497)</f>
        <v>656.14838709677304</v>
      </c>
      <c r="P497" s="323">
        <f t="shared" si="170"/>
        <v>0.71544785565665769</v>
      </c>
      <c r="Q497" s="337">
        <f t="shared" si="171"/>
        <v>0.71544785565665758</v>
      </c>
      <c r="R497" s="337">
        <f t="shared" si="172"/>
        <v>0.68538178584815934</v>
      </c>
      <c r="S497" s="323">
        <f t="shared" si="173"/>
        <v>0.13135776489610143</v>
      </c>
      <c r="T497" s="9">
        <f>Modelling_old[[#This Row],[Target E_Grid MTD
MWh]]/Modelling_old[[#This Row],[DC Capcity]]/(24*CG497)</f>
        <v>0.13135776489610138</v>
      </c>
      <c r="U497" s="338">
        <f>Modelling_old[[#This Row],[Target E_Grid YTD
MWh]]/Modelling_old[[#This Row],[DC Capcity]]/(24*CH497)</f>
        <v>0.16436847709421623</v>
      </c>
      <c r="V497" s="134">
        <v>11.5031</v>
      </c>
      <c r="Y497" s="27">
        <f t="shared" si="187"/>
        <v>45496</v>
      </c>
      <c r="Z497" s="5">
        <f>MONTH(Modelling_new[[#This Row],[Date]])</f>
        <v>7</v>
      </c>
      <c r="AA497" s="25">
        <f>YEAR(Y497)+IF(MONTH(Modelling_new[[#This Row],[Date]])&gt;=4,1,0)</f>
        <v>2025</v>
      </c>
      <c r="AB497" s="3">
        <f t="shared" si="174"/>
        <v>2024</v>
      </c>
      <c r="AC497" s="3" t="s">
        <v>627</v>
      </c>
      <c r="AD497" s="3" t="s">
        <v>627</v>
      </c>
      <c r="AE497" s="102">
        <f>DATE(Modelling_old[[#This Row],[Calendor Year]],Modelling_old[[#This Row],[Start Month]],1)</f>
        <v>45474</v>
      </c>
      <c r="AF497" s="5">
        <f t="shared" si="175"/>
        <v>31</v>
      </c>
      <c r="AG497" s="5">
        <f t="shared" si="176"/>
        <v>7</v>
      </c>
      <c r="AH497" s="4">
        <f>_xlfn.XLOOKUP(Modelling_new[[#This Row],[Month]],$AA$1:$AA$14,$AL$1:$AL$14)/Modelling_new[[#This Row],[Total Days]]</f>
        <v>41.560898063424602</v>
      </c>
      <c r="AI497" s="4">
        <f>SUM($AH$475:AH497)</f>
        <v>955.90065545876564</v>
      </c>
      <c r="AJ497" s="4">
        <f>SUM($AH$384:AH497)</f>
        <v>6845.6877010742255</v>
      </c>
      <c r="AK497" s="4">
        <f t="shared" si="177"/>
        <v>4.4064516129032256</v>
      </c>
      <c r="AL497" s="4">
        <f>SUM($AK$475:AK497)</f>
        <v>101.34838709677419</v>
      </c>
      <c r="AM497" s="4">
        <f>SUM($AK$384:AK497)</f>
        <v>656.14838709677304</v>
      </c>
      <c r="AN497" s="323">
        <f t="shared" si="178"/>
        <v>0.81993801579603653</v>
      </c>
      <c r="AO497" s="323">
        <f t="shared" si="179"/>
        <v>0.81993801579603631</v>
      </c>
      <c r="AP497" s="323">
        <f t="shared" si="180"/>
        <v>0.9069850361895071</v>
      </c>
      <c r="AQ497" s="323">
        <f t="shared" si="181"/>
        <v>0.15054238300771317</v>
      </c>
      <c r="AR497" s="323">
        <f>Modelling_new[[#This Row],[Target E_Grid MTD
MWh]]/Modelling_new[[#This Row],[MTD DC Capcity]]/(24*CG497)</f>
        <v>0.13528938171687688</v>
      </c>
      <c r="AS497" s="323">
        <f>Modelling_new[[#This Row],[Target E_Grid YTD
MWh]]/Modelling_new[[#This Row],[YTD DC Capcity]]/(24*CH497)</f>
        <v>0.19547490922749453</v>
      </c>
      <c r="AT497" s="5">
        <v>12.8</v>
      </c>
      <c r="AU497" s="9">
        <f>Modelling_new[[#This Row],[Comisined DC ]]/$AO$1</f>
        <v>1</v>
      </c>
      <c r="AV497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97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497" s="27">
        <f t="shared" si="188"/>
        <v>45496</v>
      </c>
      <c r="BE497" s="5">
        <f>MONTH(Modelling[[#This Row],[Date]])</f>
        <v>7</v>
      </c>
      <c r="BF497" s="25">
        <f>YEAR(BD497)+IF(MONTH(Modelling[[#This Row],[Date]])&gt;=4,1,0)</f>
        <v>2025</v>
      </c>
      <c r="BG497" s="3">
        <f t="shared" si="182"/>
        <v>2024</v>
      </c>
      <c r="BH497" s="3" t="s">
        <v>627</v>
      </c>
      <c r="BI497" s="3" t="s">
        <v>627</v>
      </c>
      <c r="BJ497" s="102">
        <f>DATE(Modelling_old[[#This Row],[Calendor Year]],Modelling_old[[#This Row],[Start Month]],1)</f>
        <v>45474</v>
      </c>
      <c r="BK497" s="5">
        <f t="shared" si="183"/>
        <v>31</v>
      </c>
      <c r="BL497" s="5">
        <f t="shared" si="184"/>
        <v>7</v>
      </c>
      <c r="BM497" s="4">
        <f>Modelling_old[[#This Row],[Target E_Grid daily
MWh]]+Modelling_new[[#This Row],[Target E_Grid daily
MWh]]</f>
        <v>77.825414192456861</v>
      </c>
      <c r="BN497" s="4">
        <f>Modelling_old[[#This Row],[Target E_Grid MTD
MWh]]+Modelling_new[[#This Row],[Target E_Grid MTD
MWh]]</f>
        <v>1789.9845264265073</v>
      </c>
      <c r="BO497" s="4">
        <f>Modelling_old[[#This Row],[Target E_Grid YTD
MWh]]+Modelling_new[[#This Row],[Target E_Grid YTD
MWh]]</f>
        <v>12018.771572041967</v>
      </c>
      <c r="BP497" s="4">
        <f>AVERAGE(Modelling_old[[#This Row],[Target POA Daily (KWh/m2)]],Modelling_new[[#This Row],[Target POA Daily (KWh/m2)]])</f>
        <v>4.4064516129032256</v>
      </c>
      <c r="BQ497" s="4">
        <f>SUM($BP$475:BP497)</f>
        <v>101.34838709677419</v>
      </c>
      <c r="BR497" s="4">
        <f>SUM($BP$384:BP497)</f>
        <v>656.14838709677304</v>
      </c>
      <c r="BS497" s="323">
        <f>BM497/Modelling[[#This Row],[Comisined DC ]]/BP497</f>
        <v>0.72672610563703754</v>
      </c>
      <c r="BT497" s="337">
        <f>BN497/BQ497/Modelling[[#This Row],[Comisined DC ]]</f>
        <v>0.72672610563703721</v>
      </c>
      <c r="BU497" s="337">
        <f>BO497/BR497/Modelling[[#This Row],[Comisined DC ]]</f>
        <v>0.75369622766566735</v>
      </c>
      <c r="BV497" s="323">
        <f>BM497/(24*Modelling[[#This Row],[Comisined DC ]])</f>
        <v>0.13342847584680018</v>
      </c>
      <c r="BW497" s="323">
        <f>Modelling[[#This Row],[Target E_Grid MTD
MWh]]/Modelling[[#This Row],[MTD DC Capcity]]/(24*CG497)</f>
        <v>0.1334284758468002</v>
      </c>
      <c r="BX497" s="338">
        <f>Modelling[[#This Row],[Target E_Grid YTD
MWh]]/Modelling[[#This Row],[YTD DC Capcity]]/(24*CH497)</f>
        <v>0.18075166818119479</v>
      </c>
      <c r="BY497" s="4">
        <f>Modelling_old[[#This Row],[DC Capcity]]+Modelling_new[[#This Row],[Comisined DC ]]</f>
        <v>24.303100000000001</v>
      </c>
      <c r="BZ497" s="4">
        <v>0</v>
      </c>
      <c r="CA497">
        <f>AVERAGEIFS(Modelling[[Comisined DC ]],Modelling[Date],"&lt;="&amp;Modelling[[#This Row],[Date]],Modelling[Month Year],Modelling[[#This Row],[Month Year]])</f>
        <v>24.303099999999986</v>
      </c>
      <c r="CB497">
        <f>AVERAGEIFS(Modelling[[Comisined DC ]],Modelling[Date],"&lt;="&amp;Modelling[[#This Row],[Date]],Modelling[Finacial Year],Modelling[[#This Row],[Finacial Year]])</f>
        <v>24.303100000000047</v>
      </c>
      <c r="CG497">
        <f t="shared" si="185"/>
        <v>23</v>
      </c>
      <c r="CH497">
        <f t="shared" si="186"/>
        <v>114</v>
      </c>
    </row>
    <row r="498" spans="1:86" x14ac:dyDescent="0.35">
      <c r="A498" s="27">
        <f t="shared" si="164"/>
        <v>45497</v>
      </c>
      <c r="B498" s="5">
        <f>MONTH(Modelling_old[[#This Row],[Date]])</f>
        <v>7</v>
      </c>
      <c r="C498" s="25">
        <f t="shared" si="165"/>
        <v>2025</v>
      </c>
      <c r="D498" s="3">
        <f t="shared" si="166"/>
        <v>2024</v>
      </c>
      <c r="E498" s="3" t="s">
        <v>627</v>
      </c>
      <c r="F498" s="3" t="s">
        <v>627</v>
      </c>
      <c r="G498" s="102">
        <f>DATE(Modelling_old[[#This Row],[Calendor Year]],Modelling_old[[#This Row],[Start Month]],1)</f>
        <v>45474</v>
      </c>
      <c r="H498" s="5">
        <f t="shared" si="167"/>
        <v>31</v>
      </c>
      <c r="I498" s="5">
        <f t="shared" si="168"/>
        <v>7</v>
      </c>
      <c r="J498" s="4">
        <f>_xlfn.XLOOKUP(Modelling_old[[#This Row],[Month]],$C$1:$C$14,$N$1:$N$14)/Modelling_old[[#This Row],[Total Days]]</f>
        <v>36.264516129032259</v>
      </c>
      <c r="K498" s="4">
        <f>SUM($J$475:J498)</f>
        <v>870.34838709677399</v>
      </c>
      <c r="L498" s="4">
        <f>SUM($J$384:J498)</f>
        <v>5209.3483870967739</v>
      </c>
      <c r="M498" s="4">
        <f t="shared" si="169"/>
        <v>4.4064516129032256</v>
      </c>
      <c r="N498" s="4">
        <f>SUM($M$475:M498)</f>
        <v>105.75483870967741</v>
      </c>
      <c r="O498" s="4">
        <f>SUM($M$384:M498)</f>
        <v>660.55483870967623</v>
      </c>
      <c r="P498" s="323">
        <f t="shared" si="170"/>
        <v>0.71544785565665769</v>
      </c>
      <c r="Q498" s="337">
        <f t="shared" si="171"/>
        <v>0.71544785565665758</v>
      </c>
      <c r="R498" s="337">
        <f t="shared" si="172"/>
        <v>0.68558235160597003</v>
      </c>
      <c r="S498" s="323">
        <f t="shared" si="173"/>
        <v>0.13135776489610143</v>
      </c>
      <c r="T498" s="9">
        <f>Modelling_old[[#This Row],[Target E_Grid MTD
MWh]]/Modelling_old[[#This Row],[DC Capcity]]/(24*CG498)</f>
        <v>0.13135776489610138</v>
      </c>
      <c r="U498" s="338">
        <f>Modelling_old[[#This Row],[Target E_Grid YTD
MWh]]/Modelling_old[[#This Row],[DC Capcity]]/(24*CH498)</f>
        <v>0.16408142742292828</v>
      </c>
      <c r="V498" s="134">
        <v>11.5031</v>
      </c>
      <c r="Y498" s="27">
        <f t="shared" si="187"/>
        <v>45497</v>
      </c>
      <c r="Z498" s="5">
        <f>MONTH(Modelling_new[[#This Row],[Date]])</f>
        <v>7</v>
      </c>
      <c r="AA498" s="25">
        <f>YEAR(Y498)+IF(MONTH(Modelling_new[[#This Row],[Date]])&gt;=4,1,0)</f>
        <v>2025</v>
      </c>
      <c r="AB498" s="3">
        <f t="shared" si="174"/>
        <v>2024</v>
      </c>
      <c r="AC498" s="3" t="s">
        <v>627</v>
      </c>
      <c r="AD498" s="3" t="s">
        <v>627</v>
      </c>
      <c r="AE498" s="102">
        <f>DATE(Modelling_old[[#This Row],[Calendor Year]],Modelling_old[[#This Row],[Start Month]],1)</f>
        <v>45474</v>
      </c>
      <c r="AF498" s="5">
        <f t="shared" si="175"/>
        <v>31</v>
      </c>
      <c r="AG498" s="5">
        <f t="shared" si="176"/>
        <v>7</v>
      </c>
      <c r="AH498" s="4">
        <f>_xlfn.XLOOKUP(Modelling_new[[#This Row],[Month]],$AA$1:$AA$14,$AL$1:$AL$14)/Modelling_new[[#This Row],[Total Days]]</f>
        <v>41.560898063424602</v>
      </c>
      <c r="AI498" s="4">
        <f>SUM($AH$475:AH498)</f>
        <v>997.46155352219023</v>
      </c>
      <c r="AJ498" s="4">
        <f>SUM($AH$384:AH498)</f>
        <v>6887.2485991376498</v>
      </c>
      <c r="AK498" s="4">
        <f t="shared" si="177"/>
        <v>4.4064516129032256</v>
      </c>
      <c r="AL498" s="4">
        <f>SUM($AK$475:AK498)</f>
        <v>105.75483870967741</v>
      </c>
      <c r="AM498" s="4">
        <f>SUM($AK$384:AK498)</f>
        <v>660.55483870967623</v>
      </c>
      <c r="AN498" s="323">
        <f t="shared" si="178"/>
        <v>0.81993801579603653</v>
      </c>
      <c r="AO498" s="323">
        <f t="shared" si="179"/>
        <v>0.81993801579603631</v>
      </c>
      <c r="AP498" s="323">
        <f t="shared" si="180"/>
        <v>0.90640435997470481</v>
      </c>
      <c r="AQ498" s="323">
        <f t="shared" si="181"/>
        <v>0.15054238300771317</v>
      </c>
      <c r="AR498" s="323">
        <f>Modelling_new[[#This Row],[Target E_Grid MTD
MWh]]/Modelling_new[[#This Row],[MTD DC Capcity]]/(24*CG498)</f>
        <v>0.13528938171687688</v>
      </c>
      <c r="AS498" s="323">
        <f>Modelling_new[[#This Row],[Target E_Grid YTD
MWh]]/Modelling_new[[#This Row],[YTD DC Capcity]]/(24*CH498)</f>
        <v>0.19495155681435869</v>
      </c>
      <c r="AT498" s="5">
        <v>12.8</v>
      </c>
      <c r="AU498" s="9">
        <f>Modelling_new[[#This Row],[Comisined DC ]]/$AO$1</f>
        <v>1</v>
      </c>
      <c r="AV498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98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498" s="27">
        <f t="shared" si="188"/>
        <v>45497</v>
      </c>
      <c r="BE498" s="5">
        <f>MONTH(Modelling[[#This Row],[Date]])</f>
        <v>7</v>
      </c>
      <c r="BF498" s="25">
        <f>YEAR(BD498)+IF(MONTH(Modelling[[#This Row],[Date]])&gt;=4,1,0)</f>
        <v>2025</v>
      </c>
      <c r="BG498" s="3">
        <f t="shared" si="182"/>
        <v>2024</v>
      </c>
      <c r="BH498" s="3" t="s">
        <v>627</v>
      </c>
      <c r="BI498" s="3" t="s">
        <v>627</v>
      </c>
      <c r="BJ498" s="102">
        <f>DATE(Modelling_old[[#This Row],[Calendor Year]],Modelling_old[[#This Row],[Start Month]],1)</f>
        <v>45474</v>
      </c>
      <c r="BK498" s="5">
        <f t="shared" si="183"/>
        <v>31</v>
      </c>
      <c r="BL498" s="5">
        <f t="shared" si="184"/>
        <v>7</v>
      </c>
      <c r="BM498" s="4">
        <f>Modelling_old[[#This Row],[Target E_Grid daily
MWh]]+Modelling_new[[#This Row],[Target E_Grid daily
MWh]]</f>
        <v>77.825414192456861</v>
      </c>
      <c r="BN498" s="4">
        <f>Modelling_old[[#This Row],[Target E_Grid MTD
MWh]]+Modelling_new[[#This Row],[Target E_Grid MTD
MWh]]</f>
        <v>1867.8099406189642</v>
      </c>
      <c r="BO498" s="4">
        <f>Modelling_old[[#This Row],[Target E_Grid YTD
MWh]]+Modelling_new[[#This Row],[Target E_Grid YTD
MWh]]</f>
        <v>12096.596986234425</v>
      </c>
      <c r="BP498" s="4">
        <f>AVERAGE(Modelling_old[[#This Row],[Target POA Daily (KWh/m2)]],Modelling_new[[#This Row],[Target POA Daily (KWh/m2)]])</f>
        <v>4.4064516129032256</v>
      </c>
      <c r="BQ498" s="4">
        <f>SUM($BP$475:BP498)</f>
        <v>105.75483870967741</v>
      </c>
      <c r="BR498" s="4">
        <f>SUM($BP$384:BP498)</f>
        <v>660.55483870967623</v>
      </c>
      <c r="BS498" s="323">
        <f>BM498/Modelling[[#This Row],[Comisined DC ]]/BP498</f>
        <v>0.72672610563703754</v>
      </c>
      <c r="BT498" s="337">
        <f>BN498/BQ498/Modelling[[#This Row],[Comisined DC ]]</f>
        <v>0.72672610563703743</v>
      </c>
      <c r="BU498" s="337">
        <f>BO498/BR498/Modelling[[#This Row],[Comisined DC ]]</f>
        <v>0.75351631446126888</v>
      </c>
      <c r="BV498" s="323">
        <f>BM498/(24*Modelling[[#This Row],[Comisined DC ]])</f>
        <v>0.13342847584680018</v>
      </c>
      <c r="BW498" s="323">
        <f>Modelling[[#This Row],[Target E_Grid MTD
MWh]]/Modelling[[#This Row],[MTD DC Capcity]]/(24*CG498)</f>
        <v>0.1334284758468002</v>
      </c>
      <c r="BX498" s="338">
        <f>Modelling[[#This Row],[Target E_Grid YTD
MWh]]/Modelling[[#This Row],[YTD DC Capcity]]/(24*CH498)</f>
        <v>0.18034016216089568</v>
      </c>
      <c r="BY498" s="4">
        <f>Modelling_old[[#This Row],[DC Capcity]]+Modelling_new[[#This Row],[Comisined DC ]]</f>
        <v>24.303100000000001</v>
      </c>
      <c r="BZ498" s="4">
        <v>0</v>
      </c>
      <c r="CA498">
        <f>AVERAGEIFS(Modelling[[Comisined DC ]],Modelling[Date],"&lt;="&amp;Modelling[[#This Row],[Date]],Modelling[Month Year],Modelling[[#This Row],[Month Year]])</f>
        <v>24.303099999999986</v>
      </c>
      <c r="CB498">
        <f>AVERAGEIFS(Modelling[[Comisined DC ]],Modelling[Date],"&lt;="&amp;Modelling[[#This Row],[Date]],Modelling[Finacial Year],Modelling[[#This Row],[Finacial Year]])</f>
        <v>24.303100000000047</v>
      </c>
      <c r="CG498">
        <f t="shared" si="185"/>
        <v>24</v>
      </c>
      <c r="CH498">
        <f t="shared" si="186"/>
        <v>115</v>
      </c>
    </row>
    <row r="499" spans="1:86" x14ac:dyDescent="0.35">
      <c r="A499" s="27">
        <f t="shared" si="164"/>
        <v>45498</v>
      </c>
      <c r="B499" s="5">
        <f>MONTH(Modelling_old[[#This Row],[Date]])</f>
        <v>7</v>
      </c>
      <c r="C499" s="25">
        <f t="shared" si="165"/>
        <v>2025</v>
      </c>
      <c r="D499" s="3">
        <f t="shared" si="166"/>
        <v>2024</v>
      </c>
      <c r="E499" s="3" t="s">
        <v>627</v>
      </c>
      <c r="F499" s="3" t="s">
        <v>627</v>
      </c>
      <c r="G499" s="102">
        <f>DATE(Modelling_old[[#This Row],[Calendor Year]],Modelling_old[[#This Row],[Start Month]],1)</f>
        <v>45474</v>
      </c>
      <c r="H499" s="5">
        <f t="shared" si="167"/>
        <v>31</v>
      </c>
      <c r="I499" s="5">
        <f t="shared" si="168"/>
        <v>7</v>
      </c>
      <c r="J499" s="4">
        <f>_xlfn.XLOOKUP(Modelling_old[[#This Row],[Month]],$C$1:$C$14,$N$1:$N$14)/Modelling_old[[#This Row],[Total Days]]</f>
        <v>36.264516129032259</v>
      </c>
      <c r="K499" s="4">
        <f>SUM($J$475:J499)</f>
        <v>906.61290322580624</v>
      </c>
      <c r="L499" s="4">
        <f>SUM($J$384:J499)</f>
        <v>5245.6129032258059</v>
      </c>
      <c r="M499" s="4">
        <f t="shared" si="169"/>
        <v>4.4064516129032256</v>
      </c>
      <c r="N499" s="4">
        <f>SUM($M$475:M499)</f>
        <v>110.16129032258064</v>
      </c>
      <c r="O499" s="4">
        <f>SUM($M$384:M499)</f>
        <v>664.96129032257943</v>
      </c>
      <c r="P499" s="323">
        <f t="shared" si="170"/>
        <v>0.71544785565665769</v>
      </c>
      <c r="Q499" s="337">
        <f t="shared" si="171"/>
        <v>0.71544785565665758</v>
      </c>
      <c r="R499" s="337">
        <f t="shared" si="172"/>
        <v>0.68578025921414132</v>
      </c>
      <c r="S499" s="323">
        <f t="shared" si="173"/>
        <v>0.13135776489610143</v>
      </c>
      <c r="T499" s="9">
        <f>Modelling_old[[#This Row],[Target E_Grid MTD
MWh]]/Modelling_old[[#This Row],[DC Capcity]]/(24*CG499)</f>
        <v>0.13135776489610138</v>
      </c>
      <c r="U499" s="338">
        <f>Modelling_old[[#This Row],[Target E_Grid YTD
MWh]]/Modelling_old[[#This Row],[DC Capcity]]/(24*CH499)</f>
        <v>0.16379932688390389</v>
      </c>
      <c r="V499" s="134">
        <v>11.5031</v>
      </c>
      <c r="Y499" s="27">
        <f t="shared" si="187"/>
        <v>45498</v>
      </c>
      <c r="Z499" s="5">
        <f>MONTH(Modelling_new[[#This Row],[Date]])</f>
        <v>7</v>
      </c>
      <c r="AA499" s="25">
        <f>YEAR(Y499)+IF(MONTH(Modelling_new[[#This Row],[Date]])&gt;=4,1,0)</f>
        <v>2025</v>
      </c>
      <c r="AB499" s="3">
        <f t="shared" si="174"/>
        <v>2024</v>
      </c>
      <c r="AC499" s="3" t="s">
        <v>627</v>
      </c>
      <c r="AD499" s="3" t="s">
        <v>627</v>
      </c>
      <c r="AE499" s="102">
        <f>DATE(Modelling_old[[#This Row],[Calendor Year]],Modelling_old[[#This Row],[Start Month]],1)</f>
        <v>45474</v>
      </c>
      <c r="AF499" s="5">
        <f t="shared" si="175"/>
        <v>31</v>
      </c>
      <c r="AG499" s="5">
        <f t="shared" si="176"/>
        <v>7</v>
      </c>
      <c r="AH499" s="4">
        <f>_xlfn.XLOOKUP(Modelling_new[[#This Row],[Month]],$AA$1:$AA$14,$AL$1:$AL$14)/Modelling_new[[#This Row],[Total Days]]</f>
        <v>41.560898063424602</v>
      </c>
      <c r="AI499" s="4">
        <f>SUM($AH$475:AH499)</f>
        <v>1039.0224515856148</v>
      </c>
      <c r="AJ499" s="4">
        <f>SUM($AH$384:AH499)</f>
        <v>6928.809497201074</v>
      </c>
      <c r="AK499" s="4">
        <f t="shared" si="177"/>
        <v>4.4064516129032256</v>
      </c>
      <c r="AL499" s="4">
        <f>SUM($AK$475:AK499)</f>
        <v>110.16129032258064</v>
      </c>
      <c r="AM499" s="4">
        <f>SUM($AK$384:AK499)</f>
        <v>664.96129032257943</v>
      </c>
      <c r="AN499" s="323">
        <f t="shared" si="178"/>
        <v>0.81993801579603653</v>
      </c>
      <c r="AO499" s="323">
        <f t="shared" si="179"/>
        <v>0.81993801579603631</v>
      </c>
      <c r="AP499" s="323">
        <f t="shared" si="180"/>
        <v>0.90583137961131688</v>
      </c>
      <c r="AQ499" s="323">
        <f t="shared" si="181"/>
        <v>0.15054238300771317</v>
      </c>
      <c r="AR499" s="323">
        <f>Modelling_new[[#This Row],[Target E_Grid MTD
MWh]]/Modelling_new[[#This Row],[MTD DC Capcity]]/(24*CG499)</f>
        <v>0.13528938171687691</v>
      </c>
      <c r="AS499" s="323">
        <f>Modelling_new[[#This Row],[Target E_Grid YTD
MWh]]/Modelling_new[[#This Row],[YTD DC Capcity]]/(24*CH499)</f>
        <v>0.19443722771869076</v>
      </c>
      <c r="AT499" s="5">
        <v>12.8</v>
      </c>
      <c r="AU499" s="9">
        <f>Modelling_new[[#This Row],[Comisined DC ]]/$AO$1</f>
        <v>1</v>
      </c>
      <c r="AV49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499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499" s="27">
        <f t="shared" si="188"/>
        <v>45498</v>
      </c>
      <c r="BE499" s="5">
        <f>MONTH(Modelling[[#This Row],[Date]])</f>
        <v>7</v>
      </c>
      <c r="BF499" s="25">
        <f>YEAR(BD499)+IF(MONTH(Modelling[[#This Row],[Date]])&gt;=4,1,0)</f>
        <v>2025</v>
      </c>
      <c r="BG499" s="3">
        <f t="shared" si="182"/>
        <v>2024</v>
      </c>
      <c r="BH499" s="3" t="s">
        <v>627</v>
      </c>
      <c r="BI499" s="3" t="s">
        <v>627</v>
      </c>
      <c r="BJ499" s="102">
        <f>DATE(Modelling_old[[#This Row],[Calendor Year]],Modelling_old[[#This Row],[Start Month]],1)</f>
        <v>45474</v>
      </c>
      <c r="BK499" s="5">
        <f t="shared" si="183"/>
        <v>31</v>
      </c>
      <c r="BL499" s="5">
        <f t="shared" si="184"/>
        <v>7</v>
      </c>
      <c r="BM499" s="4">
        <f>Modelling_old[[#This Row],[Target E_Grid daily
MWh]]+Modelling_new[[#This Row],[Target E_Grid daily
MWh]]</f>
        <v>77.825414192456861</v>
      </c>
      <c r="BN499" s="4">
        <f>Modelling_old[[#This Row],[Target E_Grid MTD
MWh]]+Modelling_new[[#This Row],[Target E_Grid MTD
MWh]]</f>
        <v>1945.6353548114212</v>
      </c>
      <c r="BO499" s="4">
        <f>Modelling_old[[#This Row],[Target E_Grid YTD
MWh]]+Modelling_new[[#This Row],[Target E_Grid YTD
MWh]]</f>
        <v>12174.42240042688</v>
      </c>
      <c r="BP499" s="4">
        <f>AVERAGE(Modelling_old[[#This Row],[Target POA Daily (KWh/m2)]],Modelling_new[[#This Row],[Target POA Daily (KWh/m2)]])</f>
        <v>4.4064516129032256</v>
      </c>
      <c r="BQ499" s="4">
        <f>SUM($BP$475:BP499)</f>
        <v>110.16129032258064</v>
      </c>
      <c r="BR499" s="4">
        <f>SUM($BP$384:BP499)</f>
        <v>664.96129032257943</v>
      </c>
      <c r="BS499" s="323">
        <f>BM499/Modelling[[#This Row],[Comisined DC ]]/BP499</f>
        <v>0.72672610563703754</v>
      </c>
      <c r="BT499" s="337">
        <f>BN499/BQ499/Modelling[[#This Row],[Comisined DC ]]</f>
        <v>0.72672610563703743</v>
      </c>
      <c r="BU499" s="337">
        <f>BO499/BR499/Modelling[[#This Row],[Comisined DC ]]</f>
        <v>0.75333878569290047</v>
      </c>
      <c r="BV499" s="323">
        <f>BM499/(24*Modelling[[#This Row],[Comisined DC ]])</f>
        <v>0.13342847584680018</v>
      </c>
      <c r="BW499" s="323">
        <f>Modelling[[#This Row],[Target E_Grid MTD
MWh]]/Modelling[[#This Row],[MTD DC Capcity]]/(24*CG499)</f>
        <v>0.13342847584680023</v>
      </c>
      <c r="BX499" s="338">
        <f>Modelling[[#This Row],[Target E_Grid YTD
MWh]]/Modelling[[#This Row],[YTD DC Capcity]]/(24*CH499)</f>
        <v>0.17993575107198106</v>
      </c>
      <c r="BY499" s="4">
        <f>Modelling_old[[#This Row],[DC Capcity]]+Modelling_new[[#This Row],[Comisined DC ]]</f>
        <v>24.303100000000001</v>
      </c>
      <c r="BZ499" s="4">
        <v>0</v>
      </c>
      <c r="CA499">
        <f>AVERAGEIFS(Modelling[[Comisined DC ]],Modelling[Date],"&lt;="&amp;Modelling[[#This Row],[Date]],Modelling[Month Year],Modelling[[#This Row],[Month Year]])</f>
        <v>24.303099999999986</v>
      </c>
      <c r="CB499">
        <f>AVERAGEIFS(Modelling[[Comisined DC ]],Modelling[Date],"&lt;="&amp;Modelling[[#This Row],[Date]],Modelling[Finacial Year],Modelling[[#This Row],[Finacial Year]])</f>
        <v>24.303100000000047</v>
      </c>
      <c r="CG499">
        <f t="shared" si="185"/>
        <v>25</v>
      </c>
      <c r="CH499">
        <f t="shared" si="186"/>
        <v>116</v>
      </c>
    </row>
    <row r="500" spans="1:86" x14ac:dyDescent="0.35">
      <c r="A500" s="27">
        <f t="shared" si="164"/>
        <v>45499</v>
      </c>
      <c r="B500" s="5">
        <f>MONTH(Modelling_old[[#This Row],[Date]])</f>
        <v>7</v>
      </c>
      <c r="C500" s="25">
        <f t="shared" si="165"/>
        <v>2025</v>
      </c>
      <c r="D500" s="3">
        <f t="shared" si="166"/>
        <v>2024</v>
      </c>
      <c r="E500" s="3" t="s">
        <v>627</v>
      </c>
      <c r="F500" s="3" t="s">
        <v>627</v>
      </c>
      <c r="G500" s="102">
        <f>DATE(Modelling_old[[#This Row],[Calendor Year]],Modelling_old[[#This Row],[Start Month]],1)</f>
        <v>45474</v>
      </c>
      <c r="H500" s="5">
        <f t="shared" si="167"/>
        <v>31</v>
      </c>
      <c r="I500" s="5">
        <f t="shared" si="168"/>
        <v>7</v>
      </c>
      <c r="J500" s="4">
        <f>_xlfn.XLOOKUP(Modelling_old[[#This Row],[Month]],$C$1:$C$14,$N$1:$N$14)/Modelling_old[[#This Row],[Total Days]]</f>
        <v>36.264516129032259</v>
      </c>
      <c r="K500" s="4">
        <f>SUM($J$475:J500)</f>
        <v>942.87741935483848</v>
      </c>
      <c r="L500" s="4">
        <f>SUM($J$384:J500)</f>
        <v>5281.8774193548379</v>
      </c>
      <c r="M500" s="4">
        <f t="shared" si="169"/>
        <v>4.4064516129032256</v>
      </c>
      <c r="N500" s="4">
        <f>SUM($M$475:M500)</f>
        <v>114.56774193548387</v>
      </c>
      <c r="O500" s="4">
        <f>SUM($M$384:M500)</f>
        <v>669.36774193548263</v>
      </c>
      <c r="P500" s="323">
        <f t="shared" si="170"/>
        <v>0.71544785565665769</v>
      </c>
      <c r="Q500" s="337">
        <f t="shared" si="171"/>
        <v>0.71544785565665758</v>
      </c>
      <c r="R500" s="337">
        <f t="shared" si="172"/>
        <v>0.68597556116851566</v>
      </c>
      <c r="S500" s="323">
        <f t="shared" si="173"/>
        <v>0.13135776489610143</v>
      </c>
      <c r="T500" s="9">
        <f>Modelling_old[[#This Row],[Target E_Grid MTD
MWh]]/Modelling_old[[#This Row],[DC Capcity]]/(24*CG500)</f>
        <v>0.13135776489610138</v>
      </c>
      <c r="U500" s="338">
        <f>Modelling_old[[#This Row],[Target E_Grid YTD
MWh]]/Modelling_old[[#This Row],[DC Capcity]]/(24*CH500)</f>
        <v>0.16352204857631583</v>
      </c>
      <c r="V500" s="134">
        <v>11.5031</v>
      </c>
      <c r="Y500" s="27">
        <f t="shared" si="187"/>
        <v>45499</v>
      </c>
      <c r="Z500" s="5">
        <f>MONTH(Modelling_new[[#This Row],[Date]])</f>
        <v>7</v>
      </c>
      <c r="AA500" s="25">
        <f>YEAR(Y500)+IF(MONTH(Modelling_new[[#This Row],[Date]])&gt;=4,1,0)</f>
        <v>2025</v>
      </c>
      <c r="AB500" s="3">
        <f t="shared" si="174"/>
        <v>2024</v>
      </c>
      <c r="AC500" s="3" t="s">
        <v>627</v>
      </c>
      <c r="AD500" s="3" t="s">
        <v>627</v>
      </c>
      <c r="AE500" s="102">
        <f>DATE(Modelling_old[[#This Row],[Calendor Year]],Modelling_old[[#This Row],[Start Month]],1)</f>
        <v>45474</v>
      </c>
      <c r="AF500" s="5">
        <f t="shared" si="175"/>
        <v>31</v>
      </c>
      <c r="AG500" s="5">
        <f t="shared" si="176"/>
        <v>7</v>
      </c>
      <c r="AH500" s="4">
        <f>_xlfn.XLOOKUP(Modelling_new[[#This Row],[Month]],$AA$1:$AA$14,$AL$1:$AL$14)/Modelling_new[[#This Row],[Total Days]]</f>
        <v>41.560898063424602</v>
      </c>
      <c r="AI500" s="4">
        <f>SUM($AH$475:AH500)</f>
        <v>1080.5833496490395</v>
      </c>
      <c r="AJ500" s="4">
        <f>SUM($AH$384:AH500)</f>
        <v>6970.3703952644983</v>
      </c>
      <c r="AK500" s="4">
        <f t="shared" si="177"/>
        <v>4.4064516129032256</v>
      </c>
      <c r="AL500" s="4">
        <f>SUM($AK$475:AK500)</f>
        <v>114.56774193548387</v>
      </c>
      <c r="AM500" s="4">
        <f>SUM($AK$384:AK500)</f>
        <v>669.36774193548263</v>
      </c>
      <c r="AN500" s="323">
        <f t="shared" si="178"/>
        <v>0.81993801579603653</v>
      </c>
      <c r="AO500" s="323">
        <f t="shared" si="179"/>
        <v>0.81993801579603631</v>
      </c>
      <c r="AP500" s="323">
        <f t="shared" si="180"/>
        <v>0.90526594311384367</v>
      </c>
      <c r="AQ500" s="323">
        <f t="shared" si="181"/>
        <v>0.15054238300771317</v>
      </c>
      <c r="AR500" s="323">
        <f>Modelling_new[[#This Row],[Target E_Grid MTD
MWh]]/Modelling_new[[#This Row],[MTD DC Capcity]]/(24*CG500)</f>
        <v>0.13528938171687691</v>
      </c>
      <c r="AS500" s="323">
        <f>Modelling_new[[#This Row],[Target E_Grid YTD
MWh]]/Modelling_new[[#This Row],[YTD DC Capcity]]/(24*CH500)</f>
        <v>0.19393169057337609</v>
      </c>
      <c r="AT500" s="5">
        <v>12.8</v>
      </c>
      <c r="AU500" s="9">
        <f>Modelling_new[[#This Row],[Comisined DC ]]/$AO$1</f>
        <v>1</v>
      </c>
      <c r="AV50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00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500" s="27">
        <f t="shared" si="188"/>
        <v>45499</v>
      </c>
      <c r="BE500" s="5">
        <f>MONTH(Modelling[[#This Row],[Date]])</f>
        <v>7</v>
      </c>
      <c r="BF500" s="25">
        <f>YEAR(BD500)+IF(MONTH(Modelling[[#This Row],[Date]])&gt;=4,1,0)</f>
        <v>2025</v>
      </c>
      <c r="BG500" s="3">
        <f t="shared" si="182"/>
        <v>2024</v>
      </c>
      <c r="BH500" s="3" t="s">
        <v>627</v>
      </c>
      <c r="BI500" s="3" t="s">
        <v>627</v>
      </c>
      <c r="BJ500" s="102">
        <f>DATE(Modelling_old[[#This Row],[Calendor Year]],Modelling_old[[#This Row],[Start Month]],1)</f>
        <v>45474</v>
      </c>
      <c r="BK500" s="5">
        <f t="shared" si="183"/>
        <v>31</v>
      </c>
      <c r="BL500" s="5">
        <f t="shared" si="184"/>
        <v>7</v>
      </c>
      <c r="BM500" s="4">
        <f>Modelling_old[[#This Row],[Target E_Grid daily
MWh]]+Modelling_new[[#This Row],[Target E_Grid daily
MWh]]</f>
        <v>77.825414192456861</v>
      </c>
      <c r="BN500" s="4">
        <f>Modelling_old[[#This Row],[Target E_Grid MTD
MWh]]+Modelling_new[[#This Row],[Target E_Grid MTD
MWh]]</f>
        <v>2023.4607690038779</v>
      </c>
      <c r="BO500" s="4">
        <f>Modelling_old[[#This Row],[Target E_Grid YTD
MWh]]+Modelling_new[[#This Row],[Target E_Grid YTD
MWh]]</f>
        <v>12252.247814619335</v>
      </c>
      <c r="BP500" s="4">
        <f>AVERAGE(Modelling_old[[#This Row],[Target POA Daily (KWh/m2)]],Modelling_new[[#This Row],[Target POA Daily (KWh/m2)]])</f>
        <v>4.4064516129032256</v>
      </c>
      <c r="BQ500" s="4">
        <f>SUM($BP$475:BP500)</f>
        <v>114.56774193548387</v>
      </c>
      <c r="BR500" s="4">
        <f>SUM($BP$384:BP500)</f>
        <v>669.36774193548263</v>
      </c>
      <c r="BS500" s="323">
        <f>BM500/Modelling[[#This Row],[Comisined DC ]]/BP500</f>
        <v>0.72672610563703754</v>
      </c>
      <c r="BT500" s="337">
        <f>BN500/BQ500/Modelling[[#This Row],[Comisined DC ]]</f>
        <v>0.72672610563703743</v>
      </c>
      <c r="BU500" s="337">
        <f>BO500/BR500/Modelling[[#This Row],[Comisined DC ]]</f>
        <v>0.753163594270295</v>
      </c>
      <c r="BV500" s="323">
        <f>BM500/(24*Modelling[[#This Row],[Comisined DC ]])</f>
        <v>0.13342847584680018</v>
      </c>
      <c r="BW500" s="323">
        <f>Modelling[[#This Row],[Target E_Grid MTD
MWh]]/Modelling[[#This Row],[MTD DC Capcity]]/(24*CG500)</f>
        <v>0.1334284758468002</v>
      </c>
      <c r="BX500" s="338">
        <f>Modelling[[#This Row],[Target E_Grid YTD
MWh]]/Modelling[[#This Row],[YTD DC Capcity]]/(24*CH500)</f>
        <v>0.17953825299313333</v>
      </c>
      <c r="BY500" s="4">
        <f>Modelling_old[[#This Row],[DC Capcity]]+Modelling_new[[#This Row],[Comisined DC ]]</f>
        <v>24.303100000000001</v>
      </c>
      <c r="BZ500" s="4">
        <v>0</v>
      </c>
      <c r="CA500">
        <f>AVERAGEIFS(Modelling[[Comisined DC ]],Modelling[Date],"&lt;="&amp;Modelling[[#This Row],[Date]],Modelling[Month Year],Modelling[[#This Row],[Month Year]])</f>
        <v>24.303099999999986</v>
      </c>
      <c r="CB500">
        <f>AVERAGEIFS(Modelling[[Comisined DC ]],Modelling[Date],"&lt;="&amp;Modelling[[#This Row],[Date]],Modelling[Finacial Year],Modelling[[#This Row],[Finacial Year]])</f>
        <v>24.303100000000047</v>
      </c>
      <c r="CG500">
        <f t="shared" si="185"/>
        <v>26</v>
      </c>
      <c r="CH500">
        <f t="shared" si="186"/>
        <v>117</v>
      </c>
    </row>
    <row r="501" spans="1:86" x14ac:dyDescent="0.35">
      <c r="A501" s="27">
        <f t="shared" si="164"/>
        <v>45500</v>
      </c>
      <c r="B501" s="5">
        <f>MONTH(Modelling_old[[#This Row],[Date]])</f>
        <v>7</v>
      </c>
      <c r="C501" s="25">
        <f t="shared" si="165"/>
        <v>2025</v>
      </c>
      <c r="D501" s="3">
        <f t="shared" si="166"/>
        <v>2024</v>
      </c>
      <c r="E501" s="3" t="s">
        <v>627</v>
      </c>
      <c r="F501" s="3" t="s">
        <v>627</v>
      </c>
      <c r="G501" s="102">
        <f>DATE(Modelling_old[[#This Row],[Calendor Year]],Modelling_old[[#This Row],[Start Month]],1)</f>
        <v>45474</v>
      </c>
      <c r="H501" s="5">
        <f t="shared" si="167"/>
        <v>31</v>
      </c>
      <c r="I501" s="5">
        <f t="shared" si="168"/>
        <v>7</v>
      </c>
      <c r="J501" s="4">
        <f>_xlfn.XLOOKUP(Modelling_old[[#This Row],[Month]],$C$1:$C$14,$N$1:$N$14)/Modelling_old[[#This Row],[Total Days]]</f>
        <v>36.264516129032259</v>
      </c>
      <c r="K501" s="4">
        <f>SUM($J$475:J501)</f>
        <v>979.14193548387072</v>
      </c>
      <c r="L501" s="4">
        <f>SUM($J$384:J501)</f>
        <v>5318.1419354838699</v>
      </c>
      <c r="M501" s="4">
        <f t="shared" si="169"/>
        <v>4.4064516129032256</v>
      </c>
      <c r="N501" s="4">
        <f>SUM($M$475:M501)</f>
        <v>118.97419354838709</v>
      </c>
      <c r="O501" s="4">
        <f>SUM($M$384:M501)</f>
        <v>673.77419354838582</v>
      </c>
      <c r="P501" s="323">
        <f t="shared" si="170"/>
        <v>0.71544785565665769</v>
      </c>
      <c r="Q501" s="337">
        <f t="shared" si="171"/>
        <v>0.71544785565665758</v>
      </c>
      <c r="R501" s="337">
        <f t="shared" si="172"/>
        <v>0.68616830859165345</v>
      </c>
      <c r="S501" s="323">
        <f t="shared" si="173"/>
        <v>0.13135776489610143</v>
      </c>
      <c r="T501" s="9">
        <f>Modelling_old[[#This Row],[Target E_Grid MTD
MWh]]/Modelling_old[[#This Row],[DC Capcity]]/(24*CG501)</f>
        <v>0.13135776489610138</v>
      </c>
      <c r="U501" s="338">
        <f>Modelling_old[[#This Row],[Target E_Grid YTD
MWh]]/Modelling_old[[#This Row],[DC Capcity]]/(24*CH501)</f>
        <v>0.16324946990105976</v>
      </c>
      <c r="V501" s="134">
        <v>11.5031</v>
      </c>
      <c r="Y501" s="27">
        <f t="shared" si="187"/>
        <v>45500</v>
      </c>
      <c r="Z501" s="5">
        <f>MONTH(Modelling_new[[#This Row],[Date]])</f>
        <v>7</v>
      </c>
      <c r="AA501" s="25">
        <f>YEAR(Y501)+IF(MONTH(Modelling_new[[#This Row],[Date]])&gt;=4,1,0)</f>
        <v>2025</v>
      </c>
      <c r="AB501" s="3">
        <f t="shared" si="174"/>
        <v>2024</v>
      </c>
      <c r="AC501" s="3" t="s">
        <v>627</v>
      </c>
      <c r="AD501" s="3" t="s">
        <v>627</v>
      </c>
      <c r="AE501" s="102">
        <f>DATE(Modelling_old[[#This Row],[Calendor Year]],Modelling_old[[#This Row],[Start Month]],1)</f>
        <v>45474</v>
      </c>
      <c r="AF501" s="5">
        <f t="shared" si="175"/>
        <v>31</v>
      </c>
      <c r="AG501" s="5">
        <f t="shared" si="176"/>
        <v>7</v>
      </c>
      <c r="AH501" s="4">
        <f>_xlfn.XLOOKUP(Modelling_new[[#This Row],[Month]],$AA$1:$AA$14,$AL$1:$AL$14)/Modelling_new[[#This Row],[Total Days]]</f>
        <v>41.560898063424602</v>
      </c>
      <c r="AI501" s="4">
        <f>SUM($AH$475:AH501)</f>
        <v>1122.1442477124642</v>
      </c>
      <c r="AJ501" s="4">
        <f>SUM($AH$384:AH501)</f>
        <v>7011.9312933279225</v>
      </c>
      <c r="AK501" s="4">
        <f t="shared" si="177"/>
        <v>4.4064516129032256</v>
      </c>
      <c r="AL501" s="4">
        <f>SUM($AK$475:AK501)</f>
        <v>118.97419354838709</v>
      </c>
      <c r="AM501" s="4">
        <f>SUM($AK$384:AK501)</f>
        <v>673.77419354838582</v>
      </c>
      <c r="AN501" s="323">
        <f t="shared" si="178"/>
        <v>0.81993801579603653</v>
      </c>
      <c r="AO501" s="323">
        <f t="shared" si="179"/>
        <v>0.81993801579603642</v>
      </c>
      <c r="AP501" s="323">
        <f t="shared" si="180"/>
        <v>0.90470790247269783</v>
      </c>
      <c r="AQ501" s="323">
        <f t="shared" si="181"/>
        <v>0.15054238300771317</v>
      </c>
      <c r="AR501" s="323">
        <f>Modelling_new[[#This Row],[Target E_Grid MTD
MWh]]/Modelling_new[[#This Row],[MTD DC Capcity]]/(24*CG501)</f>
        <v>0.13528938171687691</v>
      </c>
      <c r="AS501" s="323">
        <f>Modelling_new[[#This Row],[Target E_Grid YTD
MWh]]/Modelling_new[[#This Row],[YTD DC Capcity]]/(24*CH501)</f>
        <v>0.19343472185425323</v>
      </c>
      <c r="AT501" s="5">
        <v>12.8</v>
      </c>
      <c r="AU501" s="9">
        <f>Modelling_new[[#This Row],[Comisined DC ]]/$AO$1</f>
        <v>1</v>
      </c>
      <c r="AV50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01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501" s="27">
        <f t="shared" si="188"/>
        <v>45500</v>
      </c>
      <c r="BE501" s="5">
        <f>MONTH(Modelling[[#This Row],[Date]])</f>
        <v>7</v>
      </c>
      <c r="BF501" s="25">
        <f>YEAR(BD501)+IF(MONTH(Modelling[[#This Row],[Date]])&gt;=4,1,0)</f>
        <v>2025</v>
      </c>
      <c r="BG501" s="3">
        <f t="shared" si="182"/>
        <v>2024</v>
      </c>
      <c r="BH501" s="3" t="s">
        <v>627</v>
      </c>
      <c r="BI501" s="3" t="s">
        <v>627</v>
      </c>
      <c r="BJ501" s="102">
        <f>DATE(Modelling_old[[#This Row],[Calendor Year]],Modelling_old[[#This Row],[Start Month]],1)</f>
        <v>45474</v>
      </c>
      <c r="BK501" s="5">
        <f t="shared" si="183"/>
        <v>31</v>
      </c>
      <c r="BL501" s="5">
        <f t="shared" si="184"/>
        <v>7</v>
      </c>
      <c r="BM501" s="4">
        <f>Modelling_old[[#This Row],[Target E_Grid daily
MWh]]+Modelling_new[[#This Row],[Target E_Grid daily
MWh]]</f>
        <v>77.825414192456861</v>
      </c>
      <c r="BN501" s="4">
        <f>Modelling_old[[#This Row],[Target E_Grid MTD
MWh]]+Modelling_new[[#This Row],[Target E_Grid MTD
MWh]]</f>
        <v>2101.2861831963351</v>
      </c>
      <c r="BO501" s="4">
        <f>Modelling_old[[#This Row],[Target E_Grid YTD
MWh]]+Modelling_new[[#This Row],[Target E_Grid YTD
MWh]]</f>
        <v>12330.073228811792</v>
      </c>
      <c r="BP501" s="4">
        <f>AVERAGE(Modelling_old[[#This Row],[Target POA Daily (KWh/m2)]],Modelling_new[[#This Row],[Target POA Daily (KWh/m2)]])</f>
        <v>4.4064516129032256</v>
      </c>
      <c r="BQ501" s="4">
        <f>SUM($BP$475:BP501)</f>
        <v>118.97419354838709</v>
      </c>
      <c r="BR501" s="4">
        <f>SUM($BP$384:BP501)</f>
        <v>673.77419354838582</v>
      </c>
      <c r="BS501" s="323">
        <f>BM501/Modelling[[#This Row],[Comisined DC ]]/BP501</f>
        <v>0.72672610563703754</v>
      </c>
      <c r="BT501" s="337">
        <f>BN501/BQ501/Modelling[[#This Row],[Comisined DC ]]</f>
        <v>0.72672610563703743</v>
      </c>
      <c r="BU501" s="337">
        <f>BO501/BR501/Modelling[[#This Row],[Comisined DC ]]</f>
        <v>0.75299069433505772</v>
      </c>
      <c r="BV501" s="323">
        <f>BM501/(24*Modelling[[#This Row],[Comisined DC ]])</f>
        <v>0.13342847584680018</v>
      </c>
      <c r="BW501" s="323">
        <f>Modelling[[#This Row],[Target E_Grid MTD
MWh]]/Modelling[[#This Row],[MTD DC Capcity]]/(24*CG501)</f>
        <v>0.13342847584680023</v>
      </c>
      <c r="BX501" s="338">
        <f>Modelling[[#This Row],[Target E_Grid YTD
MWh]]/Modelling[[#This Row],[YTD DC Capcity]]/(24*CH501)</f>
        <v>0.17914749216985931</v>
      </c>
      <c r="BY501" s="4">
        <f>Modelling_old[[#This Row],[DC Capcity]]+Modelling_new[[#This Row],[Comisined DC ]]</f>
        <v>24.303100000000001</v>
      </c>
      <c r="BZ501" s="4">
        <v>0</v>
      </c>
      <c r="CA501">
        <f>AVERAGEIFS(Modelling[[Comisined DC ]],Modelling[Date],"&lt;="&amp;Modelling[[#This Row],[Date]],Modelling[Month Year],Modelling[[#This Row],[Month Year]])</f>
        <v>24.303099999999986</v>
      </c>
      <c r="CB501">
        <f>AVERAGEIFS(Modelling[[Comisined DC ]],Modelling[Date],"&lt;="&amp;Modelling[[#This Row],[Date]],Modelling[Finacial Year],Modelling[[#This Row],[Finacial Year]])</f>
        <v>24.303100000000047</v>
      </c>
      <c r="CG501">
        <f t="shared" si="185"/>
        <v>27</v>
      </c>
      <c r="CH501">
        <f t="shared" si="186"/>
        <v>118</v>
      </c>
    </row>
    <row r="502" spans="1:86" x14ac:dyDescent="0.35">
      <c r="A502" s="27">
        <f t="shared" si="164"/>
        <v>45501</v>
      </c>
      <c r="B502" s="5">
        <f>MONTH(Modelling_old[[#This Row],[Date]])</f>
        <v>7</v>
      </c>
      <c r="C502" s="25">
        <f t="shared" si="165"/>
        <v>2025</v>
      </c>
      <c r="D502" s="3">
        <f t="shared" si="166"/>
        <v>2024</v>
      </c>
      <c r="E502" s="3" t="s">
        <v>627</v>
      </c>
      <c r="F502" s="3" t="s">
        <v>627</v>
      </c>
      <c r="G502" s="102">
        <f>DATE(Modelling_old[[#This Row],[Calendor Year]],Modelling_old[[#This Row],[Start Month]],1)</f>
        <v>45474</v>
      </c>
      <c r="H502" s="5">
        <f t="shared" si="167"/>
        <v>31</v>
      </c>
      <c r="I502" s="5">
        <f t="shared" si="168"/>
        <v>7</v>
      </c>
      <c r="J502" s="4">
        <f>_xlfn.XLOOKUP(Modelling_old[[#This Row],[Month]],$C$1:$C$14,$N$1:$N$14)/Modelling_old[[#This Row],[Total Days]]</f>
        <v>36.264516129032259</v>
      </c>
      <c r="K502" s="4">
        <f>SUM($J$475:J502)</f>
        <v>1015.406451612903</v>
      </c>
      <c r="L502" s="4">
        <f>SUM($J$384:J502)</f>
        <v>5354.4064516129019</v>
      </c>
      <c r="M502" s="4">
        <f t="shared" si="169"/>
        <v>4.4064516129032256</v>
      </c>
      <c r="N502" s="4">
        <f>SUM($M$475:M502)</f>
        <v>123.38064516129032</v>
      </c>
      <c r="O502" s="4">
        <f>SUM($M$384:M502)</f>
        <v>678.18064516128902</v>
      </c>
      <c r="P502" s="323">
        <f t="shared" si="170"/>
        <v>0.71544785565665769</v>
      </c>
      <c r="Q502" s="337">
        <f t="shared" si="171"/>
        <v>0.71544785565665758</v>
      </c>
      <c r="R502" s="337">
        <f t="shared" si="172"/>
        <v>0.68635855127744849</v>
      </c>
      <c r="S502" s="323">
        <f t="shared" si="173"/>
        <v>0.13135776489610143</v>
      </c>
      <c r="T502" s="9">
        <f>Modelling_old[[#This Row],[Target E_Grid MTD
MWh]]/Modelling_old[[#This Row],[DC Capcity]]/(24*CG502)</f>
        <v>0.13135776489610138</v>
      </c>
      <c r="U502" s="338">
        <f>Modelling_old[[#This Row],[Target E_Grid YTD
MWh]]/Modelling_old[[#This Row],[DC Capcity]]/(24*CH502)</f>
        <v>0.16298147238000971</v>
      </c>
      <c r="V502" s="134">
        <v>11.5031</v>
      </c>
      <c r="Y502" s="27">
        <f t="shared" si="187"/>
        <v>45501</v>
      </c>
      <c r="Z502" s="5">
        <f>MONTH(Modelling_new[[#This Row],[Date]])</f>
        <v>7</v>
      </c>
      <c r="AA502" s="25">
        <f>YEAR(Y502)+IF(MONTH(Modelling_new[[#This Row],[Date]])&gt;=4,1,0)</f>
        <v>2025</v>
      </c>
      <c r="AB502" s="3">
        <f t="shared" si="174"/>
        <v>2024</v>
      </c>
      <c r="AC502" s="3" t="s">
        <v>627</v>
      </c>
      <c r="AD502" s="3" t="s">
        <v>627</v>
      </c>
      <c r="AE502" s="102">
        <f>DATE(Modelling_old[[#This Row],[Calendor Year]],Modelling_old[[#This Row],[Start Month]],1)</f>
        <v>45474</v>
      </c>
      <c r="AF502" s="5">
        <f t="shared" si="175"/>
        <v>31</v>
      </c>
      <c r="AG502" s="5">
        <f t="shared" si="176"/>
        <v>7</v>
      </c>
      <c r="AH502" s="4">
        <f>_xlfn.XLOOKUP(Modelling_new[[#This Row],[Month]],$AA$1:$AA$14,$AL$1:$AL$14)/Modelling_new[[#This Row],[Total Days]]</f>
        <v>41.560898063424602</v>
      </c>
      <c r="AI502" s="4">
        <f>SUM($AH$475:AH502)</f>
        <v>1163.7051457758889</v>
      </c>
      <c r="AJ502" s="4">
        <f>SUM($AH$384:AH502)</f>
        <v>7053.4921913913468</v>
      </c>
      <c r="AK502" s="4">
        <f t="shared" si="177"/>
        <v>4.4064516129032256</v>
      </c>
      <c r="AL502" s="4">
        <f>SUM($AK$475:AK502)</f>
        <v>123.38064516129032</v>
      </c>
      <c r="AM502" s="4">
        <f>SUM($AK$384:AK502)</f>
        <v>678.18064516128902</v>
      </c>
      <c r="AN502" s="323">
        <f t="shared" si="178"/>
        <v>0.81993801579603653</v>
      </c>
      <c r="AO502" s="323">
        <f t="shared" si="179"/>
        <v>0.81993801579603642</v>
      </c>
      <c r="AP502" s="323">
        <f t="shared" si="180"/>
        <v>0.90415711352503747</v>
      </c>
      <c r="AQ502" s="323">
        <f t="shared" si="181"/>
        <v>0.15054238300771317</v>
      </c>
      <c r="AR502" s="323">
        <f>Modelling_new[[#This Row],[Target E_Grid MTD
MWh]]/Modelling_new[[#This Row],[MTD DC Capcity]]/(24*CG502)</f>
        <v>0.13528938171687691</v>
      </c>
      <c r="AS502" s="323">
        <f>Modelling_new[[#This Row],[Target E_Grid YTD
MWh]]/Modelling_new[[#This Row],[YTD DC Capcity]]/(24*CH502)</f>
        <v>0.19294610555057781</v>
      </c>
      <c r="AT502" s="5">
        <v>12.8</v>
      </c>
      <c r="AU502" s="9">
        <f>Modelling_new[[#This Row],[Comisined DC ]]/$AO$1</f>
        <v>1</v>
      </c>
      <c r="AV502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02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502" s="27">
        <f t="shared" si="188"/>
        <v>45501</v>
      </c>
      <c r="BE502" s="5">
        <f>MONTH(Modelling[[#This Row],[Date]])</f>
        <v>7</v>
      </c>
      <c r="BF502" s="25">
        <f>YEAR(BD502)+IF(MONTH(Modelling[[#This Row],[Date]])&gt;=4,1,0)</f>
        <v>2025</v>
      </c>
      <c r="BG502" s="3">
        <f t="shared" si="182"/>
        <v>2024</v>
      </c>
      <c r="BH502" s="3" t="s">
        <v>627</v>
      </c>
      <c r="BI502" s="3" t="s">
        <v>627</v>
      </c>
      <c r="BJ502" s="102">
        <f>DATE(Modelling_old[[#This Row],[Calendor Year]],Modelling_old[[#This Row],[Start Month]],1)</f>
        <v>45474</v>
      </c>
      <c r="BK502" s="5">
        <f t="shared" si="183"/>
        <v>31</v>
      </c>
      <c r="BL502" s="5">
        <f t="shared" si="184"/>
        <v>7</v>
      </c>
      <c r="BM502" s="4">
        <f>Modelling_old[[#This Row],[Target E_Grid daily
MWh]]+Modelling_new[[#This Row],[Target E_Grid daily
MWh]]</f>
        <v>77.825414192456861</v>
      </c>
      <c r="BN502" s="4">
        <f>Modelling_old[[#This Row],[Target E_Grid MTD
MWh]]+Modelling_new[[#This Row],[Target E_Grid MTD
MWh]]</f>
        <v>2179.1115973887918</v>
      </c>
      <c r="BO502" s="4">
        <f>Modelling_old[[#This Row],[Target E_Grid YTD
MWh]]+Modelling_new[[#This Row],[Target E_Grid YTD
MWh]]</f>
        <v>12407.89864300425</v>
      </c>
      <c r="BP502" s="4">
        <f>AVERAGE(Modelling_old[[#This Row],[Target POA Daily (KWh/m2)]],Modelling_new[[#This Row],[Target POA Daily (KWh/m2)]])</f>
        <v>4.4064516129032256</v>
      </c>
      <c r="BQ502" s="4">
        <f>SUM($BP$475:BP502)</f>
        <v>123.38064516129032</v>
      </c>
      <c r="BR502" s="4">
        <f>SUM($BP$384:BP502)</f>
        <v>678.18064516128902</v>
      </c>
      <c r="BS502" s="323">
        <f>BM502/Modelling[[#This Row],[Comisined DC ]]/BP502</f>
        <v>0.72672610563703754</v>
      </c>
      <c r="BT502" s="337">
        <f>BN502/BQ502/Modelling[[#This Row],[Comisined DC ]]</f>
        <v>0.72672610563703743</v>
      </c>
      <c r="BU502" s="337">
        <f>BO502/BR502/Modelling[[#This Row],[Comisined DC ]]</f>
        <v>0.75282004122064583</v>
      </c>
      <c r="BV502" s="323">
        <f>BM502/(24*Modelling[[#This Row],[Comisined DC ]])</f>
        <v>0.13342847584680018</v>
      </c>
      <c r="BW502" s="323">
        <f>Modelling[[#This Row],[Target E_Grid MTD
MWh]]/Modelling[[#This Row],[MTD DC Capcity]]/(24*CG502)</f>
        <v>0.13342847584680023</v>
      </c>
      <c r="BX502" s="338">
        <f>Modelling[[#This Row],[Target E_Grid YTD
MWh]]/Modelling[[#This Row],[YTD DC Capcity]]/(24*CH502)</f>
        <v>0.17876329875537986</v>
      </c>
      <c r="BY502" s="4">
        <f>Modelling_old[[#This Row],[DC Capcity]]+Modelling_new[[#This Row],[Comisined DC ]]</f>
        <v>24.303100000000001</v>
      </c>
      <c r="BZ502" s="4">
        <v>0</v>
      </c>
      <c r="CA502">
        <f>AVERAGEIFS(Modelling[[Comisined DC ]],Modelling[Date],"&lt;="&amp;Modelling[[#This Row],[Date]],Modelling[Month Year],Modelling[[#This Row],[Month Year]])</f>
        <v>24.303099999999983</v>
      </c>
      <c r="CB502">
        <f>AVERAGEIFS(Modelling[[Comisined DC ]],Modelling[Date],"&lt;="&amp;Modelling[[#This Row],[Date]],Modelling[Finacial Year],Modelling[[#This Row],[Finacial Year]])</f>
        <v>24.303100000000047</v>
      </c>
      <c r="CG502">
        <f t="shared" si="185"/>
        <v>28</v>
      </c>
      <c r="CH502">
        <f t="shared" si="186"/>
        <v>119</v>
      </c>
    </row>
    <row r="503" spans="1:86" x14ac:dyDescent="0.35">
      <c r="A503" s="27">
        <f t="shared" si="164"/>
        <v>45502</v>
      </c>
      <c r="B503" s="5">
        <f>MONTH(Modelling_old[[#This Row],[Date]])</f>
        <v>7</v>
      </c>
      <c r="C503" s="25">
        <f t="shared" si="165"/>
        <v>2025</v>
      </c>
      <c r="D503" s="3">
        <f t="shared" si="166"/>
        <v>2024</v>
      </c>
      <c r="E503" s="3" t="s">
        <v>627</v>
      </c>
      <c r="F503" s="3" t="s">
        <v>627</v>
      </c>
      <c r="G503" s="102">
        <f>DATE(Modelling_old[[#This Row],[Calendor Year]],Modelling_old[[#This Row],[Start Month]],1)</f>
        <v>45474</v>
      </c>
      <c r="H503" s="5">
        <f t="shared" si="167"/>
        <v>31</v>
      </c>
      <c r="I503" s="5">
        <f t="shared" si="168"/>
        <v>7</v>
      </c>
      <c r="J503" s="4">
        <f>_xlfn.XLOOKUP(Modelling_old[[#This Row],[Month]],$C$1:$C$14,$N$1:$N$14)/Modelling_old[[#This Row],[Total Days]]</f>
        <v>36.264516129032259</v>
      </c>
      <c r="K503" s="4">
        <f>SUM($J$475:J503)</f>
        <v>1051.6709677419353</v>
      </c>
      <c r="L503" s="4">
        <f>SUM($J$384:J503)</f>
        <v>5390.670967741934</v>
      </c>
      <c r="M503" s="4">
        <f t="shared" si="169"/>
        <v>4.4064516129032256</v>
      </c>
      <c r="N503" s="4">
        <f>SUM($M$475:M503)</f>
        <v>127.78709677419354</v>
      </c>
      <c r="O503" s="4">
        <f>SUM($M$384:M503)</f>
        <v>682.58709677419222</v>
      </c>
      <c r="P503" s="323">
        <f t="shared" si="170"/>
        <v>0.71544785565665769</v>
      </c>
      <c r="Q503" s="337">
        <f t="shared" si="171"/>
        <v>0.71544785565665769</v>
      </c>
      <c r="R503" s="337">
        <f t="shared" si="172"/>
        <v>0.68654633773401308</v>
      </c>
      <c r="S503" s="323">
        <f t="shared" si="173"/>
        <v>0.13135776489610143</v>
      </c>
      <c r="T503" s="9">
        <f>Modelling_old[[#This Row],[Target E_Grid MTD
MWh]]/Modelling_old[[#This Row],[DC Capcity]]/(24*CG503)</f>
        <v>0.1313577648961014</v>
      </c>
      <c r="U503" s="338">
        <f>Modelling_old[[#This Row],[Target E_Grid YTD
MWh]]/Modelling_old[[#This Row],[DC Capcity]]/(24*CH503)</f>
        <v>0.16271794148431046</v>
      </c>
      <c r="V503" s="134">
        <v>11.5031</v>
      </c>
      <c r="Y503" s="27">
        <f t="shared" si="187"/>
        <v>45502</v>
      </c>
      <c r="Z503" s="5">
        <f>MONTH(Modelling_new[[#This Row],[Date]])</f>
        <v>7</v>
      </c>
      <c r="AA503" s="25">
        <f>YEAR(Y503)+IF(MONTH(Modelling_new[[#This Row],[Date]])&gt;=4,1,0)</f>
        <v>2025</v>
      </c>
      <c r="AB503" s="3">
        <f t="shared" si="174"/>
        <v>2024</v>
      </c>
      <c r="AC503" s="3" t="s">
        <v>627</v>
      </c>
      <c r="AD503" s="3" t="s">
        <v>627</v>
      </c>
      <c r="AE503" s="102">
        <f>DATE(Modelling_old[[#This Row],[Calendor Year]],Modelling_old[[#This Row],[Start Month]],1)</f>
        <v>45474</v>
      </c>
      <c r="AF503" s="5">
        <f t="shared" si="175"/>
        <v>31</v>
      </c>
      <c r="AG503" s="5">
        <f t="shared" si="176"/>
        <v>7</v>
      </c>
      <c r="AH503" s="4">
        <f>_xlfn.XLOOKUP(Modelling_new[[#This Row],[Month]],$AA$1:$AA$14,$AL$1:$AL$14)/Modelling_new[[#This Row],[Total Days]]</f>
        <v>41.560898063424602</v>
      </c>
      <c r="AI503" s="4">
        <f>SUM($AH$475:AH503)</f>
        <v>1205.2660438393136</v>
      </c>
      <c r="AJ503" s="4">
        <f>SUM($AH$384:AH503)</f>
        <v>7095.053089454771</v>
      </c>
      <c r="AK503" s="4">
        <f t="shared" si="177"/>
        <v>4.4064516129032256</v>
      </c>
      <c r="AL503" s="4">
        <f>SUM($AK$475:AK503)</f>
        <v>127.78709677419354</v>
      </c>
      <c r="AM503" s="4">
        <f>SUM($AK$384:AK503)</f>
        <v>682.58709677419222</v>
      </c>
      <c r="AN503" s="323">
        <f t="shared" si="178"/>
        <v>0.81993801579603653</v>
      </c>
      <c r="AO503" s="323">
        <f t="shared" si="179"/>
        <v>0.81993801579603665</v>
      </c>
      <c r="AP503" s="323">
        <f t="shared" si="180"/>
        <v>0.90361343583060261</v>
      </c>
      <c r="AQ503" s="323">
        <f t="shared" si="181"/>
        <v>0.15054238300771317</v>
      </c>
      <c r="AR503" s="323">
        <f>Modelling_new[[#This Row],[Target E_Grid MTD
MWh]]/Modelling_new[[#This Row],[MTD DC Capcity]]/(24*CG503)</f>
        <v>0.13528938171687691</v>
      </c>
      <c r="AS503" s="323">
        <f>Modelling_new[[#This Row],[Target E_Grid YTD
MWh]]/Modelling_new[[#This Row],[YTD DC Capcity]]/(24*CH503)</f>
        <v>0.19246563285196361</v>
      </c>
      <c r="AT503" s="5">
        <v>12.8</v>
      </c>
      <c r="AU503" s="9">
        <f>Modelling_new[[#This Row],[Comisined DC ]]/$AO$1</f>
        <v>1</v>
      </c>
      <c r="AV503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03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503" s="27">
        <f t="shared" si="188"/>
        <v>45502</v>
      </c>
      <c r="BE503" s="5">
        <f>MONTH(Modelling[[#This Row],[Date]])</f>
        <v>7</v>
      </c>
      <c r="BF503" s="25">
        <f>YEAR(BD503)+IF(MONTH(Modelling[[#This Row],[Date]])&gt;=4,1,0)</f>
        <v>2025</v>
      </c>
      <c r="BG503" s="3">
        <f t="shared" si="182"/>
        <v>2024</v>
      </c>
      <c r="BH503" s="3" t="s">
        <v>627</v>
      </c>
      <c r="BI503" s="3" t="s">
        <v>627</v>
      </c>
      <c r="BJ503" s="102">
        <f>DATE(Modelling_old[[#This Row],[Calendor Year]],Modelling_old[[#This Row],[Start Month]],1)</f>
        <v>45474</v>
      </c>
      <c r="BK503" s="5">
        <f t="shared" si="183"/>
        <v>31</v>
      </c>
      <c r="BL503" s="5">
        <f t="shared" si="184"/>
        <v>7</v>
      </c>
      <c r="BM503" s="4">
        <f>Modelling_old[[#This Row],[Target E_Grid daily
MWh]]+Modelling_new[[#This Row],[Target E_Grid daily
MWh]]</f>
        <v>77.825414192456861</v>
      </c>
      <c r="BN503" s="4">
        <f>Modelling_old[[#This Row],[Target E_Grid MTD
MWh]]+Modelling_new[[#This Row],[Target E_Grid MTD
MWh]]</f>
        <v>2256.937011581249</v>
      </c>
      <c r="BO503" s="4">
        <f>Modelling_old[[#This Row],[Target E_Grid YTD
MWh]]+Modelling_new[[#This Row],[Target E_Grid YTD
MWh]]</f>
        <v>12485.724057196705</v>
      </c>
      <c r="BP503" s="4">
        <f>AVERAGE(Modelling_old[[#This Row],[Target POA Daily (KWh/m2)]],Modelling_new[[#This Row],[Target POA Daily (KWh/m2)]])</f>
        <v>4.4064516129032256</v>
      </c>
      <c r="BQ503" s="4">
        <f>SUM($BP$475:BP503)</f>
        <v>127.78709677419354</v>
      </c>
      <c r="BR503" s="4">
        <f>SUM($BP$384:BP503)</f>
        <v>682.58709677419222</v>
      </c>
      <c r="BS503" s="323">
        <f>BM503/Modelling[[#This Row],[Comisined DC ]]/BP503</f>
        <v>0.72672610563703754</v>
      </c>
      <c r="BT503" s="337">
        <f>BN503/BQ503/Modelling[[#This Row],[Comisined DC ]]</f>
        <v>0.72672610563703754</v>
      </c>
      <c r="BU503" s="337">
        <f>BO503/BR503/Modelling[[#This Row],[Comisined DC ]]</f>
        <v>0.75265159141389915</v>
      </c>
      <c r="BV503" s="323">
        <f>BM503/(24*Modelling[[#This Row],[Comisined DC ]])</f>
        <v>0.13342847584680018</v>
      </c>
      <c r="BW503" s="323">
        <f>Modelling[[#This Row],[Target E_Grid MTD
MWh]]/Modelling[[#This Row],[MTD DC Capcity]]/(24*CG503)</f>
        <v>0.13342847584680026</v>
      </c>
      <c r="BX503" s="338">
        <f>Modelling[[#This Row],[Target E_Grid YTD
MWh]]/Modelling[[#This Row],[YTD DC Capcity]]/(24*CH503)</f>
        <v>0.17838550856447499</v>
      </c>
      <c r="BY503" s="4">
        <f>Modelling_old[[#This Row],[DC Capcity]]+Modelling_new[[#This Row],[Comisined DC ]]</f>
        <v>24.303100000000001</v>
      </c>
      <c r="BZ503" s="4">
        <v>0</v>
      </c>
      <c r="CA503">
        <f>AVERAGEIFS(Modelling[[Comisined DC ]],Modelling[Date],"&lt;="&amp;Modelling[[#This Row],[Date]],Modelling[Month Year],Modelling[[#This Row],[Month Year]])</f>
        <v>24.303099999999983</v>
      </c>
      <c r="CB503">
        <f>AVERAGEIFS(Modelling[[Comisined DC ]],Modelling[Date],"&lt;="&amp;Modelling[[#This Row],[Date]],Modelling[Finacial Year],Modelling[[#This Row],[Finacial Year]])</f>
        <v>24.303100000000047</v>
      </c>
      <c r="CG503">
        <f t="shared" si="185"/>
        <v>29</v>
      </c>
      <c r="CH503">
        <f t="shared" si="186"/>
        <v>120</v>
      </c>
    </row>
    <row r="504" spans="1:86" x14ac:dyDescent="0.35">
      <c r="A504" s="27">
        <f t="shared" si="164"/>
        <v>45503</v>
      </c>
      <c r="B504" s="5">
        <f>MONTH(Modelling_old[[#This Row],[Date]])</f>
        <v>7</v>
      </c>
      <c r="C504" s="25">
        <f t="shared" si="165"/>
        <v>2025</v>
      </c>
      <c r="D504" s="3">
        <f t="shared" si="166"/>
        <v>2024</v>
      </c>
      <c r="E504" s="3" t="s">
        <v>627</v>
      </c>
      <c r="F504" s="3" t="s">
        <v>627</v>
      </c>
      <c r="G504" s="102">
        <f>DATE(Modelling_old[[#This Row],[Calendor Year]],Modelling_old[[#This Row],[Start Month]],1)</f>
        <v>45474</v>
      </c>
      <c r="H504" s="5">
        <f t="shared" si="167"/>
        <v>31</v>
      </c>
      <c r="I504" s="5">
        <f t="shared" si="168"/>
        <v>7</v>
      </c>
      <c r="J504" s="4">
        <f>_xlfn.XLOOKUP(Modelling_old[[#This Row],[Month]],$C$1:$C$14,$N$1:$N$14)/Modelling_old[[#This Row],[Total Days]]</f>
        <v>36.264516129032259</v>
      </c>
      <c r="K504" s="4">
        <f>SUM($J$475:J504)</f>
        <v>1087.9354838709676</v>
      </c>
      <c r="L504" s="4">
        <f>SUM($J$384:J504)</f>
        <v>5426.935483870966</v>
      </c>
      <c r="M504" s="4">
        <f t="shared" si="169"/>
        <v>4.4064516129032256</v>
      </c>
      <c r="N504" s="4">
        <f>SUM($M$475:M504)</f>
        <v>132.19354838709677</v>
      </c>
      <c r="O504" s="4">
        <f>SUM($M$384:M504)</f>
        <v>686.99354838709542</v>
      </c>
      <c r="P504" s="323">
        <f t="shared" si="170"/>
        <v>0.71544785565665769</v>
      </c>
      <c r="Q504" s="337">
        <f t="shared" si="171"/>
        <v>0.71544785565665769</v>
      </c>
      <c r="R504" s="337">
        <f t="shared" si="172"/>
        <v>0.68673171522491472</v>
      </c>
      <c r="S504" s="323">
        <f t="shared" si="173"/>
        <v>0.13135776489610143</v>
      </c>
      <c r="T504" s="9">
        <f>Modelling_old[[#This Row],[Target E_Grid MTD
MWh]]/Modelling_old[[#This Row],[DC Capcity]]/(24*CG504)</f>
        <v>0.1313577648961014</v>
      </c>
      <c r="U504" s="338">
        <f>Modelling_old[[#This Row],[Target E_Grid YTD
MWh]]/Modelling_old[[#This Row],[DC Capcity]]/(24*CH504)</f>
        <v>0.16245876647118473</v>
      </c>
      <c r="V504" s="134">
        <v>11.5031</v>
      </c>
      <c r="Y504" s="27">
        <f t="shared" si="187"/>
        <v>45503</v>
      </c>
      <c r="Z504" s="5">
        <f>MONTH(Modelling_new[[#This Row],[Date]])</f>
        <v>7</v>
      </c>
      <c r="AA504" s="25">
        <f>YEAR(Y504)+IF(MONTH(Modelling_new[[#This Row],[Date]])&gt;=4,1,0)</f>
        <v>2025</v>
      </c>
      <c r="AB504" s="3">
        <f t="shared" si="174"/>
        <v>2024</v>
      </c>
      <c r="AC504" s="3" t="s">
        <v>627</v>
      </c>
      <c r="AD504" s="3" t="s">
        <v>627</v>
      </c>
      <c r="AE504" s="102">
        <f>DATE(Modelling_old[[#This Row],[Calendor Year]],Modelling_old[[#This Row],[Start Month]],1)</f>
        <v>45474</v>
      </c>
      <c r="AF504" s="5">
        <f t="shared" si="175"/>
        <v>31</v>
      </c>
      <c r="AG504" s="5">
        <f t="shared" si="176"/>
        <v>7</v>
      </c>
      <c r="AH504" s="4">
        <f>_xlfn.XLOOKUP(Modelling_new[[#This Row],[Month]],$AA$1:$AA$14,$AL$1:$AL$14)/Modelling_new[[#This Row],[Total Days]]</f>
        <v>41.560898063424602</v>
      </c>
      <c r="AI504" s="4">
        <f>SUM($AH$475:AH504)</f>
        <v>1246.8269419027383</v>
      </c>
      <c r="AJ504" s="4">
        <f>SUM($AH$384:AH504)</f>
        <v>7136.6139875181952</v>
      </c>
      <c r="AK504" s="4">
        <f t="shared" si="177"/>
        <v>4.4064516129032256</v>
      </c>
      <c r="AL504" s="4">
        <f>SUM($AK$475:AK504)</f>
        <v>132.19354838709677</v>
      </c>
      <c r="AM504" s="4">
        <f>SUM($AK$384:AK504)</f>
        <v>686.99354838709542</v>
      </c>
      <c r="AN504" s="323">
        <f t="shared" si="178"/>
        <v>0.81993801579603653</v>
      </c>
      <c r="AO504" s="323">
        <f t="shared" si="179"/>
        <v>0.81993801579603665</v>
      </c>
      <c r="AP504" s="323">
        <f t="shared" si="180"/>
        <v>0.90307673255232979</v>
      </c>
      <c r="AQ504" s="323">
        <f t="shared" si="181"/>
        <v>0.15054238300771317</v>
      </c>
      <c r="AR504" s="323">
        <f>Modelling_new[[#This Row],[Target E_Grid MTD
MWh]]/Modelling_new[[#This Row],[MTD DC Capcity]]/(24*CG504)</f>
        <v>0.13528938171687693</v>
      </c>
      <c r="AS504" s="323">
        <f>Modelling_new[[#This Row],[Target E_Grid YTD
MWh]]/Modelling_new[[#This Row],[YTD DC Capcity]]/(24*CH504)</f>
        <v>0.1919931018508472</v>
      </c>
      <c r="AT504" s="5">
        <v>12.8</v>
      </c>
      <c r="AU504" s="9">
        <f>Modelling_new[[#This Row],[Comisined DC ]]/$AO$1</f>
        <v>1</v>
      </c>
      <c r="AV504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04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504" s="27">
        <f t="shared" si="188"/>
        <v>45503</v>
      </c>
      <c r="BE504" s="5">
        <f>MONTH(Modelling[[#This Row],[Date]])</f>
        <v>7</v>
      </c>
      <c r="BF504" s="25">
        <f>YEAR(BD504)+IF(MONTH(Modelling[[#This Row],[Date]])&gt;=4,1,0)</f>
        <v>2025</v>
      </c>
      <c r="BG504" s="3">
        <f t="shared" si="182"/>
        <v>2024</v>
      </c>
      <c r="BH504" s="3" t="s">
        <v>627</v>
      </c>
      <c r="BI504" s="3" t="s">
        <v>627</v>
      </c>
      <c r="BJ504" s="102">
        <f>DATE(Modelling_old[[#This Row],[Calendor Year]],Modelling_old[[#This Row],[Start Month]],1)</f>
        <v>45474</v>
      </c>
      <c r="BK504" s="5">
        <f t="shared" si="183"/>
        <v>31</v>
      </c>
      <c r="BL504" s="5">
        <f t="shared" si="184"/>
        <v>7</v>
      </c>
      <c r="BM504" s="4">
        <f>Modelling_old[[#This Row],[Target E_Grid daily
MWh]]+Modelling_new[[#This Row],[Target E_Grid daily
MWh]]</f>
        <v>77.825414192456861</v>
      </c>
      <c r="BN504" s="4">
        <f>Modelling_old[[#This Row],[Target E_Grid MTD
MWh]]+Modelling_new[[#This Row],[Target E_Grid MTD
MWh]]</f>
        <v>2334.7624257737061</v>
      </c>
      <c r="BO504" s="4">
        <f>Modelling_old[[#This Row],[Target E_Grid YTD
MWh]]+Modelling_new[[#This Row],[Target E_Grid YTD
MWh]]</f>
        <v>12563.54947138916</v>
      </c>
      <c r="BP504" s="4">
        <f>AVERAGE(Modelling_old[[#This Row],[Target POA Daily (KWh/m2)]],Modelling_new[[#This Row],[Target POA Daily (KWh/m2)]])</f>
        <v>4.4064516129032256</v>
      </c>
      <c r="BQ504" s="4">
        <f>SUM($BP$475:BP504)</f>
        <v>132.19354838709677</v>
      </c>
      <c r="BR504" s="4">
        <f>SUM($BP$384:BP504)</f>
        <v>686.99354838709542</v>
      </c>
      <c r="BS504" s="323">
        <f>BM504/Modelling[[#This Row],[Comisined DC ]]/BP504</f>
        <v>0.72672610563703754</v>
      </c>
      <c r="BT504" s="337">
        <f>BN504/BQ504/Modelling[[#This Row],[Comisined DC ]]</f>
        <v>0.72672610563703766</v>
      </c>
      <c r="BU504" s="337">
        <f>BO504/BR504/Modelling[[#This Row],[Comisined DC ]]</f>
        <v>0.7524853025180499</v>
      </c>
      <c r="BV504" s="323">
        <f>BM504/(24*Modelling[[#This Row],[Comisined DC ]])</f>
        <v>0.13342847584680018</v>
      </c>
      <c r="BW504" s="323">
        <f>Modelling[[#This Row],[Target E_Grid MTD
MWh]]/Modelling[[#This Row],[MTD DC Capcity]]/(24*CG504)</f>
        <v>0.13342847584680026</v>
      </c>
      <c r="BX504" s="338">
        <f>Modelling[[#This Row],[Target E_Grid YTD
MWh]]/Modelling[[#This Row],[YTD DC Capcity]]/(24*CH504)</f>
        <v>0.17801396283953552</v>
      </c>
      <c r="BY504" s="4">
        <f>Modelling_old[[#This Row],[DC Capcity]]+Modelling_new[[#This Row],[Comisined DC ]]</f>
        <v>24.303100000000001</v>
      </c>
      <c r="BZ504" s="4">
        <v>0</v>
      </c>
      <c r="CA504">
        <f>AVERAGEIFS(Modelling[[Comisined DC ]],Modelling[Date],"&lt;="&amp;Modelling[[#This Row],[Date]],Modelling[Month Year],Modelling[[#This Row],[Month Year]])</f>
        <v>24.303099999999983</v>
      </c>
      <c r="CB504">
        <f>AVERAGEIFS(Modelling[[Comisined DC ]],Modelling[Date],"&lt;="&amp;Modelling[[#This Row],[Date]],Modelling[Finacial Year],Modelling[[#This Row],[Finacial Year]])</f>
        <v>24.303100000000047</v>
      </c>
      <c r="CG504">
        <f t="shared" si="185"/>
        <v>30</v>
      </c>
      <c r="CH504">
        <f t="shared" si="186"/>
        <v>121</v>
      </c>
    </row>
    <row r="505" spans="1:86" x14ac:dyDescent="0.35">
      <c r="A505" s="27">
        <f t="shared" si="164"/>
        <v>45504</v>
      </c>
      <c r="B505" s="5">
        <f>MONTH(Modelling_old[[#This Row],[Date]])</f>
        <v>7</v>
      </c>
      <c r="C505" s="25">
        <f t="shared" si="165"/>
        <v>2025</v>
      </c>
      <c r="D505" s="3">
        <f t="shared" si="166"/>
        <v>2024</v>
      </c>
      <c r="E505" s="3" t="s">
        <v>627</v>
      </c>
      <c r="F505" s="3" t="s">
        <v>627</v>
      </c>
      <c r="G505" s="102">
        <f>DATE(Modelling_old[[#This Row],[Calendor Year]],Modelling_old[[#This Row],[Start Month]],1)</f>
        <v>45474</v>
      </c>
      <c r="H505" s="5">
        <f t="shared" si="167"/>
        <v>31</v>
      </c>
      <c r="I505" s="5">
        <f t="shared" si="168"/>
        <v>7</v>
      </c>
      <c r="J505" s="4">
        <f>_xlfn.XLOOKUP(Modelling_old[[#This Row],[Month]],$C$1:$C$14,$N$1:$N$14)/Modelling_old[[#This Row],[Total Days]]</f>
        <v>36.264516129032259</v>
      </c>
      <c r="K505" s="4">
        <f>SUM($J$475:J505)</f>
        <v>1124.1999999999998</v>
      </c>
      <c r="L505" s="4">
        <f>SUM($J$384:J505)</f>
        <v>5463.199999999998</v>
      </c>
      <c r="M505" s="4">
        <f t="shared" si="169"/>
        <v>4.4064516129032256</v>
      </c>
      <c r="N505" s="4">
        <f>SUM($M$475:M505)</f>
        <v>136.6</v>
      </c>
      <c r="O505" s="4">
        <f>SUM($M$384:M505)</f>
        <v>691.39999999999861</v>
      </c>
      <c r="P505" s="323">
        <f t="shared" si="170"/>
        <v>0.71544785565665769</v>
      </c>
      <c r="Q505" s="337">
        <f t="shared" si="171"/>
        <v>0.71544785565665769</v>
      </c>
      <c r="R505" s="337">
        <f t="shared" si="172"/>
        <v>0.68691472980883406</v>
      </c>
      <c r="S505" s="323">
        <f t="shared" si="173"/>
        <v>0.13135776489610143</v>
      </c>
      <c r="T505" s="9">
        <f>Modelling_old[[#This Row],[Target E_Grid MTD
MWh]]/Modelling_old[[#This Row],[DC Capcity]]/(24*CG505)</f>
        <v>0.13135776489610138</v>
      </c>
      <c r="U505" s="338">
        <f>Modelling_old[[#This Row],[Target E_Grid YTD
MWh]]/Modelling_old[[#This Row],[DC Capcity]]/(24*CH505)</f>
        <v>0.16220384022876602</v>
      </c>
      <c r="V505" s="134">
        <v>11.5031</v>
      </c>
      <c r="Y505" s="27">
        <f t="shared" si="187"/>
        <v>45504</v>
      </c>
      <c r="Z505" s="5">
        <f>MONTH(Modelling_new[[#This Row],[Date]])</f>
        <v>7</v>
      </c>
      <c r="AA505" s="25">
        <f>YEAR(Y505)+IF(MONTH(Modelling_new[[#This Row],[Date]])&gt;=4,1,0)</f>
        <v>2025</v>
      </c>
      <c r="AB505" s="3">
        <f t="shared" si="174"/>
        <v>2024</v>
      </c>
      <c r="AC505" s="3" t="s">
        <v>627</v>
      </c>
      <c r="AD505" s="3" t="s">
        <v>627</v>
      </c>
      <c r="AE505" s="102">
        <f>DATE(Modelling_old[[#This Row],[Calendor Year]],Modelling_old[[#This Row],[Start Month]],1)</f>
        <v>45474</v>
      </c>
      <c r="AF505" s="5">
        <f t="shared" si="175"/>
        <v>31</v>
      </c>
      <c r="AG505" s="5">
        <f t="shared" si="176"/>
        <v>7</v>
      </c>
      <c r="AH505" s="4">
        <f>_xlfn.XLOOKUP(Modelling_new[[#This Row],[Month]],$AA$1:$AA$14,$AL$1:$AL$14)/Modelling_new[[#This Row],[Total Days]]</f>
        <v>41.560898063424602</v>
      </c>
      <c r="AI505" s="4">
        <f>SUM($AH$475:AH505)</f>
        <v>1288.387839966163</v>
      </c>
      <c r="AJ505" s="4">
        <f>SUM($AH$384:AH505)</f>
        <v>7178.1748855816195</v>
      </c>
      <c r="AK505" s="4">
        <f t="shared" si="177"/>
        <v>4.4064516129032256</v>
      </c>
      <c r="AL505" s="4">
        <f>SUM($AK$475:AK505)</f>
        <v>136.6</v>
      </c>
      <c r="AM505" s="4">
        <f>SUM($AK$384:AK505)</f>
        <v>691.39999999999861</v>
      </c>
      <c r="AN505" s="323">
        <f t="shared" si="178"/>
        <v>0.81993801579603653</v>
      </c>
      <c r="AO505" s="323">
        <f t="shared" si="179"/>
        <v>0.81993801579603676</v>
      </c>
      <c r="AP505" s="323">
        <f t="shared" si="180"/>
        <v>0.90254687034153214</v>
      </c>
      <c r="AQ505" s="323">
        <f t="shared" si="181"/>
        <v>0.15054238300771317</v>
      </c>
      <c r="AR505" s="323">
        <f>Modelling_new[[#This Row],[Target E_Grid MTD
MWh]]/Modelling_new[[#This Row],[MTD DC Capcity]]/(24*CG505)</f>
        <v>0.13528938171687693</v>
      </c>
      <c r="AS505" s="323">
        <f>Modelling_new[[#This Row],[Target E_Grid YTD
MWh]]/Modelling_new[[#This Row],[YTD DC Capcity]]/(24*CH505)</f>
        <v>0.19152831725958516</v>
      </c>
      <c r="AT505" s="5">
        <v>12.8</v>
      </c>
      <c r="AU505" s="9">
        <f>Modelling_new[[#This Row],[Comisined DC ]]/$AO$1</f>
        <v>1</v>
      </c>
      <c r="AV505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05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05" s="27">
        <f t="shared" si="188"/>
        <v>45504</v>
      </c>
      <c r="BE505" s="5">
        <f>MONTH(Modelling[[#This Row],[Date]])</f>
        <v>7</v>
      </c>
      <c r="BF505" s="25">
        <f>YEAR(BD505)+IF(MONTH(Modelling[[#This Row],[Date]])&gt;=4,1,0)</f>
        <v>2025</v>
      </c>
      <c r="BG505" s="3">
        <f t="shared" si="182"/>
        <v>2024</v>
      </c>
      <c r="BH505" s="3" t="s">
        <v>627</v>
      </c>
      <c r="BI505" s="3" t="s">
        <v>627</v>
      </c>
      <c r="BJ505" s="102">
        <f>DATE(Modelling_old[[#This Row],[Calendor Year]],Modelling_old[[#This Row],[Start Month]],1)</f>
        <v>45474</v>
      </c>
      <c r="BK505" s="5">
        <f t="shared" si="183"/>
        <v>31</v>
      </c>
      <c r="BL505" s="5">
        <f t="shared" si="184"/>
        <v>7</v>
      </c>
      <c r="BM505" s="4">
        <f>Modelling_old[[#This Row],[Target E_Grid daily
MWh]]+Modelling_new[[#This Row],[Target E_Grid daily
MWh]]</f>
        <v>77.825414192456861</v>
      </c>
      <c r="BN505" s="4">
        <f>Modelling_old[[#This Row],[Target E_Grid MTD
MWh]]+Modelling_new[[#This Row],[Target E_Grid MTD
MWh]]</f>
        <v>2412.5878399661628</v>
      </c>
      <c r="BO505" s="4">
        <f>Modelling_old[[#This Row],[Target E_Grid YTD
MWh]]+Modelling_new[[#This Row],[Target E_Grid YTD
MWh]]</f>
        <v>12641.374885581617</v>
      </c>
      <c r="BP505" s="4">
        <f>AVERAGE(Modelling_old[[#This Row],[Target POA Daily (KWh/m2)]],Modelling_new[[#This Row],[Target POA Daily (KWh/m2)]])</f>
        <v>4.4064516129032256</v>
      </c>
      <c r="BQ505" s="4">
        <f>SUM($BP$475:BP505)</f>
        <v>136.6</v>
      </c>
      <c r="BR505" s="4">
        <f>SUM($BP$384:BP505)</f>
        <v>691.39999999999861</v>
      </c>
      <c r="BS505" s="323">
        <f>BM505/Modelling[[#This Row],[Comisined DC ]]/BP505</f>
        <v>0.72672610563703754</v>
      </c>
      <c r="BT505" s="337">
        <f>BN505/BQ505/Modelling[[#This Row],[Comisined DC ]]</f>
        <v>0.72672610563703754</v>
      </c>
      <c r="BU505" s="337">
        <f>BO505/BR505/Modelling[[#This Row],[Comisined DC ]]</f>
        <v>0.75232113321714833</v>
      </c>
      <c r="BV505" s="323">
        <f>BM505/(24*Modelling[[#This Row],[Comisined DC ]])</f>
        <v>0.13342847584680018</v>
      </c>
      <c r="BW505" s="323">
        <f>Modelling[[#This Row],[Target E_Grid MTD
MWh]]/Modelling[[#This Row],[MTD DC Capcity]]/(24*CG505)</f>
        <v>0.13342847584680029</v>
      </c>
      <c r="BX505" s="338">
        <f>Modelling[[#This Row],[Target E_Grid YTD
MWh]]/Modelling[[#This Row],[YTD DC Capcity]]/(24*CH505)</f>
        <v>0.1776485080281196</v>
      </c>
      <c r="BY505" s="4">
        <f>Modelling_old[[#This Row],[DC Capcity]]+Modelling_new[[#This Row],[Comisined DC ]]</f>
        <v>24.303100000000001</v>
      </c>
      <c r="BZ505" s="4">
        <v>0</v>
      </c>
      <c r="CA505">
        <f>AVERAGEIFS(Modelling[[Comisined DC ]],Modelling[Date],"&lt;="&amp;Modelling[[#This Row],[Date]],Modelling[Month Year],Modelling[[#This Row],[Month Year]])</f>
        <v>24.303099999999983</v>
      </c>
      <c r="CB505">
        <f>AVERAGEIFS(Modelling[[Comisined DC ]],Modelling[Date],"&lt;="&amp;Modelling[[#This Row],[Date]],Modelling[Finacial Year],Modelling[[#This Row],[Finacial Year]])</f>
        <v>24.30310000000005</v>
      </c>
      <c r="CG505">
        <f t="shared" si="185"/>
        <v>31</v>
      </c>
      <c r="CH505">
        <f t="shared" si="186"/>
        <v>122</v>
      </c>
    </row>
    <row r="506" spans="1:86" x14ac:dyDescent="0.35">
      <c r="A506" s="27">
        <f t="shared" si="164"/>
        <v>45505</v>
      </c>
      <c r="B506" s="5">
        <f>MONTH(Modelling_old[[#This Row],[Date]])</f>
        <v>8</v>
      </c>
      <c r="C506" s="25">
        <f t="shared" si="165"/>
        <v>2025</v>
      </c>
      <c r="D506" s="3">
        <f t="shared" si="166"/>
        <v>2024</v>
      </c>
      <c r="E506" s="3" t="s">
        <v>627</v>
      </c>
      <c r="F506" s="3" t="s">
        <v>627</v>
      </c>
      <c r="G506" s="102">
        <f>DATE(Modelling_old[[#This Row],[Calendor Year]],Modelling_old[[#This Row],[Start Month]],1)</f>
        <v>45505</v>
      </c>
      <c r="H506" s="5">
        <f t="shared" si="167"/>
        <v>31</v>
      </c>
      <c r="I506" s="5">
        <f t="shared" si="168"/>
        <v>8</v>
      </c>
      <c r="J506" s="4">
        <f>_xlfn.XLOOKUP(Modelling_old[[#This Row],[Month]],$C$1:$C$14,$N$1:$N$14)/Modelling_old[[#This Row],[Total Days]]</f>
        <v>34.264516129032259</v>
      </c>
      <c r="K506" s="4">
        <f>SUM($J$506:J506)</f>
        <v>34.264516129032259</v>
      </c>
      <c r="L506" s="4">
        <f>SUM($J$384:J506)</f>
        <v>5497.46451612903</v>
      </c>
      <c r="M506" s="4">
        <f t="shared" si="169"/>
        <v>4.1741935483870973</v>
      </c>
      <c r="N506" s="4">
        <f>SUM($M$506:M506)</f>
        <v>4.1741935483870973</v>
      </c>
      <c r="O506" s="4">
        <f>SUM($M$384:M506)</f>
        <v>695.57419354838567</v>
      </c>
      <c r="P506" s="323">
        <f t="shared" si="170"/>
        <v>0.71360375310159307</v>
      </c>
      <c r="Q506" s="337">
        <f t="shared" si="171"/>
        <v>0.71360375310159307</v>
      </c>
      <c r="R506" s="337">
        <f t="shared" si="172"/>
        <v>0.68707489266403299</v>
      </c>
      <c r="S506" s="323">
        <f t="shared" si="173"/>
        <v>0.12411334092922872</v>
      </c>
      <c r="T506" s="9">
        <f>Modelling_old[[#This Row],[Target E_Grid MTD
MWh]]/Modelling_old[[#This Row],[DC Capcity]]/(24*CG506)</f>
        <v>0.12411334092922871</v>
      </c>
      <c r="U506" s="338">
        <f>Modelling_old[[#This Row],[Target E_Grid YTD
MWh]]/Modelling_old[[#This Row],[DC Capcity]]/(24*CH506)</f>
        <v>0.16189416137267221</v>
      </c>
      <c r="V506" s="134">
        <v>11.5031</v>
      </c>
      <c r="Y506" s="27">
        <f t="shared" si="187"/>
        <v>45505</v>
      </c>
      <c r="Z506" s="5">
        <f>MONTH(Modelling_new[[#This Row],[Date]])</f>
        <v>8</v>
      </c>
      <c r="AA506" s="25">
        <f>YEAR(Y506)+IF(MONTH(Modelling_new[[#This Row],[Date]])&gt;=4,1,0)</f>
        <v>2025</v>
      </c>
      <c r="AB506" s="3">
        <f t="shared" si="174"/>
        <v>2024</v>
      </c>
      <c r="AC506" s="3" t="s">
        <v>627</v>
      </c>
      <c r="AD506" s="3" t="s">
        <v>627</v>
      </c>
      <c r="AE506" s="102">
        <f>DATE(Modelling_old[[#This Row],[Calendor Year]],Modelling_old[[#This Row],[Start Month]],1)</f>
        <v>45505</v>
      </c>
      <c r="AF506" s="5">
        <f t="shared" si="175"/>
        <v>31</v>
      </c>
      <c r="AG506" s="5">
        <f t="shared" si="176"/>
        <v>8</v>
      </c>
      <c r="AH506" s="4">
        <f>_xlfn.XLOOKUP(Modelling_new[[#This Row],[Month]],$AA$1:$AA$14,$AL$1:$AL$14)/Modelling_new[[#This Row],[Total Days]]</f>
        <v>44.14257670993775</v>
      </c>
      <c r="AI506" s="4">
        <f>SUM($AH$506:AH506)</f>
        <v>44.14257670993775</v>
      </c>
      <c r="AJ506" s="4">
        <f>SUM($AH$384:AH506)</f>
        <v>7222.3174622915576</v>
      </c>
      <c r="AK506" s="4">
        <f t="shared" si="177"/>
        <v>4.1741935483870973</v>
      </c>
      <c r="AL506" s="4">
        <f>SUM($AK$506:AK506)</f>
        <v>4.1741935483870973</v>
      </c>
      <c r="AM506" s="4">
        <f>SUM($AK$384:AK506)</f>
        <v>695.57419354838567</v>
      </c>
      <c r="AN506" s="323">
        <f t="shared" si="178"/>
        <v>0.91932739669119101</v>
      </c>
      <c r="AO506" s="323">
        <f t="shared" si="179"/>
        <v>0.91932739669119101</v>
      </c>
      <c r="AP506" s="323">
        <f t="shared" si="180"/>
        <v>0.90264757155425257</v>
      </c>
      <c r="AQ506" s="323">
        <f t="shared" si="181"/>
        <v>0.15989377033849483</v>
      </c>
      <c r="AR506" s="323">
        <f>Modelling_new[[#This Row],[Target E_Grid MTD
MWh]]/Modelling_new[[#This Row],[MTD DC Capcity]]/(24*CG506)</f>
        <v>0.14369328356099528</v>
      </c>
      <c r="AS506" s="323">
        <f>Modelling_new[[#This Row],[Target E_Grid YTD
MWh]]/Modelling_new[[#This Row],[YTD DC Capcity]]/(24*CH506)</f>
        <v>0.1911394145465885</v>
      </c>
      <c r="AT506" s="5">
        <v>12.8</v>
      </c>
      <c r="AU506" s="9">
        <f>Modelling_new[[#This Row],[Comisined DC ]]/$AO$1</f>
        <v>1</v>
      </c>
      <c r="AV506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06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06" s="27">
        <f t="shared" si="188"/>
        <v>45505</v>
      </c>
      <c r="BE506" s="5">
        <f>MONTH(Modelling[[#This Row],[Date]])</f>
        <v>8</v>
      </c>
      <c r="BF506" s="25">
        <f>YEAR(BD506)+IF(MONTH(Modelling[[#This Row],[Date]])&gt;=4,1,0)</f>
        <v>2025</v>
      </c>
      <c r="BG506" s="3">
        <f t="shared" si="182"/>
        <v>2024</v>
      </c>
      <c r="BH506" s="3" t="s">
        <v>627</v>
      </c>
      <c r="BI506" s="3" t="s">
        <v>627</v>
      </c>
      <c r="BJ506" s="102">
        <f>DATE(Modelling_old[[#This Row],[Calendor Year]],Modelling_old[[#This Row],[Start Month]],1)</f>
        <v>45505</v>
      </c>
      <c r="BK506" s="5">
        <f t="shared" si="183"/>
        <v>31</v>
      </c>
      <c r="BL506" s="5">
        <f t="shared" si="184"/>
        <v>8</v>
      </c>
      <c r="BM506" s="4">
        <f>Modelling_old[[#This Row],[Target E_Grid daily
MWh]]+Modelling_new[[#This Row],[Target E_Grid daily
MWh]]</f>
        <v>78.407092838970016</v>
      </c>
      <c r="BN506" s="4">
        <f>Modelling_old[[#This Row],[Target E_Grid MTD
MWh]]+Modelling_new[[#This Row],[Target E_Grid MTD
MWh]]</f>
        <v>78.407092838970016</v>
      </c>
      <c r="BO506" s="4">
        <f>Modelling_old[[#This Row],[Target E_Grid YTD
MWh]]+Modelling_new[[#This Row],[Target E_Grid YTD
MWh]]</f>
        <v>12719.781978420588</v>
      </c>
      <c r="BP506" s="4">
        <f>AVERAGE(Modelling_old[[#This Row],[Target POA Daily (KWh/m2)]],Modelling_new[[#This Row],[Target POA Daily (KWh/m2)]])</f>
        <v>4.1741935483870973</v>
      </c>
      <c r="BQ506" s="4">
        <f>SUM($BP$506:BP506)</f>
        <v>4.1741935483870973</v>
      </c>
      <c r="BR506" s="4">
        <f>SUM($BP$384:BP506)</f>
        <v>695.57419354838567</v>
      </c>
      <c r="BS506" s="323">
        <f>BM506/Modelling[[#This Row],[Comisined DC ]]/BP506</f>
        <v>0.77289606302000058</v>
      </c>
      <c r="BT506" s="337">
        <f>BN506/BQ506/Modelling[[#This Row],[Comisined DC ]]</f>
        <v>0.77289606302000069</v>
      </c>
      <c r="BU506" s="337">
        <f>BO506/BR506/Modelling[[#This Row],[Comisined DC ]]</f>
        <v>0.75244460493308918</v>
      </c>
      <c r="BV506" s="323">
        <f>BM506/(24*Modelling[[#This Row],[Comisined DC ]])</f>
        <v>0.13442573999299476</v>
      </c>
      <c r="BW506" s="323">
        <f>Modelling[[#This Row],[Target E_Grid MTD
MWh]]/Modelling[[#This Row],[MTD DC Capcity]]/(24*CG506)</f>
        <v>0.13442573999299476</v>
      </c>
      <c r="BX506" s="338">
        <f>Modelling[[#This Row],[Target E_Grid YTD
MWh]]/Modelling[[#This Row],[YTD DC Capcity]]/(24*CH506)</f>
        <v>0.17729710340994786</v>
      </c>
      <c r="BY506" s="4">
        <f>Modelling_old[[#This Row],[DC Capcity]]+Modelling_new[[#This Row],[Comisined DC ]]</f>
        <v>24.303100000000001</v>
      </c>
      <c r="BZ506" s="4">
        <v>0</v>
      </c>
      <c r="CA506">
        <f>AVERAGEIFS(Modelling[[Comisined DC ]],Modelling[Date],"&lt;="&amp;Modelling[[#This Row],[Date]],Modelling[Month Year],Modelling[[#This Row],[Month Year]])</f>
        <v>24.303100000000001</v>
      </c>
      <c r="CB506">
        <f>AVERAGEIFS(Modelling[[Comisined DC ]],Modelling[Date],"&lt;="&amp;Modelling[[#This Row],[Date]],Modelling[Finacial Year],Modelling[[#This Row],[Finacial Year]])</f>
        <v>24.30310000000005</v>
      </c>
      <c r="CG506">
        <v>1</v>
      </c>
      <c r="CH506">
        <f t="shared" si="186"/>
        <v>123</v>
      </c>
    </row>
    <row r="507" spans="1:86" x14ac:dyDescent="0.35">
      <c r="A507" s="27">
        <f t="shared" si="164"/>
        <v>45506</v>
      </c>
      <c r="B507" s="5">
        <f>MONTH(Modelling_old[[#This Row],[Date]])</f>
        <v>8</v>
      </c>
      <c r="C507" s="25">
        <f t="shared" si="165"/>
        <v>2025</v>
      </c>
      <c r="D507" s="3">
        <f t="shared" si="166"/>
        <v>2024</v>
      </c>
      <c r="E507" s="3" t="s">
        <v>627</v>
      </c>
      <c r="F507" s="3" t="s">
        <v>627</v>
      </c>
      <c r="G507" s="102">
        <f>DATE(Modelling_old[[#This Row],[Calendor Year]],Modelling_old[[#This Row],[Start Month]],1)</f>
        <v>45505</v>
      </c>
      <c r="H507" s="5">
        <f t="shared" si="167"/>
        <v>31</v>
      </c>
      <c r="I507" s="5">
        <f t="shared" si="168"/>
        <v>8</v>
      </c>
      <c r="J507" s="4">
        <f>_xlfn.XLOOKUP(Modelling_old[[#This Row],[Month]],$C$1:$C$14,$N$1:$N$14)/Modelling_old[[#This Row],[Total Days]]</f>
        <v>34.264516129032259</v>
      </c>
      <c r="K507" s="4">
        <f>SUM($J$506:J507)</f>
        <v>68.529032258064518</v>
      </c>
      <c r="L507" s="4">
        <f>SUM($J$384:J507)</f>
        <v>5531.729032258062</v>
      </c>
      <c r="M507" s="4">
        <f t="shared" si="169"/>
        <v>4.1741935483870973</v>
      </c>
      <c r="N507" s="4">
        <f>SUM($M$506:M507)</f>
        <v>8.3483870967741947</v>
      </c>
      <c r="O507" s="4">
        <f>SUM($M$384:M507)</f>
        <v>699.74838709677272</v>
      </c>
      <c r="P507" s="323">
        <f t="shared" si="170"/>
        <v>0.71360375310159307</v>
      </c>
      <c r="Q507" s="337">
        <f t="shared" si="171"/>
        <v>0.71360375310159307</v>
      </c>
      <c r="R507" s="337">
        <f t="shared" si="172"/>
        <v>0.68723314468736951</v>
      </c>
      <c r="S507" s="323">
        <f t="shared" si="173"/>
        <v>0.12411334092922872</v>
      </c>
      <c r="T507" s="9">
        <f>Modelling_old[[#This Row],[Target E_Grid MTD
MWh]]/Modelling_old[[#This Row],[DC Capcity]]/(24*CG507)</f>
        <v>0.12411334092922871</v>
      </c>
      <c r="U507" s="338">
        <f>Modelling_old[[#This Row],[Target E_Grid YTD
MWh]]/Modelling_old[[#This Row],[DC Capcity]]/(24*CH507)</f>
        <v>0.16158947733683798</v>
      </c>
      <c r="V507" s="134">
        <v>11.5031</v>
      </c>
      <c r="Y507" s="27">
        <f t="shared" si="187"/>
        <v>45506</v>
      </c>
      <c r="Z507" s="5">
        <f>MONTH(Modelling_new[[#This Row],[Date]])</f>
        <v>8</v>
      </c>
      <c r="AA507" s="25">
        <f>YEAR(Y507)+IF(MONTH(Modelling_new[[#This Row],[Date]])&gt;=4,1,0)</f>
        <v>2025</v>
      </c>
      <c r="AB507" s="3">
        <f t="shared" si="174"/>
        <v>2024</v>
      </c>
      <c r="AC507" s="3" t="s">
        <v>627</v>
      </c>
      <c r="AD507" s="3" t="s">
        <v>627</v>
      </c>
      <c r="AE507" s="102">
        <f>DATE(Modelling_old[[#This Row],[Calendor Year]],Modelling_old[[#This Row],[Start Month]],1)</f>
        <v>45505</v>
      </c>
      <c r="AF507" s="5">
        <f t="shared" si="175"/>
        <v>31</v>
      </c>
      <c r="AG507" s="5">
        <f t="shared" si="176"/>
        <v>8</v>
      </c>
      <c r="AH507" s="4">
        <f>_xlfn.XLOOKUP(Modelling_new[[#This Row],[Month]],$AA$1:$AA$14,$AL$1:$AL$14)/Modelling_new[[#This Row],[Total Days]]</f>
        <v>44.14257670993775</v>
      </c>
      <c r="AI507" s="4">
        <f>SUM($AH$506:AH507)</f>
        <v>88.285153419875499</v>
      </c>
      <c r="AJ507" s="4">
        <f>SUM($AH$384:AH507)</f>
        <v>7266.4600390014957</v>
      </c>
      <c r="AK507" s="4">
        <f t="shared" si="177"/>
        <v>4.1741935483870973</v>
      </c>
      <c r="AL507" s="4">
        <f>SUM($AK$506:AK507)</f>
        <v>8.3483870967741947</v>
      </c>
      <c r="AM507" s="4">
        <f>SUM($AK$384:AK507)</f>
        <v>699.74838709677272</v>
      </c>
      <c r="AN507" s="323">
        <f t="shared" si="178"/>
        <v>0.91932739669119101</v>
      </c>
      <c r="AO507" s="323">
        <f t="shared" si="179"/>
        <v>0.91932739669119101</v>
      </c>
      <c r="AP507" s="323">
        <f t="shared" si="180"/>
        <v>0.90274707134554721</v>
      </c>
      <c r="AQ507" s="323">
        <f t="shared" si="181"/>
        <v>0.15989377033849483</v>
      </c>
      <c r="AR507" s="323">
        <f>Modelling_new[[#This Row],[Target E_Grid MTD
MWh]]/Modelling_new[[#This Row],[MTD DC Capcity]]/(24*CG507)</f>
        <v>0.14369328356099528</v>
      </c>
      <c r="AS507" s="323">
        <f>Modelling_new[[#This Row],[Target E_Grid YTD
MWh]]/Modelling_new[[#This Row],[YTD DC Capcity]]/(24*CH507)</f>
        <v>0.19075678445799502</v>
      </c>
      <c r="AT507" s="5">
        <v>12.8</v>
      </c>
      <c r="AU507" s="9">
        <f>Modelling_new[[#This Row],[Comisined DC ]]/$AO$1</f>
        <v>1</v>
      </c>
      <c r="AV50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07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07" s="27">
        <f t="shared" si="188"/>
        <v>45506</v>
      </c>
      <c r="BE507" s="5">
        <f>MONTH(Modelling[[#This Row],[Date]])</f>
        <v>8</v>
      </c>
      <c r="BF507" s="25">
        <f>YEAR(BD507)+IF(MONTH(Modelling[[#This Row],[Date]])&gt;=4,1,0)</f>
        <v>2025</v>
      </c>
      <c r="BG507" s="3">
        <f t="shared" si="182"/>
        <v>2024</v>
      </c>
      <c r="BH507" s="3" t="s">
        <v>627</v>
      </c>
      <c r="BI507" s="3" t="s">
        <v>627</v>
      </c>
      <c r="BJ507" s="102">
        <f>DATE(Modelling_old[[#This Row],[Calendor Year]],Modelling_old[[#This Row],[Start Month]],1)</f>
        <v>45505</v>
      </c>
      <c r="BK507" s="5">
        <f t="shared" si="183"/>
        <v>31</v>
      </c>
      <c r="BL507" s="5">
        <f t="shared" si="184"/>
        <v>8</v>
      </c>
      <c r="BM507" s="4">
        <f>Modelling_old[[#This Row],[Target E_Grid daily
MWh]]+Modelling_new[[#This Row],[Target E_Grid daily
MWh]]</f>
        <v>78.407092838970016</v>
      </c>
      <c r="BN507" s="4">
        <f>Modelling_old[[#This Row],[Target E_Grid MTD
MWh]]+Modelling_new[[#This Row],[Target E_Grid MTD
MWh]]</f>
        <v>156.81418567794003</v>
      </c>
      <c r="BO507" s="4">
        <f>Modelling_old[[#This Row],[Target E_Grid YTD
MWh]]+Modelling_new[[#This Row],[Target E_Grid YTD
MWh]]</f>
        <v>12798.189071259558</v>
      </c>
      <c r="BP507" s="4">
        <f>AVERAGE(Modelling_old[[#This Row],[Target POA Daily (KWh/m2)]],Modelling_new[[#This Row],[Target POA Daily (KWh/m2)]])</f>
        <v>4.1741935483870973</v>
      </c>
      <c r="BQ507" s="4">
        <f>SUM($BP$506:BP507)</f>
        <v>8.3483870967741947</v>
      </c>
      <c r="BR507" s="4">
        <f>SUM($BP$384:BP507)</f>
        <v>699.74838709677272</v>
      </c>
      <c r="BS507" s="323">
        <f>BM507/Modelling[[#This Row],[Comisined DC ]]/BP507</f>
        <v>0.77289606302000058</v>
      </c>
      <c r="BT507" s="337">
        <f>BN507/BQ507/Modelling[[#This Row],[Comisined DC ]]</f>
        <v>0.77289606302000069</v>
      </c>
      <c r="BU507" s="337">
        <f>BO507/BR507/Modelling[[#This Row],[Comisined DC ]]</f>
        <v>0.75256660356284766</v>
      </c>
      <c r="BV507" s="323">
        <f>BM507/(24*Modelling[[#This Row],[Comisined DC ]])</f>
        <v>0.13442573999299476</v>
      </c>
      <c r="BW507" s="323">
        <f>Modelling[[#This Row],[Target E_Grid MTD
MWh]]/Modelling[[#This Row],[MTD DC Capcity]]/(24*CG507)</f>
        <v>0.13442573999299476</v>
      </c>
      <c r="BX507" s="338">
        <f>Modelling[[#This Row],[Target E_Grid YTD
MWh]]/Modelling[[#This Row],[YTD DC Capcity]]/(24*CH507)</f>
        <v>0.17695136660819824</v>
      </c>
      <c r="BY507" s="4">
        <f>Modelling_old[[#This Row],[DC Capcity]]+Modelling_new[[#This Row],[Comisined DC ]]</f>
        <v>24.303100000000001</v>
      </c>
      <c r="BZ507" s="4">
        <v>0</v>
      </c>
      <c r="CA507">
        <f>AVERAGEIFS(Modelling[[Comisined DC ]],Modelling[Date],"&lt;="&amp;Modelling[[#This Row],[Date]],Modelling[Month Year],Modelling[[#This Row],[Month Year]])</f>
        <v>24.303100000000001</v>
      </c>
      <c r="CB507">
        <f>AVERAGEIFS(Modelling[[Comisined DC ]],Modelling[Date],"&lt;="&amp;Modelling[[#This Row],[Date]],Modelling[Finacial Year],Modelling[[#This Row],[Finacial Year]])</f>
        <v>24.30310000000005</v>
      </c>
      <c r="CG507">
        <f t="shared" si="185"/>
        <v>2</v>
      </c>
      <c r="CH507">
        <f t="shared" si="186"/>
        <v>124</v>
      </c>
    </row>
    <row r="508" spans="1:86" x14ac:dyDescent="0.35">
      <c r="A508" s="27">
        <f t="shared" si="164"/>
        <v>45507</v>
      </c>
      <c r="B508" s="5">
        <f>MONTH(Modelling_old[[#This Row],[Date]])</f>
        <v>8</v>
      </c>
      <c r="C508" s="25">
        <f t="shared" si="165"/>
        <v>2025</v>
      </c>
      <c r="D508" s="3">
        <f t="shared" si="166"/>
        <v>2024</v>
      </c>
      <c r="E508" s="3" t="s">
        <v>627</v>
      </c>
      <c r="F508" s="3" t="s">
        <v>627</v>
      </c>
      <c r="G508" s="102">
        <f>DATE(Modelling_old[[#This Row],[Calendor Year]],Modelling_old[[#This Row],[Start Month]],1)</f>
        <v>45505</v>
      </c>
      <c r="H508" s="5">
        <f t="shared" si="167"/>
        <v>31</v>
      </c>
      <c r="I508" s="5">
        <f t="shared" si="168"/>
        <v>8</v>
      </c>
      <c r="J508" s="4">
        <f>_xlfn.XLOOKUP(Modelling_old[[#This Row],[Month]],$C$1:$C$14,$N$1:$N$14)/Modelling_old[[#This Row],[Total Days]]</f>
        <v>34.264516129032259</v>
      </c>
      <c r="K508" s="4">
        <f>SUM($J$506:J508)</f>
        <v>102.79354838709678</v>
      </c>
      <c r="L508" s="4">
        <f>SUM($J$384:J508)</f>
        <v>5565.9935483870941</v>
      </c>
      <c r="M508" s="4">
        <f t="shared" si="169"/>
        <v>4.1741935483870973</v>
      </c>
      <c r="N508" s="4">
        <f>SUM($M$506:M508)</f>
        <v>12.522580645161291</v>
      </c>
      <c r="O508" s="4">
        <f>SUM($M$384:M508)</f>
        <v>703.92258064515977</v>
      </c>
      <c r="P508" s="323">
        <f t="shared" si="170"/>
        <v>0.71360375310159307</v>
      </c>
      <c r="Q508" s="337">
        <f t="shared" si="171"/>
        <v>0.71360375310159307</v>
      </c>
      <c r="R508" s="337">
        <f t="shared" si="172"/>
        <v>0.68738951987199404</v>
      </c>
      <c r="S508" s="323">
        <f t="shared" si="173"/>
        <v>0.12411334092922872</v>
      </c>
      <c r="T508" s="9">
        <f>Modelling_old[[#This Row],[Target E_Grid MTD
MWh]]/Modelling_old[[#This Row],[DC Capcity]]/(24*CG508)</f>
        <v>0.12411334092922871</v>
      </c>
      <c r="U508" s="338">
        <f>Modelling_old[[#This Row],[Target E_Grid YTD
MWh]]/Modelling_old[[#This Row],[DC Capcity]]/(24*CH508)</f>
        <v>0.16128966824557711</v>
      </c>
      <c r="V508" s="134">
        <v>11.5031</v>
      </c>
      <c r="Y508" s="27">
        <f t="shared" si="187"/>
        <v>45507</v>
      </c>
      <c r="Z508" s="5">
        <f>MONTH(Modelling_new[[#This Row],[Date]])</f>
        <v>8</v>
      </c>
      <c r="AA508" s="25">
        <f>YEAR(Y508)+IF(MONTH(Modelling_new[[#This Row],[Date]])&gt;=4,1,0)</f>
        <v>2025</v>
      </c>
      <c r="AB508" s="3">
        <f t="shared" si="174"/>
        <v>2024</v>
      </c>
      <c r="AC508" s="3" t="s">
        <v>627</v>
      </c>
      <c r="AD508" s="3" t="s">
        <v>627</v>
      </c>
      <c r="AE508" s="102">
        <f>DATE(Modelling_old[[#This Row],[Calendor Year]],Modelling_old[[#This Row],[Start Month]],1)</f>
        <v>45505</v>
      </c>
      <c r="AF508" s="5">
        <f t="shared" si="175"/>
        <v>31</v>
      </c>
      <c r="AG508" s="5">
        <f t="shared" si="176"/>
        <v>8</v>
      </c>
      <c r="AH508" s="4">
        <f>_xlfn.XLOOKUP(Modelling_new[[#This Row],[Month]],$AA$1:$AA$14,$AL$1:$AL$14)/Modelling_new[[#This Row],[Total Days]]</f>
        <v>44.14257670993775</v>
      </c>
      <c r="AI508" s="4">
        <f>SUM($AH$506:AH508)</f>
        <v>132.42773012981326</v>
      </c>
      <c r="AJ508" s="4">
        <f>SUM($AH$384:AH508)</f>
        <v>7310.6026157114338</v>
      </c>
      <c r="AK508" s="4">
        <f t="shared" si="177"/>
        <v>4.1741935483870973</v>
      </c>
      <c r="AL508" s="4">
        <f>SUM($AK$506:AK508)</f>
        <v>12.522580645161291</v>
      </c>
      <c r="AM508" s="4">
        <f>SUM($AK$384:AK508)</f>
        <v>703.92258064515977</v>
      </c>
      <c r="AN508" s="323">
        <f t="shared" si="178"/>
        <v>0.91932739669119101</v>
      </c>
      <c r="AO508" s="323">
        <f t="shared" si="179"/>
        <v>0.91932739669119112</v>
      </c>
      <c r="AP508" s="323">
        <f t="shared" si="180"/>
        <v>0.90284539108835848</v>
      </c>
      <c r="AQ508" s="323">
        <f t="shared" si="181"/>
        <v>0.15989377033849483</v>
      </c>
      <c r="AR508" s="323">
        <f>Modelling_new[[#This Row],[Target E_Grid MTD
MWh]]/Modelling_new[[#This Row],[MTD DC Capcity]]/(24*CG508)</f>
        <v>0.14369328356099526</v>
      </c>
      <c r="AS508" s="323">
        <f>Modelling_new[[#This Row],[Target E_Grid YTD
MWh]]/Modelling_new[[#This Row],[YTD DC Capcity]]/(24*CH508)</f>
        <v>0.19038027645081904</v>
      </c>
      <c r="AT508" s="5">
        <v>12.8</v>
      </c>
      <c r="AU508" s="9">
        <f>Modelling_new[[#This Row],[Comisined DC ]]/$AO$1</f>
        <v>1</v>
      </c>
      <c r="AV508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08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08" s="27">
        <f t="shared" si="188"/>
        <v>45507</v>
      </c>
      <c r="BE508" s="5">
        <f>MONTH(Modelling[[#This Row],[Date]])</f>
        <v>8</v>
      </c>
      <c r="BF508" s="25">
        <f>YEAR(BD508)+IF(MONTH(Modelling[[#This Row],[Date]])&gt;=4,1,0)</f>
        <v>2025</v>
      </c>
      <c r="BG508" s="3">
        <f t="shared" si="182"/>
        <v>2024</v>
      </c>
      <c r="BH508" s="3" t="s">
        <v>627</v>
      </c>
      <c r="BI508" s="3" t="s">
        <v>627</v>
      </c>
      <c r="BJ508" s="102">
        <f>DATE(Modelling_old[[#This Row],[Calendor Year]],Modelling_old[[#This Row],[Start Month]],1)</f>
        <v>45505</v>
      </c>
      <c r="BK508" s="5">
        <f t="shared" si="183"/>
        <v>31</v>
      </c>
      <c r="BL508" s="5">
        <f t="shared" si="184"/>
        <v>8</v>
      </c>
      <c r="BM508" s="4">
        <f>Modelling_old[[#This Row],[Target E_Grid daily
MWh]]+Modelling_new[[#This Row],[Target E_Grid daily
MWh]]</f>
        <v>78.407092838970016</v>
      </c>
      <c r="BN508" s="4">
        <f>Modelling_old[[#This Row],[Target E_Grid MTD
MWh]]+Modelling_new[[#This Row],[Target E_Grid MTD
MWh]]</f>
        <v>235.22127851691005</v>
      </c>
      <c r="BO508" s="4">
        <f>Modelling_old[[#This Row],[Target E_Grid YTD
MWh]]+Modelling_new[[#This Row],[Target E_Grid YTD
MWh]]</f>
        <v>12876.596164098528</v>
      </c>
      <c r="BP508" s="4">
        <f>AVERAGE(Modelling_old[[#This Row],[Target POA Daily (KWh/m2)]],Modelling_new[[#This Row],[Target POA Daily (KWh/m2)]])</f>
        <v>4.1741935483870973</v>
      </c>
      <c r="BQ508" s="4">
        <f>SUM($BP$506:BP508)</f>
        <v>12.522580645161291</v>
      </c>
      <c r="BR508" s="4">
        <f>SUM($BP$384:BP508)</f>
        <v>703.92258064515977</v>
      </c>
      <c r="BS508" s="323">
        <f>BM508/Modelling[[#This Row],[Comisined DC ]]/BP508</f>
        <v>0.77289606302000058</v>
      </c>
      <c r="BT508" s="337">
        <f>BN508/BQ508/Modelling[[#This Row],[Comisined DC ]]</f>
        <v>0.77289606302000069</v>
      </c>
      <c r="BU508" s="337">
        <f>BO508/BR508/Modelling[[#This Row],[Comisined DC ]]</f>
        <v>0.7526871553122042</v>
      </c>
      <c r="BV508" s="323">
        <f>BM508/(24*Modelling[[#This Row],[Comisined DC ]])</f>
        <v>0.13442573999299476</v>
      </c>
      <c r="BW508" s="323">
        <f>Modelling[[#This Row],[Target E_Grid MTD
MWh]]/Modelling[[#This Row],[MTD DC Capcity]]/(24*CG508)</f>
        <v>0.13442573999299476</v>
      </c>
      <c r="BX508" s="338">
        <f>Modelling[[#This Row],[Target E_Grid YTD
MWh]]/Modelling[[#This Row],[YTD DC Capcity]]/(24*CH508)</f>
        <v>0.17661116159527659</v>
      </c>
      <c r="BY508" s="4">
        <f>Modelling_old[[#This Row],[DC Capcity]]+Modelling_new[[#This Row],[Comisined DC ]]</f>
        <v>24.303100000000001</v>
      </c>
      <c r="BZ508" s="4">
        <v>0</v>
      </c>
      <c r="CA508">
        <f>AVERAGEIFS(Modelling[[Comisined DC ]],Modelling[Date],"&lt;="&amp;Modelling[[#This Row],[Date]],Modelling[Month Year],Modelling[[#This Row],[Month Year]])</f>
        <v>24.303100000000001</v>
      </c>
      <c r="CB508">
        <f>AVERAGEIFS(Modelling[[Comisined DC ]],Modelling[Date],"&lt;="&amp;Modelling[[#This Row],[Date]],Modelling[Finacial Year],Modelling[[#This Row],[Finacial Year]])</f>
        <v>24.30310000000005</v>
      </c>
      <c r="CG508">
        <f t="shared" si="185"/>
        <v>3</v>
      </c>
      <c r="CH508">
        <f t="shared" si="186"/>
        <v>125</v>
      </c>
    </row>
    <row r="509" spans="1:86" x14ac:dyDescent="0.35">
      <c r="A509" s="27">
        <f t="shared" si="164"/>
        <v>45508</v>
      </c>
      <c r="B509" s="5">
        <f>MONTH(Modelling_old[[#This Row],[Date]])</f>
        <v>8</v>
      </c>
      <c r="C509" s="25">
        <f t="shared" si="165"/>
        <v>2025</v>
      </c>
      <c r="D509" s="3">
        <f t="shared" si="166"/>
        <v>2024</v>
      </c>
      <c r="E509" s="3" t="s">
        <v>627</v>
      </c>
      <c r="F509" s="3" t="s">
        <v>627</v>
      </c>
      <c r="G509" s="102">
        <f>DATE(Modelling_old[[#This Row],[Calendor Year]],Modelling_old[[#This Row],[Start Month]],1)</f>
        <v>45505</v>
      </c>
      <c r="H509" s="5">
        <f t="shared" si="167"/>
        <v>31</v>
      </c>
      <c r="I509" s="5">
        <f t="shared" si="168"/>
        <v>8</v>
      </c>
      <c r="J509" s="4">
        <f>_xlfn.XLOOKUP(Modelling_old[[#This Row],[Month]],$C$1:$C$14,$N$1:$N$14)/Modelling_old[[#This Row],[Total Days]]</f>
        <v>34.264516129032259</v>
      </c>
      <c r="K509" s="4">
        <f>SUM($J$506:J509)</f>
        <v>137.05806451612904</v>
      </c>
      <c r="L509" s="4">
        <f>SUM($J$384:J509)</f>
        <v>5600.2580645161261</v>
      </c>
      <c r="M509" s="4">
        <f t="shared" si="169"/>
        <v>4.1741935483870973</v>
      </c>
      <c r="N509" s="4">
        <f>SUM($M$506:M509)</f>
        <v>16.696774193548389</v>
      </c>
      <c r="O509" s="4">
        <f>SUM($M$384:M509)</f>
        <v>708.09677419354682</v>
      </c>
      <c r="P509" s="323">
        <f t="shared" si="170"/>
        <v>0.71360375310159307</v>
      </c>
      <c r="Q509" s="337">
        <f t="shared" si="171"/>
        <v>0.71360375310159307</v>
      </c>
      <c r="R509" s="337">
        <f t="shared" si="172"/>
        <v>0.68754405140950525</v>
      </c>
      <c r="S509" s="323">
        <f t="shared" si="173"/>
        <v>0.12411334092922872</v>
      </c>
      <c r="T509" s="9">
        <f>Modelling_old[[#This Row],[Target E_Grid MTD
MWh]]/Modelling_old[[#This Row],[DC Capcity]]/(24*CG509)</f>
        <v>0.12411334092922871</v>
      </c>
      <c r="U509" s="338">
        <f>Modelling_old[[#This Row],[Target E_Grid YTD
MWh]]/Modelling_old[[#This Row],[DC Capcity]]/(24*CH509)</f>
        <v>0.16099461802878068</v>
      </c>
      <c r="V509" s="134">
        <v>11.5031</v>
      </c>
      <c r="Y509" s="27">
        <f t="shared" si="187"/>
        <v>45508</v>
      </c>
      <c r="Z509" s="5">
        <f>MONTH(Modelling_new[[#This Row],[Date]])</f>
        <v>8</v>
      </c>
      <c r="AA509" s="25">
        <f>YEAR(Y509)+IF(MONTH(Modelling_new[[#This Row],[Date]])&gt;=4,1,0)</f>
        <v>2025</v>
      </c>
      <c r="AB509" s="3">
        <f t="shared" si="174"/>
        <v>2024</v>
      </c>
      <c r="AC509" s="3" t="s">
        <v>627</v>
      </c>
      <c r="AD509" s="3" t="s">
        <v>627</v>
      </c>
      <c r="AE509" s="102">
        <f>DATE(Modelling_old[[#This Row],[Calendor Year]],Modelling_old[[#This Row],[Start Month]],1)</f>
        <v>45505</v>
      </c>
      <c r="AF509" s="5">
        <f t="shared" si="175"/>
        <v>31</v>
      </c>
      <c r="AG509" s="5">
        <f t="shared" si="176"/>
        <v>8</v>
      </c>
      <c r="AH509" s="4">
        <f>_xlfn.XLOOKUP(Modelling_new[[#This Row],[Month]],$AA$1:$AA$14,$AL$1:$AL$14)/Modelling_new[[#This Row],[Total Days]]</f>
        <v>44.14257670993775</v>
      </c>
      <c r="AI509" s="4">
        <f>SUM($AH$506:AH509)</f>
        <v>176.570306839751</v>
      </c>
      <c r="AJ509" s="4">
        <f>SUM($AH$384:AH509)</f>
        <v>7354.7451924213719</v>
      </c>
      <c r="AK509" s="4">
        <f t="shared" si="177"/>
        <v>4.1741935483870973</v>
      </c>
      <c r="AL509" s="4">
        <f>SUM($AK$506:AK509)</f>
        <v>16.696774193548389</v>
      </c>
      <c r="AM509" s="4">
        <f>SUM($AK$384:AK509)</f>
        <v>708.09677419354682</v>
      </c>
      <c r="AN509" s="323">
        <f t="shared" si="178"/>
        <v>0.91932739669119101</v>
      </c>
      <c r="AO509" s="323">
        <f t="shared" si="179"/>
        <v>0.91932739669119101</v>
      </c>
      <c r="AP509" s="323">
        <f t="shared" si="180"/>
        <v>0.90294255165165882</v>
      </c>
      <c r="AQ509" s="323">
        <f t="shared" si="181"/>
        <v>0.15989377033849483</v>
      </c>
      <c r="AR509" s="323">
        <f>Modelling_new[[#This Row],[Target E_Grid MTD
MWh]]/Modelling_new[[#This Row],[MTD DC Capcity]]/(24*CG509)</f>
        <v>0.14369328356099528</v>
      </c>
      <c r="AS509" s="323">
        <f>Modelling_new[[#This Row],[Target E_Grid YTD
MWh]]/Modelling_new[[#This Row],[YTD DC Capcity]]/(24*CH509)</f>
        <v>0.19000974476121726</v>
      </c>
      <c r="AT509" s="5">
        <v>12.8</v>
      </c>
      <c r="AU509" s="9">
        <f>Modelling_new[[#This Row],[Comisined DC ]]/$AO$1</f>
        <v>1</v>
      </c>
      <c r="AV509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09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09" s="27">
        <f t="shared" si="188"/>
        <v>45508</v>
      </c>
      <c r="BE509" s="5">
        <f>MONTH(Modelling[[#This Row],[Date]])</f>
        <v>8</v>
      </c>
      <c r="BF509" s="25">
        <f>YEAR(BD509)+IF(MONTH(Modelling[[#This Row],[Date]])&gt;=4,1,0)</f>
        <v>2025</v>
      </c>
      <c r="BG509" s="3">
        <f t="shared" si="182"/>
        <v>2024</v>
      </c>
      <c r="BH509" s="3" t="s">
        <v>627</v>
      </c>
      <c r="BI509" s="3" t="s">
        <v>627</v>
      </c>
      <c r="BJ509" s="102">
        <f>DATE(Modelling_old[[#This Row],[Calendor Year]],Modelling_old[[#This Row],[Start Month]],1)</f>
        <v>45505</v>
      </c>
      <c r="BK509" s="5">
        <f t="shared" si="183"/>
        <v>31</v>
      </c>
      <c r="BL509" s="5">
        <f t="shared" si="184"/>
        <v>8</v>
      </c>
      <c r="BM509" s="4">
        <f>Modelling_old[[#This Row],[Target E_Grid daily
MWh]]+Modelling_new[[#This Row],[Target E_Grid daily
MWh]]</f>
        <v>78.407092838970016</v>
      </c>
      <c r="BN509" s="4">
        <f>Modelling_old[[#This Row],[Target E_Grid MTD
MWh]]+Modelling_new[[#This Row],[Target E_Grid MTD
MWh]]</f>
        <v>313.62837135588006</v>
      </c>
      <c r="BO509" s="4">
        <f>Modelling_old[[#This Row],[Target E_Grid YTD
MWh]]+Modelling_new[[#This Row],[Target E_Grid YTD
MWh]]</f>
        <v>12955.003256937498</v>
      </c>
      <c r="BP509" s="4">
        <f>AVERAGE(Modelling_old[[#This Row],[Target POA Daily (KWh/m2)]],Modelling_new[[#This Row],[Target POA Daily (KWh/m2)]])</f>
        <v>4.1741935483870973</v>
      </c>
      <c r="BQ509" s="4">
        <f>SUM($BP$506:BP509)</f>
        <v>16.696774193548389</v>
      </c>
      <c r="BR509" s="4">
        <f>SUM($BP$384:BP509)</f>
        <v>708.09677419354682</v>
      </c>
      <c r="BS509" s="323">
        <f>BM509/Modelling[[#This Row],[Comisined DC ]]/BP509</f>
        <v>0.77289606302000058</v>
      </c>
      <c r="BT509" s="337">
        <f>BN509/BQ509/Modelling[[#This Row],[Comisined DC ]]</f>
        <v>0.77289606302000069</v>
      </c>
      <c r="BU509" s="337">
        <f>BO509/BR509/Modelling[[#This Row],[Comisined DC ]]</f>
        <v>0.75280628576901198</v>
      </c>
      <c r="BV509" s="323">
        <f>BM509/(24*Modelling[[#This Row],[Comisined DC ]])</f>
        <v>0.13442573999299476</v>
      </c>
      <c r="BW509" s="323">
        <f>Modelling[[#This Row],[Target E_Grid MTD
MWh]]/Modelling[[#This Row],[MTD DC Capcity]]/(24*CG509)</f>
        <v>0.13442573999299476</v>
      </c>
      <c r="BX509" s="338">
        <f>Modelling[[#This Row],[Target E_Grid YTD
MWh]]/Modelling[[#This Row],[YTD DC Capcity]]/(24*CH509)</f>
        <v>0.17627635666192518</v>
      </c>
      <c r="BY509" s="4">
        <f>Modelling_old[[#This Row],[DC Capcity]]+Modelling_new[[#This Row],[Comisined DC ]]</f>
        <v>24.303100000000001</v>
      </c>
      <c r="BZ509" s="4">
        <v>0</v>
      </c>
      <c r="CA509">
        <f>AVERAGEIFS(Modelling[[Comisined DC ]],Modelling[Date],"&lt;="&amp;Modelling[[#This Row],[Date]],Modelling[Month Year],Modelling[[#This Row],[Month Year]])</f>
        <v>24.303100000000001</v>
      </c>
      <c r="CB509">
        <f>AVERAGEIFS(Modelling[[Comisined DC ]],Modelling[Date],"&lt;="&amp;Modelling[[#This Row],[Date]],Modelling[Finacial Year],Modelling[[#This Row],[Finacial Year]])</f>
        <v>24.30310000000005</v>
      </c>
      <c r="CG509">
        <f t="shared" si="185"/>
        <v>4</v>
      </c>
      <c r="CH509">
        <f t="shared" si="186"/>
        <v>126</v>
      </c>
    </row>
    <row r="510" spans="1:86" x14ac:dyDescent="0.35">
      <c r="A510" s="27">
        <f t="shared" si="164"/>
        <v>45509</v>
      </c>
      <c r="B510" s="5">
        <f>MONTH(Modelling_old[[#This Row],[Date]])</f>
        <v>8</v>
      </c>
      <c r="C510" s="25">
        <f t="shared" si="165"/>
        <v>2025</v>
      </c>
      <c r="D510" s="3">
        <f t="shared" si="166"/>
        <v>2024</v>
      </c>
      <c r="E510" s="3" t="s">
        <v>627</v>
      </c>
      <c r="F510" s="3" t="s">
        <v>627</v>
      </c>
      <c r="G510" s="102">
        <f>DATE(Modelling_old[[#This Row],[Calendor Year]],Modelling_old[[#This Row],[Start Month]],1)</f>
        <v>45505</v>
      </c>
      <c r="H510" s="5">
        <f t="shared" si="167"/>
        <v>31</v>
      </c>
      <c r="I510" s="5">
        <f t="shared" si="168"/>
        <v>8</v>
      </c>
      <c r="J510" s="4">
        <f>_xlfn.XLOOKUP(Modelling_old[[#This Row],[Month]],$C$1:$C$14,$N$1:$N$14)/Modelling_old[[#This Row],[Total Days]]</f>
        <v>34.264516129032259</v>
      </c>
      <c r="K510" s="4">
        <f>SUM($J$506:J510)</f>
        <v>171.32258064516128</v>
      </c>
      <c r="L510" s="4">
        <f>SUM($J$384:J510)</f>
        <v>5634.5225806451581</v>
      </c>
      <c r="M510" s="4">
        <f t="shared" si="169"/>
        <v>4.1741935483870973</v>
      </c>
      <c r="N510" s="4">
        <f>SUM($M$506:M510)</f>
        <v>20.870967741935488</v>
      </c>
      <c r="O510" s="4">
        <f>SUM($M$384:M510)</f>
        <v>712.27096774193387</v>
      </c>
      <c r="P510" s="323">
        <f t="shared" si="170"/>
        <v>0.71360375310159307</v>
      </c>
      <c r="Q510" s="337">
        <f t="shared" si="171"/>
        <v>0.71360375310159296</v>
      </c>
      <c r="R510" s="337">
        <f t="shared" si="172"/>
        <v>0.68769677171343802</v>
      </c>
      <c r="S510" s="323">
        <f t="shared" si="173"/>
        <v>0.12411334092922872</v>
      </c>
      <c r="T510" s="9">
        <f>Modelling_old[[#This Row],[Target E_Grid MTD
MWh]]/Modelling_old[[#This Row],[DC Capcity]]/(24*CG510)</f>
        <v>0.12411334092922871</v>
      </c>
      <c r="U510" s="338">
        <f>Modelling_old[[#This Row],[Target E_Grid YTD
MWh]]/Modelling_old[[#This Row],[DC Capcity]]/(24*CH510)</f>
        <v>0.16070421427209131</v>
      </c>
      <c r="V510" s="134">
        <v>11.5031</v>
      </c>
      <c r="Y510" s="27">
        <f t="shared" si="187"/>
        <v>45509</v>
      </c>
      <c r="Z510" s="5">
        <f>MONTH(Modelling_new[[#This Row],[Date]])</f>
        <v>8</v>
      </c>
      <c r="AA510" s="25">
        <f>YEAR(Y510)+IF(MONTH(Modelling_new[[#This Row],[Date]])&gt;=4,1,0)</f>
        <v>2025</v>
      </c>
      <c r="AB510" s="3">
        <f t="shared" si="174"/>
        <v>2024</v>
      </c>
      <c r="AC510" s="3" t="s">
        <v>627</v>
      </c>
      <c r="AD510" s="3" t="s">
        <v>627</v>
      </c>
      <c r="AE510" s="102">
        <f>DATE(Modelling_old[[#This Row],[Calendor Year]],Modelling_old[[#This Row],[Start Month]],1)</f>
        <v>45505</v>
      </c>
      <c r="AF510" s="5">
        <f t="shared" si="175"/>
        <v>31</v>
      </c>
      <c r="AG510" s="5">
        <f t="shared" si="176"/>
        <v>8</v>
      </c>
      <c r="AH510" s="4">
        <f>_xlfn.XLOOKUP(Modelling_new[[#This Row],[Month]],$AA$1:$AA$14,$AL$1:$AL$14)/Modelling_new[[#This Row],[Total Days]]</f>
        <v>44.14257670993775</v>
      </c>
      <c r="AI510" s="4">
        <f>SUM($AH$506:AH510)</f>
        <v>220.71288354968874</v>
      </c>
      <c r="AJ510" s="4">
        <f>SUM($AH$384:AH510)</f>
        <v>7398.8877691313101</v>
      </c>
      <c r="AK510" s="4">
        <f t="shared" si="177"/>
        <v>4.1741935483870973</v>
      </c>
      <c r="AL510" s="4">
        <f>SUM($AK$506:AK510)</f>
        <v>20.870967741935488</v>
      </c>
      <c r="AM510" s="4">
        <f>SUM($AK$384:AK510)</f>
        <v>712.27096774193387</v>
      </c>
      <c r="AN510" s="323">
        <f t="shared" si="178"/>
        <v>0.91932739669119101</v>
      </c>
      <c r="AO510" s="323">
        <f t="shared" si="179"/>
        <v>0.91932739669119101</v>
      </c>
      <c r="AP510" s="323">
        <f t="shared" si="180"/>
        <v>0.9030385734152192</v>
      </c>
      <c r="AQ510" s="323">
        <f t="shared" si="181"/>
        <v>0.15989377033849483</v>
      </c>
      <c r="AR510" s="323">
        <f>Modelling_new[[#This Row],[Target E_Grid MTD
MWh]]/Modelling_new[[#This Row],[MTD DC Capcity]]/(24*CG510)</f>
        <v>0.14369328356099528</v>
      </c>
      <c r="AS510" s="323">
        <f>Modelling_new[[#This Row],[Target E_Grid YTD
MWh]]/Modelling_new[[#This Row],[YTD DC Capcity]]/(24*CH510)</f>
        <v>0.18964504821633366</v>
      </c>
      <c r="AT510" s="5">
        <v>12.8</v>
      </c>
      <c r="AU510" s="9">
        <f>Modelling_new[[#This Row],[Comisined DC ]]/$AO$1</f>
        <v>1</v>
      </c>
      <c r="AV510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10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10" s="27">
        <f t="shared" si="188"/>
        <v>45509</v>
      </c>
      <c r="BE510" s="5">
        <f>MONTH(Modelling[[#This Row],[Date]])</f>
        <v>8</v>
      </c>
      <c r="BF510" s="25">
        <f>YEAR(BD510)+IF(MONTH(Modelling[[#This Row],[Date]])&gt;=4,1,0)</f>
        <v>2025</v>
      </c>
      <c r="BG510" s="3">
        <f t="shared" si="182"/>
        <v>2024</v>
      </c>
      <c r="BH510" s="3" t="s">
        <v>627</v>
      </c>
      <c r="BI510" s="3" t="s">
        <v>627</v>
      </c>
      <c r="BJ510" s="102">
        <f>DATE(Modelling_old[[#This Row],[Calendor Year]],Modelling_old[[#This Row],[Start Month]],1)</f>
        <v>45505</v>
      </c>
      <c r="BK510" s="5">
        <f t="shared" si="183"/>
        <v>31</v>
      </c>
      <c r="BL510" s="5">
        <f t="shared" si="184"/>
        <v>8</v>
      </c>
      <c r="BM510" s="4">
        <f>Modelling_old[[#This Row],[Target E_Grid daily
MWh]]+Modelling_new[[#This Row],[Target E_Grid daily
MWh]]</f>
        <v>78.407092838970016</v>
      </c>
      <c r="BN510" s="4">
        <f>Modelling_old[[#This Row],[Target E_Grid MTD
MWh]]+Modelling_new[[#This Row],[Target E_Grid MTD
MWh]]</f>
        <v>392.03546419485002</v>
      </c>
      <c r="BO510" s="4">
        <f>Modelling_old[[#This Row],[Target E_Grid YTD
MWh]]+Modelling_new[[#This Row],[Target E_Grid YTD
MWh]]</f>
        <v>13033.410349776468</v>
      </c>
      <c r="BP510" s="4">
        <f>AVERAGE(Modelling_old[[#This Row],[Target POA Daily (KWh/m2)]],Modelling_new[[#This Row],[Target POA Daily (KWh/m2)]])</f>
        <v>4.1741935483870973</v>
      </c>
      <c r="BQ510" s="4">
        <f>SUM($BP$506:BP510)</f>
        <v>20.870967741935488</v>
      </c>
      <c r="BR510" s="4">
        <f>SUM($BP$384:BP510)</f>
        <v>712.27096774193387</v>
      </c>
      <c r="BS510" s="323">
        <f>BM510/Modelling[[#This Row],[Comisined DC ]]/BP510</f>
        <v>0.77289606302000058</v>
      </c>
      <c r="BT510" s="337">
        <f>BN510/BQ510/Modelling[[#This Row],[Comisined DC ]]</f>
        <v>0.77289606302000047</v>
      </c>
      <c r="BU510" s="337">
        <f>BO510/BR510/Modelling[[#This Row],[Comisined DC ]]</f>
        <v>0.75292401992130442</v>
      </c>
      <c r="BV510" s="323">
        <f>BM510/(24*Modelling[[#This Row],[Comisined DC ]])</f>
        <v>0.13442573999299476</v>
      </c>
      <c r="BW510" s="323">
        <f>Modelling[[#This Row],[Target E_Grid MTD
MWh]]/Modelling[[#This Row],[MTD DC Capcity]]/(24*CG510)</f>
        <v>0.13442573999299473</v>
      </c>
      <c r="BX510" s="338">
        <f>Modelling[[#This Row],[Target E_Grid YTD
MWh]]/Modelling[[#This Row],[YTD DC Capcity]]/(24*CH510)</f>
        <v>0.1759468242472092</v>
      </c>
      <c r="BY510" s="4">
        <f>Modelling_old[[#This Row],[DC Capcity]]+Modelling_new[[#This Row],[Comisined DC ]]</f>
        <v>24.303100000000001</v>
      </c>
      <c r="BZ510" s="4">
        <v>0</v>
      </c>
      <c r="CA510">
        <f>AVERAGEIFS(Modelling[[Comisined DC ]],Modelling[Date],"&lt;="&amp;Modelling[[#This Row],[Date]],Modelling[Month Year],Modelling[[#This Row],[Month Year]])</f>
        <v>24.303100000000001</v>
      </c>
      <c r="CB510">
        <f>AVERAGEIFS(Modelling[[Comisined DC ]],Modelling[Date],"&lt;="&amp;Modelling[[#This Row],[Date]],Modelling[Finacial Year],Modelling[[#This Row],[Finacial Year]])</f>
        <v>24.30310000000005</v>
      </c>
      <c r="CG510">
        <f t="shared" si="185"/>
        <v>5</v>
      </c>
      <c r="CH510">
        <f t="shared" si="186"/>
        <v>127</v>
      </c>
    </row>
    <row r="511" spans="1:86" x14ac:dyDescent="0.35">
      <c r="A511" s="27">
        <f t="shared" si="164"/>
        <v>45510</v>
      </c>
      <c r="B511" s="5">
        <f>MONTH(Modelling_old[[#This Row],[Date]])</f>
        <v>8</v>
      </c>
      <c r="C511" s="25">
        <f t="shared" si="165"/>
        <v>2025</v>
      </c>
      <c r="D511" s="3">
        <f t="shared" si="166"/>
        <v>2024</v>
      </c>
      <c r="E511" s="3" t="s">
        <v>627</v>
      </c>
      <c r="F511" s="3" t="s">
        <v>627</v>
      </c>
      <c r="G511" s="102">
        <f>DATE(Modelling_old[[#This Row],[Calendor Year]],Modelling_old[[#This Row],[Start Month]],1)</f>
        <v>45505</v>
      </c>
      <c r="H511" s="5">
        <f t="shared" si="167"/>
        <v>31</v>
      </c>
      <c r="I511" s="5">
        <f t="shared" si="168"/>
        <v>8</v>
      </c>
      <c r="J511" s="4">
        <f>_xlfn.XLOOKUP(Modelling_old[[#This Row],[Month]],$C$1:$C$14,$N$1:$N$14)/Modelling_old[[#This Row],[Total Days]]</f>
        <v>34.264516129032259</v>
      </c>
      <c r="K511" s="4">
        <f>SUM($J$506:J511)</f>
        <v>205.58709677419353</v>
      </c>
      <c r="L511" s="4">
        <f>SUM($J$384:J511)</f>
        <v>5668.7870967741901</v>
      </c>
      <c r="M511" s="4">
        <f t="shared" si="169"/>
        <v>4.1741935483870973</v>
      </c>
      <c r="N511" s="4">
        <f>SUM($M$506:M511)</f>
        <v>25.045161290322586</v>
      </c>
      <c r="O511" s="4">
        <f>SUM($M$384:M511)</f>
        <v>716.44516129032093</v>
      </c>
      <c r="P511" s="323">
        <f t="shared" si="170"/>
        <v>0.71360375310159307</v>
      </c>
      <c r="Q511" s="337">
        <f t="shared" si="171"/>
        <v>0.71360375310159296</v>
      </c>
      <c r="R511" s="337">
        <f t="shared" si="172"/>
        <v>0.68784771244192855</v>
      </c>
      <c r="S511" s="323">
        <f t="shared" si="173"/>
        <v>0.12411334092922872</v>
      </c>
      <c r="T511" s="9">
        <f>Modelling_old[[#This Row],[Target E_Grid MTD
MWh]]/Modelling_old[[#This Row],[DC Capcity]]/(24*CG511)</f>
        <v>0.1241133409292287</v>
      </c>
      <c r="U511" s="338">
        <f>Modelling_old[[#This Row],[Target E_Grid YTD
MWh]]/Modelling_old[[#This Row],[DC Capcity]]/(24*CH511)</f>
        <v>0.16041834807410019</v>
      </c>
      <c r="V511" s="134">
        <v>11.5031</v>
      </c>
      <c r="Y511" s="27">
        <f t="shared" si="187"/>
        <v>45510</v>
      </c>
      <c r="Z511" s="5">
        <f>MONTH(Modelling_new[[#This Row],[Date]])</f>
        <v>8</v>
      </c>
      <c r="AA511" s="25">
        <f>YEAR(Y511)+IF(MONTH(Modelling_new[[#This Row],[Date]])&gt;=4,1,0)</f>
        <v>2025</v>
      </c>
      <c r="AB511" s="3">
        <f t="shared" si="174"/>
        <v>2024</v>
      </c>
      <c r="AC511" s="3" t="s">
        <v>627</v>
      </c>
      <c r="AD511" s="3" t="s">
        <v>627</v>
      </c>
      <c r="AE511" s="102">
        <f>DATE(Modelling_old[[#This Row],[Calendor Year]],Modelling_old[[#This Row],[Start Month]],1)</f>
        <v>45505</v>
      </c>
      <c r="AF511" s="5">
        <f t="shared" si="175"/>
        <v>31</v>
      </c>
      <c r="AG511" s="5">
        <f t="shared" si="176"/>
        <v>8</v>
      </c>
      <c r="AH511" s="4">
        <f>_xlfn.XLOOKUP(Modelling_new[[#This Row],[Month]],$AA$1:$AA$14,$AL$1:$AL$14)/Modelling_new[[#This Row],[Total Days]]</f>
        <v>44.14257670993775</v>
      </c>
      <c r="AI511" s="4">
        <f>SUM($AH$506:AH511)</f>
        <v>264.85546025962651</v>
      </c>
      <c r="AJ511" s="4">
        <f>SUM($AH$384:AH511)</f>
        <v>7443.0303458412482</v>
      </c>
      <c r="AK511" s="4">
        <f t="shared" si="177"/>
        <v>4.1741935483870973</v>
      </c>
      <c r="AL511" s="4">
        <f>SUM($AK$506:AK511)</f>
        <v>25.045161290322586</v>
      </c>
      <c r="AM511" s="4">
        <f>SUM($AK$384:AK511)</f>
        <v>716.44516129032093</v>
      </c>
      <c r="AN511" s="323">
        <f t="shared" si="178"/>
        <v>0.91932739669119101</v>
      </c>
      <c r="AO511" s="323">
        <f t="shared" si="179"/>
        <v>0.91932739669119101</v>
      </c>
      <c r="AP511" s="323">
        <f t="shared" si="180"/>
        <v>0.90313347628385898</v>
      </c>
      <c r="AQ511" s="323">
        <f t="shared" si="181"/>
        <v>0.15989377033849483</v>
      </c>
      <c r="AR511" s="323">
        <f>Modelling_new[[#This Row],[Target E_Grid MTD
MWh]]/Modelling_new[[#This Row],[MTD DC Capcity]]/(24*CG511)</f>
        <v>0.14369328356099531</v>
      </c>
      <c r="AS511" s="323">
        <f>Modelling_new[[#This Row],[Target E_Grid YTD
MWh]]/Modelling_new[[#This Row],[YTD DC Capcity]]/(24*CH511)</f>
        <v>0.18928605005496382</v>
      </c>
      <c r="AT511" s="5">
        <v>12.8</v>
      </c>
      <c r="AU511" s="9">
        <f>Modelling_new[[#This Row],[Comisined DC ]]/$AO$1</f>
        <v>1</v>
      </c>
      <c r="AV511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11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11" s="27">
        <f t="shared" si="188"/>
        <v>45510</v>
      </c>
      <c r="BE511" s="5">
        <f>MONTH(Modelling[[#This Row],[Date]])</f>
        <v>8</v>
      </c>
      <c r="BF511" s="25">
        <f>YEAR(BD511)+IF(MONTH(Modelling[[#This Row],[Date]])&gt;=4,1,0)</f>
        <v>2025</v>
      </c>
      <c r="BG511" s="3">
        <f t="shared" si="182"/>
        <v>2024</v>
      </c>
      <c r="BH511" s="3" t="s">
        <v>627</v>
      </c>
      <c r="BI511" s="3" t="s">
        <v>627</v>
      </c>
      <c r="BJ511" s="102">
        <f>DATE(Modelling_old[[#This Row],[Calendor Year]],Modelling_old[[#This Row],[Start Month]],1)</f>
        <v>45505</v>
      </c>
      <c r="BK511" s="5">
        <f t="shared" si="183"/>
        <v>31</v>
      </c>
      <c r="BL511" s="5">
        <f t="shared" si="184"/>
        <v>8</v>
      </c>
      <c r="BM511" s="4">
        <f>Modelling_old[[#This Row],[Target E_Grid daily
MWh]]+Modelling_new[[#This Row],[Target E_Grid daily
MWh]]</f>
        <v>78.407092838970016</v>
      </c>
      <c r="BN511" s="4">
        <f>Modelling_old[[#This Row],[Target E_Grid MTD
MWh]]+Modelling_new[[#This Row],[Target E_Grid MTD
MWh]]</f>
        <v>470.44255703382004</v>
      </c>
      <c r="BO511" s="4">
        <f>Modelling_old[[#This Row],[Target E_Grid YTD
MWh]]+Modelling_new[[#This Row],[Target E_Grid YTD
MWh]]</f>
        <v>13111.817442615438</v>
      </c>
      <c r="BP511" s="4">
        <f>AVERAGE(Modelling_old[[#This Row],[Target POA Daily (KWh/m2)]],Modelling_new[[#This Row],[Target POA Daily (KWh/m2)]])</f>
        <v>4.1741935483870973</v>
      </c>
      <c r="BQ511" s="4">
        <f>SUM($BP$506:BP511)</f>
        <v>25.045161290322586</v>
      </c>
      <c r="BR511" s="4">
        <f>SUM($BP$384:BP511)</f>
        <v>716.44516129032093</v>
      </c>
      <c r="BS511" s="323">
        <f>BM511/Modelling[[#This Row],[Comisined DC ]]/BP511</f>
        <v>0.77289606302000058</v>
      </c>
      <c r="BT511" s="337">
        <f>BN511/BQ511/Modelling[[#This Row],[Comisined DC ]]</f>
        <v>0.77289606302000047</v>
      </c>
      <c r="BU511" s="337">
        <f>BO511/BR511/Modelling[[#This Row],[Comisined DC ]]</f>
        <v>0.75304038217476787</v>
      </c>
      <c r="BV511" s="323">
        <f>BM511/(24*Modelling[[#This Row],[Comisined DC ]])</f>
        <v>0.13442573999299476</v>
      </c>
      <c r="BW511" s="323">
        <f>Modelling[[#This Row],[Target E_Grid MTD
MWh]]/Modelling[[#This Row],[MTD DC Capcity]]/(24*CG511)</f>
        <v>0.13442573999299473</v>
      </c>
      <c r="BX511" s="338">
        <f>Modelling[[#This Row],[Target E_Grid YTD
MWh]]/Modelling[[#This Row],[YTD DC Capcity]]/(24*CH511)</f>
        <v>0.17562244077647313</v>
      </c>
      <c r="BY511" s="4">
        <f>Modelling_old[[#This Row],[DC Capcity]]+Modelling_new[[#This Row],[Comisined DC ]]</f>
        <v>24.303100000000001</v>
      </c>
      <c r="BZ511" s="4">
        <v>0</v>
      </c>
      <c r="CA511">
        <f>AVERAGEIFS(Modelling[[Comisined DC ]],Modelling[Date],"&lt;="&amp;Modelling[[#This Row],[Date]],Modelling[Month Year],Modelling[[#This Row],[Month Year]])</f>
        <v>24.303100000000001</v>
      </c>
      <c r="CB511">
        <f>AVERAGEIFS(Modelling[[Comisined DC ]],Modelling[Date],"&lt;="&amp;Modelling[[#This Row],[Date]],Modelling[Finacial Year],Modelling[[#This Row],[Finacial Year]])</f>
        <v>24.30310000000005</v>
      </c>
      <c r="CG511">
        <f t="shared" si="185"/>
        <v>6</v>
      </c>
      <c r="CH511">
        <f t="shared" si="186"/>
        <v>128</v>
      </c>
    </row>
    <row r="512" spans="1:86" x14ac:dyDescent="0.35">
      <c r="A512" s="27">
        <f t="shared" ref="A512:A575" si="189">A511+1</f>
        <v>45511</v>
      </c>
      <c r="B512" s="5">
        <f>MONTH(Modelling_old[[#This Row],[Date]])</f>
        <v>8</v>
      </c>
      <c r="C512" s="25">
        <f t="shared" ref="C512:C575" si="190">YEAR(A512)+(MONTH(A512)&gt;=B512)</f>
        <v>2025</v>
      </c>
      <c r="D512" s="3">
        <f t="shared" ref="D512:D575" si="191">YEAR(A512)</f>
        <v>2024</v>
      </c>
      <c r="E512" s="3" t="s">
        <v>627</v>
      </c>
      <c r="F512" s="3" t="s">
        <v>627</v>
      </c>
      <c r="G512" s="102">
        <f>DATE(Modelling_old[[#This Row],[Calendor Year]],Modelling_old[[#This Row],[Start Month]],1)</f>
        <v>45505</v>
      </c>
      <c r="H512" s="5">
        <f t="shared" ref="H512:H575" si="192">DAY(EOMONTH(G512,0))</f>
        <v>31</v>
      </c>
      <c r="I512" s="5">
        <f t="shared" ref="I512:I575" si="193">MONTH(A512)</f>
        <v>8</v>
      </c>
      <c r="J512" s="4">
        <f>_xlfn.XLOOKUP(Modelling_old[[#This Row],[Month]],$C$1:$C$14,$N$1:$N$14)/Modelling_old[[#This Row],[Total Days]]</f>
        <v>34.264516129032259</v>
      </c>
      <c r="K512" s="4">
        <f>SUM($J$506:J512)</f>
        <v>239.85161290322577</v>
      </c>
      <c r="L512" s="4">
        <f>SUM($J$384:J512)</f>
        <v>5703.0516129032221</v>
      </c>
      <c r="M512" s="4">
        <f t="shared" ref="M512:M575" si="194">VLOOKUP(I512,$C$2:$M$13,11,0)</f>
        <v>4.1741935483870973</v>
      </c>
      <c r="N512" s="4">
        <f>SUM($M$506:M512)</f>
        <v>29.219354838709684</v>
      </c>
      <c r="O512" s="4">
        <f>SUM($M$384:M512)</f>
        <v>720.61935483870798</v>
      </c>
      <c r="P512" s="323">
        <f t="shared" ref="P512:P575" si="195">J512/$Q$1/M512</f>
        <v>0.71360375310159307</v>
      </c>
      <c r="Q512" s="337">
        <f t="shared" ref="Q512:Q575" si="196">K512/N512/$Q$1</f>
        <v>0.71360375310159296</v>
      </c>
      <c r="R512" s="337">
        <f t="shared" ref="R512:R575" si="197">L512/O512/$Q$1</f>
        <v>0.68799690451959283</v>
      </c>
      <c r="S512" s="323">
        <f t="shared" ref="S512:S575" si="198">J512/(24*$Q$1)</f>
        <v>0.12411334092922872</v>
      </c>
      <c r="T512" s="9">
        <f>Modelling_old[[#This Row],[Target E_Grid MTD
MWh]]/Modelling_old[[#This Row],[DC Capcity]]/(24*CG512)</f>
        <v>0.12411334092922868</v>
      </c>
      <c r="U512" s="338">
        <f>Modelling_old[[#This Row],[Target E_Grid YTD
MWh]]/Modelling_old[[#This Row],[DC Capcity]]/(24*CH512)</f>
        <v>0.16013691391018645</v>
      </c>
      <c r="V512" s="134">
        <v>11.5031</v>
      </c>
      <c r="Y512" s="27">
        <f t="shared" si="187"/>
        <v>45511</v>
      </c>
      <c r="Z512" s="5">
        <f>MONTH(Modelling_new[[#This Row],[Date]])</f>
        <v>8</v>
      </c>
      <c r="AA512" s="25">
        <f>YEAR(Y512)+IF(MONTH(Modelling_new[[#This Row],[Date]])&gt;=4,1,0)</f>
        <v>2025</v>
      </c>
      <c r="AB512" s="3">
        <f t="shared" ref="AB512:AB575" si="199">YEAR(Y512)</f>
        <v>2024</v>
      </c>
      <c r="AC512" s="3" t="s">
        <v>627</v>
      </c>
      <c r="AD512" s="3" t="s">
        <v>627</v>
      </c>
      <c r="AE512" s="102">
        <f>DATE(Modelling_old[[#This Row],[Calendor Year]],Modelling_old[[#This Row],[Start Month]],1)</f>
        <v>45505</v>
      </c>
      <c r="AF512" s="5">
        <f t="shared" ref="AF512:AF575" si="200">DAY(EOMONTH(AE512,0))</f>
        <v>31</v>
      </c>
      <c r="AG512" s="5">
        <f t="shared" ref="AG512:AG575" si="201">MONTH(Y512)</f>
        <v>8</v>
      </c>
      <c r="AH512" s="4">
        <f>_xlfn.XLOOKUP(Modelling_new[[#This Row],[Month]],$AA$1:$AA$14,$AL$1:$AL$14)/Modelling_new[[#This Row],[Total Days]]</f>
        <v>44.14257670993775</v>
      </c>
      <c r="AI512" s="4">
        <f>SUM($AH$506:AH512)</f>
        <v>308.99803696956428</v>
      </c>
      <c r="AJ512" s="4">
        <f>SUM($AH$384:AH512)</f>
        <v>7487.1729225511863</v>
      </c>
      <c r="AK512" s="4">
        <f t="shared" ref="AK512:AK575" si="202">VLOOKUP(AG512,$C$2:$M$13,11,0)</f>
        <v>4.1741935483870973</v>
      </c>
      <c r="AL512" s="4">
        <f>SUM($AK$506:AK512)</f>
        <v>29.219354838709684</v>
      </c>
      <c r="AM512" s="4">
        <f>SUM($AK$384:AK512)</f>
        <v>720.61935483870798</v>
      </c>
      <c r="AN512" s="323">
        <f t="shared" ref="AN512:AN575" si="203">AH512/$Q$1/AK512</f>
        <v>0.91932739669119101</v>
      </c>
      <c r="AO512" s="323">
        <f t="shared" ref="AO512:AO575" si="204">AI512/AL512/$Q$1</f>
        <v>0.91932739669119112</v>
      </c>
      <c r="AP512" s="323">
        <f t="shared" ref="AP512:AP575" si="205">AJ512/AM512/$Q$1</f>
        <v>0.90322727970120209</v>
      </c>
      <c r="AQ512" s="323">
        <f t="shared" ref="AQ512:AQ575" si="206">AH512/(24*$Q$1)</f>
        <v>0.15989377033849483</v>
      </c>
      <c r="AR512" s="323">
        <f>Modelling_new[[#This Row],[Target E_Grid MTD
MWh]]/Modelling_new[[#This Row],[MTD DC Capcity]]/(24*CG512)</f>
        <v>0.14369328356099531</v>
      </c>
      <c r="AS512" s="323">
        <f>Modelling_new[[#This Row],[Target E_Grid YTD
MWh]]/Modelling_new[[#This Row],[YTD DC Capcity]]/(24*CH512)</f>
        <v>0.18893261775656098</v>
      </c>
      <c r="AT512" s="5">
        <v>12.8</v>
      </c>
      <c r="AU512" s="9">
        <f>Modelling_new[[#This Row],[Comisined DC ]]/$AO$1</f>
        <v>1</v>
      </c>
      <c r="AV512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12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12" s="27">
        <f t="shared" si="188"/>
        <v>45511</v>
      </c>
      <c r="BE512" s="5">
        <f>MONTH(Modelling[[#This Row],[Date]])</f>
        <v>8</v>
      </c>
      <c r="BF512" s="25">
        <f>YEAR(BD512)+IF(MONTH(Modelling[[#This Row],[Date]])&gt;=4,1,0)</f>
        <v>2025</v>
      </c>
      <c r="BG512" s="3">
        <f t="shared" ref="BG512:BG575" si="207">YEAR(BD512)</f>
        <v>2024</v>
      </c>
      <c r="BH512" s="3" t="s">
        <v>627</v>
      </c>
      <c r="BI512" s="3" t="s">
        <v>627</v>
      </c>
      <c r="BJ512" s="102">
        <f>DATE(Modelling_old[[#This Row],[Calendor Year]],Modelling_old[[#This Row],[Start Month]],1)</f>
        <v>45505</v>
      </c>
      <c r="BK512" s="5">
        <f t="shared" ref="BK512:BK575" si="208">DAY(EOMONTH(BJ512,0))</f>
        <v>31</v>
      </c>
      <c r="BL512" s="5">
        <f t="shared" ref="BL512:BL575" si="209">MONTH(BD512)</f>
        <v>8</v>
      </c>
      <c r="BM512" s="4">
        <f>Modelling_old[[#This Row],[Target E_Grid daily
MWh]]+Modelling_new[[#This Row],[Target E_Grid daily
MWh]]</f>
        <v>78.407092838970016</v>
      </c>
      <c r="BN512" s="4">
        <f>Modelling_old[[#This Row],[Target E_Grid MTD
MWh]]+Modelling_new[[#This Row],[Target E_Grid MTD
MWh]]</f>
        <v>548.84964987279</v>
      </c>
      <c r="BO512" s="4">
        <f>Modelling_old[[#This Row],[Target E_Grid YTD
MWh]]+Modelling_new[[#This Row],[Target E_Grid YTD
MWh]]</f>
        <v>13190.224535454408</v>
      </c>
      <c r="BP512" s="4">
        <f>AVERAGE(Modelling_old[[#This Row],[Target POA Daily (KWh/m2)]],Modelling_new[[#This Row],[Target POA Daily (KWh/m2)]])</f>
        <v>4.1741935483870973</v>
      </c>
      <c r="BQ512" s="4">
        <f>SUM($BP$506:BP512)</f>
        <v>29.219354838709684</v>
      </c>
      <c r="BR512" s="4">
        <f>SUM($BP$384:BP512)</f>
        <v>720.61935483870798</v>
      </c>
      <c r="BS512" s="323">
        <f>BM512/Modelling[[#This Row],[Comisined DC ]]/BP512</f>
        <v>0.77289606302000058</v>
      </c>
      <c r="BT512" s="337">
        <f>BN512/BQ512/Modelling[[#This Row],[Comisined DC ]]</f>
        <v>0.77289606302000036</v>
      </c>
      <c r="BU512" s="337">
        <f>BO512/BR512/Modelling[[#This Row],[Comisined DC ]]</f>
        <v>0.75315539636960815</v>
      </c>
      <c r="BV512" s="323">
        <f>BM512/(24*Modelling[[#This Row],[Comisined DC ]])</f>
        <v>0.13442573999299476</v>
      </c>
      <c r="BW512" s="323">
        <f>Modelling[[#This Row],[Target E_Grid MTD
MWh]]/Modelling[[#This Row],[MTD DC Capcity]]/(24*CG512)</f>
        <v>0.13442573999299473</v>
      </c>
      <c r="BX512" s="338">
        <f>Modelling[[#This Row],[Target E_Grid YTD
MWh]]/Modelling[[#This Row],[YTD DC Capcity]]/(24*CH512)</f>
        <v>0.17530308650683377</v>
      </c>
      <c r="BY512" s="4">
        <f>Modelling_old[[#This Row],[DC Capcity]]+Modelling_new[[#This Row],[Comisined DC ]]</f>
        <v>24.303100000000001</v>
      </c>
      <c r="BZ512" s="4">
        <v>0</v>
      </c>
      <c r="CA512">
        <f>AVERAGEIFS(Modelling[[Comisined DC ]],Modelling[Date],"&lt;="&amp;Modelling[[#This Row],[Date]],Modelling[Month Year],Modelling[[#This Row],[Month Year]])</f>
        <v>24.303100000000001</v>
      </c>
      <c r="CB512">
        <f>AVERAGEIFS(Modelling[[Comisined DC ]],Modelling[Date],"&lt;="&amp;Modelling[[#This Row],[Date]],Modelling[Finacial Year],Modelling[[#This Row],[Finacial Year]])</f>
        <v>24.30310000000005</v>
      </c>
      <c r="CG512">
        <f t="shared" si="185"/>
        <v>7</v>
      </c>
      <c r="CH512">
        <f t="shared" si="186"/>
        <v>129</v>
      </c>
    </row>
    <row r="513" spans="1:86" x14ac:dyDescent="0.35">
      <c r="A513" s="27">
        <f t="shared" si="189"/>
        <v>45512</v>
      </c>
      <c r="B513" s="5">
        <f>MONTH(Modelling_old[[#This Row],[Date]])</f>
        <v>8</v>
      </c>
      <c r="C513" s="25">
        <f t="shared" si="190"/>
        <v>2025</v>
      </c>
      <c r="D513" s="3">
        <f t="shared" si="191"/>
        <v>2024</v>
      </c>
      <c r="E513" s="3" t="s">
        <v>627</v>
      </c>
      <c r="F513" s="3" t="s">
        <v>627</v>
      </c>
      <c r="G513" s="102">
        <f>DATE(Modelling_old[[#This Row],[Calendor Year]],Modelling_old[[#This Row],[Start Month]],1)</f>
        <v>45505</v>
      </c>
      <c r="H513" s="5">
        <f t="shared" si="192"/>
        <v>31</v>
      </c>
      <c r="I513" s="5">
        <f t="shared" si="193"/>
        <v>8</v>
      </c>
      <c r="J513" s="4">
        <f>_xlfn.XLOOKUP(Modelling_old[[#This Row],[Month]],$C$1:$C$14,$N$1:$N$14)/Modelling_old[[#This Row],[Total Days]]</f>
        <v>34.264516129032259</v>
      </c>
      <c r="K513" s="4">
        <f>SUM($J$506:J513)</f>
        <v>274.11612903225802</v>
      </c>
      <c r="L513" s="4">
        <f>SUM($J$384:J513)</f>
        <v>5737.3161290322541</v>
      </c>
      <c r="M513" s="4">
        <f t="shared" si="194"/>
        <v>4.1741935483870973</v>
      </c>
      <c r="N513" s="4">
        <f>SUM($M$506:M513)</f>
        <v>33.393548387096779</v>
      </c>
      <c r="O513" s="4">
        <f>SUM($M$384:M513)</f>
        <v>724.79354838709503</v>
      </c>
      <c r="P513" s="323">
        <f t="shared" si="195"/>
        <v>0.71360375310159307</v>
      </c>
      <c r="Q513" s="337">
        <f t="shared" si="196"/>
        <v>0.71360375310159296</v>
      </c>
      <c r="R513" s="337">
        <f t="shared" si="197"/>
        <v>0.68814437815864971</v>
      </c>
      <c r="S513" s="323">
        <f t="shared" si="198"/>
        <v>0.12411334092922872</v>
      </c>
      <c r="T513" s="9">
        <f>Modelling_old[[#This Row],[Target E_Grid MTD
MWh]]/Modelling_old[[#This Row],[DC Capcity]]/(24*CG513)</f>
        <v>0.1241133409292287</v>
      </c>
      <c r="U513" s="338">
        <f>Modelling_old[[#This Row],[Target E_Grid YTD
MWh]]/Modelling_old[[#This Row],[DC Capcity]]/(24*CH513)</f>
        <v>0.15985980950264059</v>
      </c>
      <c r="V513" s="134">
        <v>11.5031</v>
      </c>
      <c r="Y513" s="27">
        <f t="shared" si="187"/>
        <v>45512</v>
      </c>
      <c r="Z513" s="5">
        <f>MONTH(Modelling_new[[#This Row],[Date]])</f>
        <v>8</v>
      </c>
      <c r="AA513" s="25">
        <f>YEAR(Y513)+IF(MONTH(Modelling_new[[#This Row],[Date]])&gt;=4,1,0)</f>
        <v>2025</v>
      </c>
      <c r="AB513" s="3">
        <f t="shared" si="199"/>
        <v>2024</v>
      </c>
      <c r="AC513" s="3" t="s">
        <v>627</v>
      </c>
      <c r="AD513" s="3" t="s">
        <v>627</v>
      </c>
      <c r="AE513" s="102">
        <f>DATE(Modelling_old[[#This Row],[Calendor Year]],Modelling_old[[#This Row],[Start Month]],1)</f>
        <v>45505</v>
      </c>
      <c r="AF513" s="5">
        <f t="shared" si="200"/>
        <v>31</v>
      </c>
      <c r="AG513" s="5">
        <f t="shared" si="201"/>
        <v>8</v>
      </c>
      <c r="AH513" s="4">
        <f>_xlfn.XLOOKUP(Modelling_new[[#This Row],[Month]],$AA$1:$AA$14,$AL$1:$AL$14)/Modelling_new[[#This Row],[Total Days]]</f>
        <v>44.14257670993775</v>
      </c>
      <c r="AI513" s="4">
        <f>SUM($AH$506:AH513)</f>
        <v>353.14061367950205</v>
      </c>
      <c r="AJ513" s="4">
        <f>SUM($AH$384:AH513)</f>
        <v>7531.3154992611244</v>
      </c>
      <c r="AK513" s="4">
        <f t="shared" si="202"/>
        <v>4.1741935483870973</v>
      </c>
      <c r="AL513" s="4">
        <f>SUM($AK$506:AK513)</f>
        <v>33.393548387096779</v>
      </c>
      <c r="AM513" s="4">
        <f>SUM($AK$384:AK513)</f>
        <v>724.79354838709503</v>
      </c>
      <c r="AN513" s="323">
        <f t="shared" si="203"/>
        <v>0.91932739669119101</v>
      </c>
      <c r="AO513" s="323">
        <f t="shared" si="204"/>
        <v>0.91932739669119112</v>
      </c>
      <c r="AP513" s="323">
        <f t="shared" si="205"/>
        <v>0.90332000266295787</v>
      </c>
      <c r="AQ513" s="323">
        <f t="shared" si="206"/>
        <v>0.15989377033849483</v>
      </c>
      <c r="AR513" s="323">
        <f>Modelling_new[[#This Row],[Target E_Grid MTD
MWh]]/Modelling_new[[#This Row],[MTD DC Capcity]]/(24*CG513)</f>
        <v>0.14369328356099531</v>
      </c>
      <c r="AS513" s="323">
        <f>Modelling_new[[#This Row],[Target E_Grid YTD
MWh]]/Modelling_new[[#This Row],[YTD DC Capcity]]/(24*CH513)</f>
        <v>0.18858462287813357</v>
      </c>
      <c r="AT513" s="5">
        <v>12.8</v>
      </c>
      <c r="AU513" s="9">
        <f>Modelling_new[[#This Row],[Comisined DC ]]/$AO$1</f>
        <v>1</v>
      </c>
      <c r="AV51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13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13" s="27">
        <f t="shared" si="188"/>
        <v>45512</v>
      </c>
      <c r="BE513" s="5">
        <f>MONTH(Modelling[[#This Row],[Date]])</f>
        <v>8</v>
      </c>
      <c r="BF513" s="25">
        <f>YEAR(BD513)+IF(MONTH(Modelling[[#This Row],[Date]])&gt;=4,1,0)</f>
        <v>2025</v>
      </c>
      <c r="BG513" s="3">
        <f t="shared" si="207"/>
        <v>2024</v>
      </c>
      <c r="BH513" s="3" t="s">
        <v>627</v>
      </c>
      <c r="BI513" s="3" t="s">
        <v>627</v>
      </c>
      <c r="BJ513" s="102">
        <f>DATE(Modelling_old[[#This Row],[Calendor Year]],Modelling_old[[#This Row],[Start Month]],1)</f>
        <v>45505</v>
      </c>
      <c r="BK513" s="5">
        <f t="shared" si="208"/>
        <v>31</v>
      </c>
      <c r="BL513" s="5">
        <f t="shared" si="209"/>
        <v>8</v>
      </c>
      <c r="BM513" s="4">
        <f>Modelling_old[[#This Row],[Target E_Grid daily
MWh]]+Modelling_new[[#This Row],[Target E_Grid daily
MWh]]</f>
        <v>78.407092838970016</v>
      </c>
      <c r="BN513" s="4">
        <f>Modelling_old[[#This Row],[Target E_Grid MTD
MWh]]+Modelling_new[[#This Row],[Target E_Grid MTD
MWh]]</f>
        <v>627.25674271176013</v>
      </c>
      <c r="BO513" s="4">
        <f>Modelling_old[[#This Row],[Target E_Grid YTD
MWh]]+Modelling_new[[#This Row],[Target E_Grid YTD
MWh]]</f>
        <v>13268.631628293379</v>
      </c>
      <c r="BP513" s="4">
        <f>AVERAGE(Modelling_old[[#This Row],[Target POA Daily (KWh/m2)]],Modelling_new[[#This Row],[Target POA Daily (KWh/m2)]])</f>
        <v>4.1741935483870973</v>
      </c>
      <c r="BQ513" s="4">
        <f>SUM($BP$506:BP513)</f>
        <v>33.393548387096779</v>
      </c>
      <c r="BR513" s="4">
        <f>SUM($BP$384:BP513)</f>
        <v>724.79354838709503</v>
      </c>
      <c r="BS513" s="323">
        <f>BM513/Modelling[[#This Row],[Comisined DC ]]/BP513</f>
        <v>0.77289606302000058</v>
      </c>
      <c r="BT513" s="337">
        <f>BN513/BQ513/Modelling[[#This Row],[Comisined DC ]]</f>
        <v>0.77289606302000069</v>
      </c>
      <c r="BU513" s="337">
        <f>BO513/BR513/Modelling[[#This Row],[Comisined DC ]]</f>
        <v>0.75326908579683383</v>
      </c>
      <c r="BV513" s="323">
        <f>BM513/(24*Modelling[[#This Row],[Comisined DC ]])</f>
        <v>0.13442573999299476</v>
      </c>
      <c r="BW513" s="323">
        <f>Modelling[[#This Row],[Target E_Grid MTD
MWh]]/Modelling[[#This Row],[MTD DC Capcity]]/(24*CG513)</f>
        <v>0.13442573999299476</v>
      </c>
      <c r="BX513" s="338">
        <f>Modelling[[#This Row],[Target E_Grid YTD
MWh]]/Modelling[[#This Row],[YTD DC Capcity]]/(24*CH513)</f>
        <v>0.17498864537980424</v>
      </c>
      <c r="BY513" s="4">
        <f>Modelling_old[[#This Row],[DC Capcity]]+Modelling_new[[#This Row],[Comisined DC ]]</f>
        <v>24.303100000000001</v>
      </c>
      <c r="BZ513" s="4">
        <v>0</v>
      </c>
      <c r="CA513">
        <f>AVERAGEIFS(Modelling[[Comisined DC ]],Modelling[Date],"&lt;="&amp;Modelling[[#This Row],[Date]],Modelling[Month Year],Modelling[[#This Row],[Month Year]])</f>
        <v>24.303100000000001</v>
      </c>
      <c r="CB513">
        <f>AVERAGEIFS(Modelling[[Comisined DC ]],Modelling[Date],"&lt;="&amp;Modelling[[#This Row],[Date]],Modelling[Finacial Year],Modelling[[#This Row],[Finacial Year]])</f>
        <v>24.30310000000005</v>
      </c>
      <c r="CG513">
        <f t="shared" si="185"/>
        <v>8</v>
      </c>
      <c r="CH513">
        <f t="shared" si="186"/>
        <v>130</v>
      </c>
    </row>
    <row r="514" spans="1:86" x14ac:dyDescent="0.35">
      <c r="A514" s="27">
        <f t="shared" si="189"/>
        <v>45513</v>
      </c>
      <c r="B514" s="5">
        <f>MONTH(Modelling_old[[#This Row],[Date]])</f>
        <v>8</v>
      </c>
      <c r="C514" s="25">
        <f t="shared" si="190"/>
        <v>2025</v>
      </c>
      <c r="D514" s="3">
        <f t="shared" si="191"/>
        <v>2024</v>
      </c>
      <c r="E514" s="3" t="s">
        <v>627</v>
      </c>
      <c r="F514" s="3" t="s">
        <v>627</v>
      </c>
      <c r="G514" s="102">
        <f>DATE(Modelling_old[[#This Row],[Calendor Year]],Modelling_old[[#This Row],[Start Month]],1)</f>
        <v>45505</v>
      </c>
      <c r="H514" s="5">
        <f t="shared" si="192"/>
        <v>31</v>
      </c>
      <c r="I514" s="5">
        <f t="shared" si="193"/>
        <v>8</v>
      </c>
      <c r="J514" s="4">
        <f>_xlfn.XLOOKUP(Modelling_old[[#This Row],[Month]],$C$1:$C$14,$N$1:$N$14)/Modelling_old[[#This Row],[Total Days]]</f>
        <v>34.264516129032259</v>
      </c>
      <c r="K514" s="4">
        <f>SUM($J$506:J514)</f>
        <v>308.38064516129026</v>
      </c>
      <c r="L514" s="4">
        <f>SUM($J$384:J514)</f>
        <v>5771.5806451612862</v>
      </c>
      <c r="M514" s="4">
        <f t="shared" si="194"/>
        <v>4.1741935483870973</v>
      </c>
      <c r="N514" s="4">
        <f>SUM($M$506:M514)</f>
        <v>37.567741935483873</v>
      </c>
      <c r="O514" s="4">
        <f>SUM($M$384:M514)</f>
        <v>728.96774193548208</v>
      </c>
      <c r="P514" s="323">
        <f t="shared" si="195"/>
        <v>0.71360375310159307</v>
      </c>
      <c r="Q514" s="337">
        <f t="shared" si="196"/>
        <v>0.71360375310159296</v>
      </c>
      <c r="R514" s="337">
        <f t="shared" si="197"/>
        <v>0.68829016287931599</v>
      </c>
      <c r="S514" s="323">
        <f t="shared" si="198"/>
        <v>0.12411334092922872</v>
      </c>
      <c r="T514" s="9">
        <f>Modelling_old[[#This Row],[Target E_Grid MTD
MWh]]/Modelling_old[[#This Row],[DC Capcity]]/(24*CG514)</f>
        <v>0.12411334092922868</v>
      </c>
      <c r="U514" s="338">
        <f>Modelling_old[[#This Row],[Target E_Grid YTD
MWh]]/Modelling_old[[#This Row],[DC Capcity]]/(24*CH514)</f>
        <v>0.15958693569673668</v>
      </c>
      <c r="V514" s="134">
        <v>11.5031</v>
      </c>
      <c r="Y514" s="27">
        <f t="shared" si="187"/>
        <v>45513</v>
      </c>
      <c r="Z514" s="5">
        <f>MONTH(Modelling_new[[#This Row],[Date]])</f>
        <v>8</v>
      </c>
      <c r="AA514" s="25">
        <f>YEAR(Y514)+IF(MONTH(Modelling_new[[#This Row],[Date]])&gt;=4,1,0)</f>
        <v>2025</v>
      </c>
      <c r="AB514" s="3">
        <f t="shared" si="199"/>
        <v>2024</v>
      </c>
      <c r="AC514" s="3" t="s">
        <v>627</v>
      </c>
      <c r="AD514" s="3" t="s">
        <v>627</v>
      </c>
      <c r="AE514" s="102">
        <f>DATE(Modelling_old[[#This Row],[Calendor Year]],Modelling_old[[#This Row],[Start Month]],1)</f>
        <v>45505</v>
      </c>
      <c r="AF514" s="5">
        <f t="shared" si="200"/>
        <v>31</v>
      </c>
      <c r="AG514" s="5">
        <f t="shared" si="201"/>
        <v>8</v>
      </c>
      <c r="AH514" s="4">
        <f>_xlfn.XLOOKUP(Modelling_new[[#This Row],[Month]],$AA$1:$AA$14,$AL$1:$AL$14)/Modelling_new[[#This Row],[Total Days]]</f>
        <v>44.14257670993775</v>
      </c>
      <c r="AI514" s="4">
        <f>SUM($AH$506:AH514)</f>
        <v>397.28319038943982</v>
      </c>
      <c r="AJ514" s="4">
        <f>SUM($AH$384:AH514)</f>
        <v>7575.4580759710625</v>
      </c>
      <c r="AK514" s="4">
        <f t="shared" si="202"/>
        <v>4.1741935483870973</v>
      </c>
      <c r="AL514" s="4">
        <f>SUM($AK$506:AK514)</f>
        <v>37.567741935483873</v>
      </c>
      <c r="AM514" s="4">
        <f>SUM($AK$384:AK514)</f>
        <v>728.96774193548208</v>
      </c>
      <c r="AN514" s="323">
        <f t="shared" si="203"/>
        <v>0.91932739669119101</v>
      </c>
      <c r="AO514" s="323">
        <f t="shared" si="204"/>
        <v>0.91932739669119123</v>
      </c>
      <c r="AP514" s="323">
        <f t="shared" si="205"/>
        <v>0.90341166372974491</v>
      </c>
      <c r="AQ514" s="323">
        <f t="shared" si="206"/>
        <v>0.15989377033849483</v>
      </c>
      <c r="AR514" s="323">
        <f>Modelling_new[[#This Row],[Target E_Grid MTD
MWh]]/Modelling_new[[#This Row],[MTD DC Capcity]]/(24*CG514)</f>
        <v>0.14369328356099531</v>
      </c>
      <c r="AS514" s="323">
        <f>Modelling_new[[#This Row],[Target E_Grid YTD
MWh]]/Modelling_new[[#This Row],[YTD DC Capcity]]/(24*CH514)</f>
        <v>0.1882419408986134</v>
      </c>
      <c r="AT514" s="5">
        <v>12.8</v>
      </c>
      <c r="AU514" s="9">
        <f>Modelling_new[[#This Row],[Comisined DC ]]/$AO$1</f>
        <v>1</v>
      </c>
      <c r="AV51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14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14" s="27">
        <f t="shared" si="188"/>
        <v>45513</v>
      </c>
      <c r="BE514" s="5">
        <f>MONTH(Modelling[[#This Row],[Date]])</f>
        <v>8</v>
      </c>
      <c r="BF514" s="25">
        <f>YEAR(BD514)+IF(MONTH(Modelling[[#This Row],[Date]])&gt;=4,1,0)</f>
        <v>2025</v>
      </c>
      <c r="BG514" s="3">
        <f t="shared" si="207"/>
        <v>2024</v>
      </c>
      <c r="BH514" s="3" t="s">
        <v>627</v>
      </c>
      <c r="BI514" s="3" t="s">
        <v>627</v>
      </c>
      <c r="BJ514" s="102">
        <f>DATE(Modelling_old[[#This Row],[Calendor Year]],Modelling_old[[#This Row],[Start Month]],1)</f>
        <v>45505</v>
      </c>
      <c r="BK514" s="5">
        <f t="shared" si="208"/>
        <v>31</v>
      </c>
      <c r="BL514" s="5">
        <f t="shared" si="209"/>
        <v>8</v>
      </c>
      <c r="BM514" s="4">
        <f>Modelling_old[[#This Row],[Target E_Grid daily
MWh]]+Modelling_new[[#This Row],[Target E_Grid daily
MWh]]</f>
        <v>78.407092838970016</v>
      </c>
      <c r="BN514" s="4">
        <f>Modelling_old[[#This Row],[Target E_Grid MTD
MWh]]+Modelling_new[[#This Row],[Target E_Grid MTD
MWh]]</f>
        <v>705.66383555073003</v>
      </c>
      <c r="BO514" s="4">
        <f>Modelling_old[[#This Row],[Target E_Grid YTD
MWh]]+Modelling_new[[#This Row],[Target E_Grid YTD
MWh]]</f>
        <v>13347.038721132349</v>
      </c>
      <c r="BP514" s="4">
        <f>AVERAGE(Modelling_old[[#This Row],[Target POA Daily (KWh/m2)]],Modelling_new[[#This Row],[Target POA Daily (KWh/m2)]])</f>
        <v>4.1741935483870973</v>
      </c>
      <c r="BQ514" s="4">
        <f>SUM($BP$506:BP514)</f>
        <v>37.567741935483873</v>
      </c>
      <c r="BR514" s="4">
        <f>SUM($BP$384:BP514)</f>
        <v>728.96774193548208</v>
      </c>
      <c r="BS514" s="323">
        <f>BM514/Modelling[[#This Row],[Comisined DC ]]/BP514</f>
        <v>0.77289606302000058</v>
      </c>
      <c r="BT514" s="337">
        <f>BN514/BQ514/Modelling[[#This Row],[Comisined DC ]]</f>
        <v>0.77289606302000047</v>
      </c>
      <c r="BU514" s="337">
        <f>BO514/BR514/Modelling[[#This Row],[Comisined DC ]]</f>
        <v>0.75338147321398041</v>
      </c>
      <c r="BV514" s="323">
        <f>BM514/(24*Modelling[[#This Row],[Comisined DC ]])</f>
        <v>0.13442573999299476</v>
      </c>
      <c r="BW514" s="323">
        <f>Modelling[[#This Row],[Target E_Grid MTD
MWh]]/Modelling[[#This Row],[MTD DC Capcity]]/(24*CG514)</f>
        <v>0.13442573999299473</v>
      </c>
      <c r="BX514" s="338">
        <f>Modelling[[#This Row],[Target E_Grid YTD
MWh]]/Modelling[[#This Row],[YTD DC Capcity]]/(24*CH514)</f>
        <v>0.17467900488066826</v>
      </c>
      <c r="BY514" s="4">
        <f>Modelling_old[[#This Row],[DC Capcity]]+Modelling_new[[#This Row],[Comisined DC ]]</f>
        <v>24.303100000000001</v>
      </c>
      <c r="BZ514" s="4">
        <v>0</v>
      </c>
      <c r="CA514">
        <f>AVERAGEIFS(Modelling[[Comisined DC ]],Modelling[Date],"&lt;="&amp;Modelling[[#This Row],[Date]],Modelling[Month Year],Modelling[[#This Row],[Month Year]])</f>
        <v>24.303100000000001</v>
      </c>
      <c r="CB514">
        <f>AVERAGEIFS(Modelling[[Comisined DC ]],Modelling[Date],"&lt;="&amp;Modelling[[#This Row],[Date]],Modelling[Finacial Year],Modelling[[#This Row],[Finacial Year]])</f>
        <v>24.30310000000005</v>
      </c>
      <c r="CG514">
        <f t="shared" ref="CG514:CG536" si="210">CG513+1</f>
        <v>9</v>
      </c>
      <c r="CH514">
        <f t="shared" ref="CH514:CH577" si="211">CH513+1</f>
        <v>131</v>
      </c>
    </row>
    <row r="515" spans="1:86" x14ac:dyDescent="0.35">
      <c r="A515" s="27">
        <f t="shared" si="189"/>
        <v>45514</v>
      </c>
      <c r="B515" s="5">
        <f>MONTH(Modelling_old[[#This Row],[Date]])</f>
        <v>8</v>
      </c>
      <c r="C515" s="25">
        <f t="shared" si="190"/>
        <v>2025</v>
      </c>
      <c r="D515" s="3">
        <f t="shared" si="191"/>
        <v>2024</v>
      </c>
      <c r="E515" s="3" t="s">
        <v>627</v>
      </c>
      <c r="F515" s="3" t="s">
        <v>627</v>
      </c>
      <c r="G515" s="102">
        <f>DATE(Modelling_old[[#This Row],[Calendor Year]],Modelling_old[[#This Row],[Start Month]],1)</f>
        <v>45505</v>
      </c>
      <c r="H515" s="5">
        <f t="shared" si="192"/>
        <v>31</v>
      </c>
      <c r="I515" s="5">
        <f t="shared" si="193"/>
        <v>8</v>
      </c>
      <c r="J515" s="4">
        <f>_xlfn.XLOOKUP(Modelling_old[[#This Row],[Month]],$C$1:$C$14,$N$1:$N$14)/Modelling_old[[#This Row],[Total Days]]</f>
        <v>34.264516129032259</v>
      </c>
      <c r="K515" s="4">
        <f>SUM($J$506:J515)</f>
        <v>342.64516129032251</v>
      </c>
      <c r="L515" s="4">
        <f>SUM($J$384:J515)</f>
        <v>5805.8451612903182</v>
      </c>
      <c r="M515" s="4">
        <f t="shared" si="194"/>
        <v>4.1741935483870973</v>
      </c>
      <c r="N515" s="4">
        <f>SUM($M$506:M515)</f>
        <v>41.741935483870968</v>
      </c>
      <c r="O515" s="4">
        <f>SUM($M$384:M515)</f>
        <v>733.14193548386913</v>
      </c>
      <c r="P515" s="323">
        <f t="shared" si="195"/>
        <v>0.71360375310159307</v>
      </c>
      <c r="Q515" s="337">
        <f t="shared" si="196"/>
        <v>0.71360375310159307</v>
      </c>
      <c r="R515" s="337">
        <f t="shared" si="197"/>
        <v>0.68843428752950753</v>
      </c>
      <c r="S515" s="323">
        <f t="shared" si="198"/>
        <v>0.12411334092922872</v>
      </c>
      <c r="T515" s="9">
        <f>Modelling_old[[#This Row],[Target E_Grid MTD
MWh]]/Modelling_old[[#This Row],[DC Capcity]]/(24*CG515)</f>
        <v>0.12411334092922868</v>
      </c>
      <c r="U515" s="338">
        <f>Modelling_old[[#This Row],[Target E_Grid YTD
MWh]]/Modelling_old[[#This Row],[DC Capcity]]/(24*CH515)</f>
        <v>0.15931819634243738</v>
      </c>
      <c r="V515" s="134">
        <v>11.5031</v>
      </c>
      <c r="Y515" s="27">
        <f t="shared" si="187"/>
        <v>45514</v>
      </c>
      <c r="Z515" s="5">
        <f>MONTH(Modelling_new[[#This Row],[Date]])</f>
        <v>8</v>
      </c>
      <c r="AA515" s="25">
        <f>YEAR(Y515)+IF(MONTH(Modelling_new[[#This Row],[Date]])&gt;=4,1,0)</f>
        <v>2025</v>
      </c>
      <c r="AB515" s="3">
        <f t="shared" si="199"/>
        <v>2024</v>
      </c>
      <c r="AC515" s="3" t="s">
        <v>627</v>
      </c>
      <c r="AD515" s="3" t="s">
        <v>627</v>
      </c>
      <c r="AE515" s="102">
        <f>DATE(Modelling_old[[#This Row],[Calendor Year]],Modelling_old[[#This Row],[Start Month]],1)</f>
        <v>45505</v>
      </c>
      <c r="AF515" s="5">
        <f t="shared" si="200"/>
        <v>31</v>
      </c>
      <c r="AG515" s="5">
        <f t="shared" si="201"/>
        <v>8</v>
      </c>
      <c r="AH515" s="4">
        <f>_xlfn.XLOOKUP(Modelling_new[[#This Row],[Month]],$AA$1:$AA$14,$AL$1:$AL$14)/Modelling_new[[#This Row],[Total Days]]</f>
        <v>44.14257670993775</v>
      </c>
      <c r="AI515" s="4">
        <f>SUM($AH$506:AH515)</f>
        <v>441.42576709937759</v>
      </c>
      <c r="AJ515" s="4">
        <f>SUM($AH$384:AH515)</f>
        <v>7619.6006526810006</v>
      </c>
      <c r="AK515" s="4">
        <f t="shared" si="202"/>
        <v>4.1741935483870973</v>
      </c>
      <c r="AL515" s="4">
        <f>SUM($AK$506:AK515)</f>
        <v>41.741935483870968</v>
      </c>
      <c r="AM515" s="4">
        <f>SUM($AK$384:AK515)</f>
        <v>733.14193548386913</v>
      </c>
      <c r="AN515" s="323">
        <f t="shared" si="203"/>
        <v>0.91932739669119101</v>
      </c>
      <c r="AO515" s="323">
        <f t="shared" si="204"/>
        <v>0.91932739669119123</v>
      </c>
      <c r="AP515" s="323">
        <f t="shared" si="205"/>
        <v>0.90350228103947738</v>
      </c>
      <c r="AQ515" s="323">
        <f t="shared" si="206"/>
        <v>0.15989377033849483</v>
      </c>
      <c r="AR515" s="323">
        <f>Modelling_new[[#This Row],[Target E_Grid MTD
MWh]]/Modelling_new[[#This Row],[MTD DC Capcity]]/(24*CG515)</f>
        <v>0.14369328356099534</v>
      </c>
      <c r="AS515" s="323">
        <f>Modelling_new[[#This Row],[Target E_Grid YTD
MWh]]/Modelling_new[[#This Row],[YTD DC Capcity]]/(24*CH515)</f>
        <v>0.18790445107029813</v>
      </c>
      <c r="AT515" s="5">
        <v>12.8</v>
      </c>
      <c r="AU515" s="9">
        <f>Modelling_new[[#This Row],[Comisined DC ]]/$AO$1</f>
        <v>1</v>
      </c>
      <c r="AV51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15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15" s="27">
        <f t="shared" si="188"/>
        <v>45514</v>
      </c>
      <c r="BE515" s="5">
        <f>MONTH(Modelling[[#This Row],[Date]])</f>
        <v>8</v>
      </c>
      <c r="BF515" s="25">
        <f>YEAR(BD515)+IF(MONTH(Modelling[[#This Row],[Date]])&gt;=4,1,0)</f>
        <v>2025</v>
      </c>
      <c r="BG515" s="3">
        <f t="shared" si="207"/>
        <v>2024</v>
      </c>
      <c r="BH515" s="3" t="s">
        <v>627</v>
      </c>
      <c r="BI515" s="3" t="s">
        <v>627</v>
      </c>
      <c r="BJ515" s="102">
        <f>DATE(Modelling_old[[#This Row],[Calendor Year]],Modelling_old[[#This Row],[Start Month]],1)</f>
        <v>45505</v>
      </c>
      <c r="BK515" s="5">
        <f t="shared" si="208"/>
        <v>31</v>
      </c>
      <c r="BL515" s="5">
        <f t="shared" si="209"/>
        <v>8</v>
      </c>
      <c r="BM515" s="4">
        <f>Modelling_old[[#This Row],[Target E_Grid daily
MWh]]+Modelling_new[[#This Row],[Target E_Grid daily
MWh]]</f>
        <v>78.407092838970016</v>
      </c>
      <c r="BN515" s="4">
        <f>Modelling_old[[#This Row],[Target E_Grid MTD
MWh]]+Modelling_new[[#This Row],[Target E_Grid MTD
MWh]]</f>
        <v>784.07092838970016</v>
      </c>
      <c r="BO515" s="4">
        <f>Modelling_old[[#This Row],[Target E_Grid YTD
MWh]]+Modelling_new[[#This Row],[Target E_Grid YTD
MWh]]</f>
        <v>13425.445813971319</v>
      </c>
      <c r="BP515" s="4">
        <f>AVERAGE(Modelling_old[[#This Row],[Target POA Daily (KWh/m2)]],Modelling_new[[#This Row],[Target POA Daily (KWh/m2)]])</f>
        <v>4.1741935483870973</v>
      </c>
      <c r="BQ515" s="4">
        <f>SUM($BP$506:BP515)</f>
        <v>41.741935483870968</v>
      </c>
      <c r="BR515" s="4">
        <f>SUM($BP$384:BP515)</f>
        <v>733.14193548386913</v>
      </c>
      <c r="BS515" s="323">
        <f>BM515/Modelling[[#This Row],[Comisined DC ]]/BP515</f>
        <v>0.77289606302000058</v>
      </c>
      <c r="BT515" s="337">
        <f>BN515/BQ515/Modelling[[#This Row],[Comisined DC ]]</f>
        <v>0.77289606302000069</v>
      </c>
      <c r="BU515" s="337">
        <f>BO515/BR515/Modelling[[#This Row],[Comisined DC ]]</f>
        <v>0.75349258086029725</v>
      </c>
      <c r="BV515" s="323">
        <f>BM515/(24*Modelling[[#This Row],[Comisined DC ]])</f>
        <v>0.13442573999299476</v>
      </c>
      <c r="BW515" s="323">
        <f>Modelling[[#This Row],[Target E_Grid MTD
MWh]]/Modelling[[#This Row],[MTD DC Capcity]]/(24*CG515)</f>
        <v>0.13442573999299473</v>
      </c>
      <c r="BX515" s="338">
        <f>Modelling[[#This Row],[Target E_Grid YTD
MWh]]/Modelling[[#This Row],[YTD DC Capcity]]/(24*CH515)</f>
        <v>0.17437405590424651</v>
      </c>
      <c r="BY515" s="4">
        <f>Modelling_old[[#This Row],[DC Capcity]]+Modelling_new[[#This Row],[Comisined DC ]]</f>
        <v>24.303100000000001</v>
      </c>
      <c r="BZ515" s="4">
        <v>0</v>
      </c>
      <c r="CA515">
        <f>AVERAGEIFS(Modelling[[Comisined DC ]],Modelling[Date],"&lt;="&amp;Modelling[[#This Row],[Date]],Modelling[Month Year],Modelling[[#This Row],[Month Year]])</f>
        <v>24.303100000000001</v>
      </c>
      <c r="CB515">
        <f>AVERAGEIFS(Modelling[[Comisined DC ]],Modelling[Date],"&lt;="&amp;Modelling[[#This Row],[Date]],Modelling[Finacial Year],Modelling[[#This Row],[Finacial Year]])</f>
        <v>24.30310000000005</v>
      </c>
      <c r="CG515">
        <f t="shared" si="210"/>
        <v>10</v>
      </c>
      <c r="CH515">
        <f t="shared" si="211"/>
        <v>132</v>
      </c>
    </row>
    <row r="516" spans="1:86" x14ac:dyDescent="0.35">
      <c r="A516" s="27">
        <f t="shared" si="189"/>
        <v>45515</v>
      </c>
      <c r="B516" s="5">
        <f>MONTH(Modelling_old[[#This Row],[Date]])</f>
        <v>8</v>
      </c>
      <c r="C516" s="25">
        <f t="shared" si="190"/>
        <v>2025</v>
      </c>
      <c r="D516" s="3">
        <f t="shared" si="191"/>
        <v>2024</v>
      </c>
      <c r="E516" s="3" t="s">
        <v>627</v>
      </c>
      <c r="F516" s="3" t="s">
        <v>627</v>
      </c>
      <c r="G516" s="102">
        <f>DATE(Modelling_old[[#This Row],[Calendor Year]],Modelling_old[[#This Row],[Start Month]],1)</f>
        <v>45505</v>
      </c>
      <c r="H516" s="5">
        <f t="shared" si="192"/>
        <v>31</v>
      </c>
      <c r="I516" s="5">
        <f t="shared" si="193"/>
        <v>8</v>
      </c>
      <c r="J516" s="4">
        <f>_xlfn.XLOOKUP(Modelling_old[[#This Row],[Month]],$C$1:$C$14,$N$1:$N$14)/Modelling_old[[#This Row],[Total Days]]</f>
        <v>34.264516129032259</v>
      </c>
      <c r="K516" s="4">
        <f>SUM($J$506:J516)</f>
        <v>376.90967741935475</v>
      </c>
      <c r="L516" s="4">
        <f>SUM($J$384:J516)</f>
        <v>5840.1096774193502</v>
      </c>
      <c r="M516" s="4">
        <f t="shared" si="194"/>
        <v>4.1741935483870973</v>
      </c>
      <c r="N516" s="4">
        <f>SUM($M$506:M516)</f>
        <v>45.916129032258063</v>
      </c>
      <c r="O516" s="4">
        <f>SUM($M$384:M516)</f>
        <v>737.31612903225619</v>
      </c>
      <c r="P516" s="323">
        <f t="shared" si="195"/>
        <v>0.71360375310159307</v>
      </c>
      <c r="Q516" s="337">
        <f t="shared" si="196"/>
        <v>0.71360375310159307</v>
      </c>
      <c r="R516" s="337">
        <f t="shared" si="197"/>
        <v>0.68857678030386904</v>
      </c>
      <c r="S516" s="323">
        <f t="shared" si="198"/>
        <v>0.12411334092922872</v>
      </c>
      <c r="T516" s="9">
        <f>Modelling_old[[#This Row],[Target E_Grid MTD
MWh]]/Modelling_old[[#This Row],[DC Capcity]]/(24*CG516)</f>
        <v>0.12411334092922867</v>
      </c>
      <c r="U516" s="338">
        <f>Modelling_old[[#This Row],[Target E_Grid YTD
MWh]]/Modelling_old[[#This Row],[DC Capcity]]/(24*CH516)</f>
        <v>0.1590534981814358</v>
      </c>
      <c r="V516" s="134">
        <v>11.5031</v>
      </c>
      <c r="Y516" s="27">
        <f t="shared" si="187"/>
        <v>45515</v>
      </c>
      <c r="Z516" s="5">
        <f>MONTH(Modelling_new[[#This Row],[Date]])</f>
        <v>8</v>
      </c>
      <c r="AA516" s="25">
        <f>YEAR(Y516)+IF(MONTH(Modelling_new[[#This Row],[Date]])&gt;=4,1,0)</f>
        <v>2025</v>
      </c>
      <c r="AB516" s="3">
        <f t="shared" si="199"/>
        <v>2024</v>
      </c>
      <c r="AC516" s="3" t="s">
        <v>627</v>
      </c>
      <c r="AD516" s="3" t="s">
        <v>627</v>
      </c>
      <c r="AE516" s="102">
        <f>DATE(Modelling_old[[#This Row],[Calendor Year]],Modelling_old[[#This Row],[Start Month]],1)</f>
        <v>45505</v>
      </c>
      <c r="AF516" s="5">
        <f t="shared" si="200"/>
        <v>31</v>
      </c>
      <c r="AG516" s="5">
        <f t="shared" si="201"/>
        <v>8</v>
      </c>
      <c r="AH516" s="4">
        <f>_xlfn.XLOOKUP(Modelling_new[[#This Row],[Month]],$AA$1:$AA$14,$AL$1:$AL$14)/Modelling_new[[#This Row],[Total Days]]</f>
        <v>44.14257670993775</v>
      </c>
      <c r="AI516" s="4">
        <f>SUM($AH$506:AH516)</f>
        <v>485.56834380931537</v>
      </c>
      <c r="AJ516" s="4">
        <f>SUM($AH$384:AH516)</f>
        <v>7663.7432293909387</v>
      </c>
      <c r="AK516" s="4">
        <f t="shared" si="202"/>
        <v>4.1741935483870973</v>
      </c>
      <c r="AL516" s="4">
        <f>SUM($AK$506:AK516)</f>
        <v>45.916129032258063</v>
      </c>
      <c r="AM516" s="4">
        <f>SUM($AK$384:AK516)</f>
        <v>737.31612903225619</v>
      </c>
      <c r="AN516" s="323">
        <f t="shared" si="203"/>
        <v>0.91932739669119101</v>
      </c>
      <c r="AO516" s="323">
        <f t="shared" si="204"/>
        <v>0.91932739669119146</v>
      </c>
      <c r="AP516" s="323">
        <f t="shared" si="205"/>
        <v>0.90359187231933003</v>
      </c>
      <c r="AQ516" s="323">
        <f t="shared" si="206"/>
        <v>0.15989377033849483</v>
      </c>
      <c r="AR516" s="323">
        <f>Modelling_new[[#This Row],[Target E_Grid MTD
MWh]]/Modelling_new[[#This Row],[MTD DC Capcity]]/(24*CG516)</f>
        <v>0.14369328356099534</v>
      </c>
      <c r="AS516" s="323">
        <f>Modelling_new[[#This Row],[Target E_Grid YTD
MWh]]/Modelling_new[[#This Row],[YTD DC Capcity]]/(24*CH516)</f>
        <v>0.18757203627699512</v>
      </c>
      <c r="AT516" s="5">
        <v>12.8</v>
      </c>
      <c r="AU516" s="9">
        <f>Modelling_new[[#This Row],[Comisined DC ]]/$AO$1</f>
        <v>1</v>
      </c>
      <c r="AV516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16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16" s="27">
        <f t="shared" si="188"/>
        <v>45515</v>
      </c>
      <c r="BE516" s="5">
        <f>MONTH(Modelling[[#This Row],[Date]])</f>
        <v>8</v>
      </c>
      <c r="BF516" s="25">
        <f>YEAR(BD516)+IF(MONTH(Modelling[[#This Row],[Date]])&gt;=4,1,0)</f>
        <v>2025</v>
      </c>
      <c r="BG516" s="3">
        <f t="shared" si="207"/>
        <v>2024</v>
      </c>
      <c r="BH516" s="3" t="s">
        <v>627</v>
      </c>
      <c r="BI516" s="3" t="s">
        <v>627</v>
      </c>
      <c r="BJ516" s="102">
        <f>DATE(Modelling_old[[#This Row],[Calendor Year]],Modelling_old[[#This Row],[Start Month]],1)</f>
        <v>45505</v>
      </c>
      <c r="BK516" s="5">
        <f t="shared" si="208"/>
        <v>31</v>
      </c>
      <c r="BL516" s="5">
        <f t="shared" si="209"/>
        <v>8</v>
      </c>
      <c r="BM516" s="4">
        <f>Modelling_old[[#This Row],[Target E_Grid daily
MWh]]+Modelling_new[[#This Row],[Target E_Grid daily
MWh]]</f>
        <v>78.407092838970016</v>
      </c>
      <c r="BN516" s="4">
        <f>Modelling_old[[#This Row],[Target E_Grid MTD
MWh]]+Modelling_new[[#This Row],[Target E_Grid MTD
MWh]]</f>
        <v>862.47802122867006</v>
      </c>
      <c r="BO516" s="4">
        <f>Modelling_old[[#This Row],[Target E_Grid YTD
MWh]]+Modelling_new[[#This Row],[Target E_Grid YTD
MWh]]</f>
        <v>13503.852906810289</v>
      </c>
      <c r="BP516" s="4">
        <f>AVERAGE(Modelling_old[[#This Row],[Target POA Daily (KWh/m2)]],Modelling_new[[#This Row],[Target POA Daily (KWh/m2)]])</f>
        <v>4.1741935483870973</v>
      </c>
      <c r="BQ516" s="4">
        <f>SUM($BP$506:BP516)</f>
        <v>45.916129032258063</v>
      </c>
      <c r="BR516" s="4">
        <f>SUM($BP$384:BP516)</f>
        <v>737.31612903225619</v>
      </c>
      <c r="BS516" s="323">
        <f>BM516/Modelling[[#This Row],[Comisined DC ]]/BP516</f>
        <v>0.77289606302000058</v>
      </c>
      <c r="BT516" s="337">
        <f>BN516/BQ516/Modelling[[#This Row],[Comisined DC ]]</f>
        <v>0.77289606302000069</v>
      </c>
      <c r="BU516" s="337">
        <f>BO516/BR516/Modelling[[#This Row],[Comisined DC ]]</f>
        <v>0.75360243047141795</v>
      </c>
      <c r="BV516" s="323">
        <f>BM516/(24*Modelling[[#This Row],[Comisined DC ]])</f>
        <v>0.13442573999299476</v>
      </c>
      <c r="BW516" s="323">
        <f>Modelling[[#This Row],[Target E_Grid MTD
MWh]]/Modelling[[#This Row],[MTD DC Capcity]]/(24*CG516)</f>
        <v>0.1344257399929947</v>
      </c>
      <c r="BX516" s="338">
        <f>Modelling[[#This Row],[Target E_Grid YTD
MWh]]/Modelling[[#This Row],[YTD DC Capcity]]/(24*CH516)</f>
        <v>0.17407369262671832</v>
      </c>
      <c r="BY516" s="4">
        <f>Modelling_old[[#This Row],[DC Capcity]]+Modelling_new[[#This Row],[Comisined DC ]]</f>
        <v>24.303100000000001</v>
      </c>
      <c r="BZ516" s="4">
        <v>0</v>
      </c>
      <c r="CA516">
        <f>AVERAGEIFS(Modelling[[Comisined DC ]],Modelling[Date],"&lt;="&amp;Modelling[[#This Row],[Date]],Modelling[Month Year],Modelling[[#This Row],[Month Year]])</f>
        <v>24.303100000000004</v>
      </c>
      <c r="CB516">
        <f>AVERAGEIFS(Modelling[[Comisined DC ]],Modelling[Date],"&lt;="&amp;Modelling[[#This Row],[Date]],Modelling[Finacial Year],Modelling[[#This Row],[Finacial Year]])</f>
        <v>24.30310000000005</v>
      </c>
      <c r="CG516">
        <f t="shared" si="210"/>
        <v>11</v>
      </c>
      <c r="CH516">
        <f t="shared" si="211"/>
        <v>133</v>
      </c>
    </row>
    <row r="517" spans="1:86" x14ac:dyDescent="0.35">
      <c r="A517" s="27">
        <f t="shared" si="189"/>
        <v>45516</v>
      </c>
      <c r="B517" s="5">
        <f>MONTH(Modelling_old[[#This Row],[Date]])</f>
        <v>8</v>
      </c>
      <c r="C517" s="25">
        <f t="shared" si="190"/>
        <v>2025</v>
      </c>
      <c r="D517" s="3">
        <f t="shared" si="191"/>
        <v>2024</v>
      </c>
      <c r="E517" s="3" t="s">
        <v>627</v>
      </c>
      <c r="F517" s="3" t="s">
        <v>627</v>
      </c>
      <c r="G517" s="102">
        <f>DATE(Modelling_old[[#This Row],[Calendor Year]],Modelling_old[[#This Row],[Start Month]],1)</f>
        <v>45505</v>
      </c>
      <c r="H517" s="5">
        <f t="shared" si="192"/>
        <v>31</v>
      </c>
      <c r="I517" s="5">
        <f t="shared" si="193"/>
        <v>8</v>
      </c>
      <c r="J517" s="4">
        <f>_xlfn.XLOOKUP(Modelling_old[[#This Row],[Month]],$C$1:$C$14,$N$1:$N$14)/Modelling_old[[#This Row],[Total Days]]</f>
        <v>34.264516129032259</v>
      </c>
      <c r="K517" s="4">
        <f>SUM($J$506:J517)</f>
        <v>411.174193548387</v>
      </c>
      <c r="L517" s="4">
        <f>SUM($J$384:J517)</f>
        <v>5874.3741935483822</v>
      </c>
      <c r="M517" s="4">
        <f t="shared" si="194"/>
        <v>4.1741935483870973</v>
      </c>
      <c r="N517" s="4">
        <f>SUM($M$506:M517)</f>
        <v>50.090322580645157</v>
      </c>
      <c r="O517" s="4">
        <f>SUM($M$384:M517)</f>
        <v>741.49032258064324</v>
      </c>
      <c r="P517" s="323">
        <f t="shared" si="195"/>
        <v>0.71360375310159307</v>
      </c>
      <c r="Q517" s="337">
        <f t="shared" si="196"/>
        <v>0.71360375310159307</v>
      </c>
      <c r="R517" s="337">
        <f t="shared" si="197"/>
        <v>0.68871766876216256</v>
      </c>
      <c r="S517" s="323">
        <f t="shared" si="198"/>
        <v>0.12411334092922872</v>
      </c>
      <c r="T517" s="9">
        <f>Modelling_old[[#This Row],[Target E_Grid MTD
MWh]]/Modelling_old[[#This Row],[DC Capcity]]/(24*CG517)</f>
        <v>0.12411334092922867</v>
      </c>
      <c r="U517" s="338">
        <f>Modelling_old[[#This Row],[Target E_Grid YTD
MWh]]/Modelling_old[[#This Row],[DC Capcity]]/(24*CH517)</f>
        <v>0.15879275073925514</v>
      </c>
      <c r="V517" s="134">
        <v>11.5031</v>
      </c>
      <c r="Y517" s="27">
        <f t="shared" si="187"/>
        <v>45516</v>
      </c>
      <c r="Z517" s="5">
        <f>MONTH(Modelling_new[[#This Row],[Date]])</f>
        <v>8</v>
      </c>
      <c r="AA517" s="25">
        <f>YEAR(Y517)+IF(MONTH(Modelling_new[[#This Row],[Date]])&gt;=4,1,0)</f>
        <v>2025</v>
      </c>
      <c r="AB517" s="3">
        <f t="shared" si="199"/>
        <v>2024</v>
      </c>
      <c r="AC517" s="3" t="s">
        <v>627</v>
      </c>
      <c r="AD517" s="3" t="s">
        <v>627</v>
      </c>
      <c r="AE517" s="102">
        <f>DATE(Modelling_old[[#This Row],[Calendor Year]],Modelling_old[[#This Row],[Start Month]],1)</f>
        <v>45505</v>
      </c>
      <c r="AF517" s="5">
        <f t="shared" si="200"/>
        <v>31</v>
      </c>
      <c r="AG517" s="5">
        <f t="shared" si="201"/>
        <v>8</v>
      </c>
      <c r="AH517" s="4">
        <f>_xlfn.XLOOKUP(Modelling_new[[#This Row],[Month]],$AA$1:$AA$14,$AL$1:$AL$14)/Modelling_new[[#This Row],[Total Days]]</f>
        <v>44.14257670993775</v>
      </c>
      <c r="AI517" s="4">
        <f>SUM($AH$506:AH517)</f>
        <v>529.71092051925314</v>
      </c>
      <c r="AJ517" s="4">
        <f>SUM($AH$384:AH517)</f>
        <v>7707.8858061008768</v>
      </c>
      <c r="AK517" s="4">
        <f t="shared" si="202"/>
        <v>4.1741935483870973</v>
      </c>
      <c r="AL517" s="4">
        <f>SUM($AK$506:AK517)</f>
        <v>50.090322580645157</v>
      </c>
      <c r="AM517" s="4">
        <f>SUM($AK$384:AK517)</f>
        <v>741.49032258064324</v>
      </c>
      <c r="AN517" s="323">
        <f t="shared" si="203"/>
        <v>0.91932739669119101</v>
      </c>
      <c r="AO517" s="323">
        <f t="shared" si="204"/>
        <v>0.91932739669119146</v>
      </c>
      <c r="AP517" s="323">
        <f t="shared" si="205"/>
        <v>0.90368045489729942</v>
      </c>
      <c r="AQ517" s="323">
        <f t="shared" si="206"/>
        <v>0.15989377033849483</v>
      </c>
      <c r="AR517" s="323">
        <f>Modelling_new[[#This Row],[Target E_Grid MTD
MWh]]/Modelling_new[[#This Row],[MTD DC Capcity]]/(24*CG517)</f>
        <v>0.14369328356099531</v>
      </c>
      <c r="AS517" s="323">
        <f>Modelling_new[[#This Row],[Target E_Grid YTD
MWh]]/Modelling_new[[#This Row],[YTD DC Capcity]]/(24*CH517)</f>
        <v>0.18724458289851753</v>
      </c>
      <c r="AT517" s="5">
        <v>12.8</v>
      </c>
      <c r="AU517" s="9">
        <f>Modelling_new[[#This Row],[Comisined DC ]]/$AO$1</f>
        <v>1</v>
      </c>
      <c r="AV517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17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17" s="27">
        <f t="shared" si="188"/>
        <v>45516</v>
      </c>
      <c r="BE517" s="5">
        <f>MONTH(Modelling[[#This Row],[Date]])</f>
        <v>8</v>
      </c>
      <c r="BF517" s="25">
        <f>YEAR(BD517)+IF(MONTH(Modelling[[#This Row],[Date]])&gt;=4,1,0)</f>
        <v>2025</v>
      </c>
      <c r="BG517" s="3">
        <f t="shared" si="207"/>
        <v>2024</v>
      </c>
      <c r="BH517" s="3" t="s">
        <v>627</v>
      </c>
      <c r="BI517" s="3" t="s">
        <v>627</v>
      </c>
      <c r="BJ517" s="102">
        <f>DATE(Modelling_old[[#This Row],[Calendor Year]],Modelling_old[[#This Row],[Start Month]],1)</f>
        <v>45505</v>
      </c>
      <c r="BK517" s="5">
        <f t="shared" si="208"/>
        <v>31</v>
      </c>
      <c r="BL517" s="5">
        <f t="shared" si="209"/>
        <v>8</v>
      </c>
      <c r="BM517" s="4">
        <f>Modelling_old[[#This Row],[Target E_Grid daily
MWh]]+Modelling_new[[#This Row],[Target E_Grid daily
MWh]]</f>
        <v>78.407092838970016</v>
      </c>
      <c r="BN517" s="4">
        <f>Modelling_old[[#This Row],[Target E_Grid MTD
MWh]]+Modelling_new[[#This Row],[Target E_Grid MTD
MWh]]</f>
        <v>940.88511406764019</v>
      </c>
      <c r="BO517" s="4">
        <f>Modelling_old[[#This Row],[Target E_Grid YTD
MWh]]+Modelling_new[[#This Row],[Target E_Grid YTD
MWh]]</f>
        <v>13582.259999649259</v>
      </c>
      <c r="BP517" s="4">
        <f>AVERAGE(Modelling_old[[#This Row],[Target POA Daily (KWh/m2)]],Modelling_new[[#This Row],[Target POA Daily (KWh/m2)]])</f>
        <v>4.1741935483870973</v>
      </c>
      <c r="BQ517" s="4">
        <f>SUM($BP$506:BP517)</f>
        <v>50.090322580645157</v>
      </c>
      <c r="BR517" s="4">
        <f>SUM($BP$384:BP517)</f>
        <v>741.49032258064324</v>
      </c>
      <c r="BS517" s="323">
        <f>BM517/Modelling[[#This Row],[Comisined DC ]]/BP517</f>
        <v>0.77289606302000058</v>
      </c>
      <c r="BT517" s="337">
        <f>BN517/BQ517/Modelling[[#This Row],[Comisined DC ]]</f>
        <v>0.7728960630200008</v>
      </c>
      <c r="BU517" s="337">
        <f>BO517/BR517/Modelling[[#This Row],[Comisined DC ]]</f>
        <v>0.75371104329353689</v>
      </c>
      <c r="BV517" s="323">
        <f>BM517/(24*Modelling[[#This Row],[Comisined DC ]])</f>
        <v>0.13442573999299476</v>
      </c>
      <c r="BW517" s="323">
        <f>Modelling[[#This Row],[Target E_Grid MTD
MWh]]/Modelling[[#This Row],[MTD DC Capcity]]/(24*CG517)</f>
        <v>0.13442573999299476</v>
      </c>
      <c r="BX517" s="338">
        <f>Modelling[[#This Row],[Target E_Grid YTD
MWh]]/Modelling[[#This Row],[YTD DC Capcity]]/(24*CH517)</f>
        <v>0.17377781238318304</v>
      </c>
      <c r="BY517" s="4">
        <f>Modelling_old[[#This Row],[DC Capcity]]+Modelling_new[[#This Row],[Comisined DC ]]</f>
        <v>24.303100000000001</v>
      </c>
      <c r="BZ517" s="4">
        <v>0</v>
      </c>
      <c r="CA517">
        <f>AVERAGEIFS(Modelling[[Comisined DC ]],Modelling[Date],"&lt;="&amp;Modelling[[#This Row],[Date]],Modelling[Month Year],Modelling[[#This Row],[Month Year]])</f>
        <v>24.303100000000001</v>
      </c>
      <c r="CB517">
        <f>AVERAGEIFS(Modelling[[Comisined DC ]],Modelling[Date],"&lt;="&amp;Modelling[[#This Row],[Date]],Modelling[Finacial Year],Modelling[[#This Row],[Finacial Year]])</f>
        <v>24.30310000000005</v>
      </c>
      <c r="CG517">
        <f t="shared" si="210"/>
        <v>12</v>
      </c>
      <c r="CH517">
        <f t="shared" si="211"/>
        <v>134</v>
      </c>
    </row>
    <row r="518" spans="1:86" x14ac:dyDescent="0.35">
      <c r="A518" s="27">
        <f t="shared" si="189"/>
        <v>45517</v>
      </c>
      <c r="B518" s="5">
        <f>MONTH(Modelling_old[[#This Row],[Date]])</f>
        <v>8</v>
      </c>
      <c r="C518" s="25">
        <f t="shared" si="190"/>
        <v>2025</v>
      </c>
      <c r="D518" s="3">
        <f t="shared" si="191"/>
        <v>2024</v>
      </c>
      <c r="E518" s="3" t="s">
        <v>627</v>
      </c>
      <c r="F518" s="3" t="s">
        <v>627</v>
      </c>
      <c r="G518" s="102">
        <f>DATE(Modelling_old[[#This Row],[Calendor Year]],Modelling_old[[#This Row],[Start Month]],1)</f>
        <v>45505</v>
      </c>
      <c r="H518" s="5">
        <f t="shared" si="192"/>
        <v>31</v>
      </c>
      <c r="I518" s="5">
        <f t="shared" si="193"/>
        <v>8</v>
      </c>
      <c r="J518" s="4">
        <f>_xlfn.XLOOKUP(Modelling_old[[#This Row],[Month]],$C$1:$C$14,$N$1:$N$14)/Modelling_old[[#This Row],[Total Days]]</f>
        <v>34.264516129032259</v>
      </c>
      <c r="K518" s="4">
        <f>SUM($J$506:J518)</f>
        <v>445.43870967741924</v>
      </c>
      <c r="L518" s="4">
        <f>SUM($J$384:J518)</f>
        <v>5908.6387096774142</v>
      </c>
      <c r="M518" s="4">
        <f t="shared" si="194"/>
        <v>4.1741935483870973</v>
      </c>
      <c r="N518" s="4">
        <f>SUM($M$506:M518)</f>
        <v>54.264516129032252</v>
      </c>
      <c r="O518" s="4">
        <f>SUM($M$384:M518)</f>
        <v>745.66451612903029</v>
      </c>
      <c r="P518" s="323">
        <f t="shared" si="195"/>
        <v>0.71360375310159307</v>
      </c>
      <c r="Q518" s="337">
        <f t="shared" si="196"/>
        <v>0.71360375310159307</v>
      </c>
      <c r="R518" s="337">
        <f t="shared" si="197"/>
        <v>0.68885697984703698</v>
      </c>
      <c r="S518" s="323">
        <f t="shared" si="198"/>
        <v>0.12411334092922872</v>
      </c>
      <c r="T518" s="9">
        <f>Modelling_old[[#This Row],[Target E_Grid MTD
MWh]]/Modelling_old[[#This Row],[DC Capcity]]/(24*CG518)</f>
        <v>0.12411334092922868</v>
      </c>
      <c r="U518" s="338">
        <f>Modelling_old[[#This Row],[Target E_Grid YTD
MWh]]/Modelling_old[[#This Row],[DC Capcity]]/(24*CH518)</f>
        <v>0.15853586622214383</v>
      </c>
      <c r="V518" s="134">
        <v>11.5031</v>
      </c>
      <c r="Y518" s="27">
        <f t="shared" si="187"/>
        <v>45517</v>
      </c>
      <c r="Z518" s="5">
        <f>MONTH(Modelling_new[[#This Row],[Date]])</f>
        <v>8</v>
      </c>
      <c r="AA518" s="25">
        <f>YEAR(Y518)+IF(MONTH(Modelling_new[[#This Row],[Date]])&gt;=4,1,0)</f>
        <v>2025</v>
      </c>
      <c r="AB518" s="3">
        <f t="shared" si="199"/>
        <v>2024</v>
      </c>
      <c r="AC518" s="3" t="s">
        <v>627</v>
      </c>
      <c r="AD518" s="3" t="s">
        <v>627</v>
      </c>
      <c r="AE518" s="102">
        <f>DATE(Modelling_old[[#This Row],[Calendor Year]],Modelling_old[[#This Row],[Start Month]],1)</f>
        <v>45505</v>
      </c>
      <c r="AF518" s="5">
        <f t="shared" si="200"/>
        <v>31</v>
      </c>
      <c r="AG518" s="5">
        <f t="shared" si="201"/>
        <v>8</v>
      </c>
      <c r="AH518" s="4">
        <f>_xlfn.XLOOKUP(Modelling_new[[#This Row],[Month]],$AA$1:$AA$14,$AL$1:$AL$14)/Modelling_new[[#This Row],[Total Days]]</f>
        <v>44.14257670993775</v>
      </c>
      <c r="AI518" s="4">
        <f>SUM($AH$506:AH518)</f>
        <v>573.85349722919091</v>
      </c>
      <c r="AJ518" s="4">
        <f>SUM($AH$384:AH518)</f>
        <v>7752.0283828108149</v>
      </c>
      <c r="AK518" s="4">
        <f t="shared" si="202"/>
        <v>4.1741935483870973</v>
      </c>
      <c r="AL518" s="4">
        <f>SUM($AK$506:AK518)</f>
        <v>54.264516129032252</v>
      </c>
      <c r="AM518" s="4">
        <f>SUM($AK$384:AK518)</f>
        <v>745.66451612903029</v>
      </c>
      <c r="AN518" s="323">
        <f t="shared" si="203"/>
        <v>0.91932739669119101</v>
      </c>
      <c r="AO518" s="323">
        <f t="shared" si="204"/>
        <v>0.91932739669119157</v>
      </c>
      <c r="AP518" s="323">
        <f t="shared" si="205"/>
        <v>0.90376804571337732</v>
      </c>
      <c r="AQ518" s="323">
        <f t="shared" si="206"/>
        <v>0.15989377033849483</v>
      </c>
      <c r="AR518" s="323">
        <f>Modelling_new[[#This Row],[Target E_Grid MTD
MWh]]/Modelling_new[[#This Row],[MTD DC Capcity]]/(24*CG518)</f>
        <v>0.14369328356099531</v>
      </c>
      <c r="AS518" s="323">
        <f>Modelling_new[[#This Row],[Target E_Grid YTD
MWh]]/Modelling_new[[#This Row],[YTD DC Capcity]]/(24*CH518)</f>
        <v>0.18692198068120255</v>
      </c>
      <c r="AT518" s="5">
        <v>12.8</v>
      </c>
      <c r="AU518" s="9">
        <f>Modelling_new[[#This Row],[Comisined DC ]]/$AO$1</f>
        <v>1</v>
      </c>
      <c r="AV51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18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18" s="27">
        <f t="shared" si="188"/>
        <v>45517</v>
      </c>
      <c r="BE518" s="5">
        <f>MONTH(Modelling[[#This Row],[Date]])</f>
        <v>8</v>
      </c>
      <c r="BF518" s="25">
        <f>YEAR(BD518)+IF(MONTH(Modelling[[#This Row],[Date]])&gt;=4,1,0)</f>
        <v>2025</v>
      </c>
      <c r="BG518" s="3">
        <f t="shared" si="207"/>
        <v>2024</v>
      </c>
      <c r="BH518" s="3" t="s">
        <v>627</v>
      </c>
      <c r="BI518" s="3" t="s">
        <v>627</v>
      </c>
      <c r="BJ518" s="102">
        <f>DATE(Modelling_old[[#This Row],[Calendor Year]],Modelling_old[[#This Row],[Start Month]],1)</f>
        <v>45505</v>
      </c>
      <c r="BK518" s="5">
        <f t="shared" si="208"/>
        <v>31</v>
      </c>
      <c r="BL518" s="5">
        <f t="shared" si="209"/>
        <v>8</v>
      </c>
      <c r="BM518" s="4">
        <f>Modelling_old[[#This Row],[Target E_Grid daily
MWh]]+Modelling_new[[#This Row],[Target E_Grid daily
MWh]]</f>
        <v>78.407092838970016</v>
      </c>
      <c r="BN518" s="4">
        <f>Modelling_old[[#This Row],[Target E_Grid MTD
MWh]]+Modelling_new[[#This Row],[Target E_Grid MTD
MWh]]</f>
        <v>1019.2922069066101</v>
      </c>
      <c r="BO518" s="4">
        <f>Modelling_old[[#This Row],[Target E_Grid YTD
MWh]]+Modelling_new[[#This Row],[Target E_Grid YTD
MWh]]</f>
        <v>13660.667092488229</v>
      </c>
      <c r="BP518" s="4">
        <f>AVERAGE(Modelling_old[[#This Row],[Target POA Daily (KWh/m2)]],Modelling_new[[#This Row],[Target POA Daily (KWh/m2)]])</f>
        <v>4.1741935483870973</v>
      </c>
      <c r="BQ518" s="4">
        <f>SUM($BP$506:BP518)</f>
        <v>54.264516129032252</v>
      </c>
      <c r="BR518" s="4">
        <f>SUM($BP$384:BP518)</f>
        <v>745.66451612903029</v>
      </c>
      <c r="BS518" s="323">
        <f>BM518/Modelling[[#This Row],[Comisined DC ]]/BP518</f>
        <v>0.77289606302000058</v>
      </c>
      <c r="BT518" s="337">
        <f>BN518/BQ518/Modelling[[#This Row],[Comisined DC ]]</f>
        <v>0.77289606302000069</v>
      </c>
      <c r="BU518" s="337">
        <f>BO518/BR518/Modelling[[#This Row],[Comisined DC ]]</f>
        <v>0.75381844009710708</v>
      </c>
      <c r="BV518" s="323">
        <f>BM518/(24*Modelling[[#This Row],[Comisined DC ]])</f>
        <v>0.13442573999299476</v>
      </c>
      <c r="BW518" s="323">
        <f>Modelling[[#This Row],[Target E_Grid MTD
MWh]]/Modelling[[#This Row],[MTD DC Capcity]]/(24*CG518)</f>
        <v>0.13442573999299476</v>
      </c>
      <c r="BX518" s="338">
        <f>Modelling[[#This Row],[Target E_Grid YTD
MWh]]/Modelling[[#This Row],[YTD DC Capcity]]/(24*CH518)</f>
        <v>0.1734863155506631</v>
      </c>
      <c r="BY518" s="4">
        <f>Modelling_old[[#This Row],[DC Capcity]]+Modelling_new[[#This Row],[Comisined DC ]]</f>
        <v>24.303100000000001</v>
      </c>
      <c r="BZ518" s="4">
        <v>0</v>
      </c>
      <c r="CA518">
        <f>AVERAGEIFS(Modelling[[Comisined DC ]],Modelling[Date],"&lt;="&amp;Modelling[[#This Row],[Date]],Modelling[Month Year],Modelling[[#This Row],[Month Year]])</f>
        <v>24.303099999999997</v>
      </c>
      <c r="CB518">
        <f>AVERAGEIFS(Modelling[[Comisined DC ]],Modelling[Date],"&lt;="&amp;Modelling[[#This Row],[Date]],Modelling[Finacial Year],Modelling[[#This Row],[Finacial Year]])</f>
        <v>24.303100000000054</v>
      </c>
      <c r="CG518">
        <f t="shared" si="210"/>
        <v>13</v>
      </c>
      <c r="CH518">
        <f t="shared" si="211"/>
        <v>135</v>
      </c>
    </row>
    <row r="519" spans="1:86" x14ac:dyDescent="0.35">
      <c r="A519" s="27">
        <f t="shared" si="189"/>
        <v>45518</v>
      </c>
      <c r="B519" s="5">
        <f>MONTH(Modelling_old[[#This Row],[Date]])</f>
        <v>8</v>
      </c>
      <c r="C519" s="25">
        <f t="shared" si="190"/>
        <v>2025</v>
      </c>
      <c r="D519" s="3">
        <f t="shared" si="191"/>
        <v>2024</v>
      </c>
      <c r="E519" s="3" t="s">
        <v>627</v>
      </c>
      <c r="F519" s="3" t="s">
        <v>627</v>
      </c>
      <c r="G519" s="102">
        <f>DATE(Modelling_old[[#This Row],[Calendor Year]],Modelling_old[[#This Row],[Start Month]],1)</f>
        <v>45505</v>
      </c>
      <c r="H519" s="5">
        <f t="shared" si="192"/>
        <v>31</v>
      </c>
      <c r="I519" s="5">
        <f t="shared" si="193"/>
        <v>8</v>
      </c>
      <c r="J519" s="4">
        <f>_xlfn.XLOOKUP(Modelling_old[[#This Row],[Month]],$C$1:$C$14,$N$1:$N$14)/Modelling_old[[#This Row],[Total Days]]</f>
        <v>34.264516129032259</v>
      </c>
      <c r="K519" s="4">
        <f>SUM($J$506:J519)</f>
        <v>479.70322580645148</v>
      </c>
      <c r="L519" s="4">
        <f>SUM($J$384:J519)</f>
        <v>5942.9032258064462</v>
      </c>
      <c r="M519" s="4">
        <f t="shared" si="194"/>
        <v>4.1741935483870973</v>
      </c>
      <c r="N519" s="4">
        <f>SUM($M$506:M519)</f>
        <v>58.438709677419347</v>
      </c>
      <c r="O519" s="4">
        <f>SUM($M$384:M519)</f>
        <v>749.83870967741734</v>
      </c>
      <c r="P519" s="323">
        <f t="shared" si="195"/>
        <v>0.71360375310159307</v>
      </c>
      <c r="Q519" s="337">
        <f t="shared" si="196"/>
        <v>0.71360375310159307</v>
      </c>
      <c r="R519" s="337">
        <f t="shared" si="197"/>
        <v>0.68899473990120519</v>
      </c>
      <c r="S519" s="323">
        <f t="shared" si="198"/>
        <v>0.12411334092922872</v>
      </c>
      <c r="T519" s="9">
        <f>Modelling_old[[#This Row],[Target E_Grid MTD
MWh]]/Modelling_old[[#This Row],[DC Capcity]]/(24*CG519)</f>
        <v>0.12411334092922868</v>
      </c>
      <c r="U519" s="338">
        <f>Modelling_old[[#This Row],[Target E_Grid YTD
MWh]]/Modelling_old[[#This Row],[DC Capcity]]/(24*CH519)</f>
        <v>0.15828275941851944</v>
      </c>
      <c r="V519" s="134">
        <v>11.5031</v>
      </c>
      <c r="Y519" s="27">
        <f t="shared" si="187"/>
        <v>45518</v>
      </c>
      <c r="Z519" s="5">
        <f>MONTH(Modelling_new[[#This Row],[Date]])</f>
        <v>8</v>
      </c>
      <c r="AA519" s="25">
        <f>YEAR(Y519)+IF(MONTH(Modelling_new[[#This Row],[Date]])&gt;=4,1,0)</f>
        <v>2025</v>
      </c>
      <c r="AB519" s="3">
        <f t="shared" si="199"/>
        <v>2024</v>
      </c>
      <c r="AC519" s="3" t="s">
        <v>627</v>
      </c>
      <c r="AD519" s="3" t="s">
        <v>627</v>
      </c>
      <c r="AE519" s="102">
        <f>DATE(Modelling_old[[#This Row],[Calendor Year]],Modelling_old[[#This Row],[Start Month]],1)</f>
        <v>45505</v>
      </c>
      <c r="AF519" s="5">
        <f t="shared" si="200"/>
        <v>31</v>
      </c>
      <c r="AG519" s="5">
        <f t="shared" si="201"/>
        <v>8</v>
      </c>
      <c r="AH519" s="4">
        <f>_xlfn.XLOOKUP(Modelling_new[[#This Row],[Month]],$AA$1:$AA$14,$AL$1:$AL$14)/Modelling_new[[#This Row],[Total Days]]</f>
        <v>44.14257670993775</v>
      </c>
      <c r="AI519" s="4">
        <f>SUM($AH$506:AH519)</f>
        <v>617.99607393912868</v>
      </c>
      <c r="AJ519" s="4">
        <f>SUM($AH$384:AH519)</f>
        <v>7796.1709595207531</v>
      </c>
      <c r="AK519" s="4">
        <f t="shared" si="202"/>
        <v>4.1741935483870973</v>
      </c>
      <c r="AL519" s="4">
        <f>SUM($AK$506:AK519)</f>
        <v>58.438709677419347</v>
      </c>
      <c r="AM519" s="4">
        <f>SUM($AK$384:AK519)</f>
        <v>749.83870967741734</v>
      </c>
      <c r="AN519" s="323">
        <f t="shared" si="203"/>
        <v>0.91932739669119101</v>
      </c>
      <c r="AO519" s="323">
        <f t="shared" si="204"/>
        <v>0.91932739669119157</v>
      </c>
      <c r="AP519" s="323">
        <f t="shared" si="205"/>
        <v>0.90385466133035008</v>
      </c>
      <c r="AQ519" s="323">
        <f t="shared" si="206"/>
        <v>0.15989377033849483</v>
      </c>
      <c r="AR519" s="323">
        <f>Modelling_new[[#This Row],[Target E_Grid MTD
MWh]]/Modelling_new[[#This Row],[MTD DC Capcity]]/(24*CG519)</f>
        <v>0.14369328356099531</v>
      </c>
      <c r="AS519" s="323">
        <f>Modelling_new[[#This Row],[Target E_Grid YTD
MWh]]/Modelling_new[[#This Row],[YTD DC Capcity]]/(24*CH519)</f>
        <v>0.18660412261414225</v>
      </c>
      <c r="AT519" s="5">
        <v>12.8</v>
      </c>
      <c r="AU519" s="9">
        <f>Modelling_new[[#This Row],[Comisined DC ]]/$AO$1</f>
        <v>1</v>
      </c>
      <c r="AV519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19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19" s="27">
        <f t="shared" si="188"/>
        <v>45518</v>
      </c>
      <c r="BE519" s="5">
        <f>MONTH(Modelling[[#This Row],[Date]])</f>
        <v>8</v>
      </c>
      <c r="BF519" s="25">
        <f>YEAR(BD519)+IF(MONTH(Modelling[[#This Row],[Date]])&gt;=4,1,0)</f>
        <v>2025</v>
      </c>
      <c r="BG519" s="3">
        <f t="shared" si="207"/>
        <v>2024</v>
      </c>
      <c r="BH519" s="3" t="s">
        <v>627</v>
      </c>
      <c r="BI519" s="3" t="s">
        <v>627</v>
      </c>
      <c r="BJ519" s="102">
        <f>DATE(Modelling_old[[#This Row],[Calendor Year]],Modelling_old[[#This Row],[Start Month]],1)</f>
        <v>45505</v>
      </c>
      <c r="BK519" s="5">
        <f t="shared" si="208"/>
        <v>31</v>
      </c>
      <c r="BL519" s="5">
        <f t="shared" si="209"/>
        <v>8</v>
      </c>
      <c r="BM519" s="4">
        <f>Modelling_old[[#This Row],[Target E_Grid daily
MWh]]+Modelling_new[[#This Row],[Target E_Grid daily
MWh]]</f>
        <v>78.407092838970016</v>
      </c>
      <c r="BN519" s="4">
        <f>Modelling_old[[#This Row],[Target E_Grid MTD
MWh]]+Modelling_new[[#This Row],[Target E_Grid MTD
MWh]]</f>
        <v>1097.6992997455802</v>
      </c>
      <c r="BO519" s="4">
        <f>Modelling_old[[#This Row],[Target E_Grid YTD
MWh]]+Modelling_new[[#This Row],[Target E_Grid YTD
MWh]]</f>
        <v>13739.074185327199</v>
      </c>
      <c r="BP519" s="4">
        <f>AVERAGE(Modelling_old[[#This Row],[Target POA Daily (KWh/m2)]],Modelling_new[[#This Row],[Target POA Daily (KWh/m2)]])</f>
        <v>4.1741935483870973</v>
      </c>
      <c r="BQ519" s="4">
        <f>SUM($BP$506:BP519)</f>
        <v>58.438709677419347</v>
      </c>
      <c r="BR519" s="4">
        <f>SUM($BP$384:BP519)</f>
        <v>749.83870967741734</v>
      </c>
      <c r="BS519" s="323">
        <f>BM519/Modelling[[#This Row],[Comisined DC ]]/BP519</f>
        <v>0.77289606302000058</v>
      </c>
      <c r="BT519" s="337">
        <f>BN519/BQ519/Modelling[[#This Row],[Comisined DC ]]</f>
        <v>0.7728960630200008</v>
      </c>
      <c r="BU519" s="337">
        <f>BO519/BR519/Modelling[[#This Row],[Comisined DC ]]</f>
        <v>0.75392464119008296</v>
      </c>
      <c r="BV519" s="323">
        <f>BM519/(24*Modelling[[#This Row],[Comisined DC ]])</f>
        <v>0.13442573999299476</v>
      </c>
      <c r="BW519" s="323">
        <f>Modelling[[#This Row],[Target E_Grid MTD
MWh]]/Modelling[[#This Row],[MTD DC Capcity]]/(24*CG519)</f>
        <v>0.13442573999299476</v>
      </c>
      <c r="BX519" s="338">
        <f>Modelling[[#This Row],[Target E_Grid YTD
MWh]]/Modelling[[#This Row],[YTD DC Capcity]]/(24*CH519)</f>
        <v>0.17319910543626849</v>
      </c>
      <c r="BY519" s="4">
        <f>Modelling_old[[#This Row],[DC Capcity]]+Modelling_new[[#This Row],[Comisined DC ]]</f>
        <v>24.303100000000001</v>
      </c>
      <c r="BZ519" s="4">
        <v>0</v>
      </c>
      <c r="CA519">
        <f>AVERAGEIFS(Modelling[[Comisined DC ]],Modelling[Date],"&lt;="&amp;Modelling[[#This Row],[Date]],Modelling[Month Year],Modelling[[#This Row],[Month Year]])</f>
        <v>24.303099999999997</v>
      </c>
      <c r="CB519">
        <f>AVERAGEIFS(Modelling[[Comisined DC ]],Modelling[Date],"&lt;="&amp;Modelling[[#This Row],[Date]],Modelling[Finacial Year],Modelling[[#This Row],[Finacial Year]])</f>
        <v>24.303100000000054</v>
      </c>
      <c r="CG519">
        <f t="shared" si="210"/>
        <v>14</v>
      </c>
      <c r="CH519">
        <f t="shared" si="211"/>
        <v>136</v>
      </c>
    </row>
    <row r="520" spans="1:86" x14ac:dyDescent="0.35">
      <c r="A520" s="27">
        <f t="shared" si="189"/>
        <v>45519</v>
      </c>
      <c r="B520" s="5">
        <f>MONTH(Modelling_old[[#This Row],[Date]])</f>
        <v>8</v>
      </c>
      <c r="C520" s="25">
        <f t="shared" si="190"/>
        <v>2025</v>
      </c>
      <c r="D520" s="3">
        <f t="shared" si="191"/>
        <v>2024</v>
      </c>
      <c r="E520" s="3" t="s">
        <v>627</v>
      </c>
      <c r="F520" s="3" t="s">
        <v>627</v>
      </c>
      <c r="G520" s="102">
        <f>DATE(Modelling_old[[#This Row],[Calendor Year]],Modelling_old[[#This Row],[Start Month]],1)</f>
        <v>45505</v>
      </c>
      <c r="H520" s="5">
        <f t="shared" si="192"/>
        <v>31</v>
      </c>
      <c r="I520" s="5">
        <f t="shared" si="193"/>
        <v>8</v>
      </c>
      <c r="J520" s="4">
        <f>_xlfn.XLOOKUP(Modelling_old[[#This Row],[Month]],$C$1:$C$14,$N$1:$N$14)/Modelling_old[[#This Row],[Total Days]]</f>
        <v>34.264516129032259</v>
      </c>
      <c r="K520" s="4">
        <f>SUM($J$506:J520)</f>
        <v>513.96774193548379</v>
      </c>
      <c r="L520" s="4">
        <f>SUM($J$384:J520)</f>
        <v>5977.1677419354783</v>
      </c>
      <c r="M520" s="4">
        <f t="shared" si="194"/>
        <v>4.1741935483870973</v>
      </c>
      <c r="N520" s="4">
        <f>SUM($M$506:M520)</f>
        <v>62.612903225806441</v>
      </c>
      <c r="O520" s="4">
        <f>SUM($M$384:M520)</f>
        <v>754.01290322580439</v>
      </c>
      <c r="P520" s="323">
        <f t="shared" si="195"/>
        <v>0.71360375310159307</v>
      </c>
      <c r="Q520" s="337">
        <f t="shared" si="196"/>
        <v>0.7136037531015933</v>
      </c>
      <c r="R520" s="337">
        <f t="shared" si="197"/>
        <v>0.68913097468405005</v>
      </c>
      <c r="S520" s="323">
        <f t="shared" si="198"/>
        <v>0.12411334092922872</v>
      </c>
      <c r="T520" s="9">
        <f>Modelling_old[[#This Row],[Target E_Grid MTD
MWh]]/Modelling_old[[#This Row],[DC Capcity]]/(24*CG520)</f>
        <v>0.1241133409292287</v>
      </c>
      <c r="U520" s="338">
        <f>Modelling_old[[#This Row],[Target E_Grid YTD
MWh]]/Modelling_old[[#This Row],[DC Capcity]]/(24*CH520)</f>
        <v>0.15803334760472898</v>
      </c>
      <c r="V520" s="134">
        <v>11.5031</v>
      </c>
      <c r="Y520" s="27">
        <f t="shared" si="187"/>
        <v>45519</v>
      </c>
      <c r="Z520" s="5">
        <f>MONTH(Modelling_new[[#This Row],[Date]])</f>
        <v>8</v>
      </c>
      <c r="AA520" s="25">
        <f>YEAR(Y520)+IF(MONTH(Modelling_new[[#This Row],[Date]])&gt;=4,1,0)</f>
        <v>2025</v>
      </c>
      <c r="AB520" s="3">
        <f t="shared" si="199"/>
        <v>2024</v>
      </c>
      <c r="AC520" s="3" t="s">
        <v>627</v>
      </c>
      <c r="AD520" s="3" t="s">
        <v>627</v>
      </c>
      <c r="AE520" s="102">
        <f>DATE(Modelling_old[[#This Row],[Calendor Year]],Modelling_old[[#This Row],[Start Month]],1)</f>
        <v>45505</v>
      </c>
      <c r="AF520" s="5">
        <f t="shared" si="200"/>
        <v>31</v>
      </c>
      <c r="AG520" s="5">
        <f t="shared" si="201"/>
        <v>8</v>
      </c>
      <c r="AH520" s="4">
        <f>_xlfn.XLOOKUP(Modelling_new[[#This Row],[Month]],$AA$1:$AA$14,$AL$1:$AL$14)/Modelling_new[[#This Row],[Total Days]]</f>
        <v>44.14257670993775</v>
      </c>
      <c r="AI520" s="4">
        <f>SUM($AH$506:AH520)</f>
        <v>662.13865064906645</v>
      </c>
      <c r="AJ520" s="4">
        <f>SUM($AH$384:AH520)</f>
        <v>7840.3135362306912</v>
      </c>
      <c r="AK520" s="4">
        <f t="shared" si="202"/>
        <v>4.1741935483870973</v>
      </c>
      <c r="AL520" s="4">
        <f>SUM($AK$506:AK520)</f>
        <v>62.612903225806441</v>
      </c>
      <c r="AM520" s="4">
        <f>SUM($AK$384:AK520)</f>
        <v>754.01290322580439</v>
      </c>
      <c r="AN520" s="323">
        <f t="shared" si="203"/>
        <v>0.91932739669119101</v>
      </c>
      <c r="AO520" s="323">
        <f t="shared" si="204"/>
        <v>0.91932739669119157</v>
      </c>
      <c r="AP520" s="323">
        <f t="shared" si="205"/>
        <v>0.90394031794423946</v>
      </c>
      <c r="AQ520" s="323">
        <f t="shared" si="206"/>
        <v>0.15989377033849483</v>
      </c>
      <c r="AR520" s="323">
        <f>Modelling_new[[#This Row],[Target E_Grid MTD
MWh]]/Modelling_new[[#This Row],[MTD DC Capcity]]/(24*CG520)</f>
        <v>0.14369328356099528</v>
      </c>
      <c r="AS520" s="323">
        <f>Modelling_new[[#This Row],[Target E_Grid YTD
MWh]]/Modelling_new[[#This Row],[YTD DC Capcity]]/(24*CH520)</f>
        <v>0.18629090481083463</v>
      </c>
      <c r="AT520" s="5">
        <v>12.8</v>
      </c>
      <c r="AU520" s="9">
        <f>Modelling_new[[#This Row],[Comisined DC ]]/$AO$1</f>
        <v>1</v>
      </c>
      <c r="AV520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20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20" s="27">
        <f t="shared" si="188"/>
        <v>45519</v>
      </c>
      <c r="BE520" s="5">
        <f>MONTH(Modelling[[#This Row],[Date]])</f>
        <v>8</v>
      </c>
      <c r="BF520" s="25">
        <f>YEAR(BD520)+IF(MONTH(Modelling[[#This Row],[Date]])&gt;=4,1,0)</f>
        <v>2025</v>
      </c>
      <c r="BG520" s="3">
        <f t="shared" si="207"/>
        <v>2024</v>
      </c>
      <c r="BH520" s="3" t="s">
        <v>627</v>
      </c>
      <c r="BI520" s="3" t="s">
        <v>627</v>
      </c>
      <c r="BJ520" s="102">
        <f>DATE(Modelling_old[[#This Row],[Calendor Year]],Modelling_old[[#This Row],[Start Month]],1)</f>
        <v>45505</v>
      </c>
      <c r="BK520" s="5">
        <f t="shared" si="208"/>
        <v>31</v>
      </c>
      <c r="BL520" s="5">
        <f t="shared" si="209"/>
        <v>8</v>
      </c>
      <c r="BM520" s="4">
        <f>Modelling_old[[#This Row],[Target E_Grid daily
MWh]]+Modelling_new[[#This Row],[Target E_Grid daily
MWh]]</f>
        <v>78.407092838970016</v>
      </c>
      <c r="BN520" s="4">
        <f>Modelling_old[[#This Row],[Target E_Grid MTD
MWh]]+Modelling_new[[#This Row],[Target E_Grid MTD
MWh]]</f>
        <v>1176.1063925845501</v>
      </c>
      <c r="BO520" s="4">
        <f>Modelling_old[[#This Row],[Target E_Grid YTD
MWh]]+Modelling_new[[#This Row],[Target E_Grid YTD
MWh]]</f>
        <v>13817.481278166169</v>
      </c>
      <c r="BP520" s="4">
        <f>AVERAGE(Modelling_old[[#This Row],[Target POA Daily (KWh/m2)]],Modelling_new[[#This Row],[Target POA Daily (KWh/m2)]])</f>
        <v>4.1741935483870973</v>
      </c>
      <c r="BQ520" s="4">
        <f>SUM($BP$506:BP520)</f>
        <v>62.612903225806441</v>
      </c>
      <c r="BR520" s="4">
        <f>SUM($BP$384:BP520)</f>
        <v>754.01290322580439</v>
      </c>
      <c r="BS520" s="323">
        <f>BM520/Modelling[[#This Row],[Comisined DC ]]/BP520</f>
        <v>0.77289606302000058</v>
      </c>
      <c r="BT520" s="337">
        <f>BN520/BQ520/Modelling[[#This Row],[Comisined DC ]]</f>
        <v>0.7728960630200008</v>
      </c>
      <c r="BU520" s="337">
        <f>BO520/BR520/Modelling[[#This Row],[Comisined DC ]]</f>
        <v>0.75402966643072189</v>
      </c>
      <c r="BV520" s="323">
        <f>BM520/(24*Modelling[[#This Row],[Comisined DC ]])</f>
        <v>0.13442573999299476</v>
      </c>
      <c r="BW520" s="323">
        <f>Modelling[[#This Row],[Target E_Grid MTD
MWh]]/Modelling[[#This Row],[MTD DC Capcity]]/(24*CG520)</f>
        <v>0.13442573999299476</v>
      </c>
      <c r="BX520" s="338">
        <f>Modelling[[#This Row],[Target E_Grid YTD
MWh]]/Modelling[[#This Row],[YTD DC Capcity]]/(24*CH520)</f>
        <v>0.17291608817025922</v>
      </c>
      <c r="BY520" s="4">
        <f>Modelling_old[[#This Row],[DC Capcity]]+Modelling_new[[#This Row],[Comisined DC ]]</f>
        <v>24.303100000000001</v>
      </c>
      <c r="BZ520" s="4">
        <v>0</v>
      </c>
      <c r="CA520">
        <f>AVERAGEIFS(Modelling[[Comisined DC ]],Modelling[Date],"&lt;="&amp;Modelling[[#This Row],[Date]],Modelling[Month Year],Modelling[[#This Row],[Month Year]])</f>
        <v>24.303099999999993</v>
      </c>
      <c r="CB520">
        <f>AVERAGEIFS(Modelling[[Comisined DC ]],Modelling[Date],"&lt;="&amp;Modelling[[#This Row],[Date]],Modelling[Finacial Year],Modelling[[#This Row],[Finacial Year]])</f>
        <v>24.303100000000054</v>
      </c>
      <c r="CG520">
        <f t="shared" si="210"/>
        <v>15</v>
      </c>
      <c r="CH520">
        <f t="shared" si="211"/>
        <v>137</v>
      </c>
    </row>
    <row r="521" spans="1:86" x14ac:dyDescent="0.35">
      <c r="A521" s="27">
        <f t="shared" si="189"/>
        <v>45520</v>
      </c>
      <c r="B521" s="5">
        <f>MONTH(Modelling_old[[#This Row],[Date]])</f>
        <v>8</v>
      </c>
      <c r="C521" s="25">
        <f t="shared" si="190"/>
        <v>2025</v>
      </c>
      <c r="D521" s="3">
        <f t="shared" si="191"/>
        <v>2024</v>
      </c>
      <c r="E521" s="3" t="s">
        <v>627</v>
      </c>
      <c r="F521" s="3" t="s">
        <v>627</v>
      </c>
      <c r="G521" s="102">
        <f>DATE(Modelling_old[[#This Row],[Calendor Year]],Modelling_old[[#This Row],[Start Month]],1)</f>
        <v>45505</v>
      </c>
      <c r="H521" s="5">
        <f t="shared" si="192"/>
        <v>31</v>
      </c>
      <c r="I521" s="5">
        <f t="shared" si="193"/>
        <v>8</v>
      </c>
      <c r="J521" s="4">
        <f>_xlfn.XLOOKUP(Modelling_old[[#This Row],[Month]],$C$1:$C$14,$N$1:$N$14)/Modelling_old[[#This Row],[Total Days]]</f>
        <v>34.264516129032259</v>
      </c>
      <c r="K521" s="4">
        <f>SUM($J$506:J521)</f>
        <v>548.23225806451603</v>
      </c>
      <c r="L521" s="4">
        <f>SUM($J$384:J521)</f>
        <v>6011.4322580645103</v>
      </c>
      <c r="M521" s="4">
        <f t="shared" si="194"/>
        <v>4.1741935483870973</v>
      </c>
      <c r="N521" s="4">
        <f>SUM($M$506:M521)</f>
        <v>66.787096774193543</v>
      </c>
      <c r="O521" s="4">
        <f>SUM($M$384:M521)</f>
        <v>758.18709677419145</v>
      </c>
      <c r="P521" s="323">
        <f t="shared" si="195"/>
        <v>0.71360375310159307</v>
      </c>
      <c r="Q521" s="337">
        <f t="shared" si="196"/>
        <v>0.71360375310159307</v>
      </c>
      <c r="R521" s="337">
        <f t="shared" si="197"/>
        <v>0.68926570938768239</v>
      </c>
      <c r="S521" s="323">
        <f t="shared" si="198"/>
        <v>0.12411334092922872</v>
      </c>
      <c r="T521" s="9">
        <f>Modelling_old[[#This Row],[Target E_Grid MTD
MWh]]/Modelling_old[[#This Row],[DC Capcity]]/(24*CG521)</f>
        <v>0.1241133409292287</v>
      </c>
      <c r="U521" s="338">
        <f>Modelling_old[[#This Row],[Target E_Grid YTD
MWh]]/Modelling_old[[#This Row],[DC Capcity]]/(24*CH521)</f>
        <v>0.15778755045490653</v>
      </c>
      <c r="V521" s="134">
        <v>11.5031</v>
      </c>
      <c r="Y521" s="27">
        <f t="shared" si="187"/>
        <v>45520</v>
      </c>
      <c r="Z521" s="5">
        <f>MONTH(Modelling_new[[#This Row],[Date]])</f>
        <v>8</v>
      </c>
      <c r="AA521" s="25">
        <f>YEAR(Y521)+IF(MONTH(Modelling_new[[#This Row],[Date]])&gt;=4,1,0)</f>
        <v>2025</v>
      </c>
      <c r="AB521" s="3">
        <f t="shared" si="199"/>
        <v>2024</v>
      </c>
      <c r="AC521" s="3" t="s">
        <v>627</v>
      </c>
      <c r="AD521" s="3" t="s">
        <v>627</v>
      </c>
      <c r="AE521" s="102">
        <f>DATE(Modelling_old[[#This Row],[Calendor Year]],Modelling_old[[#This Row],[Start Month]],1)</f>
        <v>45505</v>
      </c>
      <c r="AF521" s="5">
        <f t="shared" si="200"/>
        <v>31</v>
      </c>
      <c r="AG521" s="5">
        <f t="shared" si="201"/>
        <v>8</v>
      </c>
      <c r="AH521" s="4">
        <f>_xlfn.XLOOKUP(Modelling_new[[#This Row],[Month]],$AA$1:$AA$14,$AL$1:$AL$14)/Modelling_new[[#This Row],[Total Days]]</f>
        <v>44.14257670993775</v>
      </c>
      <c r="AI521" s="4">
        <f>SUM($AH$506:AH521)</f>
        <v>706.28122735900422</v>
      </c>
      <c r="AJ521" s="4">
        <f>SUM($AH$384:AH521)</f>
        <v>7884.4561129406293</v>
      </c>
      <c r="AK521" s="4">
        <f t="shared" si="202"/>
        <v>4.1741935483870973</v>
      </c>
      <c r="AL521" s="4">
        <f>SUM($AK$506:AK521)</f>
        <v>66.787096774193543</v>
      </c>
      <c r="AM521" s="4">
        <f>SUM($AK$384:AK521)</f>
        <v>758.18709677419145</v>
      </c>
      <c r="AN521" s="323">
        <f t="shared" si="203"/>
        <v>0.91932739669119101</v>
      </c>
      <c r="AO521" s="323">
        <f t="shared" si="204"/>
        <v>0.91932739669119157</v>
      </c>
      <c r="AP521" s="323">
        <f t="shared" si="205"/>
        <v>0.90402503139439883</v>
      </c>
      <c r="AQ521" s="323">
        <f t="shared" si="206"/>
        <v>0.15989377033849483</v>
      </c>
      <c r="AR521" s="323">
        <f>Modelling_new[[#This Row],[Target E_Grid MTD
MWh]]/Modelling_new[[#This Row],[MTD DC Capcity]]/(24*CG521)</f>
        <v>0.14369328356099528</v>
      </c>
      <c r="AS521" s="323">
        <f>Modelling_new[[#This Row],[Target E_Grid YTD
MWh]]/Modelling_new[[#This Row],[YTD DC Capcity]]/(24*CH521)</f>
        <v>0.18598222639598072</v>
      </c>
      <c r="AT521" s="5">
        <v>12.8</v>
      </c>
      <c r="AU521" s="9">
        <f>Modelling_new[[#This Row],[Comisined DC ]]/$AO$1</f>
        <v>1</v>
      </c>
      <c r="AV521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21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21" s="27">
        <f t="shared" si="188"/>
        <v>45520</v>
      </c>
      <c r="BE521" s="5">
        <f>MONTH(Modelling[[#This Row],[Date]])</f>
        <v>8</v>
      </c>
      <c r="BF521" s="25">
        <f>YEAR(BD521)+IF(MONTH(Modelling[[#This Row],[Date]])&gt;=4,1,0)</f>
        <v>2025</v>
      </c>
      <c r="BG521" s="3">
        <f t="shared" si="207"/>
        <v>2024</v>
      </c>
      <c r="BH521" s="3" t="s">
        <v>627</v>
      </c>
      <c r="BI521" s="3" t="s">
        <v>627</v>
      </c>
      <c r="BJ521" s="102">
        <f>DATE(Modelling_old[[#This Row],[Calendor Year]],Modelling_old[[#This Row],[Start Month]],1)</f>
        <v>45505</v>
      </c>
      <c r="BK521" s="5">
        <f t="shared" si="208"/>
        <v>31</v>
      </c>
      <c r="BL521" s="5">
        <f t="shared" si="209"/>
        <v>8</v>
      </c>
      <c r="BM521" s="4">
        <f>Modelling_old[[#This Row],[Target E_Grid daily
MWh]]+Modelling_new[[#This Row],[Target E_Grid daily
MWh]]</f>
        <v>78.407092838970016</v>
      </c>
      <c r="BN521" s="4">
        <f>Modelling_old[[#This Row],[Target E_Grid MTD
MWh]]+Modelling_new[[#This Row],[Target E_Grid MTD
MWh]]</f>
        <v>1254.5134854235203</v>
      </c>
      <c r="BO521" s="4">
        <f>Modelling_old[[#This Row],[Target E_Grid YTD
MWh]]+Modelling_new[[#This Row],[Target E_Grid YTD
MWh]]</f>
        <v>13895.88837100514</v>
      </c>
      <c r="BP521" s="4">
        <f>AVERAGE(Modelling_old[[#This Row],[Target POA Daily (KWh/m2)]],Modelling_new[[#This Row],[Target POA Daily (KWh/m2)]])</f>
        <v>4.1741935483870973</v>
      </c>
      <c r="BQ521" s="4">
        <f>SUM($BP$506:BP521)</f>
        <v>66.787096774193543</v>
      </c>
      <c r="BR521" s="4">
        <f>SUM($BP$384:BP521)</f>
        <v>758.18709677419145</v>
      </c>
      <c r="BS521" s="323">
        <f>BM521/Modelling[[#This Row],[Comisined DC ]]/BP521</f>
        <v>0.77289606302000058</v>
      </c>
      <c r="BT521" s="337">
        <f>BN521/BQ521/Modelling[[#This Row],[Comisined DC ]]</f>
        <v>0.7728960630200008</v>
      </c>
      <c r="BU521" s="337">
        <f>BO521/BR521/Modelling[[#This Row],[Comisined DC ]]</f>
        <v>0.75413353523996352</v>
      </c>
      <c r="BV521" s="323">
        <f>BM521/(24*Modelling[[#This Row],[Comisined DC ]])</f>
        <v>0.13442573999299476</v>
      </c>
      <c r="BW521" s="323">
        <f>Modelling[[#This Row],[Target E_Grid MTD
MWh]]/Modelling[[#This Row],[MTD DC Capcity]]/(24*CG521)</f>
        <v>0.13442573999299479</v>
      </c>
      <c r="BX521" s="338">
        <f>Modelling[[#This Row],[Target E_Grid YTD
MWh]]/Modelling[[#This Row],[YTD DC Capcity]]/(24*CH521)</f>
        <v>0.17263717260375727</v>
      </c>
      <c r="BY521" s="4">
        <f>Modelling_old[[#This Row],[DC Capcity]]+Modelling_new[[#This Row],[Comisined DC ]]</f>
        <v>24.303100000000001</v>
      </c>
      <c r="BZ521" s="4">
        <v>0</v>
      </c>
      <c r="CA521">
        <f>AVERAGEIFS(Modelling[[Comisined DC ]],Modelling[Date],"&lt;="&amp;Modelling[[#This Row],[Date]],Modelling[Month Year],Modelling[[#This Row],[Month Year]])</f>
        <v>24.303099999999993</v>
      </c>
      <c r="CB521">
        <f>AVERAGEIFS(Modelling[[Comisined DC ]],Modelling[Date],"&lt;="&amp;Modelling[[#This Row],[Date]],Modelling[Finacial Year],Modelling[[#This Row],[Finacial Year]])</f>
        <v>24.303100000000054</v>
      </c>
      <c r="CG521">
        <f t="shared" si="210"/>
        <v>16</v>
      </c>
      <c r="CH521">
        <f t="shared" si="211"/>
        <v>138</v>
      </c>
    </row>
    <row r="522" spans="1:86" x14ac:dyDescent="0.35">
      <c r="A522" s="27">
        <f t="shared" si="189"/>
        <v>45521</v>
      </c>
      <c r="B522" s="5">
        <f>MONTH(Modelling_old[[#This Row],[Date]])</f>
        <v>8</v>
      </c>
      <c r="C522" s="25">
        <f t="shared" si="190"/>
        <v>2025</v>
      </c>
      <c r="D522" s="3">
        <f t="shared" si="191"/>
        <v>2024</v>
      </c>
      <c r="E522" s="3" t="s">
        <v>627</v>
      </c>
      <c r="F522" s="3" t="s">
        <v>627</v>
      </c>
      <c r="G522" s="102">
        <f>DATE(Modelling_old[[#This Row],[Calendor Year]],Modelling_old[[#This Row],[Start Month]],1)</f>
        <v>45505</v>
      </c>
      <c r="H522" s="5">
        <f t="shared" si="192"/>
        <v>31</v>
      </c>
      <c r="I522" s="5">
        <f t="shared" si="193"/>
        <v>8</v>
      </c>
      <c r="J522" s="4">
        <f>_xlfn.XLOOKUP(Modelling_old[[#This Row],[Month]],$C$1:$C$14,$N$1:$N$14)/Modelling_old[[#This Row],[Total Days]]</f>
        <v>34.264516129032259</v>
      </c>
      <c r="K522" s="4">
        <f>SUM($J$506:J522)</f>
        <v>582.49677419354828</v>
      </c>
      <c r="L522" s="4">
        <f>SUM($J$384:J522)</f>
        <v>6045.6967741935423</v>
      </c>
      <c r="M522" s="4">
        <f t="shared" si="194"/>
        <v>4.1741935483870973</v>
      </c>
      <c r="N522" s="4">
        <f>SUM($M$506:M522)</f>
        <v>70.961290322580638</v>
      </c>
      <c r="O522" s="4">
        <f>SUM($M$384:M522)</f>
        <v>762.3612903225785</v>
      </c>
      <c r="P522" s="323">
        <f t="shared" si="195"/>
        <v>0.71360375310159307</v>
      </c>
      <c r="Q522" s="337">
        <f t="shared" si="196"/>
        <v>0.71360375310159307</v>
      </c>
      <c r="R522" s="337">
        <f t="shared" si="197"/>
        <v>0.68939896865246997</v>
      </c>
      <c r="S522" s="323">
        <f t="shared" si="198"/>
        <v>0.12411334092922872</v>
      </c>
      <c r="T522" s="9">
        <f>Modelling_old[[#This Row],[Target E_Grid MTD
MWh]]/Modelling_old[[#This Row],[DC Capcity]]/(24*CG522)</f>
        <v>0.12411334092922868</v>
      </c>
      <c r="U522" s="338">
        <f>Modelling_old[[#This Row],[Target E_Grid YTD
MWh]]/Modelling_old[[#This Row],[DC Capcity]]/(24*CH522)</f>
        <v>0.15754528995472178</v>
      </c>
      <c r="V522" s="134">
        <v>11.5031</v>
      </c>
      <c r="Y522" s="27">
        <f t="shared" si="187"/>
        <v>45521</v>
      </c>
      <c r="Z522" s="5">
        <f>MONTH(Modelling_new[[#This Row],[Date]])</f>
        <v>8</v>
      </c>
      <c r="AA522" s="25">
        <f>YEAR(Y522)+IF(MONTH(Modelling_new[[#This Row],[Date]])&gt;=4,1,0)</f>
        <v>2025</v>
      </c>
      <c r="AB522" s="3">
        <f t="shared" si="199"/>
        <v>2024</v>
      </c>
      <c r="AC522" s="3" t="s">
        <v>627</v>
      </c>
      <c r="AD522" s="3" t="s">
        <v>627</v>
      </c>
      <c r="AE522" s="102">
        <f>DATE(Modelling_old[[#This Row],[Calendor Year]],Modelling_old[[#This Row],[Start Month]],1)</f>
        <v>45505</v>
      </c>
      <c r="AF522" s="5">
        <f t="shared" si="200"/>
        <v>31</v>
      </c>
      <c r="AG522" s="5">
        <f t="shared" si="201"/>
        <v>8</v>
      </c>
      <c r="AH522" s="4">
        <f>_xlfn.XLOOKUP(Modelling_new[[#This Row],[Month]],$AA$1:$AA$14,$AL$1:$AL$14)/Modelling_new[[#This Row],[Total Days]]</f>
        <v>44.14257670993775</v>
      </c>
      <c r="AI522" s="4">
        <f>SUM($AH$506:AH522)</f>
        <v>750.42380406894199</v>
      </c>
      <c r="AJ522" s="4">
        <f>SUM($AH$384:AH522)</f>
        <v>7928.5986896505674</v>
      </c>
      <c r="AK522" s="4">
        <f t="shared" si="202"/>
        <v>4.1741935483870973</v>
      </c>
      <c r="AL522" s="4">
        <f>SUM($AK$506:AK522)</f>
        <v>70.961290322580638</v>
      </c>
      <c r="AM522" s="4">
        <f>SUM($AK$384:AK522)</f>
        <v>762.3612903225785</v>
      </c>
      <c r="AN522" s="323">
        <f t="shared" si="203"/>
        <v>0.91932739669119101</v>
      </c>
      <c r="AO522" s="323">
        <f t="shared" si="204"/>
        <v>0.91932739669119157</v>
      </c>
      <c r="AP522" s="323">
        <f t="shared" si="205"/>
        <v>0.90410881717327807</v>
      </c>
      <c r="AQ522" s="323">
        <f t="shared" si="206"/>
        <v>0.15989377033849483</v>
      </c>
      <c r="AR522" s="323">
        <f>Modelling_new[[#This Row],[Target E_Grid MTD
MWh]]/Modelling_new[[#This Row],[MTD DC Capcity]]/(24*CG522)</f>
        <v>0.14369328356099528</v>
      </c>
      <c r="AS522" s="323">
        <f>Modelling_new[[#This Row],[Target E_Grid YTD
MWh]]/Modelling_new[[#This Row],[YTD DC Capcity]]/(24*CH522)</f>
        <v>0.1856779893971679</v>
      </c>
      <c r="AT522" s="5">
        <v>12.8</v>
      </c>
      <c r="AU522" s="9">
        <f>Modelling_new[[#This Row],[Comisined DC ]]/$AO$1</f>
        <v>1</v>
      </c>
      <c r="AV522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22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22" s="27">
        <f t="shared" si="188"/>
        <v>45521</v>
      </c>
      <c r="BE522" s="5">
        <f>MONTH(Modelling[[#This Row],[Date]])</f>
        <v>8</v>
      </c>
      <c r="BF522" s="25">
        <f>YEAR(BD522)+IF(MONTH(Modelling[[#This Row],[Date]])&gt;=4,1,0)</f>
        <v>2025</v>
      </c>
      <c r="BG522" s="3">
        <f t="shared" si="207"/>
        <v>2024</v>
      </c>
      <c r="BH522" s="3" t="s">
        <v>627</v>
      </c>
      <c r="BI522" s="3" t="s">
        <v>627</v>
      </c>
      <c r="BJ522" s="102">
        <f>DATE(Modelling_old[[#This Row],[Calendor Year]],Modelling_old[[#This Row],[Start Month]],1)</f>
        <v>45505</v>
      </c>
      <c r="BK522" s="5">
        <f t="shared" si="208"/>
        <v>31</v>
      </c>
      <c r="BL522" s="5">
        <f t="shared" si="209"/>
        <v>8</v>
      </c>
      <c r="BM522" s="4">
        <f>Modelling_old[[#This Row],[Target E_Grid daily
MWh]]+Modelling_new[[#This Row],[Target E_Grid daily
MWh]]</f>
        <v>78.407092838970016</v>
      </c>
      <c r="BN522" s="4">
        <f>Modelling_old[[#This Row],[Target E_Grid MTD
MWh]]+Modelling_new[[#This Row],[Target E_Grid MTD
MWh]]</f>
        <v>1332.9205782624904</v>
      </c>
      <c r="BO522" s="4">
        <f>Modelling_old[[#This Row],[Target E_Grid YTD
MWh]]+Modelling_new[[#This Row],[Target E_Grid YTD
MWh]]</f>
        <v>13974.29546384411</v>
      </c>
      <c r="BP522" s="4">
        <f>AVERAGE(Modelling_old[[#This Row],[Target POA Daily (KWh/m2)]],Modelling_new[[#This Row],[Target POA Daily (KWh/m2)]])</f>
        <v>4.1741935483870973</v>
      </c>
      <c r="BQ522" s="4">
        <f>SUM($BP$506:BP522)</f>
        <v>70.961290322580638</v>
      </c>
      <c r="BR522" s="4">
        <f>SUM($BP$384:BP522)</f>
        <v>762.3612903225785</v>
      </c>
      <c r="BS522" s="323">
        <f>BM522/Modelling[[#This Row],[Comisined DC ]]/BP522</f>
        <v>0.77289606302000058</v>
      </c>
      <c r="BT522" s="337">
        <f>BN522/BQ522/Modelling[[#This Row],[Comisined DC ]]</f>
        <v>0.7728960630200008</v>
      </c>
      <c r="BU522" s="337">
        <f>BO522/BR522/Modelling[[#This Row],[Comisined DC ]]</f>
        <v>0.75423626661340171</v>
      </c>
      <c r="BV522" s="323">
        <f>BM522/(24*Modelling[[#This Row],[Comisined DC ]])</f>
        <v>0.13442573999299476</v>
      </c>
      <c r="BW522" s="323">
        <f>Modelling[[#This Row],[Target E_Grid MTD
MWh]]/Modelling[[#This Row],[MTD DC Capcity]]/(24*CG522)</f>
        <v>0.13442573999299479</v>
      </c>
      <c r="BX522" s="338">
        <f>Modelling[[#This Row],[Target E_Grid YTD
MWh]]/Modelling[[#This Row],[YTD DC Capcity]]/(24*CH522)</f>
        <v>0.17236227021087411</v>
      </c>
      <c r="BY522" s="4">
        <f>Modelling_old[[#This Row],[DC Capcity]]+Modelling_new[[#This Row],[Comisined DC ]]</f>
        <v>24.303100000000001</v>
      </c>
      <c r="BZ522" s="4">
        <v>0</v>
      </c>
      <c r="CA522">
        <f>AVERAGEIFS(Modelling[[Comisined DC ]],Modelling[Date],"&lt;="&amp;Modelling[[#This Row],[Date]],Modelling[Month Year],Modelling[[#This Row],[Month Year]])</f>
        <v>24.303099999999993</v>
      </c>
      <c r="CB522">
        <f>AVERAGEIFS(Modelling[[Comisined DC ]],Modelling[Date],"&lt;="&amp;Modelling[[#This Row],[Date]],Modelling[Finacial Year],Modelling[[#This Row],[Finacial Year]])</f>
        <v>24.303100000000054</v>
      </c>
      <c r="CG522">
        <f t="shared" si="210"/>
        <v>17</v>
      </c>
      <c r="CH522">
        <f t="shared" si="211"/>
        <v>139</v>
      </c>
    </row>
    <row r="523" spans="1:86" x14ac:dyDescent="0.35">
      <c r="A523" s="27">
        <f t="shared" si="189"/>
        <v>45522</v>
      </c>
      <c r="B523" s="5">
        <f>MONTH(Modelling_old[[#This Row],[Date]])</f>
        <v>8</v>
      </c>
      <c r="C523" s="25">
        <f t="shared" si="190"/>
        <v>2025</v>
      </c>
      <c r="D523" s="3">
        <f t="shared" si="191"/>
        <v>2024</v>
      </c>
      <c r="E523" s="3" t="s">
        <v>627</v>
      </c>
      <c r="F523" s="3" t="s">
        <v>627</v>
      </c>
      <c r="G523" s="102">
        <f>DATE(Modelling_old[[#This Row],[Calendor Year]],Modelling_old[[#This Row],[Start Month]],1)</f>
        <v>45505</v>
      </c>
      <c r="H523" s="5">
        <f t="shared" si="192"/>
        <v>31</v>
      </c>
      <c r="I523" s="5">
        <f t="shared" si="193"/>
        <v>8</v>
      </c>
      <c r="J523" s="4">
        <f>_xlfn.XLOOKUP(Modelling_old[[#This Row],[Month]],$C$1:$C$14,$N$1:$N$14)/Modelling_old[[#This Row],[Total Days]]</f>
        <v>34.264516129032259</v>
      </c>
      <c r="K523" s="4">
        <f>SUM($J$506:J523)</f>
        <v>616.76129032258052</v>
      </c>
      <c r="L523" s="4">
        <f>SUM($J$384:J523)</f>
        <v>6079.9612903225743</v>
      </c>
      <c r="M523" s="4">
        <f t="shared" si="194"/>
        <v>4.1741935483870973</v>
      </c>
      <c r="N523" s="4">
        <f>SUM($M$506:M523)</f>
        <v>75.135483870967732</v>
      </c>
      <c r="O523" s="4">
        <f>SUM($M$384:M523)</f>
        <v>766.53548387096555</v>
      </c>
      <c r="P523" s="323">
        <f t="shared" si="195"/>
        <v>0.71360375310159307</v>
      </c>
      <c r="Q523" s="337">
        <f t="shared" si="196"/>
        <v>0.71360375310159307</v>
      </c>
      <c r="R523" s="337">
        <f t="shared" si="197"/>
        <v>0.68953077658206174</v>
      </c>
      <c r="S523" s="323">
        <f t="shared" si="198"/>
        <v>0.12411334092922872</v>
      </c>
      <c r="T523" s="9">
        <f>Modelling_old[[#This Row],[Target E_Grid MTD
MWh]]/Modelling_old[[#This Row],[DC Capcity]]/(24*CG523)</f>
        <v>0.12411334092922868</v>
      </c>
      <c r="U523" s="338">
        <f>Modelling_old[[#This Row],[Target E_Grid YTD
MWh]]/Modelling_old[[#This Row],[DC Capcity]]/(24*CH523)</f>
        <v>0.15730649031882538</v>
      </c>
      <c r="V523" s="134">
        <v>11.5031</v>
      </c>
      <c r="Y523" s="27">
        <f t="shared" si="187"/>
        <v>45522</v>
      </c>
      <c r="Z523" s="5">
        <f>MONTH(Modelling_new[[#This Row],[Date]])</f>
        <v>8</v>
      </c>
      <c r="AA523" s="25">
        <f>YEAR(Y523)+IF(MONTH(Modelling_new[[#This Row],[Date]])&gt;=4,1,0)</f>
        <v>2025</v>
      </c>
      <c r="AB523" s="3">
        <f t="shared" si="199"/>
        <v>2024</v>
      </c>
      <c r="AC523" s="3" t="s">
        <v>627</v>
      </c>
      <c r="AD523" s="3" t="s">
        <v>627</v>
      </c>
      <c r="AE523" s="102">
        <f>DATE(Modelling_old[[#This Row],[Calendor Year]],Modelling_old[[#This Row],[Start Month]],1)</f>
        <v>45505</v>
      </c>
      <c r="AF523" s="5">
        <f t="shared" si="200"/>
        <v>31</v>
      </c>
      <c r="AG523" s="5">
        <f t="shared" si="201"/>
        <v>8</v>
      </c>
      <c r="AH523" s="4">
        <f>_xlfn.XLOOKUP(Modelling_new[[#This Row],[Month]],$AA$1:$AA$14,$AL$1:$AL$14)/Modelling_new[[#This Row],[Total Days]]</f>
        <v>44.14257670993775</v>
      </c>
      <c r="AI523" s="4">
        <f>SUM($AH$506:AH523)</f>
        <v>794.56638077887976</v>
      </c>
      <c r="AJ523" s="4">
        <f>SUM($AH$384:AH523)</f>
        <v>7972.7412663605055</v>
      </c>
      <c r="AK523" s="4">
        <f t="shared" si="202"/>
        <v>4.1741935483870973</v>
      </c>
      <c r="AL523" s="4">
        <f>SUM($AK$506:AK523)</f>
        <v>75.135483870967732</v>
      </c>
      <c r="AM523" s="4">
        <f>SUM($AK$384:AK523)</f>
        <v>766.53548387096555</v>
      </c>
      <c r="AN523" s="323">
        <f t="shared" si="203"/>
        <v>0.91932739669119101</v>
      </c>
      <c r="AO523" s="323">
        <f t="shared" si="204"/>
        <v>0.91932739669119157</v>
      </c>
      <c r="AP523" s="323">
        <f t="shared" si="205"/>
        <v>0.904191690435868</v>
      </c>
      <c r="AQ523" s="323">
        <f t="shared" si="206"/>
        <v>0.15989377033849483</v>
      </c>
      <c r="AR523" s="323">
        <f>Modelling_new[[#This Row],[Target E_Grid MTD
MWh]]/Modelling_new[[#This Row],[MTD DC Capcity]]/(24*CG523)</f>
        <v>0.14369328356099528</v>
      </c>
      <c r="AS523" s="323">
        <f>Modelling_new[[#This Row],[Target E_Grid YTD
MWh]]/Modelling_new[[#This Row],[YTD DC Capcity]]/(24*CH523)</f>
        <v>0.18537809864119525</v>
      </c>
      <c r="AT523" s="5">
        <v>12.8</v>
      </c>
      <c r="AU523" s="9">
        <f>Modelling_new[[#This Row],[Comisined DC ]]/$AO$1</f>
        <v>1</v>
      </c>
      <c r="AV523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23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23" s="27">
        <f t="shared" si="188"/>
        <v>45522</v>
      </c>
      <c r="BE523" s="5">
        <f>MONTH(Modelling[[#This Row],[Date]])</f>
        <v>8</v>
      </c>
      <c r="BF523" s="25">
        <f>YEAR(BD523)+IF(MONTH(Modelling[[#This Row],[Date]])&gt;=4,1,0)</f>
        <v>2025</v>
      </c>
      <c r="BG523" s="3">
        <f t="shared" si="207"/>
        <v>2024</v>
      </c>
      <c r="BH523" s="3" t="s">
        <v>627</v>
      </c>
      <c r="BI523" s="3" t="s">
        <v>627</v>
      </c>
      <c r="BJ523" s="102">
        <f>DATE(Modelling_old[[#This Row],[Calendor Year]],Modelling_old[[#This Row],[Start Month]],1)</f>
        <v>45505</v>
      </c>
      <c r="BK523" s="5">
        <f t="shared" si="208"/>
        <v>31</v>
      </c>
      <c r="BL523" s="5">
        <f t="shared" si="209"/>
        <v>8</v>
      </c>
      <c r="BM523" s="4">
        <f>Modelling_old[[#This Row],[Target E_Grid daily
MWh]]+Modelling_new[[#This Row],[Target E_Grid daily
MWh]]</f>
        <v>78.407092838970016</v>
      </c>
      <c r="BN523" s="4">
        <f>Modelling_old[[#This Row],[Target E_Grid MTD
MWh]]+Modelling_new[[#This Row],[Target E_Grid MTD
MWh]]</f>
        <v>1411.3276711014603</v>
      </c>
      <c r="BO523" s="4">
        <f>Modelling_old[[#This Row],[Target E_Grid YTD
MWh]]+Modelling_new[[#This Row],[Target E_Grid YTD
MWh]]</f>
        <v>14052.70255668308</v>
      </c>
      <c r="BP523" s="4">
        <f>AVERAGE(Modelling_old[[#This Row],[Target POA Daily (KWh/m2)]],Modelling_new[[#This Row],[Target POA Daily (KWh/m2)]])</f>
        <v>4.1741935483870973</v>
      </c>
      <c r="BQ523" s="4">
        <f>SUM($BP$506:BP523)</f>
        <v>75.135483870967732</v>
      </c>
      <c r="BR523" s="4">
        <f>SUM($BP$384:BP523)</f>
        <v>766.53548387096555</v>
      </c>
      <c r="BS523" s="323">
        <f>BM523/Modelling[[#This Row],[Comisined DC ]]/BP523</f>
        <v>0.77289606302000058</v>
      </c>
      <c r="BT523" s="337">
        <f>BN523/BQ523/Modelling[[#This Row],[Comisined DC ]]</f>
        <v>0.7728960630200008</v>
      </c>
      <c r="BU523" s="337">
        <f>BO523/BR523/Modelling[[#This Row],[Comisined DC ]]</f>
        <v>0.75433787913286576</v>
      </c>
      <c r="BV523" s="323">
        <f>BM523/(24*Modelling[[#This Row],[Comisined DC ]])</f>
        <v>0.13442573999299476</v>
      </c>
      <c r="BW523" s="323">
        <f>Modelling[[#This Row],[Target E_Grid MTD
MWh]]/Modelling[[#This Row],[MTD DC Capcity]]/(24*CG523)</f>
        <v>0.13442573999299481</v>
      </c>
      <c r="BX523" s="338">
        <f>Modelling[[#This Row],[Target E_Grid YTD
MWh]]/Modelling[[#This Row],[YTD DC Capcity]]/(24*CH523)</f>
        <v>0.17209129499503209</v>
      </c>
      <c r="BY523" s="4">
        <f>Modelling_old[[#This Row],[DC Capcity]]+Modelling_new[[#This Row],[Comisined DC ]]</f>
        <v>24.303100000000001</v>
      </c>
      <c r="BZ523" s="4">
        <v>0</v>
      </c>
      <c r="CA523">
        <f>AVERAGEIFS(Modelling[[Comisined DC ]],Modelling[Date],"&lt;="&amp;Modelling[[#This Row],[Date]],Modelling[Month Year],Modelling[[#This Row],[Month Year]])</f>
        <v>24.30309999999999</v>
      </c>
      <c r="CB523">
        <f>AVERAGEIFS(Modelling[[Comisined DC ]],Modelling[Date],"&lt;="&amp;Modelling[[#This Row],[Date]],Modelling[Finacial Year],Modelling[[#This Row],[Finacial Year]])</f>
        <v>24.303100000000054</v>
      </c>
      <c r="CG523">
        <f t="shared" si="210"/>
        <v>18</v>
      </c>
      <c r="CH523">
        <f t="shared" si="211"/>
        <v>140</v>
      </c>
    </row>
    <row r="524" spans="1:86" x14ac:dyDescent="0.35">
      <c r="A524" s="27">
        <f t="shared" si="189"/>
        <v>45523</v>
      </c>
      <c r="B524" s="5">
        <f>MONTH(Modelling_old[[#This Row],[Date]])</f>
        <v>8</v>
      </c>
      <c r="C524" s="25">
        <f t="shared" si="190"/>
        <v>2025</v>
      </c>
      <c r="D524" s="3">
        <f t="shared" si="191"/>
        <v>2024</v>
      </c>
      <c r="E524" s="3" t="s">
        <v>627</v>
      </c>
      <c r="F524" s="3" t="s">
        <v>627</v>
      </c>
      <c r="G524" s="102">
        <f>DATE(Modelling_old[[#This Row],[Calendor Year]],Modelling_old[[#This Row],[Start Month]],1)</f>
        <v>45505</v>
      </c>
      <c r="H524" s="5">
        <f t="shared" si="192"/>
        <v>31</v>
      </c>
      <c r="I524" s="5">
        <f t="shared" si="193"/>
        <v>8</v>
      </c>
      <c r="J524" s="4">
        <f>_xlfn.XLOOKUP(Modelling_old[[#This Row],[Month]],$C$1:$C$14,$N$1:$N$14)/Modelling_old[[#This Row],[Total Days]]</f>
        <v>34.264516129032259</v>
      </c>
      <c r="K524" s="4">
        <f>SUM($J$506:J524)</f>
        <v>651.02580645161277</v>
      </c>
      <c r="L524" s="4">
        <f>SUM($J$384:J524)</f>
        <v>6114.2258064516063</v>
      </c>
      <c r="M524" s="4">
        <f t="shared" si="194"/>
        <v>4.1741935483870973</v>
      </c>
      <c r="N524" s="4">
        <f>SUM($M$506:M524)</f>
        <v>79.309677419354827</v>
      </c>
      <c r="O524" s="4">
        <f>SUM($M$384:M524)</f>
        <v>770.7096774193526</v>
      </c>
      <c r="P524" s="323">
        <f t="shared" si="195"/>
        <v>0.71360375310159307</v>
      </c>
      <c r="Q524" s="337">
        <f t="shared" si="196"/>
        <v>0.71360375310159307</v>
      </c>
      <c r="R524" s="337">
        <f t="shared" si="197"/>
        <v>0.68966115675792095</v>
      </c>
      <c r="S524" s="323">
        <f t="shared" si="198"/>
        <v>0.12411334092922872</v>
      </c>
      <c r="T524" s="9">
        <f>Modelling_old[[#This Row],[Target E_Grid MTD
MWh]]/Modelling_old[[#This Row],[DC Capcity]]/(24*CG524)</f>
        <v>0.12411334092922868</v>
      </c>
      <c r="U524" s="338">
        <f>Modelling_old[[#This Row],[Target E_Grid YTD
MWh]]/Modelling_old[[#This Row],[DC Capcity]]/(24*CH524)</f>
        <v>0.15707107791180697</v>
      </c>
      <c r="V524" s="134">
        <v>11.5031</v>
      </c>
      <c r="Y524" s="27">
        <f t="shared" si="187"/>
        <v>45523</v>
      </c>
      <c r="Z524" s="5">
        <f>MONTH(Modelling_new[[#This Row],[Date]])</f>
        <v>8</v>
      </c>
      <c r="AA524" s="25">
        <f>YEAR(Y524)+IF(MONTH(Modelling_new[[#This Row],[Date]])&gt;=4,1,0)</f>
        <v>2025</v>
      </c>
      <c r="AB524" s="3">
        <f t="shared" si="199"/>
        <v>2024</v>
      </c>
      <c r="AC524" s="3" t="s">
        <v>627</v>
      </c>
      <c r="AD524" s="3" t="s">
        <v>627</v>
      </c>
      <c r="AE524" s="102">
        <f>DATE(Modelling_old[[#This Row],[Calendor Year]],Modelling_old[[#This Row],[Start Month]],1)</f>
        <v>45505</v>
      </c>
      <c r="AF524" s="5">
        <f t="shared" si="200"/>
        <v>31</v>
      </c>
      <c r="AG524" s="5">
        <f t="shared" si="201"/>
        <v>8</v>
      </c>
      <c r="AH524" s="4">
        <f>_xlfn.XLOOKUP(Modelling_new[[#This Row],[Month]],$AA$1:$AA$14,$AL$1:$AL$14)/Modelling_new[[#This Row],[Total Days]]</f>
        <v>44.14257670993775</v>
      </c>
      <c r="AI524" s="4">
        <f>SUM($AH$506:AH524)</f>
        <v>838.70895748881753</v>
      </c>
      <c r="AJ524" s="4">
        <f>SUM($AH$384:AH524)</f>
        <v>8016.8838430704436</v>
      </c>
      <c r="AK524" s="4">
        <f t="shared" si="202"/>
        <v>4.1741935483870973</v>
      </c>
      <c r="AL524" s="4">
        <f>SUM($AK$506:AK524)</f>
        <v>79.309677419354827</v>
      </c>
      <c r="AM524" s="4">
        <f>SUM($AK$384:AK524)</f>
        <v>770.7096774193526</v>
      </c>
      <c r="AN524" s="323">
        <f t="shared" si="203"/>
        <v>0.91932739669119101</v>
      </c>
      <c r="AO524" s="323">
        <f t="shared" si="204"/>
        <v>0.91932739669119157</v>
      </c>
      <c r="AP524" s="323">
        <f t="shared" si="205"/>
        <v>0.90427366600883974</v>
      </c>
      <c r="AQ524" s="323">
        <f t="shared" si="206"/>
        <v>0.15989377033849483</v>
      </c>
      <c r="AR524" s="323">
        <f>Modelling_new[[#This Row],[Target E_Grid MTD
MWh]]/Modelling_new[[#This Row],[MTD DC Capcity]]/(24*CG524)</f>
        <v>0.14369328356099528</v>
      </c>
      <c r="AS524" s="323">
        <f>Modelling_new[[#This Row],[Target E_Grid YTD
MWh]]/Modelling_new[[#This Row],[YTD DC Capcity]]/(24*CH524)</f>
        <v>0.18508246165481088</v>
      </c>
      <c r="AT524" s="5">
        <v>12.8</v>
      </c>
      <c r="AU524" s="9">
        <f>Modelling_new[[#This Row],[Comisined DC ]]/$AO$1</f>
        <v>1</v>
      </c>
      <c r="AV524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24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24" s="27">
        <f t="shared" si="188"/>
        <v>45523</v>
      </c>
      <c r="BE524" s="5">
        <f>MONTH(Modelling[[#This Row],[Date]])</f>
        <v>8</v>
      </c>
      <c r="BF524" s="25">
        <f>YEAR(BD524)+IF(MONTH(Modelling[[#This Row],[Date]])&gt;=4,1,0)</f>
        <v>2025</v>
      </c>
      <c r="BG524" s="3">
        <f t="shared" si="207"/>
        <v>2024</v>
      </c>
      <c r="BH524" s="3" t="s">
        <v>627</v>
      </c>
      <c r="BI524" s="3" t="s">
        <v>627</v>
      </c>
      <c r="BJ524" s="102">
        <f>DATE(Modelling_old[[#This Row],[Calendor Year]],Modelling_old[[#This Row],[Start Month]],1)</f>
        <v>45505</v>
      </c>
      <c r="BK524" s="5">
        <f t="shared" si="208"/>
        <v>31</v>
      </c>
      <c r="BL524" s="5">
        <f t="shared" si="209"/>
        <v>8</v>
      </c>
      <c r="BM524" s="4">
        <f>Modelling_old[[#This Row],[Target E_Grid daily
MWh]]+Modelling_new[[#This Row],[Target E_Grid daily
MWh]]</f>
        <v>78.407092838970016</v>
      </c>
      <c r="BN524" s="4">
        <f>Modelling_old[[#This Row],[Target E_Grid MTD
MWh]]+Modelling_new[[#This Row],[Target E_Grid MTD
MWh]]</f>
        <v>1489.7347639404302</v>
      </c>
      <c r="BO524" s="4">
        <f>Modelling_old[[#This Row],[Target E_Grid YTD
MWh]]+Modelling_new[[#This Row],[Target E_Grid YTD
MWh]]</f>
        <v>14131.10964952205</v>
      </c>
      <c r="BP524" s="4">
        <f>AVERAGE(Modelling_old[[#This Row],[Target POA Daily (KWh/m2)]],Modelling_new[[#This Row],[Target POA Daily (KWh/m2)]])</f>
        <v>4.1741935483870973</v>
      </c>
      <c r="BQ524" s="4">
        <f>SUM($BP$506:BP524)</f>
        <v>79.309677419354827</v>
      </c>
      <c r="BR524" s="4">
        <f>SUM($BP$384:BP524)</f>
        <v>770.7096774193526</v>
      </c>
      <c r="BS524" s="323">
        <f>BM524/Modelling[[#This Row],[Comisined DC ]]/BP524</f>
        <v>0.77289606302000058</v>
      </c>
      <c r="BT524" s="337">
        <f>BN524/BQ524/Modelling[[#This Row],[Comisined DC ]]</f>
        <v>0.7728960630200008</v>
      </c>
      <c r="BU524" s="337">
        <f>BO524/BR524/Modelling[[#This Row],[Comisined DC ]]</f>
        <v>0.75443839097762522</v>
      </c>
      <c r="BV524" s="323">
        <f>BM524/(24*Modelling[[#This Row],[Comisined DC ]])</f>
        <v>0.13442573999299476</v>
      </c>
      <c r="BW524" s="323">
        <f>Modelling[[#This Row],[Target E_Grid MTD
MWh]]/Modelling[[#This Row],[MTD DC Capcity]]/(24*CG524)</f>
        <v>0.13442573999299479</v>
      </c>
      <c r="BX524" s="338">
        <f>Modelling[[#This Row],[Target E_Grid YTD
MWh]]/Modelling[[#This Row],[YTD DC Capcity]]/(24*CH524)</f>
        <v>0.17182416339927295</v>
      </c>
      <c r="BY524" s="4">
        <f>Modelling_old[[#This Row],[DC Capcity]]+Modelling_new[[#This Row],[Comisined DC ]]</f>
        <v>24.303100000000001</v>
      </c>
      <c r="BZ524" s="4">
        <v>0</v>
      </c>
      <c r="CA524">
        <f>AVERAGEIFS(Modelling[[Comisined DC ]],Modelling[Date],"&lt;="&amp;Modelling[[#This Row],[Date]],Modelling[Month Year],Modelling[[#This Row],[Month Year]])</f>
        <v>24.30309999999999</v>
      </c>
      <c r="CB524">
        <f>AVERAGEIFS(Modelling[[Comisined DC ]],Modelling[Date],"&lt;="&amp;Modelling[[#This Row],[Date]],Modelling[Finacial Year],Modelling[[#This Row],[Finacial Year]])</f>
        <v>24.303100000000054</v>
      </c>
      <c r="CG524">
        <f t="shared" si="210"/>
        <v>19</v>
      </c>
      <c r="CH524">
        <f t="shared" si="211"/>
        <v>141</v>
      </c>
    </row>
    <row r="525" spans="1:86" x14ac:dyDescent="0.35">
      <c r="A525" s="27">
        <f t="shared" si="189"/>
        <v>45524</v>
      </c>
      <c r="B525" s="5">
        <f>MONTH(Modelling_old[[#This Row],[Date]])</f>
        <v>8</v>
      </c>
      <c r="C525" s="25">
        <f t="shared" si="190"/>
        <v>2025</v>
      </c>
      <c r="D525" s="3">
        <f t="shared" si="191"/>
        <v>2024</v>
      </c>
      <c r="E525" s="3" t="s">
        <v>627</v>
      </c>
      <c r="F525" s="3" t="s">
        <v>627</v>
      </c>
      <c r="G525" s="102">
        <f>DATE(Modelling_old[[#This Row],[Calendor Year]],Modelling_old[[#This Row],[Start Month]],1)</f>
        <v>45505</v>
      </c>
      <c r="H525" s="5">
        <f t="shared" si="192"/>
        <v>31</v>
      </c>
      <c r="I525" s="5">
        <f t="shared" si="193"/>
        <v>8</v>
      </c>
      <c r="J525" s="4">
        <f>_xlfn.XLOOKUP(Modelling_old[[#This Row],[Month]],$C$1:$C$14,$N$1:$N$14)/Modelling_old[[#This Row],[Total Days]]</f>
        <v>34.264516129032259</v>
      </c>
      <c r="K525" s="4">
        <f>SUM($J$506:J525)</f>
        <v>685.29032258064501</v>
      </c>
      <c r="L525" s="4">
        <f>SUM($J$384:J525)</f>
        <v>6148.4903225806383</v>
      </c>
      <c r="M525" s="4">
        <f t="shared" si="194"/>
        <v>4.1741935483870973</v>
      </c>
      <c r="N525" s="4">
        <f>SUM($M$506:M525)</f>
        <v>83.483870967741922</v>
      </c>
      <c r="O525" s="4">
        <f>SUM($M$384:M525)</f>
        <v>774.88387096773965</v>
      </c>
      <c r="P525" s="323">
        <f t="shared" si="195"/>
        <v>0.71360375310159307</v>
      </c>
      <c r="Q525" s="337">
        <f t="shared" si="196"/>
        <v>0.71360375310159307</v>
      </c>
      <c r="R525" s="337">
        <f t="shared" si="197"/>
        <v>0.68979013225339048</v>
      </c>
      <c r="S525" s="323">
        <f t="shared" si="198"/>
        <v>0.12411334092922872</v>
      </c>
      <c r="T525" s="9">
        <f>Modelling_old[[#This Row],[Target E_Grid MTD
MWh]]/Modelling_old[[#This Row],[DC Capcity]]/(24*CG525)</f>
        <v>0.12411334092922868</v>
      </c>
      <c r="U525" s="338">
        <f>Modelling_old[[#This Row],[Target E_Grid YTD
MWh]]/Modelling_old[[#This Row],[DC Capcity]]/(24*CH525)</f>
        <v>0.15683898117249306</v>
      </c>
      <c r="V525" s="134">
        <v>11.5031</v>
      </c>
      <c r="Y525" s="27">
        <f t="shared" si="187"/>
        <v>45524</v>
      </c>
      <c r="Z525" s="5">
        <f>MONTH(Modelling_new[[#This Row],[Date]])</f>
        <v>8</v>
      </c>
      <c r="AA525" s="25">
        <f>YEAR(Y525)+IF(MONTH(Modelling_new[[#This Row],[Date]])&gt;=4,1,0)</f>
        <v>2025</v>
      </c>
      <c r="AB525" s="3">
        <f t="shared" si="199"/>
        <v>2024</v>
      </c>
      <c r="AC525" s="3" t="s">
        <v>627</v>
      </c>
      <c r="AD525" s="3" t="s">
        <v>627</v>
      </c>
      <c r="AE525" s="102">
        <f>DATE(Modelling_old[[#This Row],[Calendor Year]],Modelling_old[[#This Row],[Start Month]],1)</f>
        <v>45505</v>
      </c>
      <c r="AF525" s="5">
        <f t="shared" si="200"/>
        <v>31</v>
      </c>
      <c r="AG525" s="5">
        <f t="shared" si="201"/>
        <v>8</v>
      </c>
      <c r="AH525" s="4">
        <f>_xlfn.XLOOKUP(Modelling_new[[#This Row],[Month]],$AA$1:$AA$14,$AL$1:$AL$14)/Modelling_new[[#This Row],[Total Days]]</f>
        <v>44.14257670993775</v>
      </c>
      <c r="AI525" s="4">
        <f>SUM($AH$506:AH525)</f>
        <v>882.8515341987553</v>
      </c>
      <c r="AJ525" s="4">
        <f>SUM($AH$384:AH525)</f>
        <v>8061.0264197803817</v>
      </c>
      <c r="AK525" s="4">
        <f t="shared" si="202"/>
        <v>4.1741935483870973</v>
      </c>
      <c r="AL525" s="4">
        <f>SUM($AK$506:AK525)</f>
        <v>83.483870967741922</v>
      </c>
      <c r="AM525" s="4">
        <f>SUM($AK$384:AK525)</f>
        <v>774.88387096773965</v>
      </c>
      <c r="AN525" s="323">
        <f t="shared" si="203"/>
        <v>0.91932739669119101</v>
      </c>
      <c r="AO525" s="323">
        <f t="shared" si="204"/>
        <v>0.91932739669119157</v>
      </c>
      <c r="AP525" s="323">
        <f t="shared" si="205"/>
        <v>0.90435475839938728</v>
      </c>
      <c r="AQ525" s="323">
        <f t="shared" si="206"/>
        <v>0.15989377033849483</v>
      </c>
      <c r="AR525" s="323">
        <f>Modelling_new[[#This Row],[Target E_Grid MTD
MWh]]/Modelling_new[[#This Row],[MTD DC Capcity]]/(24*CG525)</f>
        <v>0.14369328356099531</v>
      </c>
      <c r="AS525" s="323">
        <f>Modelling_new[[#This Row],[Target E_Grid YTD
MWh]]/Modelling_new[[#This Row],[YTD DC Capcity]]/(24*CH525)</f>
        <v>0.18479098856964316</v>
      </c>
      <c r="AT525" s="5">
        <v>12.8</v>
      </c>
      <c r="AU525" s="9">
        <f>Modelling_new[[#This Row],[Comisined DC ]]/$AO$1</f>
        <v>1</v>
      </c>
      <c r="AV525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25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25" s="27">
        <f t="shared" si="188"/>
        <v>45524</v>
      </c>
      <c r="BE525" s="5">
        <f>MONTH(Modelling[[#This Row],[Date]])</f>
        <v>8</v>
      </c>
      <c r="BF525" s="25">
        <f>YEAR(BD525)+IF(MONTH(Modelling[[#This Row],[Date]])&gt;=4,1,0)</f>
        <v>2025</v>
      </c>
      <c r="BG525" s="3">
        <f t="shared" si="207"/>
        <v>2024</v>
      </c>
      <c r="BH525" s="3" t="s">
        <v>627</v>
      </c>
      <c r="BI525" s="3" t="s">
        <v>627</v>
      </c>
      <c r="BJ525" s="102">
        <f>DATE(Modelling_old[[#This Row],[Calendor Year]],Modelling_old[[#This Row],[Start Month]],1)</f>
        <v>45505</v>
      </c>
      <c r="BK525" s="5">
        <f t="shared" si="208"/>
        <v>31</v>
      </c>
      <c r="BL525" s="5">
        <f t="shared" si="209"/>
        <v>8</v>
      </c>
      <c r="BM525" s="4">
        <f>Modelling_old[[#This Row],[Target E_Grid daily
MWh]]+Modelling_new[[#This Row],[Target E_Grid daily
MWh]]</f>
        <v>78.407092838970016</v>
      </c>
      <c r="BN525" s="4">
        <f>Modelling_old[[#This Row],[Target E_Grid MTD
MWh]]+Modelling_new[[#This Row],[Target E_Grid MTD
MWh]]</f>
        <v>1568.1418567794003</v>
      </c>
      <c r="BO525" s="4">
        <f>Modelling_old[[#This Row],[Target E_Grid YTD
MWh]]+Modelling_new[[#This Row],[Target E_Grid YTD
MWh]]</f>
        <v>14209.51674236102</v>
      </c>
      <c r="BP525" s="4">
        <f>AVERAGE(Modelling_old[[#This Row],[Target POA Daily (KWh/m2)]],Modelling_new[[#This Row],[Target POA Daily (KWh/m2)]])</f>
        <v>4.1741935483870973</v>
      </c>
      <c r="BQ525" s="4">
        <f>SUM($BP$506:BP525)</f>
        <v>83.483870967741922</v>
      </c>
      <c r="BR525" s="4">
        <f>SUM($BP$384:BP525)</f>
        <v>774.88387096773965</v>
      </c>
      <c r="BS525" s="323">
        <f>BM525/Modelling[[#This Row],[Comisined DC ]]/BP525</f>
        <v>0.77289606302000058</v>
      </c>
      <c r="BT525" s="337">
        <f>BN525/BQ525/Modelling[[#This Row],[Comisined DC ]]</f>
        <v>0.7728960630200008</v>
      </c>
      <c r="BU525" s="337">
        <f>BO525/BR525/Modelling[[#This Row],[Comisined DC ]]</f>
        <v>0.75453781993523317</v>
      </c>
      <c r="BV525" s="323">
        <f>BM525/(24*Modelling[[#This Row],[Comisined DC ]])</f>
        <v>0.13442573999299476</v>
      </c>
      <c r="BW525" s="323">
        <f>Modelling[[#This Row],[Target E_Grid MTD
MWh]]/Modelling[[#This Row],[MTD DC Capcity]]/(24*CG525)</f>
        <v>0.13442573999299479</v>
      </c>
      <c r="BX525" s="338">
        <f>Modelling[[#This Row],[Target E_Grid YTD
MWh]]/Modelling[[#This Row],[YTD DC Capcity]]/(24*CH525)</f>
        <v>0.17156079422035553</v>
      </c>
      <c r="BY525" s="4">
        <f>Modelling_old[[#This Row],[DC Capcity]]+Modelling_new[[#This Row],[Comisined DC ]]</f>
        <v>24.303100000000001</v>
      </c>
      <c r="BZ525" s="4">
        <v>0</v>
      </c>
      <c r="CA525">
        <f>AVERAGEIFS(Modelling[[Comisined DC ]],Modelling[Date],"&lt;="&amp;Modelling[[#This Row],[Date]],Modelling[Month Year],Modelling[[#This Row],[Month Year]])</f>
        <v>24.30309999999999</v>
      </c>
      <c r="CB525">
        <f>AVERAGEIFS(Modelling[[Comisined DC ]],Modelling[Date],"&lt;="&amp;Modelling[[#This Row],[Date]],Modelling[Finacial Year],Modelling[[#This Row],[Finacial Year]])</f>
        <v>24.303100000000054</v>
      </c>
      <c r="CG525">
        <f t="shared" si="210"/>
        <v>20</v>
      </c>
      <c r="CH525">
        <f t="shared" si="211"/>
        <v>142</v>
      </c>
    </row>
    <row r="526" spans="1:86" x14ac:dyDescent="0.35">
      <c r="A526" s="27">
        <f t="shared" si="189"/>
        <v>45525</v>
      </c>
      <c r="B526" s="5">
        <f>MONTH(Modelling_old[[#This Row],[Date]])</f>
        <v>8</v>
      </c>
      <c r="C526" s="25">
        <f t="shared" si="190"/>
        <v>2025</v>
      </c>
      <c r="D526" s="3">
        <f t="shared" si="191"/>
        <v>2024</v>
      </c>
      <c r="E526" s="3" t="s">
        <v>627</v>
      </c>
      <c r="F526" s="3" t="s">
        <v>627</v>
      </c>
      <c r="G526" s="102">
        <f>DATE(Modelling_old[[#This Row],[Calendor Year]],Modelling_old[[#This Row],[Start Month]],1)</f>
        <v>45505</v>
      </c>
      <c r="H526" s="5">
        <f t="shared" si="192"/>
        <v>31</v>
      </c>
      <c r="I526" s="5">
        <f t="shared" si="193"/>
        <v>8</v>
      </c>
      <c r="J526" s="4">
        <f>_xlfn.XLOOKUP(Modelling_old[[#This Row],[Month]],$C$1:$C$14,$N$1:$N$14)/Modelling_old[[#This Row],[Total Days]]</f>
        <v>34.264516129032259</v>
      </c>
      <c r="K526" s="4">
        <f>SUM($J$506:J526)</f>
        <v>719.55483870967726</v>
      </c>
      <c r="L526" s="4">
        <f>SUM($J$384:J526)</f>
        <v>6182.7548387096704</v>
      </c>
      <c r="M526" s="4">
        <f t="shared" si="194"/>
        <v>4.1741935483870973</v>
      </c>
      <c r="N526" s="4">
        <f>SUM($M$506:M526)</f>
        <v>87.658064516129016</v>
      </c>
      <c r="O526" s="4">
        <f>SUM($M$384:M526)</f>
        <v>779.05806451612671</v>
      </c>
      <c r="P526" s="323">
        <f t="shared" si="195"/>
        <v>0.71360375310159307</v>
      </c>
      <c r="Q526" s="337">
        <f t="shared" si="196"/>
        <v>0.71360375310159307</v>
      </c>
      <c r="R526" s="337">
        <f t="shared" si="197"/>
        <v>0.68991772564730525</v>
      </c>
      <c r="S526" s="323">
        <f t="shared" si="198"/>
        <v>0.12411334092922872</v>
      </c>
      <c r="T526" s="9">
        <f>Modelling_old[[#This Row],[Target E_Grid MTD
MWh]]/Modelling_old[[#This Row],[DC Capcity]]/(24*CG526)</f>
        <v>0.12411334092922867</v>
      </c>
      <c r="U526" s="338">
        <f>Modelling_old[[#This Row],[Target E_Grid YTD
MWh]]/Modelling_old[[#This Row],[DC Capcity]]/(24*CH526)</f>
        <v>0.15661013054142126</v>
      </c>
      <c r="V526" s="134">
        <v>11.5031</v>
      </c>
      <c r="Y526" s="27">
        <f t="shared" si="187"/>
        <v>45525</v>
      </c>
      <c r="Z526" s="5">
        <f>MONTH(Modelling_new[[#This Row],[Date]])</f>
        <v>8</v>
      </c>
      <c r="AA526" s="25">
        <f>YEAR(Y526)+IF(MONTH(Modelling_new[[#This Row],[Date]])&gt;=4,1,0)</f>
        <v>2025</v>
      </c>
      <c r="AB526" s="3">
        <f t="shared" si="199"/>
        <v>2024</v>
      </c>
      <c r="AC526" s="3" t="s">
        <v>627</v>
      </c>
      <c r="AD526" s="3" t="s">
        <v>627</v>
      </c>
      <c r="AE526" s="102">
        <f>DATE(Modelling_old[[#This Row],[Calendor Year]],Modelling_old[[#This Row],[Start Month]],1)</f>
        <v>45505</v>
      </c>
      <c r="AF526" s="5">
        <f t="shared" si="200"/>
        <v>31</v>
      </c>
      <c r="AG526" s="5">
        <f t="shared" si="201"/>
        <v>8</v>
      </c>
      <c r="AH526" s="4">
        <f>_xlfn.XLOOKUP(Modelling_new[[#This Row],[Month]],$AA$1:$AA$14,$AL$1:$AL$14)/Modelling_new[[#This Row],[Total Days]]</f>
        <v>44.14257670993775</v>
      </c>
      <c r="AI526" s="4">
        <f>SUM($AH$506:AH526)</f>
        <v>926.99411090869307</v>
      </c>
      <c r="AJ526" s="4">
        <f>SUM($AH$384:AH526)</f>
        <v>8105.1689964903198</v>
      </c>
      <c r="AK526" s="4">
        <f t="shared" si="202"/>
        <v>4.1741935483870973</v>
      </c>
      <c r="AL526" s="4">
        <f>SUM($AK$506:AK526)</f>
        <v>87.658064516129016</v>
      </c>
      <c r="AM526" s="4">
        <f>SUM($AK$384:AK526)</f>
        <v>779.05806451612671</v>
      </c>
      <c r="AN526" s="323">
        <f t="shared" si="203"/>
        <v>0.91932739669119101</v>
      </c>
      <c r="AO526" s="323">
        <f t="shared" si="204"/>
        <v>0.91932739669119157</v>
      </c>
      <c r="AP526" s="323">
        <f t="shared" si="205"/>
        <v>0.90443498180378634</v>
      </c>
      <c r="AQ526" s="323">
        <f t="shared" si="206"/>
        <v>0.15989377033849483</v>
      </c>
      <c r="AR526" s="323">
        <f>Modelling_new[[#This Row],[Target E_Grid MTD
MWh]]/Modelling_new[[#This Row],[MTD DC Capcity]]/(24*CG526)</f>
        <v>0.14369328356099531</v>
      </c>
      <c r="AS526" s="323">
        <f>Modelling_new[[#This Row],[Target E_Grid YTD
MWh]]/Modelling_new[[#This Row],[YTD DC Capcity]]/(24*CH526)</f>
        <v>0.18450359203112116</v>
      </c>
      <c r="AT526" s="5">
        <v>12.8</v>
      </c>
      <c r="AU526" s="9">
        <f>Modelling_new[[#This Row],[Comisined DC ]]/$AO$1</f>
        <v>1</v>
      </c>
      <c r="AV526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26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26" s="27">
        <f t="shared" si="188"/>
        <v>45525</v>
      </c>
      <c r="BE526" s="5">
        <f>MONTH(Modelling[[#This Row],[Date]])</f>
        <v>8</v>
      </c>
      <c r="BF526" s="25">
        <f>YEAR(BD526)+IF(MONTH(Modelling[[#This Row],[Date]])&gt;=4,1,0)</f>
        <v>2025</v>
      </c>
      <c r="BG526" s="3">
        <f t="shared" si="207"/>
        <v>2024</v>
      </c>
      <c r="BH526" s="3" t="s">
        <v>627</v>
      </c>
      <c r="BI526" s="3" t="s">
        <v>627</v>
      </c>
      <c r="BJ526" s="102">
        <f>DATE(Modelling_old[[#This Row],[Calendor Year]],Modelling_old[[#This Row],[Start Month]],1)</f>
        <v>45505</v>
      </c>
      <c r="BK526" s="5">
        <f t="shared" si="208"/>
        <v>31</v>
      </c>
      <c r="BL526" s="5">
        <f t="shared" si="209"/>
        <v>8</v>
      </c>
      <c r="BM526" s="4">
        <f>Modelling_old[[#This Row],[Target E_Grid daily
MWh]]+Modelling_new[[#This Row],[Target E_Grid daily
MWh]]</f>
        <v>78.407092838970016</v>
      </c>
      <c r="BN526" s="4">
        <f>Modelling_old[[#This Row],[Target E_Grid MTD
MWh]]+Modelling_new[[#This Row],[Target E_Grid MTD
MWh]]</f>
        <v>1646.5489496183704</v>
      </c>
      <c r="BO526" s="4">
        <f>Modelling_old[[#This Row],[Target E_Grid YTD
MWh]]+Modelling_new[[#This Row],[Target E_Grid YTD
MWh]]</f>
        <v>14287.92383519999</v>
      </c>
      <c r="BP526" s="4">
        <f>AVERAGE(Modelling_old[[#This Row],[Target POA Daily (KWh/m2)]],Modelling_new[[#This Row],[Target POA Daily (KWh/m2)]])</f>
        <v>4.1741935483870973</v>
      </c>
      <c r="BQ526" s="4">
        <f>SUM($BP$506:BP526)</f>
        <v>87.658064516129016</v>
      </c>
      <c r="BR526" s="4">
        <f>SUM($BP$384:BP526)</f>
        <v>779.05806451612671</v>
      </c>
      <c r="BS526" s="323">
        <f>BM526/Modelling[[#This Row],[Comisined DC ]]/BP526</f>
        <v>0.77289606302000058</v>
      </c>
      <c r="BT526" s="337">
        <f>BN526/BQ526/Modelling[[#This Row],[Comisined DC ]]</f>
        <v>0.77289606302000091</v>
      </c>
      <c r="BU526" s="337">
        <f>BO526/BR526/Modelling[[#This Row],[Comisined DC ]]</f>
        <v>0.75463618341201955</v>
      </c>
      <c r="BV526" s="323">
        <f>BM526/(24*Modelling[[#This Row],[Comisined DC ]])</f>
        <v>0.13442573999299476</v>
      </c>
      <c r="BW526" s="323">
        <f>Modelling[[#This Row],[Target E_Grid MTD
MWh]]/Modelling[[#This Row],[MTD DC Capcity]]/(24*CG526)</f>
        <v>0.13442573999299481</v>
      </c>
      <c r="BX526" s="338">
        <f>Modelling[[#This Row],[Target E_Grid YTD
MWh]]/Modelling[[#This Row],[YTD DC Capcity]]/(24*CH526)</f>
        <v>0.17130110852645786</v>
      </c>
      <c r="BY526" s="4">
        <f>Modelling_old[[#This Row],[DC Capcity]]+Modelling_new[[#This Row],[Comisined DC ]]</f>
        <v>24.303100000000001</v>
      </c>
      <c r="BZ526" s="4">
        <v>0</v>
      </c>
      <c r="CA526">
        <f>AVERAGEIFS(Modelling[[Comisined DC ]],Modelling[Date],"&lt;="&amp;Modelling[[#This Row],[Date]],Modelling[Month Year],Modelling[[#This Row],[Month Year]])</f>
        <v>24.30309999999999</v>
      </c>
      <c r="CB526">
        <f>AVERAGEIFS(Modelling[[Comisined DC ]],Modelling[Date],"&lt;="&amp;Modelling[[#This Row],[Date]],Modelling[Finacial Year],Modelling[[#This Row],[Finacial Year]])</f>
        <v>24.303100000000054</v>
      </c>
      <c r="CG526">
        <f t="shared" si="210"/>
        <v>21</v>
      </c>
      <c r="CH526">
        <f t="shared" si="211"/>
        <v>143</v>
      </c>
    </row>
    <row r="527" spans="1:86" x14ac:dyDescent="0.35">
      <c r="A527" s="27">
        <f t="shared" si="189"/>
        <v>45526</v>
      </c>
      <c r="B527" s="5">
        <f>MONTH(Modelling_old[[#This Row],[Date]])</f>
        <v>8</v>
      </c>
      <c r="C527" s="25">
        <f t="shared" si="190"/>
        <v>2025</v>
      </c>
      <c r="D527" s="3">
        <f t="shared" si="191"/>
        <v>2024</v>
      </c>
      <c r="E527" s="3" t="s">
        <v>627</v>
      </c>
      <c r="F527" s="3" t="s">
        <v>627</v>
      </c>
      <c r="G527" s="102">
        <f>DATE(Modelling_old[[#This Row],[Calendor Year]],Modelling_old[[#This Row],[Start Month]],1)</f>
        <v>45505</v>
      </c>
      <c r="H527" s="5">
        <f t="shared" si="192"/>
        <v>31</v>
      </c>
      <c r="I527" s="5">
        <f t="shared" si="193"/>
        <v>8</v>
      </c>
      <c r="J527" s="4">
        <f>_xlfn.XLOOKUP(Modelling_old[[#This Row],[Month]],$C$1:$C$14,$N$1:$N$14)/Modelling_old[[#This Row],[Total Days]]</f>
        <v>34.264516129032259</v>
      </c>
      <c r="K527" s="4">
        <f>SUM($J$506:J527)</f>
        <v>753.8193548387095</v>
      </c>
      <c r="L527" s="4">
        <f>SUM($J$384:J527)</f>
        <v>6217.0193548387024</v>
      </c>
      <c r="M527" s="4">
        <f t="shared" si="194"/>
        <v>4.1741935483870973</v>
      </c>
      <c r="N527" s="4">
        <f>SUM($M$506:M527)</f>
        <v>91.832258064516111</v>
      </c>
      <c r="O527" s="4">
        <f>SUM($M$384:M527)</f>
        <v>783.23225806451376</v>
      </c>
      <c r="P527" s="323">
        <f t="shared" si="195"/>
        <v>0.71360375310159307</v>
      </c>
      <c r="Q527" s="337">
        <f t="shared" si="196"/>
        <v>0.71360375310159307</v>
      </c>
      <c r="R527" s="337">
        <f t="shared" si="197"/>
        <v>0.69004395903716964</v>
      </c>
      <c r="S527" s="323">
        <f t="shared" si="198"/>
        <v>0.12411334092922872</v>
      </c>
      <c r="T527" s="9">
        <f>Modelling_old[[#This Row],[Target E_Grid MTD
MWh]]/Modelling_old[[#This Row],[DC Capcity]]/(24*CG527)</f>
        <v>0.12411334092922867</v>
      </c>
      <c r="U527" s="338">
        <f>Modelling_old[[#This Row],[Target E_Grid YTD
MWh]]/Modelling_old[[#This Row],[DC Capcity]]/(24*CH527)</f>
        <v>0.15638445839133658</v>
      </c>
      <c r="V527" s="134">
        <v>11.5031</v>
      </c>
      <c r="Y527" s="27">
        <f t="shared" si="187"/>
        <v>45526</v>
      </c>
      <c r="Z527" s="5">
        <f>MONTH(Modelling_new[[#This Row],[Date]])</f>
        <v>8</v>
      </c>
      <c r="AA527" s="25">
        <f>YEAR(Y527)+IF(MONTH(Modelling_new[[#This Row],[Date]])&gt;=4,1,0)</f>
        <v>2025</v>
      </c>
      <c r="AB527" s="3">
        <f t="shared" si="199"/>
        <v>2024</v>
      </c>
      <c r="AC527" s="3" t="s">
        <v>627</v>
      </c>
      <c r="AD527" s="3" t="s">
        <v>627</v>
      </c>
      <c r="AE527" s="102">
        <f>DATE(Modelling_old[[#This Row],[Calendor Year]],Modelling_old[[#This Row],[Start Month]],1)</f>
        <v>45505</v>
      </c>
      <c r="AF527" s="5">
        <f t="shared" si="200"/>
        <v>31</v>
      </c>
      <c r="AG527" s="5">
        <f t="shared" si="201"/>
        <v>8</v>
      </c>
      <c r="AH527" s="4">
        <f>_xlfn.XLOOKUP(Modelling_new[[#This Row],[Month]],$AA$1:$AA$14,$AL$1:$AL$14)/Modelling_new[[#This Row],[Total Days]]</f>
        <v>44.14257670993775</v>
      </c>
      <c r="AI527" s="4">
        <f>SUM($AH$506:AH527)</f>
        <v>971.13668761863084</v>
      </c>
      <c r="AJ527" s="4">
        <f>SUM($AH$384:AH527)</f>
        <v>8149.311573200258</v>
      </c>
      <c r="AK527" s="4">
        <f t="shared" si="202"/>
        <v>4.1741935483870973</v>
      </c>
      <c r="AL527" s="4">
        <f>SUM($AK$506:AK527)</f>
        <v>91.832258064516111</v>
      </c>
      <c r="AM527" s="4">
        <f>SUM($AK$384:AK527)</f>
        <v>783.23225806451376</v>
      </c>
      <c r="AN527" s="323">
        <f t="shared" si="203"/>
        <v>0.91932739669119101</v>
      </c>
      <c r="AO527" s="323">
        <f t="shared" si="204"/>
        <v>0.91932739669119157</v>
      </c>
      <c r="AP527" s="323">
        <f t="shared" si="205"/>
        <v>0.90451435011567971</v>
      </c>
      <c r="AQ527" s="323">
        <f t="shared" si="206"/>
        <v>0.15989377033849483</v>
      </c>
      <c r="AR527" s="323">
        <f>Modelling_new[[#This Row],[Target E_Grid MTD
MWh]]/Modelling_new[[#This Row],[MTD DC Capcity]]/(24*CG527)</f>
        <v>0.14369328356099528</v>
      </c>
      <c r="AS527" s="323">
        <f>Modelling_new[[#This Row],[Target E_Grid YTD
MWh]]/Modelling_new[[#This Row],[YTD DC Capcity]]/(24*CH527)</f>
        <v>0.18422018711118973</v>
      </c>
      <c r="AT527" s="5">
        <v>12.8</v>
      </c>
      <c r="AU527" s="9">
        <f>Modelling_new[[#This Row],[Comisined DC ]]/$AO$1</f>
        <v>1</v>
      </c>
      <c r="AV527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27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27" s="27">
        <f t="shared" si="188"/>
        <v>45526</v>
      </c>
      <c r="BE527" s="5">
        <f>MONTH(Modelling[[#This Row],[Date]])</f>
        <v>8</v>
      </c>
      <c r="BF527" s="25">
        <f>YEAR(BD527)+IF(MONTH(Modelling[[#This Row],[Date]])&gt;=4,1,0)</f>
        <v>2025</v>
      </c>
      <c r="BG527" s="3">
        <f t="shared" si="207"/>
        <v>2024</v>
      </c>
      <c r="BH527" s="3" t="s">
        <v>627</v>
      </c>
      <c r="BI527" s="3" t="s">
        <v>627</v>
      </c>
      <c r="BJ527" s="102">
        <f>DATE(Modelling_old[[#This Row],[Calendor Year]],Modelling_old[[#This Row],[Start Month]],1)</f>
        <v>45505</v>
      </c>
      <c r="BK527" s="5">
        <f t="shared" si="208"/>
        <v>31</v>
      </c>
      <c r="BL527" s="5">
        <f t="shared" si="209"/>
        <v>8</v>
      </c>
      <c r="BM527" s="4">
        <f>Modelling_old[[#This Row],[Target E_Grid daily
MWh]]+Modelling_new[[#This Row],[Target E_Grid daily
MWh]]</f>
        <v>78.407092838970016</v>
      </c>
      <c r="BN527" s="4">
        <f>Modelling_old[[#This Row],[Target E_Grid MTD
MWh]]+Modelling_new[[#This Row],[Target E_Grid MTD
MWh]]</f>
        <v>1724.9560424573403</v>
      </c>
      <c r="BO527" s="4">
        <f>Modelling_old[[#This Row],[Target E_Grid YTD
MWh]]+Modelling_new[[#This Row],[Target E_Grid YTD
MWh]]</f>
        <v>14366.33092803896</v>
      </c>
      <c r="BP527" s="4">
        <f>AVERAGE(Modelling_old[[#This Row],[Target POA Daily (KWh/m2)]],Modelling_new[[#This Row],[Target POA Daily (KWh/m2)]])</f>
        <v>4.1741935483870973</v>
      </c>
      <c r="BQ527" s="4">
        <f>SUM($BP$506:BP527)</f>
        <v>91.832258064516111</v>
      </c>
      <c r="BR527" s="4">
        <f>SUM($BP$384:BP527)</f>
        <v>783.23225806451376</v>
      </c>
      <c r="BS527" s="323">
        <f>BM527/Modelling[[#This Row],[Comisined DC ]]/BP527</f>
        <v>0.77289606302000058</v>
      </c>
      <c r="BT527" s="337">
        <f>BN527/BQ527/Modelling[[#This Row],[Comisined DC ]]</f>
        <v>0.7728960630200008</v>
      </c>
      <c r="BU527" s="337">
        <f>BO527/BR527/Modelling[[#This Row],[Comisined DC ]]</f>
        <v>0.75473349844324966</v>
      </c>
      <c r="BV527" s="323">
        <f>BM527/(24*Modelling[[#This Row],[Comisined DC ]])</f>
        <v>0.13442573999299476</v>
      </c>
      <c r="BW527" s="323">
        <f>Modelling[[#This Row],[Target E_Grid MTD
MWh]]/Modelling[[#This Row],[MTD DC Capcity]]/(24*CG527)</f>
        <v>0.13442573999299481</v>
      </c>
      <c r="BX527" s="338">
        <f>Modelling[[#This Row],[Target E_Grid YTD
MWh]]/Modelling[[#This Row],[YTD DC Capcity]]/(24*CH527)</f>
        <v>0.17104502957830883</v>
      </c>
      <c r="BY527" s="4">
        <f>Modelling_old[[#This Row],[DC Capcity]]+Modelling_new[[#This Row],[Comisined DC ]]</f>
        <v>24.303100000000001</v>
      </c>
      <c r="BZ527" s="4">
        <v>0</v>
      </c>
      <c r="CA527">
        <f>AVERAGEIFS(Modelling[[Comisined DC ]],Modelling[Date],"&lt;="&amp;Modelling[[#This Row],[Date]],Modelling[Month Year],Modelling[[#This Row],[Month Year]])</f>
        <v>24.303099999999986</v>
      </c>
      <c r="CB527">
        <f>AVERAGEIFS(Modelling[[Comisined DC ]],Modelling[Date],"&lt;="&amp;Modelling[[#This Row],[Date]],Modelling[Finacial Year],Modelling[[#This Row],[Finacial Year]])</f>
        <v>24.303100000000054</v>
      </c>
      <c r="CG527">
        <f t="shared" si="210"/>
        <v>22</v>
      </c>
      <c r="CH527">
        <f t="shared" si="211"/>
        <v>144</v>
      </c>
    </row>
    <row r="528" spans="1:86" x14ac:dyDescent="0.35">
      <c r="A528" s="27">
        <f t="shared" si="189"/>
        <v>45527</v>
      </c>
      <c r="B528" s="5">
        <f>MONTH(Modelling_old[[#This Row],[Date]])</f>
        <v>8</v>
      </c>
      <c r="C528" s="25">
        <f t="shared" si="190"/>
        <v>2025</v>
      </c>
      <c r="D528" s="3">
        <f t="shared" si="191"/>
        <v>2024</v>
      </c>
      <c r="E528" s="3" t="s">
        <v>627</v>
      </c>
      <c r="F528" s="3" t="s">
        <v>627</v>
      </c>
      <c r="G528" s="102">
        <f>DATE(Modelling_old[[#This Row],[Calendor Year]],Modelling_old[[#This Row],[Start Month]],1)</f>
        <v>45505</v>
      </c>
      <c r="H528" s="5">
        <f t="shared" si="192"/>
        <v>31</v>
      </c>
      <c r="I528" s="5">
        <f t="shared" si="193"/>
        <v>8</v>
      </c>
      <c r="J528" s="4">
        <f>_xlfn.XLOOKUP(Modelling_old[[#This Row],[Month]],$C$1:$C$14,$N$1:$N$14)/Modelling_old[[#This Row],[Total Days]]</f>
        <v>34.264516129032259</v>
      </c>
      <c r="K528" s="4">
        <f>SUM($J$506:J528)</f>
        <v>788.08387096774175</v>
      </c>
      <c r="L528" s="4">
        <f>SUM($J$384:J528)</f>
        <v>6251.2838709677344</v>
      </c>
      <c r="M528" s="4">
        <f t="shared" si="194"/>
        <v>4.1741935483870973</v>
      </c>
      <c r="N528" s="4">
        <f>SUM($M$506:M528)</f>
        <v>96.006451612903206</v>
      </c>
      <c r="O528" s="4">
        <f>SUM($M$384:M528)</f>
        <v>787.40645161290081</v>
      </c>
      <c r="P528" s="323">
        <f t="shared" si="195"/>
        <v>0.71360375310159307</v>
      </c>
      <c r="Q528" s="337">
        <f t="shared" si="196"/>
        <v>0.71360375310159307</v>
      </c>
      <c r="R528" s="337">
        <f t="shared" si="197"/>
        <v>0.6901688540519153</v>
      </c>
      <c r="S528" s="323">
        <f t="shared" si="198"/>
        <v>0.12411334092922872</v>
      </c>
      <c r="T528" s="9">
        <f>Modelling_old[[#This Row],[Target E_Grid MTD
MWh]]/Modelling_old[[#This Row],[DC Capcity]]/(24*CG528)</f>
        <v>0.12411334092922867</v>
      </c>
      <c r="U528" s="338">
        <f>Modelling_old[[#This Row],[Target E_Grid YTD
MWh]]/Modelling_old[[#This Row],[DC Capcity]]/(24*CH528)</f>
        <v>0.15616189896056343</v>
      </c>
      <c r="V528" s="134">
        <v>11.5031</v>
      </c>
      <c r="Y528" s="27">
        <f t="shared" si="187"/>
        <v>45527</v>
      </c>
      <c r="Z528" s="5">
        <f>MONTH(Modelling_new[[#This Row],[Date]])</f>
        <v>8</v>
      </c>
      <c r="AA528" s="25">
        <f>YEAR(Y528)+IF(MONTH(Modelling_new[[#This Row],[Date]])&gt;=4,1,0)</f>
        <v>2025</v>
      </c>
      <c r="AB528" s="3">
        <f t="shared" si="199"/>
        <v>2024</v>
      </c>
      <c r="AC528" s="3" t="s">
        <v>627</v>
      </c>
      <c r="AD528" s="3" t="s">
        <v>627</v>
      </c>
      <c r="AE528" s="102">
        <f>DATE(Modelling_old[[#This Row],[Calendor Year]],Modelling_old[[#This Row],[Start Month]],1)</f>
        <v>45505</v>
      </c>
      <c r="AF528" s="5">
        <f t="shared" si="200"/>
        <v>31</v>
      </c>
      <c r="AG528" s="5">
        <f t="shared" si="201"/>
        <v>8</v>
      </c>
      <c r="AH528" s="4">
        <f>_xlfn.XLOOKUP(Modelling_new[[#This Row],[Month]],$AA$1:$AA$14,$AL$1:$AL$14)/Modelling_new[[#This Row],[Total Days]]</f>
        <v>44.14257670993775</v>
      </c>
      <c r="AI528" s="4">
        <f>SUM($AH$506:AH528)</f>
        <v>1015.2792643285686</v>
      </c>
      <c r="AJ528" s="4">
        <f>SUM($AH$384:AH528)</f>
        <v>8193.4541499101961</v>
      </c>
      <c r="AK528" s="4">
        <f t="shared" si="202"/>
        <v>4.1741935483870973</v>
      </c>
      <c r="AL528" s="4">
        <f>SUM($AK$506:AK528)</f>
        <v>96.006451612903206</v>
      </c>
      <c r="AM528" s="4">
        <f>SUM($AK$384:AK528)</f>
        <v>787.40645161290081</v>
      </c>
      <c r="AN528" s="323">
        <f t="shared" si="203"/>
        <v>0.91932739669119101</v>
      </c>
      <c r="AO528" s="323">
        <f t="shared" si="204"/>
        <v>0.91932739669119179</v>
      </c>
      <c r="AP528" s="323">
        <f t="shared" si="205"/>
        <v>0.90459287693409851</v>
      </c>
      <c r="AQ528" s="323">
        <f t="shared" si="206"/>
        <v>0.15989377033849483</v>
      </c>
      <c r="AR528" s="323">
        <f>Modelling_new[[#This Row],[Target E_Grid MTD
MWh]]/Modelling_new[[#This Row],[MTD DC Capcity]]/(24*CG528)</f>
        <v>0.14369328356099528</v>
      </c>
      <c r="AS528" s="323">
        <f>Modelling_new[[#This Row],[Target E_Grid YTD
MWh]]/Modelling_new[[#This Row],[YTD DC Capcity]]/(24*CH528)</f>
        <v>0.18394069122463669</v>
      </c>
      <c r="AT528" s="5">
        <v>12.8</v>
      </c>
      <c r="AU528" s="9">
        <f>Modelling_new[[#This Row],[Comisined DC ]]/$AO$1</f>
        <v>1</v>
      </c>
      <c r="AV528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28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28" s="27">
        <f t="shared" si="188"/>
        <v>45527</v>
      </c>
      <c r="BE528" s="5">
        <f>MONTH(Modelling[[#This Row],[Date]])</f>
        <v>8</v>
      </c>
      <c r="BF528" s="25">
        <f>YEAR(BD528)+IF(MONTH(Modelling[[#This Row],[Date]])&gt;=4,1,0)</f>
        <v>2025</v>
      </c>
      <c r="BG528" s="3">
        <f t="shared" si="207"/>
        <v>2024</v>
      </c>
      <c r="BH528" s="3" t="s">
        <v>627</v>
      </c>
      <c r="BI528" s="3" t="s">
        <v>627</v>
      </c>
      <c r="BJ528" s="102">
        <f>DATE(Modelling_old[[#This Row],[Calendor Year]],Modelling_old[[#This Row],[Start Month]],1)</f>
        <v>45505</v>
      </c>
      <c r="BK528" s="5">
        <f t="shared" si="208"/>
        <v>31</v>
      </c>
      <c r="BL528" s="5">
        <f t="shared" si="209"/>
        <v>8</v>
      </c>
      <c r="BM528" s="4">
        <f>Modelling_old[[#This Row],[Target E_Grid daily
MWh]]+Modelling_new[[#This Row],[Target E_Grid daily
MWh]]</f>
        <v>78.407092838970016</v>
      </c>
      <c r="BN528" s="4">
        <f>Modelling_old[[#This Row],[Target E_Grid MTD
MWh]]+Modelling_new[[#This Row],[Target E_Grid MTD
MWh]]</f>
        <v>1803.3631352963102</v>
      </c>
      <c r="BO528" s="4">
        <f>Modelling_old[[#This Row],[Target E_Grid YTD
MWh]]+Modelling_new[[#This Row],[Target E_Grid YTD
MWh]]</f>
        <v>14444.73802087793</v>
      </c>
      <c r="BP528" s="4">
        <f>AVERAGE(Modelling_old[[#This Row],[Target POA Daily (KWh/m2)]],Modelling_new[[#This Row],[Target POA Daily (KWh/m2)]])</f>
        <v>4.1741935483870973</v>
      </c>
      <c r="BQ528" s="4">
        <f>SUM($BP$506:BP528)</f>
        <v>96.006451612903206</v>
      </c>
      <c r="BR528" s="4">
        <f>SUM($BP$384:BP528)</f>
        <v>787.40645161290081</v>
      </c>
      <c r="BS528" s="323">
        <f>BM528/Modelling[[#This Row],[Comisined DC ]]/BP528</f>
        <v>0.77289606302000058</v>
      </c>
      <c r="BT528" s="337">
        <f>BN528/BQ528/Modelling[[#This Row],[Comisined DC ]]</f>
        <v>0.7728960630200008</v>
      </c>
      <c r="BU528" s="337">
        <f>BO528/BR528/Modelling[[#This Row],[Comisined DC ]]</f>
        <v>0.75482978170296033</v>
      </c>
      <c r="BV528" s="323">
        <f>BM528/(24*Modelling[[#This Row],[Comisined DC ]])</f>
        <v>0.13442573999299476</v>
      </c>
      <c r="BW528" s="323">
        <f>Modelling[[#This Row],[Target E_Grid MTD
MWh]]/Modelling[[#This Row],[MTD DC Capcity]]/(24*CG528)</f>
        <v>0.13442573999299481</v>
      </c>
      <c r="BX528" s="338">
        <f>Modelling[[#This Row],[Target E_Grid YTD
MWh]]/Modelling[[#This Row],[YTD DC Capcity]]/(24*CH528)</f>
        <v>0.17079248275358253</v>
      </c>
      <c r="BY528" s="4">
        <f>Modelling_old[[#This Row],[DC Capcity]]+Modelling_new[[#This Row],[Comisined DC ]]</f>
        <v>24.303100000000001</v>
      </c>
      <c r="BZ528" s="4">
        <v>0</v>
      </c>
      <c r="CA528">
        <f>AVERAGEIFS(Modelling[[Comisined DC ]],Modelling[Date],"&lt;="&amp;Modelling[[#This Row],[Date]],Modelling[Month Year],Modelling[[#This Row],[Month Year]])</f>
        <v>24.303099999999986</v>
      </c>
      <c r="CB528">
        <f>AVERAGEIFS(Modelling[[Comisined DC ]],Modelling[Date],"&lt;="&amp;Modelling[[#This Row],[Date]],Modelling[Finacial Year],Modelling[[#This Row],[Finacial Year]])</f>
        <v>24.303100000000054</v>
      </c>
      <c r="CG528">
        <f t="shared" si="210"/>
        <v>23</v>
      </c>
      <c r="CH528">
        <f t="shared" si="211"/>
        <v>145</v>
      </c>
    </row>
    <row r="529" spans="1:86" x14ac:dyDescent="0.35">
      <c r="A529" s="27">
        <f t="shared" si="189"/>
        <v>45528</v>
      </c>
      <c r="B529" s="5">
        <f>MONTH(Modelling_old[[#This Row],[Date]])</f>
        <v>8</v>
      </c>
      <c r="C529" s="25">
        <f t="shared" si="190"/>
        <v>2025</v>
      </c>
      <c r="D529" s="3">
        <f t="shared" si="191"/>
        <v>2024</v>
      </c>
      <c r="E529" s="3" t="s">
        <v>627</v>
      </c>
      <c r="F529" s="3" t="s">
        <v>627</v>
      </c>
      <c r="G529" s="102">
        <f>DATE(Modelling_old[[#This Row],[Calendor Year]],Modelling_old[[#This Row],[Start Month]],1)</f>
        <v>45505</v>
      </c>
      <c r="H529" s="5">
        <f t="shared" si="192"/>
        <v>31</v>
      </c>
      <c r="I529" s="5">
        <f t="shared" si="193"/>
        <v>8</v>
      </c>
      <c r="J529" s="4">
        <f>_xlfn.XLOOKUP(Modelling_old[[#This Row],[Month]],$C$1:$C$14,$N$1:$N$14)/Modelling_old[[#This Row],[Total Days]]</f>
        <v>34.264516129032259</v>
      </c>
      <c r="K529" s="4">
        <f>SUM($J$506:J529)</f>
        <v>822.34838709677399</v>
      </c>
      <c r="L529" s="4">
        <f>SUM($J$384:J529)</f>
        <v>6285.5483870967664</v>
      </c>
      <c r="M529" s="4">
        <f t="shared" si="194"/>
        <v>4.1741935483870973</v>
      </c>
      <c r="N529" s="4">
        <f>SUM($M$506:M529)</f>
        <v>100.1806451612903</v>
      </c>
      <c r="O529" s="4">
        <f>SUM($M$384:M529)</f>
        <v>791.58064516128786</v>
      </c>
      <c r="P529" s="323">
        <f t="shared" si="195"/>
        <v>0.71360375310159307</v>
      </c>
      <c r="Q529" s="337">
        <f t="shared" si="196"/>
        <v>0.71360375310159307</v>
      </c>
      <c r="R529" s="337">
        <f t="shared" si="197"/>
        <v>0.69029243186425604</v>
      </c>
      <c r="S529" s="323">
        <f t="shared" si="198"/>
        <v>0.12411334092922872</v>
      </c>
      <c r="T529" s="9">
        <f>Modelling_old[[#This Row],[Target E_Grid MTD
MWh]]/Modelling_old[[#This Row],[DC Capcity]]/(24*CG529)</f>
        <v>0.12411334092922867</v>
      </c>
      <c r="U529" s="338">
        <f>Modelling_old[[#This Row],[Target E_Grid YTD
MWh]]/Modelling_old[[#This Row],[DC Capcity]]/(24*CH529)</f>
        <v>0.15594238828911591</v>
      </c>
      <c r="V529" s="134">
        <v>11.5031</v>
      </c>
      <c r="Y529" s="27">
        <f t="shared" si="187"/>
        <v>45528</v>
      </c>
      <c r="Z529" s="5">
        <f>MONTH(Modelling_new[[#This Row],[Date]])</f>
        <v>8</v>
      </c>
      <c r="AA529" s="25">
        <f>YEAR(Y529)+IF(MONTH(Modelling_new[[#This Row],[Date]])&gt;=4,1,0)</f>
        <v>2025</v>
      </c>
      <c r="AB529" s="3">
        <f t="shared" si="199"/>
        <v>2024</v>
      </c>
      <c r="AC529" s="3" t="s">
        <v>627</v>
      </c>
      <c r="AD529" s="3" t="s">
        <v>627</v>
      </c>
      <c r="AE529" s="102">
        <f>DATE(Modelling_old[[#This Row],[Calendor Year]],Modelling_old[[#This Row],[Start Month]],1)</f>
        <v>45505</v>
      </c>
      <c r="AF529" s="5">
        <f t="shared" si="200"/>
        <v>31</v>
      </c>
      <c r="AG529" s="5">
        <f t="shared" si="201"/>
        <v>8</v>
      </c>
      <c r="AH529" s="4">
        <f>_xlfn.XLOOKUP(Modelling_new[[#This Row],[Month]],$AA$1:$AA$14,$AL$1:$AL$14)/Modelling_new[[#This Row],[Total Days]]</f>
        <v>44.14257670993775</v>
      </c>
      <c r="AI529" s="4">
        <f>SUM($AH$506:AH529)</f>
        <v>1059.4218410385063</v>
      </c>
      <c r="AJ529" s="4">
        <f>SUM($AH$384:AH529)</f>
        <v>8237.5967266201333</v>
      </c>
      <c r="AK529" s="4">
        <f t="shared" si="202"/>
        <v>4.1741935483870973</v>
      </c>
      <c r="AL529" s="4">
        <f>SUM($AK$506:AK529)</f>
        <v>100.1806451612903</v>
      </c>
      <c r="AM529" s="4">
        <f>SUM($AK$384:AK529)</f>
        <v>791.58064516128786</v>
      </c>
      <c r="AN529" s="323">
        <f t="shared" si="203"/>
        <v>0.91932739669119101</v>
      </c>
      <c r="AO529" s="323">
        <f t="shared" si="204"/>
        <v>0.91932739669119157</v>
      </c>
      <c r="AP529" s="323">
        <f t="shared" si="205"/>
        <v>0.90467057557122987</v>
      </c>
      <c r="AQ529" s="323">
        <f t="shared" si="206"/>
        <v>0.15989377033849483</v>
      </c>
      <c r="AR529" s="323">
        <f>Modelling_new[[#This Row],[Target E_Grid MTD
MWh]]/Modelling_new[[#This Row],[MTD DC Capcity]]/(24*CG529)</f>
        <v>0.14369328356099528</v>
      </c>
      <c r="AS529" s="323">
        <f>Modelling_new[[#This Row],[Target E_Grid YTD
MWh]]/Modelling_new[[#This Row],[YTD DC Capcity]]/(24*CH529)</f>
        <v>0.18366502404885832</v>
      </c>
      <c r="AT529" s="5">
        <v>12.8</v>
      </c>
      <c r="AU529" s="9">
        <f>Modelling_new[[#This Row],[Comisined DC ]]/$AO$1</f>
        <v>1</v>
      </c>
      <c r="AV52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29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29" s="27">
        <f t="shared" si="188"/>
        <v>45528</v>
      </c>
      <c r="BE529" s="5">
        <f>MONTH(Modelling[[#This Row],[Date]])</f>
        <v>8</v>
      </c>
      <c r="BF529" s="25">
        <f>YEAR(BD529)+IF(MONTH(Modelling[[#This Row],[Date]])&gt;=4,1,0)</f>
        <v>2025</v>
      </c>
      <c r="BG529" s="3">
        <f t="shared" si="207"/>
        <v>2024</v>
      </c>
      <c r="BH529" s="3" t="s">
        <v>627</v>
      </c>
      <c r="BI529" s="3" t="s">
        <v>627</v>
      </c>
      <c r="BJ529" s="102">
        <f>DATE(Modelling_old[[#This Row],[Calendor Year]],Modelling_old[[#This Row],[Start Month]],1)</f>
        <v>45505</v>
      </c>
      <c r="BK529" s="5">
        <f t="shared" si="208"/>
        <v>31</v>
      </c>
      <c r="BL529" s="5">
        <f t="shared" si="209"/>
        <v>8</v>
      </c>
      <c r="BM529" s="4">
        <f>Modelling_old[[#This Row],[Target E_Grid daily
MWh]]+Modelling_new[[#This Row],[Target E_Grid daily
MWh]]</f>
        <v>78.407092838970016</v>
      </c>
      <c r="BN529" s="4">
        <f>Modelling_old[[#This Row],[Target E_Grid MTD
MWh]]+Modelling_new[[#This Row],[Target E_Grid MTD
MWh]]</f>
        <v>1881.7702281352804</v>
      </c>
      <c r="BO529" s="4">
        <f>Modelling_old[[#This Row],[Target E_Grid YTD
MWh]]+Modelling_new[[#This Row],[Target E_Grid YTD
MWh]]</f>
        <v>14523.145113716899</v>
      </c>
      <c r="BP529" s="4">
        <f>AVERAGE(Modelling_old[[#This Row],[Target POA Daily (KWh/m2)]],Modelling_new[[#This Row],[Target POA Daily (KWh/m2)]])</f>
        <v>4.1741935483870973</v>
      </c>
      <c r="BQ529" s="4">
        <f>SUM($BP$506:BP529)</f>
        <v>100.1806451612903</v>
      </c>
      <c r="BR529" s="4">
        <f>SUM($BP$384:BP529)</f>
        <v>791.58064516128786</v>
      </c>
      <c r="BS529" s="323">
        <f>BM529/Modelling[[#This Row],[Comisined DC ]]/BP529</f>
        <v>0.77289606302000058</v>
      </c>
      <c r="BT529" s="337">
        <f>BN529/BQ529/Modelling[[#This Row],[Comisined DC ]]</f>
        <v>0.77289606302000091</v>
      </c>
      <c r="BU529" s="337">
        <f>BO529/BR529/Modelling[[#This Row],[Comisined DC ]]</f>
        <v>0.75492504951348327</v>
      </c>
      <c r="BV529" s="323">
        <f>BM529/(24*Modelling[[#This Row],[Comisined DC ]])</f>
        <v>0.13442573999299476</v>
      </c>
      <c r="BW529" s="323">
        <f>Modelling[[#This Row],[Target E_Grid MTD
MWh]]/Modelling[[#This Row],[MTD DC Capcity]]/(24*CG529)</f>
        <v>0.13442573999299481</v>
      </c>
      <c r="BX529" s="338">
        <f>Modelling[[#This Row],[Target E_Grid YTD
MWh]]/Modelling[[#This Row],[YTD DC Capcity]]/(24*CH529)</f>
        <v>0.17054339547440039</v>
      </c>
      <c r="BY529" s="4">
        <f>Modelling_old[[#This Row],[DC Capcity]]+Modelling_new[[#This Row],[Comisined DC ]]</f>
        <v>24.303100000000001</v>
      </c>
      <c r="BZ529" s="4">
        <v>0</v>
      </c>
      <c r="CA529">
        <f>AVERAGEIFS(Modelling[[Comisined DC ]],Modelling[Date],"&lt;="&amp;Modelling[[#This Row],[Date]],Modelling[Month Year],Modelling[[#This Row],[Month Year]])</f>
        <v>24.303099999999986</v>
      </c>
      <c r="CB529">
        <f>AVERAGEIFS(Modelling[[Comisined DC ]],Modelling[Date],"&lt;="&amp;Modelling[[#This Row],[Date]],Modelling[Finacial Year],Modelling[[#This Row],[Finacial Year]])</f>
        <v>24.303100000000054</v>
      </c>
      <c r="CG529">
        <f t="shared" si="210"/>
        <v>24</v>
      </c>
      <c r="CH529">
        <f t="shared" si="211"/>
        <v>146</v>
      </c>
    </row>
    <row r="530" spans="1:86" x14ac:dyDescent="0.35">
      <c r="A530" s="27">
        <f t="shared" si="189"/>
        <v>45529</v>
      </c>
      <c r="B530" s="5">
        <f>MONTH(Modelling_old[[#This Row],[Date]])</f>
        <v>8</v>
      </c>
      <c r="C530" s="25">
        <f t="shared" si="190"/>
        <v>2025</v>
      </c>
      <c r="D530" s="3">
        <f t="shared" si="191"/>
        <v>2024</v>
      </c>
      <c r="E530" s="3" t="s">
        <v>627</v>
      </c>
      <c r="F530" s="3" t="s">
        <v>627</v>
      </c>
      <c r="G530" s="102">
        <f>DATE(Modelling_old[[#This Row],[Calendor Year]],Modelling_old[[#This Row],[Start Month]],1)</f>
        <v>45505</v>
      </c>
      <c r="H530" s="5">
        <f t="shared" si="192"/>
        <v>31</v>
      </c>
      <c r="I530" s="5">
        <f t="shared" si="193"/>
        <v>8</v>
      </c>
      <c r="J530" s="4">
        <f>_xlfn.XLOOKUP(Modelling_old[[#This Row],[Month]],$C$1:$C$14,$N$1:$N$14)/Modelling_old[[#This Row],[Total Days]]</f>
        <v>34.264516129032259</v>
      </c>
      <c r="K530" s="4">
        <f>SUM($J$506:J530)</f>
        <v>856.61290322580624</v>
      </c>
      <c r="L530" s="4">
        <f>SUM($J$384:J530)</f>
        <v>6319.8129032257984</v>
      </c>
      <c r="M530" s="4">
        <f t="shared" si="194"/>
        <v>4.1741935483870973</v>
      </c>
      <c r="N530" s="4">
        <f>SUM($M$506:M530)</f>
        <v>104.3548387096774</v>
      </c>
      <c r="O530" s="4">
        <f>SUM($M$384:M530)</f>
        <v>795.75483870967491</v>
      </c>
      <c r="P530" s="323">
        <f t="shared" si="195"/>
        <v>0.71360375310159307</v>
      </c>
      <c r="Q530" s="337">
        <f t="shared" si="196"/>
        <v>0.71360375310159307</v>
      </c>
      <c r="R530" s="337">
        <f t="shared" si="197"/>
        <v>0.69041471320265302</v>
      </c>
      <c r="S530" s="323">
        <f t="shared" si="198"/>
        <v>0.12411334092922872</v>
      </c>
      <c r="T530" s="9">
        <f>Modelling_old[[#This Row],[Target E_Grid MTD
MWh]]/Modelling_old[[#This Row],[DC Capcity]]/(24*CG530)</f>
        <v>0.12411334092922868</v>
      </c>
      <c r="U530" s="338">
        <f>Modelling_old[[#This Row],[Target E_Grid YTD
MWh]]/Modelling_old[[#This Row],[DC Capcity]]/(24*CH530)</f>
        <v>0.15572586415741599</v>
      </c>
      <c r="V530" s="134">
        <v>11.5031</v>
      </c>
      <c r="Y530" s="27">
        <f t="shared" si="187"/>
        <v>45529</v>
      </c>
      <c r="Z530" s="5">
        <f>MONTH(Modelling_new[[#This Row],[Date]])</f>
        <v>8</v>
      </c>
      <c r="AA530" s="25">
        <f>YEAR(Y530)+IF(MONTH(Modelling_new[[#This Row],[Date]])&gt;=4,1,0)</f>
        <v>2025</v>
      </c>
      <c r="AB530" s="3">
        <f t="shared" si="199"/>
        <v>2024</v>
      </c>
      <c r="AC530" s="3" t="s">
        <v>627</v>
      </c>
      <c r="AD530" s="3" t="s">
        <v>627</v>
      </c>
      <c r="AE530" s="102">
        <f>DATE(Modelling_old[[#This Row],[Calendor Year]],Modelling_old[[#This Row],[Start Month]],1)</f>
        <v>45505</v>
      </c>
      <c r="AF530" s="5">
        <f t="shared" si="200"/>
        <v>31</v>
      </c>
      <c r="AG530" s="5">
        <f t="shared" si="201"/>
        <v>8</v>
      </c>
      <c r="AH530" s="4">
        <f>_xlfn.XLOOKUP(Modelling_new[[#This Row],[Month]],$AA$1:$AA$14,$AL$1:$AL$14)/Modelling_new[[#This Row],[Total Days]]</f>
        <v>44.14257670993775</v>
      </c>
      <c r="AI530" s="4">
        <f>SUM($AH$506:AH530)</f>
        <v>1103.5644177484439</v>
      </c>
      <c r="AJ530" s="4">
        <f>SUM($AH$384:AH530)</f>
        <v>8281.7393033300705</v>
      </c>
      <c r="AK530" s="4">
        <f t="shared" si="202"/>
        <v>4.1741935483870973</v>
      </c>
      <c r="AL530" s="4">
        <f>SUM($AK$506:AK530)</f>
        <v>104.3548387096774</v>
      </c>
      <c r="AM530" s="4">
        <f>SUM($AK$384:AK530)</f>
        <v>795.75483870967491</v>
      </c>
      <c r="AN530" s="323">
        <f t="shared" si="203"/>
        <v>0.91932739669119101</v>
      </c>
      <c r="AO530" s="323">
        <f t="shared" si="204"/>
        <v>0.91932739669119157</v>
      </c>
      <c r="AP530" s="323">
        <f t="shared" si="205"/>
        <v>0.90474745905994103</v>
      </c>
      <c r="AQ530" s="323">
        <f t="shared" si="206"/>
        <v>0.15989377033849483</v>
      </c>
      <c r="AR530" s="323">
        <f>Modelling_new[[#This Row],[Target E_Grid MTD
MWh]]/Modelling_new[[#This Row],[MTD DC Capcity]]/(24*CG530)</f>
        <v>0.14369328356099526</v>
      </c>
      <c r="AS530" s="323">
        <f>Modelling_new[[#This Row],[Target E_Grid YTD
MWh]]/Modelling_new[[#This Row],[YTD DC Capcity]]/(24*CH530)</f>
        <v>0.18339310744690004</v>
      </c>
      <c r="AT530" s="5">
        <v>12.8</v>
      </c>
      <c r="AU530" s="9">
        <f>Modelling_new[[#This Row],[Comisined DC ]]/$AO$1</f>
        <v>1</v>
      </c>
      <c r="AV53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30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30" s="27">
        <f t="shared" si="188"/>
        <v>45529</v>
      </c>
      <c r="BE530" s="5">
        <f>MONTH(Modelling[[#This Row],[Date]])</f>
        <v>8</v>
      </c>
      <c r="BF530" s="25">
        <f>YEAR(BD530)+IF(MONTH(Modelling[[#This Row],[Date]])&gt;=4,1,0)</f>
        <v>2025</v>
      </c>
      <c r="BG530" s="3">
        <f t="shared" si="207"/>
        <v>2024</v>
      </c>
      <c r="BH530" s="3" t="s">
        <v>627</v>
      </c>
      <c r="BI530" s="3" t="s">
        <v>627</v>
      </c>
      <c r="BJ530" s="102">
        <f>DATE(Modelling_old[[#This Row],[Calendor Year]],Modelling_old[[#This Row],[Start Month]],1)</f>
        <v>45505</v>
      </c>
      <c r="BK530" s="5">
        <f t="shared" si="208"/>
        <v>31</v>
      </c>
      <c r="BL530" s="5">
        <f t="shared" si="209"/>
        <v>8</v>
      </c>
      <c r="BM530" s="4">
        <f>Modelling_old[[#This Row],[Target E_Grid daily
MWh]]+Modelling_new[[#This Row],[Target E_Grid daily
MWh]]</f>
        <v>78.407092838970016</v>
      </c>
      <c r="BN530" s="4">
        <f>Modelling_old[[#This Row],[Target E_Grid MTD
MWh]]+Modelling_new[[#This Row],[Target E_Grid MTD
MWh]]</f>
        <v>1960.1773209742501</v>
      </c>
      <c r="BO530" s="4">
        <f>Modelling_old[[#This Row],[Target E_Grid YTD
MWh]]+Modelling_new[[#This Row],[Target E_Grid YTD
MWh]]</f>
        <v>14601.552206555869</v>
      </c>
      <c r="BP530" s="4">
        <f>AVERAGE(Modelling_old[[#This Row],[Target POA Daily (KWh/m2)]],Modelling_new[[#This Row],[Target POA Daily (KWh/m2)]])</f>
        <v>4.1741935483870973</v>
      </c>
      <c r="BQ530" s="4">
        <f>SUM($BP$506:BP530)</f>
        <v>104.3548387096774</v>
      </c>
      <c r="BR530" s="4">
        <f>SUM($BP$384:BP530)</f>
        <v>795.75483870967491</v>
      </c>
      <c r="BS530" s="323">
        <f>BM530/Modelling[[#This Row],[Comisined DC ]]/BP530</f>
        <v>0.77289606302000058</v>
      </c>
      <c r="BT530" s="337">
        <f>BN530/BQ530/Modelling[[#This Row],[Comisined DC ]]</f>
        <v>0.7728960630200008</v>
      </c>
      <c r="BU530" s="337">
        <f>BO530/BR530/Modelling[[#This Row],[Comisined DC ]]</f>
        <v>0.75501931785467058</v>
      </c>
      <c r="BV530" s="323">
        <f>BM530/(24*Modelling[[#This Row],[Comisined DC ]])</f>
        <v>0.13442573999299476</v>
      </c>
      <c r="BW530" s="323">
        <f>Modelling[[#This Row],[Target E_Grid MTD
MWh]]/Modelling[[#This Row],[MTD DC Capcity]]/(24*CG530)</f>
        <v>0.13442573999299481</v>
      </c>
      <c r="BX530" s="338">
        <f>Modelling[[#This Row],[Target E_Grid YTD
MWh]]/Modelling[[#This Row],[YTD DC Capcity]]/(24*CH530)</f>
        <v>0.17029769713779219</v>
      </c>
      <c r="BY530" s="4">
        <f>Modelling_old[[#This Row],[DC Capcity]]+Modelling_new[[#This Row],[Comisined DC ]]</f>
        <v>24.303100000000001</v>
      </c>
      <c r="BZ530" s="4">
        <v>0</v>
      </c>
      <c r="CA530">
        <f>AVERAGEIFS(Modelling[[Comisined DC ]],Modelling[Date],"&lt;="&amp;Modelling[[#This Row],[Date]],Modelling[Month Year],Modelling[[#This Row],[Month Year]])</f>
        <v>24.303099999999986</v>
      </c>
      <c r="CB530">
        <f>AVERAGEIFS(Modelling[[Comisined DC ]],Modelling[Date],"&lt;="&amp;Modelling[[#This Row],[Date]],Modelling[Finacial Year],Modelling[[#This Row],[Finacial Year]])</f>
        <v>24.303100000000054</v>
      </c>
      <c r="CG530">
        <f t="shared" si="210"/>
        <v>25</v>
      </c>
      <c r="CH530">
        <f t="shared" si="211"/>
        <v>147</v>
      </c>
    </row>
    <row r="531" spans="1:86" x14ac:dyDescent="0.35">
      <c r="A531" s="27">
        <f t="shared" si="189"/>
        <v>45530</v>
      </c>
      <c r="B531" s="5">
        <f>MONTH(Modelling_old[[#This Row],[Date]])</f>
        <v>8</v>
      </c>
      <c r="C531" s="25">
        <f t="shared" si="190"/>
        <v>2025</v>
      </c>
      <c r="D531" s="3">
        <f t="shared" si="191"/>
        <v>2024</v>
      </c>
      <c r="E531" s="3" t="s">
        <v>627</v>
      </c>
      <c r="F531" s="3" t="s">
        <v>627</v>
      </c>
      <c r="G531" s="102">
        <f>DATE(Modelling_old[[#This Row],[Calendor Year]],Modelling_old[[#This Row],[Start Month]],1)</f>
        <v>45505</v>
      </c>
      <c r="H531" s="5">
        <f t="shared" si="192"/>
        <v>31</v>
      </c>
      <c r="I531" s="5">
        <f t="shared" si="193"/>
        <v>8</v>
      </c>
      <c r="J531" s="4">
        <f>_xlfn.XLOOKUP(Modelling_old[[#This Row],[Month]],$C$1:$C$14,$N$1:$N$14)/Modelling_old[[#This Row],[Total Days]]</f>
        <v>34.264516129032259</v>
      </c>
      <c r="K531" s="4">
        <f>SUM($J$506:J531)</f>
        <v>890.87741935483848</v>
      </c>
      <c r="L531" s="4">
        <f>SUM($J$384:J531)</f>
        <v>6354.0774193548305</v>
      </c>
      <c r="M531" s="4">
        <f t="shared" si="194"/>
        <v>4.1741935483870973</v>
      </c>
      <c r="N531" s="4">
        <f>SUM($M$506:M531)</f>
        <v>108.52903225806449</v>
      </c>
      <c r="O531" s="4">
        <f>SUM($M$384:M531)</f>
        <v>799.92903225806197</v>
      </c>
      <c r="P531" s="323">
        <f t="shared" si="195"/>
        <v>0.71360375310159307</v>
      </c>
      <c r="Q531" s="337">
        <f t="shared" si="196"/>
        <v>0.71360375310159307</v>
      </c>
      <c r="R531" s="337">
        <f t="shared" si="197"/>
        <v>0.69053571836290606</v>
      </c>
      <c r="S531" s="323">
        <f t="shared" si="198"/>
        <v>0.12411334092922872</v>
      </c>
      <c r="T531" s="9">
        <f>Modelling_old[[#This Row],[Target E_Grid MTD
MWh]]/Modelling_old[[#This Row],[DC Capcity]]/(24*CG531)</f>
        <v>0.12411334092922868</v>
      </c>
      <c r="U531" s="338">
        <f>Modelling_old[[#This Row],[Target E_Grid YTD
MWh]]/Modelling_old[[#This Row],[DC Capcity]]/(24*CH531)</f>
        <v>0.15551226602749579</v>
      </c>
      <c r="V531" s="134">
        <v>11.5031</v>
      </c>
      <c r="Y531" s="27">
        <f t="shared" si="187"/>
        <v>45530</v>
      </c>
      <c r="Z531" s="5">
        <f>MONTH(Modelling_new[[#This Row],[Date]])</f>
        <v>8</v>
      </c>
      <c r="AA531" s="25">
        <f>YEAR(Y531)+IF(MONTH(Modelling_new[[#This Row],[Date]])&gt;=4,1,0)</f>
        <v>2025</v>
      </c>
      <c r="AB531" s="3">
        <f t="shared" si="199"/>
        <v>2024</v>
      </c>
      <c r="AC531" s="3" t="s">
        <v>627</v>
      </c>
      <c r="AD531" s="3" t="s">
        <v>627</v>
      </c>
      <c r="AE531" s="102">
        <f>DATE(Modelling_old[[#This Row],[Calendor Year]],Modelling_old[[#This Row],[Start Month]],1)</f>
        <v>45505</v>
      </c>
      <c r="AF531" s="5">
        <f t="shared" si="200"/>
        <v>31</v>
      </c>
      <c r="AG531" s="5">
        <f t="shared" si="201"/>
        <v>8</v>
      </c>
      <c r="AH531" s="4">
        <f>_xlfn.XLOOKUP(Modelling_new[[#This Row],[Month]],$AA$1:$AA$14,$AL$1:$AL$14)/Modelling_new[[#This Row],[Total Days]]</f>
        <v>44.14257670993775</v>
      </c>
      <c r="AI531" s="4">
        <f>SUM($AH$506:AH531)</f>
        <v>1147.7069944583816</v>
      </c>
      <c r="AJ531" s="4">
        <f>SUM($AH$384:AH531)</f>
        <v>8325.8818800400077</v>
      </c>
      <c r="AK531" s="4">
        <f t="shared" si="202"/>
        <v>4.1741935483870973</v>
      </c>
      <c r="AL531" s="4">
        <f>SUM($AK$506:AK531)</f>
        <v>108.52903225806449</v>
      </c>
      <c r="AM531" s="4">
        <f>SUM($AK$384:AK531)</f>
        <v>799.92903225806197</v>
      </c>
      <c r="AN531" s="323">
        <f t="shared" si="203"/>
        <v>0.91932739669119101</v>
      </c>
      <c r="AO531" s="323">
        <f t="shared" si="204"/>
        <v>0.91932739669119146</v>
      </c>
      <c r="AP531" s="323">
        <f t="shared" si="205"/>
        <v>0.90482354016106625</v>
      </c>
      <c r="AQ531" s="323">
        <f t="shared" si="206"/>
        <v>0.15989377033849483</v>
      </c>
      <c r="AR531" s="323">
        <f>Modelling_new[[#This Row],[Target E_Grid MTD
MWh]]/Modelling_new[[#This Row],[MTD DC Capcity]]/(24*CG531)</f>
        <v>0.14369328356099526</v>
      </c>
      <c r="AS531" s="323">
        <f>Modelling_new[[#This Row],[Target E_Grid YTD
MWh]]/Modelling_new[[#This Row],[YTD DC Capcity]]/(24*CH531)</f>
        <v>0.18312486539361689</v>
      </c>
      <c r="AT531" s="5">
        <v>12.8</v>
      </c>
      <c r="AU531" s="9">
        <f>Modelling_new[[#This Row],[Comisined DC ]]/$AO$1</f>
        <v>1</v>
      </c>
      <c r="AV53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31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31" s="27">
        <f t="shared" si="188"/>
        <v>45530</v>
      </c>
      <c r="BE531" s="5">
        <f>MONTH(Modelling[[#This Row],[Date]])</f>
        <v>8</v>
      </c>
      <c r="BF531" s="25">
        <f>YEAR(BD531)+IF(MONTH(Modelling[[#This Row],[Date]])&gt;=4,1,0)</f>
        <v>2025</v>
      </c>
      <c r="BG531" s="3">
        <f t="shared" si="207"/>
        <v>2024</v>
      </c>
      <c r="BH531" s="3" t="s">
        <v>627</v>
      </c>
      <c r="BI531" s="3" t="s">
        <v>627</v>
      </c>
      <c r="BJ531" s="102">
        <f>DATE(Modelling_old[[#This Row],[Calendor Year]],Modelling_old[[#This Row],[Start Month]],1)</f>
        <v>45505</v>
      </c>
      <c r="BK531" s="5">
        <f t="shared" si="208"/>
        <v>31</v>
      </c>
      <c r="BL531" s="5">
        <f t="shared" si="209"/>
        <v>8</v>
      </c>
      <c r="BM531" s="4">
        <f>Modelling_old[[#This Row],[Target E_Grid daily
MWh]]+Modelling_new[[#This Row],[Target E_Grid daily
MWh]]</f>
        <v>78.407092838970016</v>
      </c>
      <c r="BN531" s="4">
        <f>Modelling_old[[#This Row],[Target E_Grid MTD
MWh]]+Modelling_new[[#This Row],[Target E_Grid MTD
MWh]]</f>
        <v>2038.5844138132202</v>
      </c>
      <c r="BO531" s="4">
        <f>Modelling_old[[#This Row],[Target E_Grid YTD
MWh]]+Modelling_new[[#This Row],[Target E_Grid YTD
MWh]]</f>
        <v>14679.959299394839</v>
      </c>
      <c r="BP531" s="4">
        <f>AVERAGE(Modelling_old[[#This Row],[Target POA Daily (KWh/m2)]],Modelling_new[[#This Row],[Target POA Daily (KWh/m2)]])</f>
        <v>4.1741935483870973</v>
      </c>
      <c r="BQ531" s="4">
        <f>SUM($BP$506:BP531)</f>
        <v>108.52903225806449</v>
      </c>
      <c r="BR531" s="4">
        <f>SUM($BP$384:BP531)</f>
        <v>799.92903225806197</v>
      </c>
      <c r="BS531" s="323">
        <f>BM531/Modelling[[#This Row],[Comisined DC ]]/BP531</f>
        <v>0.77289606302000058</v>
      </c>
      <c r="BT531" s="337">
        <f>BN531/BQ531/Modelling[[#This Row],[Comisined DC ]]</f>
        <v>0.7728960630200008</v>
      </c>
      <c r="BU531" s="337">
        <f>BO531/BR531/Modelling[[#This Row],[Comisined DC ]]</f>
        <v>0.75511260237282929</v>
      </c>
      <c r="BV531" s="323">
        <f>BM531/(24*Modelling[[#This Row],[Comisined DC ]])</f>
        <v>0.13442573999299476</v>
      </c>
      <c r="BW531" s="323">
        <f>Modelling[[#This Row],[Target E_Grid MTD
MWh]]/Modelling[[#This Row],[MTD DC Capcity]]/(24*CG531)</f>
        <v>0.13442573999299481</v>
      </c>
      <c r="BX531" s="338">
        <f>Modelling[[#This Row],[Target E_Grid YTD
MWh]]/Modelling[[#This Row],[YTD DC Capcity]]/(24*CH531)</f>
        <v>0.170055319048976</v>
      </c>
      <c r="BY531" s="4">
        <f>Modelling_old[[#This Row],[DC Capcity]]+Modelling_new[[#This Row],[Comisined DC ]]</f>
        <v>24.303100000000001</v>
      </c>
      <c r="BZ531" s="4">
        <v>0</v>
      </c>
      <c r="CA531">
        <f>AVERAGEIFS(Modelling[[Comisined DC ]],Modelling[Date],"&lt;="&amp;Modelling[[#This Row],[Date]],Modelling[Month Year],Modelling[[#This Row],[Month Year]])</f>
        <v>24.303099999999986</v>
      </c>
      <c r="CB531">
        <f>AVERAGEIFS(Modelling[[Comisined DC ]],Modelling[Date],"&lt;="&amp;Modelling[[#This Row],[Date]],Modelling[Finacial Year],Modelling[[#This Row],[Finacial Year]])</f>
        <v>24.303100000000054</v>
      </c>
      <c r="CG531">
        <f t="shared" si="210"/>
        <v>26</v>
      </c>
      <c r="CH531">
        <f t="shared" si="211"/>
        <v>148</v>
      </c>
    </row>
    <row r="532" spans="1:86" x14ac:dyDescent="0.35">
      <c r="A532" s="27">
        <f t="shared" si="189"/>
        <v>45531</v>
      </c>
      <c r="B532" s="5">
        <f>MONTH(Modelling_old[[#This Row],[Date]])</f>
        <v>8</v>
      </c>
      <c r="C532" s="25">
        <f t="shared" si="190"/>
        <v>2025</v>
      </c>
      <c r="D532" s="3">
        <f t="shared" si="191"/>
        <v>2024</v>
      </c>
      <c r="E532" s="3" t="s">
        <v>627</v>
      </c>
      <c r="F532" s="3" t="s">
        <v>627</v>
      </c>
      <c r="G532" s="102">
        <f>DATE(Modelling_old[[#This Row],[Calendor Year]],Modelling_old[[#This Row],[Start Month]],1)</f>
        <v>45505</v>
      </c>
      <c r="H532" s="5">
        <f t="shared" si="192"/>
        <v>31</v>
      </c>
      <c r="I532" s="5">
        <f t="shared" si="193"/>
        <v>8</v>
      </c>
      <c r="J532" s="4">
        <f>_xlfn.XLOOKUP(Modelling_old[[#This Row],[Month]],$C$1:$C$14,$N$1:$N$14)/Modelling_old[[#This Row],[Total Days]]</f>
        <v>34.264516129032259</v>
      </c>
      <c r="K532" s="4">
        <f>SUM($J$506:J532)</f>
        <v>925.14193548387072</v>
      </c>
      <c r="L532" s="4">
        <f>SUM($J$384:J532)</f>
        <v>6388.3419354838625</v>
      </c>
      <c r="M532" s="4">
        <f t="shared" si="194"/>
        <v>4.1741935483870973</v>
      </c>
      <c r="N532" s="4">
        <f>SUM($M$506:M532)</f>
        <v>112.70322580645158</v>
      </c>
      <c r="O532" s="4">
        <f>SUM($M$384:M532)</f>
        <v>804.10322580644902</v>
      </c>
      <c r="P532" s="323">
        <f t="shared" si="195"/>
        <v>0.71360375310159307</v>
      </c>
      <c r="Q532" s="337">
        <f t="shared" si="196"/>
        <v>0.7136037531015933</v>
      </c>
      <c r="R532" s="337">
        <f t="shared" si="197"/>
        <v>0.69065546721938365</v>
      </c>
      <c r="S532" s="323">
        <f t="shared" si="198"/>
        <v>0.12411334092922872</v>
      </c>
      <c r="T532" s="9">
        <f>Modelling_old[[#This Row],[Target E_Grid MTD
MWh]]/Modelling_old[[#This Row],[DC Capcity]]/(24*CG532)</f>
        <v>0.12411334092922868</v>
      </c>
      <c r="U532" s="338">
        <f>Modelling_old[[#This Row],[Target E_Grid YTD
MWh]]/Modelling_old[[#This Row],[DC Capcity]]/(24*CH532)</f>
        <v>0.15530153498656782</v>
      </c>
      <c r="V532" s="134">
        <v>11.5031</v>
      </c>
      <c r="Y532" s="27">
        <f t="shared" ref="Y532:Y595" si="212">Y531+1</f>
        <v>45531</v>
      </c>
      <c r="Z532" s="5">
        <f>MONTH(Modelling_new[[#This Row],[Date]])</f>
        <v>8</v>
      </c>
      <c r="AA532" s="25">
        <f>YEAR(Y532)+IF(MONTH(Modelling_new[[#This Row],[Date]])&gt;=4,1,0)</f>
        <v>2025</v>
      </c>
      <c r="AB532" s="3">
        <f t="shared" si="199"/>
        <v>2024</v>
      </c>
      <c r="AC532" s="3" t="s">
        <v>627</v>
      </c>
      <c r="AD532" s="3" t="s">
        <v>627</v>
      </c>
      <c r="AE532" s="102">
        <f>DATE(Modelling_old[[#This Row],[Calendor Year]],Modelling_old[[#This Row],[Start Month]],1)</f>
        <v>45505</v>
      </c>
      <c r="AF532" s="5">
        <f t="shared" si="200"/>
        <v>31</v>
      </c>
      <c r="AG532" s="5">
        <f t="shared" si="201"/>
        <v>8</v>
      </c>
      <c r="AH532" s="4">
        <f>_xlfn.XLOOKUP(Modelling_new[[#This Row],[Month]],$AA$1:$AA$14,$AL$1:$AL$14)/Modelling_new[[#This Row],[Total Days]]</f>
        <v>44.14257670993775</v>
      </c>
      <c r="AI532" s="4">
        <f>SUM($AH$506:AH532)</f>
        <v>1191.8495711683192</v>
      </c>
      <c r="AJ532" s="4">
        <f>SUM($AH$384:AH532)</f>
        <v>8370.0244567499449</v>
      </c>
      <c r="AK532" s="4">
        <f t="shared" si="202"/>
        <v>4.1741935483870973</v>
      </c>
      <c r="AL532" s="4">
        <f>SUM($AK$506:AK532)</f>
        <v>112.70322580645158</v>
      </c>
      <c r="AM532" s="4">
        <f>SUM($AK$384:AK532)</f>
        <v>804.10322580644902</v>
      </c>
      <c r="AN532" s="323">
        <f t="shared" si="203"/>
        <v>0.91932739669119101</v>
      </c>
      <c r="AO532" s="323">
        <f t="shared" si="204"/>
        <v>0.91932739669119146</v>
      </c>
      <c r="AP532" s="323">
        <f t="shared" si="205"/>
        <v>0.904898831370468</v>
      </c>
      <c r="AQ532" s="323">
        <f t="shared" si="206"/>
        <v>0.15989377033849483</v>
      </c>
      <c r="AR532" s="323">
        <f>Modelling_new[[#This Row],[Target E_Grid MTD
MWh]]/Modelling_new[[#This Row],[MTD DC Capcity]]/(24*CG532)</f>
        <v>0.14369328356099523</v>
      </c>
      <c r="AS532" s="323">
        <f>Modelling_new[[#This Row],[Target E_Grid YTD
MWh]]/Modelling_new[[#This Row],[YTD DC Capcity]]/(24*CH532)</f>
        <v>0.18286022390480736</v>
      </c>
      <c r="AT532" s="5">
        <v>12.8</v>
      </c>
      <c r="AU532" s="9">
        <f>Modelling_new[[#This Row],[Comisined DC ]]/$AO$1</f>
        <v>1</v>
      </c>
      <c r="AV53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32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32" s="27">
        <f t="shared" ref="BD532:BD595" si="213">BD531+1</f>
        <v>45531</v>
      </c>
      <c r="BE532" s="5">
        <f>MONTH(Modelling[[#This Row],[Date]])</f>
        <v>8</v>
      </c>
      <c r="BF532" s="25">
        <f>YEAR(BD532)+IF(MONTH(Modelling[[#This Row],[Date]])&gt;=4,1,0)</f>
        <v>2025</v>
      </c>
      <c r="BG532" s="3">
        <f t="shared" si="207"/>
        <v>2024</v>
      </c>
      <c r="BH532" s="3" t="s">
        <v>627</v>
      </c>
      <c r="BI532" s="3" t="s">
        <v>627</v>
      </c>
      <c r="BJ532" s="102">
        <f>DATE(Modelling_old[[#This Row],[Calendor Year]],Modelling_old[[#This Row],[Start Month]],1)</f>
        <v>45505</v>
      </c>
      <c r="BK532" s="5">
        <f t="shared" si="208"/>
        <v>31</v>
      </c>
      <c r="BL532" s="5">
        <f t="shared" si="209"/>
        <v>8</v>
      </c>
      <c r="BM532" s="4">
        <f>Modelling_old[[#This Row],[Target E_Grid daily
MWh]]+Modelling_new[[#This Row],[Target E_Grid daily
MWh]]</f>
        <v>78.407092838970016</v>
      </c>
      <c r="BN532" s="4">
        <f>Modelling_old[[#This Row],[Target E_Grid MTD
MWh]]+Modelling_new[[#This Row],[Target E_Grid MTD
MWh]]</f>
        <v>2116.9915066521899</v>
      </c>
      <c r="BO532" s="4">
        <f>Modelling_old[[#This Row],[Target E_Grid YTD
MWh]]+Modelling_new[[#This Row],[Target E_Grid YTD
MWh]]</f>
        <v>14758.366392233807</v>
      </c>
      <c r="BP532" s="4">
        <f>AVERAGE(Modelling_old[[#This Row],[Target POA Daily (KWh/m2)]],Modelling_new[[#This Row],[Target POA Daily (KWh/m2)]])</f>
        <v>4.1741935483870973</v>
      </c>
      <c r="BQ532" s="4">
        <f>SUM($BP$506:BP532)</f>
        <v>112.70322580645158</v>
      </c>
      <c r="BR532" s="4">
        <f>SUM($BP$384:BP532)</f>
        <v>804.10322580644902</v>
      </c>
      <c r="BS532" s="323">
        <f>BM532/Modelling[[#This Row],[Comisined DC ]]/BP532</f>
        <v>0.77289606302000058</v>
      </c>
      <c r="BT532" s="337">
        <f>BN532/BQ532/Modelling[[#This Row],[Comisined DC ]]</f>
        <v>0.77289606302000069</v>
      </c>
      <c r="BU532" s="337">
        <f>BO532/BR532/Modelling[[#This Row],[Comisined DC ]]</f>
        <v>0.7552049183893792</v>
      </c>
      <c r="BV532" s="323">
        <f>BM532/(24*Modelling[[#This Row],[Comisined DC ]])</f>
        <v>0.13442573999299476</v>
      </c>
      <c r="BW532" s="323">
        <f>Modelling[[#This Row],[Target E_Grid MTD
MWh]]/Modelling[[#This Row],[MTD DC Capcity]]/(24*CG532)</f>
        <v>0.13442573999299479</v>
      </c>
      <c r="BX532" s="338">
        <f>Modelling[[#This Row],[Target E_Grid YTD
MWh]]/Modelling[[#This Row],[YTD DC Capcity]]/(24*CH532)</f>
        <v>0.16981619435732509</v>
      </c>
      <c r="BY532" s="4">
        <f>Modelling_old[[#This Row],[DC Capcity]]+Modelling_new[[#This Row],[Comisined DC ]]</f>
        <v>24.303100000000001</v>
      </c>
      <c r="BZ532" s="4">
        <v>0</v>
      </c>
      <c r="CA532">
        <f>AVERAGEIFS(Modelling[[Comisined DC ]],Modelling[Date],"&lt;="&amp;Modelling[[#This Row],[Date]],Modelling[Month Year],Modelling[[#This Row],[Month Year]])</f>
        <v>24.303099999999986</v>
      </c>
      <c r="CB532">
        <f>AVERAGEIFS(Modelling[[Comisined DC ]],Modelling[Date],"&lt;="&amp;Modelling[[#This Row],[Date]],Modelling[Finacial Year],Modelling[[#This Row],[Finacial Year]])</f>
        <v>24.303100000000054</v>
      </c>
      <c r="CG532">
        <f t="shared" si="210"/>
        <v>27</v>
      </c>
      <c r="CH532">
        <f t="shared" si="211"/>
        <v>149</v>
      </c>
    </row>
    <row r="533" spans="1:86" x14ac:dyDescent="0.35">
      <c r="A533" s="27">
        <f t="shared" si="189"/>
        <v>45532</v>
      </c>
      <c r="B533" s="5">
        <f>MONTH(Modelling_old[[#This Row],[Date]])</f>
        <v>8</v>
      </c>
      <c r="C533" s="25">
        <f t="shared" si="190"/>
        <v>2025</v>
      </c>
      <c r="D533" s="3">
        <f t="shared" si="191"/>
        <v>2024</v>
      </c>
      <c r="E533" s="3" t="s">
        <v>627</v>
      </c>
      <c r="F533" s="3" t="s">
        <v>627</v>
      </c>
      <c r="G533" s="102">
        <f>DATE(Modelling_old[[#This Row],[Calendor Year]],Modelling_old[[#This Row],[Start Month]],1)</f>
        <v>45505</v>
      </c>
      <c r="H533" s="5">
        <f t="shared" si="192"/>
        <v>31</v>
      </c>
      <c r="I533" s="5">
        <f t="shared" si="193"/>
        <v>8</v>
      </c>
      <c r="J533" s="4">
        <f>_xlfn.XLOOKUP(Modelling_old[[#This Row],[Month]],$C$1:$C$14,$N$1:$N$14)/Modelling_old[[#This Row],[Total Days]]</f>
        <v>34.264516129032259</v>
      </c>
      <c r="K533" s="4">
        <f>SUM($J$506:J533)</f>
        <v>959.40645161290297</v>
      </c>
      <c r="L533" s="4">
        <f>SUM($J$384:J533)</f>
        <v>6422.6064516128945</v>
      </c>
      <c r="M533" s="4">
        <f t="shared" si="194"/>
        <v>4.1741935483870973</v>
      </c>
      <c r="N533" s="4">
        <f>SUM($M$506:M533)</f>
        <v>116.87741935483868</v>
      </c>
      <c r="O533" s="4">
        <f>SUM($M$384:M533)</f>
        <v>808.27741935483607</v>
      </c>
      <c r="P533" s="323">
        <f t="shared" si="195"/>
        <v>0.71360375310159307</v>
      </c>
      <c r="Q533" s="337">
        <f t="shared" si="196"/>
        <v>0.7136037531015933</v>
      </c>
      <c r="R533" s="337">
        <f t="shared" si="197"/>
        <v>0.69077397923590445</v>
      </c>
      <c r="S533" s="323">
        <f t="shared" si="198"/>
        <v>0.12411334092922872</v>
      </c>
      <c r="T533" s="9">
        <f>Modelling_old[[#This Row],[Target E_Grid MTD
MWh]]/Modelling_old[[#This Row],[DC Capcity]]/(24*CG533)</f>
        <v>0.12411334092922868</v>
      </c>
      <c r="U533" s="338">
        <f>Modelling_old[[#This Row],[Target E_Grid YTD
MWh]]/Modelling_old[[#This Row],[DC Capcity]]/(24*CH533)</f>
        <v>0.15509361369285221</v>
      </c>
      <c r="V533" s="134">
        <v>11.5031</v>
      </c>
      <c r="Y533" s="27">
        <f t="shared" si="212"/>
        <v>45532</v>
      </c>
      <c r="Z533" s="5">
        <f>MONTH(Modelling_new[[#This Row],[Date]])</f>
        <v>8</v>
      </c>
      <c r="AA533" s="25">
        <f>YEAR(Y533)+IF(MONTH(Modelling_new[[#This Row],[Date]])&gt;=4,1,0)</f>
        <v>2025</v>
      </c>
      <c r="AB533" s="3">
        <f t="shared" si="199"/>
        <v>2024</v>
      </c>
      <c r="AC533" s="3" t="s">
        <v>627</v>
      </c>
      <c r="AD533" s="3" t="s">
        <v>627</v>
      </c>
      <c r="AE533" s="102">
        <f>DATE(Modelling_old[[#This Row],[Calendor Year]],Modelling_old[[#This Row],[Start Month]],1)</f>
        <v>45505</v>
      </c>
      <c r="AF533" s="5">
        <f t="shared" si="200"/>
        <v>31</v>
      </c>
      <c r="AG533" s="5">
        <f t="shared" si="201"/>
        <v>8</v>
      </c>
      <c r="AH533" s="4">
        <f>_xlfn.XLOOKUP(Modelling_new[[#This Row],[Month]],$AA$1:$AA$14,$AL$1:$AL$14)/Modelling_new[[#This Row],[Total Days]]</f>
        <v>44.14257670993775</v>
      </c>
      <c r="AI533" s="4">
        <f>SUM($AH$506:AH533)</f>
        <v>1235.9921478782569</v>
      </c>
      <c r="AJ533" s="4">
        <f>SUM($AH$384:AH533)</f>
        <v>8414.1670334598821</v>
      </c>
      <c r="AK533" s="4">
        <f t="shared" si="202"/>
        <v>4.1741935483870973</v>
      </c>
      <c r="AL533" s="4">
        <f>SUM($AK$506:AK533)</f>
        <v>116.87741935483868</v>
      </c>
      <c r="AM533" s="4">
        <f>SUM($AK$384:AK533)</f>
        <v>808.27741935483607</v>
      </c>
      <c r="AN533" s="323">
        <f t="shared" si="203"/>
        <v>0.91932739669119101</v>
      </c>
      <c r="AO533" s="323">
        <f t="shared" si="204"/>
        <v>0.91932739669119123</v>
      </c>
      <c r="AP533" s="323">
        <f t="shared" si="205"/>
        <v>0.90497334492587855</v>
      </c>
      <c r="AQ533" s="323">
        <f t="shared" si="206"/>
        <v>0.15989377033849483</v>
      </c>
      <c r="AR533" s="323">
        <f>Modelling_new[[#This Row],[Target E_Grid MTD
MWh]]/Modelling_new[[#This Row],[MTD DC Capcity]]/(24*CG533)</f>
        <v>0.1436932835609952</v>
      </c>
      <c r="AS533" s="323">
        <f>Modelling_new[[#This Row],[Target E_Grid YTD
MWh]]/Modelling_new[[#This Row],[YTD DC Capcity]]/(24*CH533)</f>
        <v>0.18259911096918191</v>
      </c>
      <c r="AT533" s="5">
        <v>12.8</v>
      </c>
      <c r="AU533" s="9">
        <f>Modelling_new[[#This Row],[Comisined DC ]]/$AO$1</f>
        <v>1</v>
      </c>
      <c r="AV533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33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33" s="27">
        <f t="shared" si="213"/>
        <v>45532</v>
      </c>
      <c r="BE533" s="5">
        <f>MONTH(Modelling[[#This Row],[Date]])</f>
        <v>8</v>
      </c>
      <c r="BF533" s="25">
        <f>YEAR(BD533)+IF(MONTH(Modelling[[#This Row],[Date]])&gt;=4,1,0)</f>
        <v>2025</v>
      </c>
      <c r="BG533" s="3">
        <f t="shared" si="207"/>
        <v>2024</v>
      </c>
      <c r="BH533" s="3" t="s">
        <v>627</v>
      </c>
      <c r="BI533" s="3" t="s">
        <v>627</v>
      </c>
      <c r="BJ533" s="102">
        <f>DATE(Modelling_old[[#This Row],[Calendor Year]],Modelling_old[[#This Row],[Start Month]],1)</f>
        <v>45505</v>
      </c>
      <c r="BK533" s="5">
        <f t="shared" si="208"/>
        <v>31</v>
      </c>
      <c r="BL533" s="5">
        <f t="shared" si="209"/>
        <v>8</v>
      </c>
      <c r="BM533" s="4">
        <f>Modelling_old[[#This Row],[Target E_Grid daily
MWh]]+Modelling_new[[#This Row],[Target E_Grid daily
MWh]]</f>
        <v>78.407092838970016</v>
      </c>
      <c r="BN533" s="4">
        <f>Modelling_old[[#This Row],[Target E_Grid MTD
MWh]]+Modelling_new[[#This Row],[Target E_Grid MTD
MWh]]</f>
        <v>2195.39859949116</v>
      </c>
      <c r="BO533" s="4">
        <f>Modelling_old[[#This Row],[Target E_Grid YTD
MWh]]+Modelling_new[[#This Row],[Target E_Grid YTD
MWh]]</f>
        <v>14836.773485072776</v>
      </c>
      <c r="BP533" s="4">
        <f>AVERAGE(Modelling_old[[#This Row],[Target POA Daily (KWh/m2)]],Modelling_new[[#This Row],[Target POA Daily (KWh/m2)]])</f>
        <v>4.1741935483870973</v>
      </c>
      <c r="BQ533" s="4">
        <f>SUM($BP$506:BP533)</f>
        <v>116.87741935483868</v>
      </c>
      <c r="BR533" s="4">
        <f>SUM($BP$384:BP533)</f>
        <v>808.27741935483607</v>
      </c>
      <c r="BS533" s="323">
        <f>BM533/Modelling[[#This Row],[Comisined DC ]]/BP533</f>
        <v>0.77289606302000058</v>
      </c>
      <c r="BT533" s="337">
        <f>BN533/BQ533/Modelling[[#This Row],[Comisined DC ]]</f>
        <v>0.7728960630200008</v>
      </c>
      <c r="BU533" s="337">
        <f>BO533/BR533/Modelling[[#This Row],[Comisined DC ]]</f>
        <v>0.75529628090924217</v>
      </c>
      <c r="BV533" s="323">
        <f>BM533/(24*Modelling[[#This Row],[Comisined DC ]])</f>
        <v>0.13442573999299476</v>
      </c>
      <c r="BW533" s="323">
        <f>Modelling[[#This Row],[Target E_Grid MTD
MWh]]/Modelling[[#This Row],[MTD DC Capcity]]/(24*CG533)</f>
        <v>0.13442573999299481</v>
      </c>
      <c r="BX533" s="338">
        <f>Modelling[[#This Row],[Target E_Grid YTD
MWh]]/Modelling[[#This Row],[YTD DC Capcity]]/(24*CH533)</f>
        <v>0.16958025799489621</v>
      </c>
      <c r="BY533" s="4">
        <f>Modelling_old[[#This Row],[DC Capcity]]+Modelling_new[[#This Row],[Comisined DC ]]</f>
        <v>24.303100000000001</v>
      </c>
      <c r="BZ533" s="4">
        <v>0</v>
      </c>
      <c r="CA533">
        <f>AVERAGEIFS(Modelling[[Comisined DC ]],Modelling[Date],"&lt;="&amp;Modelling[[#This Row],[Date]],Modelling[Month Year],Modelling[[#This Row],[Month Year]])</f>
        <v>24.303099999999983</v>
      </c>
      <c r="CB533">
        <f>AVERAGEIFS(Modelling[[Comisined DC ]],Modelling[Date],"&lt;="&amp;Modelling[[#This Row],[Date]],Modelling[Finacial Year],Modelling[[#This Row],[Finacial Year]])</f>
        <v>24.303100000000054</v>
      </c>
      <c r="CG533">
        <f t="shared" si="210"/>
        <v>28</v>
      </c>
      <c r="CH533">
        <f t="shared" si="211"/>
        <v>150</v>
      </c>
    </row>
    <row r="534" spans="1:86" x14ac:dyDescent="0.35">
      <c r="A534" s="27">
        <f t="shared" si="189"/>
        <v>45533</v>
      </c>
      <c r="B534" s="5">
        <f>MONTH(Modelling_old[[#This Row],[Date]])</f>
        <v>8</v>
      </c>
      <c r="C534" s="25">
        <f t="shared" si="190"/>
        <v>2025</v>
      </c>
      <c r="D534" s="3">
        <f t="shared" si="191"/>
        <v>2024</v>
      </c>
      <c r="E534" s="3" t="s">
        <v>627</v>
      </c>
      <c r="F534" s="3" t="s">
        <v>627</v>
      </c>
      <c r="G534" s="102">
        <f>DATE(Modelling_old[[#This Row],[Calendor Year]],Modelling_old[[#This Row],[Start Month]],1)</f>
        <v>45505</v>
      </c>
      <c r="H534" s="5">
        <f t="shared" si="192"/>
        <v>31</v>
      </c>
      <c r="I534" s="5">
        <f t="shared" si="193"/>
        <v>8</v>
      </c>
      <c r="J534" s="4">
        <f>_xlfn.XLOOKUP(Modelling_old[[#This Row],[Month]],$C$1:$C$14,$N$1:$N$14)/Modelling_old[[#This Row],[Total Days]]</f>
        <v>34.264516129032259</v>
      </c>
      <c r="K534" s="4">
        <f>SUM($J$506:J534)</f>
        <v>993.67096774193521</v>
      </c>
      <c r="L534" s="4">
        <f>SUM($J$384:J534)</f>
        <v>6456.8709677419265</v>
      </c>
      <c r="M534" s="4">
        <f t="shared" si="194"/>
        <v>4.1741935483870973</v>
      </c>
      <c r="N534" s="4">
        <f>SUM($M$506:M534)</f>
        <v>121.05161290322577</v>
      </c>
      <c r="O534" s="4">
        <f>SUM($M$384:M534)</f>
        <v>812.45161290322312</v>
      </c>
      <c r="P534" s="323">
        <f t="shared" si="195"/>
        <v>0.71360375310159307</v>
      </c>
      <c r="Q534" s="337">
        <f t="shared" si="196"/>
        <v>0.7136037531015933</v>
      </c>
      <c r="R534" s="337">
        <f t="shared" si="197"/>
        <v>0.69089127347628487</v>
      </c>
      <c r="S534" s="323">
        <f t="shared" si="198"/>
        <v>0.12411334092922872</v>
      </c>
      <c r="T534" s="9">
        <f>Modelling_old[[#This Row],[Target E_Grid MTD
MWh]]/Modelling_old[[#This Row],[DC Capcity]]/(24*CG534)</f>
        <v>0.12411334092922868</v>
      </c>
      <c r="U534" s="338">
        <f>Modelling_old[[#This Row],[Target E_Grid YTD
MWh]]/Modelling_old[[#This Row],[DC Capcity]]/(24*CH534)</f>
        <v>0.15488844632355669</v>
      </c>
      <c r="V534" s="134">
        <v>11.5031</v>
      </c>
      <c r="Y534" s="27">
        <f t="shared" si="212"/>
        <v>45533</v>
      </c>
      <c r="Z534" s="5">
        <f>MONTH(Modelling_new[[#This Row],[Date]])</f>
        <v>8</v>
      </c>
      <c r="AA534" s="25">
        <f>YEAR(Y534)+IF(MONTH(Modelling_new[[#This Row],[Date]])&gt;=4,1,0)</f>
        <v>2025</v>
      </c>
      <c r="AB534" s="3">
        <f t="shared" si="199"/>
        <v>2024</v>
      </c>
      <c r="AC534" s="3" t="s">
        <v>627</v>
      </c>
      <c r="AD534" s="3" t="s">
        <v>627</v>
      </c>
      <c r="AE534" s="102">
        <f>DATE(Modelling_old[[#This Row],[Calendor Year]],Modelling_old[[#This Row],[Start Month]],1)</f>
        <v>45505</v>
      </c>
      <c r="AF534" s="5">
        <f t="shared" si="200"/>
        <v>31</v>
      </c>
      <c r="AG534" s="5">
        <f t="shared" si="201"/>
        <v>8</v>
      </c>
      <c r="AH534" s="4">
        <f>_xlfn.XLOOKUP(Modelling_new[[#This Row],[Month]],$AA$1:$AA$14,$AL$1:$AL$14)/Modelling_new[[#This Row],[Total Days]]</f>
        <v>44.14257670993775</v>
      </c>
      <c r="AI534" s="4">
        <f>SUM($AH$506:AH534)</f>
        <v>1280.1347245881946</v>
      </c>
      <c r="AJ534" s="4">
        <f>SUM($AH$384:AH534)</f>
        <v>8458.3096101698193</v>
      </c>
      <c r="AK534" s="4">
        <f t="shared" si="202"/>
        <v>4.1741935483870973</v>
      </c>
      <c r="AL534" s="4">
        <f>SUM($AK$506:AK534)</f>
        <v>121.05161290322577</v>
      </c>
      <c r="AM534" s="4">
        <f>SUM($AK$384:AK534)</f>
        <v>812.45161290322312</v>
      </c>
      <c r="AN534" s="323">
        <f t="shared" si="203"/>
        <v>0.91932739669119101</v>
      </c>
      <c r="AO534" s="323">
        <f t="shared" si="204"/>
        <v>0.91932739669119123</v>
      </c>
      <c r="AP534" s="323">
        <f t="shared" si="205"/>
        <v>0.90504709281353168</v>
      </c>
      <c r="AQ534" s="323">
        <f t="shared" si="206"/>
        <v>0.15989377033849483</v>
      </c>
      <c r="AR534" s="323">
        <f>Modelling_new[[#This Row],[Target E_Grid MTD
MWh]]/Modelling_new[[#This Row],[MTD DC Capcity]]/(24*CG534)</f>
        <v>0.1436932835609952</v>
      </c>
      <c r="AS534" s="323">
        <f>Modelling_new[[#This Row],[Target E_Grid YTD
MWh]]/Modelling_new[[#This Row],[YTD DC Capcity]]/(24*CH534)</f>
        <v>0.18234145648303496</v>
      </c>
      <c r="AT534" s="5">
        <v>12.8</v>
      </c>
      <c r="AU534" s="9">
        <f>Modelling_new[[#This Row],[Comisined DC ]]/$AO$1</f>
        <v>1</v>
      </c>
      <c r="AV534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34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34" s="27">
        <f t="shared" si="213"/>
        <v>45533</v>
      </c>
      <c r="BE534" s="5">
        <f>MONTH(Modelling[[#This Row],[Date]])</f>
        <v>8</v>
      </c>
      <c r="BF534" s="25">
        <f>YEAR(BD534)+IF(MONTH(Modelling[[#This Row],[Date]])&gt;=4,1,0)</f>
        <v>2025</v>
      </c>
      <c r="BG534" s="3">
        <f t="shared" si="207"/>
        <v>2024</v>
      </c>
      <c r="BH534" s="3" t="s">
        <v>627</v>
      </c>
      <c r="BI534" s="3" t="s">
        <v>627</v>
      </c>
      <c r="BJ534" s="102">
        <f>DATE(Modelling_old[[#This Row],[Calendor Year]],Modelling_old[[#This Row],[Start Month]],1)</f>
        <v>45505</v>
      </c>
      <c r="BK534" s="5">
        <f t="shared" si="208"/>
        <v>31</v>
      </c>
      <c r="BL534" s="5">
        <f t="shared" si="209"/>
        <v>8</v>
      </c>
      <c r="BM534" s="4">
        <f>Modelling_old[[#This Row],[Target E_Grid daily
MWh]]+Modelling_new[[#This Row],[Target E_Grid daily
MWh]]</f>
        <v>78.407092838970016</v>
      </c>
      <c r="BN534" s="4">
        <f>Modelling_old[[#This Row],[Target E_Grid MTD
MWh]]+Modelling_new[[#This Row],[Target E_Grid MTD
MWh]]</f>
        <v>2273.8056923301297</v>
      </c>
      <c r="BO534" s="4">
        <f>Modelling_old[[#This Row],[Target E_Grid YTD
MWh]]+Modelling_new[[#This Row],[Target E_Grid YTD
MWh]]</f>
        <v>14915.180577911746</v>
      </c>
      <c r="BP534" s="4">
        <f>AVERAGE(Modelling_old[[#This Row],[Target POA Daily (KWh/m2)]],Modelling_new[[#This Row],[Target POA Daily (KWh/m2)]])</f>
        <v>4.1741935483870973</v>
      </c>
      <c r="BQ534" s="4">
        <f>SUM($BP$506:BP534)</f>
        <v>121.05161290322577</v>
      </c>
      <c r="BR534" s="4">
        <f>SUM($BP$384:BP534)</f>
        <v>812.45161290322312</v>
      </c>
      <c r="BS534" s="323">
        <f>BM534/Modelling[[#This Row],[Comisined DC ]]/BP534</f>
        <v>0.77289606302000058</v>
      </c>
      <c r="BT534" s="337">
        <f>BN534/BQ534/Modelling[[#This Row],[Comisined DC ]]</f>
        <v>0.77289606302000069</v>
      </c>
      <c r="BU534" s="337">
        <f>BO534/BR534/Modelling[[#This Row],[Comisined DC ]]</f>
        <v>0.75538670462897273</v>
      </c>
      <c r="BV534" s="323">
        <f>BM534/(24*Modelling[[#This Row],[Comisined DC ]])</f>
        <v>0.13442573999299476</v>
      </c>
      <c r="BW534" s="323">
        <f>Modelling[[#This Row],[Target E_Grid MTD
MWh]]/Modelling[[#This Row],[MTD DC Capcity]]/(24*CG534)</f>
        <v>0.13442573999299479</v>
      </c>
      <c r="BX534" s="338">
        <f>Modelling[[#This Row],[Target E_Grid YTD
MWh]]/Modelling[[#This Row],[YTD DC Capcity]]/(24*CH534)</f>
        <v>0.16934744661740014</v>
      </c>
      <c r="BY534" s="4">
        <f>Modelling_old[[#This Row],[DC Capcity]]+Modelling_new[[#This Row],[Comisined DC ]]</f>
        <v>24.303100000000001</v>
      </c>
      <c r="BZ534" s="4">
        <v>0</v>
      </c>
      <c r="CA534">
        <f>AVERAGEIFS(Modelling[[Comisined DC ]],Modelling[Date],"&lt;="&amp;Modelling[[#This Row],[Date]],Modelling[Month Year],Modelling[[#This Row],[Month Year]])</f>
        <v>24.303099999999983</v>
      </c>
      <c r="CB534">
        <f>AVERAGEIFS(Modelling[[Comisined DC ]],Modelling[Date],"&lt;="&amp;Modelling[[#This Row],[Date]],Modelling[Finacial Year],Modelling[[#This Row],[Finacial Year]])</f>
        <v>24.303100000000057</v>
      </c>
      <c r="CG534">
        <f t="shared" si="210"/>
        <v>29</v>
      </c>
      <c r="CH534">
        <f t="shared" si="211"/>
        <v>151</v>
      </c>
    </row>
    <row r="535" spans="1:86" x14ac:dyDescent="0.35">
      <c r="A535" s="27">
        <f t="shared" si="189"/>
        <v>45534</v>
      </c>
      <c r="B535" s="5">
        <f>MONTH(Modelling_old[[#This Row],[Date]])</f>
        <v>8</v>
      </c>
      <c r="C535" s="25">
        <f t="shared" si="190"/>
        <v>2025</v>
      </c>
      <c r="D535" s="3">
        <f t="shared" si="191"/>
        <v>2024</v>
      </c>
      <c r="E535" s="3" t="s">
        <v>627</v>
      </c>
      <c r="F535" s="3" t="s">
        <v>627</v>
      </c>
      <c r="G535" s="102">
        <f>DATE(Modelling_old[[#This Row],[Calendor Year]],Modelling_old[[#This Row],[Start Month]],1)</f>
        <v>45505</v>
      </c>
      <c r="H535" s="5">
        <f t="shared" si="192"/>
        <v>31</v>
      </c>
      <c r="I535" s="5">
        <f t="shared" si="193"/>
        <v>8</v>
      </c>
      <c r="J535" s="4">
        <f>_xlfn.XLOOKUP(Modelling_old[[#This Row],[Month]],$C$1:$C$14,$N$1:$N$14)/Modelling_old[[#This Row],[Total Days]]</f>
        <v>34.264516129032259</v>
      </c>
      <c r="K535" s="4">
        <f>SUM($J$506:J535)</f>
        <v>1027.9354838709676</v>
      </c>
      <c r="L535" s="4">
        <f>SUM($J$384:J535)</f>
        <v>6491.1354838709585</v>
      </c>
      <c r="M535" s="4">
        <f t="shared" si="194"/>
        <v>4.1741935483870973</v>
      </c>
      <c r="N535" s="4">
        <f>SUM($M$506:M535)</f>
        <v>125.22580645161287</v>
      </c>
      <c r="O535" s="4">
        <f>SUM($M$384:M535)</f>
        <v>816.62580645161017</v>
      </c>
      <c r="P535" s="323">
        <f t="shared" si="195"/>
        <v>0.71360375310159307</v>
      </c>
      <c r="Q535" s="337">
        <f t="shared" si="196"/>
        <v>0.7136037531015933</v>
      </c>
      <c r="R535" s="337">
        <f t="shared" si="197"/>
        <v>0.69100736861456102</v>
      </c>
      <c r="S535" s="323">
        <f t="shared" si="198"/>
        <v>0.12411334092922872</v>
      </c>
      <c r="T535" s="9">
        <f>Modelling_old[[#This Row],[Target E_Grid MTD
MWh]]/Modelling_old[[#This Row],[DC Capcity]]/(24*CG535)</f>
        <v>0.1241133409292287</v>
      </c>
      <c r="U535" s="338">
        <f>Modelling_old[[#This Row],[Target E_Grid YTD
MWh]]/Modelling_old[[#This Row],[DC Capcity]]/(24*CH535)</f>
        <v>0.15468597852490978</v>
      </c>
      <c r="V535" s="134">
        <v>11.5031</v>
      </c>
      <c r="Y535" s="27">
        <f t="shared" si="212"/>
        <v>45534</v>
      </c>
      <c r="Z535" s="5">
        <f>MONTH(Modelling_new[[#This Row],[Date]])</f>
        <v>8</v>
      </c>
      <c r="AA535" s="25">
        <f>YEAR(Y535)+IF(MONTH(Modelling_new[[#This Row],[Date]])&gt;=4,1,0)</f>
        <v>2025</v>
      </c>
      <c r="AB535" s="3">
        <f t="shared" si="199"/>
        <v>2024</v>
      </c>
      <c r="AC535" s="3" t="s">
        <v>627</v>
      </c>
      <c r="AD535" s="3" t="s">
        <v>627</v>
      </c>
      <c r="AE535" s="102">
        <f>DATE(Modelling_old[[#This Row],[Calendor Year]],Modelling_old[[#This Row],[Start Month]],1)</f>
        <v>45505</v>
      </c>
      <c r="AF535" s="5">
        <f t="shared" si="200"/>
        <v>31</v>
      </c>
      <c r="AG535" s="5">
        <f t="shared" si="201"/>
        <v>8</v>
      </c>
      <c r="AH535" s="4">
        <f>_xlfn.XLOOKUP(Modelling_new[[#This Row],[Month]],$AA$1:$AA$14,$AL$1:$AL$14)/Modelling_new[[#This Row],[Total Days]]</f>
        <v>44.14257670993775</v>
      </c>
      <c r="AI535" s="4">
        <f>SUM($AH$506:AH535)</f>
        <v>1324.2773012981322</v>
      </c>
      <c r="AJ535" s="4">
        <f>SUM($AH$384:AH535)</f>
        <v>8502.4521868797565</v>
      </c>
      <c r="AK535" s="4">
        <f t="shared" si="202"/>
        <v>4.1741935483870973</v>
      </c>
      <c r="AL535" s="4">
        <f>SUM($AK$506:AK535)</f>
        <v>125.22580645161287</v>
      </c>
      <c r="AM535" s="4">
        <f>SUM($AK$384:AK535)</f>
        <v>816.62580645161017</v>
      </c>
      <c r="AN535" s="323">
        <f t="shared" si="203"/>
        <v>0.91932739669119101</v>
      </c>
      <c r="AO535" s="323">
        <f t="shared" si="204"/>
        <v>0.91932739669119123</v>
      </c>
      <c r="AP535" s="323">
        <f t="shared" si="205"/>
        <v>0.90512008677458977</v>
      </c>
      <c r="AQ535" s="323">
        <f t="shared" si="206"/>
        <v>0.15989377033849483</v>
      </c>
      <c r="AR535" s="323">
        <f>Modelling_new[[#This Row],[Target E_Grid MTD
MWh]]/Modelling_new[[#This Row],[MTD DC Capcity]]/(24*CG535)</f>
        <v>0.14369328356099517</v>
      </c>
      <c r="AS535" s="323">
        <f>Modelling_new[[#This Row],[Target E_Grid YTD
MWh]]/Modelling_new[[#This Row],[YTD DC Capcity]]/(24*CH535)</f>
        <v>0.18208719218749525</v>
      </c>
      <c r="AT535" s="5">
        <v>12.8</v>
      </c>
      <c r="AU535" s="9">
        <f>Modelling_new[[#This Row],[Comisined DC ]]/$AO$1</f>
        <v>1</v>
      </c>
      <c r="AV535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35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35" s="27">
        <f t="shared" si="213"/>
        <v>45534</v>
      </c>
      <c r="BE535" s="5">
        <f>MONTH(Modelling[[#This Row],[Date]])</f>
        <v>8</v>
      </c>
      <c r="BF535" s="25">
        <f>YEAR(BD535)+IF(MONTH(Modelling[[#This Row],[Date]])&gt;=4,1,0)</f>
        <v>2025</v>
      </c>
      <c r="BG535" s="3">
        <f t="shared" si="207"/>
        <v>2024</v>
      </c>
      <c r="BH535" s="3" t="s">
        <v>627</v>
      </c>
      <c r="BI535" s="3" t="s">
        <v>627</v>
      </c>
      <c r="BJ535" s="102">
        <f>DATE(Modelling_old[[#This Row],[Calendor Year]],Modelling_old[[#This Row],[Start Month]],1)</f>
        <v>45505</v>
      </c>
      <c r="BK535" s="5">
        <f t="shared" si="208"/>
        <v>31</v>
      </c>
      <c r="BL535" s="5">
        <f t="shared" si="209"/>
        <v>8</v>
      </c>
      <c r="BM535" s="4">
        <f>Modelling_old[[#This Row],[Target E_Grid daily
MWh]]+Modelling_new[[#This Row],[Target E_Grid daily
MWh]]</f>
        <v>78.407092838970016</v>
      </c>
      <c r="BN535" s="4">
        <f>Modelling_old[[#This Row],[Target E_Grid MTD
MWh]]+Modelling_new[[#This Row],[Target E_Grid MTD
MWh]]</f>
        <v>2352.2127851690998</v>
      </c>
      <c r="BO535" s="4">
        <f>Modelling_old[[#This Row],[Target E_Grid YTD
MWh]]+Modelling_new[[#This Row],[Target E_Grid YTD
MWh]]</f>
        <v>14993.587670750716</v>
      </c>
      <c r="BP535" s="4">
        <f>AVERAGE(Modelling_old[[#This Row],[Target POA Daily (KWh/m2)]],Modelling_new[[#This Row],[Target POA Daily (KWh/m2)]])</f>
        <v>4.1741935483870973</v>
      </c>
      <c r="BQ535" s="4">
        <f>SUM($BP$506:BP535)</f>
        <v>125.22580645161287</v>
      </c>
      <c r="BR535" s="4">
        <f>SUM($BP$384:BP535)</f>
        <v>816.62580645161017</v>
      </c>
      <c r="BS535" s="323">
        <f>BM535/Modelling[[#This Row],[Comisined DC ]]/BP535</f>
        <v>0.77289606302000058</v>
      </c>
      <c r="BT535" s="337">
        <f>BN535/BQ535/Modelling[[#This Row],[Comisined DC ]]</f>
        <v>0.77289606302000069</v>
      </c>
      <c r="BU535" s="337">
        <f>BO535/BR535/Modelling[[#This Row],[Comisined DC ]]</f>
        <v>0.75547620394463832</v>
      </c>
      <c r="BV535" s="323">
        <f>BM535/(24*Modelling[[#This Row],[Comisined DC ]])</f>
        <v>0.13442573999299476</v>
      </c>
      <c r="BW535" s="323">
        <f>Modelling[[#This Row],[Target E_Grid MTD
MWh]]/Modelling[[#This Row],[MTD DC Capcity]]/(24*CG535)</f>
        <v>0.13442573999299481</v>
      </c>
      <c r="BX535" s="338">
        <f>Modelling[[#This Row],[Target E_Grid YTD
MWh]]/Modelling[[#This Row],[YTD DC Capcity]]/(24*CH535)</f>
        <v>0.16911769854750272</v>
      </c>
      <c r="BY535" s="4">
        <f>Modelling_old[[#This Row],[DC Capcity]]+Modelling_new[[#This Row],[Comisined DC ]]</f>
        <v>24.303100000000001</v>
      </c>
      <c r="BZ535" s="4">
        <v>0</v>
      </c>
      <c r="CA535">
        <f>AVERAGEIFS(Modelling[[Comisined DC ]],Modelling[Date],"&lt;="&amp;Modelling[[#This Row],[Date]],Modelling[Month Year],Modelling[[#This Row],[Month Year]])</f>
        <v>24.303099999999983</v>
      </c>
      <c r="CB535">
        <f>AVERAGEIFS(Modelling[[Comisined DC ]],Modelling[Date],"&lt;="&amp;Modelling[[#This Row],[Date]],Modelling[Finacial Year],Modelling[[#This Row],[Finacial Year]])</f>
        <v>24.303100000000057</v>
      </c>
      <c r="CG535">
        <f t="shared" si="210"/>
        <v>30</v>
      </c>
      <c r="CH535">
        <f t="shared" si="211"/>
        <v>152</v>
      </c>
    </row>
    <row r="536" spans="1:86" x14ac:dyDescent="0.35">
      <c r="A536" s="27">
        <f t="shared" si="189"/>
        <v>45535</v>
      </c>
      <c r="B536" s="5">
        <f>MONTH(Modelling_old[[#This Row],[Date]])</f>
        <v>8</v>
      </c>
      <c r="C536" s="25">
        <f t="shared" si="190"/>
        <v>2025</v>
      </c>
      <c r="D536" s="3">
        <f t="shared" si="191"/>
        <v>2024</v>
      </c>
      <c r="E536" s="3" t="s">
        <v>627</v>
      </c>
      <c r="F536" s="3" t="s">
        <v>627</v>
      </c>
      <c r="G536" s="102">
        <f>DATE(Modelling_old[[#This Row],[Calendor Year]],Modelling_old[[#This Row],[Start Month]],1)</f>
        <v>45505</v>
      </c>
      <c r="H536" s="5">
        <f t="shared" si="192"/>
        <v>31</v>
      </c>
      <c r="I536" s="5">
        <f t="shared" si="193"/>
        <v>8</v>
      </c>
      <c r="J536" s="4">
        <f>_xlfn.XLOOKUP(Modelling_old[[#This Row],[Month]],$C$1:$C$14,$N$1:$N$14)/Modelling_old[[#This Row],[Total Days]]</f>
        <v>34.264516129032259</v>
      </c>
      <c r="K536" s="4">
        <f>SUM($J$506:J536)</f>
        <v>1062.1999999999998</v>
      </c>
      <c r="L536" s="4">
        <f>SUM($J$384:J536)</f>
        <v>6525.3999999999905</v>
      </c>
      <c r="M536" s="4">
        <f t="shared" si="194"/>
        <v>4.1741935483870973</v>
      </c>
      <c r="N536" s="4">
        <f>SUM($M$506:M536)</f>
        <v>129.39999999999998</v>
      </c>
      <c r="O536" s="4">
        <f>SUM($M$384:M536)</f>
        <v>820.79999999999723</v>
      </c>
      <c r="P536" s="323">
        <f t="shared" si="195"/>
        <v>0.71360375310159307</v>
      </c>
      <c r="Q536" s="337">
        <f t="shared" si="196"/>
        <v>0.7136037531015933</v>
      </c>
      <c r="R536" s="337">
        <f t="shared" si="197"/>
        <v>0.69112228294490052</v>
      </c>
      <c r="S536" s="323">
        <f t="shared" si="198"/>
        <v>0.12411334092922872</v>
      </c>
      <c r="T536" s="9">
        <f>Modelling_old[[#This Row],[Target E_Grid MTD
MWh]]/Modelling_old[[#This Row],[DC Capcity]]/(24*CG536)</f>
        <v>0.1241133409292287</v>
      </c>
      <c r="U536" s="338">
        <f>Modelling_old[[#This Row],[Target E_Grid YTD
MWh]]/Modelling_old[[#This Row],[DC Capcity]]/(24*CH536)</f>
        <v>0.15448615736415372</v>
      </c>
      <c r="V536" s="134">
        <v>11.5031</v>
      </c>
      <c r="Y536" s="27">
        <f t="shared" si="212"/>
        <v>45535</v>
      </c>
      <c r="Z536" s="5">
        <f>MONTH(Modelling_new[[#This Row],[Date]])</f>
        <v>8</v>
      </c>
      <c r="AA536" s="25">
        <f>YEAR(Y536)+IF(MONTH(Modelling_new[[#This Row],[Date]])&gt;=4,1,0)</f>
        <v>2025</v>
      </c>
      <c r="AB536" s="3">
        <f t="shared" si="199"/>
        <v>2024</v>
      </c>
      <c r="AC536" s="3" t="s">
        <v>627</v>
      </c>
      <c r="AD536" s="3" t="s">
        <v>627</v>
      </c>
      <c r="AE536" s="102">
        <f>DATE(Modelling_old[[#This Row],[Calendor Year]],Modelling_old[[#This Row],[Start Month]],1)</f>
        <v>45505</v>
      </c>
      <c r="AF536" s="5">
        <f t="shared" si="200"/>
        <v>31</v>
      </c>
      <c r="AG536" s="5">
        <f t="shared" si="201"/>
        <v>8</v>
      </c>
      <c r="AH536" s="4">
        <f>_xlfn.XLOOKUP(Modelling_new[[#This Row],[Month]],$AA$1:$AA$14,$AL$1:$AL$14)/Modelling_new[[#This Row],[Total Days]]</f>
        <v>44.14257670993775</v>
      </c>
      <c r="AI536" s="4">
        <f>SUM($AH$506:AH536)</f>
        <v>1368.4198780080699</v>
      </c>
      <c r="AJ536" s="4">
        <f>SUM($AH$384:AH536)</f>
        <v>8546.5947635896937</v>
      </c>
      <c r="AK536" s="4">
        <f t="shared" si="202"/>
        <v>4.1741935483870973</v>
      </c>
      <c r="AL536" s="4">
        <f>SUM($AK$506:AK536)</f>
        <v>129.39999999999998</v>
      </c>
      <c r="AM536" s="4">
        <f>SUM($AK$384:AK536)</f>
        <v>820.79999999999723</v>
      </c>
      <c r="AN536" s="323">
        <f t="shared" si="203"/>
        <v>0.91932739669119101</v>
      </c>
      <c r="AO536" s="323">
        <f t="shared" si="204"/>
        <v>0.91932739669119112</v>
      </c>
      <c r="AP536" s="323">
        <f t="shared" si="205"/>
        <v>0.90519233831137558</v>
      </c>
      <c r="AQ536" s="323">
        <f t="shared" si="206"/>
        <v>0.15989377033849483</v>
      </c>
      <c r="AR536" s="323">
        <f>Modelling_new[[#This Row],[Target E_Grid MTD
MWh]]/Modelling_new[[#This Row],[MTD DC Capcity]]/(24*CG536)</f>
        <v>0.14369328356099517</v>
      </c>
      <c r="AS536" s="323">
        <f>Modelling_new[[#This Row],[Target E_Grid YTD
MWh]]/Modelling_new[[#This Row],[YTD DC Capcity]]/(24*CH536)</f>
        <v>0.18183625160823705</v>
      </c>
      <c r="AT536" s="5">
        <v>12.8</v>
      </c>
      <c r="AU536" s="9">
        <f>Modelling_new[[#This Row],[Comisined DC ]]/$AO$1</f>
        <v>1</v>
      </c>
      <c r="AV536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36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36" s="27">
        <f t="shared" si="213"/>
        <v>45535</v>
      </c>
      <c r="BE536" s="5">
        <f>MONTH(Modelling[[#This Row],[Date]])</f>
        <v>8</v>
      </c>
      <c r="BF536" s="25">
        <f>YEAR(BD536)+IF(MONTH(Modelling[[#This Row],[Date]])&gt;=4,1,0)</f>
        <v>2025</v>
      </c>
      <c r="BG536" s="3">
        <f t="shared" si="207"/>
        <v>2024</v>
      </c>
      <c r="BH536" s="3" t="s">
        <v>627</v>
      </c>
      <c r="BI536" s="3" t="s">
        <v>627</v>
      </c>
      <c r="BJ536" s="102">
        <f>DATE(Modelling_old[[#This Row],[Calendor Year]],Modelling_old[[#This Row],[Start Month]],1)</f>
        <v>45505</v>
      </c>
      <c r="BK536" s="5">
        <f t="shared" si="208"/>
        <v>31</v>
      </c>
      <c r="BL536" s="5">
        <f t="shared" si="209"/>
        <v>8</v>
      </c>
      <c r="BM536" s="4">
        <f>Modelling_old[[#This Row],[Target E_Grid daily
MWh]]+Modelling_new[[#This Row],[Target E_Grid daily
MWh]]</f>
        <v>78.407092838970016</v>
      </c>
      <c r="BN536" s="4">
        <f>Modelling_old[[#This Row],[Target E_Grid MTD
MWh]]+Modelling_new[[#This Row],[Target E_Grid MTD
MWh]]</f>
        <v>2430.6198780080695</v>
      </c>
      <c r="BO536" s="4">
        <f>Modelling_old[[#This Row],[Target E_Grid YTD
MWh]]+Modelling_new[[#This Row],[Target E_Grid YTD
MWh]]</f>
        <v>15071.994763589684</v>
      </c>
      <c r="BP536" s="4">
        <f>AVERAGE(Modelling_old[[#This Row],[Target POA Daily (KWh/m2)]],Modelling_new[[#This Row],[Target POA Daily (KWh/m2)]])</f>
        <v>4.1741935483870973</v>
      </c>
      <c r="BQ536" s="4">
        <f>SUM($BP$506:BP536)</f>
        <v>129.39999999999998</v>
      </c>
      <c r="BR536" s="4">
        <f>SUM($BP$384:BP536)</f>
        <v>820.79999999999723</v>
      </c>
      <c r="BS536" s="323">
        <f>BM536/Modelling[[#This Row],[Comisined DC ]]/BP536</f>
        <v>0.77289606302000058</v>
      </c>
      <c r="BT536" s="337">
        <f>BN536/BQ536/Modelling[[#This Row],[Comisined DC ]]</f>
        <v>0.77289606302000047</v>
      </c>
      <c r="BU536" s="337">
        <f>BO536/BR536/Modelling[[#This Row],[Comisined DC ]]</f>
        <v>0.75556479295946077</v>
      </c>
      <c r="BV536" s="323">
        <f>BM536/(24*Modelling[[#This Row],[Comisined DC ]])</f>
        <v>0.13442573999299476</v>
      </c>
      <c r="BW536" s="323">
        <f>Modelling[[#This Row],[Target E_Grid MTD
MWh]]/Modelling[[#This Row],[MTD DC Capcity]]/(24*CG536)</f>
        <v>0.13442573999299479</v>
      </c>
      <c r="BX536" s="338">
        <f>Modelling[[#This Row],[Target E_Grid YTD
MWh]]/Modelling[[#This Row],[YTD DC Capcity]]/(24*CH536)</f>
        <v>0.16889095372034904</v>
      </c>
      <c r="BY536" s="4">
        <f>Modelling_old[[#This Row],[DC Capcity]]+Modelling_new[[#This Row],[Comisined DC ]]</f>
        <v>24.303100000000001</v>
      </c>
      <c r="BZ536" s="4">
        <v>0</v>
      </c>
      <c r="CA536">
        <f>AVERAGEIFS(Modelling[[Comisined DC ]],Modelling[Date],"&lt;="&amp;Modelling[[#This Row],[Date]],Modelling[Month Year],Modelling[[#This Row],[Month Year]])</f>
        <v>24.303099999999983</v>
      </c>
      <c r="CB536">
        <f>AVERAGEIFS(Modelling[[Comisined DC ]],Modelling[Date],"&lt;="&amp;Modelling[[#This Row],[Date]],Modelling[Finacial Year],Modelling[[#This Row],[Finacial Year]])</f>
        <v>24.303100000000057</v>
      </c>
      <c r="CG536">
        <f t="shared" si="210"/>
        <v>31</v>
      </c>
      <c r="CH536">
        <f t="shared" si="211"/>
        <v>153</v>
      </c>
    </row>
    <row r="537" spans="1:86" x14ac:dyDescent="0.35">
      <c r="A537" s="27">
        <f t="shared" si="189"/>
        <v>45536</v>
      </c>
      <c r="B537" s="5">
        <f>MONTH(Modelling_old[[#This Row],[Date]])</f>
        <v>9</v>
      </c>
      <c r="C537" s="25">
        <f t="shared" si="190"/>
        <v>2025</v>
      </c>
      <c r="D537" s="3">
        <f t="shared" si="191"/>
        <v>2024</v>
      </c>
      <c r="E537" s="3" t="s">
        <v>627</v>
      </c>
      <c r="F537" s="3" t="s">
        <v>627</v>
      </c>
      <c r="G537" s="102">
        <f>DATE(Modelling_old[[#This Row],[Calendor Year]],Modelling_old[[#This Row],[Start Month]],1)</f>
        <v>45536</v>
      </c>
      <c r="H537" s="5">
        <f t="shared" si="192"/>
        <v>30</v>
      </c>
      <c r="I537" s="5">
        <f t="shared" si="193"/>
        <v>9</v>
      </c>
      <c r="J537" s="4">
        <f>_xlfn.XLOOKUP(Modelling_old[[#This Row],[Month]],$C$1:$C$14,$N$1:$N$14)/Modelling_old[[#This Row],[Total Days]]</f>
        <v>40.119999999999997</v>
      </c>
      <c r="K537" s="4">
        <f>SUM($J$537:J537)</f>
        <v>40.119999999999997</v>
      </c>
      <c r="L537" s="4">
        <f>SUM($J$384:J537)</f>
        <v>6565.5199999999904</v>
      </c>
      <c r="M537" s="4">
        <f t="shared" si="194"/>
        <v>4.9333333333333336</v>
      </c>
      <c r="N537" s="4">
        <f>SUM($M$537:M537)</f>
        <v>4.9333333333333336</v>
      </c>
      <c r="O537" s="4">
        <f>SUM($M$384:M537)</f>
        <v>825.73333333333051</v>
      </c>
      <c r="P537" s="323">
        <f t="shared" si="195"/>
        <v>0.70697746106983606</v>
      </c>
      <c r="Q537" s="337">
        <f t="shared" si="196"/>
        <v>0.70697746106983606</v>
      </c>
      <c r="R537" s="337">
        <f t="shared" si="197"/>
        <v>0.69121700950563403</v>
      </c>
      <c r="S537" s="323">
        <f t="shared" si="198"/>
        <v>0.14532314477546632</v>
      </c>
      <c r="T537" s="9">
        <f>Modelling_old[[#This Row],[Target E_Grid MTD
MWh]]/Modelling_old[[#This Row],[DC Capcity]]/(24*CG537)</f>
        <v>0.14532314477546632</v>
      </c>
      <c r="U537" s="338">
        <f>Modelling_old[[#This Row],[Target E_Grid YTD
MWh]]/Modelling_old[[#This Row],[DC Capcity]]/(24*CH537)</f>
        <v>0.15442665728240901</v>
      </c>
      <c r="V537" s="134">
        <v>11.5031</v>
      </c>
      <c r="Y537" s="27">
        <f t="shared" si="212"/>
        <v>45536</v>
      </c>
      <c r="Z537" s="5">
        <f>MONTH(Modelling_new[[#This Row],[Date]])</f>
        <v>9</v>
      </c>
      <c r="AA537" s="25">
        <f>YEAR(Y537)+IF(MONTH(Modelling_new[[#This Row],[Date]])&gt;=4,1,0)</f>
        <v>2025</v>
      </c>
      <c r="AB537" s="3">
        <f t="shared" si="199"/>
        <v>2024</v>
      </c>
      <c r="AC537" s="3" t="s">
        <v>627</v>
      </c>
      <c r="AD537" s="3" t="s">
        <v>627</v>
      </c>
      <c r="AE537" s="102">
        <f>DATE(Modelling_old[[#This Row],[Calendor Year]],Modelling_old[[#This Row],[Start Month]],1)</f>
        <v>45536</v>
      </c>
      <c r="AF537" s="5">
        <f t="shared" si="200"/>
        <v>30</v>
      </c>
      <c r="AG537" s="5">
        <f t="shared" si="201"/>
        <v>9</v>
      </c>
      <c r="AH537" s="4">
        <f>_xlfn.XLOOKUP(Modelling_new[[#This Row],[Month]],$AA$1:$AA$14,$AL$1:$AL$14)/Modelling_new[[#This Row],[Total Days]]</f>
        <v>53.495789921985406</v>
      </c>
      <c r="AI537" s="4">
        <f>SUM($AH$537:AH537)</f>
        <v>53.495789921985406</v>
      </c>
      <c r="AJ537" s="4">
        <f>SUM($AH$384:AH537)</f>
        <v>8600.0905535116799</v>
      </c>
      <c r="AK537" s="4">
        <f t="shared" si="202"/>
        <v>4.9333333333333336</v>
      </c>
      <c r="AL537" s="4">
        <f>SUM($AK$537:AK537)</f>
        <v>4.9333333333333336</v>
      </c>
      <c r="AM537" s="4">
        <f>SUM($AK$384:AK537)</f>
        <v>825.73333333333051</v>
      </c>
      <c r="AN537" s="323">
        <f t="shared" si="203"/>
        <v>0.94267990371312482</v>
      </c>
      <c r="AO537" s="323">
        <f t="shared" si="204"/>
        <v>0.94267990371312482</v>
      </c>
      <c r="AP537" s="323">
        <f t="shared" si="205"/>
        <v>0.905416307295691</v>
      </c>
      <c r="AQ537" s="323">
        <f t="shared" si="206"/>
        <v>0.19377309131880904</v>
      </c>
      <c r="AR537" s="323">
        <f>Modelling_new[[#This Row],[Target E_Grid MTD
MWh]]/Modelling_new[[#This Row],[MTD DC Capcity]]/(24*CG537)</f>
        <v>0.17413994115229622</v>
      </c>
      <c r="AS537" s="323">
        <f>Modelling_new[[#This Row],[Target E_Grid YTD
MWh]]/Modelling_new[[#This Row],[YTD DC Capcity]]/(24*CH537)</f>
        <v>0.18178627556631541</v>
      </c>
      <c r="AT537" s="5">
        <v>12.8</v>
      </c>
      <c r="AU537" s="9">
        <f>Modelling_new[[#This Row],[Comisined DC ]]/$AO$1</f>
        <v>1</v>
      </c>
      <c r="AV53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37" s="5">
        <f>AVERAGEIFS(Modelling_new[[Comisined DC ]],Modelling_new[Date],"&lt;="&amp;Modelling_new[[#This Row],[Date]],Modelling_new[[Comisined DC ]],"&gt;"&amp;0,Modelling_new[Finacial Year],Modelling_new[[#This Row],[Finacial Year]])</f>
        <v>12.799999999999967</v>
      </c>
      <c r="BD537" s="27">
        <f t="shared" si="213"/>
        <v>45536</v>
      </c>
      <c r="BE537" s="5">
        <f>MONTH(Modelling[[#This Row],[Date]])</f>
        <v>9</v>
      </c>
      <c r="BF537" s="25">
        <f>YEAR(BD537)+IF(MONTH(Modelling[[#This Row],[Date]])&gt;=4,1,0)</f>
        <v>2025</v>
      </c>
      <c r="BG537" s="3">
        <f t="shared" si="207"/>
        <v>2024</v>
      </c>
      <c r="BH537" s="3" t="s">
        <v>627</v>
      </c>
      <c r="BI537" s="3" t="s">
        <v>627</v>
      </c>
      <c r="BJ537" s="102">
        <f>DATE(Modelling_old[[#This Row],[Calendor Year]],Modelling_old[[#This Row],[Start Month]],1)</f>
        <v>45536</v>
      </c>
      <c r="BK537" s="5">
        <f t="shared" si="208"/>
        <v>30</v>
      </c>
      <c r="BL537" s="5">
        <f t="shared" si="209"/>
        <v>9</v>
      </c>
      <c r="BM537" s="4">
        <f>Modelling_old[[#This Row],[Target E_Grid daily
MWh]]+Modelling_new[[#This Row],[Target E_Grid daily
MWh]]</f>
        <v>93.615789921985396</v>
      </c>
      <c r="BN537" s="4">
        <f>Modelling_old[[#This Row],[Target E_Grid MTD
MWh]]+Modelling_new[[#This Row],[Target E_Grid MTD
MWh]]</f>
        <v>93.615789921985396</v>
      </c>
      <c r="BO537" s="4">
        <f>Modelling_old[[#This Row],[Target E_Grid YTD
MWh]]+Modelling_new[[#This Row],[Target E_Grid YTD
MWh]]</f>
        <v>15165.610553511669</v>
      </c>
      <c r="BP537" s="4">
        <f>AVERAGE(Modelling_old[[#This Row],[Target POA Daily (KWh/m2)]],Modelling_new[[#This Row],[Target POA Daily (KWh/m2)]])</f>
        <v>4.9333333333333336</v>
      </c>
      <c r="BQ537" s="4">
        <f>SUM($BP$537:BP537)</f>
        <v>4.9333333333333336</v>
      </c>
      <c r="BR537" s="4">
        <f>SUM($BP$384:BP537)</f>
        <v>825.73333333333051</v>
      </c>
      <c r="BS537" s="323">
        <f>BM537/Modelling[[#This Row],[Comisined DC ]]/BP537</f>
        <v>0.78081288530413306</v>
      </c>
      <c r="BT537" s="337">
        <f>BN537/BQ537/Modelling[[#This Row],[Comisined DC ]]</f>
        <v>0.78081288530413295</v>
      </c>
      <c r="BU537" s="337">
        <f>BO537/BR537/Modelling[[#This Row],[Comisined DC ]]</f>
        <v>0.7557156373671392</v>
      </c>
      <c r="BV537" s="323">
        <f>BM537/(24*Modelling[[#This Row],[Comisined DC ]])</f>
        <v>0.16050042642362736</v>
      </c>
      <c r="BW537" s="323">
        <f>Modelling[[#This Row],[Target E_Grid MTD
MWh]]/Modelling[[#This Row],[MTD DC Capcity]]/(24*CG537)</f>
        <v>0.16050042642362736</v>
      </c>
      <c r="BX537" s="338">
        <f>Modelling[[#This Row],[Target E_Grid YTD
MWh]]/Modelling[[#This Row],[YTD DC Capcity]]/(24*CH537)</f>
        <v>0.16883646977686387</v>
      </c>
      <c r="BY537" s="4">
        <f>Modelling_old[[#This Row],[DC Capcity]]+Modelling_new[[#This Row],[Comisined DC ]]</f>
        <v>24.303100000000001</v>
      </c>
      <c r="BZ537" s="4">
        <v>0</v>
      </c>
      <c r="CA537">
        <f>AVERAGEIFS(Modelling[[Comisined DC ]],Modelling[Date],"&lt;="&amp;Modelling[[#This Row],[Date]],Modelling[Month Year],Modelling[[#This Row],[Month Year]])</f>
        <v>24.303100000000001</v>
      </c>
      <c r="CB537">
        <f>AVERAGEIFS(Modelling[[Comisined DC ]],Modelling[Date],"&lt;="&amp;Modelling[[#This Row],[Date]],Modelling[Finacial Year],Modelling[[#This Row],[Finacial Year]])</f>
        <v>24.303100000000057</v>
      </c>
      <c r="CG537">
        <v>1</v>
      </c>
      <c r="CH537">
        <f t="shared" si="211"/>
        <v>154</v>
      </c>
    </row>
    <row r="538" spans="1:86" x14ac:dyDescent="0.35">
      <c r="A538" s="27">
        <f t="shared" si="189"/>
        <v>45537</v>
      </c>
      <c r="B538" s="5">
        <f>MONTH(Modelling_old[[#This Row],[Date]])</f>
        <v>9</v>
      </c>
      <c r="C538" s="25">
        <f t="shared" si="190"/>
        <v>2025</v>
      </c>
      <c r="D538" s="3">
        <f t="shared" si="191"/>
        <v>2024</v>
      </c>
      <c r="E538" s="3" t="s">
        <v>627</v>
      </c>
      <c r="F538" s="3" t="s">
        <v>627</v>
      </c>
      <c r="G538" s="102">
        <f>DATE(Modelling_old[[#This Row],[Calendor Year]],Modelling_old[[#This Row],[Start Month]],1)</f>
        <v>45536</v>
      </c>
      <c r="H538" s="5">
        <f t="shared" si="192"/>
        <v>30</v>
      </c>
      <c r="I538" s="5">
        <f t="shared" si="193"/>
        <v>9</v>
      </c>
      <c r="J538" s="4">
        <f>_xlfn.XLOOKUP(Modelling_old[[#This Row],[Month]],$C$1:$C$14,$N$1:$N$14)/Modelling_old[[#This Row],[Total Days]]</f>
        <v>40.119999999999997</v>
      </c>
      <c r="K538" s="4">
        <f>SUM($J$537:J538)</f>
        <v>80.239999999999995</v>
      </c>
      <c r="L538" s="4">
        <f>SUM($J$384:J538)</f>
        <v>6605.6399999999903</v>
      </c>
      <c r="M538" s="4">
        <f t="shared" si="194"/>
        <v>4.9333333333333336</v>
      </c>
      <c r="N538" s="4">
        <f>SUM($M$537:M538)</f>
        <v>9.8666666666666671</v>
      </c>
      <c r="O538" s="4">
        <f>SUM($M$384:M538)</f>
        <v>830.66666666666379</v>
      </c>
      <c r="P538" s="323">
        <f t="shared" si="195"/>
        <v>0.70697746106983606</v>
      </c>
      <c r="Q538" s="337">
        <f t="shared" si="196"/>
        <v>0.70697746106983606</v>
      </c>
      <c r="R538" s="337">
        <f t="shared" si="197"/>
        <v>0.69131061090336687</v>
      </c>
      <c r="S538" s="323">
        <f t="shared" si="198"/>
        <v>0.14532314477546632</v>
      </c>
      <c r="T538" s="9">
        <f>Modelling_old[[#This Row],[Target E_Grid MTD
MWh]]/Modelling_old[[#This Row],[DC Capcity]]/(24*CG538)</f>
        <v>0.14532314477546632</v>
      </c>
      <c r="U538" s="338">
        <f>Modelling_old[[#This Row],[Target E_Grid YTD
MWh]]/Modelling_old[[#This Row],[DC Capcity]]/(24*CH538)</f>
        <v>0.15436792494365453</v>
      </c>
      <c r="V538" s="134">
        <v>11.5031</v>
      </c>
      <c r="Y538" s="27">
        <f t="shared" si="212"/>
        <v>45537</v>
      </c>
      <c r="Z538" s="5">
        <f>MONTH(Modelling_new[[#This Row],[Date]])</f>
        <v>9</v>
      </c>
      <c r="AA538" s="25">
        <f>YEAR(Y538)+IF(MONTH(Modelling_new[[#This Row],[Date]])&gt;=4,1,0)</f>
        <v>2025</v>
      </c>
      <c r="AB538" s="3">
        <f t="shared" si="199"/>
        <v>2024</v>
      </c>
      <c r="AC538" s="3" t="s">
        <v>627</v>
      </c>
      <c r="AD538" s="3" t="s">
        <v>627</v>
      </c>
      <c r="AE538" s="102">
        <f>DATE(Modelling_old[[#This Row],[Calendor Year]],Modelling_old[[#This Row],[Start Month]],1)</f>
        <v>45536</v>
      </c>
      <c r="AF538" s="5">
        <f t="shared" si="200"/>
        <v>30</v>
      </c>
      <c r="AG538" s="5">
        <f t="shared" si="201"/>
        <v>9</v>
      </c>
      <c r="AH538" s="4">
        <f>_xlfn.XLOOKUP(Modelling_new[[#This Row],[Month]],$AA$1:$AA$14,$AL$1:$AL$14)/Modelling_new[[#This Row],[Total Days]]</f>
        <v>53.495789921985406</v>
      </c>
      <c r="AI538" s="4">
        <f>SUM($AH$537:AH538)</f>
        <v>106.99157984397081</v>
      </c>
      <c r="AJ538" s="4">
        <f>SUM($AH$384:AH538)</f>
        <v>8653.5863434336661</v>
      </c>
      <c r="AK538" s="4">
        <f t="shared" si="202"/>
        <v>4.9333333333333336</v>
      </c>
      <c r="AL538" s="4">
        <f>SUM($AK$537:AK538)</f>
        <v>9.8666666666666671</v>
      </c>
      <c r="AM538" s="4">
        <f>SUM($AK$384:AK538)</f>
        <v>830.66666666666379</v>
      </c>
      <c r="AN538" s="323">
        <f t="shared" si="203"/>
        <v>0.94267990371312482</v>
      </c>
      <c r="AO538" s="323">
        <f t="shared" si="204"/>
        <v>0.94267990371312482</v>
      </c>
      <c r="AP538" s="323">
        <f t="shared" si="205"/>
        <v>0.90563761597425374</v>
      </c>
      <c r="AQ538" s="323">
        <f t="shared" si="206"/>
        <v>0.19377309131880904</v>
      </c>
      <c r="AR538" s="323">
        <f>Modelling_new[[#This Row],[Target E_Grid MTD
MWh]]/Modelling_new[[#This Row],[MTD DC Capcity]]/(24*CG538)</f>
        <v>0.17413994115229622</v>
      </c>
      <c r="AS538" s="323">
        <f>Modelling_new[[#This Row],[Target E_Grid YTD
MWh]]/Modelling_new[[#This Row],[YTD DC Capcity]]/(24*CH538)</f>
        <v>0.18173694437654758</v>
      </c>
      <c r="AT538" s="5">
        <v>12.8</v>
      </c>
      <c r="AU538" s="9">
        <f>Modelling_new[[#This Row],[Comisined DC ]]/$AO$1</f>
        <v>1</v>
      </c>
      <c r="AV53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38" s="5">
        <f>AVERAGEIFS(Modelling_new[[Comisined DC ]],Modelling_new[Date],"&lt;="&amp;Modelling_new[[#This Row],[Date]],Modelling_new[[Comisined DC ]],"&gt;"&amp;0,Modelling_new[Finacial Year],Modelling_new[[#This Row],[Finacial Year]])</f>
        <v>12.799999999999967</v>
      </c>
      <c r="BD538" s="27">
        <f t="shared" si="213"/>
        <v>45537</v>
      </c>
      <c r="BE538" s="5">
        <f>MONTH(Modelling[[#This Row],[Date]])</f>
        <v>9</v>
      </c>
      <c r="BF538" s="25">
        <f>YEAR(BD538)+IF(MONTH(Modelling[[#This Row],[Date]])&gt;=4,1,0)</f>
        <v>2025</v>
      </c>
      <c r="BG538" s="3">
        <f t="shared" si="207"/>
        <v>2024</v>
      </c>
      <c r="BH538" s="3" t="s">
        <v>627</v>
      </c>
      <c r="BI538" s="3" t="s">
        <v>627</v>
      </c>
      <c r="BJ538" s="102">
        <f>DATE(Modelling_old[[#This Row],[Calendor Year]],Modelling_old[[#This Row],[Start Month]],1)</f>
        <v>45536</v>
      </c>
      <c r="BK538" s="5">
        <f t="shared" si="208"/>
        <v>30</v>
      </c>
      <c r="BL538" s="5">
        <f t="shared" si="209"/>
        <v>9</v>
      </c>
      <c r="BM538" s="4">
        <f>Modelling_old[[#This Row],[Target E_Grid daily
MWh]]+Modelling_new[[#This Row],[Target E_Grid daily
MWh]]</f>
        <v>93.615789921985396</v>
      </c>
      <c r="BN538" s="4">
        <f>Modelling_old[[#This Row],[Target E_Grid MTD
MWh]]+Modelling_new[[#This Row],[Target E_Grid MTD
MWh]]</f>
        <v>187.23157984397079</v>
      </c>
      <c r="BO538" s="4">
        <f>Modelling_old[[#This Row],[Target E_Grid YTD
MWh]]+Modelling_new[[#This Row],[Target E_Grid YTD
MWh]]</f>
        <v>15259.226343433656</v>
      </c>
      <c r="BP538" s="4">
        <f>AVERAGE(Modelling_old[[#This Row],[Target POA Daily (KWh/m2)]],Modelling_new[[#This Row],[Target POA Daily (KWh/m2)]])</f>
        <v>4.9333333333333336</v>
      </c>
      <c r="BQ538" s="4">
        <f>SUM($BP$537:BP538)</f>
        <v>9.8666666666666671</v>
      </c>
      <c r="BR538" s="4">
        <f>SUM($BP$384:BP538)</f>
        <v>830.66666666666379</v>
      </c>
      <c r="BS538" s="323">
        <f>BM538/Modelling[[#This Row],[Comisined DC ]]/BP538</f>
        <v>0.78081288530413306</v>
      </c>
      <c r="BT538" s="337">
        <f>BN538/BQ538/Modelling[[#This Row],[Comisined DC ]]</f>
        <v>0.78081288530413295</v>
      </c>
      <c r="BU538" s="337">
        <f>BO538/BR538/Modelling[[#This Row],[Comisined DC ]]</f>
        <v>0.75586469004349077</v>
      </c>
      <c r="BV538" s="323">
        <f>BM538/(24*Modelling[[#This Row],[Comisined DC ]])</f>
        <v>0.16050042642362736</v>
      </c>
      <c r="BW538" s="323">
        <f>Modelling[[#This Row],[Target E_Grid MTD
MWh]]/Modelling[[#This Row],[MTD DC Capcity]]/(24*CG538)</f>
        <v>0.16050042642362736</v>
      </c>
      <c r="BX538" s="338">
        <f>Modelling[[#This Row],[Target E_Grid YTD
MWh]]/Modelling[[#This Row],[YTD DC Capcity]]/(24*CH538)</f>
        <v>0.16878268885200429</v>
      </c>
      <c r="BY538" s="4">
        <f>Modelling_old[[#This Row],[DC Capcity]]+Modelling_new[[#This Row],[Comisined DC ]]</f>
        <v>24.303100000000001</v>
      </c>
      <c r="BZ538" s="4">
        <v>0</v>
      </c>
      <c r="CA538">
        <f>AVERAGEIFS(Modelling[[Comisined DC ]],Modelling[Date],"&lt;="&amp;Modelling[[#This Row],[Date]],Modelling[Month Year],Modelling[[#This Row],[Month Year]])</f>
        <v>24.303100000000001</v>
      </c>
      <c r="CB538">
        <f>AVERAGEIFS(Modelling[[Comisined DC ]],Modelling[Date],"&lt;="&amp;Modelling[[#This Row],[Date]],Modelling[Finacial Year],Modelling[[#This Row],[Finacial Year]])</f>
        <v>24.303100000000057</v>
      </c>
      <c r="CG538">
        <f t="shared" ref="CG538:CG566" si="214">CG537+1</f>
        <v>2</v>
      </c>
      <c r="CH538">
        <f t="shared" si="211"/>
        <v>155</v>
      </c>
    </row>
    <row r="539" spans="1:86" x14ac:dyDescent="0.35">
      <c r="A539" s="27">
        <f t="shared" si="189"/>
        <v>45538</v>
      </c>
      <c r="B539" s="5">
        <f>MONTH(Modelling_old[[#This Row],[Date]])</f>
        <v>9</v>
      </c>
      <c r="C539" s="25">
        <f t="shared" si="190"/>
        <v>2025</v>
      </c>
      <c r="D539" s="3">
        <f t="shared" si="191"/>
        <v>2024</v>
      </c>
      <c r="E539" s="3" t="s">
        <v>627</v>
      </c>
      <c r="F539" s="3" t="s">
        <v>627</v>
      </c>
      <c r="G539" s="102">
        <f>DATE(Modelling_old[[#This Row],[Calendor Year]],Modelling_old[[#This Row],[Start Month]],1)</f>
        <v>45536</v>
      </c>
      <c r="H539" s="5">
        <f t="shared" si="192"/>
        <v>30</v>
      </c>
      <c r="I539" s="5">
        <f t="shared" si="193"/>
        <v>9</v>
      </c>
      <c r="J539" s="4">
        <f>_xlfn.XLOOKUP(Modelling_old[[#This Row],[Month]],$C$1:$C$14,$N$1:$N$14)/Modelling_old[[#This Row],[Total Days]]</f>
        <v>40.119999999999997</v>
      </c>
      <c r="K539" s="4">
        <f>SUM($J$537:J539)</f>
        <v>120.35999999999999</v>
      </c>
      <c r="L539" s="4">
        <f>SUM($J$384:J539)</f>
        <v>6645.7599999999902</v>
      </c>
      <c r="M539" s="4">
        <f t="shared" si="194"/>
        <v>4.9333333333333336</v>
      </c>
      <c r="N539" s="4">
        <f>SUM($M$537:M539)</f>
        <v>14.8</v>
      </c>
      <c r="O539" s="4">
        <f>SUM($M$384:M539)</f>
        <v>835.59999999999707</v>
      </c>
      <c r="P539" s="323">
        <f t="shared" si="195"/>
        <v>0.70697746106983606</v>
      </c>
      <c r="Q539" s="337">
        <f t="shared" si="196"/>
        <v>0.70697746106983606</v>
      </c>
      <c r="R539" s="337">
        <f t="shared" si="197"/>
        <v>0.69140310706678798</v>
      </c>
      <c r="S539" s="323">
        <f t="shared" si="198"/>
        <v>0.14532314477546632</v>
      </c>
      <c r="T539" s="9">
        <f>Modelling_old[[#This Row],[Target E_Grid MTD
MWh]]/Modelling_old[[#This Row],[DC Capcity]]/(24*CG539)</f>
        <v>0.14532314477546629</v>
      </c>
      <c r="U539" s="338">
        <f>Modelling_old[[#This Row],[Target E_Grid YTD
MWh]]/Modelling_old[[#This Row],[DC Capcity]]/(24*CH539)</f>
        <v>0.15430994558360203</v>
      </c>
      <c r="V539" s="134">
        <v>11.5031</v>
      </c>
      <c r="Y539" s="27">
        <f t="shared" si="212"/>
        <v>45538</v>
      </c>
      <c r="Z539" s="5">
        <f>MONTH(Modelling_new[[#This Row],[Date]])</f>
        <v>9</v>
      </c>
      <c r="AA539" s="25">
        <f>YEAR(Y539)+IF(MONTH(Modelling_new[[#This Row],[Date]])&gt;=4,1,0)</f>
        <v>2025</v>
      </c>
      <c r="AB539" s="3">
        <f t="shared" si="199"/>
        <v>2024</v>
      </c>
      <c r="AC539" s="3" t="s">
        <v>627</v>
      </c>
      <c r="AD539" s="3" t="s">
        <v>627</v>
      </c>
      <c r="AE539" s="102">
        <f>DATE(Modelling_old[[#This Row],[Calendor Year]],Modelling_old[[#This Row],[Start Month]],1)</f>
        <v>45536</v>
      </c>
      <c r="AF539" s="5">
        <f t="shared" si="200"/>
        <v>30</v>
      </c>
      <c r="AG539" s="5">
        <f t="shared" si="201"/>
        <v>9</v>
      </c>
      <c r="AH539" s="4">
        <f>_xlfn.XLOOKUP(Modelling_new[[#This Row],[Month]],$AA$1:$AA$14,$AL$1:$AL$14)/Modelling_new[[#This Row],[Total Days]]</f>
        <v>53.495789921985406</v>
      </c>
      <c r="AI539" s="4">
        <f>SUM($AH$537:AH539)</f>
        <v>160.4873697659562</v>
      </c>
      <c r="AJ539" s="4">
        <f>SUM($AH$384:AH539)</f>
        <v>8707.0821333556523</v>
      </c>
      <c r="AK539" s="4">
        <f t="shared" si="202"/>
        <v>4.9333333333333336</v>
      </c>
      <c r="AL539" s="4">
        <f>SUM($AK$537:AK539)</f>
        <v>14.8</v>
      </c>
      <c r="AM539" s="4">
        <f>SUM($AK$384:AK539)</f>
        <v>835.59999999999707</v>
      </c>
      <c r="AN539" s="323">
        <f t="shared" si="203"/>
        <v>0.94267990371312482</v>
      </c>
      <c r="AO539" s="323">
        <f t="shared" si="204"/>
        <v>0.94267990371312482</v>
      </c>
      <c r="AP539" s="323">
        <f t="shared" si="205"/>
        <v>0.9058563114659306</v>
      </c>
      <c r="AQ539" s="323">
        <f t="shared" si="206"/>
        <v>0.19377309131880904</v>
      </c>
      <c r="AR539" s="323">
        <f>Modelling_new[[#This Row],[Target E_Grid MTD
MWh]]/Modelling_new[[#This Row],[MTD DC Capcity]]/(24*CG539)</f>
        <v>0.1741399411522962</v>
      </c>
      <c r="AS539" s="323">
        <f>Modelling_new[[#This Row],[Target E_Grid YTD
MWh]]/Modelling_new[[#This Row],[YTD DC Capcity]]/(24*CH539)</f>
        <v>0.18168824563793057</v>
      </c>
      <c r="AT539" s="5">
        <v>12.8</v>
      </c>
      <c r="AU539" s="9">
        <f>Modelling_new[[#This Row],[Comisined DC ]]/$AO$1</f>
        <v>1</v>
      </c>
      <c r="AV539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39" s="5">
        <f>AVERAGEIFS(Modelling_new[[Comisined DC ]],Modelling_new[Date],"&lt;="&amp;Modelling_new[[#This Row],[Date]],Modelling_new[[Comisined DC ]],"&gt;"&amp;0,Modelling_new[Finacial Year],Modelling_new[[#This Row],[Finacial Year]])</f>
        <v>12.799999999999967</v>
      </c>
      <c r="BD539" s="27">
        <f t="shared" si="213"/>
        <v>45538</v>
      </c>
      <c r="BE539" s="5">
        <f>MONTH(Modelling[[#This Row],[Date]])</f>
        <v>9</v>
      </c>
      <c r="BF539" s="25">
        <f>YEAR(BD539)+IF(MONTH(Modelling[[#This Row],[Date]])&gt;=4,1,0)</f>
        <v>2025</v>
      </c>
      <c r="BG539" s="3">
        <f t="shared" si="207"/>
        <v>2024</v>
      </c>
      <c r="BH539" s="3" t="s">
        <v>627</v>
      </c>
      <c r="BI539" s="3" t="s">
        <v>627</v>
      </c>
      <c r="BJ539" s="102">
        <f>DATE(Modelling_old[[#This Row],[Calendor Year]],Modelling_old[[#This Row],[Start Month]],1)</f>
        <v>45536</v>
      </c>
      <c r="BK539" s="5">
        <f t="shared" si="208"/>
        <v>30</v>
      </c>
      <c r="BL539" s="5">
        <f t="shared" si="209"/>
        <v>9</v>
      </c>
      <c r="BM539" s="4">
        <f>Modelling_old[[#This Row],[Target E_Grid daily
MWh]]+Modelling_new[[#This Row],[Target E_Grid daily
MWh]]</f>
        <v>93.615789921985396</v>
      </c>
      <c r="BN539" s="4">
        <f>Modelling_old[[#This Row],[Target E_Grid MTD
MWh]]+Modelling_new[[#This Row],[Target E_Grid MTD
MWh]]</f>
        <v>280.84736976595616</v>
      </c>
      <c r="BO539" s="4">
        <f>Modelling_old[[#This Row],[Target E_Grid YTD
MWh]]+Modelling_new[[#This Row],[Target E_Grid YTD
MWh]]</f>
        <v>15352.842133355643</v>
      </c>
      <c r="BP539" s="4">
        <f>AVERAGE(Modelling_old[[#This Row],[Target POA Daily (KWh/m2)]],Modelling_new[[#This Row],[Target POA Daily (KWh/m2)]])</f>
        <v>4.9333333333333336</v>
      </c>
      <c r="BQ539" s="4">
        <f>SUM($BP$537:BP539)</f>
        <v>14.8</v>
      </c>
      <c r="BR539" s="4">
        <f>SUM($BP$384:BP539)</f>
        <v>835.59999999999707</v>
      </c>
      <c r="BS539" s="323">
        <f>BM539/Modelling[[#This Row],[Comisined DC ]]/BP539</f>
        <v>0.78081288530413306</v>
      </c>
      <c r="BT539" s="337">
        <f>BN539/BQ539/Modelling[[#This Row],[Comisined DC ]]</f>
        <v>0.78081288530413295</v>
      </c>
      <c r="BU539" s="337">
        <f>BO539/BR539/Modelling[[#This Row],[Comisined DC ]]</f>
        <v>0.75601198272334458</v>
      </c>
      <c r="BV539" s="323">
        <f>BM539/(24*Modelling[[#This Row],[Comisined DC ]])</f>
        <v>0.16050042642362736</v>
      </c>
      <c r="BW539" s="323">
        <f>Modelling[[#This Row],[Target E_Grid MTD
MWh]]/Modelling[[#This Row],[MTD DC Capcity]]/(24*CG539)</f>
        <v>0.16050042642362733</v>
      </c>
      <c r="BX539" s="338">
        <f>Modelling[[#This Row],[Target E_Grid YTD
MWh]]/Modelling[[#This Row],[YTD DC Capcity]]/(24*CH539)</f>
        <v>0.16872959742618135</v>
      </c>
      <c r="BY539" s="4">
        <f>Modelling_old[[#This Row],[DC Capcity]]+Modelling_new[[#This Row],[Comisined DC ]]</f>
        <v>24.303100000000001</v>
      </c>
      <c r="BZ539" s="4">
        <v>0</v>
      </c>
      <c r="CA539">
        <f>AVERAGEIFS(Modelling[[Comisined DC ]],Modelling[Date],"&lt;="&amp;Modelling[[#This Row],[Date]],Modelling[Month Year],Modelling[[#This Row],[Month Year]])</f>
        <v>24.303100000000001</v>
      </c>
      <c r="CB539">
        <f>AVERAGEIFS(Modelling[[Comisined DC ]],Modelling[Date],"&lt;="&amp;Modelling[[#This Row],[Date]],Modelling[Finacial Year],Modelling[[#This Row],[Finacial Year]])</f>
        <v>24.303100000000057</v>
      </c>
      <c r="CG539">
        <f t="shared" si="214"/>
        <v>3</v>
      </c>
      <c r="CH539">
        <f t="shared" si="211"/>
        <v>156</v>
      </c>
    </row>
    <row r="540" spans="1:86" x14ac:dyDescent="0.35">
      <c r="A540" s="27">
        <f t="shared" si="189"/>
        <v>45539</v>
      </c>
      <c r="B540" s="5">
        <f>MONTH(Modelling_old[[#This Row],[Date]])</f>
        <v>9</v>
      </c>
      <c r="C540" s="25">
        <f t="shared" si="190"/>
        <v>2025</v>
      </c>
      <c r="D540" s="3">
        <f t="shared" si="191"/>
        <v>2024</v>
      </c>
      <c r="E540" s="3" t="s">
        <v>627</v>
      </c>
      <c r="F540" s="3" t="s">
        <v>627</v>
      </c>
      <c r="G540" s="102">
        <f>DATE(Modelling_old[[#This Row],[Calendor Year]],Modelling_old[[#This Row],[Start Month]],1)</f>
        <v>45536</v>
      </c>
      <c r="H540" s="5">
        <f t="shared" si="192"/>
        <v>30</v>
      </c>
      <c r="I540" s="5">
        <f t="shared" si="193"/>
        <v>9</v>
      </c>
      <c r="J540" s="4">
        <f>_xlfn.XLOOKUP(Modelling_old[[#This Row],[Month]],$C$1:$C$14,$N$1:$N$14)/Modelling_old[[#This Row],[Total Days]]</f>
        <v>40.119999999999997</v>
      </c>
      <c r="K540" s="4">
        <f>SUM($J$537:J540)</f>
        <v>160.47999999999999</v>
      </c>
      <c r="L540" s="4">
        <f>SUM($J$384:J540)</f>
        <v>6685.8799999999901</v>
      </c>
      <c r="M540" s="4">
        <f t="shared" si="194"/>
        <v>4.9333333333333336</v>
      </c>
      <c r="N540" s="4">
        <f>SUM($M$537:M540)</f>
        <v>19.733333333333334</v>
      </c>
      <c r="O540" s="4">
        <f>SUM($M$384:M540)</f>
        <v>840.53333333333035</v>
      </c>
      <c r="P540" s="323">
        <f t="shared" si="195"/>
        <v>0.70697746106983606</v>
      </c>
      <c r="Q540" s="337">
        <f t="shared" si="196"/>
        <v>0.70697746106983606</v>
      </c>
      <c r="R540" s="337">
        <f t="shared" si="197"/>
        <v>0.69149451745671708</v>
      </c>
      <c r="S540" s="323">
        <f t="shared" si="198"/>
        <v>0.14532314477546632</v>
      </c>
      <c r="T540" s="9">
        <f>Modelling_old[[#This Row],[Target E_Grid MTD
MWh]]/Modelling_old[[#This Row],[DC Capcity]]/(24*CG540)</f>
        <v>0.14532314477546632</v>
      </c>
      <c r="U540" s="338">
        <f>Modelling_old[[#This Row],[Target E_Grid YTD
MWh]]/Modelling_old[[#This Row],[DC Capcity]]/(24*CH540)</f>
        <v>0.15425270481412345</v>
      </c>
      <c r="V540" s="134">
        <v>11.5031</v>
      </c>
      <c r="Y540" s="27">
        <f t="shared" si="212"/>
        <v>45539</v>
      </c>
      <c r="Z540" s="5">
        <f>MONTH(Modelling_new[[#This Row],[Date]])</f>
        <v>9</v>
      </c>
      <c r="AA540" s="25">
        <f>YEAR(Y540)+IF(MONTH(Modelling_new[[#This Row],[Date]])&gt;=4,1,0)</f>
        <v>2025</v>
      </c>
      <c r="AB540" s="3">
        <f t="shared" si="199"/>
        <v>2024</v>
      </c>
      <c r="AC540" s="3" t="s">
        <v>627</v>
      </c>
      <c r="AD540" s="3" t="s">
        <v>627</v>
      </c>
      <c r="AE540" s="102">
        <f>DATE(Modelling_old[[#This Row],[Calendor Year]],Modelling_old[[#This Row],[Start Month]],1)</f>
        <v>45536</v>
      </c>
      <c r="AF540" s="5">
        <f t="shared" si="200"/>
        <v>30</v>
      </c>
      <c r="AG540" s="5">
        <f t="shared" si="201"/>
        <v>9</v>
      </c>
      <c r="AH540" s="4">
        <f>_xlfn.XLOOKUP(Modelling_new[[#This Row],[Month]],$AA$1:$AA$14,$AL$1:$AL$14)/Modelling_new[[#This Row],[Total Days]]</f>
        <v>53.495789921985406</v>
      </c>
      <c r="AI540" s="4">
        <f>SUM($AH$537:AH540)</f>
        <v>213.98315968794162</v>
      </c>
      <c r="AJ540" s="4">
        <f>SUM($AH$384:AH540)</f>
        <v>8760.5779232776385</v>
      </c>
      <c r="AK540" s="4">
        <f t="shared" si="202"/>
        <v>4.9333333333333336</v>
      </c>
      <c r="AL540" s="4">
        <f>SUM($AK$537:AK540)</f>
        <v>19.733333333333334</v>
      </c>
      <c r="AM540" s="4">
        <f>SUM($AK$384:AK540)</f>
        <v>840.53333333333035</v>
      </c>
      <c r="AN540" s="323">
        <f t="shared" si="203"/>
        <v>0.94267990371312482</v>
      </c>
      <c r="AO540" s="323">
        <f t="shared" si="204"/>
        <v>0.94267990371312482</v>
      </c>
      <c r="AP540" s="323">
        <f t="shared" si="205"/>
        <v>0.9060724397833716</v>
      </c>
      <c r="AQ540" s="323">
        <f t="shared" si="206"/>
        <v>0.19377309131880904</v>
      </c>
      <c r="AR540" s="323">
        <f>Modelling_new[[#This Row],[Target E_Grid MTD
MWh]]/Modelling_new[[#This Row],[MTD DC Capcity]]/(24*CG540)</f>
        <v>0.17413994115229622</v>
      </c>
      <c r="AS540" s="323">
        <f>Modelling_new[[#This Row],[Target E_Grid YTD
MWh]]/Modelling_new[[#This Row],[YTD DC Capcity]]/(24*CH540)</f>
        <v>0.18164016726541063</v>
      </c>
      <c r="AT540" s="5">
        <v>12.8</v>
      </c>
      <c r="AU540" s="9">
        <f>Modelling_new[[#This Row],[Comisined DC ]]/$AO$1</f>
        <v>1</v>
      </c>
      <c r="AV540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40" s="5">
        <f>AVERAGEIFS(Modelling_new[[Comisined DC ]],Modelling_new[Date],"&lt;="&amp;Modelling_new[[#This Row],[Date]],Modelling_new[[Comisined DC ]],"&gt;"&amp;0,Modelling_new[Finacial Year],Modelling_new[[#This Row],[Finacial Year]])</f>
        <v>12.799999999999967</v>
      </c>
      <c r="BD540" s="27">
        <f t="shared" si="213"/>
        <v>45539</v>
      </c>
      <c r="BE540" s="5">
        <f>MONTH(Modelling[[#This Row],[Date]])</f>
        <v>9</v>
      </c>
      <c r="BF540" s="25">
        <f>YEAR(BD540)+IF(MONTH(Modelling[[#This Row],[Date]])&gt;=4,1,0)</f>
        <v>2025</v>
      </c>
      <c r="BG540" s="3">
        <f t="shared" si="207"/>
        <v>2024</v>
      </c>
      <c r="BH540" s="3" t="s">
        <v>627</v>
      </c>
      <c r="BI540" s="3" t="s">
        <v>627</v>
      </c>
      <c r="BJ540" s="102">
        <f>DATE(Modelling_old[[#This Row],[Calendor Year]],Modelling_old[[#This Row],[Start Month]],1)</f>
        <v>45536</v>
      </c>
      <c r="BK540" s="5">
        <f t="shared" si="208"/>
        <v>30</v>
      </c>
      <c r="BL540" s="5">
        <f t="shared" si="209"/>
        <v>9</v>
      </c>
      <c r="BM540" s="4">
        <f>Modelling_old[[#This Row],[Target E_Grid daily
MWh]]+Modelling_new[[#This Row],[Target E_Grid daily
MWh]]</f>
        <v>93.615789921985396</v>
      </c>
      <c r="BN540" s="4">
        <f>Modelling_old[[#This Row],[Target E_Grid MTD
MWh]]+Modelling_new[[#This Row],[Target E_Grid MTD
MWh]]</f>
        <v>374.46315968794158</v>
      </c>
      <c r="BO540" s="4">
        <f>Modelling_old[[#This Row],[Target E_Grid YTD
MWh]]+Modelling_new[[#This Row],[Target E_Grid YTD
MWh]]</f>
        <v>15446.457923277629</v>
      </c>
      <c r="BP540" s="4">
        <f>AVERAGE(Modelling_old[[#This Row],[Target POA Daily (KWh/m2)]],Modelling_new[[#This Row],[Target POA Daily (KWh/m2)]])</f>
        <v>4.9333333333333336</v>
      </c>
      <c r="BQ540" s="4">
        <f>SUM($BP$537:BP540)</f>
        <v>19.733333333333334</v>
      </c>
      <c r="BR540" s="4">
        <f>SUM($BP$384:BP540)</f>
        <v>840.53333333333035</v>
      </c>
      <c r="BS540" s="323">
        <f>BM540/Modelling[[#This Row],[Comisined DC ]]/BP540</f>
        <v>0.78081288530413306</v>
      </c>
      <c r="BT540" s="337">
        <f>BN540/BQ540/Modelling[[#This Row],[Comisined DC ]]</f>
        <v>0.78081288530413295</v>
      </c>
      <c r="BU540" s="337">
        <f>BO540/BR540/Modelling[[#This Row],[Comisined DC ]]</f>
        <v>0.75615754639648691</v>
      </c>
      <c r="BV540" s="323">
        <f>BM540/(24*Modelling[[#This Row],[Comisined DC ]])</f>
        <v>0.16050042642362736</v>
      </c>
      <c r="BW540" s="323">
        <f>Modelling[[#This Row],[Target E_Grid MTD
MWh]]/Modelling[[#This Row],[MTD DC Capcity]]/(24*CG540)</f>
        <v>0.16050042642362736</v>
      </c>
      <c r="BX540" s="338">
        <f>Modelling[[#This Row],[Target E_Grid YTD
MWh]]/Modelling[[#This Row],[YTD DC Capcity]]/(24*CH540)</f>
        <v>0.16867718232425427</v>
      </c>
      <c r="BY540" s="4">
        <f>Modelling_old[[#This Row],[DC Capcity]]+Modelling_new[[#This Row],[Comisined DC ]]</f>
        <v>24.303100000000001</v>
      </c>
      <c r="BZ540" s="4">
        <v>0</v>
      </c>
      <c r="CA540">
        <f>AVERAGEIFS(Modelling[[Comisined DC ]],Modelling[Date],"&lt;="&amp;Modelling[[#This Row],[Date]],Modelling[Month Year],Modelling[[#This Row],[Month Year]])</f>
        <v>24.303100000000001</v>
      </c>
      <c r="CB540">
        <f>AVERAGEIFS(Modelling[[Comisined DC ]],Modelling[Date],"&lt;="&amp;Modelling[[#This Row],[Date]],Modelling[Finacial Year],Modelling[[#This Row],[Finacial Year]])</f>
        <v>24.303100000000057</v>
      </c>
      <c r="CG540">
        <f t="shared" si="214"/>
        <v>4</v>
      </c>
      <c r="CH540">
        <f t="shared" si="211"/>
        <v>157</v>
      </c>
    </row>
    <row r="541" spans="1:86" x14ac:dyDescent="0.35">
      <c r="A541" s="27">
        <f t="shared" si="189"/>
        <v>45540</v>
      </c>
      <c r="B541" s="5">
        <f>MONTH(Modelling_old[[#This Row],[Date]])</f>
        <v>9</v>
      </c>
      <c r="C541" s="25">
        <f t="shared" si="190"/>
        <v>2025</v>
      </c>
      <c r="D541" s="3">
        <f t="shared" si="191"/>
        <v>2024</v>
      </c>
      <c r="E541" s="3" t="s">
        <v>627</v>
      </c>
      <c r="F541" s="3" t="s">
        <v>627</v>
      </c>
      <c r="G541" s="102">
        <f>DATE(Modelling_old[[#This Row],[Calendor Year]],Modelling_old[[#This Row],[Start Month]],1)</f>
        <v>45536</v>
      </c>
      <c r="H541" s="5">
        <f t="shared" si="192"/>
        <v>30</v>
      </c>
      <c r="I541" s="5">
        <f t="shared" si="193"/>
        <v>9</v>
      </c>
      <c r="J541" s="4">
        <f>_xlfn.XLOOKUP(Modelling_old[[#This Row],[Month]],$C$1:$C$14,$N$1:$N$14)/Modelling_old[[#This Row],[Total Days]]</f>
        <v>40.119999999999997</v>
      </c>
      <c r="K541" s="4">
        <f>SUM($J$537:J541)</f>
        <v>200.6</v>
      </c>
      <c r="L541" s="4">
        <f>SUM($J$384:J541)</f>
        <v>6725.99999999999</v>
      </c>
      <c r="M541" s="4">
        <f t="shared" si="194"/>
        <v>4.9333333333333336</v>
      </c>
      <c r="N541" s="4">
        <f>SUM($M$537:M541)</f>
        <v>24.666666666666668</v>
      </c>
      <c r="O541" s="4">
        <f>SUM($M$384:M541)</f>
        <v>845.46666666666363</v>
      </c>
      <c r="P541" s="323">
        <f t="shared" si="195"/>
        <v>0.70697746106983606</v>
      </c>
      <c r="Q541" s="337">
        <f t="shared" si="196"/>
        <v>0.70697746106983617</v>
      </c>
      <c r="R541" s="337">
        <f t="shared" si="197"/>
        <v>0.69158486107975525</v>
      </c>
      <c r="S541" s="323">
        <f t="shared" si="198"/>
        <v>0.14532314477546632</v>
      </c>
      <c r="T541" s="9">
        <f>Modelling_old[[#This Row],[Target E_Grid MTD
MWh]]/Modelling_old[[#This Row],[DC Capcity]]/(24*CG541)</f>
        <v>0.14532314477546632</v>
      </c>
      <c r="U541" s="338">
        <f>Modelling_old[[#This Row],[Target E_Grid YTD
MWh]]/Modelling_old[[#This Row],[DC Capcity]]/(24*CH541)</f>
        <v>0.15419618861134712</v>
      </c>
      <c r="V541" s="134">
        <v>11.5031</v>
      </c>
      <c r="Y541" s="27">
        <f t="shared" si="212"/>
        <v>45540</v>
      </c>
      <c r="Z541" s="5">
        <f>MONTH(Modelling_new[[#This Row],[Date]])</f>
        <v>9</v>
      </c>
      <c r="AA541" s="25">
        <f>YEAR(Y541)+IF(MONTH(Modelling_new[[#This Row],[Date]])&gt;=4,1,0)</f>
        <v>2025</v>
      </c>
      <c r="AB541" s="3">
        <f t="shared" si="199"/>
        <v>2024</v>
      </c>
      <c r="AC541" s="3" t="s">
        <v>627</v>
      </c>
      <c r="AD541" s="3" t="s">
        <v>627</v>
      </c>
      <c r="AE541" s="102">
        <f>DATE(Modelling_old[[#This Row],[Calendor Year]],Modelling_old[[#This Row],[Start Month]],1)</f>
        <v>45536</v>
      </c>
      <c r="AF541" s="5">
        <f t="shared" si="200"/>
        <v>30</v>
      </c>
      <c r="AG541" s="5">
        <f t="shared" si="201"/>
        <v>9</v>
      </c>
      <c r="AH541" s="4">
        <f>_xlfn.XLOOKUP(Modelling_new[[#This Row],[Month]],$AA$1:$AA$14,$AL$1:$AL$14)/Modelling_new[[#This Row],[Total Days]]</f>
        <v>53.495789921985406</v>
      </c>
      <c r="AI541" s="4">
        <f>SUM($AH$537:AH541)</f>
        <v>267.47894960992704</v>
      </c>
      <c r="AJ541" s="4">
        <f>SUM($AH$384:AH541)</f>
        <v>8814.0737131996248</v>
      </c>
      <c r="AK541" s="4">
        <f t="shared" si="202"/>
        <v>4.9333333333333336</v>
      </c>
      <c r="AL541" s="4">
        <f>SUM($AK$537:AK541)</f>
        <v>24.666666666666668</v>
      </c>
      <c r="AM541" s="4">
        <f>SUM($AK$384:AK541)</f>
        <v>845.46666666666363</v>
      </c>
      <c r="AN541" s="323">
        <f t="shared" si="203"/>
        <v>0.94267990371312482</v>
      </c>
      <c r="AO541" s="323">
        <f t="shared" si="204"/>
        <v>0.94267990371312482</v>
      </c>
      <c r="AP541" s="323">
        <f t="shared" si="205"/>
        <v>0.90628604586528305</v>
      </c>
      <c r="AQ541" s="323">
        <f t="shared" si="206"/>
        <v>0.19377309131880904</v>
      </c>
      <c r="AR541" s="323">
        <f>Modelling_new[[#This Row],[Target E_Grid MTD
MWh]]/Modelling_new[[#This Row],[MTD DC Capcity]]/(24*CG541)</f>
        <v>0.17413994115229625</v>
      </c>
      <c r="AS541" s="323">
        <f>Modelling_new[[#This Row],[Target E_Grid YTD
MWh]]/Modelling_new[[#This Row],[YTD DC Capcity]]/(24*CH541)</f>
        <v>0.1815926974798846</v>
      </c>
      <c r="AT541" s="5">
        <v>12.8</v>
      </c>
      <c r="AU541" s="9">
        <f>Modelling_new[[#This Row],[Comisined DC ]]/$AO$1</f>
        <v>1</v>
      </c>
      <c r="AV541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41" s="5">
        <f>AVERAGEIFS(Modelling_new[[Comisined DC ]],Modelling_new[Date],"&lt;="&amp;Modelling_new[[#This Row],[Date]],Modelling_new[[Comisined DC ]],"&gt;"&amp;0,Modelling_new[Finacial Year],Modelling_new[[#This Row],[Finacial Year]])</f>
        <v>12.799999999999967</v>
      </c>
      <c r="BD541" s="27">
        <f t="shared" si="213"/>
        <v>45540</v>
      </c>
      <c r="BE541" s="5">
        <f>MONTH(Modelling[[#This Row],[Date]])</f>
        <v>9</v>
      </c>
      <c r="BF541" s="25">
        <f>YEAR(BD541)+IF(MONTH(Modelling[[#This Row],[Date]])&gt;=4,1,0)</f>
        <v>2025</v>
      </c>
      <c r="BG541" s="3">
        <f t="shared" si="207"/>
        <v>2024</v>
      </c>
      <c r="BH541" s="3" t="s">
        <v>627</v>
      </c>
      <c r="BI541" s="3" t="s">
        <v>627</v>
      </c>
      <c r="BJ541" s="102">
        <f>DATE(Modelling_old[[#This Row],[Calendor Year]],Modelling_old[[#This Row],[Start Month]],1)</f>
        <v>45536</v>
      </c>
      <c r="BK541" s="5">
        <f t="shared" si="208"/>
        <v>30</v>
      </c>
      <c r="BL541" s="5">
        <f t="shared" si="209"/>
        <v>9</v>
      </c>
      <c r="BM541" s="4">
        <f>Modelling_old[[#This Row],[Target E_Grid daily
MWh]]+Modelling_new[[#This Row],[Target E_Grid daily
MWh]]</f>
        <v>93.615789921985396</v>
      </c>
      <c r="BN541" s="4">
        <f>Modelling_old[[#This Row],[Target E_Grid MTD
MWh]]+Modelling_new[[#This Row],[Target E_Grid MTD
MWh]]</f>
        <v>468.07894960992701</v>
      </c>
      <c r="BO541" s="4">
        <f>Modelling_old[[#This Row],[Target E_Grid YTD
MWh]]+Modelling_new[[#This Row],[Target E_Grid YTD
MWh]]</f>
        <v>15540.073713199614</v>
      </c>
      <c r="BP541" s="4">
        <f>AVERAGE(Modelling_old[[#This Row],[Target POA Daily (KWh/m2)]],Modelling_new[[#This Row],[Target POA Daily (KWh/m2)]])</f>
        <v>4.9333333333333336</v>
      </c>
      <c r="BQ541" s="4">
        <f>SUM($BP$537:BP541)</f>
        <v>24.666666666666668</v>
      </c>
      <c r="BR541" s="4">
        <f>SUM($BP$384:BP541)</f>
        <v>845.46666666666363</v>
      </c>
      <c r="BS541" s="323">
        <f>BM541/Modelling[[#This Row],[Comisined DC ]]/BP541</f>
        <v>0.78081288530413306</v>
      </c>
      <c r="BT541" s="337">
        <f>BN541/BQ541/Modelling[[#This Row],[Comisined DC ]]</f>
        <v>0.78081288530413318</v>
      </c>
      <c r="BU541" s="337">
        <f>BO541/BR541/Modelling[[#This Row],[Comisined DC ]]</f>
        <v>0.7563014113293971</v>
      </c>
      <c r="BV541" s="323">
        <f>BM541/(24*Modelling[[#This Row],[Comisined DC ]])</f>
        <v>0.16050042642362736</v>
      </c>
      <c r="BW541" s="323">
        <f>Modelling[[#This Row],[Target E_Grid MTD
MWh]]/Modelling[[#This Row],[MTD DC Capcity]]/(24*CG541)</f>
        <v>0.16050042642362736</v>
      </c>
      <c r="BX541" s="338">
        <f>Modelling[[#This Row],[Target E_Grid YTD
MWh]]/Modelling[[#This Row],[YTD DC Capcity]]/(24*CH541)</f>
        <v>0.16862543070463004</v>
      </c>
      <c r="BY541" s="4">
        <f>Modelling_old[[#This Row],[DC Capcity]]+Modelling_new[[#This Row],[Comisined DC ]]</f>
        <v>24.303100000000001</v>
      </c>
      <c r="BZ541" s="4">
        <v>0</v>
      </c>
      <c r="CA541">
        <f>AVERAGEIFS(Modelling[[Comisined DC ]],Modelling[Date],"&lt;="&amp;Modelling[[#This Row],[Date]],Modelling[Month Year],Modelling[[#This Row],[Month Year]])</f>
        <v>24.303100000000001</v>
      </c>
      <c r="CB541">
        <f>AVERAGEIFS(Modelling[[Comisined DC ]],Modelling[Date],"&lt;="&amp;Modelling[[#This Row],[Date]],Modelling[Finacial Year],Modelling[[#This Row],[Finacial Year]])</f>
        <v>24.303100000000057</v>
      </c>
      <c r="CG541">
        <f t="shared" si="214"/>
        <v>5</v>
      </c>
      <c r="CH541">
        <f t="shared" si="211"/>
        <v>158</v>
      </c>
    </row>
    <row r="542" spans="1:86" x14ac:dyDescent="0.35">
      <c r="A542" s="27">
        <f t="shared" si="189"/>
        <v>45541</v>
      </c>
      <c r="B542" s="5">
        <f>MONTH(Modelling_old[[#This Row],[Date]])</f>
        <v>9</v>
      </c>
      <c r="C542" s="25">
        <f t="shared" si="190"/>
        <v>2025</v>
      </c>
      <c r="D542" s="3">
        <f t="shared" si="191"/>
        <v>2024</v>
      </c>
      <c r="E542" s="3" t="s">
        <v>627</v>
      </c>
      <c r="F542" s="3" t="s">
        <v>627</v>
      </c>
      <c r="G542" s="102">
        <f>DATE(Modelling_old[[#This Row],[Calendor Year]],Modelling_old[[#This Row],[Start Month]],1)</f>
        <v>45536</v>
      </c>
      <c r="H542" s="5">
        <f t="shared" si="192"/>
        <v>30</v>
      </c>
      <c r="I542" s="5">
        <f t="shared" si="193"/>
        <v>9</v>
      </c>
      <c r="J542" s="4">
        <f>_xlfn.XLOOKUP(Modelling_old[[#This Row],[Month]],$C$1:$C$14,$N$1:$N$14)/Modelling_old[[#This Row],[Total Days]]</f>
        <v>40.119999999999997</v>
      </c>
      <c r="K542" s="4">
        <f>SUM($J$537:J542)</f>
        <v>240.72</v>
      </c>
      <c r="L542" s="4">
        <f>SUM($J$384:J542)</f>
        <v>6766.1199999999899</v>
      </c>
      <c r="M542" s="4">
        <f t="shared" si="194"/>
        <v>4.9333333333333336</v>
      </c>
      <c r="N542" s="4">
        <f>SUM($M$537:M542)</f>
        <v>29.6</v>
      </c>
      <c r="O542" s="4">
        <f>SUM($M$384:M542)</f>
        <v>850.39999999999691</v>
      </c>
      <c r="P542" s="323">
        <f t="shared" si="195"/>
        <v>0.70697746106983606</v>
      </c>
      <c r="Q542" s="337">
        <f t="shared" si="196"/>
        <v>0.70697746106983617</v>
      </c>
      <c r="R542" s="337">
        <f t="shared" si="197"/>
        <v>0.69167415650146014</v>
      </c>
      <c r="S542" s="323">
        <f t="shared" si="198"/>
        <v>0.14532314477546632</v>
      </c>
      <c r="T542" s="9">
        <f>Modelling_old[[#This Row],[Target E_Grid MTD
MWh]]/Modelling_old[[#This Row],[DC Capcity]]/(24*CG542)</f>
        <v>0.14532314477546632</v>
      </c>
      <c r="U542" s="338">
        <f>Modelling_old[[#This Row],[Target E_Grid YTD
MWh]]/Modelling_old[[#This Row],[DC Capcity]]/(24*CH542)</f>
        <v>0.15414038330420324</v>
      </c>
      <c r="V542" s="134">
        <v>11.5031</v>
      </c>
      <c r="Y542" s="27">
        <f t="shared" si="212"/>
        <v>45541</v>
      </c>
      <c r="Z542" s="5">
        <f>MONTH(Modelling_new[[#This Row],[Date]])</f>
        <v>9</v>
      </c>
      <c r="AA542" s="25">
        <f>YEAR(Y542)+IF(MONTH(Modelling_new[[#This Row],[Date]])&gt;=4,1,0)</f>
        <v>2025</v>
      </c>
      <c r="AB542" s="3">
        <f t="shared" si="199"/>
        <v>2024</v>
      </c>
      <c r="AC542" s="3" t="s">
        <v>627</v>
      </c>
      <c r="AD542" s="3" t="s">
        <v>627</v>
      </c>
      <c r="AE542" s="102">
        <f>DATE(Modelling_old[[#This Row],[Calendor Year]],Modelling_old[[#This Row],[Start Month]],1)</f>
        <v>45536</v>
      </c>
      <c r="AF542" s="5">
        <f t="shared" si="200"/>
        <v>30</v>
      </c>
      <c r="AG542" s="5">
        <f t="shared" si="201"/>
        <v>9</v>
      </c>
      <c r="AH542" s="4">
        <f>_xlfn.XLOOKUP(Modelling_new[[#This Row],[Month]],$AA$1:$AA$14,$AL$1:$AL$14)/Modelling_new[[#This Row],[Total Days]]</f>
        <v>53.495789921985406</v>
      </c>
      <c r="AI542" s="4">
        <f>SUM($AH$537:AH542)</f>
        <v>320.97473953191246</v>
      </c>
      <c r="AJ542" s="4">
        <f>SUM($AH$384:AH542)</f>
        <v>8867.569503121611</v>
      </c>
      <c r="AK542" s="4">
        <f t="shared" si="202"/>
        <v>4.9333333333333336</v>
      </c>
      <c r="AL542" s="4">
        <f>SUM($AK$537:AK542)</f>
        <v>29.6</v>
      </c>
      <c r="AM542" s="4">
        <f>SUM($AK$384:AK542)</f>
        <v>850.39999999999691</v>
      </c>
      <c r="AN542" s="323">
        <f t="shared" si="203"/>
        <v>0.94267990371312482</v>
      </c>
      <c r="AO542" s="323">
        <f t="shared" si="204"/>
        <v>0.94267990371312504</v>
      </c>
      <c r="AP542" s="323">
        <f t="shared" si="205"/>
        <v>0.90649717360758031</v>
      </c>
      <c r="AQ542" s="323">
        <f t="shared" si="206"/>
        <v>0.19377309131880904</v>
      </c>
      <c r="AR542" s="323">
        <f>Modelling_new[[#This Row],[Target E_Grid MTD
MWh]]/Modelling_new[[#This Row],[MTD DC Capcity]]/(24*CG542)</f>
        <v>0.17413994115229625</v>
      </c>
      <c r="AS542" s="323">
        <f>Modelling_new[[#This Row],[Target E_Grid YTD
MWh]]/Modelling_new[[#This Row],[YTD DC Capcity]]/(24*CH542)</f>
        <v>0.18154582479857906</v>
      </c>
      <c r="AT542" s="5">
        <v>12.8</v>
      </c>
      <c r="AU542" s="9">
        <f>Modelling_new[[#This Row],[Comisined DC ]]/$AO$1</f>
        <v>1</v>
      </c>
      <c r="AV542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42" s="5">
        <f>AVERAGEIFS(Modelling_new[[Comisined DC ]],Modelling_new[Date],"&lt;="&amp;Modelling_new[[#This Row],[Date]],Modelling_new[[Comisined DC ]],"&gt;"&amp;0,Modelling_new[Finacial Year],Modelling_new[[#This Row],[Finacial Year]])</f>
        <v>12.799999999999967</v>
      </c>
      <c r="BD542" s="27">
        <f t="shared" si="213"/>
        <v>45541</v>
      </c>
      <c r="BE542" s="5">
        <f>MONTH(Modelling[[#This Row],[Date]])</f>
        <v>9</v>
      </c>
      <c r="BF542" s="25">
        <f>YEAR(BD542)+IF(MONTH(Modelling[[#This Row],[Date]])&gt;=4,1,0)</f>
        <v>2025</v>
      </c>
      <c r="BG542" s="3">
        <f t="shared" si="207"/>
        <v>2024</v>
      </c>
      <c r="BH542" s="3" t="s">
        <v>627</v>
      </c>
      <c r="BI542" s="3" t="s">
        <v>627</v>
      </c>
      <c r="BJ542" s="102">
        <f>DATE(Modelling_old[[#This Row],[Calendor Year]],Modelling_old[[#This Row],[Start Month]],1)</f>
        <v>45536</v>
      </c>
      <c r="BK542" s="5">
        <f t="shared" si="208"/>
        <v>30</v>
      </c>
      <c r="BL542" s="5">
        <f t="shared" si="209"/>
        <v>9</v>
      </c>
      <c r="BM542" s="4">
        <f>Modelling_old[[#This Row],[Target E_Grid daily
MWh]]+Modelling_new[[#This Row],[Target E_Grid daily
MWh]]</f>
        <v>93.615789921985396</v>
      </c>
      <c r="BN542" s="4">
        <f>Modelling_old[[#This Row],[Target E_Grid MTD
MWh]]+Modelling_new[[#This Row],[Target E_Grid MTD
MWh]]</f>
        <v>561.69473953191243</v>
      </c>
      <c r="BO542" s="4">
        <f>Modelling_old[[#This Row],[Target E_Grid YTD
MWh]]+Modelling_new[[#This Row],[Target E_Grid YTD
MWh]]</f>
        <v>15633.689503121601</v>
      </c>
      <c r="BP542" s="4">
        <f>AVERAGE(Modelling_old[[#This Row],[Target POA Daily (KWh/m2)]],Modelling_new[[#This Row],[Target POA Daily (KWh/m2)]])</f>
        <v>4.9333333333333336</v>
      </c>
      <c r="BQ542" s="4">
        <f>SUM($BP$537:BP542)</f>
        <v>29.6</v>
      </c>
      <c r="BR542" s="4">
        <f>SUM($BP$384:BP542)</f>
        <v>850.39999999999691</v>
      </c>
      <c r="BS542" s="323">
        <f>BM542/Modelling[[#This Row],[Comisined DC ]]/BP542</f>
        <v>0.78081288530413306</v>
      </c>
      <c r="BT542" s="337">
        <f>BN542/BQ542/Modelling[[#This Row],[Comisined DC ]]</f>
        <v>0.78081288530413318</v>
      </c>
      <c r="BU542" s="337">
        <f>BO542/BR542/Modelling[[#This Row],[Comisined DC ]]</f>
        <v>0.75644360708622771</v>
      </c>
      <c r="BV542" s="323">
        <f>BM542/(24*Modelling[[#This Row],[Comisined DC ]])</f>
        <v>0.16050042642362736</v>
      </c>
      <c r="BW542" s="323">
        <f>Modelling[[#This Row],[Target E_Grid MTD
MWh]]/Modelling[[#This Row],[MTD DC Capcity]]/(24*CG542)</f>
        <v>0.16050042642362738</v>
      </c>
      <c r="BX542" s="338">
        <f>Modelling[[#This Row],[Target E_Grid YTD
MWh]]/Modelling[[#This Row],[YTD DC Capcity]]/(24*CH542)</f>
        <v>0.16857433004877467</v>
      </c>
      <c r="BY542" s="4">
        <f>Modelling_old[[#This Row],[DC Capcity]]+Modelling_new[[#This Row],[Comisined DC ]]</f>
        <v>24.303100000000001</v>
      </c>
      <c r="BZ542" s="4">
        <v>0</v>
      </c>
      <c r="CA542">
        <f>AVERAGEIFS(Modelling[[Comisined DC ]],Modelling[Date],"&lt;="&amp;Modelling[[#This Row],[Date]],Modelling[Month Year],Modelling[[#This Row],[Month Year]])</f>
        <v>24.303100000000001</v>
      </c>
      <c r="CB542">
        <f>AVERAGEIFS(Modelling[[Comisined DC ]],Modelling[Date],"&lt;="&amp;Modelling[[#This Row],[Date]],Modelling[Finacial Year],Modelling[[#This Row],[Finacial Year]])</f>
        <v>24.303100000000057</v>
      </c>
      <c r="CG542">
        <f t="shared" si="214"/>
        <v>6</v>
      </c>
      <c r="CH542">
        <f t="shared" si="211"/>
        <v>159</v>
      </c>
    </row>
    <row r="543" spans="1:86" x14ac:dyDescent="0.35">
      <c r="A543" s="27">
        <f t="shared" si="189"/>
        <v>45542</v>
      </c>
      <c r="B543" s="5">
        <f>MONTH(Modelling_old[[#This Row],[Date]])</f>
        <v>9</v>
      </c>
      <c r="C543" s="25">
        <f t="shared" si="190"/>
        <v>2025</v>
      </c>
      <c r="D543" s="3">
        <f t="shared" si="191"/>
        <v>2024</v>
      </c>
      <c r="E543" s="3" t="s">
        <v>627</v>
      </c>
      <c r="F543" s="3" t="s">
        <v>627</v>
      </c>
      <c r="G543" s="102">
        <f>DATE(Modelling_old[[#This Row],[Calendor Year]],Modelling_old[[#This Row],[Start Month]],1)</f>
        <v>45536</v>
      </c>
      <c r="H543" s="5">
        <f t="shared" si="192"/>
        <v>30</v>
      </c>
      <c r="I543" s="5">
        <f t="shared" si="193"/>
        <v>9</v>
      </c>
      <c r="J543" s="4">
        <f>_xlfn.XLOOKUP(Modelling_old[[#This Row],[Month]],$C$1:$C$14,$N$1:$N$14)/Modelling_old[[#This Row],[Total Days]]</f>
        <v>40.119999999999997</v>
      </c>
      <c r="K543" s="4">
        <f>SUM($J$537:J543)</f>
        <v>280.83999999999997</v>
      </c>
      <c r="L543" s="4">
        <f>SUM($J$384:J543)</f>
        <v>6806.2399999999898</v>
      </c>
      <c r="M543" s="4">
        <f t="shared" si="194"/>
        <v>4.9333333333333336</v>
      </c>
      <c r="N543" s="4">
        <f>SUM($M$537:M543)</f>
        <v>34.533333333333331</v>
      </c>
      <c r="O543" s="4">
        <f>SUM($M$384:M543)</f>
        <v>855.33333333333019</v>
      </c>
      <c r="P543" s="323">
        <f t="shared" si="195"/>
        <v>0.70697746106983606</v>
      </c>
      <c r="Q543" s="337">
        <f t="shared" si="196"/>
        <v>0.70697746106983617</v>
      </c>
      <c r="R543" s="337">
        <f t="shared" si="197"/>
        <v>0.69176242185906411</v>
      </c>
      <c r="S543" s="323">
        <f t="shared" si="198"/>
        <v>0.14532314477546632</v>
      </c>
      <c r="T543" s="9">
        <f>Modelling_old[[#This Row],[Target E_Grid MTD
MWh]]/Modelling_old[[#This Row],[DC Capcity]]/(24*CG543)</f>
        <v>0.14532314477546632</v>
      </c>
      <c r="U543" s="338">
        <f>Modelling_old[[#This Row],[Target E_Grid YTD
MWh]]/Modelling_old[[#This Row],[DC Capcity]]/(24*CH543)</f>
        <v>0.15408527556339863</v>
      </c>
      <c r="V543" s="134">
        <v>11.5031</v>
      </c>
      <c r="Y543" s="27">
        <f t="shared" si="212"/>
        <v>45542</v>
      </c>
      <c r="Z543" s="5">
        <f>MONTH(Modelling_new[[#This Row],[Date]])</f>
        <v>9</v>
      </c>
      <c r="AA543" s="25">
        <f>YEAR(Y543)+IF(MONTH(Modelling_new[[#This Row],[Date]])&gt;=4,1,0)</f>
        <v>2025</v>
      </c>
      <c r="AB543" s="3">
        <f t="shared" si="199"/>
        <v>2024</v>
      </c>
      <c r="AC543" s="3" t="s">
        <v>627</v>
      </c>
      <c r="AD543" s="3" t="s">
        <v>627</v>
      </c>
      <c r="AE543" s="102">
        <f>DATE(Modelling_old[[#This Row],[Calendor Year]],Modelling_old[[#This Row],[Start Month]],1)</f>
        <v>45536</v>
      </c>
      <c r="AF543" s="5">
        <f t="shared" si="200"/>
        <v>30</v>
      </c>
      <c r="AG543" s="5">
        <f t="shared" si="201"/>
        <v>9</v>
      </c>
      <c r="AH543" s="4">
        <f>_xlfn.XLOOKUP(Modelling_new[[#This Row],[Month]],$AA$1:$AA$14,$AL$1:$AL$14)/Modelling_new[[#This Row],[Total Days]]</f>
        <v>53.495789921985406</v>
      </c>
      <c r="AI543" s="4">
        <f>SUM($AH$537:AH543)</f>
        <v>374.47052945389788</v>
      </c>
      <c r="AJ543" s="4">
        <f>SUM($AH$384:AH543)</f>
        <v>8921.0652930435972</v>
      </c>
      <c r="AK543" s="4">
        <f t="shared" si="202"/>
        <v>4.9333333333333336</v>
      </c>
      <c r="AL543" s="4">
        <f>SUM($AK$537:AK543)</f>
        <v>34.533333333333331</v>
      </c>
      <c r="AM543" s="4">
        <f>SUM($AK$384:AK543)</f>
        <v>855.33333333333019</v>
      </c>
      <c r="AN543" s="323">
        <f t="shared" si="203"/>
        <v>0.94267990371312482</v>
      </c>
      <c r="AO543" s="323">
        <f t="shared" si="204"/>
        <v>0.94267990371312504</v>
      </c>
      <c r="AP543" s="323">
        <f t="shared" si="205"/>
        <v>0.90670586589345803</v>
      </c>
      <c r="AQ543" s="323">
        <f t="shared" si="206"/>
        <v>0.19377309131880904</v>
      </c>
      <c r="AR543" s="323">
        <f>Modelling_new[[#This Row],[Target E_Grid MTD
MWh]]/Modelling_new[[#This Row],[MTD DC Capcity]]/(24*CG543)</f>
        <v>0.17413994115229628</v>
      </c>
      <c r="AS543" s="323">
        <f>Modelling_new[[#This Row],[Target E_Grid YTD
MWh]]/Modelling_new[[#This Row],[YTD DC Capcity]]/(24*CH543)</f>
        <v>0.1814995380257898</v>
      </c>
      <c r="AT543" s="5">
        <v>12.8</v>
      </c>
      <c r="AU543" s="9">
        <f>Modelling_new[[#This Row],[Comisined DC ]]/$AO$1</f>
        <v>1</v>
      </c>
      <c r="AV54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43" s="5">
        <f>AVERAGEIFS(Modelling_new[[Comisined DC ]],Modelling_new[Date],"&lt;="&amp;Modelling_new[[#This Row],[Date]],Modelling_new[[Comisined DC ]],"&gt;"&amp;0,Modelling_new[Finacial Year],Modelling_new[[#This Row],[Finacial Year]])</f>
        <v>12.799999999999967</v>
      </c>
      <c r="BD543" s="27">
        <f t="shared" si="213"/>
        <v>45542</v>
      </c>
      <c r="BE543" s="5">
        <f>MONTH(Modelling[[#This Row],[Date]])</f>
        <v>9</v>
      </c>
      <c r="BF543" s="25">
        <f>YEAR(BD543)+IF(MONTH(Modelling[[#This Row],[Date]])&gt;=4,1,0)</f>
        <v>2025</v>
      </c>
      <c r="BG543" s="3">
        <f t="shared" si="207"/>
        <v>2024</v>
      </c>
      <c r="BH543" s="3" t="s">
        <v>627</v>
      </c>
      <c r="BI543" s="3" t="s">
        <v>627</v>
      </c>
      <c r="BJ543" s="102">
        <f>DATE(Modelling_old[[#This Row],[Calendor Year]],Modelling_old[[#This Row],[Start Month]],1)</f>
        <v>45536</v>
      </c>
      <c r="BK543" s="5">
        <f t="shared" si="208"/>
        <v>30</v>
      </c>
      <c r="BL543" s="5">
        <f t="shared" si="209"/>
        <v>9</v>
      </c>
      <c r="BM543" s="4">
        <f>Modelling_old[[#This Row],[Target E_Grid daily
MWh]]+Modelling_new[[#This Row],[Target E_Grid daily
MWh]]</f>
        <v>93.615789921985396</v>
      </c>
      <c r="BN543" s="4">
        <f>Modelling_old[[#This Row],[Target E_Grid MTD
MWh]]+Modelling_new[[#This Row],[Target E_Grid MTD
MWh]]</f>
        <v>655.31052945389786</v>
      </c>
      <c r="BO543" s="4">
        <f>Modelling_old[[#This Row],[Target E_Grid YTD
MWh]]+Modelling_new[[#This Row],[Target E_Grid YTD
MWh]]</f>
        <v>15727.305293043588</v>
      </c>
      <c r="BP543" s="4">
        <f>AVERAGE(Modelling_old[[#This Row],[Target POA Daily (KWh/m2)]],Modelling_new[[#This Row],[Target POA Daily (KWh/m2)]])</f>
        <v>4.9333333333333336</v>
      </c>
      <c r="BQ543" s="4">
        <f>SUM($BP$537:BP543)</f>
        <v>34.533333333333331</v>
      </c>
      <c r="BR543" s="4">
        <f>SUM($BP$384:BP543)</f>
        <v>855.33333333333019</v>
      </c>
      <c r="BS543" s="323">
        <f>BM543/Modelling[[#This Row],[Comisined DC ]]/BP543</f>
        <v>0.78081288530413306</v>
      </c>
      <c r="BT543" s="337">
        <f>BN543/BQ543/Modelling[[#This Row],[Comisined DC ]]</f>
        <v>0.78081288530413329</v>
      </c>
      <c r="BU543" s="337">
        <f>BO543/BR543/Modelling[[#This Row],[Comisined DC ]]</f>
        <v>0.75658416254905902</v>
      </c>
      <c r="BV543" s="323">
        <f>BM543/(24*Modelling[[#This Row],[Comisined DC ]])</f>
        <v>0.16050042642362736</v>
      </c>
      <c r="BW543" s="323">
        <f>Modelling[[#This Row],[Target E_Grid MTD
MWh]]/Modelling[[#This Row],[MTD DC Capcity]]/(24*CG543)</f>
        <v>0.16050042642362738</v>
      </c>
      <c r="BX543" s="338">
        <f>Modelling[[#This Row],[Target E_Grid YTD
MWh]]/Modelling[[#This Row],[YTD DC Capcity]]/(24*CH543)</f>
        <v>0.16852386815111756</v>
      </c>
      <c r="BY543" s="4">
        <f>Modelling_old[[#This Row],[DC Capcity]]+Modelling_new[[#This Row],[Comisined DC ]]</f>
        <v>24.303100000000001</v>
      </c>
      <c r="BZ543" s="4">
        <v>0</v>
      </c>
      <c r="CA543">
        <f>AVERAGEIFS(Modelling[[Comisined DC ]],Modelling[Date],"&lt;="&amp;Modelling[[#This Row],[Date]],Modelling[Month Year],Modelling[[#This Row],[Month Year]])</f>
        <v>24.303100000000001</v>
      </c>
      <c r="CB543">
        <f>AVERAGEIFS(Modelling[[Comisined DC ]],Modelling[Date],"&lt;="&amp;Modelling[[#This Row],[Date]],Modelling[Finacial Year],Modelling[[#This Row],[Finacial Year]])</f>
        <v>24.303100000000057</v>
      </c>
      <c r="CG543">
        <f t="shared" si="214"/>
        <v>7</v>
      </c>
      <c r="CH543">
        <f t="shared" si="211"/>
        <v>160</v>
      </c>
    </row>
    <row r="544" spans="1:86" x14ac:dyDescent="0.35">
      <c r="A544" s="27">
        <f t="shared" si="189"/>
        <v>45543</v>
      </c>
      <c r="B544" s="5">
        <f>MONTH(Modelling_old[[#This Row],[Date]])</f>
        <v>9</v>
      </c>
      <c r="C544" s="25">
        <f t="shared" si="190"/>
        <v>2025</v>
      </c>
      <c r="D544" s="3">
        <f t="shared" si="191"/>
        <v>2024</v>
      </c>
      <c r="E544" s="3" t="s">
        <v>627</v>
      </c>
      <c r="F544" s="3" t="s">
        <v>627</v>
      </c>
      <c r="G544" s="102">
        <f>DATE(Modelling_old[[#This Row],[Calendor Year]],Modelling_old[[#This Row],[Start Month]],1)</f>
        <v>45536</v>
      </c>
      <c r="H544" s="5">
        <f t="shared" si="192"/>
        <v>30</v>
      </c>
      <c r="I544" s="5">
        <f t="shared" si="193"/>
        <v>9</v>
      </c>
      <c r="J544" s="4">
        <f>_xlfn.XLOOKUP(Modelling_old[[#This Row],[Month]],$C$1:$C$14,$N$1:$N$14)/Modelling_old[[#This Row],[Total Days]]</f>
        <v>40.119999999999997</v>
      </c>
      <c r="K544" s="4">
        <f>SUM($J$537:J544)</f>
        <v>320.95999999999998</v>
      </c>
      <c r="L544" s="4">
        <f>SUM($J$384:J544)</f>
        <v>6846.3599999999897</v>
      </c>
      <c r="M544" s="4">
        <f t="shared" si="194"/>
        <v>4.9333333333333336</v>
      </c>
      <c r="N544" s="4">
        <f>SUM($M$537:M544)</f>
        <v>39.466666666666669</v>
      </c>
      <c r="O544" s="4">
        <f>SUM($M$384:M544)</f>
        <v>860.26666666666347</v>
      </c>
      <c r="P544" s="323">
        <f t="shared" si="195"/>
        <v>0.70697746106983606</v>
      </c>
      <c r="Q544" s="337">
        <f t="shared" si="196"/>
        <v>0.70697746106983606</v>
      </c>
      <c r="R544" s="337">
        <f t="shared" si="197"/>
        <v>0.69184967487375715</v>
      </c>
      <c r="S544" s="323">
        <f t="shared" si="198"/>
        <v>0.14532314477546632</v>
      </c>
      <c r="T544" s="9">
        <f>Modelling_old[[#This Row],[Target E_Grid MTD
MWh]]/Modelling_old[[#This Row],[DC Capcity]]/(24*CG544)</f>
        <v>0.14532314477546632</v>
      </c>
      <c r="U544" s="338">
        <f>Modelling_old[[#This Row],[Target E_Grid YTD
MWh]]/Modelling_old[[#This Row],[DC Capcity]]/(24*CH544)</f>
        <v>0.15403085239080277</v>
      </c>
      <c r="V544" s="134">
        <v>11.5031</v>
      </c>
      <c r="Y544" s="27">
        <f t="shared" si="212"/>
        <v>45543</v>
      </c>
      <c r="Z544" s="5">
        <f>MONTH(Modelling_new[[#This Row],[Date]])</f>
        <v>9</v>
      </c>
      <c r="AA544" s="25">
        <f>YEAR(Y544)+IF(MONTH(Modelling_new[[#This Row],[Date]])&gt;=4,1,0)</f>
        <v>2025</v>
      </c>
      <c r="AB544" s="3">
        <f t="shared" si="199"/>
        <v>2024</v>
      </c>
      <c r="AC544" s="3" t="s">
        <v>627</v>
      </c>
      <c r="AD544" s="3" t="s">
        <v>627</v>
      </c>
      <c r="AE544" s="102">
        <f>DATE(Modelling_old[[#This Row],[Calendor Year]],Modelling_old[[#This Row],[Start Month]],1)</f>
        <v>45536</v>
      </c>
      <c r="AF544" s="5">
        <f t="shared" si="200"/>
        <v>30</v>
      </c>
      <c r="AG544" s="5">
        <f t="shared" si="201"/>
        <v>9</v>
      </c>
      <c r="AH544" s="4">
        <f>_xlfn.XLOOKUP(Modelling_new[[#This Row],[Month]],$AA$1:$AA$14,$AL$1:$AL$14)/Modelling_new[[#This Row],[Total Days]]</f>
        <v>53.495789921985406</v>
      </c>
      <c r="AI544" s="4">
        <f>SUM($AH$537:AH544)</f>
        <v>427.9663193758833</v>
      </c>
      <c r="AJ544" s="4">
        <f>SUM($AH$384:AH544)</f>
        <v>8974.5610829655834</v>
      </c>
      <c r="AK544" s="4">
        <f t="shared" si="202"/>
        <v>4.9333333333333336</v>
      </c>
      <c r="AL544" s="4">
        <f>SUM($AK$537:AK544)</f>
        <v>39.466666666666669</v>
      </c>
      <c r="AM544" s="4">
        <f>SUM($AK$384:AK544)</f>
        <v>860.26666666666347</v>
      </c>
      <c r="AN544" s="323">
        <f t="shared" si="203"/>
        <v>0.94267990371312482</v>
      </c>
      <c r="AO544" s="323">
        <f t="shared" si="204"/>
        <v>0.94267990371312504</v>
      </c>
      <c r="AP544" s="323">
        <f t="shared" si="205"/>
        <v>0.90691216462243018</v>
      </c>
      <c r="AQ544" s="323">
        <f t="shared" si="206"/>
        <v>0.19377309131880904</v>
      </c>
      <c r="AR544" s="323">
        <f>Modelling_new[[#This Row],[Target E_Grid MTD
MWh]]/Modelling_new[[#This Row],[MTD DC Capcity]]/(24*CG544)</f>
        <v>0.17413994115229628</v>
      </c>
      <c r="AS544" s="323">
        <f>Modelling_new[[#This Row],[Target E_Grid YTD
MWh]]/Modelling_new[[#This Row],[YTD DC Capcity]]/(24*CH544)</f>
        <v>0.18145382624396689</v>
      </c>
      <c r="AT544" s="5">
        <v>12.8</v>
      </c>
      <c r="AU544" s="9">
        <f>Modelling_new[[#This Row],[Comisined DC ]]/$AO$1</f>
        <v>1</v>
      </c>
      <c r="AV54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44" s="5">
        <f>AVERAGEIFS(Modelling_new[[Comisined DC ]],Modelling_new[Date],"&lt;="&amp;Modelling_new[[#This Row],[Date]],Modelling_new[[Comisined DC ]],"&gt;"&amp;0,Modelling_new[Finacial Year],Modelling_new[[#This Row],[Finacial Year]])</f>
        <v>12.799999999999967</v>
      </c>
      <c r="BD544" s="27">
        <f t="shared" si="213"/>
        <v>45543</v>
      </c>
      <c r="BE544" s="5">
        <f>MONTH(Modelling[[#This Row],[Date]])</f>
        <v>9</v>
      </c>
      <c r="BF544" s="25">
        <f>YEAR(BD544)+IF(MONTH(Modelling[[#This Row],[Date]])&gt;=4,1,0)</f>
        <v>2025</v>
      </c>
      <c r="BG544" s="3">
        <f t="shared" si="207"/>
        <v>2024</v>
      </c>
      <c r="BH544" s="3" t="s">
        <v>627</v>
      </c>
      <c r="BI544" s="3" t="s">
        <v>627</v>
      </c>
      <c r="BJ544" s="102">
        <f>DATE(Modelling_old[[#This Row],[Calendor Year]],Modelling_old[[#This Row],[Start Month]],1)</f>
        <v>45536</v>
      </c>
      <c r="BK544" s="5">
        <f t="shared" si="208"/>
        <v>30</v>
      </c>
      <c r="BL544" s="5">
        <f t="shared" si="209"/>
        <v>9</v>
      </c>
      <c r="BM544" s="4">
        <f>Modelling_old[[#This Row],[Target E_Grid daily
MWh]]+Modelling_new[[#This Row],[Target E_Grid daily
MWh]]</f>
        <v>93.615789921985396</v>
      </c>
      <c r="BN544" s="4">
        <f>Modelling_old[[#This Row],[Target E_Grid MTD
MWh]]+Modelling_new[[#This Row],[Target E_Grid MTD
MWh]]</f>
        <v>748.92631937588328</v>
      </c>
      <c r="BO544" s="4">
        <f>Modelling_old[[#This Row],[Target E_Grid YTD
MWh]]+Modelling_new[[#This Row],[Target E_Grid YTD
MWh]]</f>
        <v>15820.921082965573</v>
      </c>
      <c r="BP544" s="4">
        <f>AVERAGE(Modelling_old[[#This Row],[Target POA Daily (KWh/m2)]],Modelling_new[[#This Row],[Target POA Daily (KWh/m2)]])</f>
        <v>4.9333333333333336</v>
      </c>
      <c r="BQ544" s="4">
        <f>SUM($BP$537:BP544)</f>
        <v>39.466666666666669</v>
      </c>
      <c r="BR544" s="4">
        <f>SUM($BP$384:BP544)</f>
        <v>860.26666666666347</v>
      </c>
      <c r="BS544" s="323">
        <f>BM544/Modelling[[#This Row],[Comisined DC ]]/BP544</f>
        <v>0.78081288530413306</v>
      </c>
      <c r="BT544" s="337">
        <f>BN544/BQ544/Modelling[[#This Row],[Comisined DC ]]</f>
        <v>0.78081288530413318</v>
      </c>
      <c r="BU544" s="337">
        <f>BO544/BR544/Modelling[[#This Row],[Comisined DC ]]</f>
        <v>0.75672310593745618</v>
      </c>
      <c r="BV544" s="323">
        <f>BM544/(24*Modelling[[#This Row],[Comisined DC ]])</f>
        <v>0.16050042642362736</v>
      </c>
      <c r="BW544" s="323">
        <f>Modelling[[#This Row],[Target E_Grid MTD
MWh]]/Modelling[[#This Row],[MTD DC Capcity]]/(24*CG544)</f>
        <v>0.16050042642362738</v>
      </c>
      <c r="BX544" s="338">
        <f>Modelling[[#This Row],[Target E_Grid YTD
MWh]]/Modelling[[#This Row],[YTD DC Capcity]]/(24*CH544)</f>
        <v>0.16847403310933187</v>
      </c>
      <c r="BY544" s="4">
        <f>Modelling_old[[#This Row],[DC Capcity]]+Modelling_new[[#This Row],[Comisined DC ]]</f>
        <v>24.303100000000001</v>
      </c>
      <c r="BZ544" s="4">
        <v>0</v>
      </c>
      <c r="CA544">
        <f>AVERAGEIFS(Modelling[[Comisined DC ]],Modelling[Date],"&lt;="&amp;Modelling[[#This Row],[Date]],Modelling[Month Year],Modelling[[#This Row],[Month Year]])</f>
        <v>24.303100000000001</v>
      </c>
      <c r="CB544">
        <f>AVERAGEIFS(Modelling[[Comisined DC ]],Modelling[Date],"&lt;="&amp;Modelling[[#This Row],[Date]],Modelling[Finacial Year],Modelling[[#This Row],[Finacial Year]])</f>
        <v>24.303100000000057</v>
      </c>
      <c r="CG544">
        <f t="shared" si="214"/>
        <v>8</v>
      </c>
      <c r="CH544">
        <f t="shared" si="211"/>
        <v>161</v>
      </c>
    </row>
    <row r="545" spans="1:86" x14ac:dyDescent="0.35">
      <c r="A545" s="27">
        <f t="shared" si="189"/>
        <v>45544</v>
      </c>
      <c r="B545" s="5">
        <f>MONTH(Modelling_old[[#This Row],[Date]])</f>
        <v>9</v>
      </c>
      <c r="C545" s="25">
        <f t="shared" si="190"/>
        <v>2025</v>
      </c>
      <c r="D545" s="3">
        <f t="shared" si="191"/>
        <v>2024</v>
      </c>
      <c r="E545" s="3" t="s">
        <v>627</v>
      </c>
      <c r="F545" s="3" t="s">
        <v>627</v>
      </c>
      <c r="G545" s="102">
        <f>DATE(Modelling_old[[#This Row],[Calendor Year]],Modelling_old[[#This Row],[Start Month]],1)</f>
        <v>45536</v>
      </c>
      <c r="H545" s="5">
        <f t="shared" si="192"/>
        <v>30</v>
      </c>
      <c r="I545" s="5">
        <f t="shared" si="193"/>
        <v>9</v>
      </c>
      <c r="J545" s="4">
        <f>_xlfn.XLOOKUP(Modelling_old[[#This Row],[Month]],$C$1:$C$14,$N$1:$N$14)/Modelling_old[[#This Row],[Total Days]]</f>
        <v>40.119999999999997</v>
      </c>
      <c r="K545" s="4">
        <f>SUM($J$537:J545)</f>
        <v>361.08</v>
      </c>
      <c r="L545" s="4">
        <f>SUM($J$384:J545)</f>
        <v>6886.4799999999896</v>
      </c>
      <c r="M545" s="4">
        <f t="shared" si="194"/>
        <v>4.9333333333333336</v>
      </c>
      <c r="N545" s="4">
        <f>SUM($M$537:M545)</f>
        <v>44.400000000000006</v>
      </c>
      <c r="O545" s="4">
        <f>SUM($M$384:M545)</f>
        <v>865.19999999999675</v>
      </c>
      <c r="P545" s="323">
        <f t="shared" si="195"/>
        <v>0.70697746106983606</v>
      </c>
      <c r="Q545" s="337">
        <f t="shared" si="196"/>
        <v>0.70697746106983606</v>
      </c>
      <c r="R545" s="337">
        <f t="shared" si="197"/>
        <v>0.69193593286254662</v>
      </c>
      <c r="S545" s="323">
        <f t="shared" si="198"/>
        <v>0.14532314477546632</v>
      </c>
      <c r="T545" s="9">
        <f>Modelling_old[[#This Row],[Target E_Grid MTD
MWh]]/Modelling_old[[#This Row],[DC Capcity]]/(24*CG545)</f>
        <v>0.14532314477546632</v>
      </c>
      <c r="U545" s="338">
        <f>Modelling_old[[#This Row],[Target E_Grid YTD
MWh]]/Modelling_old[[#This Row],[DC Capcity]]/(24*CH545)</f>
        <v>0.15397710110922661</v>
      </c>
      <c r="V545" s="134">
        <v>11.5031</v>
      </c>
      <c r="Y545" s="27">
        <f t="shared" si="212"/>
        <v>45544</v>
      </c>
      <c r="Z545" s="5">
        <f>MONTH(Modelling_new[[#This Row],[Date]])</f>
        <v>9</v>
      </c>
      <c r="AA545" s="25">
        <f>YEAR(Y545)+IF(MONTH(Modelling_new[[#This Row],[Date]])&gt;=4,1,0)</f>
        <v>2025</v>
      </c>
      <c r="AB545" s="3">
        <f t="shared" si="199"/>
        <v>2024</v>
      </c>
      <c r="AC545" s="3" t="s">
        <v>627</v>
      </c>
      <c r="AD545" s="3" t="s">
        <v>627</v>
      </c>
      <c r="AE545" s="102">
        <f>DATE(Modelling_old[[#This Row],[Calendor Year]],Modelling_old[[#This Row],[Start Month]],1)</f>
        <v>45536</v>
      </c>
      <c r="AF545" s="5">
        <f t="shared" si="200"/>
        <v>30</v>
      </c>
      <c r="AG545" s="5">
        <f t="shared" si="201"/>
        <v>9</v>
      </c>
      <c r="AH545" s="4">
        <f>_xlfn.XLOOKUP(Modelling_new[[#This Row],[Month]],$AA$1:$AA$14,$AL$1:$AL$14)/Modelling_new[[#This Row],[Total Days]]</f>
        <v>53.495789921985406</v>
      </c>
      <c r="AI545" s="4">
        <f>SUM($AH$537:AH545)</f>
        <v>481.46210929786872</v>
      </c>
      <c r="AJ545" s="4">
        <f>SUM($AH$384:AH545)</f>
        <v>9028.0568728875696</v>
      </c>
      <c r="AK545" s="4">
        <f t="shared" si="202"/>
        <v>4.9333333333333336</v>
      </c>
      <c r="AL545" s="4">
        <f>SUM($AK$537:AK545)</f>
        <v>44.400000000000006</v>
      </c>
      <c r="AM545" s="4">
        <f>SUM($AK$384:AK545)</f>
        <v>865.19999999999675</v>
      </c>
      <c r="AN545" s="323">
        <f t="shared" si="203"/>
        <v>0.94267990371312482</v>
      </c>
      <c r="AO545" s="323">
        <f t="shared" si="204"/>
        <v>0.94267990371312504</v>
      </c>
      <c r="AP545" s="323">
        <f t="shared" si="205"/>
        <v>0.90711611073837362</v>
      </c>
      <c r="AQ545" s="323">
        <f t="shared" si="206"/>
        <v>0.19377309131880904</v>
      </c>
      <c r="AR545" s="323">
        <f>Modelling_new[[#This Row],[Target E_Grid MTD
MWh]]/Modelling_new[[#This Row],[MTD DC Capcity]]/(24*CG545)</f>
        <v>0.17413994115229628</v>
      </c>
      <c r="AS545" s="323">
        <f>Modelling_new[[#This Row],[Target E_Grid YTD
MWh]]/Modelling_new[[#This Row],[YTD DC Capcity]]/(24*CH545)</f>
        <v>0.1814086788051294</v>
      </c>
      <c r="AT545" s="5">
        <v>12.8</v>
      </c>
      <c r="AU545" s="9">
        <f>Modelling_new[[#This Row],[Comisined DC ]]/$AO$1</f>
        <v>1</v>
      </c>
      <c r="AV54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45" s="5">
        <f>AVERAGEIFS(Modelling_new[[Comisined DC ]],Modelling_new[Date],"&lt;="&amp;Modelling_new[[#This Row],[Date]],Modelling_new[[Comisined DC ]],"&gt;"&amp;0,Modelling_new[Finacial Year],Modelling_new[[#This Row],[Finacial Year]])</f>
        <v>12.799999999999969</v>
      </c>
      <c r="BD545" s="27">
        <f t="shared" si="213"/>
        <v>45544</v>
      </c>
      <c r="BE545" s="5">
        <f>MONTH(Modelling[[#This Row],[Date]])</f>
        <v>9</v>
      </c>
      <c r="BF545" s="25">
        <f>YEAR(BD545)+IF(MONTH(Modelling[[#This Row],[Date]])&gt;=4,1,0)</f>
        <v>2025</v>
      </c>
      <c r="BG545" s="3">
        <f t="shared" si="207"/>
        <v>2024</v>
      </c>
      <c r="BH545" s="3" t="s">
        <v>627</v>
      </c>
      <c r="BI545" s="3" t="s">
        <v>627</v>
      </c>
      <c r="BJ545" s="102">
        <f>DATE(Modelling_old[[#This Row],[Calendor Year]],Modelling_old[[#This Row],[Start Month]],1)</f>
        <v>45536</v>
      </c>
      <c r="BK545" s="5">
        <f t="shared" si="208"/>
        <v>30</v>
      </c>
      <c r="BL545" s="5">
        <f t="shared" si="209"/>
        <v>9</v>
      </c>
      <c r="BM545" s="4">
        <f>Modelling_old[[#This Row],[Target E_Grid daily
MWh]]+Modelling_new[[#This Row],[Target E_Grid daily
MWh]]</f>
        <v>93.615789921985396</v>
      </c>
      <c r="BN545" s="4">
        <f>Modelling_old[[#This Row],[Target E_Grid MTD
MWh]]+Modelling_new[[#This Row],[Target E_Grid MTD
MWh]]</f>
        <v>842.54210929786871</v>
      </c>
      <c r="BO545" s="4">
        <f>Modelling_old[[#This Row],[Target E_Grid YTD
MWh]]+Modelling_new[[#This Row],[Target E_Grid YTD
MWh]]</f>
        <v>15914.536872887558</v>
      </c>
      <c r="BP545" s="4">
        <f>AVERAGE(Modelling_old[[#This Row],[Target POA Daily (KWh/m2)]],Modelling_new[[#This Row],[Target POA Daily (KWh/m2)]])</f>
        <v>4.9333333333333336</v>
      </c>
      <c r="BQ545" s="4">
        <f>SUM($BP$537:BP545)</f>
        <v>44.400000000000006</v>
      </c>
      <c r="BR545" s="4">
        <f>SUM($BP$384:BP545)</f>
        <v>865.19999999999675</v>
      </c>
      <c r="BS545" s="323">
        <f>BM545/Modelling[[#This Row],[Comisined DC ]]/BP545</f>
        <v>0.78081288530413306</v>
      </c>
      <c r="BT545" s="337">
        <f>BN545/BQ545/Modelling[[#This Row],[Comisined DC ]]</f>
        <v>0.78081288530413318</v>
      </c>
      <c r="BU545" s="337">
        <f>BO545/BR545/Modelling[[#This Row],[Comisined DC ]]</f>
        <v>0.75686046482735714</v>
      </c>
      <c r="BV545" s="323">
        <f>BM545/(24*Modelling[[#This Row],[Comisined DC ]])</f>
        <v>0.16050042642362736</v>
      </c>
      <c r="BW545" s="323">
        <f>Modelling[[#This Row],[Target E_Grid MTD
MWh]]/Modelling[[#This Row],[MTD DC Capcity]]/(24*CG545)</f>
        <v>0.16050042642362741</v>
      </c>
      <c r="BX545" s="338">
        <f>Modelling[[#This Row],[Target E_Grid YTD
MWh]]/Modelling[[#This Row],[YTD DC Capcity]]/(24*CH545)</f>
        <v>0.16842481331497569</v>
      </c>
      <c r="BY545" s="4">
        <f>Modelling_old[[#This Row],[DC Capcity]]+Modelling_new[[#This Row],[Comisined DC ]]</f>
        <v>24.303100000000001</v>
      </c>
      <c r="BZ545" s="4">
        <v>0</v>
      </c>
      <c r="CA545">
        <f>AVERAGEIFS(Modelling[[Comisined DC ]],Modelling[Date],"&lt;="&amp;Modelling[[#This Row],[Date]],Modelling[Month Year],Modelling[[#This Row],[Month Year]])</f>
        <v>24.303100000000001</v>
      </c>
      <c r="CB545">
        <f>AVERAGEIFS(Modelling[[Comisined DC ]],Modelling[Date],"&lt;="&amp;Modelling[[#This Row],[Date]],Modelling[Finacial Year],Modelling[[#This Row],[Finacial Year]])</f>
        <v>24.303100000000057</v>
      </c>
      <c r="CG545">
        <f t="shared" si="214"/>
        <v>9</v>
      </c>
      <c r="CH545">
        <f t="shared" si="211"/>
        <v>162</v>
      </c>
    </row>
    <row r="546" spans="1:86" x14ac:dyDescent="0.35">
      <c r="A546" s="27">
        <f t="shared" si="189"/>
        <v>45545</v>
      </c>
      <c r="B546" s="5">
        <f>MONTH(Modelling_old[[#This Row],[Date]])</f>
        <v>9</v>
      </c>
      <c r="C546" s="25">
        <f t="shared" si="190"/>
        <v>2025</v>
      </c>
      <c r="D546" s="3">
        <f t="shared" si="191"/>
        <v>2024</v>
      </c>
      <c r="E546" s="3" t="s">
        <v>627</v>
      </c>
      <c r="F546" s="3" t="s">
        <v>627</v>
      </c>
      <c r="G546" s="102">
        <f>DATE(Modelling_old[[#This Row],[Calendor Year]],Modelling_old[[#This Row],[Start Month]],1)</f>
        <v>45536</v>
      </c>
      <c r="H546" s="5">
        <f t="shared" si="192"/>
        <v>30</v>
      </c>
      <c r="I546" s="5">
        <f t="shared" si="193"/>
        <v>9</v>
      </c>
      <c r="J546" s="4">
        <f>_xlfn.XLOOKUP(Modelling_old[[#This Row],[Month]],$C$1:$C$14,$N$1:$N$14)/Modelling_old[[#This Row],[Total Days]]</f>
        <v>40.119999999999997</v>
      </c>
      <c r="K546" s="4">
        <f>SUM($J$537:J546)</f>
        <v>401.2</v>
      </c>
      <c r="L546" s="4">
        <f>SUM($J$384:J546)</f>
        <v>6926.5999999999894</v>
      </c>
      <c r="M546" s="4">
        <f t="shared" si="194"/>
        <v>4.9333333333333336</v>
      </c>
      <c r="N546" s="4">
        <f>SUM($M$537:M546)</f>
        <v>49.333333333333343</v>
      </c>
      <c r="O546" s="4">
        <f>SUM($M$384:M546)</f>
        <v>870.13333333333003</v>
      </c>
      <c r="P546" s="323">
        <f t="shared" si="195"/>
        <v>0.70697746106983606</v>
      </c>
      <c r="Q546" s="337">
        <f t="shared" si="196"/>
        <v>0.70697746106983606</v>
      </c>
      <c r="R546" s="337">
        <f t="shared" si="197"/>
        <v>0.6920212127497164</v>
      </c>
      <c r="S546" s="323">
        <f t="shared" si="198"/>
        <v>0.14532314477546632</v>
      </c>
      <c r="T546" s="9">
        <f>Modelling_old[[#This Row],[Target E_Grid MTD
MWh]]/Modelling_old[[#This Row],[DC Capcity]]/(24*CG546)</f>
        <v>0.14532314477546632</v>
      </c>
      <c r="U546" s="338">
        <f>Modelling_old[[#This Row],[Target E_Grid YTD
MWh]]/Modelling_old[[#This Row],[DC Capcity]]/(24*CH546)</f>
        <v>0.15392400935257777</v>
      </c>
      <c r="V546" s="134">
        <v>11.5031</v>
      </c>
      <c r="Y546" s="27">
        <f t="shared" si="212"/>
        <v>45545</v>
      </c>
      <c r="Z546" s="5">
        <f>MONTH(Modelling_new[[#This Row],[Date]])</f>
        <v>9</v>
      </c>
      <c r="AA546" s="25">
        <f>YEAR(Y546)+IF(MONTH(Modelling_new[[#This Row],[Date]])&gt;=4,1,0)</f>
        <v>2025</v>
      </c>
      <c r="AB546" s="3">
        <f t="shared" si="199"/>
        <v>2024</v>
      </c>
      <c r="AC546" s="3" t="s">
        <v>627</v>
      </c>
      <c r="AD546" s="3" t="s">
        <v>627</v>
      </c>
      <c r="AE546" s="102">
        <f>DATE(Modelling_old[[#This Row],[Calendor Year]],Modelling_old[[#This Row],[Start Month]],1)</f>
        <v>45536</v>
      </c>
      <c r="AF546" s="5">
        <f t="shared" si="200"/>
        <v>30</v>
      </c>
      <c r="AG546" s="5">
        <f t="shared" si="201"/>
        <v>9</v>
      </c>
      <c r="AH546" s="4">
        <f>_xlfn.XLOOKUP(Modelling_new[[#This Row],[Month]],$AA$1:$AA$14,$AL$1:$AL$14)/Modelling_new[[#This Row],[Total Days]]</f>
        <v>53.495789921985406</v>
      </c>
      <c r="AI546" s="4">
        <f>SUM($AH$537:AH546)</f>
        <v>534.95789921985408</v>
      </c>
      <c r="AJ546" s="4">
        <f>SUM($AH$384:AH546)</f>
        <v>9081.5526628095558</v>
      </c>
      <c r="AK546" s="4">
        <f t="shared" si="202"/>
        <v>4.9333333333333336</v>
      </c>
      <c r="AL546" s="4">
        <f>SUM($AK$537:AK546)</f>
        <v>49.333333333333343</v>
      </c>
      <c r="AM546" s="4">
        <f>SUM($AK$384:AK546)</f>
        <v>870.13333333333003</v>
      </c>
      <c r="AN546" s="323">
        <f t="shared" si="203"/>
        <v>0.94267990371312482</v>
      </c>
      <c r="AO546" s="323">
        <f t="shared" si="204"/>
        <v>0.94267990371312482</v>
      </c>
      <c r="AP546" s="323">
        <f t="shared" si="205"/>
        <v>0.90731774425661871</v>
      </c>
      <c r="AQ546" s="323">
        <f t="shared" si="206"/>
        <v>0.19377309131880904</v>
      </c>
      <c r="AR546" s="323">
        <f>Modelling_new[[#This Row],[Target E_Grid MTD
MWh]]/Modelling_new[[#This Row],[MTD DC Capcity]]/(24*CG546)</f>
        <v>0.17413994115229628</v>
      </c>
      <c r="AS546" s="323">
        <f>Modelling_new[[#This Row],[Target E_Grid YTD
MWh]]/Modelling_new[[#This Row],[YTD DC Capcity]]/(24*CH546)</f>
        <v>0.18136408532259668</v>
      </c>
      <c r="AT546" s="5">
        <v>12.8</v>
      </c>
      <c r="AU546" s="9">
        <f>Modelling_new[[#This Row],[Comisined DC ]]/$AO$1</f>
        <v>1</v>
      </c>
      <c r="AV546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46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46" s="27">
        <f t="shared" si="213"/>
        <v>45545</v>
      </c>
      <c r="BE546" s="5">
        <f>MONTH(Modelling[[#This Row],[Date]])</f>
        <v>9</v>
      </c>
      <c r="BF546" s="25">
        <f>YEAR(BD546)+IF(MONTH(Modelling[[#This Row],[Date]])&gt;=4,1,0)</f>
        <v>2025</v>
      </c>
      <c r="BG546" s="3">
        <f t="shared" si="207"/>
        <v>2024</v>
      </c>
      <c r="BH546" s="3" t="s">
        <v>627</v>
      </c>
      <c r="BI546" s="3" t="s">
        <v>627</v>
      </c>
      <c r="BJ546" s="102">
        <f>DATE(Modelling_old[[#This Row],[Calendor Year]],Modelling_old[[#This Row],[Start Month]],1)</f>
        <v>45536</v>
      </c>
      <c r="BK546" s="5">
        <f t="shared" si="208"/>
        <v>30</v>
      </c>
      <c r="BL546" s="5">
        <f t="shared" si="209"/>
        <v>9</v>
      </c>
      <c r="BM546" s="4">
        <f>Modelling_old[[#This Row],[Target E_Grid daily
MWh]]+Modelling_new[[#This Row],[Target E_Grid daily
MWh]]</f>
        <v>93.615789921985396</v>
      </c>
      <c r="BN546" s="4">
        <f>Modelling_old[[#This Row],[Target E_Grid MTD
MWh]]+Modelling_new[[#This Row],[Target E_Grid MTD
MWh]]</f>
        <v>936.15789921985402</v>
      </c>
      <c r="BO546" s="4">
        <f>Modelling_old[[#This Row],[Target E_Grid YTD
MWh]]+Modelling_new[[#This Row],[Target E_Grid YTD
MWh]]</f>
        <v>16008.152662809545</v>
      </c>
      <c r="BP546" s="4">
        <f>AVERAGE(Modelling_old[[#This Row],[Target POA Daily (KWh/m2)]],Modelling_new[[#This Row],[Target POA Daily (KWh/m2)]])</f>
        <v>4.9333333333333336</v>
      </c>
      <c r="BQ546" s="4">
        <f>SUM($BP$537:BP546)</f>
        <v>49.333333333333343</v>
      </c>
      <c r="BR546" s="4">
        <f>SUM($BP$384:BP546)</f>
        <v>870.13333333333003</v>
      </c>
      <c r="BS546" s="323">
        <f>BM546/Modelling[[#This Row],[Comisined DC ]]/BP546</f>
        <v>0.78081288530413306</v>
      </c>
      <c r="BT546" s="337">
        <f>BN546/BQ546/Modelling[[#This Row],[Comisined DC ]]</f>
        <v>0.78081288530413295</v>
      </c>
      <c r="BU546" s="337">
        <f>BO546/BR546/Modelling[[#This Row],[Comisined DC ]]</f>
        <v>0.7569962661693187</v>
      </c>
      <c r="BV546" s="323">
        <f>BM546/(24*Modelling[[#This Row],[Comisined DC ]])</f>
        <v>0.16050042642362736</v>
      </c>
      <c r="BW546" s="323">
        <f>Modelling[[#This Row],[Target E_Grid MTD
MWh]]/Modelling[[#This Row],[MTD DC Capcity]]/(24*CG546)</f>
        <v>0.16050042642362736</v>
      </c>
      <c r="BX546" s="338">
        <f>Modelling[[#This Row],[Target E_Grid YTD
MWh]]/Modelling[[#This Row],[YTD DC Capcity]]/(24*CH546)</f>
        <v>0.16837619744447663</v>
      </c>
      <c r="BY546" s="4">
        <f>Modelling_old[[#This Row],[DC Capcity]]+Modelling_new[[#This Row],[Comisined DC ]]</f>
        <v>24.303100000000001</v>
      </c>
      <c r="BZ546" s="4">
        <v>0</v>
      </c>
      <c r="CA546">
        <f>AVERAGEIFS(Modelling[[Comisined DC ]],Modelling[Date],"&lt;="&amp;Modelling[[#This Row],[Date]],Modelling[Month Year],Modelling[[#This Row],[Month Year]])</f>
        <v>24.303100000000001</v>
      </c>
      <c r="CB546">
        <f>AVERAGEIFS(Modelling[[Comisined DC ]],Modelling[Date],"&lt;="&amp;Modelling[[#This Row],[Date]],Modelling[Finacial Year],Modelling[[#This Row],[Finacial Year]])</f>
        <v>24.303100000000057</v>
      </c>
      <c r="CG546">
        <f t="shared" si="214"/>
        <v>10</v>
      </c>
      <c r="CH546">
        <f t="shared" si="211"/>
        <v>163</v>
      </c>
    </row>
    <row r="547" spans="1:86" x14ac:dyDescent="0.35">
      <c r="A547" s="27">
        <f t="shared" si="189"/>
        <v>45546</v>
      </c>
      <c r="B547" s="5">
        <f>MONTH(Modelling_old[[#This Row],[Date]])</f>
        <v>9</v>
      </c>
      <c r="C547" s="25">
        <f t="shared" si="190"/>
        <v>2025</v>
      </c>
      <c r="D547" s="3">
        <f t="shared" si="191"/>
        <v>2024</v>
      </c>
      <c r="E547" s="3" t="s">
        <v>627</v>
      </c>
      <c r="F547" s="3" t="s">
        <v>627</v>
      </c>
      <c r="G547" s="102">
        <f>DATE(Modelling_old[[#This Row],[Calendor Year]],Modelling_old[[#This Row],[Start Month]],1)</f>
        <v>45536</v>
      </c>
      <c r="H547" s="5">
        <f t="shared" si="192"/>
        <v>30</v>
      </c>
      <c r="I547" s="5">
        <f t="shared" si="193"/>
        <v>9</v>
      </c>
      <c r="J547" s="4">
        <f>_xlfn.XLOOKUP(Modelling_old[[#This Row],[Month]],$C$1:$C$14,$N$1:$N$14)/Modelling_old[[#This Row],[Total Days]]</f>
        <v>40.119999999999997</v>
      </c>
      <c r="K547" s="4">
        <f>SUM($J$537:J547)</f>
        <v>441.32</v>
      </c>
      <c r="L547" s="4">
        <f>SUM($J$384:J547)</f>
        <v>6966.7199999999893</v>
      </c>
      <c r="M547" s="4">
        <f t="shared" si="194"/>
        <v>4.9333333333333336</v>
      </c>
      <c r="N547" s="4">
        <f>SUM($M$537:M547)</f>
        <v>54.26666666666668</v>
      </c>
      <c r="O547" s="4">
        <f>SUM($M$384:M547)</f>
        <v>875.06666666666331</v>
      </c>
      <c r="P547" s="323">
        <f t="shared" si="195"/>
        <v>0.70697746106983606</v>
      </c>
      <c r="Q547" s="337">
        <f t="shared" si="196"/>
        <v>0.70697746106983606</v>
      </c>
      <c r="R547" s="337">
        <f t="shared" si="197"/>
        <v>0.6921055310778963</v>
      </c>
      <c r="S547" s="323">
        <f t="shared" si="198"/>
        <v>0.14532314477546632</v>
      </c>
      <c r="T547" s="9">
        <f>Modelling_old[[#This Row],[Target E_Grid MTD
MWh]]/Modelling_old[[#This Row],[DC Capcity]]/(24*CG547)</f>
        <v>0.14532314477546632</v>
      </c>
      <c r="U547" s="338">
        <f>Modelling_old[[#This Row],[Target E_Grid YTD
MWh]]/Modelling_old[[#This Row],[DC Capcity]]/(24*CH547)</f>
        <v>0.15387156505637586</v>
      </c>
      <c r="V547" s="134">
        <v>11.5031</v>
      </c>
      <c r="Y547" s="27">
        <f t="shared" si="212"/>
        <v>45546</v>
      </c>
      <c r="Z547" s="5">
        <f>MONTH(Modelling_new[[#This Row],[Date]])</f>
        <v>9</v>
      </c>
      <c r="AA547" s="25">
        <f>YEAR(Y547)+IF(MONTH(Modelling_new[[#This Row],[Date]])&gt;=4,1,0)</f>
        <v>2025</v>
      </c>
      <c r="AB547" s="3">
        <f t="shared" si="199"/>
        <v>2024</v>
      </c>
      <c r="AC547" s="3" t="s">
        <v>627</v>
      </c>
      <c r="AD547" s="3" t="s">
        <v>627</v>
      </c>
      <c r="AE547" s="102">
        <f>DATE(Modelling_old[[#This Row],[Calendor Year]],Modelling_old[[#This Row],[Start Month]],1)</f>
        <v>45536</v>
      </c>
      <c r="AF547" s="5">
        <f t="shared" si="200"/>
        <v>30</v>
      </c>
      <c r="AG547" s="5">
        <f t="shared" si="201"/>
        <v>9</v>
      </c>
      <c r="AH547" s="4">
        <f>_xlfn.XLOOKUP(Modelling_new[[#This Row],[Month]],$AA$1:$AA$14,$AL$1:$AL$14)/Modelling_new[[#This Row],[Total Days]]</f>
        <v>53.495789921985406</v>
      </c>
      <c r="AI547" s="4">
        <f>SUM($AH$537:AH547)</f>
        <v>588.4536891418395</v>
      </c>
      <c r="AJ547" s="4">
        <f>SUM($AH$384:AH547)</f>
        <v>9135.0484527315421</v>
      </c>
      <c r="AK547" s="4">
        <f t="shared" si="202"/>
        <v>4.9333333333333336</v>
      </c>
      <c r="AL547" s="4">
        <f>SUM($AK$537:AK547)</f>
        <v>54.26666666666668</v>
      </c>
      <c r="AM547" s="4">
        <f>SUM($AK$384:AK547)</f>
        <v>875.06666666666331</v>
      </c>
      <c r="AN547" s="323">
        <f t="shared" si="203"/>
        <v>0.94267990371312482</v>
      </c>
      <c r="AO547" s="323">
        <f t="shared" si="204"/>
        <v>0.94267990371312471</v>
      </c>
      <c r="AP547" s="323">
        <f t="shared" si="205"/>
        <v>0.90751710429012344</v>
      </c>
      <c r="AQ547" s="323">
        <f t="shared" si="206"/>
        <v>0.19377309131880904</v>
      </c>
      <c r="AR547" s="323">
        <f>Modelling_new[[#This Row],[Target E_Grid MTD
MWh]]/Modelling_new[[#This Row],[MTD DC Capcity]]/(24*CG547)</f>
        <v>0.17413994115229628</v>
      </c>
      <c r="AS547" s="323">
        <f>Modelling_new[[#This Row],[Target E_Grid YTD
MWh]]/Modelling_new[[#This Row],[YTD DC Capcity]]/(24*CH547)</f>
        <v>0.18132003566302168</v>
      </c>
      <c r="AT547" s="5">
        <v>12.8</v>
      </c>
      <c r="AU547" s="9">
        <f>Modelling_new[[#This Row],[Comisined DC ]]/$AO$1</f>
        <v>1</v>
      </c>
      <c r="AV547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47" s="5">
        <f>AVERAGEIFS(Modelling_new[[Comisined DC ]],Modelling_new[Date],"&lt;="&amp;Modelling_new[[#This Row],[Date]],Modelling_new[[Comisined DC ]],"&gt;"&amp;0,Modelling_new[Finacial Year],Modelling_new[[#This Row],[Finacial Year]])</f>
        <v>12.799999999999971</v>
      </c>
      <c r="BD547" s="27">
        <f t="shared" si="213"/>
        <v>45546</v>
      </c>
      <c r="BE547" s="5">
        <f>MONTH(Modelling[[#This Row],[Date]])</f>
        <v>9</v>
      </c>
      <c r="BF547" s="25">
        <f>YEAR(BD547)+IF(MONTH(Modelling[[#This Row],[Date]])&gt;=4,1,0)</f>
        <v>2025</v>
      </c>
      <c r="BG547" s="3">
        <f t="shared" si="207"/>
        <v>2024</v>
      </c>
      <c r="BH547" s="3" t="s">
        <v>627</v>
      </c>
      <c r="BI547" s="3" t="s">
        <v>627</v>
      </c>
      <c r="BJ547" s="102">
        <f>DATE(Modelling_old[[#This Row],[Calendor Year]],Modelling_old[[#This Row],[Start Month]],1)</f>
        <v>45536</v>
      </c>
      <c r="BK547" s="5">
        <f t="shared" si="208"/>
        <v>30</v>
      </c>
      <c r="BL547" s="5">
        <f t="shared" si="209"/>
        <v>9</v>
      </c>
      <c r="BM547" s="4">
        <f>Modelling_old[[#This Row],[Target E_Grid daily
MWh]]+Modelling_new[[#This Row],[Target E_Grid daily
MWh]]</f>
        <v>93.615789921985396</v>
      </c>
      <c r="BN547" s="4">
        <f>Modelling_old[[#This Row],[Target E_Grid MTD
MWh]]+Modelling_new[[#This Row],[Target E_Grid MTD
MWh]]</f>
        <v>1029.7736891418394</v>
      </c>
      <c r="BO547" s="4">
        <f>Modelling_old[[#This Row],[Target E_Grid YTD
MWh]]+Modelling_new[[#This Row],[Target E_Grid YTD
MWh]]</f>
        <v>16101.768452731532</v>
      </c>
      <c r="BP547" s="4">
        <f>AVERAGE(Modelling_old[[#This Row],[Target POA Daily (KWh/m2)]],Modelling_new[[#This Row],[Target POA Daily (KWh/m2)]])</f>
        <v>4.9333333333333336</v>
      </c>
      <c r="BQ547" s="4">
        <f>SUM($BP$537:BP547)</f>
        <v>54.26666666666668</v>
      </c>
      <c r="BR547" s="4">
        <f>SUM($BP$384:BP547)</f>
        <v>875.06666666666331</v>
      </c>
      <c r="BS547" s="323">
        <f>BM547/Modelling[[#This Row],[Comisined DC ]]/BP547</f>
        <v>0.78081288530413306</v>
      </c>
      <c r="BT547" s="337">
        <f>BN547/BQ547/Modelling[[#This Row],[Comisined DC ]]</f>
        <v>0.78081288530413295</v>
      </c>
      <c r="BU547" s="337">
        <f>BO547/BR547/Modelling[[#This Row],[Comisined DC ]]</f>
        <v>0.75713053630614469</v>
      </c>
      <c r="BV547" s="323">
        <f>BM547/(24*Modelling[[#This Row],[Comisined DC ]])</f>
        <v>0.16050042642362736</v>
      </c>
      <c r="BW547" s="323">
        <f>Modelling[[#This Row],[Target E_Grid MTD
MWh]]/Modelling[[#This Row],[MTD DC Capcity]]/(24*CG547)</f>
        <v>0.16050042642362736</v>
      </c>
      <c r="BX547" s="338">
        <f>Modelling[[#This Row],[Target E_Grid YTD
MWh]]/Modelling[[#This Row],[YTD DC Capcity]]/(24*CH547)</f>
        <v>0.16832817445044707</v>
      </c>
      <c r="BY547" s="4">
        <f>Modelling_old[[#This Row],[DC Capcity]]+Modelling_new[[#This Row],[Comisined DC ]]</f>
        <v>24.303100000000001</v>
      </c>
      <c r="BZ547" s="4">
        <v>0</v>
      </c>
      <c r="CA547">
        <f>AVERAGEIFS(Modelling[[Comisined DC ]],Modelling[Date],"&lt;="&amp;Modelling[[#This Row],[Date]],Modelling[Month Year],Modelling[[#This Row],[Month Year]])</f>
        <v>24.303100000000004</v>
      </c>
      <c r="CB547">
        <f>AVERAGEIFS(Modelling[[Comisined DC ]],Modelling[Date],"&lt;="&amp;Modelling[[#This Row],[Date]],Modelling[Finacial Year],Modelling[[#This Row],[Finacial Year]])</f>
        <v>24.303100000000057</v>
      </c>
      <c r="CG547">
        <f t="shared" si="214"/>
        <v>11</v>
      </c>
      <c r="CH547">
        <f t="shared" si="211"/>
        <v>164</v>
      </c>
    </row>
    <row r="548" spans="1:86" x14ac:dyDescent="0.35">
      <c r="A548" s="27">
        <f t="shared" si="189"/>
        <v>45547</v>
      </c>
      <c r="B548" s="5">
        <f>MONTH(Modelling_old[[#This Row],[Date]])</f>
        <v>9</v>
      </c>
      <c r="C548" s="25">
        <f t="shared" si="190"/>
        <v>2025</v>
      </c>
      <c r="D548" s="3">
        <f t="shared" si="191"/>
        <v>2024</v>
      </c>
      <c r="E548" s="3" t="s">
        <v>627</v>
      </c>
      <c r="F548" s="3" t="s">
        <v>627</v>
      </c>
      <c r="G548" s="102">
        <f>DATE(Modelling_old[[#This Row],[Calendor Year]],Modelling_old[[#This Row],[Start Month]],1)</f>
        <v>45536</v>
      </c>
      <c r="H548" s="5">
        <f t="shared" si="192"/>
        <v>30</v>
      </c>
      <c r="I548" s="5">
        <f t="shared" si="193"/>
        <v>9</v>
      </c>
      <c r="J548" s="4">
        <f>_xlfn.XLOOKUP(Modelling_old[[#This Row],[Month]],$C$1:$C$14,$N$1:$N$14)/Modelling_old[[#This Row],[Total Days]]</f>
        <v>40.119999999999997</v>
      </c>
      <c r="K548" s="4">
        <f>SUM($J$537:J548)</f>
        <v>481.44</v>
      </c>
      <c r="L548" s="4">
        <f>SUM($J$384:J548)</f>
        <v>7006.8399999999892</v>
      </c>
      <c r="M548" s="4">
        <f t="shared" si="194"/>
        <v>4.9333333333333336</v>
      </c>
      <c r="N548" s="4">
        <f>SUM($M$537:M548)</f>
        <v>59.200000000000017</v>
      </c>
      <c r="O548" s="4">
        <f>SUM($M$384:M548)</f>
        <v>879.99999999999659</v>
      </c>
      <c r="P548" s="323">
        <f t="shared" si="195"/>
        <v>0.70697746106983606</v>
      </c>
      <c r="Q548" s="337">
        <f t="shared" si="196"/>
        <v>0.70697746106983606</v>
      </c>
      <c r="R548" s="337">
        <f t="shared" si="197"/>
        <v>0.69218890401876021</v>
      </c>
      <c r="S548" s="323">
        <f t="shared" si="198"/>
        <v>0.14532314477546632</v>
      </c>
      <c r="T548" s="9">
        <f>Modelling_old[[#This Row],[Target E_Grid MTD
MWh]]/Modelling_old[[#This Row],[DC Capcity]]/(24*CG548)</f>
        <v>0.14532314477546632</v>
      </c>
      <c r="U548" s="338">
        <f>Modelling_old[[#This Row],[Target E_Grid YTD
MWh]]/Modelling_old[[#This Row],[DC Capcity]]/(24*CH548)</f>
        <v>0.15381975644861279</v>
      </c>
      <c r="V548" s="134">
        <v>11.5031</v>
      </c>
      <c r="Y548" s="27">
        <f t="shared" si="212"/>
        <v>45547</v>
      </c>
      <c r="Z548" s="5">
        <f>MONTH(Modelling_new[[#This Row],[Date]])</f>
        <v>9</v>
      </c>
      <c r="AA548" s="25">
        <f>YEAR(Y548)+IF(MONTH(Modelling_new[[#This Row],[Date]])&gt;=4,1,0)</f>
        <v>2025</v>
      </c>
      <c r="AB548" s="3">
        <f t="shared" si="199"/>
        <v>2024</v>
      </c>
      <c r="AC548" s="3" t="s">
        <v>627</v>
      </c>
      <c r="AD548" s="3" t="s">
        <v>627</v>
      </c>
      <c r="AE548" s="102">
        <f>DATE(Modelling_old[[#This Row],[Calendor Year]],Modelling_old[[#This Row],[Start Month]],1)</f>
        <v>45536</v>
      </c>
      <c r="AF548" s="5">
        <f t="shared" si="200"/>
        <v>30</v>
      </c>
      <c r="AG548" s="5">
        <f t="shared" si="201"/>
        <v>9</v>
      </c>
      <c r="AH548" s="4">
        <f>_xlfn.XLOOKUP(Modelling_new[[#This Row],[Month]],$AA$1:$AA$14,$AL$1:$AL$14)/Modelling_new[[#This Row],[Total Days]]</f>
        <v>53.495789921985406</v>
      </c>
      <c r="AI548" s="4">
        <f>SUM($AH$537:AH548)</f>
        <v>641.94947906382492</v>
      </c>
      <c r="AJ548" s="4">
        <f>SUM($AH$384:AH548)</f>
        <v>9188.5442426535283</v>
      </c>
      <c r="AK548" s="4">
        <f t="shared" si="202"/>
        <v>4.9333333333333336</v>
      </c>
      <c r="AL548" s="4">
        <f>SUM($AK$537:AK548)</f>
        <v>59.200000000000017</v>
      </c>
      <c r="AM548" s="4">
        <f>SUM($AK$384:AK548)</f>
        <v>879.99999999999659</v>
      </c>
      <c r="AN548" s="323">
        <f t="shared" si="203"/>
        <v>0.94267990371312482</v>
      </c>
      <c r="AO548" s="323">
        <f t="shared" si="204"/>
        <v>0.94267990371312471</v>
      </c>
      <c r="AP548" s="323">
        <f t="shared" si="205"/>
        <v>0.90771422907476751</v>
      </c>
      <c r="AQ548" s="323">
        <f t="shared" si="206"/>
        <v>0.19377309131880904</v>
      </c>
      <c r="AR548" s="323">
        <f>Modelling_new[[#This Row],[Target E_Grid MTD
MWh]]/Modelling_new[[#This Row],[MTD DC Capcity]]/(24*CG548)</f>
        <v>0.17413994115229625</v>
      </c>
      <c r="AS548" s="323">
        <f>Modelling_new[[#This Row],[Target E_Grid YTD
MWh]]/Modelling_new[[#This Row],[YTD DC Capcity]]/(24*CH548)</f>
        <v>0.18127651993871424</v>
      </c>
      <c r="AT548" s="5">
        <v>12.8</v>
      </c>
      <c r="AU548" s="9">
        <f>Modelling_new[[#This Row],[Comisined DC ]]/$AO$1</f>
        <v>1</v>
      </c>
      <c r="AV548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48" s="5">
        <f>AVERAGEIFS(Modelling_new[[Comisined DC ]],Modelling_new[Date],"&lt;="&amp;Modelling_new[[#This Row],[Date]],Modelling_new[[Comisined DC ]],"&gt;"&amp;0,Modelling_new[Finacial Year],Modelling_new[[#This Row],[Finacial Year]])</f>
        <v>12.799999999999972</v>
      </c>
      <c r="BD548" s="27">
        <f t="shared" si="213"/>
        <v>45547</v>
      </c>
      <c r="BE548" s="5">
        <f>MONTH(Modelling[[#This Row],[Date]])</f>
        <v>9</v>
      </c>
      <c r="BF548" s="25">
        <f>YEAR(BD548)+IF(MONTH(Modelling[[#This Row],[Date]])&gt;=4,1,0)</f>
        <v>2025</v>
      </c>
      <c r="BG548" s="3">
        <f t="shared" si="207"/>
        <v>2024</v>
      </c>
      <c r="BH548" s="3" t="s">
        <v>627</v>
      </c>
      <c r="BI548" s="3" t="s">
        <v>627</v>
      </c>
      <c r="BJ548" s="102">
        <f>DATE(Modelling_old[[#This Row],[Calendor Year]],Modelling_old[[#This Row],[Start Month]],1)</f>
        <v>45536</v>
      </c>
      <c r="BK548" s="5">
        <f t="shared" si="208"/>
        <v>30</v>
      </c>
      <c r="BL548" s="5">
        <f t="shared" si="209"/>
        <v>9</v>
      </c>
      <c r="BM548" s="4">
        <f>Modelling_old[[#This Row],[Target E_Grid daily
MWh]]+Modelling_new[[#This Row],[Target E_Grid daily
MWh]]</f>
        <v>93.615789921985396</v>
      </c>
      <c r="BN548" s="4">
        <f>Modelling_old[[#This Row],[Target E_Grid MTD
MWh]]+Modelling_new[[#This Row],[Target E_Grid MTD
MWh]]</f>
        <v>1123.3894790638249</v>
      </c>
      <c r="BO548" s="4">
        <f>Modelling_old[[#This Row],[Target E_Grid YTD
MWh]]+Modelling_new[[#This Row],[Target E_Grid YTD
MWh]]</f>
        <v>16195.384242653518</v>
      </c>
      <c r="BP548" s="4">
        <f>AVERAGE(Modelling_old[[#This Row],[Target POA Daily (KWh/m2)]],Modelling_new[[#This Row],[Target POA Daily (KWh/m2)]])</f>
        <v>4.9333333333333336</v>
      </c>
      <c r="BQ548" s="4">
        <f>SUM($BP$537:BP548)</f>
        <v>59.200000000000017</v>
      </c>
      <c r="BR548" s="4">
        <f>SUM($BP$384:BP548)</f>
        <v>879.99999999999659</v>
      </c>
      <c r="BS548" s="323">
        <f>BM548/Modelling[[#This Row],[Comisined DC ]]/BP548</f>
        <v>0.78081288530413306</v>
      </c>
      <c r="BT548" s="337">
        <f>BN548/BQ548/Modelling[[#This Row],[Comisined DC ]]</f>
        <v>0.78081288530413295</v>
      </c>
      <c r="BU548" s="337">
        <f>BO548/BR548/Modelling[[#This Row],[Comisined DC ]]</f>
        <v>0.75726330098992145</v>
      </c>
      <c r="BV548" s="323">
        <f>BM548/(24*Modelling[[#This Row],[Comisined DC ]])</f>
        <v>0.16050042642362736</v>
      </c>
      <c r="BW548" s="323">
        <f>Modelling[[#This Row],[Target E_Grid MTD
MWh]]/Modelling[[#This Row],[MTD DC Capcity]]/(24*CG548)</f>
        <v>0.16050042642362738</v>
      </c>
      <c r="BX548" s="338">
        <f>Modelling[[#This Row],[Target E_Grid YTD
MWh]]/Modelling[[#This Row],[YTD DC Capcity]]/(24*CH548)</f>
        <v>0.1682807335533148</v>
      </c>
      <c r="BY548" s="4">
        <f>Modelling_old[[#This Row],[DC Capcity]]+Modelling_new[[#This Row],[Comisined DC ]]</f>
        <v>24.303100000000001</v>
      </c>
      <c r="BZ548" s="4">
        <v>0</v>
      </c>
      <c r="CA548">
        <f>AVERAGEIFS(Modelling[[Comisined DC ]],Modelling[Date],"&lt;="&amp;Modelling[[#This Row],[Date]],Modelling[Month Year],Modelling[[#This Row],[Month Year]])</f>
        <v>24.303100000000001</v>
      </c>
      <c r="CB548">
        <f>AVERAGEIFS(Modelling[[Comisined DC ]],Modelling[Date],"&lt;="&amp;Modelling[[#This Row],[Date]],Modelling[Finacial Year],Modelling[[#This Row],[Finacial Year]])</f>
        <v>24.303100000000057</v>
      </c>
      <c r="CG548">
        <f t="shared" si="214"/>
        <v>12</v>
      </c>
      <c r="CH548">
        <f t="shared" si="211"/>
        <v>165</v>
      </c>
    </row>
    <row r="549" spans="1:86" x14ac:dyDescent="0.35">
      <c r="A549" s="27">
        <f t="shared" si="189"/>
        <v>45548</v>
      </c>
      <c r="B549" s="5">
        <f>MONTH(Modelling_old[[#This Row],[Date]])</f>
        <v>9</v>
      </c>
      <c r="C549" s="25">
        <f t="shared" si="190"/>
        <v>2025</v>
      </c>
      <c r="D549" s="3">
        <f t="shared" si="191"/>
        <v>2024</v>
      </c>
      <c r="E549" s="3" t="s">
        <v>627</v>
      </c>
      <c r="F549" s="3" t="s">
        <v>627</v>
      </c>
      <c r="G549" s="102">
        <f>DATE(Modelling_old[[#This Row],[Calendor Year]],Modelling_old[[#This Row],[Start Month]],1)</f>
        <v>45536</v>
      </c>
      <c r="H549" s="5">
        <f t="shared" si="192"/>
        <v>30</v>
      </c>
      <c r="I549" s="5">
        <f t="shared" si="193"/>
        <v>9</v>
      </c>
      <c r="J549" s="4">
        <f>_xlfn.XLOOKUP(Modelling_old[[#This Row],[Month]],$C$1:$C$14,$N$1:$N$14)/Modelling_old[[#This Row],[Total Days]]</f>
        <v>40.119999999999997</v>
      </c>
      <c r="K549" s="4">
        <f>SUM($J$537:J549)</f>
        <v>521.55999999999995</v>
      </c>
      <c r="L549" s="4">
        <f>SUM($J$384:J549)</f>
        <v>7046.9599999999891</v>
      </c>
      <c r="M549" s="4">
        <f t="shared" si="194"/>
        <v>4.9333333333333336</v>
      </c>
      <c r="N549" s="4">
        <f>SUM($M$537:M549)</f>
        <v>64.133333333333354</v>
      </c>
      <c r="O549" s="4">
        <f>SUM($M$384:M549)</f>
        <v>884.93333333332987</v>
      </c>
      <c r="P549" s="323">
        <f t="shared" si="195"/>
        <v>0.70697746106983606</v>
      </c>
      <c r="Q549" s="337">
        <f t="shared" si="196"/>
        <v>0.70697746106983583</v>
      </c>
      <c r="R549" s="337">
        <f t="shared" si="197"/>
        <v>0.69227134738336626</v>
      </c>
      <c r="S549" s="323">
        <f t="shared" si="198"/>
        <v>0.14532314477546632</v>
      </c>
      <c r="T549" s="9">
        <f>Modelling_old[[#This Row],[Target E_Grid MTD
MWh]]/Modelling_old[[#This Row],[DC Capcity]]/(24*CG549)</f>
        <v>0.14532314477546629</v>
      </c>
      <c r="U549" s="338">
        <f>Modelling_old[[#This Row],[Target E_Grid YTD
MWh]]/Modelling_old[[#This Row],[DC Capcity]]/(24*CH549)</f>
        <v>0.15376857204094324</v>
      </c>
      <c r="V549" s="134">
        <v>11.5031</v>
      </c>
      <c r="Y549" s="27">
        <f t="shared" si="212"/>
        <v>45548</v>
      </c>
      <c r="Z549" s="5">
        <f>MONTH(Modelling_new[[#This Row],[Date]])</f>
        <v>9</v>
      </c>
      <c r="AA549" s="25">
        <f>YEAR(Y549)+IF(MONTH(Modelling_new[[#This Row],[Date]])&gt;=4,1,0)</f>
        <v>2025</v>
      </c>
      <c r="AB549" s="3">
        <f t="shared" si="199"/>
        <v>2024</v>
      </c>
      <c r="AC549" s="3" t="s">
        <v>627</v>
      </c>
      <c r="AD549" s="3" t="s">
        <v>627</v>
      </c>
      <c r="AE549" s="102">
        <f>DATE(Modelling_old[[#This Row],[Calendor Year]],Modelling_old[[#This Row],[Start Month]],1)</f>
        <v>45536</v>
      </c>
      <c r="AF549" s="5">
        <f t="shared" si="200"/>
        <v>30</v>
      </c>
      <c r="AG549" s="5">
        <f t="shared" si="201"/>
        <v>9</v>
      </c>
      <c r="AH549" s="4">
        <f>_xlfn.XLOOKUP(Modelling_new[[#This Row],[Month]],$AA$1:$AA$14,$AL$1:$AL$14)/Modelling_new[[#This Row],[Total Days]]</f>
        <v>53.495789921985406</v>
      </c>
      <c r="AI549" s="4">
        <f>SUM($AH$537:AH549)</f>
        <v>695.44526898581034</v>
      </c>
      <c r="AJ549" s="4">
        <f>SUM($AH$384:AH549)</f>
        <v>9242.0400325755145</v>
      </c>
      <c r="AK549" s="4">
        <f t="shared" si="202"/>
        <v>4.9333333333333336</v>
      </c>
      <c r="AL549" s="4">
        <f>SUM($AK$537:AK549)</f>
        <v>64.133333333333354</v>
      </c>
      <c r="AM549" s="4">
        <f>SUM($AK$384:AK549)</f>
        <v>884.93333333332987</v>
      </c>
      <c r="AN549" s="323">
        <f t="shared" si="203"/>
        <v>0.94267990371312482</v>
      </c>
      <c r="AO549" s="323">
        <f t="shared" si="204"/>
        <v>0.94267990371312471</v>
      </c>
      <c r="AP549" s="323">
        <f t="shared" si="205"/>
        <v>0.9079091559938004</v>
      </c>
      <c r="AQ549" s="323">
        <f t="shared" si="206"/>
        <v>0.19377309131880904</v>
      </c>
      <c r="AR549" s="323">
        <f>Modelling_new[[#This Row],[Target E_Grid MTD
MWh]]/Modelling_new[[#This Row],[MTD DC Capcity]]/(24*CG549)</f>
        <v>0.17413994115229625</v>
      </c>
      <c r="AS549" s="323">
        <f>Modelling_new[[#This Row],[Target E_Grid YTD
MWh]]/Modelling_new[[#This Row],[YTD DC Capcity]]/(24*CH549)</f>
        <v>0.18123352850024185</v>
      </c>
      <c r="AT549" s="5">
        <v>12.8</v>
      </c>
      <c r="AU549" s="9">
        <f>Modelling_new[[#This Row],[Comisined DC ]]/$AO$1</f>
        <v>1</v>
      </c>
      <c r="AV549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49" s="5">
        <f>AVERAGEIFS(Modelling_new[[Comisined DC ]],Modelling_new[Date],"&lt;="&amp;Modelling_new[[#This Row],[Date]],Modelling_new[[Comisined DC ]],"&gt;"&amp;0,Modelling_new[Finacial Year],Modelling_new[[#This Row],[Finacial Year]])</f>
        <v>12.799999999999974</v>
      </c>
      <c r="BD549" s="27">
        <f t="shared" si="213"/>
        <v>45548</v>
      </c>
      <c r="BE549" s="5">
        <f>MONTH(Modelling[[#This Row],[Date]])</f>
        <v>9</v>
      </c>
      <c r="BF549" s="25">
        <f>YEAR(BD549)+IF(MONTH(Modelling[[#This Row],[Date]])&gt;=4,1,0)</f>
        <v>2025</v>
      </c>
      <c r="BG549" s="3">
        <f t="shared" si="207"/>
        <v>2024</v>
      </c>
      <c r="BH549" s="3" t="s">
        <v>627</v>
      </c>
      <c r="BI549" s="3" t="s">
        <v>627</v>
      </c>
      <c r="BJ549" s="102">
        <f>DATE(Modelling_old[[#This Row],[Calendor Year]],Modelling_old[[#This Row],[Start Month]],1)</f>
        <v>45536</v>
      </c>
      <c r="BK549" s="5">
        <f t="shared" si="208"/>
        <v>30</v>
      </c>
      <c r="BL549" s="5">
        <f t="shared" si="209"/>
        <v>9</v>
      </c>
      <c r="BM549" s="4">
        <f>Modelling_old[[#This Row],[Target E_Grid daily
MWh]]+Modelling_new[[#This Row],[Target E_Grid daily
MWh]]</f>
        <v>93.615789921985396</v>
      </c>
      <c r="BN549" s="4">
        <f>Modelling_old[[#This Row],[Target E_Grid MTD
MWh]]+Modelling_new[[#This Row],[Target E_Grid MTD
MWh]]</f>
        <v>1217.0052689858103</v>
      </c>
      <c r="BO549" s="4">
        <f>Modelling_old[[#This Row],[Target E_Grid YTD
MWh]]+Modelling_new[[#This Row],[Target E_Grid YTD
MWh]]</f>
        <v>16289.000032575503</v>
      </c>
      <c r="BP549" s="4">
        <f>AVERAGE(Modelling_old[[#This Row],[Target POA Daily (KWh/m2)]],Modelling_new[[#This Row],[Target POA Daily (KWh/m2)]])</f>
        <v>4.9333333333333336</v>
      </c>
      <c r="BQ549" s="4">
        <f>SUM($BP$537:BP549)</f>
        <v>64.133333333333354</v>
      </c>
      <c r="BR549" s="4">
        <f>SUM($BP$384:BP549)</f>
        <v>884.93333333332987</v>
      </c>
      <c r="BS549" s="323">
        <f>BM549/Modelling[[#This Row],[Comisined DC ]]/BP549</f>
        <v>0.78081288530413306</v>
      </c>
      <c r="BT549" s="337">
        <f>BN549/BQ549/Modelling[[#This Row],[Comisined DC ]]</f>
        <v>0.78081288530413295</v>
      </c>
      <c r="BU549" s="337">
        <f>BO549/BR549/Modelling[[#This Row],[Comisined DC ]]</f>
        <v>0.75739458539848348</v>
      </c>
      <c r="BV549" s="323">
        <f>BM549/(24*Modelling[[#This Row],[Comisined DC ]])</f>
        <v>0.16050042642362736</v>
      </c>
      <c r="BW549" s="323">
        <f>Modelling[[#This Row],[Target E_Grid MTD
MWh]]/Modelling[[#This Row],[MTD DC Capcity]]/(24*CG549)</f>
        <v>0.16050042642362738</v>
      </c>
      <c r="BX549" s="338">
        <f>Modelling[[#This Row],[Target E_Grid YTD
MWh]]/Modelling[[#This Row],[YTD DC Capcity]]/(24*CH549)</f>
        <v>0.16823386423325645</v>
      </c>
      <c r="BY549" s="4">
        <f>Modelling_old[[#This Row],[DC Capcity]]+Modelling_new[[#This Row],[Comisined DC ]]</f>
        <v>24.303100000000001</v>
      </c>
      <c r="BZ549" s="4">
        <v>0</v>
      </c>
      <c r="CA549">
        <f>AVERAGEIFS(Modelling[[Comisined DC ]],Modelling[Date],"&lt;="&amp;Modelling[[#This Row],[Date]],Modelling[Month Year],Modelling[[#This Row],[Month Year]])</f>
        <v>24.303099999999997</v>
      </c>
      <c r="CB549">
        <f>AVERAGEIFS(Modelling[[Comisined DC ]],Modelling[Date],"&lt;="&amp;Modelling[[#This Row],[Date]],Modelling[Finacial Year],Modelling[[#This Row],[Finacial Year]])</f>
        <v>24.303100000000057</v>
      </c>
      <c r="CG549">
        <f t="shared" si="214"/>
        <v>13</v>
      </c>
      <c r="CH549">
        <f t="shared" si="211"/>
        <v>166</v>
      </c>
    </row>
    <row r="550" spans="1:86" x14ac:dyDescent="0.35">
      <c r="A550" s="27">
        <f t="shared" si="189"/>
        <v>45549</v>
      </c>
      <c r="B550" s="5">
        <f>MONTH(Modelling_old[[#This Row],[Date]])</f>
        <v>9</v>
      </c>
      <c r="C550" s="25">
        <f t="shared" si="190"/>
        <v>2025</v>
      </c>
      <c r="D550" s="3">
        <f t="shared" si="191"/>
        <v>2024</v>
      </c>
      <c r="E550" s="3" t="s">
        <v>627</v>
      </c>
      <c r="F550" s="3" t="s">
        <v>627</v>
      </c>
      <c r="G550" s="102">
        <f>DATE(Modelling_old[[#This Row],[Calendor Year]],Modelling_old[[#This Row],[Start Month]],1)</f>
        <v>45536</v>
      </c>
      <c r="H550" s="5">
        <f t="shared" si="192"/>
        <v>30</v>
      </c>
      <c r="I550" s="5">
        <f t="shared" si="193"/>
        <v>9</v>
      </c>
      <c r="J550" s="4">
        <f>_xlfn.XLOOKUP(Modelling_old[[#This Row],[Month]],$C$1:$C$14,$N$1:$N$14)/Modelling_old[[#This Row],[Total Days]]</f>
        <v>40.119999999999997</v>
      </c>
      <c r="K550" s="4">
        <f>SUM($J$537:J550)</f>
        <v>561.67999999999995</v>
      </c>
      <c r="L550" s="4">
        <f>SUM($J$384:J550)</f>
        <v>7087.079999999989</v>
      </c>
      <c r="M550" s="4">
        <f t="shared" si="194"/>
        <v>4.9333333333333336</v>
      </c>
      <c r="N550" s="4">
        <f>SUM($M$537:M550)</f>
        <v>69.066666666666691</v>
      </c>
      <c r="O550" s="4">
        <f>SUM($M$384:M550)</f>
        <v>889.86666666666315</v>
      </c>
      <c r="P550" s="323">
        <f t="shared" si="195"/>
        <v>0.70697746106983606</v>
      </c>
      <c r="Q550" s="337">
        <f t="shared" si="196"/>
        <v>0.70697746106983583</v>
      </c>
      <c r="R550" s="337">
        <f t="shared" si="197"/>
        <v>0.6923528766321525</v>
      </c>
      <c r="S550" s="323">
        <f t="shared" si="198"/>
        <v>0.14532314477546632</v>
      </c>
      <c r="T550" s="9">
        <f>Modelling_old[[#This Row],[Target E_Grid MTD
MWh]]/Modelling_old[[#This Row],[DC Capcity]]/(24*CG550)</f>
        <v>0.14532314477546632</v>
      </c>
      <c r="U550" s="338">
        <f>Modelling_old[[#This Row],[Target E_Grid YTD
MWh]]/Modelling_old[[#This Row],[DC Capcity]]/(24*CH550)</f>
        <v>0.15371800062019186</v>
      </c>
      <c r="V550" s="134">
        <v>11.5031</v>
      </c>
      <c r="Y550" s="27">
        <f t="shared" si="212"/>
        <v>45549</v>
      </c>
      <c r="Z550" s="5">
        <f>MONTH(Modelling_new[[#This Row],[Date]])</f>
        <v>9</v>
      </c>
      <c r="AA550" s="25">
        <f>YEAR(Y550)+IF(MONTH(Modelling_new[[#This Row],[Date]])&gt;=4,1,0)</f>
        <v>2025</v>
      </c>
      <c r="AB550" s="3">
        <f t="shared" si="199"/>
        <v>2024</v>
      </c>
      <c r="AC550" s="3" t="s">
        <v>627</v>
      </c>
      <c r="AD550" s="3" t="s">
        <v>627</v>
      </c>
      <c r="AE550" s="102">
        <f>DATE(Modelling_old[[#This Row],[Calendor Year]],Modelling_old[[#This Row],[Start Month]],1)</f>
        <v>45536</v>
      </c>
      <c r="AF550" s="5">
        <f t="shared" si="200"/>
        <v>30</v>
      </c>
      <c r="AG550" s="5">
        <f t="shared" si="201"/>
        <v>9</v>
      </c>
      <c r="AH550" s="4">
        <f>_xlfn.XLOOKUP(Modelling_new[[#This Row],[Month]],$AA$1:$AA$14,$AL$1:$AL$14)/Modelling_new[[#This Row],[Total Days]]</f>
        <v>53.495789921985406</v>
      </c>
      <c r="AI550" s="4">
        <f>SUM($AH$537:AH550)</f>
        <v>748.94105890779576</v>
      </c>
      <c r="AJ550" s="4">
        <f>SUM($AH$384:AH550)</f>
        <v>9295.5358224975007</v>
      </c>
      <c r="AK550" s="4">
        <f t="shared" si="202"/>
        <v>4.9333333333333336</v>
      </c>
      <c r="AL550" s="4">
        <f>SUM($AK$537:AK550)</f>
        <v>69.066666666666691</v>
      </c>
      <c r="AM550" s="4">
        <f>SUM($AK$384:AK550)</f>
        <v>889.86666666666315</v>
      </c>
      <c r="AN550" s="323">
        <f t="shared" si="203"/>
        <v>0.94267990371312482</v>
      </c>
      <c r="AO550" s="323">
        <f t="shared" si="204"/>
        <v>0.94267990371312471</v>
      </c>
      <c r="AP550" s="323">
        <f t="shared" si="205"/>
        <v>0.90810192160147429</v>
      </c>
      <c r="AQ550" s="323">
        <f t="shared" si="206"/>
        <v>0.19377309131880904</v>
      </c>
      <c r="AR550" s="323">
        <f>Modelling_new[[#This Row],[Target E_Grid MTD
MWh]]/Modelling_new[[#This Row],[MTD DC Capcity]]/(24*CG550)</f>
        <v>0.17413994115229625</v>
      </c>
      <c r="AS550" s="323">
        <f>Modelling_new[[#This Row],[Target E_Grid YTD
MWh]]/Modelling_new[[#This Row],[YTD DC Capcity]]/(24*CH550)</f>
        <v>0.18119105192929608</v>
      </c>
      <c r="AT550" s="5">
        <v>12.8</v>
      </c>
      <c r="AU550" s="9">
        <f>Modelling_new[[#This Row],[Comisined DC ]]/$AO$1</f>
        <v>1</v>
      </c>
      <c r="AV550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50" s="5">
        <f>AVERAGEIFS(Modelling_new[[Comisined DC ]],Modelling_new[Date],"&lt;="&amp;Modelling_new[[#This Row],[Date]],Modelling_new[[Comisined DC ]],"&gt;"&amp;0,Modelling_new[Finacial Year],Modelling_new[[#This Row],[Finacial Year]])</f>
        <v>12.799999999999974</v>
      </c>
      <c r="BD550" s="27">
        <f t="shared" si="213"/>
        <v>45549</v>
      </c>
      <c r="BE550" s="5">
        <f>MONTH(Modelling[[#This Row],[Date]])</f>
        <v>9</v>
      </c>
      <c r="BF550" s="25">
        <f>YEAR(BD550)+IF(MONTH(Modelling[[#This Row],[Date]])&gt;=4,1,0)</f>
        <v>2025</v>
      </c>
      <c r="BG550" s="3">
        <f t="shared" si="207"/>
        <v>2024</v>
      </c>
      <c r="BH550" s="3" t="s">
        <v>627</v>
      </c>
      <c r="BI550" s="3" t="s">
        <v>627</v>
      </c>
      <c r="BJ550" s="102">
        <f>DATE(Modelling_old[[#This Row],[Calendor Year]],Modelling_old[[#This Row],[Start Month]],1)</f>
        <v>45536</v>
      </c>
      <c r="BK550" s="5">
        <f t="shared" si="208"/>
        <v>30</v>
      </c>
      <c r="BL550" s="5">
        <f t="shared" si="209"/>
        <v>9</v>
      </c>
      <c r="BM550" s="4">
        <f>Modelling_old[[#This Row],[Target E_Grid daily
MWh]]+Modelling_new[[#This Row],[Target E_Grid daily
MWh]]</f>
        <v>93.615789921985396</v>
      </c>
      <c r="BN550" s="4">
        <f>Modelling_old[[#This Row],[Target E_Grid MTD
MWh]]+Modelling_new[[#This Row],[Target E_Grid MTD
MWh]]</f>
        <v>1310.6210589077957</v>
      </c>
      <c r="BO550" s="4">
        <f>Modelling_old[[#This Row],[Target E_Grid YTD
MWh]]+Modelling_new[[#This Row],[Target E_Grid YTD
MWh]]</f>
        <v>16382.61582249749</v>
      </c>
      <c r="BP550" s="4">
        <f>AVERAGE(Modelling_old[[#This Row],[Target POA Daily (KWh/m2)]],Modelling_new[[#This Row],[Target POA Daily (KWh/m2)]])</f>
        <v>4.9333333333333336</v>
      </c>
      <c r="BQ550" s="4">
        <f>SUM($BP$537:BP550)</f>
        <v>69.066666666666691</v>
      </c>
      <c r="BR550" s="4">
        <f>SUM($BP$384:BP550)</f>
        <v>889.86666666666315</v>
      </c>
      <c r="BS550" s="323">
        <f>BM550/Modelling[[#This Row],[Comisined DC ]]/BP550</f>
        <v>0.78081288530413306</v>
      </c>
      <c r="BT550" s="337">
        <f>BN550/BQ550/Modelling[[#This Row],[Comisined DC ]]</f>
        <v>0.78081288530413284</v>
      </c>
      <c r="BU550" s="337">
        <f>BO550/BR550/Modelling[[#This Row],[Comisined DC ]]</f>
        <v>0.75752441415133187</v>
      </c>
      <c r="BV550" s="323">
        <f>BM550/(24*Modelling[[#This Row],[Comisined DC ]])</f>
        <v>0.16050042642362736</v>
      </c>
      <c r="BW550" s="323">
        <f>Modelling[[#This Row],[Target E_Grid MTD
MWh]]/Modelling[[#This Row],[MTD DC Capcity]]/(24*CG550)</f>
        <v>0.16050042642362741</v>
      </c>
      <c r="BX550" s="338">
        <f>Modelling[[#This Row],[Target E_Grid YTD
MWh]]/Modelling[[#This Row],[YTD DC Capcity]]/(24*CH550)</f>
        <v>0.16818755622242038</v>
      </c>
      <c r="BY550" s="4">
        <f>Modelling_old[[#This Row],[DC Capcity]]+Modelling_new[[#This Row],[Comisined DC ]]</f>
        <v>24.303100000000001</v>
      </c>
      <c r="BZ550" s="4">
        <v>0</v>
      </c>
      <c r="CA550">
        <f>AVERAGEIFS(Modelling[[Comisined DC ]],Modelling[Date],"&lt;="&amp;Modelling[[#This Row],[Date]],Modelling[Month Year],Modelling[[#This Row],[Month Year]])</f>
        <v>24.303099999999997</v>
      </c>
      <c r="CB550">
        <f>AVERAGEIFS(Modelling[[Comisined DC ]],Modelling[Date],"&lt;="&amp;Modelling[[#This Row],[Date]],Modelling[Finacial Year],Modelling[[#This Row],[Finacial Year]])</f>
        <v>24.303100000000057</v>
      </c>
      <c r="CG550">
        <f t="shared" si="214"/>
        <v>14</v>
      </c>
      <c r="CH550">
        <f t="shared" si="211"/>
        <v>167</v>
      </c>
    </row>
    <row r="551" spans="1:86" x14ac:dyDescent="0.35">
      <c r="A551" s="27">
        <f t="shared" si="189"/>
        <v>45550</v>
      </c>
      <c r="B551" s="5">
        <f>MONTH(Modelling_old[[#This Row],[Date]])</f>
        <v>9</v>
      </c>
      <c r="C551" s="25">
        <f t="shared" si="190"/>
        <v>2025</v>
      </c>
      <c r="D551" s="3">
        <f t="shared" si="191"/>
        <v>2024</v>
      </c>
      <c r="E551" s="3" t="s">
        <v>627</v>
      </c>
      <c r="F551" s="3" t="s">
        <v>627</v>
      </c>
      <c r="G551" s="102">
        <f>DATE(Modelling_old[[#This Row],[Calendor Year]],Modelling_old[[#This Row],[Start Month]],1)</f>
        <v>45536</v>
      </c>
      <c r="H551" s="5">
        <f t="shared" si="192"/>
        <v>30</v>
      </c>
      <c r="I551" s="5">
        <f t="shared" si="193"/>
        <v>9</v>
      </c>
      <c r="J551" s="4">
        <f>_xlfn.XLOOKUP(Modelling_old[[#This Row],[Month]],$C$1:$C$14,$N$1:$N$14)/Modelling_old[[#This Row],[Total Days]]</f>
        <v>40.119999999999997</v>
      </c>
      <c r="K551" s="4">
        <f>SUM($J$537:J551)</f>
        <v>601.79999999999995</v>
      </c>
      <c r="L551" s="4">
        <f>SUM($J$384:J551)</f>
        <v>7127.1999999999889</v>
      </c>
      <c r="M551" s="4">
        <f t="shared" si="194"/>
        <v>4.9333333333333336</v>
      </c>
      <c r="N551" s="4">
        <f>SUM($M$537:M551)</f>
        <v>74.000000000000028</v>
      </c>
      <c r="O551" s="4">
        <f>SUM($M$384:M551)</f>
        <v>894.79999999999643</v>
      </c>
      <c r="P551" s="323">
        <f t="shared" si="195"/>
        <v>0.70697746106983606</v>
      </c>
      <c r="Q551" s="337">
        <f t="shared" si="196"/>
        <v>0.70697746106983583</v>
      </c>
      <c r="R551" s="337">
        <f t="shared" si="197"/>
        <v>0.69243350688460292</v>
      </c>
      <c r="S551" s="323">
        <f t="shared" si="198"/>
        <v>0.14532314477546632</v>
      </c>
      <c r="T551" s="9">
        <f>Modelling_old[[#This Row],[Target E_Grid MTD
MWh]]/Modelling_old[[#This Row],[DC Capcity]]/(24*CG551)</f>
        <v>0.14532314477546632</v>
      </c>
      <c r="U551" s="338">
        <f>Modelling_old[[#This Row],[Target E_Grid YTD
MWh]]/Modelling_old[[#This Row],[DC Capcity]]/(24*CH551)</f>
        <v>0.15366803124016373</v>
      </c>
      <c r="V551" s="134">
        <v>11.5031</v>
      </c>
      <c r="Y551" s="27">
        <f t="shared" si="212"/>
        <v>45550</v>
      </c>
      <c r="Z551" s="5">
        <f>MONTH(Modelling_new[[#This Row],[Date]])</f>
        <v>9</v>
      </c>
      <c r="AA551" s="25">
        <f>YEAR(Y551)+IF(MONTH(Modelling_new[[#This Row],[Date]])&gt;=4,1,0)</f>
        <v>2025</v>
      </c>
      <c r="AB551" s="3">
        <f t="shared" si="199"/>
        <v>2024</v>
      </c>
      <c r="AC551" s="3" t="s">
        <v>627</v>
      </c>
      <c r="AD551" s="3" t="s">
        <v>627</v>
      </c>
      <c r="AE551" s="102">
        <f>DATE(Modelling_old[[#This Row],[Calendor Year]],Modelling_old[[#This Row],[Start Month]],1)</f>
        <v>45536</v>
      </c>
      <c r="AF551" s="5">
        <f t="shared" si="200"/>
        <v>30</v>
      </c>
      <c r="AG551" s="5">
        <f t="shared" si="201"/>
        <v>9</v>
      </c>
      <c r="AH551" s="4">
        <f>_xlfn.XLOOKUP(Modelling_new[[#This Row],[Month]],$AA$1:$AA$14,$AL$1:$AL$14)/Modelling_new[[#This Row],[Total Days]]</f>
        <v>53.495789921985406</v>
      </c>
      <c r="AI551" s="4">
        <f>SUM($AH$537:AH551)</f>
        <v>802.43684882978118</v>
      </c>
      <c r="AJ551" s="4">
        <f>SUM($AH$384:AH551)</f>
        <v>9349.0316124194869</v>
      </c>
      <c r="AK551" s="4">
        <f t="shared" si="202"/>
        <v>4.9333333333333336</v>
      </c>
      <c r="AL551" s="4">
        <f>SUM($AK$537:AK551)</f>
        <v>74.000000000000028</v>
      </c>
      <c r="AM551" s="4">
        <f>SUM($AK$384:AK551)</f>
        <v>894.79999999999643</v>
      </c>
      <c r="AN551" s="323">
        <f t="shared" si="203"/>
        <v>0.94267990371312482</v>
      </c>
      <c r="AO551" s="323">
        <f t="shared" si="204"/>
        <v>0.94267990371312471</v>
      </c>
      <c r="AP551" s="323">
        <f t="shared" si="205"/>
        <v>0.90829256164589867</v>
      </c>
      <c r="AQ551" s="323">
        <f t="shared" si="206"/>
        <v>0.19377309131880904</v>
      </c>
      <c r="AR551" s="323">
        <f>Modelling_new[[#This Row],[Target E_Grid MTD
MWh]]/Modelling_new[[#This Row],[MTD DC Capcity]]/(24*CG551)</f>
        <v>0.17413994115229622</v>
      </c>
      <c r="AS551" s="323">
        <f>Modelling_new[[#This Row],[Target E_Grid YTD
MWh]]/Modelling_new[[#This Row],[YTD DC Capcity]]/(24*CH551)</f>
        <v>0.18114908103181393</v>
      </c>
      <c r="AT551" s="5">
        <v>12.8</v>
      </c>
      <c r="AU551" s="9">
        <f>Modelling_new[[#This Row],[Comisined DC ]]/$AO$1</f>
        <v>1</v>
      </c>
      <c r="AV551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51" s="5">
        <f>AVERAGEIFS(Modelling_new[[Comisined DC ]],Modelling_new[Date],"&lt;="&amp;Modelling_new[[#This Row],[Date]],Modelling_new[[Comisined DC ]],"&gt;"&amp;0,Modelling_new[Finacial Year],Modelling_new[[#This Row],[Finacial Year]])</f>
        <v>12.799999999999976</v>
      </c>
      <c r="BD551" s="27">
        <f t="shared" si="213"/>
        <v>45550</v>
      </c>
      <c r="BE551" s="5">
        <f>MONTH(Modelling[[#This Row],[Date]])</f>
        <v>9</v>
      </c>
      <c r="BF551" s="25">
        <f>YEAR(BD551)+IF(MONTH(Modelling[[#This Row],[Date]])&gt;=4,1,0)</f>
        <v>2025</v>
      </c>
      <c r="BG551" s="3">
        <f t="shared" si="207"/>
        <v>2024</v>
      </c>
      <c r="BH551" s="3" t="s">
        <v>627</v>
      </c>
      <c r="BI551" s="3" t="s">
        <v>627</v>
      </c>
      <c r="BJ551" s="102">
        <f>DATE(Modelling_old[[#This Row],[Calendor Year]],Modelling_old[[#This Row],[Start Month]],1)</f>
        <v>45536</v>
      </c>
      <c r="BK551" s="5">
        <f t="shared" si="208"/>
        <v>30</v>
      </c>
      <c r="BL551" s="5">
        <f t="shared" si="209"/>
        <v>9</v>
      </c>
      <c r="BM551" s="4">
        <f>Modelling_old[[#This Row],[Target E_Grid daily
MWh]]+Modelling_new[[#This Row],[Target E_Grid daily
MWh]]</f>
        <v>93.615789921985396</v>
      </c>
      <c r="BN551" s="4">
        <f>Modelling_old[[#This Row],[Target E_Grid MTD
MWh]]+Modelling_new[[#This Row],[Target E_Grid MTD
MWh]]</f>
        <v>1404.2368488297811</v>
      </c>
      <c r="BO551" s="4">
        <f>Modelling_old[[#This Row],[Target E_Grid YTD
MWh]]+Modelling_new[[#This Row],[Target E_Grid YTD
MWh]]</f>
        <v>16476.231612419477</v>
      </c>
      <c r="BP551" s="4">
        <f>AVERAGE(Modelling_old[[#This Row],[Target POA Daily (KWh/m2)]],Modelling_new[[#This Row],[Target POA Daily (KWh/m2)]])</f>
        <v>4.9333333333333336</v>
      </c>
      <c r="BQ551" s="4">
        <f>SUM($BP$537:BP551)</f>
        <v>74.000000000000028</v>
      </c>
      <c r="BR551" s="4">
        <f>SUM($BP$384:BP551)</f>
        <v>894.79999999999643</v>
      </c>
      <c r="BS551" s="323">
        <f>BM551/Modelling[[#This Row],[Comisined DC ]]/BP551</f>
        <v>0.78081288530413306</v>
      </c>
      <c r="BT551" s="337">
        <f>BN551/BQ551/Modelling[[#This Row],[Comisined DC ]]</f>
        <v>0.78081288530413284</v>
      </c>
      <c r="BU551" s="337">
        <f>BO551/BR551/Modelling[[#This Row],[Comisined DC ]]</f>
        <v>0.75765281132502482</v>
      </c>
      <c r="BV551" s="323">
        <f>BM551/(24*Modelling[[#This Row],[Comisined DC ]])</f>
        <v>0.16050042642362736</v>
      </c>
      <c r="BW551" s="323">
        <f>Modelling[[#This Row],[Target E_Grid MTD
MWh]]/Modelling[[#This Row],[MTD DC Capcity]]/(24*CG551)</f>
        <v>0.16050042642362744</v>
      </c>
      <c r="BX551" s="338">
        <f>Modelling[[#This Row],[Target E_Grid YTD
MWh]]/Modelling[[#This Row],[YTD DC Capcity]]/(24*CH551)</f>
        <v>0.16814179949742755</v>
      </c>
      <c r="BY551" s="4">
        <f>Modelling_old[[#This Row],[DC Capcity]]+Modelling_new[[#This Row],[Comisined DC ]]</f>
        <v>24.303100000000001</v>
      </c>
      <c r="BZ551" s="4">
        <v>0</v>
      </c>
      <c r="CA551">
        <f>AVERAGEIFS(Modelling[[Comisined DC ]],Modelling[Date],"&lt;="&amp;Modelling[[#This Row],[Date]],Modelling[Month Year],Modelling[[#This Row],[Month Year]])</f>
        <v>24.303099999999993</v>
      </c>
      <c r="CB551">
        <f>AVERAGEIFS(Modelling[[Comisined DC ]],Modelling[Date],"&lt;="&amp;Modelling[[#This Row],[Date]],Modelling[Finacial Year],Modelling[[#This Row],[Finacial Year]])</f>
        <v>24.303100000000057</v>
      </c>
      <c r="CG551">
        <f t="shared" si="214"/>
        <v>15</v>
      </c>
      <c r="CH551">
        <f t="shared" si="211"/>
        <v>168</v>
      </c>
    </row>
    <row r="552" spans="1:86" x14ac:dyDescent="0.35">
      <c r="A552" s="27">
        <f t="shared" si="189"/>
        <v>45551</v>
      </c>
      <c r="B552" s="5">
        <f>MONTH(Modelling_old[[#This Row],[Date]])</f>
        <v>9</v>
      </c>
      <c r="C552" s="25">
        <f t="shared" si="190"/>
        <v>2025</v>
      </c>
      <c r="D552" s="3">
        <f t="shared" si="191"/>
        <v>2024</v>
      </c>
      <c r="E552" s="3" t="s">
        <v>627</v>
      </c>
      <c r="F552" s="3" t="s">
        <v>627</v>
      </c>
      <c r="G552" s="102">
        <f>DATE(Modelling_old[[#This Row],[Calendor Year]],Modelling_old[[#This Row],[Start Month]],1)</f>
        <v>45536</v>
      </c>
      <c r="H552" s="5">
        <f t="shared" si="192"/>
        <v>30</v>
      </c>
      <c r="I552" s="5">
        <f t="shared" si="193"/>
        <v>9</v>
      </c>
      <c r="J552" s="4">
        <f>_xlfn.XLOOKUP(Modelling_old[[#This Row],[Month]],$C$1:$C$14,$N$1:$N$14)/Modelling_old[[#This Row],[Total Days]]</f>
        <v>40.119999999999997</v>
      </c>
      <c r="K552" s="4">
        <f>SUM($J$537:J552)</f>
        <v>641.91999999999996</v>
      </c>
      <c r="L552" s="4">
        <f>SUM($J$384:J552)</f>
        <v>7167.3199999999888</v>
      </c>
      <c r="M552" s="4">
        <f t="shared" si="194"/>
        <v>4.9333333333333336</v>
      </c>
      <c r="N552" s="4">
        <f>SUM($M$537:M552)</f>
        <v>78.933333333333366</v>
      </c>
      <c r="O552" s="4">
        <f>SUM($M$384:M552)</f>
        <v>899.73333333332971</v>
      </c>
      <c r="P552" s="323">
        <f t="shared" si="195"/>
        <v>0.70697746106983606</v>
      </c>
      <c r="Q552" s="337">
        <f t="shared" si="196"/>
        <v>0.70697746106983583</v>
      </c>
      <c r="R552" s="337">
        <f t="shared" si="197"/>
        <v>0.69251325292859423</v>
      </c>
      <c r="S552" s="323">
        <f t="shared" si="198"/>
        <v>0.14532314477546632</v>
      </c>
      <c r="T552" s="9">
        <f>Modelling_old[[#This Row],[Target E_Grid MTD
MWh]]/Modelling_old[[#This Row],[DC Capcity]]/(24*CG552)</f>
        <v>0.14532314477546632</v>
      </c>
      <c r="U552" s="338">
        <f>Modelling_old[[#This Row],[Target E_Grid YTD
MWh]]/Modelling_old[[#This Row],[DC Capcity]]/(24*CH552)</f>
        <v>0.1536186532137454</v>
      </c>
      <c r="V552" s="134">
        <v>11.5031</v>
      </c>
      <c r="Y552" s="27">
        <f t="shared" si="212"/>
        <v>45551</v>
      </c>
      <c r="Z552" s="5">
        <f>MONTH(Modelling_new[[#This Row],[Date]])</f>
        <v>9</v>
      </c>
      <c r="AA552" s="25">
        <f>YEAR(Y552)+IF(MONTH(Modelling_new[[#This Row],[Date]])&gt;=4,1,0)</f>
        <v>2025</v>
      </c>
      <c r="AB552" s="3">
        <f t="shared" si="199"/>
        <v>2024</v>
      </c>
      <c r="AC552" s="3" t="s">
        <v>627</v>
      </c>
      <c r="AD552" s="3" t="s">
        <v>627</v>
      </c>
      <c r="AE552" s="102">
        <f>DATE(Modelling_old[[#This Row],[Calendor Year]],Modelling_old[[#This Row],[Start Month]],1)</f>
        <v>45536</v>
      </c>
      <c r="AF552" s="5">
        <f t="shared" si="200"/>
        <v>30</v>
      </c>
      <c r="AG552" s="5">
        <f t="shared" si="201"/>
        <v>9</v>
      </c>
      <c r="AH552" s="4">
        <f>_xlfn.XLOOKUP(Modelling_new[[#This Row],[Month]],$AA$1:$AA$14,$AL$1:$AL$14)/Modelling_new[[#This Row],[Total Days]]</f>
        <v>53.495789921985406</v>
      </c>
      <c r="AI552" s="4">
        <f>SUM($AH$537:AH552)</f>
        <v>855.9326387517666</v>
      </c>
      <c r="AJ552" s="4">
        <f>SUM($AH$384:AH552)</f>
        <v>9402.5274023414731</v>
      </c>
      <c r="AK552" s="4">
        <f t="shared" si="202"/>
        <v>4.9333333333333336</v>
      </c>
      <c r="AL552" s="4">
        <f>SUM($AK$537:AK552)</f>
        <v>78.933333333333366</v>
      </c>
      <c r="AM552" s="4">
        <f>SUM($AK$384:AK552)</f>
        <v>899.73333333332971</v>
      </c>
      <c r="AN552" s="323">
        <f t="shared" si="203"/>
        <v>0.94267990371312482</v>
      </c>
      <c r="AO552" s="323">
        <f t="shared" si="204"/>
        <v>0.94267990371312471</v>
      </c>
      <c r="AP552" s="323">
        <f t="shared" si="205"/>
        <v>0.90848111109113983</v>
      </c>
      <c r="AQ552" s="323">
        <f t="shared" si="206"/>
        <v>0.19377309131880904</v>
      </c>
      <c r="AR552" s="323">
        <f>Modelling_new[[#This Row],[Target E_Grid MTD
MWh]]/Modelling_new[[#This Row],[MTD DC Capcity]]/(24*CG552)</f>
        <v>0.17413994115229622</v>
      </c>
      <c r="AS552" s="323">
        <f>Modelling_new[[#This Row],[Target E_Grid YTD
MWh]]/Modelling_new[[#This Row],[YTD DC Capcity]]/(24*CH552)</f>
        <v>0.18110760683134342</v>
      </c>
      <c r="AT552" s="5">
        <v>12.8</v>
      </c>
      <c r="AU552" s="9">
        <f>Modelling_new[[#This Row],[Comisined DC ]]/$AO$1</f>
        <v>1</v>
      </c>
      <c r="AV552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52" s="5">
        <f>AVERAGEIFS(Modelling_new[[Comisined DC ]],Modelling_new[Date],"&lt;="&amp;Modelling_new[[#This Row],[Date]],Modelling_new[[Comisined DC ]],"&gt;"&amp;0,Modelling_new[Finacial Year],Modelling_new[[#This Row],[Finacial Year]])</f>
        <v>12.799999999999978</v>
      </c>
      <c r="BD552" s="27">
        <f t="shared" si="213"/>
        <v>45551</v>
      </c>
      <c r="BE552" s="5">
        <f>MONTH(Modelling[[#This Row],[Date]])</f>
        <v>9</v>
      </c>
      <c r="BF552" s="25">
        <f>YEAR(BD552)+IF(MONTH(Modelling[[#This Row],[Date]])&gt;=4,1,0)</f>
        <v>2025</v>
      </c>
      <c r="BG552" s="3">
        <f t="shared" si="207"/>
        <v>2024</v>
      </c>
      <c r="BH552" s="3" t="s">
        <v>627</v>
      </c>
      <c r="BI552" s="3" t="s">
        <v>627</v>
      </c>
      <c r="BJ552" s="102">
        <f>DATE(Modelling_old[[#This Row],[Calendor Year]],Modelling_old[[#This Row],[Start Month]],1)</f>
        <v>45536</v>
      </c>
      <c r="BK552" s="5">
        <f t="shared" si="208"/>
        <v>30</v>
      </c>
      <c r="BL552" s="5">
        <f t="shared" si="209"/>
        <v>9</v>
      </c>
      <c r="BM552" s="4">
        <f>Modelling_old[[#This Row],[Target E_Grid daily
MWh]]+Modelling_new[[#This Row],[Target E_Grid daily
MWh]]</f>
        <v>93.615789921985396</v>
      </c>
      <c r="BN552" s="4">
        <f>Modelling_old[[#This Row],[Target E_Grid MTD
MWh]]+Modelling_new[[#This Row],[Target E_Grid MTD
MWh]]</f>
        <v>1497.8526387517666</v>
      </c>
      <c r="BO552" s="4">
        <f>Modelling_old[[#This Row],[Target E_Grid YTD
MWh]]+Modelling_new[[#This Row],[Target E_Grid YTD
MWh]]</f>
        <v>16569.84740234146</v>
      </c>
      <c r="BP552" s="4">
        <f>AVERAGE(Modelling_old[[#This Row],[Target POA Daily (KWh/m2)]],Modelling_new[[#This Row],[Target POA Daily (KWh/m2)]])</f>
        <v>4.9333333333333336</v>
      </c>
      <c r="BQ552" s="4">
        <f>SUM($BP$537:BP552)</f>
        <v>78.933333333333366</v>
      </c>
      <c r="BR552" s="4">
        <f>SUM($BP$384:BP552)</f>
        <v>899.73333333332971</v>
      </c>
      <c r="BS552" s="323">
        <f>BM552/Modelling[[#This Row],[Comisined DC ]]/BP552</f>
        <v>0.78081288530413306</v>
      </c>
      <c r="BT552" s="337">
        <f>BN552/BQ552/Modelling[[#This Row],[Comisined DC ]]</f>
        <v>0.78081288530413284</v>
      </c>
      <c r="BU552" s="337">
        <f>BO552/BR552/Modelling[[#This Row],[Comisined DC ]]</f>
        <v>0.75777980046806381</v>
      </c>
      <c r="BV552" s="323">
        <f>BM552/(24*Modelling[[#This Row],[Comisined DC ]])</f>
        <v>0.16050042642362736</v>
      </c>
      <c r="BW552" s="323">
        <f>Modelling[[#This Row],[Target E_Grid MTD
MWh]]/Modelling[[#This Row],[MTD DC Capcity]]/(24*CG552)</f>
        <v>0.16050042642362741</v>
      </c>
      <c r="BX552" s="338">
        <f>Modelling[[#This Row],[Target E_Grid YTD
MWh]]/Modelling[[#This Row],[YTD DC Capcity]]/(24*CH552)</f>
        <v>0.16809658427213878</v>
      </c>
      <c r="BY552" s="4">
        <f>Modelling_old[[#This Row],[DC Capcity]]+Modelling_new[[#This Row],[Comisined DC ]]</f>
        <v>24.303100000000001</v>
      </c>
      <c r="BZ552" s="4">
        <v>0</v>
      </c>
      <c r="CA552">
        <f>AVERAGEIFS(Modelling[[Comisined DC ]],Modelling[Date],"&lt;="&amp;Modelling[[#This Row],[Date]],Modelling[Month Year],Modelling[[#This Row],[Month Year]])</f>
        <v>24.303099999999993</v>
      </c>
      <c r="CB552">
        <f>AVERAGEIFS(Modelling[[Comisined DC ]],Modelling[Date],"&lt;="&amp;Modelling[[#This Row],[Date]],Modelling[Finacial Year],Modelling[[#This Row],[Finacial Year]])</f>
        <v>24.303100000000057</v>
      </c>
      <c r="CG552">
        <f t="shared" si="214"/>
        <v>16</v>
      </c>
      <c r="CH552">
        <f t="shared" si="211"/>
        <v>169</v>
      </c>
    </row>
    <row r="553" spans="1:86" x14ac:dyDescent="0.35">
      <c r="A553" s="27">
        <f t="shared" si="189"/>
        <v>45552</v>
      </c>
      <c r="B553" s="5">
        <f>MONTH(Modelling_old[[#This Row],[Date]])</f>
        <v>9</v>
      </c>
      <c r="C553" s="25">
        <f t="shared" si="190"/>
        <v>2025</v>
      </c>
      <c r="D553" s="3">
        <f t="shared" si="191"/>
        <v>2024</v>
      </c>
      <c r="E553" s="3" t="s">
        <v>627</v>
      </c>
      <c r="F553" s="3" t="s">
        <v>627</v>
      </c>
      <c r="G553" s="102">
        <f>DATE(Modelling_old[[#This Row],[Calendor Year]],Modelling_old[[#This Row],[Start Month]],1)</f>
        <v>45536</v>
      </c>
      <c r="H553" s="5">
        <f t="shared" si="192"/>
        <v>30</v>
      </c>
      <c r="I553" s="5">
        <f t="shared" si="193"/>
        <v>9</v>
      </c>
      <c r="J553" s="4">
        <f>_xlfn.XLOOKUP(Modelling_old[[#This Row],[Month]],$C$1:$C$14,$N$1:$N$14)/Modelling_old[[#This Row],[Total Days]]</f>
        <v>40.119999999999997</v>
      </c>
      <c r="K553" s="4">
        <f>SUM($J$537:J553)</f>
        <v>682.04</v>
      </c>
      <c r="L553" s="4">
        <f>SUM($J$384:J553)</f>
        <v>7207.4399999999887</v>
      </c>
      <c r="M553" s="4">
        <f t="shared" si="194"/>
        <v>4.9333333333333336</v>
      </c>
      <c r="N553" s="4">
        <f>SUM($M$537:M553)</f>
        <v>83.866666666666703</v>
      </c>
      <c r="O553" s="4">
        <f>SUM($M$384:M553)</f>
        <v>904.66666666666299</v>
      </c>
      <c r="P553" s="323">
        <f t="shared" si="195"/>
        <v>0.70697746106983606</v>
      </c>
      <c r="Q553" s="337">
        <f t="shared" si="196"/>
        <v>0.70697746106983583</v>
      </c>
      <c r="R553" s="337">
        <f t="shared" si="197"/>
        <v>0.69259212922943814</v>
      </c>
      <c r="S553" s="323">
        <f t="shared" si="198"/>
        <v>0.14532314477546632</v>
      </c>
      <c r="T553" s="9">
        <f>Modelling_old[[#This Row],[Target E_Grid MTD
MWh]]/Modelling_old[[#This Row],[DC Capcity]]/(24*CG553)</f>
        <v>0.14532314477546632</v>
      </c>
      <c r="U553" s="338">
        <f>Modelling_old[[#This Row],[Target E_Grid YTD
MWh]]/Modelling_old[[#This Row],[DC Capcity]]/(24*CH553)</f>
        <v>0.15356985610528492</v>
      </c>
      <c r="V553" s="134">
        <v>11.5031</v>
      </c>
      <c r="Y553" s="27">
        <f t="shared" si="212"/>
        <v>45552</v>
      </c>
      <c r="Z553" s="5">
        <f>MONTH(Modelling_new[[#This Row],[Date]])</f>
        <v>9</v>
      </c>
      <c r="AA553" s="25">
        <f>YEAR(Y553)+IF(MONTH(Modelling_new[[#This Row],[Date]])&gt;=4,1,0)</f>
        <v>2025</v>
      </c>
      <c r="AB553" s="3">
        <f t="shared" si="199"/>
        <v>2024</v>
      </c>
      <c r="AC553" s="3" t="s">
        <v>627</v>
      </c>
      <c r="AD553" s="3" t="s">
        <v>627</v>
      </c>
      <c r="AE553" s="102">
        <f>DATE(Modelling_old[[#This Row],[Calendor Year]],Modelling_old[[#This Row],[Start Month]],1)</f>
        <v>45536</v>
      </c>
      <c r="AF553" s="5">
        <f t="shared" si="200"/>
        <v>30</v>
      </c>
      <c r="AG553" s="5">
        <f t="shared" si="201"/>
        <v>9</v>
      </c>
      <c r="AH553" s="4">
        <f>_xlfn.XLOOKUP(Modelling_new[[#This Row],[Month]],$AA$1:$AA$14,$AL$1:$AL$14)/Modelling_new[[#This Row],[Total Days]]</f>
        <v>53.495789921985406</v>
      </c>
      <c r="AI553" s="4">
        <f>SUM($AH$537:AH553)</f>
        <v>909.42842867375202</v>
      </c>
      <c r="AJ553" s="4">
        <f>SUM($AH$384:AH553)</f>
        <v>9456.0231922634594</v>
      </c>
      <c r="AK553" s="4">
        <f t="shared" si="202"/>
        <v>4.9333333333333336</v>
      </c>
      <c r="AL553" s="4">
        <f>SUM($AK$537:AK553)</f>
        <v>83.866666666666703</v>
      </c>
      <c r="AM553" s="4">
        <f>SUM($AK$384:AK553)</f>
        <v>904.66666666666299</v>
      </c>
      <c r="AN553" s="323">
        <f t="shared" si="203"/>
        <v>0.94267990371312482</v>
      </c>
      <c r="AO553" s="323">
        <f t="shared" si="204"/>
        <v>0.94267990371312471</v>
      </c>
      <c r="AP553" s="323">
        <f t="shared" si="205"/>
        <v>0.9086676041385997</v>
      </c>
      <c r="AQ553" s="323">
        <f t="shared" si="206"/>
        <v>0.19377309131880904</v>
      </c>
      <c r="AR553" s="323">
        <f>Modelling_new[[#This Row],[Target E_Grid MTD
MWh]]/Modelling_new[[#This Row],[MTD DC Capcity]]/(24*CG553)</f>
        <v>0.17413994115229622</v>
      </c>
      <c r="AS553" s="323">
        <f>Modelling_new[[#This Row],[Target E_Grid YTD
MWh]]/Modelling_new[[#This Row],[YTD DC Capcity]]/(24*CH553)</f>
        <v>0.18106662056264314</v>
      </c>
      <c r="AT553" s="5">
        <v>12.8</v>
      </c>
      <c r="AU553" s="9">
        <f>Modelling_new[[#This Row],[Comisined DC ]]/$AO$1</f>
        <v>1</v>
      </c>
      <c r="AV553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53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553" s="27">
        <f t="shared" si="213"/>
        <v>45552</v>
      </c>
      <c r="BE553" s="5">
        <f>MONTH(Modelling[[#This Row],[Date]])</f>
        <v>9</v>
      </c>
      <c r="BF553" s="25">
        <f>YEAR(BD553)+IF(MONTH(Modelling[[#This Row],[Date]])&gt;=4,1,0)</f>
        <v>2025</v>
      </c>
      <c r="BG553" s="3">
        <f t="shared" si="207"/>
        <v>2024</v>
      </c>
      <c r="BH553" s="3" t="s">
        <v>627</v>
      </c>
      <c r="BI553" s="3" t="s">
        <v>627</v>
      </c>
      <c r="BJ553" s="102">
        <f>DATE(Modelling_old[[#This Row],[Calendor Year]],Modelling_old[[#This Row],[Start Month]],1)</f>
        <v>45536</v>
      </c>
      <c r="BK553" s="5">
        <f t="shared" si="208"/>
        <v>30</v>
      </c>
      <c r="BL553" s="5">
        <f t="shared" si="209"/>
        <v>9</v>
      </c>
      <c r="BM553" s="4">
        <f>Modelling_old[[#This Row],[Target E_Grid daily
MWh]]+Modelling_new[[#This Row],[Target E_Grid daily
MWh]]</f>
        <v>93.615789921985396</v>
      </c>
      <c r="BN553" s="4">
        <f>Modelling_old[[#This Row],[Target E_Grid MTD
MWh]]+Modelling_new[[#This Row],[Target E_Grid MTD
MWh]]</f>
        <v>1591.468428673752</v>
      </c>
      <c r="BO553" s="4">
        <f>Modelling_old[[#This Row],[Target E_Grid YTD
MWh]]+Modelling_new[[#This Row],[Target E_Grid YTD
MWh]]</f>
        <v>16663.463192263447</v>
      </c>
      <c r="BP553" s="4">
        <f>AVERAGE(Modelling_old[[#This Row],[Target POA Daily (KWh/m2)]],Modelling_new[[#This Row],[Target POA Daily (KWh/m2)]])</f>
        <v>4.9333333333333336</v>
      </c>
      <c r="BQ553" s="4">
        <f>SUM($BP$537:BP553)</f>
        <v>83.866666666666703</v>
      </c>
      <c r="BR553" s="4">
        <f>SUM($BP$384:BP553)</f>
        <v>904.66666666666299</v>
      </c>
      <c r="BS553" s="323">
        <f>BM553/Modelling[[#This Row],[Comisined DC ]]/BP553</f>
        <v>0.78081288530413306</v>
      </c>
      <c r="BT553" s="337">
        <f>BN553/BQ553/Modelling[[#This Row],[Comisined DC ]]</f>
        <v>0.78081288530413284</v>
      </c>
      <c r="BU553" s="337">
        <f>BO553/BR553/Modelling[[#This Row],[Comisined DC ]]</f>
        <v>0.75790540461529077</v>
      </c>
      <c r="BV553" s="323">
        <f>BM553/(24*Modelling[[#This Row],[Comisined DC ]])</f>
        <v>0.16050042642362736</v>
      </c>
      <c r="BW553" s="323">
        <f>Modelling[[#This Row],[Target E_Grid MTD
MWh]]/Modelling[[#This Row],[MTD DC Capcity]]/(24*CG553)</f>
        <v>0.16050042642362744</v>
      </c>
      <c r="BX553" s="338">
        <f>Modelling[[#This Row],[Target E_Grid YTD
MWh]]/Modelling[[#This Row],[YTD DC Capcity]]/(24*CH553)</f>
        <v>0.16805190099067696</v>
      </c>
      <c r="BY553" s="4">
        <f>Modelling_old[[#This Row],[DC Capcity]]+Modelling_new[[#This Row],[Comisined DC ]]</f>
        <v>24.303100000000001</v>
      </c>
      <c r="BZ553" s="4">
        <v>0</v>
      </c>
      <c r="CA553">
        <f>AVERAGEIFS(Modelling[[Comisined DC ]],Modelling[Date],"&lt;="&amp;Modelling[[#This Row],[Date]],Modelling[Month Year],Modelling[[#This Row],[Month Year]])</f>
        <v>24.303099999999993</v>
      </c>
      <c r="CB553">
        <f>AVERAGEIFS(Modelling[[Comisined DC ]],Modelling[Date],"&lt;="&amp;Modelling[[#This Row],[Date]],Modelling[Finacial Year],Modelling[[#This Row],[Finacial Year]])</f>
        <v>24.303100000000057</v>
      </c>
      <c r="CG553">
        <f t="shared" si="214"/>
        <v>17</v>
      </c>
      <c r="CH553">
        <f t="shared" si="211"/>
        <v>170</v>
      </c>
    </row>
    <row r="554" spans="1:86" x14ac:dyDescent="0.35">
      <c r="A554" s="27">
        <f t="shared" si="189"/>
        <v>45553</v>
      </c>
      <c r="B554" s="5">
        <f>MONTH(Modelling_old[[#This Row],[Date]])</f>
        <v>9</v>
      </c>
      <c r="C554" s="25">
        <f t="shared" si="190"/>
        <v>2025</v>
      </c>
      <c r="D554" s="3">
        <f t="shared" si="191"/>
        <v>2024</v>
      </c>
      <c r="E554" s="3" t="s">
        <v>627</v>
      </c>
      <c r="F554" s="3" t="s">
        <v>627</v>
      </c>
      <c r="G554" s="102">
        <f>DATE(Modelling_old[[#This Row],[Calendor Year]],Modelling_old[[#This Row],[Start Month]],1)</f>
        <v>45536</v>
      </c>
      <c r="H554" s="5">
        <f t="shared" si="192"/>
        <v>30</v>
      </c>
      <c r="I554" s="5">
        <f t="shared" si="193"/>
        <v>9</v>
      </c>
      <c r="J554" s="4">
        <f>_xlfn.XLOOKUP(Modelling_old[[#This Row],[Month]],$C$1:$C$14,$N$1:$N$14)/Modelling_old[[#This Row],[Total Days]]</f>
        <v>40.119999999999997</v>
      </c>
      <c r="K554" s="4">
        <f>SUM($J$537:J554)</f>
        <v>722.16</v>
      </c>
      <c r="L554" s="4">
        <f>SUM($J$384:J554)</f>
        <v>7247.5599999999886</v>
      </c>
      <c r="M554" s="4">
        <f t="shared" si="194"/>
        <v>4.9333333333333336</v>
      </c>
      <c r="N554" s="4">
        <f>SUM($M$537:M554)</f>
        <v>88.80000000000004</v>
      </c>
      <c r="O554" s="4">
        <f>SUM($M$384:M554)</f>
        <v>909.59999999999627</v>
      </c>
      <c r="P554" s="323">
        <f t="shared" si="195"/>
        <v>0.70697746106983606</v>
      </c>
      <c r="Q554" s="337">
        <f t="shared" si="196"/>
        <v>0.70697746106983583</v>
      </c>
      <c r="R554" s="337">
        <f t="shared" si="197"/>
        <v>0.6926701499386283</v>
      </c>
      <c r="S554" s="323">
        <f t="shared" si="198"/>
        <v>0.14532314477546632</v>
      </c>
      <c r="T554" s="9">
        <f>Modelling_old[[#This Row],[Target E_Grid MTD
MWh]]/Modelling_old[[#This Row],[DC Capcity]]/(24*CG554)</f>
        <v>0.14532314477546632</v>
      </c>
      <c r="U554" s="338">
        <f>Modelling_old[[#This Row],[Target E_Grid YTD
MWh]]/Modelling_old[[#This Row],[DC Capcity]]/(24*CH554)</f>
        <v>0.15352162972323921</v>
      </c>
      <c r="V554" s="134">
        <v>11.5031</v>
      </c>
      <c r="Y554" s="27">
        <f t="shared" si="212"/>
        <v>45553</v>
      </c>
      <c r="Z554" s="5">
        <f>MONTH(Modelling_new[[#This Row],[Date]])</f>
        <v>9</v>
      </c>
      <c r="AA554" s="25">
        <f>YEAR(Y554)+IF(MONTH(Modelling_new[[#This Row],[Date]])&gt;=4,1,0)</f>
        <v>2025</v>
      </c>
      <c r="AB554" s="3">
        <f t="shared" si="199"/>
        <v>2024</v>
      </c>
      <c r="AC554" s="3" t="s">
        <v>627</v>
      </c>
      <c r="AD554" s="3" t="s">
        <v>627</v>
      </c>
      <c r="AE554" s="102">
        <f>DATE(Modelling_old[[#This Row],[Calendor Year]],Modelling_old[[#This Row],[Start Month]],1)</f>
        <v>45536</v>
      </c>
      <c r="AF554" s="5">
        <f t="shared" si="200"/>
        <v>30</v>
      </c>
      <c r="AG554" s="5">
        <f t="shared" si="201"/>
        <v>9</v>
      </c>
      <c r="AH554" s="4">
        <f>_xlfn.XLOOKUP(Modelling_new[[#This Row],[Month]],$AA$1:$AA$14,$AL$1:$AL$14)/Modelling_new[[#This Row],[Total Days]]</f>
        <v>53.495789921985406</v>
      </c>
      <c r="AI554" s="4">
        <f>SUM($AH$537:AH554)</f>
        <v>962.92421859573744</v>
      </c>
      <c r="AJ554" s="4">
        <f>SUM($AH$384:AH554)</f>
        <v>9509.5189821854456</v>
      </c>
      <c r="AK554" s="4">
        <f t="shared" si="202"/>
        <v>4.9333333333333336</v>
      </c>
      <c r="AL554" s="4">
        <f>SUM($AK$537:AK554)</f>
        <v>88.80000000000004</v>
      </c>
      <c r="AM554" s="4">
        <f>SUM($AK$384:AK554)</f>
        <v>909.59999999999627</v>
      </c>
      <c r="AN554" s="323">
        <f t="shared" si="203"/>
        <v>0.94267990371312482</v>
      </c>
      <c r="AO554" s="323">
        <f t="shared" si="204"/>
        <v>0.94267990371312471</v>
      </c>
      <c r="AP554" s="323">
        <f t="shared" si="205"/>
        <v>0.90885207424769654</v>
      </c>
      <c r="AQ554" s="323">
        <f t="shared" si="206"/>
        <v>0.19377309131880904</v>
      </c>
      <c r="AR554" s="323">
        <f>Modelling_new[[#This Row],[Target E_Grid MTD
MWh]]/Modelling_new[[#This Row],[MTD DC Capcity]]/(24*CG554)</f>
        <v>0.17413994115229622</v>
      </c>
      <c r="AS554" s="323">
        <f>Modelling_new[[#This Row],[Target E_Grid YTD
MWh]]/Modelling_new[[#This Row],[YTD DC Capcity]]/(24*CH554)</f>
        <v>0.18102611366550661</v>
      </c>
      <c r="AT554" s="5">
        <v>12.8</v>
      </c>
      <c r="AU554" s="9">
        <f>Modelling_new[[#This Row],[Comisined DC ]]/$AO$1</f>
        <v>1</v>
      </c>
      <c r="AV554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54" s="5">
        <f>AVERAGEIFS(Modelling_new[[Comisined DC ]],Modelling_new[Date],"&lt;="&amp;Modelling_new[[#This Row],[Date]],Modelling_new[[Comisined DC ]],"&gt;"&amp;0,Modelling_new[Finacial Year],Modelling_new[[#This Row],[Finacial Year]])</f>
        <v>12.799999999999979</v>
      </c>
      <c r="BD554" s="27">
        <f t="shared" si="213"/>
        <v>45553</v>
      </c>
      <c r="BE554" s="5">
        <f>MONTH(Modelling[[#This Row],[Date]])</f>
        <v>9</v>
      </c>
      <c r="BF554" s="25">
        <f>YEAR(BD554)+IF(MONTH(Modelling[[#This Row],[Date]])&gt;=4,1,0)</f>
        <v>2025</v>
      </c>
      <c r="BG554" s="3">
        <f t="shared" si="207"/>
        <v>2024</v>
      </c>
      <c r="BH554" s="3" t="s">
        <v>627</v>
      </c>
      <c r="BI554" s="3" t="s">
        <v>627</v>
      </c>
      <c r="BJ554" s="102">
        <f>DATE(Modelling_old[[#This Row],[Calendor Year]],Modelling_old[[#This Row],[Start Month]],1)</f>
        <v>45536</v>
      </c>
      <c r="BK554" s="5">
        <f t="shared" si="208"/>
        <v>30</v>
      </c>
      <c r="BL554" s="5">
        <f t="shared" si="209"/>
        <v>9</v>
      </c>
      <c r="BM554" s="4">
        <f>Modelling_old[[#This Row],[Target E_Grid daily
MWh]]+Modelling_new[[#This Row],[Target E_Grid daily
MWh]]</f>
        <v>93.615789921985396</v>
      </c>
      <c r="BN554" s="4">
        <f>Modelling_old[[#This Row],[Target E_Grid MTD
MWh]]+Modelling_new[[#This Row],[Target E_Grid MTD
MWh]]</f>
        <v>1685.0842185957374</v>
      </c>
      <c r="BO554" s="4">
        <f>Modelling_old[[#This Row],[Target E_Grid YTD
MWh]]+Modelling_new[[#This Row],[Target E_Grid YTD
MWh]]</f>
        <v>16757.078982185434</v>
      </c>
      <c r="BP554" s="4">
        <f>AVERAGE(Modelling_old[[#This Row],[Target POA Daily (KWh/m2)]],Modelling_new[[#This Row],[Target POA Daily (KWh/m2)]])</f>
        <v>4.9333333333333336</v>
      </c>
      <c r="BQ554" s="4">
        <f>SUM($BP$537:BP554)</f>
        <v>88.80000000000004</v>
      </c>
      <c r="BR554" s="4">
        <f>SUM($BP$384:BP554)</f>
        <v>909.59999999999627</v>
      </c>
      <c r="BS554" s="323">
        <f>BM554/Modelling[[#This Row],[Comisined DC ]]/BP554</f>
        <v>0.78081288530413306</v>
      </c>
      <c r="BT554" s="337">
        <f>BN554/BQ554/Modelling[[#This Row],[Comisined DC ]]</f>
        <v>0.78081288530413284</v>
      </c>
      <c r="BU554" s="337">
        <f>BO554/BR554/Modelling[[#This Row],[Comisined DC ]]</f>
        <v>0.75802964630181791</v>
      </c>
      <c r="BV554" s="323">
        <f>BM554/(24*Modelling[[#This Row],[Comisined DC ]])</f>
        <v>0.16050042642362736</v>
      </c>
      <c r="BW554" s="323">
        <f>Modelling[[#This Row],[Target E_Grid MTD
MWh]]/Modelling[[#This Row],[MTD DC Capcity]]/(24*CG554)</f>
        <v>0.16050042642362747</v>
      </c>
      <c r="BX554" s="338">
        <f>Modelling[[#This Row],[Target E_Grid YTD
MWh]]/Modelling[[#This Row],[YTD DC Capcity]]/(24*CH554)</f>
        <v>0.16800774032069424</v>
      </c>
      <c r="BY554" s="4">
        <f>Modelling_old[[#This Row],[DC Capcity]]+Modelling_new[[#This Row],[Comisined DC ]]</f>
        <v>24.303100000000001</v>
      </c>
      <c r="BZ554" s="4">
        <v>0</v>
      </c>
      <c r="CA554">
        <f>AVERAGEIFS(Modelling[[Comisined DC ]],Modelling[Date],"&lt;="&amp;Modelling[[#This Row],[Date]],Modelling[Month Year],Modelling[[#This Row],[Month Year]])</f>
        <v>24.30309999999999</v>
      </c>
      <c r="CB554">
        <f>AVERAGEIFS(Modelling[[Comisined DC ]],Modelling[Date],"&lt;="&amp;Modelling[[#This Row],[Date]],Modelling[Finacial Year],Modelling[[#This Row],[Finacial Year]])</f>
        <v>24.303100000000061</v>
      </c>
      <c r="CG554">
        <f t="shared" si="214"/>
        <v>18</v>
      </c>
      <c r="CH554">
        <f t="shared" si="211"/>
        <v>171</v>
      </c>
    </row>
    <row r="555" spans="1:86" x14ac:dyDescent="0.35">
      <c r="A555" s="27">
        <f t="shared" si="189"/>
        <v>45554</v>
      </c>
      <c r="B555" s="5">
        <f>MONTH(Modelling_old[[#This Row],[Date]])</f>
        <v>9</v>
      </c>
      <c r="C555" s="25">
        <f t="shared" si="190"/>
        <v>2025</v>
      </c>
      <c r="D555" s="3">
        <f t="shared" si="191"/>
        <v>2024</v>
      </c>
      <c r="E555" s="3" t="s">
        <v>627</v>
      </c>
      <c r="F555" s="3" t="s">
        <v>627</v>
      </c>
      <c r="G555" s="102">
        <f>DATE(Modelling_old[[#This Row],[Calendor Year]],Modelling_old[[#This Row],[Start Month]],1)</f>
        <v>45536</v>
      </c>
      <c r="H555" s="5">
        <f t="shared" si="192"/>
        <v>30</v>
      </c>
      <c r="I555" s="5">
        <f t="shared" si="193"/>
        <v>9</v>
      </c>
      <c r="J555" s="4">
        <f>_xlfn.XLOOKUP(Modelling_old[[#This Row],[Month]],$C$1:$C$14,$N$1:$N$14)/Modelling_old[[#This Row],[Total Days]]</f>
        <v>40.119999999999997</v>
      </c>
      <c r="K555" s="4">
        <f>SUM($J$537:J555)</f>
        <v>762.28</v>
      </c>
      <c r="L555" s="4">
        <f>SUM($J$384:J555)</f>
        <v>7287.6799999999885</v>
      </c>
      <c r="M555" s="4">
        <f t="shared" si="194"/>
        <v>4.9333333333333336</v>
      </c>
      <c r="N555" s="4">
        <f>SUM($M$537:M555)</f>
        <v>93.733333333333377</v>
      </c>
      <c r="O555" s="4">
        <f>SUM($M$384:M555)</f>
        <v>914.53333333332955</v>
      </c>
      <c r="P555" s="323">
        <f t="shared" si="195"/>
        <v>0.70697746106983606</v>
      </c>
      <c r="Q555" s="337">
        <f t="shared" si="196"/>
        <v>0.70697746106983583</v>
      </c>
      <c r="R555" s="337">
        <f t="shared" si="197"/>
        <v>0.6927473289023045</v>
      </c>
      <c r="S555" s="323">
        <f t="shared" si="198"/>
        <v>0.14532314477546632</v>
      </c>
      <c r="T555" s="9">
        <f>Modelling_old[[#This Row],[Target E_Grid MTD
MWh]]/Modelling_old[[#This Row],[DC Capcity]]/(24*CG555)</f>
        <v>0.14532314477546632</v>
      </c>
      <c r="U555" s="338">
        <f>Modelling_old[[#This Row],[Target E_Grid YTD
MWh]]/Modelling_old[[#This Row],[DC Capcity]]/(24*CH555)</f>
        <v>0.15347396411307773</v>
      </c>
      <c r="V555" s="134">
        <v>11.5031</v>
      </c>
      <c r="Y555" s="27">
        <f t="shared" si="212"/>
        <v>45554</v>
      </c>
      <c r="Z555" s="5">
        <f>MONTH(Modelling_new[[#This Row],[Date]])</f>
        <v>9</v>
      </c>
      <c r="AA555" s="25">
        <f>YEAR(Y555)+IF(MONTH(Modelling_new[[#This Row],[Date]])&gt;=4,1,0)</f>
        <v>2025</v>
      </c>
      <c r="AB555" s="3">
        <f t="shared" si="199"/>
        <v>2024</v>
      </c>
      <c r="AC555" s="3" t="s">
        <v>627</v>
      </c>
      <c r="AD555" s="3" t="s">
        <v>627</v>
      </c>
      <c r="AE555" s="102">
        <f>DATE(Modelling_old[[#This Row],[Calendor Year]],Modelling_old[[#This Row],[Start Month]],1)</f>
        <v>45536</v>
      </c>
      <c r="AF555" s="5">
        <f t="shared" si="200"/>
        <v>30</v>
      </c>
      <c r="AG555" s="5">
        <f t="shared" si="201"/>
        <v>9</v>
      </c>
      <c r="AH555" s="4">
        <f>_xlfn.XLOOKUP(Modelling_new[[#This Row],[Month]],$AA$1:$AA$14,$AL$1:$AL$14)/Modelling_new[[#This Row],[Total Days]]</f>
        <v>53.495789921985406</v>
      </c>
      <c r="AI555" s="4">
        <f>SUM($AH$537:AH555)</f>
        <v>1016.4200085177229</v>
      </c>
      <c r="AJ555" s="4">
        <f>SUM($AH$384:AH555)</f>
        <v>9563.0147721074318</v>
      </c>
      <c r="AK555" s="4">
        <f t="shared" si="202"/>
        <v>4.9333333333333336</v>
      </c>
      <c r="AL555" s="4">
        <f>SUM($AK$537:AK555)</f>
        <v>93.733333333333377</v>
      </c>
      <c r="AM555" s="4">
        <f>SUM($AK$384:AK555)</f>
        <v>914.53333333332955</v>
      </c>
      <c r="AN555" s="323">
        <f t="shared" si="203"/>
        <v>0.94267990371312482</v>
      </c>
      <c r="AO555" s="323">
        <f t="shared" si="204"/>
        <v>0.94267990371312471</v>
      </c>
      <c r="AP555" s="323">
        <f t="shared" si="205"/>
        <v>0.90903455415587864</v>
      </c>
      <c r="AQ555" s="323">
        <f t="shared" si="206"/>
        <v>0.19377309131880904</v>
      </c>
      <c r="AR555" s="323">
        <f>Modelling_new[[#This Row],[Target E_Grid MTD
MWh]]/Modelling_new[[#This Row],[MTD DC Capcity]]/(24*CG555)</f>
        <v>0.1741399411522962</v>
      </c>
      <c r="AS555" s="323">
        <f>Modelling_new[[#This Row],[Target E_Grid YTD
MWh]]/Modelling_new[[#This Row],[YTD DC Capcity]]/(24*CH555)</f>
        <v>0.18098607777880191</v>
      </c>
      <c r="AT555" s="5">
        <v>12.8</v>
      </c>
      <c r="AU555" s="9">
        <f>Modelling_new[[#This Row],[Comisined DC ]]/$AO$1</f>
        <v>1</v>
      </c>
      <c r="AV55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55" s="5">
        <f>AVERAGEIFS(Modelling_new[[Comisined DC ]],Modelling_new[Date],"&lt;="&amp;Modelling_new[[#This Row],[Date]],Modelling_new[[Comisined DC ]],"&gt;"&amp;0,Modelling_new[Finacial Year],Modelling_new[[#This Row],[Finacial Year]])</f>
        <v>12.799999999999981</v>
      </c>
      <c r="BD555" s="27">
        <f t="shared" si="213"/>
        <v>45554</v>
      </c>
      <c r="BE555" s="5">
        <f>MONTH(Modelling[[#This Row],[Date]])</f>
        <v>9</v>
      </c>
      <c r="BF555" s="25">
        <f>YEAR(BD555)+IF(MONTH(Modelling[[#This Row],[Date]])&gt;=4,1,0)</f>
        <v>2025</v>
      </c>
      <c r="BG555" s="3">
        <f t="shared" si="207"/>
        <v>2024</v>
      </c>
      <c r="BH555" s="3" t="s">
        <v>627</v>
      </c>
      <c r="BI555" s="3" t="s">
        <v>627</v>
      </c>
      <c r="BJ555" s="102">
        <f>DATE(Modelling_old[[#This Row],[Calendor Year]],Modelling_old[[#This Row],[Start Month]],1)</f>
        <v>45536</v>
      </c>
      <c r="BK555" s="5">
        <f t="shared" si="208"/>
        <v>30</v>
      </c>
      <c r="BL555" s="5">
        <f t="shared" si="209"/>
        <v>9</v>
      </c>
      <c r="BM555" s="4">
        <f>Modelling_old[[#This Row],[Target E_Grid daily
MWh]]+Modelling_new[[#This Row],[Target E_Grid daily
MWh]]</f>
        <v>93.615789921985396</v>
      </c>
      <c r="BN555" s="4">
        <f>Modelling_old[[#This Row],[Target E_Grid MTD
MWh]]+Modelling_new[[#This Row],[Target E_Grid MTD
MWh]]</f>
        <v>1778.7000085177228</v>
      </c>
      <c r="BO555" s="4">
        <f>Modelling_old[[#This Row],[Target E_Grid YTD
MWh]]+Modelling_new[[#This Row],[Target E_Grid YTD
MWh]]</f>
        <v>16850.694772107421</v>
      </c>
      <c r="BP555" s="4">
        <f>AVERAGE(Modelling_old[[#This Row],[Target POA Daily (KWh/m2)]],Modelling_new[[#This Row],[Target POA Daily (KWh/m2)]])</f>
        <v>4.9333333333333336</v>
      </c>
      <c r="BQ555" s="4">
        <f>SUM($BP$537:BP555)</f>
        <v>93.733333333333377</v>
      </c>
      <c r="BR555" s="4">
        <f>SUM($BP$384:BP555)</f>
        <v>914.53333333332955</v>
      </c>
      <c r="BS555" s="323">
        <f>BM555/Modelling[[#This Row],[Comisined DC ]]/BP555</f>
        <v>0.78081288530413306</v>
      </c>
      <c r="BT555" s="337">
        <f>BN555/BQ555/Modelling[[#This Row],[Comisined DC ]]</f>
        <v>0.78081288530413284</v>
      </c>
      <c r="BU555" s="337">
        <f>BO555/BR555/Modelling[[#This Row],[Comisined DC ]]</f>
        <v>0.75815254757650619</v>
      </c>
      <c r="BV555" s="323">
        <f>BM555/(24*Modelling[[#This Row],[Comisined DC ]])</f>
        <v>0.16050042642362736</v>
      </c>
      <c r="BW555" s="323">
        <f>Modelling[[#This Row],[Target E_Grid MTD
MWh]]/Modelling[[#This Row],[MTD DC Capcity]]/(24*CG555)</f>
        <v>0.16050042642362747</v>
      </c>
      <c r="BX555" s="338">
        <f>Modelling[[#This Row],[Target E_Grid YTD
MWh]]/Modelling[[#This Row],[YTD DC Capcity]]/(24*CH555)</f>
        <v>0.16796409314687408</v>
      </c>
      <c r="BY555" s="4">
        <f>Modelling_old[[#This Row],[DC Capcity]]+Modelling_new[[#This Row],[Comisined DC ]]</f>
        <v>24.303100000000001</v>
      </c>
      <c r="BZ555" s="4">
        <v>0</v>
      </c>
      <c r="CA555">
        <f>AVERAGEIFS(Modelling[[Comisined DC ]],Modelling[Date],"&lt;="&amp;Modelling[[#This Row],[Date]],Modelling[Month Year],Modelling[[#This Row],[Month Year]])</f>
        <v>24.30309999999999</v>
      </c>
      <c r="CB555">
        <f>AVERAGEIFS(Modelling[[Comisined DC ]],Modelling[Date],"&lt;="&amp;Modelling[[#This Row],[Date]],Modelling[Finacial Year],Modelling[[#This Row],[Finacial Year]])</f>
        <v>24.303100000000061</v>
      </c>
      <c r="CG555">
        <f t="shared" si="214"/>
        <v>19</v>
      </c>
      <c r="CH555">
        <f t="shared" si="211"/>
        <v>172</v>
      </c>
    </row>
    <row r="556" spans="1:86" x14ac:dyDescent="0.35">
      <c r="A556" s="27">
        <f t="shared" si="189"/>
        <v>45555</v>
      </c>
      <c r="B556" s="5">
        <f>MONTH(Modelling_old[[#This Row],[Date]])</f>
        <v>9</v>
      </c>
      <c r="C556" s="25">
        <f t="shared" si="190"/>
        <v>2025</v>
      </c>
      <c r="D556" s="3">
        <f t="shared" si="191"/>
        <v>2024</v>
      </c>
      <c r="E556" s="3" t="s">
        <v>627</v>
      </c>
      <c r="F556" s="3" t="s">
        <v>627</v>
      </c>
      <c r="G556" s="102">
        <f>DATE(Modelling_old[[#This Row],[Calendor Year]],Modelling_old[[#This Row],[Start Month]],1)</f>
        <v>45536</v>
      </c>
      <c r="H556" s="5">
        <f t="shared" si="192"/>
        <v>30</v>
      </c>
      <c r="I556" s="5">
        <f t="shared" si="193"/>
        <v>9</v>
      </c>
      <c r="J556" s="4">
        <f>_xlfn.XLOOKUP(Modelling_old[[#This Row],[Month]],$C$1:$C$14,$N$1:$N$14)/Modelling_old[[#This Row],[Total Days]]</f>
        <v>40.119999999999997</v>
      </c>
      <c r="K556" s="4">
        <f>SUM($J$537:J556)</f>
        <v>802.4</v>
      </c>
      <c r="L556" s="4">
        <f>SUM($J$384:J556)</f>
        <v>7327.7999999999884</v>
      </c>
      <c r="M556" s="4">
        <f t="shared" si="194"/>
        <v>4.9333333333333336</v>
      </c>
      <c r="N556" s="4">
        <f>SUM($M$537:M556)</f>
        <v>98.666666666666714</v>
      </c>
      <c r="O556" s="4">
        <f>SUM($M$384:M556)</f>
        <v>919.46666666666283</v>
      </c>
      <c r="P556" s="323">
        <f t="shared" si="195"/>
        <v>0.70697746106983606</v>
      </c>
      <c r="Q556" s="337">
        <f t="shared" si="196"/>
        <v>0.70697746106983583</v>
      </c>
      <c r="R556" s="337">
        <f t="shared" si="197"/>
        <v>0.69282367966944469</v>
      </c>
      <c r="S556" s="323">
        <f t="shared" si="198"/>
        <v>0.14532314477546632</v>
      </c>
      <c r="T556" s="9">
        <f>Modelling_old[[#This Row],[Target E_Grid MTD
MWh]]/Modelling_old[[#This Row],[DC Capcity]]/(24*CG556)</f>
        <v>0.14532314477546632</v>
      </c>
      <c r="U556" s="338">
        <f>Modelling_old[[#This Row],[Target E_Grid YTD
MWh]]/Modelling_old[[#This Row],[DC Capcity]]/(24*CH556)</f>
        <v>0.15342684955043259</v>
      </c>
      <c r="V556" s="134">
        <v>11.5031</v>
      </c>
      <c r="Y556" s="27">
        <f t="shared" si="212"/>
        <v>45555</v>
      </c>
      <c r="Z556" s="5">
        <f>MONTH(Modelling_new[[#This Row],[Date]])</f>
        <v>9</v>
      </c>
      <c r="AA556" s="25">
        <f>YEAR(Y556)+IF(MONTH(Modelling_new[[#This Row],[Date]])&gt;=4,1,0)</f>
        <v>2025</v>
      </c>
      <c r="AB556" s="3">
        <f t="shared" si="199"/>
        <v>2024</v>
      </c>
      <c r="AC556" s="3" t="s">
        <v>627</v>
      </c>
      <c r="AD556" s="3" t="s">
        <v>627</v>
      </c>
      <c r="AE556" s="102">
        <f>DATE(Modelling_old[[#This Row],[Calendor Year]],Modelling_old[[#This Row],[Start Month]],1)</f>
        <v>45536</v>
      </c>
      <c r="AF556" s="5">
        <f t="shared" si="200"/>
        <v>30</v>
      </c>
      <c r="AG556" s="5">
        <f t="shared" si="201"/>
        <v>9</v>
      </c>
      <c r="AH556" s="4">
        <f>_xlfn.XLOOKUP(Modelling_new[[#This Row],[Month]],$AA$1:$AA$14,$AL$1:$AL$14)/Modelling_new[[#This Row],[Total Days]]</f>
        <v>53.495789921985406</v>
      </c>
      <c r="AI556" s="4">
        <f>SUM($AH$537:AH556)</f>
        <v>1069.9157984397082</v>
      </c>
      <c r="AJ556" s="4">
        <f>SUM($AH$384:AH556)</f>
        <v>9616.510562029418</v>
      </c>
      <c r="AK556" s="4">
        <f t="shared" si="202"/>
        <v>4.9333333333333336</v>
      </c>
      <c r="AL556" s="4">
        <f>SUM($AK$537:AK556)</f>
        <v>98.666666666666714</v>
      </c>
      <c r="AM556" s="4">
        <f>SUM($AK$384:AK556)</f>
        <v>919.46666666666283</v>
      </c>
      <c r="AN556" s="323">
        <f t="shared" si="203"/>
        <v>0.94267990371312482</v>
      </c>
      <c r="AO556" s="323">
        <f t="shared" si="204"/>
        <v>0.94267990371312449</v>
      </c>
      <c r="AP556" s="323">
        <f t="shared" si="205"/>
        <v>0.90921507589799277</v>
      </c>
      <c r="AQ556" s="323">
        <f t="shared" si="206"/>
        <v>0.19377309131880904</v>
      </c>
      <c r="AR556" s="323">
        <f>Modelling_new[[#This Row],[Target E_Grid MTD
MWh]]/Modelling_new[[#This Row],[MTD DC Capcity]]/(24*CG556)</f>
        <v>0.17413994115229622</v>
      </c>
      <c r="AS556" s="323">
        <f>Modelling_new[[#This Row],[Target E_Grid YTD
MWh]]/Modelling_new[[#This Row],[YTD DC Capcity]]/(24*CH556)</f>
        <v>0.18094650473471804</v>
      </c>
      <c r="AT556" s="5">
        <v>12.8</v>
      </c>
      <c r="AU556" s="9">
        <f>Modelling_new[[#This Row],[Comisined DC ]]/$AO$1</f>
        <v>1</v>
      </c>
      <c r="AV556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56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556" s="27">
        <f t="shared" si="213"/>
        <v>45555</v>
      </c>
      <c r="BE556" s="5">
        <f>MONTH(Modelling[[#This Row],[Date]])</f>
        <v>9</v>
      </c>
      <c r="BF556" s="25">
        <f>YEAR(BD556)+IF(MONTH(Modelling[[#This Row],[Date]])&gt;=4,1,0)</f>
        <v>2025</v>
      </c>
      <c r="BG556" s="3">
        <f t="shared" si="207"/>
        <v>2024</v>
      </c>
      <c r="BH556" s="3" t="s">
        <v>627</v>
      </c>
      <c r="BI556" s="3" t="s">
        <v>627</v>
      </c>
      <c r="BJ556" s="102">
        <f>DATE(Modelling_old[[#This Row],[Calendor Year]],Modelling_old[[#This Row],[Start Month]],1)</f>
        <v>45536</v>
      </c>
      <c r="BK556" s="5">
        <f t="shared" si="208"/>
        <v>30</v>
      </c>
      <c r="BL556" s="5">
        <f t="shared" si="209"/>
        <v>9</v>
      </c>
      <c r="BM556" s="4">
        <f>Modelling_old[[#This Row],[Target E_Grid daily
MWh]]+Modelling_new[[#This Row],[Target E_Grid daily
MWh]]</f>
        <v>93.615789921985396</v>
      </c>
      <c r="BN556" s="4">
        <f>Modelling_old[[#This Row],[Target E_Grid MTD
MWh]]+Modelling_new[[#This Row],[Target E_Grid MTD
MWh]]</f>
        <v>1872.315798439708</v>
      </c>
      <c r="BO556" s="4">
        <f>Modelling_old[[#This Row],[Target E_Grid YTD
MWh]]+Modelling_new[[#This Row],[Target E_Grid YTD
MWh]]</f>
        <v>16944.310562029408</v>
      </c>
      <c r="BP556" s="4">
        <f>AVERAGE(Modelling_old[[#This Row],[Target POA Daily (KWh/m2)]],Modelling_new[[#This Row],[Target POA Daily (KWh/m2)]])</f>
        <v>4.9333333333333336</v>
      </c>
      <c r="BQ556" s="4">
        <f>SUM($BP$537:BP556)</f>
        <v>98.666666666666714</v>
      </c>
      <c r="BR556" s="4">
        <f>SUM($BP$384:BP556)</f>
        <v>919.46666666666283</v>
      </c>
      <c r="BS556" s="323">
        <f>BM556/Modelling[[#This Row],[Comisined DC ]]/BP556</f>
        <v>0.78081288530413306</v>
      </c>
      <c r="BT556" s="337">
        <f>BN556/BQ556/Modelling[[#This Row],[Comisined DC ]]</f>
        <v>0.78081288530413273</v>
      </c>
      <c r="BU556" s="337">
        <f>BO556/BR556/Modelling[[#This Row],[Comisined DC ]]</f>
        <v>0.75827413001501009</v>
      </c>
      <c r="BV556" s="323">
        <f>BM556/(24*Modelling[[#This Row],[Comisined DC ]])</f>
        <v>0.16050042642362736</v>
      </c>
      <c r="BW556" s="323">
        <f>Modelling[[#This Row],[Target E_Grid MTD
MWh]]/Modelling[[#This Row],[MTD DC Capcity]]/(24*CG556)</f>
        <v>0.16050042642362744</v>
      </c>
      <c r="BX556" s="338">
        <f>Modelling[[#This Row],[Target E_Grid YTD
MWh]]/Modelling[[#This Row],[YTD DC Capcity]]/(24*CH556)</f>
        <v>0.16792095056465881</v>
      </c>
      <c r="BY556" s="4">
        <f>Modelling_old[[#This Row],[DC Capcity]]+Modelling_new[[#This Row],[Comisined DC ]]</f>
        <v>24.303100000000001</v>
      </c>
      <c r="BZ556" s="4">
        <v>0</v>
      </c>
      <c r="CA556">
        <f>AVERAGEIFS(Modelling[[Comisined DC ]],Modelling[Date],"&lt;="&amp;Modelling[[#This Row],[Date]],Modelling[Month Year],Modelling[[#This Row],[Month Year]])</f>
        <v>24.30309999999999</v>
      </c>
      <c r="CB556">
        <f>AVERAGEIFS(Modelling[[Comisined DC ]],Modelling[Date],"&lt;="&amp;Modelling[[#This Row],[Date]],Modelling[Finacial Year],Modelling[[#This Row],[Finacial Year]])</f>
        <v>24.303100000000061</v>
      </c>
      <c r="CG556">
        <f t="shared" si="214"/>
        <v>20</v>
      </c>
      <c r="CH556">
        <f t="shared" si="211"/>
        <v>173</v>
      </c>
    </row>
    <row r="557" spans="1:86" x14ac:dyDescent="0.35">
      <c r="A557" s="27">
        <f t="shared" si="189"/>
        <v>45556</v>
      </c>
      <c r="B557" s="5">
        <f>MONTH(Modelling_old[[#This Row],[Date]])</f>
        <v>9</v>
      </c>
      <c r="C557" s="25">
        <f t="shared" si="190"/>
        <v>2025</v>
      </c>
      <c r="D557" s="3">
        <f t="shared" si="191"/>
        <v>2024</v>
      </c>
      <c r="E557" s="3" t="s">
        <v>627</v>
      </c>
      <c r="F557" s="3" t="s">
        <v>627</v>
      </c>
      <c r="G557" s="102">
        <f>DATE(Modelling_old[[#This Row],[Calendor Year]],Modelling_old[[#This Row],[Start Month]],1)</f>
        <v>45536</v>
      </c>
      <c r="H557" s="5">
        <f t="shared" si="192"/>
        <v>30</v>
      </c>
      <c r="I557" s="5">
        <f t="shared" si="193"/>
        <v>9</v>
      </c>
      <c r="J557" s="4">
        <f>_xlfn.XLOOKUP(Modelling_old[[#This Row],[Month]],$C$1:$C$14,$N$1:$N$14)/Modelling_old[[#This Row],[Total Days]]</f>
        <v>40.119999999999997</v>
      </c>
      <c r="K557" s="4">
        <f>SUM($J$537:J557)</f>
        <v>842.52</v>
      </c>
      <c r="L557" s="4">
        <f>SUM($J$384:J557)</f>
        <v>7367.9199999999882</v>
      </c>
      <c r="M557" s="4">
        <f t="shared" si="194"/>
        <v>4.9333333333333336</v>
      </c>
      <c r="N557" s="4">
        <f>SUM($M$537:M557)</f>
        <v>103.60000000000005</v>
      </c>
      <c r="O557" s="4">
        <f>SUM($M$384:M557)</f>
        <v>924.39999999999611</v>
      </c>
      <c r="P557" s="323">
        <f t="shared" si="195"/>
        <v>0.70697746106983606</v>
      </c>
      <c r="Q557" s="337">
        <f t="shared" si="196"/>
        <v>0.70697746106983583</v>
      </c>
      <c r="R557" s="337">
        <f t="shared" si="197"/>
        <v>0.69289921549979439</v>
      </c>
      <c r="S557" s="323">
        <f t="shared" si="198"/>
        <v>0.14532314477546632</v>
      </c>
      <c r="T557" s="9">
        <f>Modelling_old[[#This Row],[Target E_Grid MTD
MWh]]/Modelling_old[[#This Row],[DC Capcity]]/(24*CG557)</f>
        <v>0.14532314477546632</v>
      </c>
      <c r="U557" s="338">
        <f>Modelling_old[[#This Row],[Target E_Grid YTD
MWh]]/Modelling_old[[#This Row],[DC Capcity]]/(24*CH557)</f>
        <v>0.15338027653448449</v>
      </c>
      <c r="V557" s="134">
        <v>11.5031</v>
      </c>
      <c r="Y557" s="27">
        <f t="shared" si="212"/>
        <v>45556</v>
      </c>
      <c r="Z557" s="5">
        <f>MONTH(Modelling_new[[#This Row],[Date]])</f>
        <v>9</v>
      </c>
      <c r="AA557" s="25">
        <f>YEAR(Y557)+IF(MONTH(Modelling_new[[#This Row],[Date]])&gt;=4,1,0)</f>
        <v>2025</v>
      </c>
      <c r="AB557" s="3">
        <f t="shared" si="199"/>
        <v>2024</v>
      </c>
      <c r="AC557" s="3" t="s">
        <v>627</v>
      </c>
      <c r="AD557" s="3" t="s">
        <v>627</v>
      </c>
      <c r="AE557" s="102">
        <f>DATE(Modelling_old[[#This Row],[Calendor Year]],Modelling_old[[#This Row],[Start Month]],1)</f>
        <v>45536</v>
      </c>
      <c r="AF557" s="5">
        <f t="shared" si="200"/>
        <v>30</v>
      </c>
      <c r="AG557" s="5">
        <f t="shared" si="201"/>
        <v>9</v>
      </c>
      <c r="AH557" s="4">
        <f>_xlfn.XLOOKUP(Modelling_new[[#This Row],[Month]],$AA$1:$AA$14,$AL$1:$AL$14)/Modelling_new[[#This Row],[Total Days]]</f>
        <v>53.495789921985406</v>
      </c>
      <c r="AI557" s="4">
        <f>SUM($AH$537:AH557)</f>
        <v>1123.4115883616935</v>
      </c>
      <c r="AJ557" s="4">
        <f>SUM($AH$384:AH557)</f>
        <v>9670.0063519514042</v>
      </c>
      <c r="AK557" s="4">
        <f t="shared" si="202"/>
        <v>4.9333333333333336</v>
      </c>
      <c r="AL557" s="4">
        <f>SUM($AK$537:AK557)</f>
        <v>103.60000000000005</v>
      </c>
      <c r="AM557" s="4">
        <f>SUM($AK$384:AK557)</f>
        <v>924.39999999999611</v>
      </c>
      <c r="AN557" s="323">
        <f t="shared" si="203"/>
        <v>0.94267990371312482</v>
      </c>
      <c r="AO557" s="323">
        <f t="shared" si="204"/>
        <v>0.94267990371312438</v>
      </c>
      <c r="AP557" s="323">
        <f t="shared" si="205"/>
        <v>0.90939367082503175</v>
      </c>
      <c r="AQ557" s="323">
        <f t="shared" si="206"/>
        <v>0.19377309131880904</v>
      </c>
      <c r="AR557" s="323">
        <f>Modelling_new[[#This Row],[Target E_Grid MTD
MWh]]/Modelling_new[[#This Row],[MTD DC Capcity]]/(24*CG557)</f>
        <v>0.1741399411522962</v>
      </c>
      <c r="AS557" s="323">
        <f>Modelling_new[[#This Row],[Target E_Grid YTD
MWh]]/Modelling_new[[#This Row],[YTD DC Capcity]]/(24*CH557)</f>
        <v>0.18090738655320987</v>
      </c>
      <c r="AT557" s="5">
        <v>12.8</v>
      </c>
      <c r="AU557" s="9">
        <f>Modelling_new[[#This Row],[Comisined DC ]]/$AO$1</f>
        <v>1</v>
      </c>
      <c r="AV557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57" s="5">
        <f>AVERAGEIFS(Modelling_new[[Comisined DC ]],Modelling_new[Date],"&lt;="&amp;Modelling_new[[#This Row],[Date]],Modelling_new[[Comisined DC ]],"&gt;"&amp;0,Modelling_new[Finacial Year],Modelling_new[[#This Row],[Finacial Year]])</f>
        <v>12.799999999999983</v>
      </c>
      <c r="BD557" s="27">
        <f t="shared" si="213"/>
        <v>45556</v>
      </c>
      <c r="BE557" s="5">
        <f>MONTH(Modelling[[#This Row],[Date]])</f>
        <v>9</v>
      </c>
      <c r="BF557" s="25">
        <f>YEAR(BD557)+IF(MONTH(Modelling[[#This Row],[Date]])&gt;=4,1,0)</f>
        <v>2025</v>
      </c>
      <c r="BG557" s="3">
        <f t="shared" si="207"/>
        <v>2024</v>
      </c>
      <c r="BH557" s="3" t="s">
        <v>627</v>
      </c>
      <c r="BI557" s="3" t="s">
        <v>627</v>
      </c>
      <c r="BJ557" s="102">
        <f>DATE(Modelling_old[[#This Row],[Calendor Year]],Modelling_old[[#This Row],[Start Month]],1)</f>
        <v>45536</v>
      </c>
      <c r="BK557" s="5">
        <f t="shared" si="208"/>
        <v>30</v>
      </c>
      <c r="BL557" s="5">
        <f t="shared" si="209"/>
        <v>9</v>
      </c>
      <c r="BM557" s="4">
        <f>Modelling_old[[#This Row],[Target E_Grid daily
MWh]]+Modelling_new[[#This Row],[Target E_Grid daily
MWh]]</f>
        <v>93.615789921985396</v>
      </c>
      <c r="BN557" s="4">
        <f>Modelling_old[[#This Row],[Target E_Grid MTD
MWh]]+Modelling_new[[#This Row],[Target E_Grid MTD
MWh]]</f>
        <v>1965.9315883616935</v>
      </c>
      <c r="BO557" s="4">
        <f>Modelling_old[[#This Row],[Target E_Grid YTD
MWh]]+Modelling_new[[#This Row],[Target E_Grid YTD
MWh]]</f>
        <v>17037.926351951392</v>
      </c>
      <c r="BP557" s="4">
        <f>AVERAGE(Modelling_old[[#This Row],[Target POA Daily (KWh/m2)]],Modelling_new[[#This Row],[Target POA Daily (KWh/m2)]])</f>
        <v>4.9333333333333336</v>
      </c>
      <c r="BQ557" s="4">
        <f>SUM($BP$537:BP557)</f>
        <v>103.60000000000005</v>
      </c>
      <c r="BR557" s="4">
        <f>SUM($BP$384:BP557)</f>
        <v>924.39999999999611</v>
      </c>
      <c r="BS557" s="323">
        <f>BM557/Modelling[[#This Row],[Comisined DC ]]/BP557</f>
        <v>0.78081288530413306</v>
      </c>
      <c r="BT557" s="337">
        <f>BN557/BQ557/Modelling[[#This Row],[Comisined DC ]]</f>
        <v>0.78081288530413273</v>
      </c>
      <c r="BU557" s="337">
        <f>BO557/BR557/Modelling[[#This Row],[Comisined DC ]]</f>
        <v>0.75839441473240476</v>
      </c>
      <c r="BV557" s="323">
        <f>BM557/(24*Modelling[[#This Row],[Comisined DC ]])</f>
        <v>0.16050042642362736</v>
      </c>
      <c r="BW557" s="323">
        <f>Modelling[[#This Row],[Target E_Grid MTD
MWh]]/Modelling[[#This Row],[MTD DC Capcity]]/(24*CG557)</f>
        <v>0.16050042642362744</v>
      </c>
      <c r="BX557" s="338">
        <f>Modelling[[#This Row],[Target E_Grid YTD
MWh]]/Modelling[[#This Row],[YTD DC Capcity]]/(24*CH557)</f>
        <v>0.16787830387419309</v>
      </c>
      <c r="BY557" s="4">
        <f>Modelling_old[[#This Row],[DC Capcity]]+Modelling_new[[#This Row],[Comisined DC ]]</f>
        <v>24.303100000000001</v>
      </c>
      <c r="BZ557" s="4">
        <v>0</v>
      </c>
      <c r="CA557">
        <f>AVERAGEIFS(Modelling[[Comisined DC ]],Modelling[Date],"&lt;="&amp;Modelling[[#This Row],[Date]],Modelling[Month Year],Modelling[[#This Row],[Month Year]])</f>
        <v>24.30309999999999</v>
      </c>
      <c r="CB557">
        <f>AVERAGEIFS(Modelling[[Comisined DC ]],Modelling[Date],"&lt;="&amp;Modelling[[#This Row],[Date]],Modelling[Finacial Year],Modelling[[#This Row],[Finacial Year]])</f>
        <v>24.303100000000061</v>
      </c>
      <c r="CG557">
        <f t="shared" si="214"/>
        <v>21</v>
      </c>
      <c r="CH557">
        <f t="shared" si="211"/>
        <v>174</v>
      </c>
    </row>
    <row r="558" spans="1:86" x14ac:dyDescent="0.35">
      <c r="A558" s="27">
        <f t="shared" si="189"/>
        <v>45557</v>
      </c>
      <c r="B558" s="5">
        <f>MONTH(Modelling_old[[#This Row],[Date]])</f>
        <v>9</v>
      </c>
      <c r="C558" s="25">
        <f t="shared" si="190"/>
        <v>2025</v>
      </c>
      <c r="D558" s="3">
        <f t="shared" si="191"/>
        <v>2024</v>
      </c>
      <c r="E558" s="3" t="s">
        <v>627</v>
      </c>
      <c r="F558" s="3" t="s">
        <v>627</v>
      </c>
      <c r="G558" s="102">
        <f>DATE(Modelling_old[[#This Row],[Calendor Year]],Modelling_old[[#This Row],[Start Month]],1)</f>
        <v>45536</v>
      </c>
      <c r="H558" s="5">
        <f t="shared" si="192"/>
        <v>30</v>
      </c>
      <c r="I558" s="5">
        <f t="shared" si="193"/>
        <v>9</v>
      </c>
      <c r="J558" s="4">
        <f>_xlfn.XLOOKUP(Modelling_old[[#This Row],[Month]],$C$1:$C$14,$N$1:$N$14)/Modelling_old[[#This Row],[Total Days]]</f>
        <v>40.119999999999997</v>
      </c>
      <c r="K558" s="4">
        <f>SUM($J$537:J558)</f>
        <v>882.64</v>
      </c>
      <c r="L558" s="4">
        <f>SUM($J$384:J558)</f>
        <v>7408.0399999999881</v>
      </c>
      <c r="M558" s="4">
        <f t="shared" si="194"/>
        <v>4.9333333333333336</v>
      </c>
      <c r="N558" s="4">
        <f>SUM($M$537:M558)</f>
        <v>108.53333333333339</v>
      </c>
      <c r="O558" s="4">
        <f>SUM($M$384:M558)</f>
        <v>929.33333333332939</v>
      </c>
      <c r="P558" s="323">
        <f t="shared" si="195"/>
        <v>0.70697746106983606</v>
      </c>
      <c r="Q558" s="337">
        <f t="shared" si="196"/>
        <v>0.70697746106983572</v>
      </c>
      <c r="R558" s="337">
        <f t="shared" si="197"/>
        <v>0.69297394937154355</v>
      </c>
      <c r="S558" s="323">
        <f t="shared" si="198"/>
        <v>0.14532314477546632</v>
      </c>
      <c r="T558" s="9">
        <f>Modelling_old[[#This Row],[Target E_Grid MTD
MWh]]/Modelling_old[[#This Row],[DC Capcity]]/(24*CG558)</f>
        <v>0.14532314477546632</v>
      </c>
      <c r="U558" s="338">
        <f>Modelling_old[[#This Row],[Target E_Grid YTD
MWh]]/Modelling_old[[#This Row],[DC Capcity]]/(24*CH558)</f>
        <v>0.15333423578157582</v>
      </c>
      <c r="V558" s="134">
        <v>11.5031</v>
      </c>
      <c r="Y558" s="27">
        <f t="shared" si="212"/>
        <v>45557</v>
      </c>
      <c r="Z558" s="5">
        <f>MONTH(Modelling_new[[#This Row],[Date]])</f>
        <v>9</v>
      </c>
      <c r="AA558" s="25">
        <f>YEAR(Y558)+IF(MONTH(Modelling_new[[#This Row],[Date]])&gt;=4,1,0)</f>
        <v>2025</v>
      </c>
      <c r="AB558" s="3">
        <f t="shared" si="199"/>
        <v>2024</v>
      </c>
      <c r="AC558" s="3" t="s">
        <v>627</v>
      </c>
      <c r="AD558" s="3" t="s">
        <v>627</v>
      </c>
      <c r="AE558" s="102">
        <f>DATE(Modelling_old[[#This Row],[Calendor Year]],Modelling_old[[#This Row],[Start Month]],1)</f>
        <v>45536</v>
      </c>
      <c r="AF558" s="5">
        <f t="shared" si="200"/>
        <v>30</v>
      </c>
      <c r="AG558" s="5">
        <f t="shared" si="201"/>
        <v>9</v>
      </c>
      <c r="AH558" s="4">
        <f>_xlfn.XLOOKUP(Modelling_new[[#This Row],[Month]],$AA$1:$AA$14,$AL$1:$AL$14)/Modelling_new[[#This Row],[Total Days]]</f>
        <v>53.495789921985406</v>
      </c>
      <c r="AI558" s="4">
        <f>SUM($AH$537:AH558)</f>
        <v>1176.9073782836788</v>
      </c>
      <c r="AJ558" s="4">
        <f>SUM($AH$384:AH558)</f>
        <v>9723.5021418733904</v>
      </c>
      <c r="AK558" s="4">
        <f t="shared" si="202"/>
        <v>4.9333333333333336</v>
      </c>
      <c r="AL558" s="4">
        <f>SUM($AK$537:AK558)</f>
        <v>108.53333333333339</v>
      </c>
      <c r="AM558" s="4">
        <f>SUM($AK$384:AK558)</f>
        <v>929.33333333332939</v>
      </c>
      <c r="AN558" s="323">
        <f t="shared" si="203"/>
        <v>0.94267990371312482</v>
      </c>
      <c r="AO558" s="323">
        <f t="shared" si="204"/>
        <v>0.94267990371312438</v>
      </c>
      <c r="AP558" s="323">
        <f t="shared" si="205"/>
        <v>0.90957036962228577</v>
      </c>
      <c r="AQ558" s="323">
        <f t="shared" si="206"/>
        <v>0.19377309131880904</v>
      </c>
      <c r="AR558" s="323">
        <f>Modelling_new[[#This Row],[Target E_Grid MTD
MWh]]/Modelling_new[[#This Row],[MTD DC Capcity]]/(24*CG558)</f>
        <v>0.17413994115229617</v>
      </c>
      <c r="AS558" s="323">
        <f>Modelling_new[[#This Row],[Target E_Grid YTD
MWh]]/Modelling_new[[#This Row],[YTD DC Capcity]]/(24*CH558)</f>
        <v>0.18086871543663322</v>
      </c>
      <c r="AT558" s="5">
        <v>12.8</v>
      </c>
      <c r="AU558" s="9">
        <f>Modelling_new[[#This Row],[Comisined DC ]]/$AO$1</f>
        <v>1</v>
      </c>
      <c r="AV558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58" s="5">
        <f>AVERAGEIFS(Modelling_new[[Comisined DC ]],Modelling_new[Date],"&lt;="&amp;Modelling_new[[#This Row],[Date]],Modelling_new[[Comisined DC ]],"&gt;"&amp;0,Modelling_new[Finacial Year],Modelling_new[[#This Row],[Finacial Year]])</f>
        <v>12.799999999999985</v>
      </c>
      <c r="BD558" s="27">
        <f t="shared" si="213"/>
        <v>45557</v>
      </c>
      <c r="BE558" s="5">
        <f>MONTH(Modelling[[#This Row],[Date]])</f>
        <v>9</v>
      </c>
      <c r="BF558" s="25">
        <f>YEAR(BD558)+IF(MONTH(Modelling[[#This Row],[Date]])&gt;=4,1,0)</f>
        <v>2025</v>
      </c>
      <c r="BG558" s="3">
        <f t="shared" si="207"/>
        <v>2024</v>
      </c>
      <c r="BH558" s="3" t="s">
        <v>627</v>
      </c>
      <c r="BI558" s="3" t="s">
        <v>627</v>
      </c>
      <c r="BJ558" s="102">
        <f>DATE(Modelling_old[[#This Row],[Calendor Year]],Modelling_old[[#This Row],[Start Month]],1)</f>
        <v>45536</v>
      </c>
      <c r="BK558" s="5">
        <f t="shared" si="208"/>
        <v>30</v>
      </c>
      <c r="BL558" s="5">
        <f t="shared" si="209"/>
        <v>9</v>
      </c>
      <c r="BM558" s="4">
        <f>Modelling_old[[#This Row],[Target E_Grid daily
MWh]]+Modelling_new[[#This Row],[Target E_Grid daily
MWh]]</f>
        <v>93.615789921985396</v>
      </c>
      <c r="BN558" s="4">
        <f>Modelling_old[[#This Row],[Target E_Grid MTD
MWh]]+Modelling_new[[#This Row],[Target E_Grid MTD
MWh]]</f>
        <v>2059.5473782836789</v>
      </c>
      <c r="BO558" s="4">
        <f>Modelling_old[[#This Row],[Target E_Grid YTD
MWh]]+Modelling_new[[#This Row],[Target E_Grid YTD
MWh]]</f>
        <v>17131.542141873379</v>
      </c>
      <c r="BP558" s="4">
        <f>AVERAGE(Modelling_old[[#This Row],[Target POA Daily (KWh/m2)]],Modelling_new[[#This Row],[Target POA Daily (KWh/m2)]])</f>
        <v>4.9333333333333336</v>
      </c>
      <c r="BQ558" s="4">
        <f>SUM($BP$537:BP558)</f>
        <v>108.53333333333339</v>
      </c>
      <c r="BR558" s="4">
        <f>SUM($BP$384:BP558)</f>
        <v>929.33333333332939</v>
      </c>
      <c r="BS558" s="323">
        <f>BM558/Modelling[[#This Row],[Comisined DC ]]/BP558</f>
        <v>0.78081288530413306</v>
      </c>
      <c r="BT558" s="337">
        <f>BN558/BQ558/Modelling[[#This Row],[Comisined DC ]]</f>
        <v>0.78081288530413273</v>
      </c>
      <c r="BU558" s="337">
        <f>BO558/BR558/Modelling[[#This Row],[Comisined DC ]]</f>
        <v>0.75851342239541109</v>
      </c>
      <c r="BV558" s="323">
        <f>BM558/(24*Modelling[[#This Row],[Comisined DC ]])</f>
        <v>0.16050042642362736</v>
      </c>
      <c r="BW558" s="323">
        <f>Modelling[[#This Row],[Target E_Grid MTD
MWh]]/Modelling[[#This Row],[MTD DC Capcity]]/(24*CG558)</f>
        <v>0.16050042642362747</v>
      </c>
      <c r="BX558" s="338">
        <f>Modelling[[#This Row],[Target E_Grid YTD
MWh]]/Modelling[[#This Row],[YTD DC Capcity]]/(24*CH558)</f>
        <v>0.16783614457447557</v>
      </c>
      <c r="BY558" s="4">
        <f>Modelling_old[[#This Row],[DC Capcity]]+Modelling_new[[#This Row],[Comisined DC ]]</f>
        <v>24.303100000000001</v>
      </c>
      <c r="BZ558" s="4">
        <v>0</v>
      </c>
      <c r="CA558">
        <f>AVERAGEIFS(Modelling[[Comisined DC ]],Modelling[Date],"&lt;="&amp;Modelling[[#This Row],[Date]],Modelling[Month Year],Modelling[[#This Row],[Month Year]])</f>
        <v>24.303099999999986</v>
      </c>
      <c r="CB558">
        <f>AVERAGEIFS(Modelling[[Comisined DC ]],Modelling[Date],"&lt;="&amp;Modelling[[#This Row],[Date]],Modelling[Finacial Year],Modelling[[#This Row],[Finacial Year]])</f>
        <v>24.303100000000061</v>
      </c>
      <c r="CG558">
        <f t="shared" si="214"/>
        <v>22</v>
      </c>
      <c r="CH558">
        <f t="shared" si="211"/>
        <v>175</v>
      </c>
    </row>
    <row r="559" spans="1:86" x14ac:dyDescent="0.35">
      <c r="A559" s="27">
        <f t="shared" si="189"/>
        <v>45558</v>
      </c>
      <c r="B559" s="5">
        <f>MONTH(Modelling_old[[#This Row],[Date]])</f>
        <v>9</v>
      </c>
      <c r="C559" s="25">
        <f t="shared" si="190"/>
        <v>2025</v>
      </c>
      <c r="D559" s="3">
        <f t="shared" si="191"/>
        <v>2024</v>
      </c>
      <c r="E559" s="3" t="s">
        <v>627</v>
      </c>
      <c r="F559" s="3" t="s">
        <v>627</v>
      </c>
      <c r="G559" s="102">
        <f>DATE(Modelling_old[[#This Row],[Calendor Year]],Modelling_old[[#This Row],[Start Month]],1)</f>
        <v>45536</v>
      </c>
      <c r="H559" s="5">
        <f t="shared" si="192"/>
        <v>30</v>
      </c>
      <c r="I559" s="5">
        <f t="shared" si="193"/>
        <v>9</v>
      </c>
      <c r="J559" s="4">
        <f>_xlfn.XLOOKUP(Modelling_old[[#This Row],[Month]],$C$1:$C$14,$N$1:$N$14)/Modelling_old[[#This Row],[Total Days]]</f>
        <v>40.119999999999997</v>
      </c>
      <c r="K559" s="4">
        <f>SUM($J$537:J559)</f>
        <v>922.76</v>
      </c>
      <c r="L559" s="4">
        <f>SUM($J$384:J559)</f>
        <v>7448.159999999988</v>
      </c>
      <c r="M559" s="4">
        <f t="shared" si="194"/>
        <v>4.9333333333333336</v>
      </c>
      <c r="N559" s="4">
        <f>SUM($M$537:M559)</f>
        <v>113.46666666666673</v>
      </c>
      <c r="O559" s="4">
        <f>SUM($M$384:M559)</f>
        <v>934.26666666666267</v>
      </c>
      <c r="P559" s="323">
        <f t="shared" si="195"/>
        <v>0.70697746106983606</v>
      </c>
      <c r="Q559" s="337">
        <f t="shared" si="196"/>
        <v>0.70697746106983572</v>
      </c>
      <c r="R559" s="337">
        <f t="shared" si="197"/>
        <v>0.69304789398876021</v>
      </c>
      <c r="S559" s="323">
        <f t="shared" si="198"/>
        <v>0.14532314477546632</v>
      </c>
      <c r="T559" s="9">
        <f>Modelling_old[[#This Row],[Target E_Grid MTD
MWh]]/Modelling_old[[#This Row],[DC Capcity]]/(24*CG559)</f>
        <v>0.14532314477546632</v>
      </c>
      <c r="U559" s="338">
        <f>Modelling_old[[#This Row],[Target E_Grid YTD
MWh]]/Modelling_old[[#This Row],[DC Capcity]]/(24*CH559)</f>
        <v>0.15328871821904108</v>
      </c>
      <c r="V559" s="134">
        <v>11.5031</v>
      </c>
      <c r="Y559" s="27">
        <f t="shared" si="212"/>
        <v>45558</v>
      </c>
      <c r="Z559" s="5">
        <f>MONTH(Modelling_new[[#This Row],[Date]])</f>
        <v>9</v>
      </c>
      <c r="AA559" s="25">
        <f>YEAR(Y559)+IF(MONTH(Modelling_new[[#This Row],[Date]])&gt;=4,1,0)</f>
        <v>2025</v>
      </c>
      <c r="AB559" s="3">
        <f t="shared" si="199"/>
        <v>2024</v>
      </c>
      <c r="AC559" s="3" t="s">
        <v>627</v>
      </c>
      <c r="AD559" s="3" t="s">
        <v>627</v>
      </c>
      <c r="AE559" s="102">
        <f>DATE(Modelling_old[[#This Row],[Calendor Year]],Modelling_old[[#This Row],[Start Month]],1)</f>
        <v>45536</v>
      </c>
      <c r="AF559" s="5">
        <f t="shared" si="200"/>
        <v>30</v>
      </c>
      <c r="AG559" s="5">
        <f t="shared" si="201"/>
        <v>9</v>
      </c>
      <c r="AH559" s="4">
        <f>_xlfn.XLOOKUP(Modelling_new[[#This Row],[Month]],$AA$1:$AA$14,$AL$1:$AL$14)/Modelling_new[[#This Row],[Total Days]]</f>
        <v>53.495789921985406</v>
      </c>
      <c r="AI559" s="4">
        <f>SUM($AH$537:AH559)</f>
        <v>1230.4031682056641</v>
      </c>
      <c r="AJ559" s="4">
        <f>SUM($AH$384:AH559)</f>
        <v>9776.9979317953766</v>
      </c>
      <c r="AK559" s="4">
        <f t="shared" si="202"/>
        <v>4.9333333333333336</v>
      </c>
      <c r="AL559" s="4">
        <f>SUM($AK$537:AK559)</f>
        <v>113.46666666666673</v>
      </c>
      <c r="AM559" s="4">
        <f>SUM($AK$384:AK559)</f>
        <v>934.26666666666267</v>
      </c>
      <c r="AN559" s="323">
        <f t="shared" si="203"/>
        <v>0.94267990371312482</v>
      </c>
      <c r="AO559" s="323">
        <f t="shared" si="204"/>
        <v>0.94267990371312427</v>
      </c>
      <c r="AP559" s="323">
        <f t="shared" si="205"/>
        <v>0.90974520232691836</v>
      </c>
      <c r="AQ559" s="323">
        <f t="shared" si="206"/>
        <v>0.19377309131880904</v>
      </c>
      <c r="AR559" s="323">
        <f>Modelling_new[[#This Row],[Target E_Grid MTD
MWh]]/Modelling_new[[#This Row],[MTD DC Capcity]]/(24*CG559)</f>
        <v>0.17413994115229614</v>
      </c>
      <c r="AS559" s="323">
        <f>Modelling_new[[#This Row],[Target E_Grid YTD
MWh]]/Modelling_new[[#This Row],[YTD DC Capcity]]/(24*CH559)</f>
        <v>0.18083048376456315</v>
      </c>
      <c r="AT559" s="5">
        <v>12.8</v>
      </c>
      <c r="AU559" s="9">
        <f>Modelling_new[[#This Row],[Comisined DC ]]/$AO$1</f>
        <v>1</v>
      </c>
      <c r="AV55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59" s="5">
        <f>AVERAGEIFS(Modelling_new[[Comisined DC ]],Modelling_new[Date],"&lt;="&amp;Modelling_new[[#This Row],[Date]],Modelling_new[[Comisined DC ]],"&gt;"&amp;0,Modelling_new[Finacial Year],Modelling_new[[#This Row],[Finacial Year]])</f>
        <v>12.799999999999985</v>
      </c>
      <c r="BD559" s="27">
        <f t="shared" si="213"/>
        <v>45558</v>
      </c>
      <c r="BE559" s="5">
        <f>MONTH(Modelling[[#This Row],[Date]])</f>
        <v>9</v>
      </c>
      <c r="BF559" s="25">
        <f>YEAR(BD559)+IF(MONTH(Modelling[[#This Row],[Date]])&gt;=4,1,0)</f>
        <v>2025</v>
      </c>
      <c r="BG559" s="3">
        <f t="shared" si="207"/>
        <v>2024</v>
      </c>
      <c r="BH559" s="3" t="s">
        <v>627</v>
      </c>
      <c r="BI559" s="3" t="s">
        <v>627</v>
      </c>
      <c r="BJ559" s="102">
        <f>DATE(Modelling_old[[#This Row],[Calendor Year]],Modelling_old[[#This Row],[Start Month]],1)</f>
        <v>45536</v>
      </c>
      <c r="BK559" s="5">
        <f t="shared" si="208"/>
        <v>30</v>
      </c>
      <c r="BL559" s="5">
        <f t="shared" si="209"/>
        <v>9</v>
      </c>
      <c r="BM559" s="4">
        <f>Modelling_old[[#This Row],[Target E_Grid daily
MWh]]+Modelling_new[[#This Row],[Target E_Grid daily
MWh]]</f>
        <v>93.615789921985396</v>
      </c>
      <c r="BN559" s="4">
        <f>Modelling_old[[#This Row],[Target E_Grid MTD
MWh]]+Modelling_new[[#This Row],[Target E_Grid MTD
MWh]]</f>
        <v>2153.1631682056641</v>
      </c>
      <c r="BO559" s="4">
        <f>Modelling_old[[#This Row],[Target E_Grid YTD
MWh]]+Modelling_new[[#This Row],[Target E_Grid YTD
MWh]]</f>
        <v>17225.157931795366</v>
      </c>
      <c r="BP559" s="4">
        <f>AVERAGE(Modelling_old[[#This Row],[Target POA Daily (KWh/m2)]],Modelling_new[[#This Row],[Target POA Daily (KWh/m2)]])</f>
        <v>4.9333333333333336</v>
      </c>
      <c r="BQ559" s="4">
        <f>SUM($BP$537:BP559)</f>
        <v>113.46666666666673</v>
      </c>
      <c r="BR559" s="4">
        <f>SUM($BP$384:BP559)</f>
        <v>934.26666666666267</v>
      </c>
      <c r="BS559" s="323">
        <f>BM559/Modelling[[#This Row],[Comisined DC ]]/BP559</f>
        <v>0.78081288530413306</v>
      </c>
      <c r="BT559" s="337">
        <f>BN559/BQ559/Modelling[[#This Row],[Comisined DC ]]</f>
        <v>0.78081288530413273</v>
      </c>
      <c r="BU559" s="337">
        <f>BO559/BR559/Modelling[[#This Row],[Comisined DC ]]</f>
        <v>0.75863117323423279</v>
      </c>
      <c r="BV559" s="323">
        <f>BM559/(24*Modelling[[#This Row],[Comisined DC ]])</f>
        <v>0.16050042642362736</v>
      </c>
      <c r="BW559" s="323">
        <f>Modelling[[#This Row],[Target E_Grid MTD
MWh]]/Modelling[[#This Row],[MTD DC Capcity]]/(24*CG559)</f>
        <v>0.16050042642362744</v>
      </c>
      <c r="BX559" s="338">
        <f>Modelling[[#This Row],[Target E_Grid YTD
MWh]]/Modelling[[#This Row],[YTD DC Capcity]]/(24*CH559)</f>
        <v>0.16779446435770939</v>
      </c>
      <c r="BY559" s="4">
        <f>Modelling_old[[#This Row],[DC Capcity]]+Modelling_new[[#This Row],[Comisined DC ]]</f>
        <v>24.303100000000001</v>
      </c>
      <c r="BZ559" s="4">
        <v>0</v>
      </c>
      <c r="CA559">
        <f>AVERAGEIFS(Modelling[[Comisined DC ]],Modelling[Date],"&lt;="&amp;Modelling[[#This Row],[Date]],Modelling[Month Year],Modelling[[#This Row],[Month Year]])</f>
        <v>24.303099999999986</v>
      </c>
      <c r="CB559">
        <f>AVERAGEIFS(Modelling[[Comisined DC ]],Modelling[Date],"&lt;="&amp;Modelling[[#This Row],[Date]],Modelling[Finacial Year],Modelling[[#This Row],[Finacial Year]])</f>
        <v>24.303100000000061</v>
      </c>
      <c r="CG559">
        <f t="shared" si="214"/>
        <v>23</v>
      </c>
      <c r="CH559">
        <f t="shared" si="211"/>
        <v>176</v>
      </c>
    </row>
    <row r="560" spans="1:86" x14ac:dyDescent="0.35">
      <c r="A560" s="27">
        <f t="shared" si="189"/>
        <v>45559</v>
      </c>
      <c r="B560" s="5">
        <f>MONTH(Modelling_old[[#This Row],[Date]])</f>
        <v>9</v>
      </c>
      <c r="C560" s="25">
        <f t="shared" si="190"/>
        <v>2025</v>
      </c>
      <c r="D560" s="3">
        <f t="shared" si="191"/>
        <v>2024</v>
      </c>
      <c r="E560" s="3" t="s">
        <v>627</v>
      </c>
      <c r="F560" s="3" t="s">
        <v>627</v>
      </c>
      <c r="G560" s="102">
        <f>DATE(Modelling_old[[#This Row],[Calendor Year]],Modelling_old[[#This Row],[Start Month]],1)</f>
        <v>45536</v>
      </c>
      <c r="H560" s="5">
        <f t="shared" si="192"/>
        <v>30</v>
      </c>
      <c r="I560" s="5">
        <f t="shared" si="193"/>
        <v>9</v>
      </c>
      <c r="J560" s="4">
        <f>_xlfn.XLOOKUP(Modelling_old[[#This Row],[Month]],$C$1:$C$14,$N$1:$N$14)/Modelling_old[[#This Row],[Total Days]]</f>
        <v>40.119999999999997</v>
      </c>
      <c r="K560" s="4">
        <f>SUM($J$537:J560)</f>
        <v>962.88</v>
      </c>
      <c r="L560" s="4">
        <f>SUM($J$384:J560)</f>
        <v>7488.2799999999879</v>
      </c>
      <c r="M560" s="4">
        <f t="shared" si="194"/>
        <v>4.9333333333333336</v>
      </c>
      <c r="N560" s="4">
        <f>SUM($M$537:M560)</f>
        <v>118.40000000000006</v>
      </c>
      <c r="O560" s="4">
        <f>SUM($M$384:M560)</f>
        <v>939.19999999999595</v>
      </c>
      <c r="P560" s="323">
        <f t="shared" si="195"/>
        <v>0.70697746106983606</v>
      </c>
      <c r="Q560" s="337">
        <f t="shared" si="196"/>
        <v>0.70697746106983572</v>
      </c>
      <c r="R560" s="337">
        <f t="shared" si="197"/>
        <v>0.6931210617885899</v>
      </c>
      <c r="S560" s="323">
        <f t="shared" si="198"/>
        <v>0.14532314477546632</v>
      </c>
      <c r="T560" s="9">
        <f>Modelling_old[[#This Row],[Target E_Grid MTD
MWh]]/Modelling_old[[#This Row],[DC Capcity]]/(24*CG560)</f>
        <v>0.14532314477546632</v>
      </c>
      <c r="U560" s="338">
        <f>Modelling_old[[#This Row],[Target E_Grid YTD
MWh]]/Modelling_old[[#This Row],[DC Capcity]]/(24*CH560)</f>
        <v>0.15324371497924691</v>
      </c>
      <c r="V560" s="134">
        <v>11.5031</v>
      </c>
      <c r="Y560" s="27">
        <f t="shared" si="212"/>
        <v>45559</v>
      </c>
      <c r="Z560" s="5">
        <f>MONTH(Modelling_new[[#This Row],[Date]])</f>
        <v>9</v>
      </c>
      <c r="AA560" s="25">
        <f>YEAR(Y560)+IF(MONTH(Modelling_new[[#This Row],[Date]])&gt;=4,1,0)</f>
        <v>2025</v>
      </c>
      <c r="AB560" s="3">
        <f t="shared" si="199"/>
        <v>2024</v>
      </c>
      <c r="AC560" s="3" t="s">
        <v>627</v>
      </c>
      <c r="AD560" s="3" t="s">
        <v>627</v>
      </c>
      <c r="AE560" s="102">
        <f>DATE(Modelling_old[[#This Row],[Calendor Year]],Modelling_old[[#This Row],[Start Month]],1)</f>
        <v>45536</v>
      </c>
      <c r="AF560" s="5">
        <f t="shared" si="200"/>
        <v>30</v>
      </c>
      <c r="AG560" s="5">
        <f t="shared" si="201"/>
        <v>9</v>
      </c>
      <c r="AH560" s="4">
        <f>_xlfn.XLOOKUP(Modelling_new[[#This Row],[Month]],$AA$1:$AA$14,$AL$1:$AL$14)/Modelling_new[[#This Row],[Total Days]]</f>
        <v>53.495789921985406</v>
      </c>
      <c r="AI560" s="4">
        <f>SUM($AH$537:AH560)</f>
        <v>1283.8989581276494</v>
      </c>
      <c r="AJ560" s="4">
        <f>SUM($AH$384:AH560)</f>
        <v>9830.4937217173629</v>
      </c>
      <c r="AK560" s="4">
        <f t="shared" si="202"/>
        <v>4.9333333333333336</v>
      </c>
      <c r="AL560" s="4">
        <f>SUM($AK$537:AK560)</f>
        <v>118.40000000000006</v>
      </c>
      <c r="AM560" s="4">
        <f>SUM($AK$384:AK560)</f>
        <v>939.19999999999595</v>
      </c>
      <c r="AN560" s="323">
        <f t="shared" si="203"/>
        <v>0.94267990371312482</v>
      </c>
      <c r="AO560" s="323">
        <f t="shared" si="204"/>
        <v>0.94267990371312427</v>
      </c>
      <c r="AP560" s="323">
        <f t="shared" si="205"/>
        <v>0.90991819834498922</v>
      </c>
      <c r="AQ560" s="323">
        <f t="shared" si="206"/>
        <v>0.19377309131880904</v>
      </c>
      <c r="AR560" s="323">
        <f>Modelling_new[[#This Row],[Target E_Grid MTD
MWh]]/Modelling_new[[#This Row],[MTD DC Capcity]]/(24*CG560)</f>
        <v>0.17413994115229614</v>
      </c>
      <c r="AS560" s="323">
        <f>Modelling_new[[#This Row],[Target E_Grid YTD
MWh]]/Modelling_new[[#This Row],[YTD DC Capcity]]/(24*CH560)</f>
        <v>0.18079268408878763</v>
      </c>
      <c r="AT560" s="5">
        <v>12.8</v>
      </c>
      <c r="AU560" s="9">
        <f>Modelling_new[[#This Row],[Comisined DC ]]/$AO$1</f>
        <v>1</v>
      </c>
      <c r="AV56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60" s="5">
        <f>AVERAGEIFS(Modelling_new[[Comisined DC ]],Modelling_new[Date],"&lt;="&amp;Modelling_new[[#This Row],[Date]],Modelling_new[[Comisined DC ]],"&gt;"&amp;0,Modelling_new[Finacial Year],Modelling_new[[#This Row],[Finacial Year]])</f>
        <v>12.799999999999986</v>
      </c>
      <c r="BD560" s="27">
        <f t="shared" si="213"/>
        <v>45559</v>
      </c>
      <c r="BE560" s="5">
        <f>MONTH(Modelling[[#This Row],[Date]])</f>
        <v>9</v>
      </c>
      <c r="BF560" s="25">
        <f>YEAR(BD560)+IF(MONTH(Modelling[[#This Row],[Date]])&gt;=4,1,0)</f>
        <v>2025</v>
      </c>
      <c r="BG560" s="3">
        <f t="shared" si="207"/>
        <v>2024</v>
      </c>
      <c r="BH560" s="3" t="s">
        <v>627</v>
      </c>
      <c r="BI560" s="3" t="s">
        <v>627</v>
      </c>
      <c r="BJ560" s="102">
        <f>DATE(Modelling_old[[#This Row],[Calendor Year]],Modelling_old[[#This Row],[Start Month]],1)</f>
        <v>45536</v>
      </c>
      <c r="BK560" s="5">
        <f t="shared" si="208"/>
        <v>30</v>
      </c>
      <c r="BL560" s="5">
        <f t="shared" si="209"/>
        <v>9</v>
      </c>
      <c r="BM560" s="4">
        <f>Modelling_old[[#This Row],[Target E_Grid daily
MWh]]+Modelling_new[[#This Row],[Target E_Grid daily
MWh]]</f>
        <v>93.615789921985396</v>
      </c>
      <c r="BN560" s="4">
        <f>Modelling_old[[#This Row],[Target E_Grid MTD
MWh]]+Modelling_new[[#This Row],[Target E_Grid MTD
MWh]]</f>
        <v>2246.7789581276493</v>
      </c>
      <c r="BO560" s="4">
        <f>Modelling_old[[#This Row],[Target E_Grid YTD
MWh]]+Modelling_new[[#This Row],[Target E_Grid YTD
MWh]]</f>
        <v>17318.773721717349</v>
      </c>
      <c r="BP560" s="4">
        <f>AVERAGE(Modelling_old[[#This Row],[Target POA Daily (KWh/m2)]],Modelling_new[[#This Row],[Target POA Daily (KWh/m2)]])</f>
        <v>4.9333333333333336</v>
      </c>
      <c r="BQ560" s="4">
        <f>SUM($BP$537:BP560)</f>
        <v>118.40000000000006</v>
      </c>
      <c r="BR560" s="4">
        <f>SUM($BP$384:BP560)</f>
        <v>939.19999999999595</v>
      </c>
      <c r="BS560" s="323">
        <f>BM560/Modelling[[#This Row],[Comisined DC ]]/BP560</f>
        <v>0.78081288530413306</v>
      </c>
      <c r="BT560" s="337">
        <f>BN560/BQ560/Modelling[[#This Row],[Comisined DC ]]</f>
        <v>0.78081288530413262</v>
      </c>
      <c r="BU560" s="337">
        <f>BO560/BR560/Modelling[[#This Row],[Comisined DC ]]</f>
        <v>0.75874768705402063</v>
      </c>
      <c r="BV560" s="323">
        <f>BM560/(24*Modelling[[#This Row],[Comisined DC ]])</f>
        <v>0.16050042642362736</v>
      </c>
      <c r="BW560" s="323">
        <f>Modelling[[#This Row],[Target E_Grid MTD
MWh]]/Modelling[[#This Row],[MTD DC Capcity]]/(24*CG560)</f>
        <v>0.16050042642362744</v>
      </c>
      <c r="BX560" s="338">
        <f>Modelling[[#This Row],[Target E_Grid YTD
MWh]]/Modelling[[#This Row],[YTD DC Capcity]]/(24*CH560)</f>
        <v>0.16775325510384451</v>
      </c>
      <c r="BY560" s="4">
        <f>Modelling_old[[#This Row],[DC Capcity]]+Modelling_new[[#This Row],[Comisined DC ]]</f>
        <v>24.303100000000001</v>
      </c>
      <c r="BZ560" s="4">
        <v>0</v>
      </c>
      <c r="CA560">
        <f>AVERAGEIFS(Modelling[[Comisined DC ]],Modelling[Date],"&lt;="&amp;Modelling[[#This Row],[Date]],Modelling[Month Year],Modelling[[#This Row],[Month Year]])</f>
        <v>24.303099999999986</v>
      </c>
      <c r="CB560">
        <f>AVERAGEIFS(Modelling[[Comisined DC ]],Modelling[Date],"&lt;="&amp;Modelling[[#This Row],[Date]],Modelling[Finacial Year],Modelling[[#This Row],[Finacial Year]])</f>
        <v>24.303100000000061</v>
      </c>
      <c r="CG560">
        <f t="shared" si="214"/>
        <v>24</v>
      </c>
      <c r="CH560">
        <f t="shared" si="211"/>
        <v>177</v>
      </c>
    </row>
    <row r="561" spans="1:86" x14ac:dyDescent="0.35">
      <c r="A561" s="27">
        <f t="shared" si="189"/>
        <v>45560</v>
      </c>
      <c r="B561" s="5">
        <f>MONTH(Modelling_old[[#This Row],[Date]])</f>
        <v>9</v>
      </c>
      <c r="C561" s="25">
        <f t="shared" si="190"/>
        <v>2025</v>
      </c>
      <c r="D561" s="3">
        <f t="shared" si="191"/>
        <v>2024</v>
      </c>
      <c r="E561" s="3" t="s">
        <v>627</v>
      </c>
      <c r="F561" s="3" t="s">
        <v>627</v>
      </c>
      <c r="G561" s="102">
        <f>DATE(Modelling_old[[#This Row],[Calendor Year]],Modelling_old[[#This Row],[Start Month]],1)</f>
        <v>45536</v>
      </c>
      <c r="H561" s="5">
        <f t="shared" si="192"/>
        <v>30</v>
      </c>
      <c r="I561" s="5">
        <f t="shared" si="193"/>
        <v>9</v>
      </c>
      <c r="J561" s="4">
        <f>_xlfn.XLOOKUP(Modelling_old[[#This Row],[Month]],$C$1:$C$14,$N$1:$N$14)/Modelling_old[[#This Row],[Total Days]]</f>
        <v>40.119999999999997</v>
      </c>
      <c r="K561" s="4">
        <f>SUM($J$537:J561)</f>
        <v>1003</v>
      </c>
      <c r="L561" s="4">
        <f>SUM($J$384:J561)</f>
        <v>7528.3999999999878</v>
      </c>
      <c r="M561" s="4">
        <f t="shared" si="194"/>
        <v>4.9333333333333336</v>
      </c>
      <c r="N561" s="4">
        <f>SUM($M$537:M561)</f>
        <v>123.3333333333334</v>
      </c>
      <c r="O561" s="4">
        <f>SUM($M$384:M561)</f>
        <v>944.13333333332923</v>
      </c>
      <c r="P561" s="323">
        <f t="shared" si="195"/>
        <v>0.70697746106983606</v>
      </c>
      <c r="Q561" s="337">
        <f t="shared" si="196"/>
        <v>0.70697746106983572</v>
      </c>
      <c r="R561" s="337">
        <f t="shared" si="197"/>
        <v>0.6931934649482292</v>
      </c>
      <c r="S561" s="323">
        <f t="shared" si="198"/>
        <v>0.14532314477546632</v>
      </c>
      <c r="T561" s="9">
        <f>Modelling_old[[#This Row],[Target E_Grid MTD
MWh]]/Modelling_old[[#This Row],[DC Capcity]]/(24*CG561)</f>
        <v>0.14532314477546632</v>
      </c>
      <c r="U561" s="338">
        <f>Modelling_old[[#This Row],[Target E_Grid YTD
MWh]]/Modelling_old[[#This Row],[DC Capcity]]/(24*CH561)</f>
        <v>0.15319921739383241</v>
      </c>
      <c r="V561" s="134">
        <v>11.5031</v>
      </c>
      <c r="Y561" s="27">
        <f t="shared" si="212"/>
        <v>45560</v>
      </c>
      <c r="Z561" s="5">
        <f>MONTH(Modelling_new[[#This Row],[Date]])</f>
        <v>9</v>
      </c>
      <c r="AA561" s="25">
        <f>YEAR(Y561)+IF(MONTH(Modelling_new[[#This Row],[Date]])&gt;=4,1,0)</f>
        <v>2025</v>
      </c>
      <c r="AB561" s="3">
        <f t="shared" si="199"/>
        <v>2024</v>
      </c>
      <c r="AC561" s="3" t="s">
        <v>627</v>
      </c>
      <c r="AD561" s="3" t="s">
        <v>627</v>
      </c>
      <c r="AE561" s="102">
        <f>DATE(Modelling_old[[#This Row],[Calendor Year]],Modelling_old[[#This Row],[Start Month]],1)</f>
        <v>45536</v>
      </c>
      <c r="AF561" s="5">
        <f t="shared" si="200"/>
        <v>30</v>
      </c>
      <c r="AG561" s="5">
        <f t="shared" si="201"/>
        <v>9</v>
      </c>
      <c r="AH561" s="4">
        <f>_xlfn.XLOOKUP(Modelling_new[[#This Row],[Month]],$AA$1:$AA$14,$AL$1:$AL$14)/Modelling_new[[#This Row],[Total Days]]</f>
        <v>53.495789921985406</v>
      </c>
      <c r="AI561" s="4">
        <f>SUM($AH$537:AH561)</f>
        <v>1337.3947480496347</v>
      </c>
      <c r="AJ561" s="4">
        <f>SUM($AH$384:AH561)</f>
        <v>9883.9895116393491</v>
      </c>
      <c r="AK561" s="4">
        <f t="shared" si="202"/>
        <v>4.9333333333333336</v>
      </c>
      <c r="AL561" s="4">
        <f>SUM($AK$537:AK561)</f>
        <v>123.3333333333334</v>
      </c>
      <c r="AM561" s="4">
        <f>SUM($AK$384:AK561)</f>
        <v>944.13333333332923</v>
      </c>
      <c r="AN561" s="323">
        <f t="shared" si="203"/>
        <v>0.94267990371312482</v>
      </c>
      <c r="AO561" s="323">
        <f t="shared" si="204"/>
        <v>0.94267990371312405</v>
      </c>
      <c r="AP561" s="323">
        <f t="shared" si="205"/>
        <v>0.91008938646794102</v>
      </c>
      <c r="AQ561" s="323">
        <f t="shared" si="206"/>
        <v>0.19377309131880904</v>
      </c>
      <c r="AR561" s="323">
        <f>Modelling_new[[#This Row],[Target E_Grid MTD
MWh]]/Modelling_new[[#This Row],[MTD DC Capcity]]/(24*CG561)</f>
        <v>0.17413994115229614</v>
      </c>
      <c r="AS561" s="323">
        <f>Modelling_new[[#This Row],[Target E_Grid YTD
MWh]]/Modelling_new[[#This Row],[YTD DC Capcity]]/(24*CH561)</f>
        <v>0.18075530912847024</v>
      </c>
      <c r="AT561" s="5">
        <v>12.8</v>
      </c>
      <c r="AU561" s="9">
        <f>Modelling_new[[#This Row],[Comisined DC ]]/$AO$1</f>
        <v>1</v>
      </c>
      <c r="AV56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61" s="5">
        <f>AVERAGEIFS(Modelling_new[[Comisined DC ]],Modelling_new[Date],"&lt;="&amp;Modelling_new[[#This Row],[Date]],Modelling_new[[Comisined DC ]],"&gt;"&amp;0,Modelling_new[Finacial Year],Modelling_new[[#This Row],[Finacial Year]])</f>
        <v>12.799999999999988</v>
      </c>
      <c r="BD561" s="27">
        <f t="shared" si="213"/>
        <v>45560</v>
      </c>
      <c r="BE561" s="5">
        <f>MONTH(Modelling[[#This Row],[Date]])</f>
        <v>9</v>
      </c>
      <c r="BF561" s="25">
        <f>YEAR(BD561)+IF(MONTH(Modelling[[#This Row],[Date]])&gt;=4,1,0)</f>
        <v>2025</v>
      </c>
      <c r="BG561" s="3">
        <f t="shared" si="207"/>
        <v>2024</v>
      </c>
      <c r="BH561" s="3" t="s">
        <v>627</v>
      </c>
      <c r="BI561" s="3" t="s">
        <v>627</v>
      </c>
      <c r="BJ561" s="102">
        <f>DATE(Modelling_old[[#This Row],[Calendor Year]],Modelling_old[[#This Row],[Start Month]],1)</f>
        <v>45536</v>
      </c>
      <c r="BK561" s="5">
        <f t="shared" si="208"/>
        <v>30</v>
      </c>
      <c r="BL561" s="5">
        <f t="shared" si="209"/>
        <v>9</v>
      </c>
      <c r="BM561" s="4">
        <f>Modelling_old[[#This Row],[Target E_Grid daily
MWh]]+Modelling_new[[#This Row],[Target E_Grid daily
MWh]]</f>
        <v>93.615789921985396</v>
      </c>
      <c r="BN561" s="4">
        <f>Modelling_old[[#This Row],[Target E_Grid MTD
MWh]]+Modelling_new[[#This Row],[Target E_Grid MTD
MWh]]</f>
        <v>2340.3947480496345</v>
      </c>
      <c r="BO561" s="4">
        <f>Modelling_old[[#This Row],[Target E_Grid YTD
MWh]]+Modelling_new[[#This Row],[Target E_Grid YTD
MWh]]</f>
        <v>17412.389511639336</v>
      </c>
      <c r="BP561" s="4">
        <f>AVERAGE(Modelling_old[[#This Row],[Target POA Daily (KWh/m2)]],Modelling_new[[#This Row],[Target POA Daily (KWh/m2)]])</f>
        <v>4.9333333333333336</v>
      </c>
      <c r="BQ561" s="4">
        <f>SUM($BP$537:BP561)</f>
        <v>123.3333333333334</v>
      </c>
      <c r="BR561" s="4">
        <f>SUM($BP$384:BP561)</f>
        <v>944.13333333332923</v>
      </c>
      <c r="BS561" s="323">
        <f>BM561/Modelling[[#This Row],[Comisined DC ]]/BP561</f>
        <v>0.78081288530413306</v>
      </c>
      <c r="BT561" s="337">
        <f>BN561/BQ561/Modelling[[#This Row],[Comisined DC ]]</f>
        <v>0.78081288530413262</v>
      </c>
      <c r="BU561" s="337">
        <f>BO561/BR561/Modelling[[#This Row],[Comisined DC ]]</f>
        <v>0.75886298324597878</v>
      </c>
      <c r="BV561" s="323">
        <f>BM561/(24*Modelling[[#This Row],[Comisined DC ]])</f>
        <v>0.16050042642362736</v>
      </c>
      <c r="BW561" s="323">
        <f>Modelling[[#This Row],[Target E_Grid MTD
MWh]]/Modelling[[#This Row],[MTD DC Capcity]]/(24*CG561)</f>
        <v>0.16050042642362741</v>
      </c>
      <c r="BX561" s="338">
        <f>Modelling[[#This Row],[Target E_Grid YTD
MWh]]/Modelling[[#This Row],[YTD DC Capcity]]/(24*CH561)</f>
        <v>0.16771250887530398</v>
      </c>
      <c r="BY561" s="4">
        <f>Modelling_old[[#This Row],[DC Capcity]]+Modelling_new[[#This Row],[Comisined DC ]]</f>
        <v>24.303100000000001</v>
      </c>
      <c r="BZ561" s="4">
        <v>0</v>
      </c>
      <c r="CA561">
        <f>AVERAGEIFS(Modelling[[Comisined DC ]],Modelling[Date],"&lt;="&amp;Modelling[[#This Row],[Date]],Modelling[Month Year],Modelling[[#This Row],[Month Year]])</f>
        <v>24.303099999999986</v>
      </c>
      <c r="CB561">
        <f>AVERAGEIFS(Modelling[[Comisined DC ]],Modelling[Date],"&lt;="&amp;Modelling[[#This Row],[Date]],Modelling[Finacial Year],Modelling[[#This Row],[Finacial Year]])</f>
        <v>24.303100000000061</v>
      </c>
      <c r="CG561">
        <f t="shared" si="214"/>
        <v>25</v>
      </c>
      <c r="CH561">
        <f t="shared" si="211"/>
        <v>178</v>
      </c>
    </row>
    <row r="562" spans="1:86" x14ac:dyDescent="0.35">
      <c r="A562" s="27">
        <f t="shared" si="189"/>
        <v>45561</v>
      </c>
      <c r="B562" s="5">
        <f>MONTH(Modelling_old[[#This Row],[Date]])</f>
        <v>9</v>
      </c>
      <c r="C562" s="25">
        <f t="shared" si="190"/>
        <v>2025</v>
      </c>
      <c r="D562" s="3">
        <f t="shared" si="191"/>
        <v>2024</v>
      </c>
      <c r="E562" s="3" t="s">
        <v>627</v>
      </c>
      <c r="F562" s="3" t="s">
        <v>627</v>
      </c>
      <c r="G562" s="102">
        <f>DATE(Modelling_old[[#This Row],[Calendor Year]],Modelling_old[[#This Row],[Start Month]],1)</f>
        <v>45536</v>
      </c>
      <c r="H562" s="5">
        <f t="shared" si="192"/>
        <v>30</v>
      </c>
      <c r="I562" s="5">
        <f t="shared" si="193"/>
        <v>9</v>
      </c>
      <c r="J562" s="4">
        <f>_xlfn.XLOOKUP(Modelling_old[[#This Row],[Month]],$C$1:$C$14,$N$1:$N$14)/Modelling_old[[#This Row],[Total Days]]</f>
        <v>40.119999999999997</v>
      </c>
      <c r="K562" s="4">
        <f>SUM($J$537:J562)</f>
        <v>1043.1199999999999</v>
      </c>
      <c r="L562" s="4">
        <f>SUM($J$384:J562)</f>
        <v>7568.5199999999877</v>
      </c>
      <c r="M562" s="4">
        <f t="shared" si="194"/>
        <v>4.9333333333333336</v>
      </c>
      <c r="N562" s="4">
        <f>SUM($M$537:M562)</f>
        <v>128.26666666666674</v>
      </c>
      <c r="O562" s="4">
        <f>SUM($M$384:M562)</f>
        <v>949.06666666666251</v>
      </c>
      <c r="P562" s="323">
        <f t="shared" si="195"/>
        <v>0.70697746106983606</v>
      </c>
      <c r="Q562" s="337">
        <f t="shared" si="196"/>
        <v>0.70697746106983572</v>
      </c>
      <c r="R562" s="337">
        <f t="shared" si="197"/>
        <v>0.69326511539168245</v>
      </c>
      <c r="S562" s="323">
        <f t="shared" si="198"/>
        <v>0.14532314477546632</v>
      </c>
      <c r="T562" s="9">
        <f>Modelling_old[[#This Row],[Target E_Grid MTD
MWh]]/Modelling_old[[#This Row],[DC Capcity]]/(24*CG562)</f>
        <v>0.14532314477546629</v>
      </c>
      <c r="U562" s="338">
        <f>Modelling_old[[#This Row],[Target E_Grid YTD
MWh]]/Modelling_old[[#This Row],[DC Capcity]]/(24*CH562)</f>
        <v>0.15315521698814319</v>
      </c>
      <c r="V562" s="134">
        <v>11.5031</v>
      </c>
      <c r="Y562" s="27">
        <f t="shared" si="212"/>
        <v>45561</v>
      </c>
      <c r="Z562" s="5">
        <f>MONTH(Modelling_new[[#This Row],[Date]])</f>
        <v>9</v>
      </c>
      <c r="AA562" s="25">
        <f>YEAR(Y562)+IF(MONTH(Modelling_new[[#This Row],[Date]])&gt;=4,1,0)</f>
        <v>2025</v>
      </c>
      <c r="AB562" s="3">
        <f t="shared" si="199"/>
        <v>2024</v>
      </c>
      <c r="AC562" s="3" t="s">
        <v>627</v>
      </c>
      <c r="AD562" s="3" t="s">
        <v>627</v>
      </c>
      <c r="AE562" s="102">
        <f>DATE(Modelling_old[[#This Row],[Calendor Year]],Modelling_old[[#This Row],[Start Month]],1)</f>
        <v>45536</v>
      </c>
      <c r="AF562" s="5">
        <f t="shared" si="200"/>
        <v>30</v>
      </c>
      <c r="AG562" s="5">
        <f t="shared" si="201"/>
        <v>9</v>
      </c>
      <c r="AH562" s="4">
        <f>_xlfn.XLOOKUP(Modelling_new[[#This Row],[Month]],$AA$1:$AA$14,$AL$1:$AL$14)/Modelling_new[[#This Row],[Total Days]]</f>
        <v>53.495789921985406</v>
      </c>
      <c r="AI562" s="4">
        <f>SUM($AH$537:AH562)</f>
        <v>1390.89053797162</v>
      </c>
      <c r="AJ562" s="4">
        <f>SUM($AH$384:AH562)</f>
        <v>9937.4853015613353</v>
      </c>
      <c r="AK562" s="4">
        <f t="shared" si="202"/>
        <v>4.9333333333333336</v>
      </c>
      <c r="AL562" s="4">
        <f>SUM($AK$537:AK562)</f>
        <v>128.26666666666674</v>
      </c>
      <c r="AM562" s="4">
        <f>SUM($AK$384:AK562)</f>
        <v>949.06666666666251</v>
      </c>
      <c r="AN562" s="323">
        <f t="shared" si="203"/>
        <v>0.94267990371312482</v>
      </c>
      <c r="AO562" s="323">
        <f t="shared" si="204"/>
        <v>0.94267990371312405</v>
      </c>
      <c r="AP562" s="323">
        <f t="shared" si="205"/>
        <v>0.91025879488857508</v>
      </c>
      <c r="AQ562" s="323">
        <f t="shared" si="206"/>
        <v>0.19377309131880904</v>
      </c>
      <c r="AR562" s="323">
        <f>Modelling_new[[#This Row],[Target E_Grid MTD
MWh]]/Modelling_new[[#This Row],[MTD DC Capcity]]/(24*CG562)</f>
        <v>0.17413994115229611</v>
      </c>
      <c r="AS562" s="323">
        <f>Modelling_new[[#This Row],[Target E_Grid YTD
MWh]]/Modelling_new[[#This Row],[YTD DC Capcity]]/(24*CH562)</f>
        <v>0.18071835176547488</v>
      </c>
      <c r="AT562" s="5">
        <v>12.8</v>
      </c>
      <c r="AU562" s="9">
        <f>Modelling_new[[#This Row],[Comisined DC ]]/$AO$1</f>
        <v>1</v>
      </c>
      <c r="AV56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62" s="5">
        <f>AVERAGEIFS(Modelling_new[[Comisined DC ]],Modelling_new[Date],"&lt;="&amp;Modelling_new[[#This Row],[Date]],Modelling_new[[Comisined DC ]],"&gt;"&amp;0,Modelling_new[Finacial Year],Modelling_new[[#This Row],[Finacial Year]])</f>
        <v>12.799999999999988</v>
      </c>
      <c r="BD562" s="27">
        <f t="shared" si="213"/>
        <v>45561</v>
      </c>
      <c r="BE562" s="5">
        <f>MONTH(Modelling[[#This Row],[Date]])</f>
        <v>9</v>
      </c>
      <c r="BF562" s="25">
        <f>YEAR(BD562)+IF(MONTH(Modelling[[#This Row],[Date]])&gt;=4,1,0)</f>
        <v>2025</v>
      </c>
      <c r="BG562" s="3">
        <f t="shared" si="207"/>
        <v>2024</v>
      </c>
      <c r="BH562" s="3" t="s">
        <v>627</v>
      </c>
      <c r="BI562" s="3" t="s">
        <v>627</v>
      </c>
      <c r="BJ562" s="102">
        <f>DATE(Modelling_old[[#This Row],[Calendor Year]],Modelling_old[[#This Row],[Start Month]],1)</f>
        <v>45536</v>
      </c>
      <c r="BK562" s="5">
        <f t="shared" si="208"/>
        <v>30</v>
      </c>
      <c r="BL562" s="5">
        <f t="shared" si="209"/>
        <v>9</v>
      </c>
      <c r="BM562" s="4">
        <f>Modelling_old[[#This Row],[Target E_Grid daily
MWh]]+Modelling_new[[#This Row],[Target E_Grid daily
MWh]]</f>
        <v>93.615789921985396</v>
      </c>
      <c r="BN562" s="4">
        <f>Modelling_old[[#This Row],[Target E_Grid MTD
MWh]]+Modelling_new[[#This Row],[Target E_Grid MTD
MWh]]</f>
        <v>2434.0105379716197</v>
      </c>
      <c r="BO562" s="4">
        <f>Modelling_old[[#This Row],[Target E_Grid YTD
MWh]]+Modelling_new[[#This Row],[Target E_Grid YTD
MWh]]</f>
        <v>17506.005301561323</v>
      </c>
      <c r="BP562" s="4">
        <f>AVERAGE(Modelling_old[[#This Row],[Target POA Daily (KWh/m2)]],Modelling_new[[#This Row],[Target POA Daily (KWh/m2)]])</f>
        <v>4.9333333333333336</v>
      </c>
      <c r="BQ562" s="4">
        <f>SUM($BP$537:BP562)</f>
        <v>128.26666666666674</v>
      </c>
      <c r="BR562" s="4">
        <f>SUM($BP$384:BP562)</f>
        <v>949.06666666666251</v>
      </c>
      <c r="BS562" s="323">
        <f>BM562/Modelling[[#This Row],[Comisined DC ]]/BP562</f>
        <v>0.78081288530413306</v>
      </c>
      <c r="BT562" s="337">
        <f>BN562/BQ562/Modelling[[#This Row],[Comisined DC ]]</f>
        <v>0.7808128853041324</v>
      </c>
      <c r="BU562" s="337">
        <f>BO562/BR562/Modelling[[#This Row],[Comisined DC ]]</f>
        <v>0.75897708079812165</v>
      </c>
      <c r="BV562" s="323">
        <f>BM562/(24*Modelling[[#This Row],[Comisined DC ]])</f>
        <v>0.16050042642362736</v>
      </c>
      <c r="BW562" s="323">
        <f>Modelling[[#This Row],[Target E_Grid MTD
MWh]]/Modelling[[#This Row],[MTD DC Capcity]]/(24*CG562)</f>
        <v>0.16050042642362741</v>
      </c>
      <c r="BX562" s="338">
        <f>Modelling[[#This Row],[Target E_Grid YTD
MWh]]/Modelling[[#This Row],[YTD DC Capcity]]/(24*CH562)</f>
        <v>0.1676722179118868</v>
      </c>
      <c r="BY562" s="4">
        <f>Modelling_old[[#This Row],[DC Capcity]]+Modelling_new[[#This Row],[Comisined DC ]]</f>
        <v>24.303100000000001</v>
      </c>
      <c r="BZ562" s="4">
        <v>0</v>
      </c>
      <c r="CA562">
        <f>AVERAGEIFS(Modelling[[Comisined DC ]],Modelling[Date],"&lt;="&amp;Modelling[[#This Row],[Date]],Modelling[Month Year],Modelling[[#This Row],[Month Year]])</f>
        <v>24.303099999999986</v>
      </c>
      <c r="CB562">
        <f>AVERAGEIFS(Modelling[[Comisined DC ]],Modelling[Date],"&lt;="&amp;Modelling[[#This Row],[Date]],Modelling[Finacial Year],Modelling[[#This Row],[Finacial Year]])</f>
        <v>24.303100000000061</v>
      </c>
      <c r="CG562">
        <f t="shared" si="214"/>
        <v>26</v>
      </c>
      <c r="CH562">
        <f t="shared" si="211"/>
        <v>179</v>
      </c>
    </row>
    <row r="563" spans="1:86" x14ac:dyDescent="0.35">
      <c r="A563" s="27">
        <f t="shared" si="189"/>
        <v>45562</v>
      </c>
      <c r="B563" s="5">
        <f>MONTH(Modelling_old[[#This Row],[Date]])</f>
        <v>9</v>
      </c>
      <c r="C563" s="25">
        <f t="shared" si="190"/>
        <v>2025</v>
      </c>
      <c r="D563" s="3">
        <f t="shared" si="191"/>
        <v>2024</v>
      </c>
      <c r="E563" s="3" t="s">
        <v>627</v>
      </c>
      <c r="F563" s="3" t="s">
        <v>627</v>
      </c>
      <c r="G563" s="102">
        <f>DATE(Modelling_old[[#This Row],[Calendor Year]],Modelling_old[[#This Row],[Start Month]],1)</f>
        <v>45536</v>
      </c>
      <c r="H563" s="5">
        <f t="shared" si="192"/>
        <v>30</v>
      </c>
      <c r="I563" s="5">
        <f t="shared" si="193"/>
        <v>9</v>
      </c>
      <c r="J563" s="4">
        <f>_xlfn.XLOOKUP(Modelling_old[[#This Row],[Month]],$C$1:$C$14,$N$1:$N$14)/Modelling_old[[#This Row],[Total Days]]</f>
        <v>40.119999999999997</v>
      </c>
      <c r="K563" s="4">
        <f>SUM($J$537:J563)</f>
        <v>1083.2399999999998</v>
      </c>
      <c r="L563" s="4">
        <f>SUM($J$384:J563)</f>
        <v>7608.6399999999876</v>
      </c>
      <c r="M563" s="4">
        <f t="shared" si="194"/>
        <v>4.9333333333333336</v>
      </c>
      <c r="N563" s="4">
        <f>SUM($M$537:M563)</f>
        <v>133.20000000000007</v>
      </c>
      <c r="O563" s="4">
        <f>SUM($M$384:M563)</f>
        <v>953.99999999999579</v>
      </c>
      <c r="P563" s="323">
        <f t="shared" si="195"/>
        <v>0.70697746106983606</v>
      </c>
      <c r="Q563" s="337">
        <f t="shared" si="196"/>
        <v>0.70697746106983561</v>
      </c>
      <c r="R563" s="337">
        <f t="shared" si="197"/>
        <v>0.6933360247963074</v>
      </c>
      <c r="S563" s="323">
        <f t="shared" si="198"/>
        <v>0.14532314477546632</v>
      </c>
      <c r="T563" s="9">
        <f>Modelling_old[[#This Row],[Target E_Grid MTD
MWh]]/Modelling_old[[#This Row],[DC Capcity]]/(24*CG563)</f>
        <v>0.14532314477546629</v>
      </c>
      <c r="U563" s="338">
        <f>Modelling_old[[#This Row],[Target E_Grid YTD
MWh]]/Modelling_old[[#This Row],[DC Capcity]]/(24*CH563)</f>
        <v>0.15311170547585054</v>
      </c>
      <c r="V563" s="134">
        <v>11.5031</v>
      </c>
      <c r="Y563" s="27">
        <f t="shared" si="212"/>
        <v>45562</v>
      </c>
      <c r="Z563" s="5">
        <f>MONTH(Modelling_new[[#This Row],[Date]])</f>
        <v>9</v>
      </c>
      <c r="AA563" s="25">
        <f>YEAR(Y563)+IF(MONTH(Modelling_new[[#This Row],[Date]])&gt;=4,1,0)</f>
        <v>2025</v>
      </c>
      <c r="AB563" s="3">
        <f t="shared" si="199"/>
        <v>2024</v>
      </c>
      <c r="AC563" s="3" t="s">
        <v>627</v>
      </c>
      <c r="AD563" s="3" t="s">
        <v>627</v>
      </c>
      <c r="AE563" s="102">
        <f>DATE(Modelling_old[[#This Row],[Calendor Year]],Modelling_old[[#This Row],[Start Month]],1)</f>
        <v>45536</v>
      </c>
      <c r="AF563" s="5">
        <f t="shared" si="200"/>
        <v>30</v>
      </c>
      <c r="AG563" s="5">
        <f t="shared" si="201"/>
        <v>9</v>
      </c>
      <c r="AH563" s="4">
        <f>_xlfn.XLOOKUP(Modelling_new[[#This Row],[Month]],$AA$1:$AA$14,$AL$1:$AL$14)/Modelling_new[[#This Row],[Total Days]]</f>
        <v>53.495789921985406</v>
      </c>
      <c r="AI563" s="4">
        <f>SUM($AH$537:AH563)</f>
        <v>1444.3863278936053</v>
      </c>
      <c r="AJ563" s="4">
        <f>SUM($AH$384:AH563)</f>
        <v>9990.9810914833215</v>
      </c>
      <c r="AK563" s="4">
        <f t="shared" si="202"/>
        <v>4.9333333333333336</v>
      </c>
      <c r="AL563" s="4">
        <f>SUM($AK$537:AK563)</f>
        <v>133.20000000000007</v>
      </c>
      <c r="AM563" s="4">
        <f>SUM($AK$384:AK563)</f>
        <v>953.99999999999579</v>
      </c>
      <c r="AN563" s="323">
        <f t="shared" si="203"/>
        <v>0.94267990371312482</v>
      </c>
      <c r="AO563" s="323">
        <f t="shared" si="204"/>
        <v>0.94267990371312393</v>
      </c>
      <c r="AP563" s="323">
        <f t="shared" si="205"/>
        <v>0.91042645121652888</v>
      </c>
      <c r="AQ563" s="323">
        <f t="shared" si="206"/>
        <v>0.19377309131880904</v>
      </c>
      <c r="AR563" s="323">
        <f>Modelling_new[[#This Row],[Target E_Grid MTD
MWh]]/Modelling_new[[#This Row],[MTD DC Capcity]]/(24*CG563)</f>
        <v>0.17413994115229611</v>
      </c>
      <c r="AS563" s="323">
        <f>Modelling_new[[#This Row],[Target E_Grid YTD
MWh]]/Modelling_new[[#This Row],[YTD DC Capcity]]/(24*CH563)</f>
        <v>0.18068180503984607</v>
      </c>
      <c r="AT563" s="5">
        <v>12.8</v>
      </c>
      <c r="AU563" s="9">
        <f>Modelling_new[[#This Row],[Comisined DC ]]/$AO$1</f>
        <v>1</v>
      </c>
      <c r="AV563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63" s="5">
        <f>AVERAGEIFS(Modelling_new[[Comisined DC ]],Modelling_new[Date],"&lt;="&amp;Modelling_new[[#This Row],[Date]],Modelling_new[[Comisined DC ]],"&gt;"&amp;0,Modelling_new[Finacial Year],Modelling_new[[#This Row],[Finacial Year]])</f>
        <v>12.79999999999999</v>
      </c>
      <c r="BD563" s="27">
        <f t="shared" si="213"/>
        <v>45562</v>
      </c>
      <c r="BE563" s="5">
        <f>MONTH(Modelling[[#This Row],[Date]])</f>
        <v>9</v>
      </c>
      <c r="BF563" s="25">
        <f>YEAR(BD563)+IF(MONTH(Modelling[[#This Row],[Date]])&gt;=4,1,0)</f>
        <v>2025</v>
      </c>
      <c r="BG563" s="3">
        <f t="shared" si="207"/>
        <v>2024</v>
      </c>
      <c r="BH563" s="3" t="s">
        <v>627</v>
      </c>
      <c r="BI563" s="3" t="s">
        <v>627</v>
      </c>
      <c r="BJ563" s="102">
        <f>DATE(Modelling_old[[#This Row],[Calendor Year]],Modelling_old[[#This Row],[Start Month]],1)</f>
        <v>45536</v>
      </c>
      <c r="BK563" s="5">
        <f t="shared" si="208"/>
        <v>30</v>
      </c>
      <c r="BL563" s="5">
        <f t="shared" si="209"/>
        <v>9</v>
      </c>
      <c r="BM563" s="4">
        <f>Modelling_old[[#This Row],[Target E_Grid daily
MWh]]+Modelling_new[[#This Row],[Target E_Grid daily
MWh]]</f>
        <v>93.615789921985396</v>
      </c>
      <c r="BN563" s="4">
        <f>Modelling_old[[#This Row],[Target E_Grid MTD
MWh]]+Modelling_new[[#This Row],[Target E_Grid MTD
MWh]]</f>
        <v>2527.6263278936049</v>
      </c>
      <c r="BO563" s="4">
        <f>Modelling_old[[#This Row],[Target E_Grid YTD
MWh]]+Modelling_new[[#This Row],[Target E_Grid YTD
MWh]]</f>
        <v>17599.62109148331</v>
      </c>
      <c r="BP563" s="4">
        <f>AVERAGE(Modelling_old[[#This Row],[Target POA Daily (KWh/m2)]],Modelling_new[[#This Row],[Target POA Daily (KWh/m2)]])</f>
        <v>4.9333333333333336</v>
      </c>
      <c r="BQ563" s="4">
        <f>SUM($BP$537:BP563)</f>
        <v>133.20000000000007</v>
      </c>
      <c r="BR563" s="4">
        <f>SUM($BP$384:BP563)</f>
        <v>953.99999999999579</v>
      </c>
      <c r="BS563" s="323">
        <f>BM563/Modelling[[#This Row],[Comisined DC ]]/BP563</f>
        <v>0.78081288530413306</v>
      </c>
      <c r="BT563" s="337">
        <f>BN563/BQ563/Modelling[[#This Row],[Comisined DC ]]</f>
        <v>0.7808128853041324</v>
      </c>
      <c r="BU563" s="337">
        <f>BO563/BR563/Modelling[[#This Row],[Comisined DC ]]</f>
        <v>0.75908999830570001</v>
      </c>
      <c r="BV563" s="323">
        <f>BM563/(24*Modelling[[#This Row],[Comisined DC ]])</f>
        <v>0.16050042642362736</v>
      </c>
      <c r="BW563" s="323">
        <f>Modelling[[#This Row],[Target E_Grid MTD
MWh]]/Modelling[[#This Row],[MTD DC Capcity]]/(24*CG563)</f>
        <v>0.16050042642362738</v>
      </c>
      <c r="BX563" s="338">
        <f>Modelling[[#This Row],[Target E_Grid YTD
MWh]]/Modelling[[#This Row],[YTD DC Capcity]]/(24*CH563)</f>
        <v>0.16763237462584091</v>
      </c>
      <c r="BY563" s="4">
        <f>Modelling_old[[#This Row],[DC Capcity]]+Modelling_new[[#This Row],[Comisined DC ]]</f>
        <v>24.303100000000001</v>
      </c>
      <c r="BZ563" s="4">
        <v>0</v>
      </c>
      <c r="CA563">
        <f>AVERAGEIFS(Modelling[[Comisined DC ]],Modelling[Date],"&lt;="&amp;Modelling[[#This Row],[Date]],Modelling[Month Year],Modelling[[#This Row],[Month Year]])</f>
        <v>24.303099999999986</v>
      </c>
      <c r="CB563">
        <f>AVERAGEIFS(Modelling[[Comisined DC ]],Modelling[Date],"&lt;="&amp;Modelling[[#This Row],[Date]],Modelling[Finacial Year],Modelling[[#This Row],[Finacial Year]])</f>
        <v>24.303100000000061</v>
      </c>
      <c r="CG563">
        <f t="shared" si="214"/>
        <v>27</v>
      </c>
      <c r="CH563">
        <f t="shared" si="211"/>
        <v>180</v>
      </c>
    </row>
    <row r="564" spans="1:86" x14ac:dyDescent="0.35">
      <c r="A564" s="27">
        <f t="shared" si="189"/>
        <v>45563</v>
      </c>
      <c r="B564" s="5">
        <f>MONTH(Modelling_old[[#This Row],[Date]])</f>
        <v>9</v>
      </c>
      <c r="C564" s="25">
        <f t="shared" si="190"/>
        <v>2025</v>
      </c>
      <c r="D564" s="3">
        <f t="shared" si="191"/>
        <v>2024</v>
      </c>
      <c r="E564" s="3" t="s">
        <v>627</v>
      </c>
      <c r="F564" s="3" t="s">
        <v>627</v>
      </c>
      <c r="G564" s="102">
        <f>DATE(Modelling_old[[#This Row],[Calendor Year]],Modelling_old[[#This Row],[Start Month]],1)</f>
        <v>45536</v>
      </c>
      <c r="H564" s="5">
        <f t="shared" si="192"/>
        <v>30</v>
      </c>
      <c r="I564" s="5">
        <f t="shared" si="193"/>
        <v>9</v>
      </c>
      <c r="J564" s="4">
        <f>_xlfn.XLOOKUP(Modelling_old[[#This Row],[Month]],$C$1:$C$14,$N$1:$N$14)/Modelling_old[[#This Row],[Total Days]]</f>
        <v>40.119999999999997</v>
      </c>
      <c r="K564" s="4">
        <f>SUM($J$537:J564)</f>
        <v>1123.3599999999997</v>
      </c>
      <c r="L564" s="4">
        <f>SUM($J$384:J564)</f>
        <v>7648.7599999999875</v>
      </c>
      <c r="M564" s="4">
        <f t="shared" si="194"/>
        <v>4.9333333333333336</v>
      </c>
      <c r="N564" s="4">
        <f>SUM($M$537:M564)</f>
        <v>138.13333333333341</v>
      </c>
      <c r="O564" s="4">
        <f>SUM($M$384:M564)</f>
        <v>958.93333333332907</v>
      </c>
      <c r="P564" s="323">
        <f t="shared" si="195"/>
        <v>0.70697746106983606</v>
      </c>
      <c r="Q564" s="337">
        <f t="shared" si="196"/>
        <v>0.70697746106983561</v>
      </c>
      <c r="R564" s="337">
        <f t="shared" si="197"/>
        <v>0.69340620459916069</v>
      </c>
      <c r="S564" s="323">
        <f t="shared" si="198"/>
        <v>0.14532314477546632</v>
      </c>
      <c r="T564" s="9">
        <f>Modelling_old[[#This Row],[Target E_Grid MTD
MWh]]/Modelling_old[[#This Row],[DC Capcity]]/(24*CG564)</f>
        <v>0.14532314477546629</v>
      </c>
      <c r="U564" s="338">
        <f>Modelling_old[[#This Row],[Target E_Grid YTD
MWh]]/Modelling_old[[#This Row],[DC Capcity]]/(24*CH564)</f>
        <v>0.15306867475374897</v>
      </c>
      <c r="V564" s="134">
        <v>11.5031</v>
      </c>
      <c r="Y564" s="27">
        <f t="shared" si="212"/>
        <v>45563</v>
      </c>
      <c r="Z564" s="5">
        <f>MONTH(Modelling_new[[#This Row],[Date]])</f>
        <v>9</v>
      </c>
      <c r="AA564" s="25">
        <f>YEAR(Y564)+IF(MONTH(Modelling_new[[#This Row],[Date]])&gt;=4,1,0)</f>
        <v>2025</v>
      </c>
      <c r="AB564" s="3">
        <f t="shared" si="199"/>
        <v>2024</v>
      </c>
      <c r="AC564" s="3" t="s">
        <v>627</v>
      </c>
      <c r="AD564" s="3" t="s">
        <v>627</v>
      </c>
      <c r="AE564" s="102">
        <f>DATE(Modelling_old[[#This Row],[Calendor Year]],Modelling_old[[#This Row],[Start Month]],1)</f>
        <v>45536</v>
      </c>
      <c r="AF564" s="5">
        <f t="shared" si="200"/>
        <v>30</v>
      </c>
      <c r="AG564" s="5">
        <f t="shared" si="201"/>
        <v>9</v>
      </c>
      <c r="AH564" s="4">
        <f>_xlfn.XLOOKUP(Modelling_new[[#This Row],[Month]],$AA$1:$AA$14,$AL$1:$AL$14)/Modelling_new[[#This Row],[Total Days]]</f>
        <v>53.495789921985406</v>
      </c>
      <c r="AI564" s="4">
        <f>SUM($AH$537:AH564)</f>
        <v>1497.8821178155906</v>
      </c>
      <c r="AJ564" s="4">
        <f>SUM($AH$384:AH564)</f>
        <v>10044.476881405308</v>
      </c>
      <c r="AK564" s="4">
        <f t="shared" si="202"/>
        <v>4.9333333333333336</v>
      </c>
      <c r="AL564" s="4">
        <f>SUM($AK$537:AK564)</f>
        <v>138.13333333333341</v>
      </c>
      <c r="AM564" s="4">
        <f>SUM($AK$384:AK564)</f>
        <v>958.93333333332907</v>
      </c>
      <c r="AN564" s="323">
        <f t="shared" si="203"/>
        <v>0.94267990371312482</v>
      </c>
      <c r="AO564" s="323">
        <f t="shared" si="204"/>
        <v>0.94267990371312393</v>
      </c>
      <c r="AP564" s="323">
        <f t="shared" si="205"/>
        <v>0.91059238249327734</v>
      </c>
      <c r="AQ564" s="323">
        <f t="shared" si="206"/>
        <v>0.19377309131880904</v>
      </c>
      <c r="AR564" s="323">
        <f>Modelling_new[[#This Row],[Target E_Grid MTD
MWh]]/Modelling_new[[#This Row],[MTD DC Capcity]]/(24*CG564)</f>
        <v>0.17413994115229606</v>
      </c>
      <c r="AS564" s="323">
        <f>Modelling_new[[#This Row],[Target E_Grid YTD
MWh]]/Modelling_new[[#This Row],[YTD DC Capcity]]/(24*CH564)</f>
        <v>0.18064566214543973</v>
      </c>
      <c r="AT564" s="5">
        <v>12.8</v>
      </c>
      <c r="AU564" s="9">
        <f>Modelling_new[[#This Row],[Comisined DC ]]/$AO$1</f>
        <v>1</v>
      </c>
      <c r="AV564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64" s="5">
        <f>AVERAGEIFS(Modelling_new[[Comisined DC ]],Modelling_new[Date],"&lt;="&amp;Modelling_new[[#This Row],[Date]],Modelling_new[[Comisined DC ]],"&gt;"&amp;0,Modelling_new[Finacial Year],Modelling_new[[#This Row],[Finacial Year]])</f>
        <v>12.799999999999992</v>
      </c>
      <c r="BD564" s="27">
        <f t="shared" si="213"/>
        <v>45563</v>
      </c>
      <c r="BE564" s="5">
        <f>MONTH(Modelling[[#This Row],[Date]])</f>
        <v>9</v>
      </c>
      <c r="BF564" s="25">
        <f>YEAR(BD564)+IF(MONTH(Modelling[[#This Row],[Date]])&gt;=4,1,0)</f>
        <v>2025</v>
      </c>
      <c r="BG564" s="3">
        <f t="shared" si="207"/>
        <v>2024</v>
      </c>
      <c r="BH564" s="3" t="s">
        <v>627</v>
      </c>
      <c r="BI564" s="3" t="s">
        <v>627</v>
      </c>
      <c r="BJ564" s="102">
        <f>DATE(Modelling_old[[#This Row],[Calendor Year]],Modelling_old[[#This Row],[Start Month]],1)</f>
        <v>45536</v>
      </c>
      <c r="BK564" s="5">
        <f t="shared" si="208"/>
        <v>30</v>
      </c>
      <c r="BL564" s="5">
        <f t="shared" si="209"/>
        <v>9</v>
      </c>
      <c r="BM564" s="4">
        <f>Modelling_old[[#This Row],[Target E_Grid daily
MWh]]+Modelling_new[[#This Row],[Target E_Grid daily
MWh]]</f>
        <v>93.615789921985396</v>
      </c>
      <c r="BN564" s="4">
        <f>Modelling_old[[#This Row],[Target E_Grid MTD
MWh]]+Modelling_new[[#This Row],[Target E_Grid MTD
MWh]]</f>
        <v>2621.2421178155901</v>
      </c>
      <c r="BO564" s="4">
        <f>Modelling_old[[#This Row],[Target E_Grid YTD
MWh]]+Modelling_new[[#This Row],[Target E_Grid YTD
MWh]]</f>
        <v>17693.236881405297</v>
      </c>
      <c r="BP564" s="4">
        <f>AVERAGE(Modelling_old[[#This Row],[Target POA Daily (KWh/m2)]],Modelling_new[[#This Row],[Target POA Daily (KWh/m2)]])</f>
        <v>4.9333333333333336</v>
      </c>
      <c r="BQ564" s="4">
        <f>SUM($BP$537:BP564)</f>
        <v>138.13333333333341</v>
      </c>
      <c r="BR564" s="4">
        <f>SUM($BP$384:BP564)</f>
        <v>958.93333333332907</v>
      </c>
      <c r="BS564" s="323">
        <f>BM564/Modelling[[#This Row],[Comisined DC ]]/BP564</f>
        <v>0.78081288530413306</v>
      </c>
      <c r="BT564" s="337">
        <f>BN564/BQ564/Modelling[[#This Row],[Comisined DC ]]</f>
        <v>0.7808128853041324</v>
      </c>
      <c r="BU564" s="337">
        <f>BO564/BR564/Modelling[[#This Row],[Comisined DC ]]</f>
        <v>0.75920175398130374</v>
      </c>
      <c r="BV564" s="323">
        <f>BM564/(24*Modelling[[#This Row],[Comisined DC ]])</f>
        <v>0.16050042642362736</v>
      </c>
      <c r="BW564" s="323">
        <f>Modelling[[#This Row],[Target E_Grid MTD
MWh]]/Modelling[[#This Row],[MTD DC Capcity]]/(24*CG564)</f>
        <v>0.16050042642362741</v>
      </c>
      <c r="BX564" s="338">
        <f>Modelling[[#This Row],[Target E_Grid YTD
MWh]]/Modelling[[#This Row],[YTD DC Capcity]]/(24*CH564)</f>
        <v>0.1675929715970994</v>
      </c>
      <c r="BY564" s="4">
        <f>Modelling_old[[#This Row],[DC Capcity]]+Modelling_new[[#This Row],[Comisined DC ]]</f>
        <v>24.303100000000001</v>
      </c>
      <c r="BZ564" s="4">
        <v>0</v>
      </c>
      <c r="CA564">
        <f>AVERAGEIFS(Modelling[[Comisined DC ]],Modelling[Date],"&lt;="&amp;Modelling[[#This Row],[Date]],Modelling[Month Year],Modelling[[#This Row],[Month Year]])</f>
        <v>24.303099999999983</v>
      </c>
      <c r="CB564">
        <f>AVERAGEIFS(Modelling[[Comisined DC ]],Modelling[Date],"&lt;="&amp;Modelling[[#This Row],[Date]],Modelling[Finacial Year],Modelling[[#This Row],[Finacial Year]])</f>
        <v>24.303100000000061</v>
      </c>
      <c r="CG564">
        <f t="shared" si="214"/>
        <v>28</v>
      </c>
      <c r="CH564">
        <f t="shared" si="211"/>
        <v>181</v>
      </c>
    </row>
    <row r="565" spans="1:86" x14ac:dyDescent="0.35">
      <c r="A565" s="27">
        <f t="shared" si="189"/>
        <v>45564</v>
      </c>
      <c r="B565" s="5">
        <f>MONTH(Modelling_old[[#This Row],[Date]])</f>
        <v>9</v>
      </c>
      <c r="C565" s="25">
        <f t="shared" si="190"/>
        <v>2025</v>
      </c>
      <c r="D565" s="3">
        <f t="shared" si="191"/>
        <v>2024</v>
      </c>
      <c r="E565" s="3" t="s">
        <v>627</v>
      </c>
      <c r="F565" s="3" t="s">
        <v>627</v>
      </c>
      <c r="G565" s="102">
        <f>DATE(Modelling_old[[#This Row],[Calendor Year]],Modelling_old[[#This Row],[Start Month]],1)</f>
        <v>45536</v>
      </c>
      <c r="H565" s="5">
        <f t="shared" si="192"/>
        <v>30</v>
      </c>
      <c r="I565" s="5">
        <f t="shared" si="193"/>
        <v>9</v>
      </c>
      <c r="J565" s="4">
        <f>_xlfn.XLOOKUP(Modelling_old[[#This Row],[Month]],$C$1:$C$14,$N$1:$N$14)/Modelling_old[[#This Row],[Total Days]]</f>
        <v>40.119999999999997</v>
      </c>
      <c r="K565" s="4">
        <f>SUM($J$537:J565)</f>
        <v>1163.4799999999996</v>
      </c>
      <c r="L565" s="4">
        <f>SUM($J$384:J565)</f>
        <v>7688.8799999999874</v>
      </c>
      <c r="M565" s="4">
        <f t="shared" si="194"/>
        <v>4.9333333333333336</v>
      </c>
      <c r="N565" s="4">
        <f>SUM($M$537:M565)</f>
        <v>143.06666666666675</v>
      </c>
      <c r="O565" s="4">
        <f>SUM($M$384:M565)</f>
        <v>963.86666666666235</v>
      </c>
      <c r="P565" s="323">
        <f t="shared" si="195"/>
        <v>0.70697746106983606</v>
      </c>
      <c r="Q565" s="337">
        <f t="shared" si="196"/>
        <v>0.70697746106983561</v>
      </c>
      <c r="R565" s="337">
        <f t="shared" si="197"/>
        <v>0.69347566600314681</v>
      </c>
      <c r="S565" s="323">
        <f t="shared" si="198"/>
        <v>0.14532314477546632</v>
      </c>
      <c r="T565" s="9">
        <f>Modelling_old[[#This Row],[Target E_Grid MTD
MWh]]/Modelling_old[[#This Row],[DC Capcity]]/(24*CG565)</f>
        <v>0.14532314477546629</v>
      </c>
      <c r="U565" s="338">
        <f>Modelling_old[[#This Row],[Target E_Grid YTD
MWh]]/Modelling_old[[#This Row],[DC Capcity]]/(24*CH565)</f>
        <v>0.15302611689672543</v>
      </c>
      <c r="V565" s="134">
        <v>11.5031</v>
      </c>
      <c r="Y565" s="27">
        <f t="shared" si="212"/>
        <v>45564</v>
      </c>
      <c r="Z565" s="5">
        <f>MONTH(Modelling_new[[#This Row],[Date]])</f>
        <v>9</v>
      </c>
      <c r="AA565" s="25">
        <f>YEAR(Y565)+IF(MONTH(Modelling_new[[#This Row],[Date]])&gt;=4,1,0)</f>
        <v>2025</v>
      </c>
      <c r="AB565" s="3">
        <f t="shared" si="199"/>
        <v>2024</v>
      </c>
      <c r="AC565" s="3" t="s">
        <v>627</v>
      </c>
      <c r="AD565" s="3" t="s">
        <v>627</v>
      </c>
      <c r="AE565" s="102">
        <f>DATE(Modelling_old[[#This Row],[Calendor Year]],Modelling_old[[#This Row],[Start Month]],1)</f>
        <v>45536</v>
      </c>
      <c r="AF565" s="5">
        <f t="shared" si="200"/>
        <v>30</v>
      </c>
      <c r="AG565" s="5">
        <f t="shared" si="201"/>
        <v>9</v>
      </c>
      <c r="AH565" s="4">
        <f>_xlfn.XLOOKUP(Modelling_new[[#This Row],[Month]],$AA$1:$AA$14,$AL$1:$AL$14)/Modelling_new[[#This Row],[Total Days]]</f>
        <v>53.495789921985406</v>
      </c>
      <c r="AI565" s="4">
        <f>SUM($AH$537:AH565)</f>
        <v>1551.3779077375759</v>
      </c>
      <c r="AJ565" s="4">
        <f>SUM($AH$384:AH565)</f>
        <v>10097.972671327294</v>
      </c>
      <c r="AK565" s="4">
        <f t="shared" si="202"/>
        <v>4.9333333333333336</v>
      </c>
      <c r="AL565" s="4">
        <f>SUM($AK$537:AK565)</f>
        <v>143.06666666666675</v>
      </c>
      <c r="AM565" s="4">
        <f>SUM($AK$384:AK565)</f>
        <v>963.86666666666235</v>
      </c>
      <c r="AN565" s="323">
        <f t="shared" si="203"/>
        <v>0.94267990371312482</v>
      </c>
      <c r="AO565" s="323">
        <f t="shared" si="204"/>
        <v>0.94267990371312393</v>
      </c>
      <c r="AP565" s="323">
        <f t="shared" si="205"/>
        <v>0.91075661520667273</v>
      </c>
      <c r="AQ565" s="323">
        <f t="shared" si="206"/>
        <v>0.19377309131880904</v>
      </c>
      <c r="AR565" s="323">
        <f>Modelling_new[[#This Row],[Target E_Grid MTD
MWh]]/Modelling_new[[#This Row],[MTD DC Capcity]]/(24*CG565)</f>
        <v>0.17413994115229606</v>
      </c>
      <c r="AS565" s="323">
        <f>Modelling_new[[#This Row],[Target E_Grid YTD
MWh]]/Modelling_new[[#This Row],[YTD DC Capcity]]/(24*CH565)</f>
        <v>0.18060991642569721</v>
      </c>
      <c r="AT565" s="5">
        <v>12.8</v>
      </c>
      <c r="AU565" s="9">
        <f>Modelling_new[[#This Row],[Comisined DC ]]/$AO$1</f>
        <v>1</v>
      </c>
      <c r="AV565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65" s="5">
        <f>AVERAGEIFS(Modelling_new[[Comisined DC ]],Modelling_new[Date],"&lt;="&amp;Modelling_new[[#This Row],[Date]],Modelling_new[[Comisined DC ]],"&gt;"&amp;0,Modelling_new[Finacial Year],Modelling_new[[#This Row],[Finacial Year]])</f>
        <v>12.799999999999992</v>
      </c>
      <c r="BD565" s="27">
        <f t="shared" si="213"/>
        <v>45564</v>
      </c>
      <c r="BE565" s="5">
        <f>MONTH(Modelling[[#This Row],[Date]])</f>
        <v>9</v>
      </c>
      <c r="BF565" s="25">
        <f>YEAR(BD565)+IF(MONTH(Modelling[[#This Row],[Date]])&gt;=4,1,0)</f>
        <v>2025</v>
      </c>
      <c r="BG565" s="3">
        <f t="shared" si="207"/>
        <v>2024</v>
      </c>
      <c r="BH565" s="3" t="s">
        <v>627</v>
      </c>
      <c r="BI565" s="3" t="s">
        <v>627</v>
      </c>
      <c r="BJ565" s="102">
        <f>DATE(Modelling_old[[#This Row],[Calendor Year]],Modelling_old[[#This Row],[Start Month]],1)</f>
        <v>45536</v>
      </c>
      <c r="BK565" s="5">
        <f t="shared" si="208"/>
        <v>30</v>
      </c>
      <c r="BL565" s="5">
        <f t="shared" si="209"/>
        <v>9</v>
      </c>
      <c r="BM565" s="4">
        <f>Modelling_old[[#This Row],[Target E_Grid daily
MWh]]+Modelling_new[[#This Row],[Target E_Grid daily
MWh]]</f>
        <v>93.615789921985396</v>
      </c>
      <c r="BN565" s="4">
        <f>Modelling_old[[#This Row],[Target E_Grid MTD
MWh]]+Modelling_new[[#This Row],[Target E_Grid MTD
MWh]]</f>
        <v>2714.8579077375753</v>
      </c>
      <c r="BO565" s="4">
        <f>Modelling_old[[#This Row],[Target E_Grid YTD
MWh]]+Modelling_new[[#This Row],[Target E_Grid YTD
MWh]]</f>
        <v>17786.85267132728</v>
      </c>
      <c r="BP565" s="4">
        <f>AVERAGE(Modelling_old[[#This Row],[Target POA Daily (KWh/m2)]],Modelling_new[[#This Row],[Target POA Daily (KWh/m2)]])</f>
        <v>4.9333333333333336</v>
      </c>
      <c r="BQ565" s="4">
        <f>SUM($BP$537:BP565)</f>
        <v>143.06666666666675</v>
      </c>
      <c r="BR565" s="4">
        <f>SUM($BP$384:BP565)</f>
        <v>963.86666666666235</v>
      </c>
      <c r="BS565" s="323">
        <f>BM565/Modelling[[#This Row],[Comisined DC ]]/BP565</f>
        <v>0.78081288530413306</v>
      </c>
      <c r="BT565" s="337">
        <f>BN565/BQ565/Modelling[[#This Row],[Comisined DC ]]</f>
        <v>0.78081288530413229</v>
      </c>
      <c r="BU565" s="337">
        <f>BO565/BR565/Modelling[[#This Row],[Comisined DC ]]</f>
        <v>0.75931236566465476</v>
      </c>
      <c r="BV565" s="323">
        <f>BM565/(24*Modelling[[#This Row],[Comisined DC ]])</f>
        <v>0.16050042642362736</v>
      </c>
      <c r="BW565" s="323">
        <f>Modelling[[#This Row],[Target E_Grid MTD
MWh]]/Modelling[[#This Row],[MTD DC Capcity]]/(24*CG565)</f>
        <v>0.16050042642362741</v>
      </c>
      <c r="BX565" s="338">
        <f>Modelling[[#This Row],[Target E_Grid YTD
MWh]]/Modelling[[#This Row],[YTD DC Capcity]]/(24*CH565)</f>
        <v>0.16755400156867373</v>
      </c>
      <c r="BY565" s="4">
        <f>Modelling_old[[#This Row],[DC Capcity]]+Modelling_new[[#This Row],[Comisined DC ]]</f>
        <v>24.303100000000001</v>
      </c>
      <c r="BZ565" s="4">
        <v>0</v>
      </c>
      <c r="CA565">
        <f>AVERAGEIFS(Modelling[[Comisined DC ]],Modelling[Date],"&lt;="&amp;Modelling[[#This Row],[Date]],Modelling[Month Year],Modelling[[#This Row],[Month Year]])</f>
        <v>24.303099999999983</v>
      </c>
      <c r="CB565">
        <f>AVERAGEIFS(Modelling[[Comisined DC ]],Modelling[Date],"&lt;="&amp;Modelling[[#This Row],[Date]],Modelling[Finacial Year],Modelling[[#This Row],[Finacial Year]])</f>
        <v>24.303100000000061</v>
      </c>
      <c r="CG565">
        <f t="shared" si="214"/>
        <v>29</v>
      </c>
      <c r="CH565">
        <f t="shared" si="211"/>
        <v>182</v>
      </c>
    </row>
    <row r="566" spans="1:86" x14ac:dyDescent="0.35">
      <c r="A566" s="27">
        <f t="shared" si="189"/>
        <v>45565</v>
      </c>
      <c r="B566" s="5">
        <f>MONTH(Modelling_old[[#This Row],[Date]])</f>
        <v>9</v>
      </c>
      <c r="C566" s="25">
        <f t="shared" si="190"/>
        <v>2025</v>
      </c>
      <c r="D566" s="3">
        <f t="shared" si="191"/>
        <v>2024</v>
      </c>
      <c r="E566" s="3" t="s">
        <v>627</v>
      </c>
      <c r="F566" s="3" t="s">
        <v>627</v>
      </c>
      <c r="G566" s="102">
        <f>DATE(Modelling_old[[#This Row],[Calendor Year]],Modelling_old[[#This Row],[Start Month]],1)</f>
        <v>45536</v>
      </c>
      <c r="H566" s="5">
        <f t="shared" si="192"/>
        <v>30</v>
      </c>
      <c r="I566" s="5">
        <f t="shared" si="193"/>
        <v>9</v>
      </c>
      <c r="J566" s="4">
        <f>_xlfn.XLOOKUP(Modelling_old[[#This Row],[Month]],$C$1:$C$14,$N$1:$N$14)/Modelling_old[[#This Row],[Total Days]]</f>
        <v>40.119999999999997</v>
      </c>
      <c r="K566" s="4">
        <f>SUM($J$537:J566)</f>
        <v>1203.5999999999995</v>
      </c>
      <c r="L566" s="4">
        <f>SUM($J$384:J566)</f>
        <v>7728.9999999999873</v>
      </c>
      <c r="M566" s="4">
        <f t="shared" si="194"/>
        <v>4.9333333333333336</v>
      </c>
      <c r="N566" s="4">
        <f>SUM($M$537:M566)</f>
        <v>148.00000000000009</v>
      </c>
      <c r="O566" s="4">
        <f>SUM($M$384:M566)</f>
        <v>968.79999999999563</v>
      </c>
      <c r="P566" s="323">
        <f t="shared" si="195"/>
        <v>0.70697746106983606</v>
      </c>
      <c r="Q566" s="337">
        <f t="shared" si="196"/>
        <v>0.70697746106983539</v>
      </c>
      <c r="R566" s="337">
        <f t="shared" si="197"/>
        <v>0.69354441998297989</v>
      </c>
      <c r="S566" s="323">
        <f t="shared" si="198"/>
        <v>0.14532314477546632</v>
      </c>
      <c r="T566" s="9">
        <f>Modelling_old[[#This Row],[Target E_Grid MTD
MWh]]/Modelling_old[[#This Row],[DC Capcity]]/(24*CG566)</f>
        <v>0.14532314477546626</v>
      </c>
      <c r="U566" s="338">
        <f>Modelling_old[[#This Row],[Target E_Grid YTD
MWh]]/Modelling_old[[#This Row],[DC Capcity]]/(24*CH566)</f>
        <v>0.15298402415289342</v>
      </c>
      <c r="V566" s="134">
        <v>11.5031</v>
      </c>
      <c r="Y566" s="27">
        <f t="shared" si="212"/>
        <v>45565</v>
      </c>
      <c r="Z566" s="5">
        <f>MONTH(Modelling_new[[#This Row],[Date]])</f>
        <v>9</v>
      </c>
      <c r="AA566" s="25">
        <f>YEAR(Y566)+IF(MONTH(Modelling_new[[#This Row],[Date]])&gt;=4,1,0)</f>
        <v>2025</v>
      </c>
      <c r="AB566" s="3">
        <f t="shared" si="199"/>
        <v>2024</v>
      </c>
      <c r="AC566" s="3" t="s">
        <v>627</v>
      </c>
      <c r="AD566" s="3" t="s">
        <v>627</v>
      </c>
      <c r="AE566" s="102">
        <f>DATE(Modelling_old[[#This Row],[Calendor Year]],Modelling_old[[#This Row],[Start Month]],1)</f>
        <v>45536</v>
      </c>
      <c r="AF566" s="5">
        <f t="shared" si="200"/>
        <v>30</v>
      </c>
      <c r="AG566" s="5">
        <f t="shared" si="201"/>
        <v>9</v>
      </c>
      <c r="AH566" s="4">
        <f>_xlfn.XLOOKUP(Modelling_new[[#This Row],[Month]],$AA$1:$AA$14,$AL$1:$AL$14)/Modelling_new[[#This Row],[Total Days]]</f>
        <v>53.495789921985406</v>
      </c>
      <c r="AI566" s="4">
        <f>SUM($AH$537:AH566)</f>
        <v>1604.8736976595612</v>
      </c>
      <c r="AJ566" s="4">
        <f>SUM($AH$384:AH566)</f>
        <v>10151.46846124928</v>
      </c>
      <c r="AK566" s="4">
        <f t="shared" si="202"/>
        <v>4.9333333333333336</v>
      </c>
      <c r="AL566" s="4">
        <f>SUM($AK$537:AK566)</f>
        <v>148.00000000000009</v>
      </c>
      <c r="AM566" s="4">
        <f>SUM($AK$384:AK566)</f>
        <v>968.79999999999563</v>
      </c>
      <c r="AN566" s="323">
        <f t="shared" si="203"/>
        <v>0.94267990371312482</v>
      </c>
      <c r="AO566" s="323">
        <f t="shared" si="204"/>
        <v>0.94267990371312371</v>
      </c>
      <c r="AP566" s="323">
        <f t="shared" si="205"/>
        <v>0.9109191753050403</v>
      </c>
      <c r="AQ566" s="323">
        <f t="shared" si="206"/>
        <v>0.19377309131880904</v>
      </c>
      <c r="AR566" s="323">
        <f>Modelling_new[[#This Row],[Target E_Grid MTD
MWh]]/Modelling_new[[#This Row],[MTD DC Capcity]]/(24*CG566)</f>
        <v>0.17413994115229606</v>
      </c>
      <c r="AS566" s="323">
        <f>Modelling_new[[#This Row],[Target E_Grid YTD
MWh]]/Modelling_new[[#This Row],[YTD DC Capcity]]/(24*CH566)</f>
        <v>0.18057456136955838</v>
      </c>
      <c r="AT566" s="5">
        <v>12.8</v>
      </c>
      <c r="AU566" s="9">
        <f>Modelling_new[[#This Row],[Comisined DC ]]/$AO$1</f>
        <v>1</v>
      </c>
      <c r="AV566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66" s="5">
        <f>AVERAGEIFS(Modelling_new[[Comisined DC ]],Modelling_new[Date],"&lt;="&amp;Modelling_new[[#This Row],[Date]],Modelling_new[[Comisined DC ]],"&gt;"&amp;0,Modelling_new[Finacial Year],Modelling_new[[#This Row],[Finacial Year]])</f>
        <v>12.799999999999994</v>
      </c>
      <c r="BD566" s="27">
        <f t="shared" si="213"/>
        <v>45565</v>
      </c>
      <c r="BE566" s="5">
        <f>MONTH(Modelling[[#This Row],[Date]])</f>
        <v>9</v>
      </c>
      <c r="BF566" s="25">
        <f>YEAR(BD566)+IF(MONTH(Modelling[[#This Row],[Date]])&gt;=4,1,0)</f>
        <v>2025</v>
      </c>
      <c r="BG566" s="3">
        <f t="shared" si="207"/>
        <v>2024</v>
      </c>
      <c r="BH566" s="3" t="s">
        <v>627</v>
      </c>
      <c r="BI566" s="3" t="s">
        <v>627</v>
      </c>
      <c r="BJ566" s="102">
        <f>DATE(Modelling_old[[#This Row],[Calendor Year]],Modelling_old[[#This Row],[Start Month]],1)</f>
        <v>45536</v>
      </c>
      <c r="BK566" s="5">
        <f t="shared" si="208"/>
        <v>30</v>
      </c>
      <c r="BL566" s="5">
        <f t="shared" si="209"/>
        <v>9</v>
      </c>
      <c r="BM566" s="4">
        <f>Modelling_old[[#This Row],[Target E_Grid daily
MWh]]+Modelling_new[[#This Row],[Target E_Grid daily
MWh]]</f>
        <v>93.615789921985396</v>
      </c>
      <c r="BN566" s="4">
        <f>Modelling_old[[#This Row],[Target E_Grid MTD
MWh]]+Modelling_new[[#This Row],[Target E_Grid MTD
MWh]]</f>
        <v>2808.4736976595605</v>
      </c>
      <c r="BO566" s="4">
        <f>Modelling_old[[#This Row],[Target E_Grid YTD
MWh]]+Modelling_new[[#This Row],[Target E_Grid YTD
MWh]]</f>
        <v>17880.468461249267</v>
      </c>
      <c r="BP566" s="4">
        <f>AVERAGE(Modelling_old[[#This Row],[Target POA Daily (KWh/m2)]],Modelling_new[[#This Row],[Target POA Daily (KWh/m2)]])</f>
        <v>4.9333333333333336</v>
      </c>
      <c r="BQ566" s="4">
        <f>SUM($BP$537:BP566)</f>
        <v>148.00000000000009</v>
      </c>
      <c r="BR566" s="4">
        <f>SUM($BP$384:BP566)</f>
        <v>968.79999999999563</v>
      </c>
      <c r="BS566" s="323">
        <f>BM566/Modelling[[#This Row],[Comisined DC ]]/BP566</f>
        <v>0.78081288530413306</v>
      </c>
      <c r="BT566" s="337">
        <f>BN566/BQ566/Modelling[[#This Row],[Comisined DC ]]</f>
        <v>0.78081288530413229</v>
      </c>
      <c r="BU566" s="337">
        <f>BO566/BR566/Modelling[[#This Row],[Comisined DC ]]</f>
        <v>0.75942185083210056</v>
      </c>
      <c r="BV566" s="323">
        <f>BM566/(24*Modelling[[#This Row],[Comisined DC ]])</f>
        <v>0.16050042642362736</v>
      </c>
      <c r="BW566" s="323">
        <f>Modelling[[#This Row],[Target E_Grid MTD
MWh]]/Modelling[[#This Row],[MTD DC Capcity]]/(24*CG566)</f>
        <v>0.16050042642362738</v>
      </c>
      <c r="BX566" s="338">
        <f>Modelling[[#This Row],[Target E_Grid YTD
MWh]]/Modelling[[#This Row],[YTD DC Capcity]]/(24*CH566)</f>
        <v>0.16751545744219806</v>
      </c>
      <c r="BY566" s="4">
        <f>Modelling_old[[#This Row],[DC Capcity]]+Modelling_new[[#This Row],[Comisined DC ]]</f>
        <v>24.303100000000001</v>
      </c>
      <c r="BZ566" s="4">
        <v>0</v>
      </c>
      <c r="CA566">
        <f>AVERAGEIFS(Modelling[[Comisined DC ]],Modelling[Date],"&lt;="&amp;Modelling[[#This Row],[Date]],Modelling[Month Year],Modelling[[#This Row],[Month Year]])</f>
        <v>24.303099999999983</v>
      </c>
      <c r="CB566">
        <f>AVERAGEIFS(Modelling[[Comisined DC ]],Modelling[Date],"&lt;="&amp;Modelling[[#This Row],[Date]],Modelling[Finacial Year],Modelling[[#This Row],[Finacial Year]])</f>
        <v>24.303100000000061</v>
      </c>
      <c r="CG566">
        <f t="shared" si="214"/>
        <v>30</v>
      </c>
      <c r="CH566">
        <f t="shared" si="211"/>
        <v>183</v>
      </c>
    </row>
    <row r="567" spans="1:86" x14ac:dyDescent="0.35">
      <c r="A567" s="27">
        <f t="shared" si="189"/>
        <v>45566</v>
      </c>
      <c r="B567" s="5">
        <f>MONTH(Modelling_old[[#This Row],[Date]])</f>
        <v>10</v>
      </c>
      <c r="C567" s="25">
        <f t="shared" si="190"/>
        <v>2025</v>
      </c>
      <c r="D567" s="3">
        <f t="shared" si="191"/>
        <v>2024</v>
      </c>
      <c r="E567" s="3" t="s">
        <v>627</v>
      </c>
      <c r="F567" s="3" t="s">
        <v>627</v>
      </c>
      <c r="G567" s="102">
        <f>DATE(Modelling_old[[#This Row],[Calendor Year]],Modelling_old[[#This Row],[Start Month]],1)</f>
        <v>45566</v>
      </c>
      <c r="H567" s="5">
        <f t="shared" si="192"/>
        <v>31</v>
      </c>
      <c r="I567" s="5">
        <f t="shared" si="193"/>
        <v>10</v>
      </c>
      <c r="J567" s="4">
        <f>_xlfn.XLOOKUP(Modelling_old[[#This Row],[Month]],$C$1:$C$14,$N$1:$N$14)/Modelling_old[[#This Row],[Total Days]]</f>
        <v>48.038709677419355</v>
      </c>
      <c r="K567" s="4">
        <f>SUM($J$567:J567)</f>
        <v>48.038709677419355</v>
      </c>
      <c r="L567" s="4">
        <f>SUM($J$384:J567)</f>
        <v>7777.0387096774066</v>
      </c>
      <c r="M567" s="4">
        <f t="shared" si="194"/>
        <v>6.0354838709677416</v>
      </c>
      <c r="N567" s="4">
        <f>SUM($M$567:M567)</f>
        <v>6.0354838709677416</v>
      </c>
      <c r="O567" s="4">
        <f>SUM($M$384:M567)</f>
        <v>974.83548387096334</v>
      </c>
      <c r="P567" s="323">
        <f t="shared" si="195"/>
        <v>0.69193347973063524</v>
      </c>
      <c r="Q567" s="337">
        <f t="shared" si="196"/>
        <v>0.69193347973063535</v>
      </c>
      <c r="R567" s="337">
        <f t="shared" si="197"/>
        <v>0.69353444619348315</v>
      </c>
      <c r="S567" s="323">
        <f t="shared" si="198"/>
        <v>0.1740063898623681</v>
      </c>
      <c r="T567" s="9">
        <f>Modelling_old[[#This Row],[Target E_Grid MTD
MWh]]/Modelling_old[[#This Row],[DC Capcity]]/(24*CG567)</f>
        <v>0.17400638986236808</v>
      </c>
      <c r="U567" s="338">
        <f>Modelling_old[[#This Row],[Target E_Grid YTD
MWh]]/Modelling_old[[#This Row],[DC Capcity]]/(24*CH567)</f>
        <v>0.15309827614044491</v>
      </c>
      <c r="V567" s="134">
        <v>11.5031</v>
      </c>
      <c r="Y567" s="27">
        <f t="shared" si="212"/>
        <v>45566</v>
      </c>
      <c r="Z567" s="5">
        <f>MONTH(Modelling_new[[#This Row],[Date]])</f>
        <v>10</v>
      </c>
      <c r="AA567" s="25">
        <f>YEAR(Y567)+IF(MONTH(Modelling_new[[#This Row],[Date]])&gt;=4,1,0)</f>
        <v>2025</v>
      </c>
      <c r="AB567" s="3">
        <f t="shared" si="199"/>
        <v>2024</v>
      </c>
      <c r="AC567" s="3" t="s">
        <v>627</v>
      </c>
      <c r="AD567" s="3" t="s">
        <v>627</v>
      </c>
      <c r="AE567" s="102">
        <f>DATE(Modelling_old[[#This Row],[Calendor Year]],Modelling_old[[#This Row],[Start Month]],1)</f>
        <v>45566</v>
      </c>
      <c r="AF567" s="5">
        <f t="shared" si="200"/>
        <v>31</v>
      </c>
      <c r="AG567" s="5">
        <f t="shared" si="201"/>
        <v>10</v>
      </c>
      <c r="AH567" s="4">
        <f>_xlfn.XLOOKUP(Modelling_new[[#This Row],[Month]],$AA$1:$AA$14,$AL$1:$AL$14)/Modelling_new[[#This Row],[Total Days]]</f>
        <v>61.194992862183334</v>
      </c>
      <c r="AI567" s="4">
        <f>SUM($AH$567:AH567)</f>
        <v>61.194992862183334</v>
      </c>
      <c r="AJ567" s="4">
        <f>SUM($AH$384:AH567)</f>
        <v>10212.663454111464</v>
      </c>
      <c r="AK567" s="4">
        <f t="shared" si="202"/>
        <v>6.0354838709677416</v>
      </c>
      <c r="AL567" s="4">
        <f>SUM($AK$567:AK567)</f>
        <v>6.0354838709677416</v>
      </c>
      <c r="AM567" s="4">
        <f>SUM($AK$384:AK567)</f>
        <v>974.83548387096334</v>
      </c>
      <c r="AN567" s="323">
        <f t="shared" si="203"/>
        <v>0.88143217495962878</v>
      </c>
      <c r="AO567" s="323">
        <f t="shared" si="204"/>
        <v>0.88143217495962878</v>
      </c>
      <c r="AP567" s="323">
        <f t="shared" si="205"/>
        <v>0.91073661289534924</v>
      </c>
      <c r="AQ567" s="323">
        <f t="shared" si="206"/>
        <v>0.22166123647170233</v>
      </c>
      <c r="AR567" s="323">
        <f>Modelling_new[[#This Row],[Target E_Grid MTD
MWh]]/Modelling_new[[#This Row],[MTD DC Capcity]]/(24*CG567)</f>
        <v>0.19920245072325304</v>
      </c>
      <c r="AS567" s="323">
        <f>Modelling_new[[#This Row],[Target E_Grid YTD
MWh]]/Modelling_new[[#This Row],[YTD DC Capcity]]/(24*CH567)</f>
        <v>0.18067579989865457</v>
      </c>
      <c r="AT567" s="5">
        <v>12.8</v>
      </c>
      <c r="AU567" s="9">
        <f>Modelling_new[[#This Row],[Comisined DC ]]/$AO$1</f>
        <v>1</v>
      </c>
      <c r="AV567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67" s="5">
        <f>AVERAGEIFS(Modelling_new[[Comisined DC ]],Modelling_new[Date],"&lt;="&amp;Modelling_new[[#This Row],[Date]],Modelling_new[[Comisined DC ]],"&gt;"&amp;0,Modelling_new[Finacial Year],Modelling_new[[#This Row],[Finacial Year]])</f>
        <v>12.799999999999994</v>
      </c>
      <c r="BD567" s="27">
        <f t="shared" si="213"/>
        <v>45566</v>
      </c>
      <c r="BE567" s="5">
        <f>MONTH(Modelling[[#This Row],[Date]])</f>
        <v>10</v>
      </c>
      <c r="BF567" s="25">
        <f>YEAR(BD567)+IF(MONTH(Modelling[[#This Row],[Date]])&gt;=4,1,0)</f>
        <v>2025</v>
      </c>
      <c r="BG567" s="3">
        <f t="shared" si="207"/>
        <v>2024</v>
      </c>
      <c r="BH567" s="3" t="s">
        <v>627</v>
      </c>
      <c r="BI567" s="3" t="s">
        <v>627</v>
      </c>
      <c r="BJ567" s="102">
        <f>DATE(Modelling_old[[#This Row],[Calendor Year]],Modelling_old[[#This Row],[Start Month]],1)</f>
        <v>45566</v>
      </c>
      <c r="BK567" s="5">
        <f t="shared" si="208"/>
        <v>31</v>
      </c>
      <c r="BL567" s="5">
        <f t="shared" si="209"/>
        <v>10</v>
      </c>
      <c r="BM567" s="4">
        <f>Modelling_old[[#This Row],[Target E_Grid daily
MWh]]+Modelling_new[[#This Row],[Target E_Grid daily
MWh]]</f>
        <v>109.23370253960269</v>
      </c>
      <c r="BN567" s="4">
        <f>Modelling_old[[#This Row],[Target E_Grid MTD
MWh]]+Modelling_new[[#This Row],[Target E_Grid MTD
MWh]]</f>
        <v>109.23370253960269</v>
      </c>
      <c r="BO567" s="4">
        <f>Modelling_old[[#This Row],[Target E_Grid YTD
MWh]]+Modelling_new[[#This Row],[Target E_Grid YTD
MWh]]</f>
        <v>17989.702163788868</v>
      </c>
      <c r="BP567" s="4">
        <f>AVERAGE(Modelling_old[[#This Row],[Target POA Daily (KWh/m2)]],Modelling_new[[#This Row],[Target POA Daily (KWh/m2)]])</f>
        <v>6.0354838709677416</v>
      </c>
      <c r="BQ567" s="4">
        <f>SUM($BP$567:BP567)</f>
        <v>6.0354838709677416</v>
      </c>
      <c r="BR567" s="4">
        <f>SUM($BP$384:BP567)</f>
        <v>974.83548387096334</v>
      </c>
      <c r="BS567" s="323">
        <f>BM567/Modelling[[#This Row],[Comisined DC ]]/BP567</f>
        <v>0.74470262898426853</v>
      </c>
      <c r="BT567" s="337">
        <f>BN567/BQ567/Modelling[[#This Row],[Comisined DC ]]</f>
        <v>0.74470262898426853</v>
      </c>
      <c r="BU567" s="337">
        <f>BO567/BR567/Modelling[[#This Row],[Comisined DC ]]</f>
        <v>0.75933071994127277</v>
      </c>
      <c r="BV567" s="323">
        <f>BM567/(24*Modelling[[#This Row],[Comisined DC ]])</f>
        <v>0.18727669607924277</v>
      </c>
      <c r="BW567" s="323">
        <f>Modelling[[#This Row],[Target E_Grid MTD
MWh]]/Modelling[[#This Row],[MTD DC Capcity]]/(24*CG567)</f>
        <v>0.1872766960792428</v>
      </c>
      <c r="BX567" s="338">
        <f>Modelling[[#This Row],[Target E_Grid YTD
MWh]]/Modelling[[#This Row],[YTD DC Capcity]]/(24*CH567)</f>
        <v>0.16762285547826897</v>
      </c>
      <c r="BY567" s="4">
        <f>Modelling_old[[#This Row],[DC Capcity]]+Modelling_new[[#This Row],[Comisined DC ]]</f>
        <v>24.303100000000001</v>
      </c>
      <c r="BZ567" s="4">
        <v>0</v>
      </c>
      <c r="CA567">
        <f>AVERAGEIFS(Modelling[[Comisined DC ]],Modelling[Date],"&lt;="&amp;Modelling[[#This Row],[Date]],Modelling[Month Year],Modelling[[#This Row],[Month Year]])</f>
        <v>24.303100000000001</v>
      </c>
      <c r="CB567">
        <f>AVERAGEIFS(Modelling[[Comisined DC ]],Modelling[Date],"&lt;="&amp;Modelling[[#This Row],[Date]],Modelling[Finacial Year],Modelling[[#This Row],[Finacial Year]])</f>
        <v>24.303100000000061</v>
      </c>
      <c r="CG567">
        <v>1</v>
      </c>
      <c r="CH567">
        <f t="shared" si="211"/>
        <v>184</v>
      </c>
    </row>
    <row r="568" spans="1:86" x14ac:dyDescent="0.35">
      <c r="A568" s="27">
        <f t="shared" si="189"/>
        <v>45567</v>
      </c>
      <c r="B568" s="5">
        <f>MONTH(Modelling_old[[#This Row],[Date]])</f>
        <v>10</v>
      </c>
      <c r="C568" s="25">
        <f t="shared" si="190"/>
        <v>2025</v>
      </c>
      <c r="D568" s="3">
        <f t="shared" si="191"/>
        <v>2024</v>
      </c>
      <c r="E568" s="3" t="s">
        <v>627</v>
      </c>
      <c r="F568" s="3" t="s">
        <v>627</v>
      </c>
      <c r="G568" s="102">
        <f>DATE(Modelling_old[[#This Row],[Calendor Year]],Modelling_old[[#This Row],[Start Month]],1)</f>
        <v>45566</v>
      </c>
      <c r="H568" s="5">
        <f t="shared" si="192"/>
        <v>31</v>
      </c>
      <c r="I568" s="5">
        <f t="shared" si="193"/>
        <v>10</v>
      </c>
      <c r="J568" s="4">
        <f>_xlfn.XLOOKUP(Modelling_old[[#This Row],[Month]],$C$1:$C$14,$N$1:$N$14)/Modelling_old[[#This Row],[Total Days]]</f>
        <v>48.038709677419355</v>
      </c>
      <c r="K568" s="4">
        <f>SUM($J$567:J568)</f>
        <v>96.07741935483871</v>
      </c>
      <c r="L568" s="4">
        <f>SUM($J$384:J568)</f>
        <v>7825.0774193548259</v>
      </c>
      <c r="M568" s="4">
        <f t="shared" si="194"/>
        <v>6.0354838709677416</v>
      </c>
      <c r="N568" s="4">
        <f>SUM($M$567:M568)</f>
        <v>12.070967741935483</v>
      </c>
      <c r="O568" s="4">
        <f>SUM($M$384:M568)</f>
        <v>980.87096774193105</v>
      </c>
      <c r="P568" s="323">
        <f t="shared" si="195"/>
        <v>0.69193347973063524</v>
      </c>
      <c r="Q568" s="337">
        <f t="shared" si="196"/>
        <v>0.69193347973063535</v>
      </c>
      <c r="R568" s="337">
        <f t="shared" si="197"/>
        <v>0.69352459514519826</v>
      </c>
      <c r="S568" s="323">
        <f t="shared" si="198"/>
        <v>0.1740063898623681</v>
      </c>
      <c r="T568" s="9">
        <f>Modelling_old[[#This Row],[Target E_Grid MTD
MWh]]/Modelling_old[[#This Row],[DC Capcity]]/(24*CG568)</f>
        <v>0.17400638986236808</v>
      </c>
      <c r="U568" s="338">
        <f>Modelling_old[[#This Row],[Target E_Grid YTD
MWh]]/Modelling_old[[#This Row],[DC Capcity]]/(24*CH568)</f>
        <v>0.15321129297137423</v>
      </c>
      <c r="V568" s="134">
        <v>11.5031</v>
      </c>
      <c r="Y568" s="27">
        <f t="shared" si="212"/>
        <v>45567</v>
      </c>
      <c r="Z568" s="5">
        <f>MONTH(Modelling_new[[#This Row],[Date]])</f>
        <v>10</v>
      </c>
      <c r="AA568" s="25">
        <f>YEAR(Y568)+IF(MONTH(Modelling_new[[#This Row],[Date]])&gt;=4,1,0)</f>
        <v>2025</v>
      </c>
      <c r="AB568" s="3">
        <f t="shared" si="199"/>
        <v>2024</v>
      </c>
      <c r="AC568" s="3" t="s">
        <v>627</v>
      </c>
      <c r="AD568" s="3" t="s">
        <v>627</v>
      </c>
      <c r="AE568" s="102">
        <f>DATE(Modelling_old[[#This Row],[Calendor Year]],Modelling_old[[#This Row],[Start Month]],1)</f>
        <v>45566</v>
      </c>
      <c r="AF568" s="5">
        <f t="shared" si="200"/>
        <v>31</v>
      </c>
      <c r="AG568" s="5">
        <f t="shared" si="201"/>
        <v>10</v>
      </c>
      <c r="AH568" s="4">
        <f>_xlfn.XLOOKUP(Modelling_new[[#This Row],[Month]],$AA$1:$AA$14,$AL$1:$AL$14)/Modelling_new[[#This Row],[Total Days]]</f>
        <v>61.194992862183334</v>
      </c>
      <c r="AI568" s="4">
        <f>SUM($AH$567:AH568)</f>
        <v>122.38998572436667</v>
      </c>
      <c r="AJ568" s="4">
        <f>SUM($AH$384:AH568)</f>
        <v>10273.858446973647</v>
      </c>
      <c r="AK568" s="4">
        <f t="shared" si="202"/>
        <v>6.0354838709677416</v>
      </c>
      <c r="AL568" s="4">
        <f>SUM($AK$567:AK568)</f>
        <v>12.070967741935483</v>
      </c>
      <c r="AM568" s="4">
        <f>SUM($AK$384:AK568)</f>
        <v>980.87096774193105</v>
      </c>
      <c r="AN568" s="323">
        <f t="shared" si="203"/>
        <v>0.88143217495962878</v>
      </c>
      <c r="AO568" s="323">
        <f t="shared" si="204"/>
        <v>0.88143217495962878</v>
      </c>
      <c r="AP568" s="323">
        <f t="shared" si="205"/>
        <v>0.91055629716746511</v>
      </c>
      <c r="AQ568" s="323">
        <f t="shared" si="206"/>
        <v>0.22166123647170233</v>
      </c>
      <c r="AR568" s="323">
        <f>Modelling_new[[#This Row],[Target E_Grid MTD
MWh]]/Modelling_new[[#This Row],[MTD DC Capcity]]/(24*CG568)</f>
        <v>0.19920245072325304</v>
      </c>
      <c r="AS568" s="323">
        <f>Modelling_new[[#This Row],[Target E_Grid YTD
MWh]]/Modelling_new[[#This Row],[YTD DC Capcity]]/(24*CH568)</f>
        <v>0.18077594395716587</v>
      </c>
      <c r="AT568" s="5">
        <v>12.8</v>
      </c>
      <c r="AU568" s="9">
        <f>Modelling_new[[#This Row],[Comisined DC ]]/$AO$1</f>
        <v>1</v>
      </c>
      <c r="AV56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68" s="5">
        <f>AVERAGEIFS(Modelling_new[[Comisined DC ]],Modelling_new[Date],"&lt;="&amp;Modelling_new[[#This Row],[Date]],Modelling_new[[Comisined DC ]],"&gt;"&amp;0,Modelling_new[Finacial Year],Modelling_new[[#This Row],[Finacial Year]])</f>
        <v>12.799999999999995</v>
      </c>
      <c r="BD568" s="27">
        <f t="shared" si="213"/>
        <v>45567</v>
      </c>
      <c r="BE568" s="5">
        <f>MONTH(Modelling[[#This Row],[Date]])</f>
        <v>10</v>
      </c>
      <c r="BF568" s="25">
        <f>YEAR(BD568)+IF(MONTH(Modelling[[#This Row],[Date]])&gt;=4,1,0)</f>
        <v>2025</v>
      </c>
      <c r="BG568" s="3">
        <f t="shared" si="207"/>
        <v>2024</v>
      </c>
      <c r="BH568" s="3" t="s">
        <v>627</v>
      </c>
      <c r="BI568" s="3" t="s">
        <v>627</v>
      </c>
      <c r="BJ568" s="102">
        <f>DATE(Modelling_old[[#This Row],[Calendor Year]],Modelling_old[[#This Row],[Start Month]],1)</f>
        <v>45566</v>
      </c>
      <c r="BK568" s="5">
        <f t="shared" si="208"/>
        <v>31</v>
      </c>
      <c r="BL568" s="5">
        <f t="shared" si="209"/>
        <v>10</v>
      </c>
      <c r="BM568" s="4">
        <f>Modelling_old[[#This Row],[Target E_Grid daily
MWh]]+Modelling_new[[#This Row],[Target E_Grid daily
MWh]]</f>
        <v>109.23370253960269</v>
      </c>
      <c r="BN568" s="4">
        <f>Modelling_old[[#This Row],[Target E_Grid MTD
MWh]]+Modelling_new[[#This Row],[Target E_Grid MTD
MWh]]</f>
        <v>218.46740507920538</v>
      </c>
      <c r="BO568" s="4">
        <f>Modelling_old[[#This Row],[Target E_Grid YTD
MWh]]+Modelling_new[[#This Row],[Target E_Grid YTD
MWh]]</f>
        <v>18098.935866328473</v>
      </c>
      <c r="BP568" s="4">
        <f>AVERAGE(Modelling_old[[#This Row],[Target POA Daily (KWh/m2)]],Modelling_new[[#This Row],[Target POA Daily (KWh/m2)]])</f>
        <v>6.0354838709677416</v>
      </c>
      <c r="BQ568" s="4">
        <f>SUM($BP$567:BP568)</f>
        <v>12.070967741935483</v>
      </c>
      <c r="BR568" s="4">
        <f>SUM($BP$384:BP568)</f>
        <v>980.87096774193105</v>
      </c>
      <c r="BS568" s="323">
        <f>BM568/Modelling[[#This Row],[Comisined DC ]]/BP568</f>
        <v>0.74470262898426853</v>
      </c>
      <c r="BT568" s="337">
        <f>BN568/BQ568/Modelling[[#This Row],[Comisined DC ]]</f>
        <v>0.74470262898426853</v>
      </c>
      <c r="BU568" s="337">
        <f>BO568/BR568/Modelling[[#This Row],[Comisined DC ]]</f>
        <v>0.75924071054152753</v>
      </c>
      <c r="BV568" s="323">
        <f>BM568/(24*Modelling[[#This Row],[Comisined DC ]])</f>
        <v>0.18727669607924277</v>
      </c>
      <c r="BW568" s="323">
        <f>Modelling[[#This Row],[Target E_Grid MTD
MWh]]/Modelling[[#This Row],[MTD DC Capcity]]/(24*CG568)</f>
        <v>0.1872766960792428</v>
      </c>
      <c r="BX568" s="338">
        <f>Modelling[[#This Row],[Target E_Grid YTD
MWh]]/Modelling[[#This Row],[YTD DC Capcity]]/(24*CH568)</f>
        <v>0.16772909245449044</v>
      </c>
      <c r="BY568" s="4">
        <f>Modelling_old[[#This Row],[DC Capcity]]+Modelling_new[[#This Row],[Comisined DC ]]</f>
        <v>24.303100000000001</v>
      </c>
      <c r="BZ568" s="4">
        <v>0</v>
      </c>
      <c r="CA568">
        <f>AVERAGEIFS(Modelling[[Comisined DC ]],Modelling[Date],"&lt;="&amp;Modelling[[#This Row],[Date]],Modelling[Month Year],Modelling[[#This Row],[Month Year]])</f>
        <v>24.303100000000001</v>
      </c>
      <c r="CB568">
        <f>AVERAGEIFS(Modelling[[Comisined DC ]],Modelling[Date],"&lt;="&amp;Modelling[[#This Row],[Date]],Modelling[Finacial Year],Modelling[[#This Row],[Finacial Year]])</f>
        <v>24.303100000000061</v>
      </c>
      <c r="CG568">
        <f t="shared" ref="CG568:CG631" si="215">CG567+1</f>
        <v>2</v>
      </c>
      <c r="CH568">
        <f t="shared" si="211"/>
        <v>185</v>
      </c>
    </row>
    <row r="569" spans="1:86" x14ac:dyDescent="0.35">
      <c r="A569" s="27">
        <f t="shared" si="189"/>
        <v>45568</v>
      </c>
      <c r="B569" s="5">
        <f>MONTH(Modelling_old[[#This Row],[Date]])</f>
        <v>10</v>
      </c>
      <c r="C569" s="25">
        <f t="shared" si="190"/>
        <v>2025</v>
      </c>
      <c r="D569" s="3">
        <f t="shared" si="191"/>
        <v>2024</v>
      </c>
      <c r="E569" s="3" t="s">
        <v>627</v>
      </c>
      <c r="F569" s="3" t="s">
        <v>627</v>
      </c>
      <c r="G569" s="102">
        <f>DATE(Modelling_old[[#This Row],[Calendor Year]],Modelling_old[[#This Row],[Start Month]],1)</f>
        <v>45566</v>
      </c>
      <c r="H569" s="5">
        <f t="shared" si="192"/>
        <v>31</v>
      </c>
      <c r="I569" s="5">
        <f t="shared" si="193"/>
        <v>10</v>
      </c>
      <c r="J569" s="4">
        <f>_xlfn.XLOOKUP(Modelling_old[[#This Row],[Month]],$C$1:$C$14,$N$1:$N$14)/Modelling_old[[#This Row],[Total Days]]</f>
        <v>48.038709677419355</v>
      </c>
      <c r="K569" s="4">
        <f>SUM($J$567:J569)</f>
        <v>144.11612903225807</v>
      </c>
      <c r="L569" s="4">
        <f>SUM($J$384:J569)</f>
        <v>7873.1161290322452</v>
      </c>
      <c r="M569" s="4">
        <f t="shared" si="194"/>
        <v>6.0354838709677416</v>
      </c>
      <c r="N569" s="4">
        <f>SUM($M$567:M569)</f>
        <v>18.106451612903225</v>
      </c>
      <c r="O569" s="4">
        <f>SUM($M$384:M569)</f>
        <v>986.90645161289876</v>
      </c>
      <c r="P569" s="323">
        <f t="shared" si="195"/>
        <v>0.69193347973063524</v>
      </c>
      <c r="Q569" s="337">
        <f t="shared" si="196"/>
        <v>0.69193347973063535</v>
      </c>
      <c r="R569" s="337">
        <f t="shared" si="197"/>
        <v>0.69351486458623224</v>
      </c>
      <c r="S569" s="323">
        <f t="shared" si="198"/>
        <v>0.1740063898623681</v>
      </c>
      <c r="T569" s="9">
        <f>Modelling_old[[#This Row],[Target E_Grid MTD
MWh]]/Modelling_old[[#This Row],[DC Capcity]]/(24*CG569)</f>
        <v>0.1740063898623681</v>
      </c>
      <c r="U569" s="338">
        <f>Modelling_old[[#This Row],[Target E_Grid YTD
MWh]]/Modelling_old[[#This Row],[DC Capcity]]/(24*CH569)</f>
        <v>0.15332309456756235</v>
      </c>
      <c r="V569" s="134">
        <v>11.5031</v>
      </c>
      <c r="Y569" s="27">
        <f t="shared" si="212"/>
        <v>45568</v>
      </c>
      <c r="Z569" s="5">
        <f>MONTH(Modelling_new[[#This Row],[Date]])</f>
        <v>10</v>
      </c>
      <c r="AA569" s="25">
        <f>YEAR(Y569)+IF(MONTH(Modelling_new[[#This Row],[Date]])&gt;=4,1,0)</f>
        <v>2025</v>
      </c>
      <c r="AB569" s="3">
        <f t="shared" si="199"/>
        <v>2024</v>
      </c>
      <c r="AC569" s="3" t="s">
        <v>627</v>
      </c>
      <c r="AD569" s="3" t="s">
        <v>627</v>
      </c>
      <c r="AE569" s="102">
        <f>DATE(Modelling_old[[#This Row],[Calendor Year]],Modelling_old[[#This Row],[Start Month]],1)</f>
        <v>45566</v>
      </c>
      <c r="AF569" s="5">
        <f t="shared" si="200"/>
        <v>31</v>
      </c>
      <c r="AG569" s="5">
        <f t="shared" si="201"/>
        <v>10</v>
      </c>
      <c r="AH569" s="4">
        <f>_xlfn.XLOOKUP(Modelling_new[[#This Row],[Month]],$AA$1:$AA$14,$AL$1:$AL$14)/Modelling_new[[#This Row],[Total Days]]</f>
        <v>61.194992862183334</v>
      </c>
      <c r="AI569" s="4">
        <f>SUM($AH$567:AH569)</f>
        <v>183.58497858654999</v>
      </c>
      <c r="AJ569" s="4">
        <f>SUM($AH$384:AH569)</f>
        <v>10335.05343983583</v>
      </c>
      <c r="AK569" s="4">
        <f t="shared" si="202"/>
        <v>6.0354838709677416</v>
      </c>
      <c r="AL569" s="4">
        <f>SUM($AK$567:AK569)</f>
        <v>18.106451612903225</v>
      </c>
      <c r="AM569" s="4">
        <f>SUM($AK$384:AK569)</f>
        <v>986.90645161289876</v>
      </c>
      <c r="AN569" s="323">
        <f t="shared" si="203"/>
        <v>0.88143217495962878</v>
      </c>
      <c r="AO569" s="323">
        <f t="shared" si="204"/>
        <v>0.88143217495962867</v>
      </c>
      <c r="AP569" s="323">
        <f t="shared" si="205"/>
        <v>0.9103781869022477</v>
      </c>
      <c r="AQ569" s="323">
        <f t="shared" si="206"/>
        <v>0.22166123647170233</v>
      </c>
      <c r="AR569" s="323">
        <f>Modelling_new[[#This Row],[Target E_Grid MTD
MWh]]/Modelling_new[[#This Row],[MTD DC Capcity]]/(24*CG569)</f>
        <v>0.19920245072325299</v>
      </c>
      <c r="AS569" s="323">
        <f>Modelling_new[[#This Row],[Target E_Grid YTD
MWh]]/Modelling_new[[#This Row],[YTD DC Capcity]]/(24*CH569)</f>
        <v>0.18087501119784377</v>
      </c>
      <c r="AT569" s="5">
        <v>12.8</v>
      </c>
      <c r="AU569" s="9">
        <f>Modelling_new[[#This Row],[Comisined DC ]]/$AO$1</f>
        <v>1</v>
      </c>
      <c r="AV569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69" s="5">
        <f>AVERAGEIFS(Modelling_new[[Comisined DC ]],Modelling_new[Date],"&lt;="&amp;Modelling_new[[#This Row],[Date]],Modelling_new[[Comisined DC ]],"&gt;"&amp;0,Modelling_new[Finacial Year],Modelling_new[[#This Row],[Finacial Year]])</f>
        <v>12.799999999999995</v>
      </c>
      <c r="BD569" s="27">
        <f t="shared" si="213"/>
        <v>45568</v>
      </c>
      <c r="BE569" s="5">
        <f>MONTH(Modelling[[#This Row],[Date]])</f>
        <v>10</v>
      </c>
      <c r="BF569" s="25">
        <f>YEAR(BD569)+IF(MONTH(Modelling[[#This Row],[Date]])&gt;=4,1,0)</f>
        <v>2025</v>
      </c>
      <c r="BG569" s="3">
        <f t="shared" si="207"/>
        <v>2024</v>
      </c>
      <c r="BH569" s="3" t="s">
        <v>627</v>
      </c>
      <c r="BI569" s="3" t="s">
        <v>627</v>
      </c>
      <c r="BJ569" s="102">
        <f>DATE(Modelling_old[[#This Row],[Calendor Year]],Modelling_old[[#This Row],[Start Month]],1)</f>
        <v>45566</v>
      </c>
      <c r="BK569" s="5">
        <f t="shared" si="208"/>
        <v>31</v>
      </c>
      <c r="BL569" s="5">
        <f t="shared" si="209"/>
        <v>10</v>
      </c>
      <c r="BM569" s="4">
        <f>Modelling_old[[#This Row],[Target E_Grid daily
MWh]]+Modelling_new[[#This Row],[Target E_Grid daily
MWh]]</f>
        <v>109.23370253960269</v>
      </c>
      <c r="BN569" s="4">
        <f>Modelling_old[[#This Row],[Target E_Grid MTD
MWh]]+Modelling_new[[#This Row],[Target E_Grid MTD
MWh]]</f>
        <v>327.70110761880807</v>
      </c>
      <c r="BO569" s="4">
        <f>Modelling_old[[#This Row],[Target E_Grid YTD
MWh]]+Modelling_new[[#This Row],[Target E_Grid YTD
MWh]]</f>
        <v>18208.169568868077</v>
      </c>
      <c r="BP569" s="4">
        <f>AVERAGE(Modelling_old[[#This Row],[Target POA Daily (KWh/m2)]],Modelling_new[[#This Row],[Target POA Daily (KWh/m2)]])</f>
        <v>6.0354838709677416</v>
      </c>
      <c r="BQ569" s="4">
        <f>SUM($BP$567:BP569)</f>
        <v>18.106451612903225</v>
      </c>
      <c r="BR569" s="4">
        <f>SUM($BP$384:BP569)</f>
        <v>986.90645161289876</v>
      </c>
      <c r="BS569" s="323">
        <f>BM569/Modelling[[#This Row],[Comisined DC ]]/BP569</f>
        <v>0.74470262898426853</v>
      </c>
      <c r="BT569" s="337">
        <f>BN569/BQ569/Modelling[[#This Row],[Comisined DC ]]</f>
        <v>0.74470262898426853</v>
      </c>
      <c r="BU569" s="337">
        <f>BO569/BR569/Modelling[[#This Row],[Comisined DC ]]</f>
        <v>0.75915180205723276</v>
      </c>
      <c r="BV569" s="323">
        <f>BM569/(24*Modelling[[#This Row],[Comisined DC ]])</f>
        <v>0.18727669607924277</v>
      </c>
      <c r="BW569" s="323">
        <f>Modelling[[#This Row],[Target E_Grid MTD
MWh]]/Modelling[[#This Row],[MTD DC Capcity]]/(24*CG569)</f>
        <v>0.1872766960792428</v>
      </c>
      <c r="BX569" s="338">
        <f>Modelling[[#This Row],[Target E_Grid YTD
MWh]]/Modelling[[#This Row],[YTD DC Capcity]]/(24*CH569)</f>
        <v>0.16783418709763429</v>
      </c>
      <c r="BY569" s="4">
        <f>Modelling_old[[#This Row],[DC Capcity]]+Modelling_new[[#This Row],[Comisined DC ]]</f>
        <v>24.303100000000001</v>
      </c>
      <c r="BZ569" s="4">
        <v>0</v>
      </c>
      <c r="CA569">
        <f>AVERAGEIFS(Modelling[[Comisined DC ]],Modelling[Date],"&lt;="&amp;Modelling[[#This Row],[Date]],Modelling[Month Year],Modelling[[#This Row],[Month Year]])</f>
        <v>24.303100000000001</v>
      </c>
      <c r="CB569">
        <f>AVERAGEIFS(Modelling[[Comisined DC ]],Modelling[Date],"&lt;="&amp;Modelling[[#This Row],[Date]],Modelling[Finacial Year],Modelling[[#This Row],[Finacial Year]])</f>
        <v>24.303100000000061</v>
      </c>
      <c r="CG569">
        <f t="shared" si="215"/>
        <v>3</v>
      </c>
      <c r="CH569">
        <f t="shared" si="211"/>
        <v>186</v>
      </c>
    </row>
    <row r="570" spans="1:86" x14ac:dyDescent="0.35">
      <c r="A570" s="27">
        <f t="shared" si="189"/>
        <v>45569</v>
      </c>
      <c r="B570" s="5">
        <f>MONTH(Modelling_old[[#This Row],[Date]])</f>
        <v>10</v>
      </c>
      <c r="C570" s="25">
        <f t="shared" si="190"/>
        <v>2025</v>
      </c>
      <c r="D570" s="3">
        <f t="shared" si="191"/>
        <v>2024</v>
      </c>
      <c r="E570" s="3" t="s">
        <v>627</v>
      </c>
      <c r="F570" s="3" t="s">
        <v>627</v>
      </c>
      <c r="G570" s="102">
        <f>DATE(Modelling_old[[#This Row],[Calendor Year]],Modelling_old[[#This Row],[Start Month]],1)</f>
        <v>45566</v>
      </c>
      <c r="H570" s="5">
        <f t="shared" si="192"/>
        <v>31</v>
      </c>
      <c r="I570" s="5">
        <f t="shared" si="193"/>
        <v>10</v>
      </c>
      <c r="J570" s="4">
        <f>_xlfn.XLOOKUP(Modelling_old[[#This Row],[Month]],$C$1:$C$14,$N$1:$N$14)/Modelling_old[[#This Row],[Total Days]]</f>
        <v>48.038709677419355</v>
      </c>
      <c r="K570" s="4">
        <f>SUM($J$567:J570)</f>
        <v>192.15483870967742</v>
      </c>
      <c r="L570" s="4">
        <f>SUM($J$384:J570)</f>
        <v>7921.1548387096645</v>
      </c>
      <c r="M570" s="4">
        <f t="shared" si="194"/>
        <v>6.0354838709677416</v>
      </c>
      <c r="N570" s="4">
        <f>SUM($M$567:M570)</f>
        <v>24.141935483870967</v>
      </c>
      <c r="O570" s="4">
        <f>SUM($M$384:M570)</f>
        <v>992.94193548386647</v>
      </c>
      <c r="P570" s="323">
        <f t="shared" si="195"/>
        <v>0.69193347973063524</v>
      </c>
      <c r="Q570" s="337">
        <f t="shared" si="196"/>
        <v>0.69193347973063535</v>
      </c>
      <c r="R570" s="337">
        <f t="shared" si="197"/>
        <v>0.69350525231944327</v>
      </c>
      <c r="S570" s="323">
        <f t="shared" si="198"/>
        <v>0.1740063898623681</v>
      </c>
      <c r="T570" s="9">
        <f>Modelling_old[[#This Row],[Target E_Grid MTD
MWh]]/Modelling_old[[#This Row],[DC Capcity]]/(24*CG570)</f>
        <v>0.17400638986236808</v>
      </c>
      <c r="U570" s="338">
        <f>Modelling_old[[#This Row],[Target E_Grid YTD
MWh]]/Modelling_old[[#This Row],[DC Capcity]]/(24*CH570)</f>
        <v>0.15343370042475385</v>
      </c>
      <c r="V570" s="134">
        <v>11.5031</v>
      </c>
      <c r="Y570" s="27">
        <f t="shared" si="212"/>
        <v>45569</v>
      </c>
      <c r="Z570" s="5">
        <f>MONTH(Modelling_new[[#This Row],[Date]])</f>
        <v>10</v>
      </c>
      <c r="AA570" s="25">
        <f>YEAR(Y570)+IF(MONTH(Modelling_new[[#This Row],[Date]])&gt;=4,1,0)</f>
        <v>2025</v>
      </c>
      <c r="AB570" s="3">
        <f t="shared" si="199"/>
        <v>2024</v>
      </c>
      <c r="AC570" s="3" t="s">
        <v>627</v>
      </c>
      <c r="AD570" s="3" t="s">
        <v>627</v>
      </c>
      <c r="AE570" s="102">
        <f>DATE(Modelling_old[[#This Row],[Calendor Year]],Modelling_old[[#This Row],[Start Month]],1)</f>
        <v>45566</v>
      </c>
      <c r="AF570" s="5">
        <f t="shared" si="200"/>
        <v>31</v>
      </c>
      <c r="AG570" s="5">
        <f t="shared" si="201"/>
        <v>10</v>
      </c>
      <c r="AH570" s="4">
        <f>_xlfn.XLOOKUP(Modelling_new[[#This Row],[Month]],$AA$1:$AA$14,$AL$1:$AL$14)/Modelling_new[[#This Row],[Total Days]]</f>
        <v>61.194992862183334</v>
      </c>
      <c r="AI570" s="4">
        <f>SUM($AH$567:AH570)</f>
        <v>244.77997144873333</v>
      </c>
      <c r="AJ570" s="4">
        <f>SUM($AH$384:AH570)</f>
        <v>10396.248432698014</v>
      </c>
      <c r="AK570" s="4">
        <f t="shared" si="202"/>
        <v>6.0354838709677416</v>
      </c>
      <c r="AL570" s="4">
        <f>SUM($AK$567:AK570)</f>
        <v>24.141935483870967</v>
      </c>
      <c r="AM570" s="4">
        <f>SUM($AK$384:AK570)</f>
        <v>992.94193548386647</v>
      </c>
      <c r="AN570" s="323">
        <f t="shared" si="203"/>
        <v>0.88143217495962878</v>
      </c>
      <c r="AO570" s="323">
        <f t="shared" si="204"/>
        <v>0.88143217495962878</v>
      </c>
      <c r="AP570" s="323">
        <f t="shared" si="205"/>
        <v>0.91020224188274035</v>
      </c>
      <c r="AQ570" s="323">
        <f t="shared" si="206"/>
        <v>0.22166123647170233</v>
      </c>
      <c r="AR570" s="323">
        <f>Modelling_new[[#This Row],[Target E_Grid MTD
MWh]]/Modelling_new[[#This Row],[MTD DC Capcity]]/(24*CG570)</f>
        <v>0.19920245072325304</v>
      </c>
      <c r="AS570" s="323">
        <f>Modelling_new[[#This Row],[Target E_Grid YTD
MWh]]/Modelling_new[[#This Row],[YTD DC Capcity]]/(24*CH570)</f>
        <v>0.18097301889584058</v>
      </c>
      <c r="AT570" s="5">
        <v>12.8</v>
      </c>
      <c r="AU570" s="9">
        <f>Modelling_new[[#This Row],[Comisined DC ]]/$AO$1</f>
        <v>1</v>
      </c>
      <c r="AV570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70" s="5">
        <f>AVERAGEIFS(Modelling_new[[Comisined DC ]],Modelling_new[Date],"&lt;="&amp;Modelling_new[[#This Row],[Date]],Modelling_new[[Comisined DC ]],"&gt;"&amp;0,Modelling_new[Finacial Year],Modelling_new[[#This Row],[Finacial Year]])</f>
        <v>12.799999999999997</v>
      </c>
      <c r="BD570" s="27">
        <f t="shared" si="213"/>
        <v>45569</v>
      </c>
      <c r="BE570" s="5">
        <f>MONTH(Modelling[[#This Row],[Date]])</f>
        <v>10</v>
      </c>
      <c r="BF570" s="25">
        <f>YEAR(BD570)+IF(MONTH(Modelling[[#This Row],[Date]])&gt;=4,1,0)</f>
        <v>2025</v>
      </c>
      <c r="BG570" s="3">
        <f t="shared" si="207"/>
        <v>2024</v>
      </c>
      <c r="BH570" s="3" t="s">
        <v>627</v>
      </c>
      <c r="BI570" s="3" t="s">
        <v>627</v>
      </c>
      <c r="BJ570" s="102">
        <f>DATE(Modelling_old[[#This Row],[Calendor Year]],Modelling_old[[#This Row],[Start Month]],1)</f>
        <v>45566</v>
      </c>
      <c r="BK570" s="5">
        <f t="shared" si="208"/>
        <v>31</v>
      </c>
      <c r="BL570" s="5">
        <f t="shared" si="209"/>
        <v>10</v>
      </c>
      <c r="BM570" s="4">
        <f>Modelling_old[[#This Row],[Target E_Grid daily
MWh]]+Modelling_new[[#This Row],[Target E_Grid daily
MWh]]</f>
        <v>109.23370253960269</v>
      </c>
      <c r="BN570" s="4">
        <f>Modelling_old[[#This Row],[Target E_Grid MTD
MWh]]+Modelling_new[[#This Row],[Target E_Grid MTD
MWh]]</f>
        <v>436.93481015841076</v>
      </c>
      <c r="BO570" s="4">
        <f>Modelling_old[[#This Row],[Target E_Grid YTD
MWh]]+Modelling_new[[#This Row],[Target E_Grid YTD
MWh]]</f>
        <v>18317.403271407678</v>
      </c>
      <c r="BP570" s="4">
        <f>AVERAGE(Modelling_old[[#This Row],[Target POA Daily (KWh/m2)]],Modelling_new[[#This Row],[Target POA Daily (KWh/m2)]])</f>
        <v>6.0354838709677416</v>
      </c>
      <c r="BQ570" s="4">
        <f>SUM($BP$567:BP570)</f>
        <v>24.141935483870967</v>
      </c>
      <c r="BR570" s="4">
        <f>SUM($BP$384:BP570)</f>
        <v>992.94193548386647</v>
      </c>
      <c r="BS570" s="323">
        <f>BM570/Modelling[[#This Row],[Comisined DC ]]/BP570</f>
        <v>0.74470262898426853</v>
      </c>
      <c r="BT570" s="337">
        <f>BN570/BQ570/Modelling[[#This Row],[Comisined DC ]]</f>
        <v>0.74470262898426853</v>
      </c>
      <c r="BU570" s="337">
        <f>BO570/BR570/Modelling[[#This Row],[Comisined DC ]]</f>
        <v>0.75906397441302287</v>
      </c>
      <c r="BV570" s="323">
        <f>BM570/(24*Modelling[[#This Row],[Comisined DC ]])</f>
        <v>0.18727669607924277</v>
      </c>
      <c r="BW570" s="323">
        <f>Modelling[[#This Row],[Target E_Grid MTD
MWh]]/Modelling[[#This Row],[MTD DC Capcity]]/(24*CG570)</f>
        <v>0.1872766960792428</v>
      </c>
      <c r="BX570" s="338">
        <f>Modelling[[#This Row],[Target E_Grid YTD
MWh]]/Modelling[[#This Row],[YTD DC Capcity]]/(24*CH570)</f>
        <v>0.16793815773389956</v>
      </c>
      <c r="BY570" s="4">
        <f>Modelling_old[[#This Row],[DC Capcity]]+Modelling_new[[#This Row],[Comisined DC ]]</f>
        <v>24.303100000000001</v>
      </c>
      <c r="BZ570" s="4">
        <v>0</v>
      </c>
      <c r="CA570">
        <f>AVERAGEIFS(Modelling[[Comisined DC ]],Modelling[Date],"&lt;="&amp;Modelling[[#This Row],[Date]],Modelling[Month Year],Modelling[[#This Row],[Month Year]])</f>
        <v>24.303100000000001</v>
      </c>
      <c r="CB570">
        <f>AVERAGEIFS(Modelling[[Comisined DC ]],Modelling[Date],"&lt;="&amp;Modelling[[#This Row],[Date]],Modelling[Finacial Year],Modelling[[#This Row],[Finacial Year]])</f>
        <v>24.303100000000061</v>
      </c>
      <c r="CG570">
        <f t="shared" si="215"/>
        <v>4</v>
      </c>
      <c r="CH570">
        <f t="shared" si="211"/>
        <v>187</v>
      </c>
    </row>
    <row r="571" spans="1:86" x14ac:dyDescent="0.35">
      <c r="A571" s="27">
        <f t="shared" si="189"/>
        <v>45570</v>
      </c>
      <c r="B571" s="5">
        <f>MONTH(Modelling_old[[#This Row],[Date]])</f>
        <v>10</v>
      </c>
      <c r="C571" s="25">
        <f t="shared" si="190"/>
        <v>2025</v>
      </c>
      <c r="D571" s="3">
        <f t="shared" si="191"/>
        <v>2024</v>
      </c>
      <c r="E571" s="3" t="s">
        <v>627</v>
      </c>
      <c r="F571" s="3" t="s">
        <v>627</v>
      </c>
      <c r="G571" s="102">
        <f>DATE(Modelling_old[[#This Row],[Calendor Year]],Modelling_old[[#This Row],[Start Month]],1)</f>
        <v>45566</v>
      </c>
      <c r="H571" s="5">
        <f t="shared" si="192"/>
        <v>31</v>
      </c>
      <c r="I571" s="5">
        <f t="shared" si="193"/>
        <v>10</v>
      </c>
      <c r="J571" s="4">
        <f>_xlfn.XLOOKUP(Modelling_old[[#This Row],[Month]],$C$1:$C$14,$N$1:$N$14)/Modelling_old[[#This Row],[Total Days]]</f>
        <v>48.038709677419355</v>
      </c>
      <c r="K571" s="4">
        <f>SUM($J$567:J571)</f>
        <v>240.19354838709677</v>
      </c>
      <c r="L571" s="4">
        <f>SUM($J$384:J571)</f>
        <v>7969.1935483870839</v>
      </c>
      <c r="M571" s="4">
        <f t="shared" si="194"/>
        <v>6.0354838709677416</v>
      </c>
      <c r="N571" s="4">
        <f>SUM($M$567:M571)</f>
        <v>30.177419354838708</v>
      </c>
      <c r="O571" s="4">
        <f>SUM($M$384:M571)</f>
        <v>998.97741935483418</v>
      </c>
      <c r="P571" s="323">
        <f t="shared" si="195"/>
        <v>0.69193347973063524</v>
      </c>
      <c r="Q571" s="337">
        <f t="shared" si="196"/>
        <v>0.69193347973063535</v>
      </c>
      <c r="R571" s="337">
        <f t="shared" si="197"/>
        <v>0.69349575620078763</v>
      </c>
      <c r="S571" s="323">
        <f t="shared" si="198"/>
        <v>0.1740063898623681</v>
      </c>
      <c r="T571" s="9">
        <f>Modelling_old[[#This Row],[Target E_Grid MTD
MWh]]/Modelling_old[[#This Row],[DC Capcity]]/(24*CG571)</f>
        <v>0.1740063898623681</v>
      </c>
      <c r="U571" s="338">
        <f>Modelling_old[[#This Row],[Target E_Grid YTD
MWh]]/Modelling_old[[#This Row],[DC Capcity]]/(24*CH571)</f>
        <v>0.15354312962389008</v>
      </c>
      <c r="V571" s="134">
        <v>11.5031</v>
      </c>
      <c r="Y571" s="27">
        <f t="shared" si="212"/>
        <v>45570</v>
      </c>
      <c r="Z571" s="5">
        <f>MONTH(Modelling_new[[#This Row],[Date]])</f>
        <v>10</v>
      </c>
      <c r="AA571" s="25">
        <f>YEAR(Y571)+IF(MONTH(Modelling_new[[#This Row],[Date]])&gt;=4,1,0)</f>
        <v>2025</v>
      </c>
      <c r="AB571" s="3">
        <f t="shared" si="199"/>
        <v>2024</v>
      </c>
      <c r="AC571" s="3" t="s">
        <v>627</v>
      </c>
      <c r="AD571" s="3" t="s">
        <v>627</v>
      </c>
      <c r="AE571" s="102">
        <f>DATE(Modelling_old[[#This Row],[Calendor Year]],Modelling_old[[#This Row],[Start Month]],1)</f>
        <v>45566</v>
      </c>
      <c r="AF571" s="5">
        <f t="shared" si="200"/>
        <v>31</v>
      </c>
      <c r="AG571" s="5">
        <f t="shared" si="201"/>
        <v>10</v>
      </c>
      <c r="AH571" s="4">
        <f>_xlfn.XLOOKUP(Modelling_new[[#This Row],[Month]],$AA$1:$AA$14,$AL$1:$AL$14)/Modelling_new[[#This Row],[Total Days]]</f>
        <v>61.194992862183334</v>
      </c>
      <c r="AI571" s="4">
        <f>SUM($AH$567:AH571)</f>
        <v>305.97496431091668</v>
      </c>
      <c r="AJ571" s="4">
        <f>SUM($AH$384:AH571)</f>
        <v>10457.443425560197</v>
      </c>
      <c r="AK571" s="4">
        <f t="shared" si="202"/>
        <v>6.0354838709677416</v>
      </c>
      <c r="AL571" s="4">
        <f>SUM($AK$567:AK571)</f>
        <v>30.177419354838708</v>
      </c>
      <c r="AM571" s="4">
        <f>SUM($AK$384:AK571)</f>
        <v>998.97741935483418</v>
      </c>
      <c r="AN571" s="323">
        <f t="shared" si="203"/>
        <v>0.88143217495962878</v>
      </c>
      <c r="AO571" s="323">
        <f t="shared" si="204"/>
        <v>0.88143217495962878</v>
      </c>
      <c r="AP571" s="323">
        <f t="shared" si="205"/>
        <v>0.91002842286389485</v>
      </c>
      <c r="AQ571" s="323">
        <f t="shared" si="206"/>
        <v>0.22166123647170233</v>
      </c>
      <c r="AR571" s="323">
        <f>Modelling_new[[#This Row],[Target E_Grid MTD
MWh]]/Modelling_new[[#This Row],[MTD DC Capcity]]/(24*CG571)</f>
        <v>0.19920245072325304</v>
      </c>
      <c r="AS571" s="323">
        <f>Modelling_new[[#This Row],[Target E_Grid YTD
MWh]]/Modelling_new[[#This Row],[YTD DC Capcity]]/(24*CH571)</f>
        <v>0.18106998395875232</v>
      </c>
      <c r="AT571" s="5">
        <v>12.8</v>
      </c>
      <c r="AU571" s="9">
        <f>Modelling_new[[#This Row],[Comisined DC ]]/$AO$1</f>
        <v>1</v>
      </c>
      <c r="AV571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71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571" s="27">
        <f t="shared" si="213"/>
        <v>45570</v>
      </c>
      <c r="BE571" s="5">
        <f>MONTH(Modelling[[#This Row],[Date]])</f>
        <v>10</v>
      </c>
      <c r="BF571" s="25">
        <f>YEAR(BD571)+IF(MONTH(Modelling[[#This Row],[Date]])&gt;=4,1,0)</f>
        <v>2025</v>
      </c>
      <c r="BG571" s="3">
        <f t="shared" si="207"/>
        <v>2024</v>
      </c>
      <c r="BH571" s="3" t="s">
        <v>627</v>
      </c>
      <c r="BI571" s="3" t="s">
        <v>627</v>
      </c>
      <c r="BJ571" s="102">
        <f>DATE(Modelling_old[[#This Row],[Calendor Year]],Modelling_old[[#This Row],[Start Month]],1)</f>
        <v>45566</v>
      </c>
      <c r="BK571" s="5">
        <f t="shared" si="208"/>
        <v>31</v>
      </c>
      <c r="BL571" s="5">
        <f t="shared" si="209"/>
        <v>10</v>
      </c>
      <c r="BM571" s="4">
        <f>Modelling_old[[#This Row],[Target E_Grid daily
MWh]]+Modelling_new[[#This Row],[Target E_Grid daily
MWh]]</f>
        <v>109.23370253960269</v>
      </c>
      <c r="BN571" s="4">
        <f>Modelling_old[[#This Row],[Target E_Grid MTD
MWh]]+Modelling_new[[#This Row],[Target E_Grid MTD
MWh]]</f>
        <v>546.1685126980135</v>
      </c>
      <c r="BO571" s="4">
        <f>Modelling_old[[#This Row],[Target E_Grid YTD
MWh]]+Modelling_new[[#This Row],[Target E_Grid YTD
MWh]]</f>
        <v>18426.636973947279</v>
      </c>
      <c r="BP571" s="4">
        <f>AVERAGE(Modelling_old[[#This Row],[Target POA Daily (KWh/m2)]],Modelling_new[[#This Row],[Target POA Daily (KWh/m2)]])</f>
        <v>6.0354838709677416</v>
      </c>
      <c r="BQ571" s="4">
        <f>SUM($BP$567:BP571)</f>
        <v>30.177419354838708</v>
      </c>
      <c r="BR571" s="4">
        <f>SUM($BP$384:BP571)</f>
        <v>998.97741935483418</v>
      </c>
      <c r="BS571" s="323">
        <f>BM571/Modelling[[#This Row],[Comisined DC ]]/BP571</f>
        <v>0.74470262898426853</v>
      </c>
      <c r="BT571" s="337">
        <f>BN571/BQ571/Modelling[[#This Row],[Comisined DC ]]</f>
        <v>0.74470262898426864</v>
      </c>
      <c r="BU571" s="337">
        <f>BO571/BR571/Modelling[[#This Row],[Comisined DC ]]</f>
        <v>0.75897720801868673</v>
      </c>
      <c r="BV571" s="323">
        <f>BM571/(24*Modelling[[#This Row],[Comisined DC ]])</f>
        <v>0.18727669607924277</v>
      </c>
      <c r="BW571" s="323">
        <f>Modelling[[#This Row],[Target E_Grid MTD
MWh]]/Modelling[[#This Row],[MTD DC Capcity]]/(24*CG571)</f>
        <v>0.1872766960792428</v>
      </c>
      <c r="BX571" s="338">
        <f>Modelling[[#This Row],[Target E_Grid YTD
MWh]]/Modelling[[#This Row],[YTD DC Capcity]]/(24*CH571)</f>
        <v>0.16804102229956627</v>
      </c>
      <c r="BY571" s="4">
        <f>Modelling_old[[#This Row],[DC Capcity]]+Modelling_new[[#This Row],[Comisined DC ]]</f>
        <v>24.303100000000001</v>
      </c>
      <c r="BZ571" s="4">
        <v>0</v>
      </c>
      <c r="CA571">
        <f>AVERAGEIFS(Modelling[[Comisined DC ]],Modelling[Date],"&lt;="&amp;Modelling[[#This Row],[Date]],Modelling[Month Year],Modelling[[#This Row],[Month Year]])</f>
        <v>24.303100000000001</v>
      </c>
      <c r="CB571">
        <f>AVERAGEIFS(Modelling[[Comisined DC ]],Modelling[Date],"&lt;="&amp;Modelling[[#This Row],[Date]],Modelling[Finacial Year],Modelling[[#This Row],[Finacial Year]])</f>
        <v>24.303100000000061</v>
      </c>
      <c r="CG571">
        <f t="shared" si="215"/>
        <v>5</v>
      </c>
      <c r="CH571">
        <f t="shared" si="211"/>
        <v>188</v>
      </c>
    </row>
    <row r="572" spans="1:86" x14ac:dyDescent="0.35">
      <c r="A572" s="27">
        <f t="shared" si="189"/>
        <v>45571</v>
      </c>
      <c r="B572" s="5">
        <f>MONTH(Modelling_old[[#This Row],[Date]])</f>
        <v>10</v>
      </c>
      <c r="C572" s="25">
        <f t="shared" si="190"/>
        <v>2025</v>
      </c>
      <c r="D572" s="3">
        <f t="shared" si="191"/>
        <v>2024</v>
      </c>
      <c r="E572" s="3" t="s">
        <v>627</v>
      </c>
      <c r="F572" s="3" t="s">
        <v>627</v>
      </c>
      <c r="G572" s="102">
        <f>DATE(Modelling_old[[#This Row],[Calendor Year]],Modelling_old[[#This Row],[Start Month]],1)</f>
        <v>45566</v>
      </c>
      <c r="H572" s="5">
        <f t="shared" si="192"/>
        <v>31</v>
      </c>
      <c r="I572" s="5">
        <f t="shared" si="193"/>
        <v>10</v>
      </c>
      <c r="J572" s="4">
        <f>_xlfn.XLOOKUP(Modelling_old[[#This Row],[Month]],$C$1:$C$14,$N$1:$N$14)/Modelling_old[[#This Row],[Total Days]]</f>
        <v>48.038709677419355</v>
      </c>
      <c r="K572" s="4">
        <f>SUM($J$567:J572)</f>
        <v>288.23225806451615</v>
      </c>
      <c r="L572" s="4">
        <f>SUM($J$384:J572)</f>
        <v>8017.2322580645032</v>
      </c>
      <c r="M572" s="4">
        <f t="shared" si="194"/>
        <v>6.0354838709677416</v>
      </c>
      <c r="N572" s="4">
        <f>SUM($M$567:M572)</f>
        <v>36.21290322580645</v>
      </c>
      <c r="O572" s="4">
        <f>SUM($M$384:M572)</f>
        <v>1005.0129032258019</v>
      </c>
      <c r="P572" s="323">
        <f t="shared" si="195"/>
        <v>0.69193347973063524</v>
      </c>
      <c r="Q572" s="337">
        <f t="shared" si="196"/>
        <v>0.69193347973063535</v>
      </c>
      <c r="R572" s="337">
        <f t="shared" si="197"/>
        <v>0.69348637413772429</v>
      </c>
      <c r="S572" s="323">
        <f t="shared" si="198"/>
        <v>0.1740063898623681</v>
      </c>
      <c r="T572" s="9">
        <f>Modelling_old[[#This Row],[Target E_Grid MTD
MWh]]/Modelling_old[[#This Row],[DC Capcity]]/(24*CG572)</f>
        <v>0.1740063898623681</v>
      </c>
      <c r="U572" s="338">
        <f>Modelling_old[[#This Row],[Target E_Grid YTD
MWh]]/Modelling_old[[#This Row],[DC Capcity]]/(24*CH572)</f>
        <v>0.15365140084208309</v>
      </c>
      <c r="V572" s="134">
        <v>11.5031</v>
      </c>
      <c r="Y572" s="27">
        <f t="shared" si="212"/>
        <v>45571</v>
      </c>
      <c r="Z572" s="5">
        <f>MONTH(Modelling_new[[#This Row],[Date]])</f>
        <v>10</v>
      </c>
      <c r="AA572" s="25">
        <f>YEAR(Y572)+IF(MONTH(Modelling_new[[#This Row],[Date]])&gt;=4,1,0)</f>
        <v>2025</v>
      </c>
      <c r="AB572" s="3">
        <f t="shared" si="199"/>
        <v>2024</v>
      </c>
      <c r="AC572" s="3" t="s">
        <v>627</v>
      </c>
      <c r="AD572" s="3" t="s">
        <v>627</v>
      </c>
      <c r="AE572" s="102">
        <f>DATE(Modelling_old[[#This Row],[Calendor Year]],Modelling_old[[#This Row],[Start Month]],1)</f>
        <v>45566</v>
      </c>
      <c r="AF572" s="5">
        <f t="shared" si="200"/>
        <v>31</v>
      </c>
      <c r="AG572" s="5">
        <f t="shared" si="201"/>
        <v>10</v>
      </c>
      <c r="AH572" s="4">
        <f>_xlfn.XLOOKUP(Modelling_new[[#This Row],[Month]],$AA$1:$AA$14,$AL$1:$AL$14)/Modelling_new[[#This Row],[Total Days]]</f>
        <v>61.194992862183334</v>
      </c>
      <c r="AI572" s="4">
        <f>SUM($AH$567:AH572)</f>
        <v>367.16995717309999</v>
      </c>
      <c r="AJ572" s="4">
        <f>SUM($AH$384:AH572)</f>
        <v>10518.638418422381</v>
      </c>
      <c r="AK572" s="4">
        <f t="shared" si="202"/>
        <v>6.0354838709677416</v>
      </c>
      <c r="AL572" s="4">
        <f>SUM($AK$567:AK572)</f>
        <v>36.21290322580645</v>
      </c>
      <c r="AM572" s="4">
        <f>SUM($AK$384:AK572)</f>
        <v>1005.0129032258019</v>
      </c>
      <c r="AN572" s="323">
        <f t="shared" si="203"/>
        <v>0.88143217495962878</v>
      </c>
      <c r="AO572" s="323">
        <f t="shared" si="204"/>
        <v>0.88143217495962867</v>
      </c>
      <c r="AP572" s="323">
        <f t="shared" si="205"/>
        <v>0.909856691543389</v>
      </c>
      <c r="AQ572" s="323">
        <f t="shared" si="206"/>
        <v>0.22166123647170233</v>
      </c>
      <c r="AR572" s="323">
        <f>Modelling_new[[#This Row],[Target E_Grid MTD
MWh]]/Modelling_new[[#This Row],[MTD DC Capcity]]/(24*CG572)</f>
        <v>0.19920245072325304</v>
      </c>
      <c r="AS572" s="323">
        <f>Modelling_new[[#This Row],[Target E_Grid YTD
MWh]]/Modelling_new[[#This Row],[YTD DC Capcity]]/(24*CH572)</f>
        <v>0.18116592293634229</v>
      </c>
      <c r="AT572" s="5">
        <v>12.8</v>
      </c>
      <c r="AU572" s="9">
        <f>Modelling_new[[#This Row],[Comisined DC ]]/$AO$1</f>
        <v>1</v>
      </c>
      <c r="AV572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72" s="5">
        <f>AVERAGEIFS(Modelling_new[[Comisined DC ]],Modelling_new[Date],"&lt;="&amp;Modelling_new[[#This Row],[Date]],Modelling_new[[Comisined DC ]],"&gt;"&amp;0,Modelling_new[Finacial Year],Modelling_new[[#This Row],[Finacial Year]])</f>
        <v>12.799999999999999</v>
      </c>
      <c r="BD572" s="27">
        <f t="shared" si="213"/>
        <v>45571</v>
      </c>
      <c r="BE572" s="5">
        <f>MONTH(Modelling[[#This Row],[Date]])</f>
        <v>10</v>
      </c>
      <c r="BF572" s="25">
        <f>YEAR(BD572)+IF(MONTH(Modelling[[#This Row],[Date]])&gt;=4,1,0)</f>
        <v>2025</v>
      </c>
      <c r="BG572" s="3">
        <f t="shared" si="207"/>
        <v>2024</v>
      </c>
      <c r="BH572" s="3" t="s">
        <v>627</v>
      </c>
      <c r="BI572" s="3" t="s">
        <v>627</v>
      </c>
      <c r="BJ572" s="102">
        <f>DATE(Modelling_old[[#This Row],[Calendor Year]],Modelling_old[[#This Row],[Start Month]],1)</f>
        <v>45566</v>
      </c>
      <c r="BK572" s="5">
        <f t="shared" si="208"/>
        <v>31</v>
      </c>
      <c r="BL572" s="5">
        <f t="shared" si="209"/>
        <v>10</v>
      </c>
      <c r="BM572" s="4">
        <f>Modelling_old[[#This Row],[Target E_Grid daily
MWh]]+Modelling_new[[#This Row],[Target E_Grid daily
MWh]]</f>
        <v>109.23370253960269</v>
      </c>
      <c r="BN572" s="4">
        <f>Modelling_old[[#This Row],[Target E_Grid MTD
MWh]]+Modelling_new[[#This Row],[Target E_Grid MTD
MWh]]</f>
        <v>655.40221523761613</v>
      </c>
      <c r="BO572" s="4">
        <f>Modelling_old[[#This Row],[Target E_Grid YTD
MWh]]+Modelling_new[[#This Row],[Target E_Grid YTD
MWh]]</f>
        <v>18535.870676486884</v>
      </c>
      <c r="BP572" s="4">
        <f>AVERAGE(Modelling_old[[#This Row],[Target POA Daily (KWh/m2)]],Modelling_new[[#This Row],[Target POA Daily (KWh/m2)]])</f>
        <v>6.0354838709677416</v>
      </c>
      <c r="BQ572" s="4">
        <f>SUM($BP$567:BP572)</f>
        <v>36.21290322580645</v>
      </c>
      <c r="BR572" s="4">
        <f>SUM($BP$384:BP572)</f>
        <v>1005.0129032258019</v>
      </c>
      <c r="BS572" s="323">
        <f>BM572/Modelling[[#This Row],[Comisined DC ]]/BP572</f>
        <v>0.74470262898426853</v>
      </c>
      <c r="BT572" s="337">
        <f>BN572/BQ572/Modelling[[#This Row],[Comisined DC ]]</f>
        <v>0.74470262898426853</v>
      </c>
      <c r="BU572" s="337">
        <f>BO572/BR572/Modelling[[#This Row],[Comisined DC ]]</f>
        <v>0.7588914837545998</v>
      </c>
      <c r="BV572" s="323">
        <f>BM572/(24*Modelling[[#This Row],[Comisined DC ]])</f>
        <v>0.18727669607924277</v>
      </c>
      <c r="BW572" s="323">
        <f>Modelling[[#This Row],[Target E_Grid MTD
MWh]]/Modelling[[#This Row],[MTD DC Capcity]]/(24*CG572)</f>
        <v>0.1872766960792428</v>
      </c>
      <c r="BX572" s="338">
        <f>Modelling[[#This Row],[Target E_Grid YTD
MWh]]/Modelling[[#This Row],[YTD DC Capcity]]/(24*CH572)</f>
        <v>0.1681427983513106</v>
      </c>
      <c r="BY572" s="4">
        <f>Modelling_old[[#This Row],[DC Capcity]]+Modelling_new[[#This Row],[Comisined DC ]]</f>
        <v>24.303100000000001</v>
      </c>
      <c r="BZ572" s="4">
        <v>0</v>
      </c>
      <c r="CA572">
        <f>AVERAGEIFS(Modelling[[Comisined DC ]],Modelling[Date],"&lt;="&amp;Modelling[[#This Row],[Date]],Modelling[Month Year],Modelling[[#This Row],[Month Year]])</f>
        <v>24.303100000000001</v>
      </c>
      <c r="CB572">
        <f>AVERAGEIFS(Modelling[[Comisined DC ]],Modelling[Date],"&lt;="&amp;Modelling[[#This Row],[Date]],Modelling[Finacial Year],Modelling[[#This Row],[Finacial Year]])</f>
        <v>24.303100000000061</v>
      </c>
      <c r="CG572">
        <f t="shared" si="215"/>
        <v>6</v>
      </c>
      <c r="CH572">
        <f t="shared" si="211"/>
        <v>189</v>
      </c>
    </row>
    <row r="573" spans="1:86" x14ac:dyDescent="0.35">
      <c r="A573" s="27">
        <f t="shared" si="189"/>
        <v>45572</v>
      </c>
      <c r="B573" s="5">
        <f>MONTH(Modelling_old[[#This Row],[Date]])</f>
        <v>10</v>
      </c>
      <c r="C573" s="25">
        <f t="shared" si="190"/>
        <v>2025</v>
      </c>
      <c r="D573" s="3">
        <f t="shared" si="191"/>
        <v>2024</v>
      </c>
      <c r="E573" s="3" t="s">
        <v>627</v>
      </c>
      <c r="F573" s="3" t="s">
        <v>627</v>
      </c>
      <c r="G573" s="102">
        <f>DATE(Modelling_old[[#This Row],[Calendor Year]],Modelling_old[[#This Row],[Start Month]],1)</f>
        <v>45566</v>
      </c>
      <c r="H573" s="5">
        <f t="shared" si="192"/>
        <v>31</v>
      </c>
      <c r="I573" s="5">
        <f t="shared" si="193"/>
        <v>10</v>
      </c>
      <c r="J573" s="4">
        <f>_xlfn.XLOOKUP(Modelling_old[[#This Row],[Month]],$C$1:$C$14,$N$1:$N$14)/Modelling_old[[#This Row],[Total Days]]</f>
        <v>48.038709677419355</v>
      </c>
      <c r="K573" s="4">
        <f>SUM($J$567:J573)</f>
        <v>336.27096774193552</v>
      </c>
      <c r="L573" s="4">
        <f>SUM($J$384:J573)</f>
        <v>8065.2709677419225</v>
      </c>
      <c r="M573" s="4">
        <f t="shared" si="194"/>
        <v>6.0354838709677416</v>
      </c>
      <c r="N573" s="4">
        <f>SUM($M$567:M573)</f>
        <v>42.248387096774195</v>
      </c>
      <c r="O573" s="4">
        <f>SUM($M$384:M573)</f>
        <v>1011.0483870967696</v>
      </c>
      <c r="P573" s="323">
        <f t="shared" si="195"/>
        <v>0.69193347973063524</v>
      </c>
      <c r="Q573" s="337">
        <f t="shared" si="196"/>
        <v>0.69193347973063535</v>
      </c>
      <c r="R573" s="337">
        <f t="shared" si="197"/>
        <v>0.69347710408767826</v>
      </c>
      <c r="S573" s="323">
        <f t="shared" si="198"/>
        <v>0.1740063898623681</v>
      </c>
      <c r="T573" s="9">
        <f>Modelling_old[[#This Row],[Target E_Grid MTD
MWh]]/Modelling_old[[#This Row],[DC Capcity]]/(24*CG573)</f>
        <v>0.1740063898623681</v>
      </c>
      <c r="U573" s="338">
        <f>Modelling_old[[#This Row],[Target E_Grid YTD
MWh]]/Modelling_old[[#This Row],[DC Capcity]]/(24*CH573)</f>
        <v>0.15375853236324247</v>
      </c>
      <c r="V573" s="134">
        <v>11.5031</v>
      </c>
      <c r="Y573" s="27">
        <f t="shared" si="212"/>
        <v>45572</v>
      </c>
      <c r="Z573" s="5">
        <f>MONTH(Modelling_new[[#This Row],[Date]])</f>
        <v>10</v>
      </c>
      <c r="AA573" s="25">
        <f>YEAR(Y573)+IF(MONTH(Modelling_new[[#This Row],[Date]])&gt;=4,1,0)</f>
        <v>2025</v>
      </c>
      <c r="AB573" s="3">
        <f t="shared" si="199"/>
        <v>2024</v>
      </c>
      <c r="AC573" s="3" t="s">
        <v>627</v>
      </c>
      <c r="AD573" s="3" t="s">
        <v>627</v>
      </c>
      <c r="AE573" s="102">
        <f>DATE(Modelling_old[[#This Row],[Calendor Year]],Modelling_old[[#This Row],[Start Month]],1)</f>
        <v>45566</v>
      </c>
      <c r="AF573" s="5">
        <f t="shared" si="200"/>
        <v>31</v>
      </c>
      <c r="AG573" s="5">
        <f t="shared" si="201"/>
        <v>10</v>
      </c>
      <c r="AH573" s="4">
        <f>_xlfn.XLOOKUP(Modelling_new[[#This Row],[Month]],$AA$1:$AA$14,$AL$1:$AL$14)/Modelling_new[[#This Row],[Total Days]]</f>
        <v>61.194992862183334</v>
      </c>
      <c r="AI573" s="4">
        <f>SUM($AH$567:AH573)</f>
        <v>428.3649500352833</v>
      </c>
      <c r="AJ573" s="4">
        <f>SUM($AH$384:AH573)</f>
        <v>10579.833411284564</v>
      </c>
      <c r="AK573" s="4">
        <f t="shared" si="202"/>
        <v>6.0354838709677416</v>
      </c>
      <c r="AL573" s="4">
        <f>SUM($AK$567:AK573)</f>
        <v>42.248387096774195</v>
      </c>
      <c r="AM573" s="4">
        <f>SUM($AK$384:AK573)</f>
        <v>1011.0483870967696</v>
      </c>
      <c r="AN573" s="323">
        <f t="shared" si="203"/>
        <v>0.88143217495962878</v>
      </c>
      <c r="AO573" s="323">
        <f t="shared" si="204"/>
        <v>0.88143217495962867</v>
      </c>
      <c r="AP573" s="323">
        <f t="shared" si="205"/>
        <v>0.90968701053348799</v>
      </c>
      <c r="AQ573" s="323">
        <f t="shared" si="206"/>
        <v>0.22166123647170233</v>
      </c>
      <c r="AR573" s="323">
        <f>Modelling_new[[#This Row],[Target E_Grid MTD
MWh]]/Modelling_new[[#This Row],[MTD DC Capcity]]/(24*CG573)</f>
        <v>0.19920245072325304</v>
      </c>
      <c r="AS573" s="323">
        <f>Modelling_new[[#This Row],[Target E_Grid YTD
MWh]]/Modelling_new[[#This Row],[YTD DC Capcity]]/(24*CH573)</f>
        <v>0.18126085202995756</v>
      </c>
      <c r="AT573" s="5">
        <v>12.8</v>
      </c>
      <c r="AU573" s="9">
        <f>Modelling_new[[#This Row],[Comisined DC ]]/$AO$1</f>
        <v>1</v>
      </c>
      <c r="AV57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73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573" s="27">
        <f t="shared" si="213"/>
        <v>45572</v>
      </c>
      <c r="BE573" s="5">
        <f>MONTH(Modelling[[#This Row],[Date]])</f>
        <v>10</v>
      </c>
      <c r="BF573" s="25">
        <f>YEAR(BD573)+IF(MONTH(Modelling[[#This Row],[Date]])&gt;=4,1,0)</f>
        <v>2025</v>
      </c>
      <c r="BG573" s="3">
        <f t="shared" si="207"/>
        <v>2024</v>
      </c>
      <c r="BH573" s="3" t="s">
        <v>627</v>
      </c>
      <c r="BI573" s="3" t="s">
        <v>627</v>
      </c>
      <c r="BJ573" s="102">
        <f>DATE(Modelling_old[[#This Row],[Calendor Year]],Modelling_old[[#This Row],[Start Month]],1)</f>
        <v>45566</v>
      </c>
      <c r="BK573" s="5">
        <f t="shared" si="208"/>
        <v>31</v>
      </c>
      <c r="BL573" s="5">
        <f t="shared" si="209"/>
        <v>10</v>
      </c>
      <c r="BM573" s="4">
        <f>Modelling_old[[#This Row],[Target E_Grid daily
MWh]]+Modelling_new[[#This Row],[Target E_Grid daily
MWh]]</f>
        <v>109.23370253960269</v>
      </c>
      <c r="BN573" s="4">
        <f>Modelling_old[[#This Row],[Target E_Grid MTD
MWh]]+Modelling_new[[#This Row],[Target E_Grid MTD
MWh]]</f>
        <v>764.63591777721876</v>
      </c>
      <c r="BO573" s="4">
        <f>Modelling_old[[#This Row],[Target E_Grid YTD
MWh]]+Modelling_new[[#This Row],[Target E_Grid YTD
MWh]]</f>
        <v>18645.104379026488</v>
      </c>
      <c r="BP573" s="4">
        <f>AVERAGE(Modelling_old[[#This Row],[Target POA Daily (KWh/m2)]],Modelling_new[[#This Row],[Target POA Daily (KWh/m2)]])</f>
        <v>6.0354838709677416</v>
      </c>
      <c r="BQ573" s="4">
        <f>SUM($BP$567:BP573)</f>
        <v>42.248387096774195</v>
      </c>
      <c r="BR573" s="4">
        <f>SUM($BP$384:BP573)</f>
        <v>1011.0483870967696</v>
      </c>
      <c r="BS573" s="323">
        <f>BM573/Modelling[[#This Row],[Comisined DC ]]/BP573</f>
        <v>0.74470262898426853</v>
      </c>
      <c r="BT573" s="337">
        <f>BN573/BQ573/Modelling[[#This Row],[Comisined DC ]]</f>
        <v>0.74470262898426831</v>
      </c>
      <c r="BU573" s="337">
        <f>BO573/BR573/Modelling[[#This Row],[Comisined DC ]]</f>
        <v>0.75880678295767778</v>
      </c>
      <c r="BV573" s="323">
        <f>BM573/(24*Modelling[[#This Row],[Comisined DC ]])</f>
        <v>0.18727669607924277</v>
      </c>
      <c r="BW573" s="323">
        <f>Modelling[[#This Row],[Target E_Grid MTD
MWh]]/Modelling[[#This Row],[MTD DC Capcity]]/(24*CG573)</f>
        <v>0.18727669607924277</v>
      </c>
      <c r="BX573" s="338">
        <f>Modelling[[#This Row],[Target E_Grid YTD
MWh]]/Modelling[[#This Row],[YTD DC Capcity]]/(24*CH573)</f>
        <v>0.16824350307619446</v>
      </c>
      <c r="BY573" s="4">
        <f>Modelling_old[[#This Row],[DC Capcity]]+Modelling_new[[#This Row],[Comisined DC ]]</f>
        <v>24.303100000000001</v>
      </c>
      <c r="BZ573" s="4">
        <v>0</v>
      </c>
      <c r="CA573">
        <f>AVERAGEIFS(Modelling[[Comisined DC ]],Modelling[Date],"&lt;="&amp;Modelling[[#This Row],[Date]],Modelling[Month Year],Modelling[[#This Row],[Month Year]])</f>
        <v>24.303100000000001</v>
      </c>
      <c r="CB573">
        <f>AVERAGEIFS(Modelling[[Comisined DC ]],Modelling[Date],"&lt;="&amp;Modelling[[#This Row],[Date]],Modelling[Finacial Year],Modelling[[#This Row],[Finacial Year]])</f>
        <v>24.303100000000061</v>
      </c>
      <c r="CG573">
        <f t="shared" si="215"/>
        <v>7</v>
      </c>
      <c r="CH573">
        <f t="shared" si="211"/>
        <v>190</v>
      </c>
    </row>
    <row r="574" spans="1:86" x14ac:dyDescent="0.35">
      <c r="A574" s="27">
        <f t="shared" si="189"/>
        <v>45573</v>
      </c>
      <c r="B574" s="5">
        <f>MONTH(Modelling_old[[#This Row],[Date]])</f>
        <v>10</v>
      </c>
      <c r="C574" s="25">
        <f t="shared" si="190"/>
        <v>2025</v>
      </c>
      <c r="D574" s="3">
        <f t="shared" si="191"/>
        <v>2024</v>
      </c>
      <c r="E574" s="3" t="s">
        <v>627</v>
      </c>
      <c r="F574" s="3" t="s">
        <v>627</v>
      </c>
      <c r="G574" s="102">
        <f>DATE(Modelling_old[[#This Row],[Calendor Year]],Modelling_old[[#This Row],[Start Month]],1)</f>
        <v>45566</v>
      </c>
      <c r="H574" s="5">
        <f t="shared" si="192"/>
        <v>31</v>
      </c>
      <c r="I574" s="5">
        <f t="shared" si="193"/>
        <v>10</v>
      </c>
      <c r="J574" s="4">
        <f>_xlfn.XLOOKUP(Modelling_old[[#This Row],[Month]],$C$1:$C$14,$N$1:$N$14)/Modelling_old[[#This Row],[Total Days]]</f>
        <v>48.038709677419355</v>
      </c>
      <c r="K574" s="4">
        <f>SUM($J$567:J574)</f>
        <v>384.3096774193549</v>
      </c>
      <c r="L574" s="4">
        <f>SUM($J$384:J574)</f>
        <v>8113.3096774193418</v>
      </c>
      <c r="M574" s="4">
        <f t="shared" si="194"/>
        <v>6.0354838709677416</v>
      </c>
      <c r="N574" s="4">
        <f>SUM($M$567:M574)</f>
        <v>48.283870967741933</v>
      </c>
      <c r="O574" s="4">
        <f>SUM($M$384:M574)</f>
        <v>1017.0838709677373</v>
      </c>
      <c r="P574" s="323">
        <f t="shared" si="195"/>
        <v>0.69193347973063524</v>
      </c>
      <c r="Q574" s="337">
        <f t="shared" si="196"/>
        <v>0.69193347973063546</v>
      </c>
      <c r="R574" s="337">
        <f t="shared" si="197"/>
        <v>0.69346794405655821</v>
      </c>
      <c r="S574" s="323">
        <f t="shared" si="198"/>
        <v>0.1740063898623681</v>
      </c>
      <c r="T574" s="9">
        <f>Modelling_old[[#This Row],[Target E_Grid MTD
MWh]]/Modelling_old[[#This Row],[DC Capcity]]/(24*CG574)</f>
        <v>0.17400638986236813</v>
      </c>
      <c r="U574" s="338">
        <f>Modelling_old[[#This Row],[Target E_Grid YTD
MWh]]/Modelling_old[[#This Row],[DC Capcity]]/(24*CH574)</f>
        <v>0.15386454208836881</v>
      </c>
      <c r="V574" s="134">
        <v>11.5031</v>
      </c>
      <c r="Y574" s="27">
        <f t="shared" si="212"/>
        <v>45573</v>
      </c>
      <c r="Z574" s="5">
        <f>MONTH(Modelling_new[[#This Row],[Date]])</f>
        <v>10</v>
      </c>
      <c r="AA574" s="25">
        <f>YEAR(Y574)+IF(MONTH(Modelling_new[[#This Row],[Date]])&gt;=4,1,0)</f>
        <v>2025</v>
      </c>
      <c r="AB574" s="3">
        <f t="shared" si="199"/>
        <v>2024</v>
      </c>
      <c r="AC574" s="3" t="s">
        <v>627</v>
      </c>
      <c r="AD574" s="3" t="s">
        <v>627</v>
      </c>
      <c r="AE574" s="102">
        <f>DATE(Modelling_old[[#This Row],[Calendor Year]],Modelling_old[[#This Row],[Start Month]],1)</f>
        <v>45566</v>
      </c>
      <c r="AF574" s="5">
        <f t="shared" si="200"/>
        <v>31</v>
      </c>
      <c r="AG574" s="5">
        <f t="shared" si="201"/>
        <v>10</v>
      </c>
      <c r="AH574" s="4">
        <f>_xlfn.XLOOKUP(Modelling_new[[#This Row],[Month]],$AA$1:$AA$14,$AL$1:$AL$14)/Modelling_new[[#This Row],[Total Days]]</f>
        <v>61.194992862183334</v>
      </c>
      <c r="AI574" s="4">
        <f>SUM($AH$567:AH574)</f>
        <v>489.55994289746661</v>
      </c>
      <c r="AJ574" s="4">
        <f>SUM($AH$384:AH574)</f>
        <v>10641.028404146748</v>
      </c>
      <c r="AK574" s="4">
        <f t="shared" si="202"/>
        <v>6.0354838709677416</v>
      </c>
      <c r="AL574" s="4">
        <f>SUM($AK$567:AK574)</f>
        <v>48.283870967741933</v>
      </c>
      <c r="AM574" s="4">
        <f>SUM($AK$384:AK574)</f>
        <v>1017.0838709677373</v>
      </c>
      <c r="AN574" s="323">
        <f t="shared" si="203"/>
        <v>0.88143217495962878</v>
      </c>
      <c r="AO574" s="323">
        <f t="shared" si="204"/>
        <v>0.88143217495962867</v>
      </c>
      <c r="AP574" s="323">
        <f t="shared" si="205"/>
        <v>0.90951934333390838</v>
      </c>
      <c r="AQ574" s="323">
        <f t="shared" si="206"/>
        <v>0.22166123647170233</v>
      </c>
      <c r="AR574" s="323">
        <f>Modelling_new[[#This Row],[Target E_Grid MTD
MWh]]/Modelling_new[[#This Row],[MTD DC Capcity]]/(24*CG574)</f>
        <v>0.19920245072325304</v>
      </c>
      <c r="AS574" s="323">
        <f>Modelling_new[[#This Row],[Target E_Grid YTD
MWh]]/Modelling_new[[#This Row],[YTD DC Capcity]]/(24*CH574)</f>
        <v>0.18135478710165023</v>
      </c>
      <c r="AT574" s="5">
        <v>12.8</v>
      </c>
      <c r="AU574" s="9">
        <f>Modelling_new[[#This Row],[Comisined DC ]]/$AO$1</f>
        <v>1</v>
      </c>
      <c r="AV57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74" s="5">
        <f>AVERAGEIFS(Modelling_new[[Comisined DC ]],Modelling_new[Date],"&lt;="&amp;Modelling_new[[#This Row],[Date]],Modelling_new[[Comisined DC ]],"&gt;"&amp;0,Modelling_new[Finacial Year],Modelling_new[[#This Row],[Finacial Year]])</f>
        <v>12.8</v>
      </c>
      <c r="BD574" s="27">
        <f t="shared" si="213"/>
        <v>45573</v>
      </c>
      <c r="BE574" s="5">
        <f>MONTH(Modelling[[#This Row],[Date]])</f>
        <v>10</v>
      </c>
      <c r="BF574" s="25">
        <f>YEAR(BD574)+IF(MONTH(Modelling[[#This Row],[Date]])&gt;=4,1,0)</f>
        <v>2025</v>
      </c>
      <c r="BG574" s="3">
        <f t="shared" si="207"/>
        <v>2024</v>
      </c>
      <c r="BH574" s="3" t="s">
        <v>627</v>
      </c>
      <c r="BI574" s="3" t="s">
        <v>627</v>
      </c>
      <c r="BJ574" s="102">
        <f>DATE(Modelling_old[[#This Row],[Calendor Year]],Modelling_old[[#This Row],[Start Month]],1)</f>
        <v>45566</v>
      </c>
      <c r="BK574" s="5">
        <f t="shared" si="208"/>
        <v>31</v>
      </c>
      <c r="BL574" s="5">
        <f t="shared" si="209"/>
        <v>10</v>
      </c>
      <c r="BM574" s="4">
        <f>Modelling_old[[#This Row],[Target E_Grid daily
MWh]]+Modelling_new[[#This Row],[Target E_Grid daily
MWh]]</f>
        <v>109.23370253960269</v>
      </c>
      <c r="BN574" s="4">
        <f>Modelling_old[[#This Row],[Target E_Grid MTD
MWh]]+Modelling_new[[#This Row],[Target E_Grid MTD
MWh]]</f>
        <v>873.86962031682151</v>
      </c>
      <c r="BO574" s="4">
        <f>Modelling_old[[#This Row],[Target E_Grid YTD
MWh]]+Modelling_new[[#This Row],[Target E_Grid YTD
MWh]]</f>
        <v>18754.338081566089</v>
      </c>
      <c r="BP574" s="4">
        <f>AVERAGE(Modelling_old[[#This Row],[Target POA Daily (KWh/m2)]],Modelling_new[[#This Row],[Target POA Daily (KWh/m2)]])</f>
        <v>6.0354838709677416</v>
      </c>
      <c r="BQ574" s="4">
        <f>SUM($BP$567:BP574)</f>
        <v>48.283870967741933</v>
      </c>
      <c r="BR574" s="4">
        <f>SUM($BP$384:BP574)</f>
        <v>1017.0838709677373</v>
      </c>
      <c r="BS574" s="323">
        <f>BM574/Modelling[[#This Row],[Comisined DC ]]/BP574</f>
        <v>0.74470262898426853</v>
      </c>
      <c r="BT574" s="337">
        <f>BN574/BQ574/Modelling[[#This Row],[Comisined DC ]]</f>
        <v>0.74470262898426853</v>
      </c>
      <c r="BU574" s="337">
        <f>BO574/BR574/Modelling[[#This Row],[Comisined DC ]]</f>
        <v>0.75872308740783179</v>
      </c>
      <c r="BV574" s="323">
        <f>BM574/(24*Modelling[[#This Row],[Comisined DC ]])</f>
        <v>0.18727669607924277</v>
      </c>
      <c r="BW574" s="323">
        <f>Modelling[[#This Row],[Target E_Grid MTD
MWh]]/Modelling[[#This Row],[MTD DC Capcity]]/(24*CG574)</f>
        <v>0.1872766960792428</v>
      </c>
      <c r="BX574" s="338">
        <f>Modelling[[#This Row],[Target E_Grid YTD
MWh]]/Modelling[[#This Row],[YTD DC Capcity]]/(24*CH574)</f>
        <v>0.16834315330134131</v>
      </c>
      <c r="BY574" s="4">
        <f>Modelling_old[[#This Row],[DC Capcity]]+Modelling_new[[#This Row],[Comisined DC ]]</f>
        <v>24.303100000000001</v>
      </c>
      <c r="BZ574" s="4">
        <v>0</v>
      </c>
      <c r="CA574">
        <f>AVERAGEIFS(Modelling[[Comisined DC ]],Modelling[Date],"&lt;="&amp;Modelling[[#This Row],[Date]],Modelling[Month Year],Modelling[[#This Row],[Month Year]])</f>
        <v>24.303100000000001</v>
      </c>
      <c r="CB574">
        <f>AVERAGEIFS(Modelling[[Comisined DC ]],Modelling[Date],"&lt;="&amp;Modelling[[#This Row],[Date]],Modelling[Finacial Year],Modelling[[#This Row],[Finacial Year]])</f>
        <v>24.303100000000061</v>
      </c>
      <c r="CG574">
        <f t="shared" si="215"/>
        <v>8</v>
      </c>
      <c r="CH574">
        <f t="shared" si="211"/>
        <v>191</v>
      </c>
    </row>
    <row r="575" spans="1:86" x14ac:dyDescent="0.35">
      <c r="A575" s="27">
        <f t="shared" si="189"/>
        <v>45574</v>
      </c>
      <c r="B575" s="5">
        <f>MONTH(Modelling_old[[#This Row],[Date]])</f>
        <v>10</v>
      </c>
      <c r="C575" s="25">
        <f t="shared" si="190"/>
        <v>2025</v>
      </c>
      <c r="D575" s="3">
        <f t="shared" si="191"/>
        <v>2024</v>
      </c>
      <c r="E575" s="3" t="s">
        <v>627</v>
      </c>
      <c r="F575" s="3" t="s">
        <v>627</v>
      </c>
      <c r="G575" s="102">
        <f>DATE(Modelling_old[[#This Row],[Calendor Year]],Modelling_old[[#This Row],[Start Month]],1)</f>
        <v>45566</v>
      </c>
      <c r="H575" s="5">
        <f t="shared" si="192"/>
        <v>31</v>
      </c>
      <c r="I575" s="5">
        <f t="shared" si="193"/>
        <v>10</v>
      </c>
      <c r="J575" s="4">
        <f>_xlfn.XLOOKUP(Modelling_old[[#This Row],[Month]],$C$1:$C$14,$N$1:$N$14)/Modelling_old[[#This Row],[Total Days]]</f>
        <v>48.038709677419355</v>
      </c>
      <c r="K575" s="4">
        <f>SUM($J$567:J575)</f>
        <v>432.34838709677427</v>
      </c>
      <c r="L575" s="4">
        <f>SUM($J$384:J575)</f>
        <v>8161.3483870967611</v>
      </c>
      <c r="M575" s="4">
        <f t="shared" si="194"/>
        <v>6.0354838709677416</v>
      </c>
      <c r="N575" s="4">
        <f>SUM($M$567:M575)</f>
        <v>54.319354838709671</v>
      </c>
      <c r="O575" s="4">
        <f>SUM($M$384:M575)</f>
        <v>1023.119354838705</v>
      </c>
      <c r="P575" s="323">
        <f t="shared" si="195"/>
        <v>0.69193347973063524</v>
      </c>
      <c r="Q575" s="337">
        <f t="shared" si="196"/>
        <v>0.69193347973063557</v>
      </c>
      <c r="R575" s="337">
        <f t="shared" si="197"/>
        <v>0.69345889209732603</v>
      </c>
      <c r="S575" s="323">
        <f t="shared" si="198"/>
        <v>0.1740063898623681</v>
      </c>
      <c r="T575" s="9">
        <f>Modelling_old[[#This Row],[Target E_Grid MTD
MWh]]/Modelling_old[[#This Row],[DC Capcity]]/(24*CG575)</f>
        <v>0.17400638986236813</v>
      </c>
      <c r="U575" s="338">
        <f>Modelling_old[[#This Row],[Target E_Grid YTD
MWh]]/Modelling_old[[#This Row],[DC Capcity]]/(24*CH575)</f>
        <v>0.15396944754552502</v>
      </c>
      <c r="V575" s="134">
        <v>11.5031</v>
      </c>
      <c r="Y575" s="27">
        <f t="shared" si="212"/>
        <v>45574</v>
      </c>
      <c r="Z575" s="5">
        <f>MONTH(Modelling_new[[#This Row],[Date]])</f>
        <v>10</v>
      </c>
      <c r="AA575" s="25">
        <f>YEAR(Y575)+IF(MONTH(Modelling_new[[#This Row],[Date]])&gt;=4,1,0)</f>
        <v>2025</v>
      </c>
      <c r="AB575" s="3">
        <f t="shared" si="199"/>
        <v>2024</v>
      </c>
      <c r="AC575" s="3" t="s">
        <v>627</v>
      </c>
      <c r="AD575" s="3" t="s">
        <v>627</v>
      </c>
      <c r="AE575" s="102">
        <f>DATE(Modelling_old[[#This Row],[Calendor Year]],Modelling_old[[#This Row],[Start Month]],1)</f>
        <v>45566</v>
      </c>
      <c r="AF575" s="5">
        <f t="shared" si="200"/>
        <v>31</v>
      </c>
      <c r="AG575" s="5">
        <f t="shared" si="201"/>
        <v>10</v>
      </c>
      <c r="AH575" s="4">
        <f>_xlfn.XLOOKUP(Modelling_new[[#This Row],[Month]],$AA$1:$AA$14,$AL$1:$AL$14)/Modelling_new[[#This Row],[Total Days]]</f>
        <v>61.194992862183334</v>
      </c>
      <c r="AI575" s="4">
        <f>SUM($AH$567:AH575)</f>
        <v>550.75493575964992</v>
      </c>
      <c r="AJ575" s="4">
        <f>SUM($AH$384:AH575)</f>
        <v>10702.223397008931</v>
      </c>
      <c r="AK575" s="4">
        <f t="shared" si="202"/>
        <v>6.0354838709677416</v>
      </c>
      <c r="AL575" s="4">
        <f>SUM($AK$567:AK575)</f>
        <v>54.319354838709671</v>
      </c>
      <c r="AM575" s="4">
        <f>SUM($AK$384:AK575)</f>
        <v>1023.119354838705</v>
      </c>
      <c r="AN575" s="323">
        <f t="shared" si="203"/>
        <v>0.88143217495962878</v>
      </c>
      <c r="AO575" s="323">
        <f t="shared" si="204"/>
        <v>0.88143217495962867</v>
      </c>
      <c r="AP575" s="323">
        <f t="shared" si="205"/>
        <v>0.90935365430564175</v>
      </c>
      <c r="AQ575" s="323">
        <f t="shared" si="206"/>
        <v>0.22166123647170233</v>
      </c>
      <c r="AR575" s="323">
        <f>Modelling_new[[#This Row],[Target E_Grid MTD
MWh]]/Modelling_new[[#This Row],[MTD DC Capcity]]/(24*CG575)</f>
        <v>0.19920245072325304</v>
      </c>
      <c r="AS575" s="323">
        <f>Modelling_new[[#This Row],[Target E_Grid YTD
MWh]]/Modelling_new[[#This Row],[YTD DC Capcity]]/(24*CH575)</f>
        <v>0.18144774368301272</v>
      </c>
      <c r="AT575" s="5">
        <v>12.8</v>
      </c>
      <c r="AU575" s="9">
        <f>Modelling_new[[#This Row],[Comisined DC ]]/$AO$1</f>
        <v>1</v>
      </c>
      <c r="AV57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75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575" s="27">
        <f t="shared" si="213"/>
        <v>45574</v>
      </c>
      <c r="BE575" s="5">
        <f>MONTH(Modelling[[#This Row],[Date]])</f>
        <v>10</v>
      </c>
      <c r="BF575" s="25">
        <f>YEAR(BD575)+IF(MONTH(Modelling[[#This Row],[Date]])&gt;=4,1,0)</f>
        <v>2025</v>
      </c>
      <c r="BG575" s="3">
        <f t="shared" si="207"/>
        <v>2024</v>
      </c>
      <c r="BH575" s="3" t="s">
        <v>627</v>
      </c>
      <c r="BI575" s="3" t="s">
        <v>627</v>
      </c>
      <c r="BJ575" s="102">
        <f>DATE(Modelling_old[[#This Row],[Calendor Year]],Modelling_old[[#This Row],[Start Month]],1)</f>
        <v>45566</v>
      </c>
      <c r="BK575" s="5">
        <f t="shared" si="208"/>
        <v>31</v>
      </c>
      <c r="BL575" s="5">
        <f t="shared" si="209"/>
        <v>10</v>
      </c>
      <c r="BM575" s="4">
        <f>Modelling_old[[#This Row],[Target E_Grid daily
MWh]]+Modelling_new[[#This Row],[Target E_Grid daily
MWh]]</f>
        <v>109.23370253960269</v>
      </c>
      <c r="BN575" s="4">
        <f>Modelling_old[[#This Row],[Target E_Grid MTD
MWh]]+Modelling_new[[#This Row],[Target E_Grid MTD
MWh]]</f>
        <v>983.10332285642426</v>
      </c>
      <c r="BO575" s="4">
        <f>Modelling_old[[#This Row],[Target E_Grid YTD
MWh]]+Modelling_new[[#This Row],[Target E_Grid YTD
MWh]]</f>
        <v>18863.57178410569</v>
      </c>
      <c r="BP575" s="4">
        <f>AVERAGE(Modelling_old[[#This Row],[Target POA Daily (KWh/m2)]],Modelling_new[[#This Row],[Target POA Daily (KWh/m2)]])</f>
        <v>6.0354838709677416</v>
      </c>
      <c r="BQ575" s="4">
        <f>SUM($BP$567:BP575)</f>
        <v>54.319354838709671</v>
      </c>
      <c r="BR575" s="4">
        <f>SUM($BP$384:BP575)</f>
        <v>1023.119354838705</v>
      </c>
      <c r="BS575" s="323">
        <f>BM575/Modelling[[#This Row],[Comisined DC ]]/BP575</f>
        <v>0.74470262898426853</v>
      </c>
      <c r="BT575" s="337">
        <f>BN575/BQ575/Modelling[[#This Row],[Comisined DC ]]</f>
        <v>0.74470262898426864</v>
      </c>
      <c r="BU575" s="337">
        <f>BO575/BR575/Modelling[[#This Row],[Comisined DC ]]</f>
        <v>0.75864037931490125</v>
      </c>
      <c r="BV575" s="323">
        <f>BM575/(24*Modelling[[#This Row],[Comisined DC ]])</f>
        <v>0.18727669607924277</v>
      </c>
      <c r="BW575" s="323">
        <f>Modelling[[#This Row],[Target E_Grid MTD
MWh]]/Modelling[[#This Row],[MTD DC Capcity]]/(24*CG575)</f>
        <v>0.18727669607924277</v>
      </c>
      <c r="BX575" s="338">
        <f>Modelling[[#This Row],[Target E_Grid YTD
MWh]]/Modelling[[#This Row],[YTD DC Capcity]]/(24*CH575)</f>
        <v>0.16844176550330953</v>
      </c>
      <c r="BY575" s="4">
        <f>Modelling_old[[#This Row],[DC Capcity]]+Modelling_new[[#This Row],[Comisined DC ]]</f>
        <v>24.303100000000001</v>
      </c>
      <c r="BZ575" s="4">
        <v>0</v>
      </c>
      <c r="CA575">
        <f>AVERAGEIFS(Modelling[[Comisined DC ]],Modelling[Date],"&lt;="&amp;Modelling[[#This Row],[Date]],Modelling[Month Year],Modelling[[#This Row],[Month Year]])</f>
        <v>24.303100000000001</v>
      </c>
      <c r="CB575">
        <f>AVERAGEIFS(Modelling[[Comisined DC ]],Modelling[Date],"&lt;="&amp;Modelling[[#This Row],[Date]],Modelling[Finacial Year],Modelling[[#This Row],[Finacial Year]])</f>
        <v>24.303100000000061</v>
      </c>
      <c r="CG575">
        <f t="shared" si="215"/>
        <v>9</v>
      </c>
      <c r="CH575">
        <f t="shared" si="211"/>
        <v>192</v>
      </c>
    </row>
    <row r="576" spans="1:86" x14ac:dyDescent="0.35">
      <c r="A576" s="27">
        <f t="shared" ref="A576:A639" si="216">A575+1</f>
        <v>45575</v>
      </c>
      <c r="B576" s="5">
        <f>MONTH(Modelling_old[[#This Row],[Date]])</f>
        <v>10</v>
      </c>
      <c r="C576" s="25">
        <f t="shared" ref="C576:C639" si="217">YEAR(A576)+(MONTH(A576)&gt;=B576)</f>
        <v>2025</v>
      </c>
      <c r="D576" s="3">
        <f t="shared" ref="D576:D639" si="218">YEAR(A576)</f>
        <v>2024</v>
      </c>
      <c r="E576" s="3" t="s">
        <v>627</v>
      </c>
      <c r="F576" s="3" t="s">
        <v>627</v>
      </c>
      <c r="G576" s="102">
        <f>DATE(Modelling_old[[#This Row],[Calendor Year]],Modelling_old[[#This Row],[Start Month]],1)</f>
        <v>45566</v>
      </c>
      <c r="H576" s="5">
        <f t="shared" ref="H576:H639" si="219">DAY(EOMONTH(G576,0))</f>
        <v>31</v>
      </c>
      <c r="I576" s="5">
        <f t="shared" ref="I576:I639" si="220">MONTH(A576)</f>
        <v>10</v>
      </c>
      <c r="J576" s="4">
        <f>_xlfn.XLOOKUP(Modelling_old[[#This Row],[Month]],$C$1:$C$14,$N$1:$N$14)/Modelling_old[[#This Row],[Total Days]]</f>
        <v>48.038709677419355</v>
      </c>
      <c r="K576" s="4">
        <f>SUM($J$567:J576)</f>
        <v>480.38709677419365</v>
      </c>
      <c r="L576" s="4">
        <f>SUM($J$384:J576)</f>
        <v>8209.3870967741805</v>
      </c>
      <c r="M576" s="4">
        <f t="shared" ref="M576:M639" si="221">VLOOKUP(I576,$C$2:$M$13,11,0)</f>
        <v>6.0354838709677416</v>
      </c>
      <c r="N576" s="4">
        <f>SUM($M$567:M576)</f>
        <v>60.354838709677409</v>
      </c>
      <c r="O576" s="4">
        <f>SUM($M$384:M576)</f>
        <v>1029.1548387096727</v>
      </c>
      <c r="P576" s="323">
        <f t="shared" ref="P576:P639" si="222">J576/$Q$1/M576</f>
        <v>0.69193347973063524</v>
      </c>
      <c r="Q576" s="337">
        <f t="shared" ref="Q576:Q639" si="223">K576/N576/$Q$1</f>
        <v>0.69193347973063557</v>
      </c>
      <c r="R576" s="337">
        <f t="shared" ref="R576:R639" si="224">L576/O576/$Q$1</f>
        <v>0.69344994630861734</v>
      </c>
      <c r="S576" s="323">
        <f t="shared" ref="S576:S639" si="225">J576/(24*$Q$1)</f>
        <v>0.1740063898623681</v>
      </c>
      <c r="T576" s="9">
        <f>Modelling_old[[#This Row],[Target E_Grid MTD
MWh]]/Modelling_old[[#This Row],[DC Capcity]]/(24*CG576)</f>
        <v>0.17400638986236813</v>
      </c>
      <c r="U576" s="338">
        <f>Modelling_old[[#This Row],[Target E_Grid YTD
MWh]]/Modelling_old[[#This Row],[DC Capcity]]/(24*CH576)</f>
        <v>0.15407326589949832</v>
      </c>
      <c r="V576" s="134">
        <v>11.5031</v>
      </c>
      <c r="Y576" s="27">
        <f t="shared" si="212"/>
        <v>45575</v>
      </c>
      <c r="Z576" s="5">
        <f>MONTH(Modelling_new[[#This Row],[Date]])</f>
        <v>10</v>
      </c>
      <c r="AA576" s="25">
        <f>YEAR(Y576)+IF(MONTH(Modelling_new[[#This Row],[Date]])&gt;=4,1,0)</f>
        <v>2025</v>
      </c>
      <c r="AB576" s="3">
        <f t="shared" ref="AB576:AB639" si="226">YEAR(Y576)</f>
        <v>2024</v>
      </c>
      <c r="AC576" s="3" t="s">
        <v>627</v>
      </c>
      <c r="AD576" s="3" t="s">
        <v>627</v>
      </c>
      <c r="AE576" s="102">
        <f>DATE(Modelling_old[[#This Row],[Calendor Year]],Modelling_old[[#This Row],[Start Month]],1)</f>
        <v>45566</v>
      </c>
      <c r="AF576" s="5">
        <f t="shared" ref="AF576:AF639" si="227">DAY(EOMONTH(AE576,0))</f>
        <v>31</v>
      </c>
      <c r="AG576" s="5">
        <f t="shared" ref="AG576:AG639" si="228">MONTH(Y576)</f>
        <v>10</v>
      </c>
      <c r="AH576" s="4">
        <f>_xlfn.XLOOKUP(Modelling_new[[#This Row],[Month]],$AA$1:$AA$14,$AL$1:$AL$14)/Modelling_new[[#This Row],[Total Days]]</f>
        <v>61.194992862183334</v>
      </c>
      <c r="AI576" s="4">
        <f>SUM($AH$567:AH576)</f>
        <v>611.94992862183324</v>
      </c>
      <c r="AJ576" s="4">
        <f>SUM($AH$384:AH576)</f>
        <v>10763.418389871114</v>
      </c>
      <c r="AK576" s="4">
        <f t="shared" ref="AK576:AK639" si="229">VLOOKUP(AG576,$C$2:$M$13,11,0)</f>
        <v>6.0354838709677416</v>
      </c>
      <c r="AL576" s="4">
        <f>SUM($AK$567:AK576)</f>
        <v>60.354838709677409</v>
      </c>
      <c r="AM576" s="4">
        <f>SUM($AK$384:AK576)</f>
        <v>1029.1548387096727</v>
      </c>
      <c r="AN576" s="323">
        <f t="shared" ref="AN576:AN639" si="230">AH576/$Q$1/AK576</f>
        <v>0.88143217495962878</v>
      </c>
      <c r="AO576" s="323">
        <f t="shared" ref="AO576:AO639" si="231">AI576/AL576/$Q$1</f>
        <v>0.88143217495962867</v>
      </c>
      <c r="AP576" s="323">
        <f t="shared" ref="AP576:AP639" si="232">AJ576/AM576/$Q$1</f>
        <v>0.90918990864570037</v>
      </c>
      <c r="AQ576" s="323">
        <f t="shared" ref="AQ576:AQ639" si="233">AH576/(24*$Q$1)</f>
        <v>0.22166123647170233</v>
      </c>
      <c r="AR576" s="323">
        <f>Modelling_new[[#This Row],[Target E_Grid MTD
MWh]]/Modelling_new[[#This Row],[MTD DC Capcity]]/(24*CG576)</f>
        <v>0.19920245072325302</v>
      </c>
      <c r="AS576" s="323">
        <f>Modelling_new[[#This Row],[Target E_Grid YTD
MWh]]/Modelling_new[[#This Row],[YTD DC Capcity]]/(24*CH576)</f>
        <v>0.18153973698373935</v>
      </c>
      <c r="AT576" s="5">
        <v>12.8</v>
      </c>
      <c r="AU576" s="9">
        <f>Modelling_new[[#This Row],[Comisined DC ]]/$AO$1</f>
        <v>1</v>
      </c>
      <c r="AV576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76" s="5">
        <f>AVERAGEIFS(Modelling_new[[Comisined DC ]],Modelling_new[Date],"&lt;="&amp;Modelling_new[[#This Row],[Date]],Modelling_new[[Comisined DC ]],"&gt;"&amp;0,Modelling_new[Finacial Year],Modelling_new[[#This Row],[Finacial Year]])</f>
        <v>12.800000000000002</v>
      </c>
      <c r="BD576" s="27">
        <f t="shared" si="213"/>
        <v>45575</v>
      </c>
      <c r="BE576" s="5">
        <f>MONTH(Modelling[[#This Row],[Date]])</f>
        <v>10</v>
      </c>
      <c r="BF576" s="25">
        <f>YEAR(BD576)+IF(MONTH(Modelling[[#This Row],[Date]])&gt;=4,1,0)</f>
        <v>2025</v>
      </c>
      <c r="BG576" s="3">
        <f t="shared" ref="BG576:BG639" si="234">YEAR(BD576)</f>
        <v>2024</v>
      </c>
      <c r="BH576" s="3" t="s">
        <v>627</v>
      </c>
      <c r="BI576" s="3" t="s">
        <v>627</v>
      </c>
      <c r="BJ576" s="102">
        <f>DATE(Modelling_old[[#This Row],[Calendor Year]],Modelling_old[[#This Row],[Start Month]],1)</f>
        <v>45566</v>
      </c>
      <c r="BK576" s="5">
        <f t="shared" ref="BK576:BK639" si="235">DAY(EOMONTH(BJ576,0))</f>
        <v>31</v>
      </c>
      <c r="BL576" s="5">
        <f t="shared" ref="BL576:BL639" si="236">MONTH(BD576)</f>
        <v>10</v>
      </c>
      <c r="BM576" s="4">
        <f>Modelling_old[[#This Row],[Target E_Grid daily
MWh]]+Modelling_new[[#This Row],[Target E_Grid daily
MWh]]</f>
        <v>109.23370253960269</v>
      </c>
      <c r="BN576" s="4">
        <f>Modelling_old[[#This Row],[Target E_Grid MTD
MWh]]+Modelling_new[[#This Row],[Target E_Grid MTD
MWh]]</f>
        <v>1092.337025396027</v>
      </c>
      <c r="BO576" s="4">
        <f>Modelling_old[[#This Row],[Target E_Grid YTD
MWh]]+Modelling_new[[#This Row],[Target E_Grid YTD
MWh]]</f>
        <v>18972.805486645295</v>
      </c>
      <c r="BP576" s="4">
        <f>AVERAGE(Modelling_old[[#This Row],[Target POA Daily (KWh/m2)]],Modelling_new[[#This Row],[Target POA Daily (KWh/m2)]])</f>
        <v>6.0354838709677416</v>
      </c>
      <c r="BQ576" s="4">
        <f>SUM($BP$567:BP576)</f>
        <v>60.354838709677409</v>
      </c>
      <c r="BR576" s="4">
        <f>SUM($BP$384:BP576)</f>
        <v>1029.1548387096727</v>
      </c>
      <c r="BS576" s="323">
        <f>BM576/Modelling[[#This Row],[Comisined DC ]]/BP576</f>
        <v>0.74470262898426853</v>
      </c>
      <c r="BT576" s="337">
        <f>BN576/BQ576/Modelling[[#This Row],[Comisined DC ]]</f>
        <v>0.74470262898426864</v>
      </c>
      <c r="BU576" s="337">
        <f>BO576/BR576/Modelling[[#This Row],[Comisined DC ]]</f>
        <v>0.75855864130604778</v>
      </c>
      <c r="BV576" s="323">
        <f>BM576/(24*Modelling[[#This Row],[Comisined DC ]])</f>
        <v>0.18727669607924277</v>
      </c>
      <c r="BW576" s="323">
        <f>Modelling[[#This Row],[Target E_Grid MTD
MWh]]/Modelling[[#This Row],[MTD DC Capcity]]/(24*CG576)</f>
        <v>0.1872766960792428</v>
      </c>
      <c r="BX576" s="338">
        <f>Modelling[[#This Row],[Target E_Grid YTD
MWh]]/Modelling[[#This Row],[YTD DC Capcity]]/(24*CH576)</f>
        <v>0.16853935581717447</v>
      </c>
      <c r="BY576" s="4">
        <f>Modelling_old[[#This Row],[DC Capcity]]+Modelling_new[[#This Row],[Comisined DC ]]</f>
        <v>24.303100000000001</v>
      </c>
      <c r="BZ576" s="4">
        <v>0</v>
      </c>
      <c r="CA576">
        <f>AVERAGEIFS(Modelling[[Comisined DC ]],Modelling[Date],"&lt;="&amp;Modelling[[#This Row],[Date]],Modelling[Month Year],Modelling[[#This Row],[Month Year]])</f>
        <v>24.303100000000001</v>
      </c>
      <c r="CB576">
        <f>AVERAGEIFS(Modelling[[Comisined DC ]],Modelling[Date],"&lt;="&amp;Modelling[[#This Row],[Date]],Modelling[Finacial Year],Modelling[[#This Row],[Finacial Year]])</f>
        <v>24.303100000000061</v>
      </c>
      <c r="CG576">
        <f t="shared" si="215"/>
        <v>10</v>
      </c>
      <c r="CH576">
        <f t="shared" si="211"/>
        <v>193</v>
      </c>
    </row>
    <row r="577" spans="1:86" x14ac:dyDescent="0.35">
      <c r="A577" s="27">
        <f t="shared" si="216"/>
        <v>45576</v>
      </c>
      <c r="B577" s="5">
        <f>MONTH(Modelling_old[[#This Row],[Date]])</f>
        <v>10</v>
      </c>
      <c r="C577" s="25">
        <f t="shared" si="217"/>
        <v>2025</v>
      </c>
      <c r="D577" s="3">
        <f t="shared" si="218"/>
        <v>2024</v>
      </c>
      <c r="E577" s="3" t="s">
        <v>627</v>
      </c>
      <c r="F577" s="3" t="s">
        <v>627</v>
      </c>
      <c r="G577" s="102">
        <f>DATE(Modelling_old[[#This Row],[Calendor Year]],Modelling_old[[#This Row],[Start Month]],1)</f>
        <v>45566</v>
      </c>
      <c r="H577" s="5">
        <f t="shared" si="219"/>
        <v>31</v>
      </c>
      <c r="I577" s="5">
        <f t="shared" si="220"/>
        <v>10</v>
      </c>
      <c r="J577" s="4">
        <f>_xlfn.XLOOKUP(Modelling_old[[#This Row],[Month]],$C$1:$C$14,$N$1:$N$14)/Modelling_old[[#This Row],[Total Days]]</f>
        <v>48.038709677419355</v>
      </c>
      <c r="K577" s="4">
        <f>SUM($J$567:J577)</f>
        <v>528.42580645161297</v>
      </c>
      <c r="L577" s="4">
        <f>SUM($J$384:J577)</f>
        <v>8257.4258064515998</v>
      </c>
      <c r="M577" s="4">
        <f t="shared" si="221"/>
        <v>6.0354838709677416</v>
      </c>
      <c r="N577" s="4">
        <f>SUM($M$567:M577)</f>
        <v>66.390322580645147</v>
      </c>
      <c r="O577" s="4">
        <f>SUM($M$384:M577)</f>
        <v>1035.1903225806404</v>
      </c>
      <c r="P577" s="323">
        <f t="shared" si="222"/>
        <v>0.69193347973063524</v>
      </c>
      <c r="Q577" s="337">
        <f t="shared" si="223"/>
        <v>0.69193347973063557</v>
      </c>
      <c r="R577" s="337">
        <f t="shared" si="224"/>
        <v>0.6934411048334097</v>
      </c>
      <c r="S577" s="323">
        <f t="shared" si="225"/>
        <v>0.1740063898623681</v>
      </c>
      <c r="T577" s="9">
        <f>Modelling_old[[#This Row],[Target E_Grid MTD
MWh]]/Modelling_old[[#This Row],[DC Capcity]]/(24*CG577)</f>
        <v>0.1740063898623681</v>
      </c>
      <c r="U577" s="338">
        <f>Modelling_old[[#This Row],[Target E_Grid YTD
MWh]]/Modelling_old[[#This Row],[DC Capcity]]/(24*CH577)</f>
        <v>0.15417601396116259</v>
      </c>
      <c r="V577" s="134">
        <v>11.5031</v>
      </c>
      <c r="Y577" s="27">
        <f t="shared" si="212"/>
        <v>45576</v>
      </c>
      <c r="Z577" s="5">
        <f>MONTH(Modelling_new[[#This Row],[Date]])</f>
        <v>10</v>
      </c>
      <c r="AA577" s="25">
        <f>YEAR(Y577)+IF(MONTH(Modelling_new[[#This Row],[Date]])&gt;=4,1,0)</f>
        <v>2025</v>
      </c>
      <c r="AB577" s="3">
        <f t="shared" si="226"/>
        <v>2024</v>
      </c>
      <c r="AC577" s="3" t="s">
        <v>627</v>
      </c>
      <c r="AD577" s="3" t="s">
        <v>627</v>
      </c>
      <c r="AE577" s="102">
        <f>DATE(Modelling_old[[#This Row],[Calendor Year]],Modelling_old[[#This Row],[Start Month]],1)</f>
        <v>45566</v>
      </c>
      <c r="AF577" s="5">
        <f t="shared" si="227"/>
        <v>31</v>
      </c>
      <c r="AG577" s="5">
        <f t="shared" si="228"/>
        <v>10</v>
      </c>
      <c r="AH577" s="4">
        <f>_xlfn.XLOOKUP(Modelling_new[[#This Row],[Month]],$AA$1:$AA$14,$AL$1:$AL$14)/Modelling_new[[#This Row],[Total Days]]</f>
        <v>61.194992862183334</v>
      </c>
      <c r="AI577" s="4">
        <f>SUM($AH$567:AH577)</f>
        <v>673.14492148401655</v>
      </c>
      <c r="AJ577" s="4">
        <f>SUM($AH$384:AH577)</f>
        <v>10824.613382733298</v>
      </c>
      <c r="AK577" s="4">
        <f t="shared" si="229"/>
        <v>6.0354838709677416</v>
      </c>
      <c r="AL577" s="4">
        <f>SUM($AK$567:AK577)</f>
        <v>66.390322580645147</v>
      </c>
      <c r="AM577" s="4">
        <f>SUM($AK$384:AK577)</f>
        <v>1035.1903225806404</v>
      </c>
      <c r="AN577" s="323">
        <f t="shared" si="230"/>
        <v>0.88143217495962878</v>
      </c>
      <c r="AO577" s="323">
        <f t="shared" si="231"/>
        <v>0.88143217495962878</v>
      </c>
      <c r="AP577" s="323">
        <f t="shared" si="232"/>
        <v>0.90902807236274596</v>
      </c>
      <c r="AQ577" s="323">
        <f t="shared" si="233"/>
        <v>0.22166123647170233</v>
      </c>
      <c r="AR577" s="323">
        <f>Modelling_new[[#This Row],[Target E_Grid MTD
MWh]]/Modelling_new[[#This Row],[MTD DC Capcity]]/(24*CG577)</f>
        <v>0.19920245072325302</v>
      </c>
      <c r="AS577" s="323">
        <f>Modelling_new[[#This Row],[Target E_Grid YTD
MWh]]/Modelling_new[[#This Row],[YTD DC Capcity]]/(24*CH577)</f>
        <v>0.18163078189992238</v>
      </c>
      <c r="AT577" s="5">
        <v>12.8</v>
      </c>
      <c r="AU577" s="9">
        <f>Modelling_new[[#This Row],[Comisined DC ]]/$AO$1</f>
        <v>1</v>
      </c>
      <c r="AV577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77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577" s="27">
        <f t="shared" si="213"/>
        <v>45576</v>
      </c>
      <c r="BE577" s="5">
        <f>MONTH(Modelling[[#This Row],[Date]])</f>
        <v>10</v>
      </c>
      <c r="BF577" s="25">
        <f>YEAR(BD577)+IF(MONTH(Modelling[[#This Row],[Date]])&gt;=4,1,0)</f>
        <v>2025</v>
      </c>
      <c r="BG577" s="3">
        <f t="shared" si="234"/>
        <v>2024</v>
      </c>
      <c r="BH577" s="3" t="s">
        <v>627</v>
      </c>
      <c r="BI577" s="3" t="s">
        <v>627</v>
      </c>
      <c r="BJ577" s="102">
        <f>DATE(Modelling_old[[#This Row],[Calendor Year]],Modelling_old[[#This Row],[Start Month]],1)</f>
        <v>45566</v>
      </c>
      <c r="BK577" s="5">
        <f t="shared" si="235"/>
        <v>31</v>
      </c>
      <c r="BL577" s="5">
        <f t="shared" si="236"/>
        <v>10</v>
      </c>
      <c r="BM577" s="4">
        <f>Modelling_old[[#This Row],[Target E_Grid daily
MWh]]+Modelling_new[[#This Row],[Target E_Grid daily
MWh]]</f>
        <v>109.23370253960269</v>
      </c>
      <c r="BN577" s="4">
        <f>Modelling_old[[#This Row],[Target E_Grid MTD
MWh]]+Modelling_new[[#This Row],[Target E_Grid MTD
MWh]]</f>
        <v>1201.5707279356295</v>
      </c>
      <c r="BO577" s="4">
        <f>Modelling_old[[#This Row],[Target E_Grid YTD
MWh]]+Modelling_new[[#This Row],[Target E_Grid YTD
MWh]]</f>
        <v>19082.039189184899</v>
      </c>
      <c r="BP577" s="4">
        <f>AVERAGE(Modelling_old[[#This Row],[Target POA Daily (KWh/m2)]],Modelling_new[[#This Row],[Target POA Daily (KWh/m2)]])</f>
        <v>6.0354838709677416</v>
      </c>
      <c r="BQ577" s="4">
        <f>SUM($BP$567:BP577)</f>
        <v>66.390322580645147</v>
      </c>
      <c r="BR577" s="4">
        <f>SUM($BP$384:BP577)</f>
        <v>1035.1903225806404</v>
      </c>
      <c r="BS577" s="323">
        <f>BM577/Modelling[[#This Row],[Comisined DC ]]/BP577</f>
        <v>0.74470262898426853</v>
      </c>
      <c r="BT577" s="337">
        <f>BN577/BQ577/Modelling[[#This Row],[Comisined DC ]]</f>
        <v>0.74470262898426864</v>
      </c>
      <c r="BU577" s="337">
        <f>BO577/BR577/Modelling[[#This Row],[Comisined DC ]]</f>
        <v>0.75847785641358922</v>
      </c>
      <c r="BV577" s="323">
        <f>BM577/(24*Modelling[[#This Row],[Comisined DC ]])</f>
        <v>0.18727669607924277</v>
      </c>
      <c r="BW577" s="323">
        <f>Modelling[[#This Row],[Target E_Grid MTD
MWh]]/Modelling[[#This Row],[MTD DC Capcity]]/(24*CG577)</f>
        <v>0.18727669607924274</v>
      </c>
      <c r="BX577" s="338">
        <f>Modelling[[#This Row],[Target E_Grid YTD
MWh]]/Modelling[[#This Row],[YTD DC Capcity]]/(24*CH577)</f>
        <v>0.16863594004532947</v>
      </c>
      <c r="BY577" s="4">
        <f>Modelling_old[[#This Row],[DC Capcity]]+Modelling_new[[#This Row],[Comisined DC ]]</f>
        <v>24.303100000000001</v>
      </c>
      <c r="BZ577" s="4">
        <v>0</v>
      </c>
      <c r="CA577">
        <f>AVERAGEIFS(Modelling[[Comisined DC ]],Modelling[Date],"&lt;="&amp;Modelling[[#This Row],[Date]],Modelling[Month Year],Modelling[[#This Row],[Month Year]])</f>
        <v>24.303100000000004</v>
      </c>
      <c r="CB577">
        <f>AVERAGEIFS(Modelling[[Comisined DC ]],Modelling[Date],"&lt;="&amp;Modelling[[#This Row],[Date]],Modelling[Finacial Year],Modelling[[#This Row],[Finacial Year]])</f>
        <v>24.303100000000061</v>
      </c>
      <c r="CG577">
        <f t="shared" si="215"/>
        <v>11</v>
      </c>
      <c r="CH577">
        <f t="shared" si="211"/>
        <v>194</v>
      </c>
    </row>
    <row r="578" spans="1:86" x14ac:dyDescent="0.35">
      <c r="A578" s="27">
        <f t="shared" si="216"/>
        <v>45577</v>
      </c>
      <c r="B578" s="5">
        <f>MONTH(Modelling_old[[#This Row],[Date]])</f>
        <v>10</v>
      </c>
      <c r="C578" s="25">
        <f t="shared" si="217"/>
        <v>2025</v>
      </c>
      <c r="D578" s="3">
        <f t="shared" si="218"/>
        <v>2024</v>
      </c>
      <c r="E578" s="3" t="s">
        <v>627</v>
      </c>
      <c r="F578" s="3" t="s">
        <v>627</v>
      </c>
      <c r="G578" s="102">
        <f>DATE(Modelling_old[[#This Row],[Calendor Year]],Modelling_old[[#This Row],[Start Month]],1)</f>
        <v>45566</v>
      </c>
      <c r="H578" s="5">
        <f t="shared" si="219"/>
        <v>31</v>
      </c>
      <c r="I578" s="5">
        <f t="shared" si="220"/>
        <v>10</v>
      </c>
      <c r="J578" s="4">
        <f>_xlfn.XLOOKUP(Modelling_old[[#This Row],[Month]],$C$1:$C$14,$N$1:$N$14)/Modelling_old[[#This Row],[Total Days]]</f>
        <v>48.038709677419355</v>
      </c>
      <c r="K578" s="4">
        <f>SUM($J$567:J578)</f>
        <v>576.46451612903229</v>
      </c>
      <c r="L578" s="4">
        <f>SUM($J$384:J578)</f>
        <v>8305.4645161290191</v>
      </c>
      <c r="M578" s="4">
        <f t="shared" si="221"/>
        <v>6.0354838709677416</v>
      </c>
      <c r="N578" s="4">
        <f>SUM($M$567:M578)</f>
        <v>72.425806451612885</v>
      </c>
      <c r="O578" s="4">
        <f>SUM($M$384:M578)</f>
        <v>1041.2258064516082</v>
      </c>
      <c r="P578" s="323">
        <f t="shared" si="222"/>
        <v>0.69193347973063524</v>
      </c>
      <c r="Q578" s="337">
        <f t="shared" si="223"/>
        <v>0.69193347973063557</v>
      </c>
      <c r="R578" s="337">
        <f t="shared" si="224"/>
        <v>0.69343236585773804</v>
      </c>
      <c r="S578" s="323">
        <f t="shared" si="225"/>
        <v>0.1740063898623681</v>
      </c>
      <c r="T578" s="9">
        <f>Modelling_old[[#This Row],[Target E_Grid MTD
MWh]]/Modelling_old[[#This Row],[DC Capcity]]/(24*CG578)</f>
        <v>0.1740063898623681</v>
      </c>
      <c r="U578" s="338">
        <f>Modelling_old[[#This Row],[Target E_Grid YTD
MWh]]/Modelling_old[[#This Row],[DC Capcity]]/(24*CH578)</f>
        <v>0.1542777081965534</v>
      </c>
      <c r="V578" s="134">
        <v>11.5031</v>
      </c>
      <c r="Y578" s="27">
        <f t="shared" si="212"/>
        <v>45577</v>
      </c>
      <c r="Z578" s="5">
        <f>MONTH(Modelling_new[[#This Row],[Date]])</f>
        <v>10</v>
      </c>
      <c r="AA578" s="25">
        <f>YEAR(Y578)+IF(MONTH(Modelling_new[[#This Row],[Date]])&gt;=4,1,0)</f>
        <v>2025</v>
      </c>
      <c r="AB578" s="3">
        <f t="shared" si="226"/>
        <v>2024</v>
      </c>
      <c r="AC578" s="3" t="s">
        <v>627</v>
      </c>
      <c r="AD578" s="3" t="s">
        <v>627</v>
      </c>
      <c r="AE578" s="102">
        <f>DATE(Modelling_old[[#This Row],[Calendor Year]],Modelling_old[[#This Row],[Start Month]],1)</f>
        <v>45566</v>
      </c>
      <c r="AF578" s="5">
        <f t="shared" si="227"/>
        <v>31</v>
      </c>
      <c r="AG578" s="5">
        <f t="shared" si="228"/>
        <v>10</v>
      </c>
      <c r="AH578" s="4">
        <f>_xlfn.XLOOKUP(Modelling_new[[#This Row],[Month]],$AA$1:$AA$14,$AL$1:$AL$14)/Modelling_new[[#This Row],[Total Days]]</f>
        <v>61.194992862183334</v>
      </c>
      <c r="AI578" s="4">
        <f>SUM($AH$567:AH578)</f>
        <v>734.33991434619986</v>
      </c>
      <c r="AJ578" s="4">
        <f>SUM($AH$384:AH578)</f>
        <v>10885.808375595481</v>
      </c>
      <c r="AK578" s="4">
        <f t="shared" si="229"/>
        <v>6.0354838709677416</v>
      </c>
      <c r="AL578" s="4">
        <f>SUM($AK$567:AK578)</f>
        <v>72.425806451612885</v>
      </c>
      <c r="AM578" s="4">
        <f>SUM($AK$384:AK578)</f>
        <v>1041.2258064516082</v>
      </c>
      <c r="AN578" s="323">
        <f t="shared" si="230"/>
        <v>0.88143217495962878</v>
      </c>
      <c r="AO578" s="323">
        <f t="shared" si="231"/>
        <v>0.88143217495962878</v>
      </c>
      <c r="AP578" s="323">
        <f t="shared" si="232"/>
        <v>0.90886811225356545</v>
      </c>
      <c r="AQ578" s="323">
        <f t="shared" si="233"/>
        <v>0.22166123647170233</v>
      </c>
      <c r="AR578" s="323">
        <f>Modelling_new[[#This Row],[Target E_Grid MTD
MWh]]/Modelling_new[[#This Row],[MTD DC Capcity]]/(24*CG578)</f>
        <v>0.19920245072325302</v>
      </c>
      <c r="AS578" s="323">
        <f>Modelling_new[[#This Row],[Target E_Grid YTD
MWh]]/Modelling_new[[#This Row],[YTD DC Capcity]]/(24*CH578)</f>
        <v>0.18172089302209332</v>
      </c>
      <c r="AT578" s="5">
        <v>12.8</v>
      </c>
      <c r="AU578" s="9">
        <f>Modelling_new[[#This Row],[Comisined DC ]]/$AO$1</f>
        <v>1</v>
      </c>
      <c r="AV578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578" s="5">
        <f>AVERAGEIFS(Modelling_new[[Comisined DC ]],Modelling_new[Date],"&lt;="&amp;Modelling_new[[#This Row],[Date]],Modelling_new[[Comisined DC ]],"&gt;"&amp;0,Modelling_new[Finacial Year],Modelling_new[[#This Row],[Finacial Year]])</f>
        <v>12.800000000000004</v>
      </c>
      <c r="BD578" s="27">
        <f t="shared" si="213"/>
        <v>45577</v>
      </c>
      <c r="BE578" s="5">
        <f>MONTH(Modelling[[#This Row],[Date]])</f>
        <v>10</v>
      </c>
      <c r="BF578" s="25">
        <f>YEAR(BD578)+IF(MONTH(Modelling[[#This Row],[Date]])&gt;=4,1,0)</f>
        <v>2025</v>
      </c>
      <c r="BG578" s="3">
        <f t="shared" si="234"/>
        <v>2024</v>
      </c>
      <c r="BH578" s="3" t="s">
        <v>627</v>
      </c>
      <c r="BI578" s="3" t="s">
        <v>627</v>
      </c>
      <c r="BJ578" s="102">
        <f>DATE(Modelling_old[[#This Row],[Calendor Year]],Modelling_old[[#This Row],[Start Month]],1)</f>
        <v>45566</v>
      </c>
      <c r="BK578" s="5">
        <f t="shared" si="235"/>
        <v>31</v>
      </c>
      <c r="BL578" s="5">
        <f t="shared" si="236"/>
        <v>10</v>
      </c>
      <c r="BM578" s="4">
        <f>Modelling_old[[#This Row],[Target E_Grid daily
MWh]]+Modelling_new[[#This Row],[Target E_Grid daily
MWh]]</f>
        <v>109.23370253960269</v>
      </c>
      <c r="BN578" s="4">
        <f>Modelling_old[[#This Row],[Target E_Grid MTD
MWh]]+Modelling_new[[#This Row],[Target E_Grid MTD
MWh]]</f>
        <v>1310.804430475232</v>
      </c>
      <c r="BO578" s="4">
        <f>Modelling_old[[#This Row],[Target E_Grid YTD
MWh]]+Modelling_new[[#This Row],[Target E_Grid YTD
MWh]]</f>
        <v>19191.2728917245</v>
      </c>
      <c r="BP578" s="4">
        <f>AVERAGE(Modelling_old[[#This Row],[Target POA Daily (KWh/m2)]],Modelling_new[[#This Row],[Target POA Daily (KWh/m2)]])</f>
        <v>6.0354838709677416</v>
      </c>
      <c r="BQ578" s="4">
        <f>SUM($BP$567:BP578)</f>
        <v>72.425806451612885</v>
      </c>
      <c r="BR578" s="4">
        <f>SUM($BP$384:BP578)</f>
        <v>1041.2258064516082</v>
      </c>
      <c r="BS578" s="323">
        <f>BM578/Modelling[[#This Row],[Comisined DC ]]/BP578</f>
        <v>0.74470262898426853</v>
      </c>
      <c r="BT578" s="337">
        <f>BN578/BQ578/Modelling[[#This Row],[Comisined DC ]]</f>
        <v>0.74470262898426853</v>
      </c>
      <c r="BU578" s="337">
        <f>BO578/BR578/Modelling[[#This Row],[Comisined DC ]]</f>
        <v>0.75839800806325675</v>
      </c>
      <c r="BV578" s="323">
        <f>BM578/(24*Modelling[[#This Row],[Comisined DC ]])</f>
        <v>0.18727669607924277</v>
      </c>
      <c r="BW578" s="323">
        <f>Modelling[[#This Row],[Target E_Grid MTD
MWh]]/Modelling[[#This Row],[MTD DC Capcity]]/(24*CG578)</f>
        <v>0.18727669607924274</v>
      </c>
      <c r="BX578" s="338">
        <f>Modelling[[#This Row],[Target E_Grid YTD
MWh]]/Modelling[[#This Row],[YTD DC Capcity]]/(24*CH578)</f>
        <v>0.1687315336660162</v>
      </c>
      <c r="BY578" s="4">
        <f>Modelling_old[[#This Row],[DC Capcity]]+Modelling_new[[#This Row],[Comisined DC ]]</f>
        <v>24.303100000000001</v>
      </c>
      <c r="BZ578" s="4">
        <v>0</v>
      </c>
      <c r="CA578">
        <f>AVERAGEIFS(Modelling[[Comisined DC ]],Modelling[Date],"&lt;="&amp;Modelling[[#This Row],[Date]],Modelling[Month Year],Modelling[[#This Row],[Month Year]])</f>
        <v>24.303100000000001</v>
      </c>
      <c r="CB578">
        <f>AVERAGEIFS(Modelling[[Comisined DC ]],Modelling[Date],"&lt;="&amp;Modelling[[#This Row],[Date]],Modelling[Finacial Year],Modelling[[#This Row],[Finacial Year]])</f>
        <v>24.303100000000061</v>
      </c>
      <c r="CG578">
        <f t="shared" si="215"/>
        <v>12</v>
      </c>
      <c r="CH578">
        <f t="shared" ref="CH578:CH641" si="237">CH577+1</f>
        <v>195</v>
      </c>
    </row>
    <row r="579" spans="1:86" x14ac:dyDescent="0.35">
      <c r="A579" s="27">
        <f t="shared" si="216"/>
        <v>45578</v>
      </c>
      <c r="B579" s="5">
        <f>MONTH(Modelling_old[[#This Row],[Date]])</f>
        <v>10</v>
      </c>
      <c r="C579" s="25">
        <f t="shared" si="217"/>
        <v>2025</v>
      </c>
      <c r="D579" s="3">
        <f t="shared" si="218"/>
        <v>2024</v>
      </c>
      <c r="E579" s="3" t="s">
        <v>627</v>
      </c>
      <c r="F579" s="3" t="s">
        <v>627</v>
      </c>
      <c r="G579" s="102">
        <f>DATE(Modelling_old[[#This Row],[Calendor Year]],Modelling_old[[#This Row],[Start Month]],1)</f>
        <v>45566</v>
      </c>
      <c r="H579" s="5">
        <f t="shared" si="219"/>
        <v>31</v>
      </c>
      <c r="I579" s="5">
        <f t="shared" si="220"/>
        <v>10</v>
      </c>
      <c r="J579" s="4">
        <f>_xlfn.XLOOKUP(Modelling_old[[#This Row],[Month]],$C$1:$C$14,$N$1:$N$14)/Modelling_old[[#This Row],[Total Days]]</f>
        <v>48.038709677419355</v>
      </c>
      <c r="K579" s="4">
        <f>SUM($J$567:J579)</f>
        <v>624.50322580645161</v>
      </c>
      <c r="L579" s="4">
        <f>SUM($J$384:J579)</f>
        <v>8353.5032258064384</v>
      </c>
      <c r="M579" s="4">
        <f t="shared" si="221"/>
        <v>6.0354838709677416</v>
      </c>
      <c r="N579" s="4">
        <f>SUM($M$567:M579)</f>
        <v>78.461290322580624</v>
      </c>
      <c r="O579" s="4">
        <f>SUM($M$384:M579)</f>
        <v>1047.2612903225759</v>
      </c>
      <c r="P579" s="323">
        <f t="shared" si="222"/>
        <v>0.69193347973063524</v>
      </c>
      <c r="Q579" s="337">
        <f t="shared" si="223"/>
        <v>0.69193347973063546</v>
      </c>
      <c r="R579" s="337">
        <f t="shared" si="224"/>
        <v>0.69342372760945359</v>
      </c>
      <c r="S579" s="323">
        <f t="shared" si="225"/>
        <v>0.1740063898623681</v>
      </c>
      <c r="T579" s="9">
        <f>Modelling_old[[#This Row],[Target E_Grid MTD
MWh]]/Modelling_old[[#This Row],[DC Capcity]]/(24*CG579)</f>
        <v>0.1740063898623681</v>
      </c>
      <c r="U579" s="338">
        <f>Modelling_old[[#This Row],[Target E_Grid YTD
MWh]]/Modelling_old[[#This Row],[DC Capcity]]/(24*CH579)</f>
        <v>0.15437836473566469</v>
      </c>
      <c r="V579" s="134">
        <v>11.5031</v>
      </c>
      <c r="Y579" s="27">
        <f t="shared" si="212"/>
        <v>45578</v>
      </c>
      <c r="Z579" s="5">
        <f>MONTH(Modelling_new[[#This Row],[Date]])</f>
        <v>10</v>
      </c>
      <c r="AA579" s="25">
        <f>YEAR(Y579)+IF(MONTH(Modelling_new[[#This Row],[Date]])&gt;=4,1,0)</f>
        <v>2025</v>
      </c>
      <c r="AB579" s="3">
        <f t="shared" si="226"/>
        <v>2024</v>
      </c>
      <c r="AC579" s="3" t="s">
        <v>627</v>
      </c>
      <c r="AD579" s="3" t="s">
        <v>627</v>
      </c>
      <c r="AE579" s="102">
        <f>DATE(Modelling_old[[#This Row],[Calendor Year]],Modelling_old[[#This Row],[Start Month]],1)</f>
        <v>45566</v>
      </c>
      <c r="AF579" s="5">
        <f t="shared" si="227"/>
        <v>31</v>
      </c>
      <c r="AG579" s="5">
        <f t="shared" si="228"/>
        <v>10</v>
      </c>
      <c r="AH579" s="4">
        <f>_xlfn.XLOOKUP(Modelling_new[[#This Row],[Month]],$AA$1:$AA$14,$AL$1:$AL$14)/Modelling_new[[#This Row],[Total Days]]</f>
        <v>61.194992862183334</v>
      </c>
      <c r="AI579" s="4">
        <f>SUM($AH$567:AH579)</f>
        <v>795.53490720838317</v>
      </c>
      <c r="AJ579" s="4">
        <f>SUM($AH$384:AH579)</f>
        <v>10947.003368457665</v>
      </c>
      <c r="AK579" s="4">
        <f t="shared" si="229"/>
        <v>6.0354838709677416</v>
      </c>
      <c r="AL579" s="4">
        <f>SUM($AK$567:AK579)</f>
        <v>78.461290322580624</v>
      </c>
      <c r="AM579" s="4">
        <f>SUM($AK$384:AK579)</f>
        <v>1047.2612903225759</v>
      </c>
      <c r="AN579" s="323">
        <f t="shared" si="230"/>
        <v>0.88143217495962878</v>
      </c>
      <c r="AO579" s="323">
        <f t="shared" si="231"/>
        <v>0.88143217495962878</v>
      </c>
      <c r="AP579" s="323">
        <f t="shared" si="232"/>
        <v>0.90870999588036183</v>
      </c>
      <c r="AQ579" s="323">
        <f t="shared" si="233"/>
        <v>0.22166123647170233</v>
      </c>
      <c r="AR579" s="323">
        <f>Modelling_new[[#This Row],[Target E_Grid MTD
MWh]]/Modelling_new[[#This Row],[MTD DC Capcity]]/(24*CG579)</f>
        <v>0.19920245072325299</v>
      </c>
      <c r="AS579" s="323">
        <f>Modelling_new[[#This Row],[Target E_Grid YTD
MWh]]/Modelling_new[[#This Row],[YTD DC Capcity]]/(24*CH579)</f>
        <v>0.18181008464301757</v>
      </c>
      <c r="AT579" s="5">
        <v>12.8</v>
      </c>
      <c r="AU579" s="9">
        <f>Modelling_new[[#This Row],[Comisined DC ]]/$AO$1</f>
        <v>1</v>
      </c>
      <c r="AV579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79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579" s="27">
        <f t="shared" si="213"/>
        <v>45578</v>
      </c>
      <c r="BE579" s="5">
        <f>MONTH(Modelling[[#This Row],[Date]])</f>
        <v>10</v>
      </c>
      <c r="BF579" s="25">
        <f>YEAR(BD579)+IF(MONTH(Modelling[[#This Row],[Date]])&gt;=4,1,0)</f>
        <v>2025</v>
      </c>
      <c r="BG579" s="3">
        <f t="shared" si="234"/>
        <v>2024</v>
      </c>
      <c r="BH579" s="3" t="s">
        <v>627</v>
      </c>
      <c r="BI579" s="3" t="s">
        <v>627</v>
      </c>
      <c r="BJ579" s="102">
        <f>DATE(Modelling_old[[#This Row],[Calendor Year]],Modelling_old[[#This Row],[Start Month]],1)</f>
        <v>45566</v>
      </c>
      <c r="BK579" s="5">
        <f t="shared" si="235"/>
        <v>31</v>
      </c>
      <c r="BL579" s="5">
        <f t="shared" si="236"/>
        <v>10</v>
      </c>
      <c r="BM579" s="4">
        <f>Modelling_old[[#This Row],[Target E_Grid daily
MWh]]+Modelling_new[[#This Row],[Target E_Grid daily
MWh]]</f>
        <v>109.23370253960269</v>
      </c>
      <c r="BN579" s="4">
        <f>Modelling_old[[#This Row],[Target E_Grid MTD
MWh]]+Modelling_new[[#This Row],[Target E_Grid MTD
MWh]]</f>
        <v>1420.0381330148348</v>
      </c>
      <c r="BO579" s="4">
        <f>Modelling_old[[#This Row],[Target E_Grid YTD
MWh]]+Modelling_new[[#This Row],[Target E_Grid YTD
MWh]]</f>
        <v>19300.506594264101</v>
      </c>
      <c r="BP579" s="4">
        <f>AVERAGE(Modelling_old[[#This Row],[Target POA Daily (KWh/m2)]],Modelling_new[[#This Row],[Target POA Daily (KWh/m2)]])</f>
        <v>6.0354838709677416</v>
      </c>
      <c r="BQ579" s="4">
        <f>SUM($BP$567:BP579)</f>
        <v>78.461290322580624</v>
      </c>
      <c r="BR579" s="4">
        <f>SUM($BP$384:BP579)</f>
        <v>1047.2612903225759</v>
      </c>
      <c r="BS579" s="323">
        <f>BM579/Modelling[[#This Row],[Comisined DC ]]/BP579</f>
        <v>0.74470262898426853</v>
      </c>
      <c r="BT579" s="337">
        <f>BN579/BQ579/Modelling[[#This Row],[Comisined DC ]]</f>
        <v>0.74470262898426864</v>
      </c>
      <c r="BU579" s="337">
        <f>BO579/BR579/Modelling[[#This Row],[Comisined DC ]]</f>
        <v>0.75831908006285997</v>
      </c>
      <c r="BV579" s="323">
        <f>BM579/(24*Modelling[[#This Row],[Comisined DC ]])</f>
        <v>0.18727669607924277</v>
      </c>
      <c r="BW579" s="323">
        <f>Modelling[[#This Row],[Target E_Grid MTD
MWh]]/Modelling[[#This Row],[MTD DC Capcity]]/(24*CG579)</f>
        <v>0.1872766960792428</v>
      </c>
      <c r="BX579" s="338">
        <f>Modelling[[#This Row],[Target E_Grid YTD
MWh]]/Modelling[[#This Row],[YTD DC Capcity]]/(24*CH579)</f>
        <v>0.16882615184159386</v>
      </c>
      <c r="BY579" s="4">
        <f>Modelling_old[[#This Row],[DC Capcity]]+Modelling_new[[#This Row],[Comisined DC ]]</f>
        <v>24.303100000000001</v>
      </c>
      <c r="BZ579" s="4">
        <v>0</v>
      </c>
      <c r="CA579">
        <f>AVERAGEIFS(Modelling[[Comisined DC ]],Modelling[Date],"&lt;="&amp;Modelling[[#This Row],[Date]],Modelling[Month Year],Modelling[[#This Row],[Month Year]])</f>
        <v>24.303099999999997</v>
      </c>
      <c r="CB579">
        <f>AVERAGEIFS(Modelling[[Comisined DC ]],Modelling[Date],"&lt;="&amp;Modelling[[#This Row],[Date]],Modelling[Finacial Year],Modelling[[#This Row],[Finacial Year]])</f>
        <v>24.303100000000061</v>
      </c>
      <c r="CG579">
        <f t="shared" si="215"/>
        <v>13</v>
      </c>
      <c r="CH579">
        <f t="shared" si="237"/>
        <v>196</v>
      </c>
    </row>
    <row r="580" spans="1:86" x14ac:dyDescent="0.35">
      <c r="A580" s="27">
        <f t="shared" si="216"/>
        <v>45579</v>
      </c>
      <c r="B580" s="5">
        <f>MONTH(Modelling_old[[#This Row],[Date]])</f>
        <v>10</v>
      </c>
      <c r="C580" s="25">
        <f t="shared" si="217"/>
        <v>2025</v>
      </c>
      <c r="D580" s="3">
        <f t="shared" si="218"/>
        <v>2024</v>
      </c>
      <c r="E580" s="3" t="s">
        <v>627</v>
      </c>
      <c r="F580" s="3" t="s">
        <v>627</v>
      </c>
      <c r="G580" s="102">
        <f>DATE(Modelling_old[[#This Row],[Calendor Year]],Modelling_old[[#This Row],[Start Month]],1)</f>
        <v>45566</v>
      </c>
      <c r="H580" s="5">
        <f t="shared" si="219"/>
        <v>31</v>
      </c>
      <c r="I580" s="5">
        <f t="shared" si="220"/>
        <v>10</v>
      </c>
      <c r="J580" s="4">
        <f>_xlfn.XLOOKUP(Modelling_old[[#This Row],[Month]],$C$1:$C$14,$N$1:$N$14)/Modelling_old[[#This Row],[Total Days]]</f>
        <v>48.038709677419355</v>
      </c>
      <c r="K580" s="4">
        <f>SUM($J$567:J580)</f>
        <v>672.54193548387093</v>
      </c>
      <c r="L580" s="4">
        <f>SUM($J$384:J580)</f>
        <v>8401.5419354838577</v>
      </c>
      <c r="M580" s="4">
        <f t="shared" si="221"/>
        <v>6.0354838709677416</v>
      </c>
      <c r="N580" s="4">
        <f>SUM($M$567:M580)</f>
        <v>84.496774193548362</v>
      </c>
      <c r="O580" s="4">
        <f>SUM($M$384:M580)</f>
        <v>1053.2967741935436</v>
      </c>
      <c r="P580" s="323">
        <f t="shared" si="222"/>
        <v>0.69193347973063524</v>
      </c>
      <c r="Q580" s="337">
        <f t="shared" si="223"/>
        <v>0.69193347973063546</v>
      </c>
      <c r="R580" s="337">
        <f t="shared" si="224"/>
        <v>0.69341518835702565</v>
      </c>
      <c r="S580" s="323">
        <f t="shared" si="225"/>
        <v>0.1740063898623681</v>
      </c>
      <c r="T580" s="9">
        <f>Modelling_old[[#This Row],[Target E_Grid MTD
MWh]]/Modelling_old[[#This Row],[DC Capcity]]/(24*CG580)</f>
        <v>0.1740063898623681</v>
      </c>
      <c r="U580" s="338">
        <f>Modelling_old[[#This Row],[Target E_Grid YTD
MWh]]/Modelling_old[[#This Row],[DC Capcity]]/(24*CH580)</f>
        <v>0.15447799938097792</v>
      </c>
      <c r="V580" s="134">
        <v>11.5031</v>
      </c>
      <c r="Y580" s="27">
        <f t="shared" si="212"/>
        <v>45579</v>
      </c>
      <c r="Z580" s="5">
        <f>MONTH(Modelling_new[[#This Row],[Date]])</f>
        <v>10</v>
      </c>
      <c r="AA580" s="25">
        <f>YEAR(Y580)+IF(MONTH(Modelling_new[[#This Row],[Date]])&gt;=4,1,0)</f>
        <v>2025</v>
      </c>
      <c r="AB580" s="3">
        <f t="shared" si="226"/>
        <v>2024</v>
      </c>
      <c r="AC580" s="3" t="s">
        <v>627</v>
      </c>
      <c r="AD580" s="3" t="s">
        <v>627</v>
      </c>
      <c r="AE580" s="102">
        <f>DATE(Modelling_old[[#This Row],[Calendor Year]],Modelling_old[[#This Row],[Start Month]],1)</f>
        <v>45566</v>
      </c>
      <c r="AF580" s="5">
        <f t="shared" si="227"/>
        <v>31</v>
      </c>
      <c r="AG580" s="5">
        <f t="shared" si="228"/>
        <v>10</v>
      </c>
      <c r="AH580" s="4">
        <f>_xlfn.XLOOKUP(Modelling_new[[#This Row],[Month]],$AA$1:$AA$14,$AL$1:$AL$14)/Modelling_new[[#This Row],[Total Days]]</f>
        <v>61.194992862183334</v>
      </c>
      <c r="AI580" s="4">
        <f>SUM($AH$567:AH580)</f>
        <v>856.72990007056649</v>
      </c>
      <c r="AJ580" s="4">
        <f>SUM($AH$384:AH580)</f>
        <v>11008.198361319848</v>
      </c>
      <c r="AK580" s="4">
        <f t="shared" si="229"/>
        <v>6.0354838709677416</v>
      </c>
      <c r="AL580" s="4">
        <f>SUM($AK$567:AK580)</f>
        <v>84.496774193548362</v>
      </c>
      <c r="AM580" s="4">
        <f>SUM($AK$384:AK580)</f>
        <v>1053.2967741935436</v>
      </c>
      <c r="AN580" s="323">
        <f t="shared" si="230"/>
        <v>0.88143217495962878</v>
      </c>
      <c r="AO580" s="323">
        <f t="shared" si="231"/>
        <v>0.88143217495962878</v>
      </c>
      <c r="AP580" s="323">
        <f t="shared" si="232"/>
        <v>0.90855369154882326</v>
      </c>
      <c r="AQ580" s="323">
        <f t="shared" si="233"/>
        <v>0.22166123647170233</v>
      </c>
      <c r="AR580" s="323">
        <f>Modelling_new[[#This Row],[Target E_Grid MTD
MWh]]/Modelling_new[[#This Row],[MTD DC Capcity]]/(24*CG580)</f>
        <v>0.19920245072325299</v>
      </c>
      <c r="AS580" s="323">
        <f>Modelling_new[[#This Row],[Target E_Grid YTD
MWh]]/Modelling_new[[#This Row],[YTD DC Capcity]]/(24*CH580)</f>
        <v>0.18189837076525228</v>
      </c>
      <c r="AT580" s="5">
        <v>12.8</v>
      </c>
      <c r="AU580" s="9">
        <f>Modelling_new[[#This Row],[Comisined DC ]]/$AO$1</f>
        <v>1</v>
      </c>
      <c r="AV580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80" s="5">
        <f>AVERAGEIFS(Modelling_new[[Comisined DC ]],Modelling_new[Date],"&lt;="&amp;Modelling_new[[#This Row],[Date]],Modelling_new[[Comisined DC ]],"&gt;"&amp;0,Modelling_new[Finacial Year],Modelling_new[[#This Row],[Finacial Year]])</f>
        <v>12.800000000000006</v>
      </c>
      <c r="BD580" s="27">
        <f t="shared" si="213"/>
        <v>45579</v>
      </c>
      <c r="BE580" s="5">
        <f>MONTH(Modelling[[#This Row],[Date]])</f>
        <v>10</v>
      </c>
      <c r="BF580" s="25">
        <f>YEAR(BD580)+IF(MONTH(Modelling[[#This Row],[Date]])&gt;=4,1,0)</f>
        <v>2025</v>
      </c>
      <c r="BG580" s="3">
        <f t="shared" si="234"/>
        <v>2024</v>
      </c>
      <c r="BH580" s="3" t="s">
        <v>627</v>
      </c>
      <c r="BI580" s="3" t="s">
        <v>627</v>
      </c>
      <c r="BJ580" s="102">
        <f>DATE(Modelling_old[[#This Row],[Calendor Year]],Modelling_old[[#This Row],[Start Month]],1)</f>
        <v>45566</v>
      </c>
      <c r="BK580" s="5">
        <f t="shared" si="235"/>
        <v>31</v>
      </c>
      <c r="BL580" s="5">
        <f t="shared" si="236"/>
        <v>10</v>
      </c>
      <c r="BM580" s="4">
        <f>Modelling_old[[#This Row],[Target E_Grid daily
MWh]]+Modelling_new[[#This Row],[Target E_Grid daily
MWh]]</f>
        <v>109.23370253960269</v>
      </c>
      <c r="BN580" s="4">
        <f>Modelling_old[[#This Row],[Target E_Grid MTD
MWh]]+Modelling_new[[#This Row],[Target E_Grid MTD
MWh]]</f>
        <v>1529.2718355544375</v>
      </c>
      <c r="BO580" s="4">
        <f>Modelling_old[[#This Row],[Target E_Grid YTD
MWh]]+Modelling_new[[#This Row],[Target E_Grid YTD
MWh]]</f>
        <v>19409.740296803706</v>
      </c>
      <c r="BP580" s="4">
        <f>AVERAGE(Modelling_old[[#This Row],[Target POA Daily (KWh/m2)]],Modelling_new[[#This Row],[Target POA Daily (KWh/m2)]])</f>
        <v>6.0354838709677416</v>
      </c>
      <c r="BQ580" s="4">
        <f>SUM($BP$567:BP580)</f>
        <v>84.496774193548362</v>
      </c>
      <c r="BR580" s="4">
        <f>SUM($BP$384:BP580)</f>
        <v>1053.2967741935436</v>
      </c>
      <c r="BS580" s="323">
        <f>BM580/Modelling[[#This Row],[Comisined DC ]]/BP580</f>
        <v>0.74470262898426853</v>
      </c>
      <c r="BT580" s="337">
        <f>BN580/BQ580/Modelling[[#This Row],[Comisined DC ]]</f>
        <v>0.74470262898426864</v>
      </c>
      <c r="BU580" s="337">
        <f>BO580/BR580/Modelling[[#This Row],[Comisined DC ]]</f>
        <v>0.758241056591339</v>
      </c>
      <c r="BV580" s="323">
        <f>BM580/(24*Modelling[[#This Row],[Comisined DC ]])</f>
        <v>0.18727669607924277</v>
      </c>
      <c r="BW580" s="323">
        <f>Modelling[[#This Row],[Target E_Grid MTD
MWh]]/Modelling[[#This Row],[MTD DC Capcity]]/(24*CG580)</f>
        <v>0.1872766960792428</v>
      </c>
      <c r="BX580" s="338">
        <f>Modelling[[#This Row],[Target E_Grid YTD
MWh]]/Modelling[[#This Row],[YTD DC Capcity]]/(24*CH580)</f>
        <v>0.16891980942655654</v>
      </c>
      <c r="BY580" s="4">
        <f>Modelling_old[[#This Row],[DC Capcity]]+Modelling_new[[#This Row],[Comisined DC ]]</f>
        <v>24.303100000000001</v>
      </c>
      <c r="BZ580" s="4">
        <v>0</v>
      </c>
      <c r="CA580">
        <f>AVERAGEIFS(Modelling[[Comisined DC ]],Modelling[Date],"&lt;="&amp;Modelling[[#This Row],[Date]],Modelling[Month Year],Modelling[[#This Row],[Month Year]])</f>
        <v>24.303099999999997</v>
      </c>
      <c r="CB580">
        <f>AVERAGEIFS(Modelling[[Comisined DC ]],Modelling[Date],"&lt;="&amp;Modelling[[#This Row],[Date]],Modelling[Finacial Year],Modelling[[#This Row],[Finacial Year]])</f>
        <v>24.303100000000065</v>
      </c>
      <c r="CG580">
        <f t="shared" si="215"/>
        <v>14</v>
      </c>
      <c r="CH580">
        <f t="shared" si="237"/>
        <v>197</v>
      </c>
    </row>
    <row r="581" spans="1:86" x14ac:dyDescent="0.35">
      <c r="A581" s="27">
        <f t="shared" si="216"/>
        <v>45580</v>
      </c>
      <c r="B581" s="5">
        <f>MONTH(Modelling_old[[#This Row],[Date]])</f>
        <v>10</v>
      </c>
      <c r="C581" s="25">
        <f t="shared" si="217"/>
        <v>2025</v>
      </c>
      <c r="D581" s="3">
        <f t="shared" si="218"/>
        <v>2024</v>
      </c>
      <c r="E581" s="3" t="s">
        <v>627</v>
      </c>
      <c r="F581" s="3" t="s">
        <v>627</v>
      </c>
      <c r="G581" s="102">
        <f>DATE(Modelling_old[[#This Row],[Calendor Year]],Modelling_old[[#This Row],[Start Month]],1)</f>
        <v>45566</v>
      </c>
      <c r="H581" s="5">
        <f t="shared" si="219"/>
        <v>31</v>
      </c>
      <c r="I581" s="5">
        <f t="shared" si="220"/>
        <v>10</v>
      </c>
      <c r="J581" s="4">
        <f>_xlfn.XLOOKUP(Modelling_old[[#This Row],[Month]],$C$1:$C$14,$N$1:$N$14)/Modelling_old[[#This Row],[Total Days]]</f>
        <v>48.038709677419355</v>
      </c>
      <c r="K581" s="4">
        <f>SUM($J$567:J581)</f>
        <v>720.58064516129025</v>
      </c>
      <c r="L581" s="4">
        <f>SUM($J$384:J581)</f>
        <v>8449.5806451612771</v>
      </c>
      <c r="M581" s="4">
        <f t="shared" si="221"/>
        <v>6.0354838709677416</v>
      </c>
      <c r="N581" s="4">
        <f>SUM($M$567:M581)</f>
        <v>90.5322580645161</v>
      </c>
      <c r="O581" s="4">
        <f>SUM($M$384:M581)</f>
        <v>1059.3322580645113</v>
      </c>
      <c r="P581" s="323">
        <f t="shared" si="222"/>
        <v>0.69193347973063524</v>
      </c>
      <c r="Q581" s="337">
        <f t="shared" si="223"/>
        <v>0.69193347973063546</v>
      </c>
      <c r="R581" s="337">
        <f t="shared" si="224"/>
        <v>0.69340674640838496</v>
      </c>
      <c r="S581" s="323">
        <f t="shared" si="225"/>
        <v>0.1740063898623681</v>
      </c>
      <c r="T581" s="9">
        <f>Modelling_old[[#This Row],[Target E_Grid MTD
MWh]]/Modelling_old[[#This Row],[DC Capcity]]/(24*CG581)</f>
        <v>0.17400638986236808</v>
      </c>
      <c r="U581" s="338">
        <f>Modelling_old[[#This Row],[Target E_Grid YTD
MWh]]/Modelling_old[[#This Row],[DC Capcity]]/(24*CH581)</f>
        <v>0.1545766276157324</v>
      </c>
      <c r="V581" s="134">
        <v>11.5031</v>
      </c>
      <c r="Y581" s="27">
        <f t="shared" si="212"/>
        <v>45580</v>
      </c>
      <c r="Z581" s="5">
        <f>MONTH(Modelling_new[[#This Row],[Date]])</f>
        <v>10</v>
      </c>
      <c r="AA581" s="25">
        <f>YEAR(Y581)+IF(MONTH(Modelling_new[[#This Row],[Date]])&gt;=4,1,0)</f>
        <v>2025</v>
      </c>
      <c r="AB581" s="3">
        <f t="shared" si="226"/>
        <v>2024</v>
      </c>
      <c r="AC581" s="3" t="s">
        <v>627</v>
      </c>
      <c r="AD581" s="3" t="s">
        <v>627</v>
      </c>
      <c r="AE581" s="102">
        <f>DATE(Modelling_old[[#This Row],[Calendor Year]],Modelling_old[[#This Row],[Start Month]],1)</f>
        <v>45566</v>
      </c>
      <c r="AF581" s="5">
        <f t="shared" si="227"/>
        <v>31</v>
      </c>
      <c r="AG581" s="5">
        <f t="shared" si="228"/>
        <v>10</v>
      </c>
      <c r="AH581" s="4">
        <f>_xlfn.XLOOKUP(Modelling_new[[#This Row],[Month]],$AA$1:$AA$14,$AL$1:$AL$14)/Modelling_new[[#This Row],[Total Days]]</f>
        <v>61.194992862183334</v>
      </c>
      <c r="AI581" s="4">
        <f>SUM($AH$567:AH581)</f>
        <v>917.9248929327498</v>
      </c>
      <c r="AJ581" s="4">
        <f>SUM($AH$384:AH581)</f>
        <v>11069.393354182032</v>
      </c>
      <c r="AK581" s="4">
        <f t="shared" si="229"/>
        <v>6.0354838709677416</v>
      </c>
      <c r="AL581" s="4">
        <f>SUM($AK$567:AK581)</f>
        <v>90.5322580645161</v>
      </c>
      <c r="AM581" s="4">
        <f>SUM($AK$384:AK581)</f>
        <v>1059.3322580645113</v>
      </c>
      <c r="AN581" s="323">
        <f t="shared" si="230"/>
        <v>0.88143217495962878</v>
      </c>
      <c r="AO581" s="323">
        <f t="shared" si="231"/>
        <v>0.88143217495962878</v>
      </c>
      <c r="AP581" s="323">
        <f t="shared" si="232"/>
        <v>0.90839916828694367</v>
      </c>
      <c r="AQ581" s="323">
        <f t="shared" si="233"/>
        <v>0.22166123647170233</v>
      </c>
      <c r="AR581" s="323">
        <f>Modelling_new[[#This Row],[Target E_Grid MTD
MWh]]/Modelling_new[[#This Row],[MTD DC Capcity]]/(24*CG581)</f>
        <v>0.19920245072325293</v>
      </c>
      <c r="AS581" s="323">
        <f>Modelling_new[[#This Row],[Target E_Grid YTD
MWh]]/Modelling_new[[#This Row],[YTD DC Capcity]]/(24*CH581)</f>
        <v>0.18198576510847447</v>
      </c>
      <c r="AT581" s="5">
        <v>12.8</v>
      </c>
      <c r="AU581" s="9">
        <f>Modelling_new[[#This Row],[Comisined DC ]]/$AO$1</f>
        <v>1</v>
      </c>
      <c r="AV581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81" s="5">
        <f>AVERAGEIFS(Modelling_new[[Comisined DC ]],Modelling_new[Date],"&lt;="&amp;Modelling_new[[#This Row],[Date]],Modelling_new[[Comisined DC ]],"&gt;"&amp;0,Modelling_new[Finacial Year],Modelling_new[[#This Row],[Finacial Year]])</f>
        <v>12.800000000000008</v>
      </c>
      <c r="BD581" s="27">
        <f t="shared" si="213"/>
        <v>45580</v>
      </c>
      <c r="BE581" s="5">
        <f>MONTH(Modelling[[#This Row],[Date]])</f>
        <v>10</v>
      </c>
      <c r="BF581" s="25">
        <f>YEAR(BD581)+IF(MONTH(Modelling[[#This Row],[Date]])&gt;=4,1,0)</f>
        <v>2025</v>
      </c>
      <c r="BG581" s="3">
        <f t="shared" si="234"/>
        <v>2024</v>
      </c>
      <c r="BH581" s="3" t="s">
        <v>627</v>
      </c>
      <c r="BI581" s="3" t="s">
        <v>627</v>
      </c>
      <c r="BJ581" s="102">
        <f>DATE(Modelling_old[[#This Row],[Calendor Year]],Modelling_old[[#This Row],[Start Month]],1)</f>
        <v>45566</v>
      </c>
      <c r="BK581" s="5">
        <f t="shared" si="235"/>
        <v>31</v>
      </c>
      <c r="BL581" s="5">
        <f t="shared" si="236"/>
        <v>10</v>
      </c>
      <c r="BM581" s="4">
        <f>Modelling_old[[#This Row],[Target E_Grid daily
MWh]]+Modelling_new[[#This Row],[Target E_Grid daily
MWh]]</f>
        <v>109.23370253960269</v>
      </c>
      <c r="BN581" s="4">
        <f>Modelling_old[[#This Row],[Target E_Grid MTD
MWh]]+Modelling_new[[#This Row],[Target E_Grid MTD
MWh]]</f>
        <v>1638.50553809404</v>
      </c>
      <c r="BO581" s="4">
        <f>Modelling_old[[#This Row],[Target E_Grid YTD
MWh]]+Modelling_new[[#This Row],[Target E_Grid YTD
MWh]]</f>
        <v>19518.97399934331</v>
      </c>
      <c r="BP581" s="4">
        <f>AVERAGE(Modelling_old[[#This Row],[Target POA Daily (KWh/m2)]],Modelling_new[[#This Row],[Target POA Daily (KWh/m2)]])</f>
        <v>6.0354838709677416</v>
      </c>
      <c r="BQ581" s="4">
        <f>SUM($BP$567:BP581)</f>
        <v>90.5322580645161</v>
      </c>
      <c r="BR581" s="4">
        <f>SUM($BP$384:BP581)</f>
        <v>1059.3322580645113</v>
      </c>
      <c r="BS581" s="323">
        <f>BM581/Modelling[[#This Row],[Comisined DC ]]/BP581</f>
        <v>0.74470262898426853</v>
      </c>
      <c r="BT581" s="337">
        <f>BN581/BQ581/Modelling[[#This Row],[Comisined DC ]]</f>
        <v>0.74470262898426864</v>
      </c>
      <c r="BU581" s="337">
        <f>BO581/BR581/Modelling[[#This Row],[Comisined DC ]]</f>
        <v>0.75816392218819151</v>
      </c>
      <c r="BV581" s="323">
        <f>BM581/(24*Modelling[[#This Row],[Comisined DC ]])</f>
        <v>0.18727669607924277</v>
      </c>
      <c r="BW581" s="323">
        <f>Modelling[[#This Row],[Target E_Grid MTD
MWh]]/Modelling[[#This Row],[MTD DC Capcity]]/(24*CG581)</f>
        <v>0.1872766960792428</v>
      </c>
      <c r="BX581" s="338">
        <f>Modelling[[#This Row],[Target E_Grid YTD
MWh]]/Modelling[[#This Row],[YTD DC Capcity]]/(24*CH581)</f>
        <v>0.16901252097530747</v>
      </c>
      <c r="BY581" s="4">
        <f>Modelling_old[[#This Row],[DC Capcity]]+Modelling_new[[#This Row],[Comisined DC ]]</f>
        <v>24.303100000000001</v>
      </c>
      <c r="BZ581" s="4">
        <v>0</v>
      </c>
      <c r="CA581">
        <f>AVERAGEIFS(Modelling[[Comisined DC ]],Modelling[Date],"&lt;="&amp;Modelling[[#This Row],[Date]],Modelling[Month Year],Modelling[[#This Row],[Month Year]])</f>
        <v>24.303099999999993</v>
      </c>
      <c r="CB581">
        <f>AVERAGEIFS(Modelling[[Comisined DC ]],Modelling[Date],"&lt;="&amp;Modelling[[#This Row],[Date]],Modelling[Finacial Year],Modelling[[#This Row],[Finacial Year]])</f>
        <v>24.303100000000065</v>
      </c>
      <c r="CG581">
        <f t="shared" si="215"/>
        <v>15</v>
      </c>
      <c r="CH581">
        <f t="shared" si="237"/>
        <v>198</v>
      </c>
    </row>
    <row r="582" spans="1:86" x14ac:dyDescent="0.35">
      <c r="A582" s="27">
        <f t="shared" si="216"/>
        <v>45581</v>
      </c>
      <c r="B582" s="5">
        <f>MONTH(Modelling_old[[#This Row],[Date]])</f>
        <v>10</v>
      </c>
      <c r="C582" s="25">
        <f t="shared" si="217"/>
        <v>2025</v>
      </c>
      <c r="D582" s="3">
        <f t="shared" si="218"/>
        <v>2024</v>
      </c>
      <c r="E582" s="3" t="s">
        <v>627</v>
      </c>
      <c r="F582" s="3" t="s">
        <v>627</v>
      </c>
      <c r="G582" s="102">
        <f>DATE(Modelling_old[[#This Row],[Calendor Year]],Modelling_old[[#This Row],[Start Month]],1)</f>
        <v>45566</v>
      </c>
      <c r="H582" s="5">
        <f t="shared" si="219"/>
        <v>31</v>
      </c>
      <c r="I582" s="5">
        <f t="shared" si="220"/>
        <v>10</v>
      </c>
      <c r="J582" s="4">
        <f>_xlfn.XLOOKUP(Modelling_old[[#This Row],[Month]],$C$1:$C$14,$N$1:$N$14)/Modelling_old[[#This Row],[Total Days]]</f>
        <v>48.038709677419355</v>
      </c>
      <c r="K582" s="4">
        <f>SUM($J$567:J582)</f>
        <v>768.61935483870957</v>
      </c>
      <c r="L582" s="4">
        <f>SUM($J$384:J582)</f>
        <v>8497.6193548386964</v>
      </c>
      <c r="M582" s="4">
        <f t="shared" si="221"/>
        <v>6.0354838709677416</v>
      </c>
      <c r="N582" s="4">
        <f>SUM($M$567:M582)</f>
        <v>96.567741935483838</v>
      </c>
      <c r="O582" s="4">
        <f>SUM($M$384:M582)</f>
        <v>1065.367741935479</v>
      </c>
      <c r="P582" s="323">
        <f t="shared" si="222"/>
        <v>0.69193347973063524</v>
      </c>
      <c r="Q582" s="337">
        <f t="shared" si="223"/>
        <v>0.69193347973063546</v>
      </c>
      <c r="R582" s="337">
        <f t="shared" si="224"/>
        <v>0.69339840010980536</v>
      </c>
      <c r="S582" s="323">
        <f t="shared" si="225"/>
        <v>0.1740063898623681</v>
      </c>
      <c r="T582" s="9">
        <f>Modelling_old[[#This Row],[Target E_Grid MTD
MWh]]/Modelling_old[[#This Row],[DC Capcity]]/(24*CG582)</f>
        <v>0.17400638986236808</v>
      </c>
      <c r="U582" s="338">
        <f>Modelling_old[[#This Row],[Target E_Grid YTD
MWh]]/Modelling_old[[#This Row],[DC Capcity]]/(24*CH582)</f>
        <v>0.15467426461194667</v>
      </c>
      <c r="V582" s="134">
        <v>11.5031</v>
      </c>
      <c r="Y582" s="27">
        <f t="shared" si="212"/>
        <v>45581</v>
      </c>
      <c r="Z582" s="5">
        <f>MONTH(Modelling_new[[#This Row],[Date]])</f>
        <v>10</v>
      </c>
      <c r="AA582" s="25">
        <f>YEAR(Y582)+IF(MONTH(Modelling_new[[#This Row],[Date]])&gt;=4,1,0)</f>
        <v>2025</v>
      </c>
      <c r="AB582" s="3">
        <f t="shared" si="226"/>
        <v>2024</v>
      </c>
      <c r="AC582" s="3" t="s">
        <v>627</v>
      </c>
      <c r="AD582" s="3" t="s">
        <v>627</v>
      </c>
      <c r="AE582" s="102">
        <f>DATE(Modelling_old[[#This Row],[Calendor Year]],Modelling_old[[#This Row],[Start Month]],1)</f>
        <v>45566</v>
      </c>
      <c r="AF582" s="5">
        <f t="shared" si="227"/>
        <v>31</v>
      </c>
      <c r="AG582" s="5">
        <f t="shared" si="228"/>
        <v>10</v>
      </c>
      <c r="AH582" s="4">
        <f>_xlfn.XLOOKUP(Modelling_new[[#This Row],[Month]],$AA$1:$AA$14,$AL$1:$AL$14)/Modelling_new[[#This Row],[Total Days]]</f>
        <v>61.194992862183334</v>
      </c>
      <c r="AI582" s="4">
        <f>SUM($AH$567:AH582)</f>
        <v>979.11988579493311</v>
      </c>
      <c r="AJ582" s="4">
        <f>SUM($AH$384:AH582)</f>
        <v>11130.588347044215</v>
      </c>
      <c r="AK582" s="4">
        <f t="shared" si="229"/>
        <v>6.0354838709677416</v>
      </c>
      <c r="AL582" s="4">
        <f>SUM($AK$567:AK582)</f>
        <v>96.567741935483838</v>
      </c>
      <c r="AM582" s="4">
        <f>SUM($AK$384:AK582)</f>
        <v>1065.367741935479</v>
      </c>
      <c r="AN582" s="323">
        <f t="shared" si="230"/>
        <v>0.88143217495962878</v>
      </c>
      <c r="AO582" s="323">
        <f t="shared" si="231"/>
        <v>0.88143217495962878</v>
      </c>
      <c r="AP582" s="323">
        <f t="shared" si="232"/>
        <v>0.90824639582456401</v>
      </c>
      <c r="AQ582" s="323">
        <f t="shared" si="233"/>
        <v>0.22166123647170233</v>
      </c>
      <c r="AR582" s="323">
        <f>Modelling_new[[#This Row],[Target E_Grid MTD
MWh]]/Modelling_new[[#This Row],[MTD DC Capcity]]/(24*CG582)</f>
        <v>0.19920245072325296</v>
      </c>
      <c r="AS582" s="323">
        <f>Modelling_new[[#This Row],[Target E_Grid YTD
MWh]]/Modelling_new[[#This Row],[YTD DC Capcity]]/(24*CH582)</f>
        <v>0.18207228111658894</v>
      </c>
      <c r="AT582" s="5">
        <v>12.8</v>
      </c>
      <c r="AU582" s="9">
        <f>Modelling_new[[#This Row],[Comisined DC ]]/$AO$1</f>
        <v>1</v>
      </c>
      <c r="AV582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82" s="5">
        <f>AVERAGEIFS(Modelling_new[[Comisined DC ]],Modelling_new[Date],"&lt;="&amp;Modelling_new[[#This Row],[Date]],Modelling_new[[Comisined DC ]],"&gt;"&amp;0,Modelling_new[Finacial Year],Modelling_new[[#This Row],[Finacial Year]])</f>
        <v>12.800000000000008</v>
      </c>
      <c r="BD582" s="27">
        <f t="shared" si="213"/>
        <v>45581</v>
      </c>
      <c r="BE582" s="5">
        <f>MONTH(Modelling[[#This Row],[Date]])</f>
        <v>10</v>
      </c>
      <c r="BF582" s="25">
        <f>YEAR(BD582)+IF(MONTH(Modelling[[#This Row],[Date]])&gt;=4,1,0)</f>
        <v>2025</v>
      </c>
      <c r="BG582" s="3">
        <f t="shared" si="234"/>
        <v>2024</v>
      </c>
      <c r="BH582" s="3" t="s">
        <v>627</v>
      </c>
      <c r="BI582" s="3" t="s">
        <v>627</v>
      </c>
      <c r="BJ582" s="102">
        <f>DATE(Modelling_old[[#This Row],[Calendor Year]],Modelling_old[[#This Row],[Start Month]],1)</f>
        <v>45566</v>
      </c>
      <c r="BK582" s="5">
        <f t="shared" si="235"/>
        <v>31</v>
      </c>
      <c r="BL582" s="5">
        <f t="shared" si="236"/>
        <v>10</v>
      </c>
      <c r="BM582" s="4">
        <f>Modelling_old[[#This Row],[Target E_Grid daily
MWh]]+Modelling_new[[#This Row],[Target E_Grid daily
MWh]]</f>
        <v>109.23370253960269</v>
      </c>
      <c r="BN582" s="4">
        <f>Modelling_old[[#This Row],[Target E_Grid MTD
MWh]]+Modelling_new[[#This Row],[Target E_Grid MTD
MWh]]</f>
        <v>1747.7392406336426</v>
      </c>
      <c r="BO582" s="4">
        <f>Modelling_old[[#This Row],[Target E_Grid YTD
MWh]]+Modelling_new[[#This Row],[Target E_Grid YTD
MWh]]</f>
        <v>19628.207701882911</v>
      </c>
      <c r="BP582" s="4">
        <f>AVERAGE(Modelling_old[[#This Row],[Target POA Daily (KWh/m2)]],Modelling_new[[#This Row],[Target POA Daily (KWh/m2)]])</f>
        <v>6.0354838709677416</v>
      </c>
      <c r="BQ582" s="4">
        <f>SUM($BP$567:BP582)</f>
        <v>96.567741935483838</v>
      </c>
      <c r="BR582" s="4">
        <f>SUM($BP$384:BP582)</f>
        <v>1065.367741935479</v>
      </c>
      <c r="BS582" s="323">
        <f>BM582/Modelling[[#This Row],[Comisined DC ]]/BP582</f>
        <v>0.74470262898426853</v>
      </c>
      <c r="BT582" s="337">
        <f>BN582/BQ582/Modelling[[#This Row],[Comisined DC ]]</f>
        <v>0.74470262898426853</v>
      </c>
      <c r="BU582" s="337">
        <f>BO582/BR582/Modelling[[#This Row],[Comisined DC ]]</f>
        <v>0.75808766174326092</v>
      </c>
      <c r="BV582" s="323">
        <f>BM582/(24*Modelling[[#This Row],[Comisined DC ]])</f>
        <v>0.18727669607924277</v>
      </c>
      <c r="BW582" s="323">
        <f>Modelling[[#This Row],[Target E_Grid MTD
MWh]]/Modelling[[#This Row],[MTD DC Capcity]]/(24*CG582)</f>
        <v>0.1872766960792428</v>
      </c>
      <c r="BX582" s="338">
        <f>Modelling[[#This Row],[Target E_Grid YTD
MWh]]/Modelling[[#This Row],[YTD DC Capcity]]/(24*CH582)</f>
        <v>0.16910430074969912</v>
      </c>
      <c r="BY582" s="4">
        <f>Modelling_old[[#This Row],[DC Capcity]]+Modelling_new[[#This Row],[Comisined DC ]]</f>
        <v>24.303100000000001</v>
      </c>
      <c r="BZ582" s="4">
        <v>0</v>
      </c>
      <c r="CA582">
        <f>AVERAGEIFS(Modelling[[Comisined DC ]],Modelling[Date],"&lt;="&amp;Modelling[[#This Row],[Date]],Modelling[Month Year],Modelling[[#This Row],[Month Year]])</f>
        <v>24.303099999999993</v>
      </c>
      <c r="CB582">
        <f>AVERAGEIFS(Modelling[[Comisined DC ]],Modelling[Date],"&lt;="&amp;Modelling[[#This Row],[Date]],Modelling[Finacial Year],Modelling[[#This Row],[Finacial Year]])</f>
        <v>24.303100000000065</v>
      </c>
      <c r="CG582">
        <f t="shared" si="215"/>
        <v>16</v>
      </c>
      <c r="CH582">
        <f t="shared" si="237"/>
        <v>199</v>
      </c>
    </row>
    <row r="583" spans="1:86" x14ac:dyDescent="0.35">
      <c r="A583" s="27">
        <f t="shared" si="216"/>
        <v>45582</v>
      </c>
      <c r="B583" s="5">
        <f>MONTH(Modelling_old[[#This Row],[Date]])</f>
        <v>10</v>
      </c>
      <c r="C583" s="25">
        <f t="shared" si="217"/>
        <v>2025</v>
      </c>
      <c r="D583" s="3">
        <f t="shared" si="218"/>
        <v>2024</v>
      </c>
      <c r="E583" s="3" t="s">
        <v>627</v>
      </c>
      <c r="F583" s="3" t="s">
        <v>627</v>
      </c>
      <c r="G583" s="102">
        <f>DATE(Modelling_old[[#This Row],[Calendor Year]],Modelling_old[[#This Row],[Start Month]],1)</f>
        <v>45566</v>
      </c>
      <c r="H583" s="5">
        <f t="shared" si="219"/>
        <v>31</v>
      </c>
      <c r="I583" s="5">
        <f t="shared" si="220"/>
        <v>10</v>
      </c>
      <c r="J583" s="4">
        <f>_xlfn.XLOOKUP(Modelling_old[[#This Row],[Month]],$C$1:$C$14,$N$1:$N$14)/Modelling_old[[#This Row],[Total Days]]</f>
        <v>48.038709677419355</v>
      </c>
      <c r="K583" s="4">
        <f>SUM($J$567:J583)</f>
        <v>816.65806451612889</v>
      </c>
      <c r="L583" s="4">
        <f>SUM($J$384:J583)</f>
        <v>8545.6580645161157</v>
      </c>
      <c r="M583" s="4">
        <f t="shared" si="221"/>
        <v>6.0354838709677416</v>
      </c>
      <c r="N583" s="4">
        <f>SUM($M$567:M583)</f>
        <v>102.60322580645158</v>
      </c>
      <c r="O583" s="4">
        <f>SUM($M$384:M583)</f>
        <v>1071.4032258064467</v>
      </c>
      <c r="P583" s="323">
        <f t="shared" si="222"/>
        <v>0.69193347973063524</v>
      </c>
      <c r="Q583" s="337">
        <f t="shared" si="223"/>
        <v>0.69193347973063546</v>
      </c>
      <c r="R583" s="337">
        <f t="shared" si="224"/>
        <v>0.69339014784482456</v>
      </c>
      <c r="S583" s="323">
        <f t="shared" si="225"/>
        <v>0.1740063898623681</v>
      </c>
      <c r="T583" s="9">
        <f>Modelling_old[[#This Row],[Target E_Grid MTD
MWh]]/Modelling_old[[#This Row],[DC Capcity]]/(24*CG583)</f>
        <v>0.17400638986236808</v>
      </c>
      <c r="U583" s="338">
        <f>Modelling_old[[#This Row],[Target E_Grid YTD
MWh]]/Modelling_old[[#This Row],[DC Capcity]]/(24*CH583)</f>
        <v>0.15477092523819874</v>
      </c>
      <c r="V583" s="134">
        <v>11.5031</v>
      </c>
      <c r="Y583" s="27">
        <f t="shared" si="212"/>
        <v>45582</v>
      </c>
      <c r="Z583" s="5">
        <f>MONTH(Modelling_new[[#This Row],[Date]])</f>
        <v>10</v>
      </c>
      <c r="AA583" s="25">
        <f>YEAR(Y583)+IF(MONTH(Modelling_new[[#This Row],[Date]])&gt;=4,1,0)</f>
        <v>2025</v>
      </c>
      <c r="AB583" s="3">
        <f t="shared" si="226"/>
        <v>2024</v>
      </c>
      <c r="AC583" s="3" t="s">
        <v>627</v>
      </c>
      <c r="AD583" s="3" t="s">
        <v>627</v>
      </c>
      <c r="AE583" s="102">
        <f>DATE(Modelling_old[[#This Row],[Calendor Year]],Modelling_old[[#This Row],[Start Month]],1)</f>
        <v>45566</v>
      </c>
      <c r="AF583" s="5">
        <f t="shared" si="227"/>
        <v>31</v>
      </c>
      <c r="AG583" s="5">
        <f t="shared" si="228"/>
        <v>10</v>
      </c>
      <c r="AH583" s="4">
        <f>_xlfn.XLOOKUP(Modelling_new[[#This Row],[Month]],$AA$1:$AA$14,$AL$1:$AL$14)/Modelling_new[[#This Row],[Total Days]]</f>
        <v>61.194992862183334</v>
      </c>
      <c r="AI583" s="4">
        <f>SUM($AH$567:AH583)</f>
        <v>1040.3148786571164</v>
      </c>
      <c r="AJ583" s="4">
        <f>SUM($AH$384:AH583)</f>
        <v>11191.783339906398</v>
      </c>
      <c r="AK583" s="4">
        <f t="shared" si="229"/>
        <v>6.0354838709677416</v>
      </c>
      <c r="AL583" s="4">
        <f>SUM($AK$567:AK583)</f>
        <v>102.60322580645158</v>
      </c>
      <c r="AM583" s="4">
        <f>SUM($AK$384:AK583)</f>
        <v>1071.4032258064467</v>
      </c>
      <c r="AN583" s="323">
        <f t="shared" si="230"/>
        <v>0.88143217495962878</v>
      </c>
      <c r="AO583" s="323">
        <f t="shared" si="231"/>
        <v>0.88143217495962878</v>
      </c>
      <c r="AP583" s="323">
        <f t="shared" si="232"/>
        <v>0.90809534457360186</v>
      </c>
      <c r="AQ583" s="323">
        <f t="shared" si="233"/>
        <v>0.22166123647170233</v>
      </c>
      <c r="AR583" s="323">
        <f>Modelling_new[[#This Row],[Target E_Grid MTD
MWh]]/Modelling_new[[#This Row],[MTD DC Capcity]]/(24*CG583)</f>
        <v>0.19920245072325296</v>
      </c>
      <c r="AS583" s="323">
        <f>Modelling_new[[#This Row],[Target E_Grid YTD
MWh]]/Modelling_new[[#This Row],[YTD DC Capcity]]/(24*CH583)</f>
        <v>0.18215793196462221</v>
      </c>
      <c r="AT583" s="5">
        <v>12.8</v>
      </c>
      <c r="AU583" s="9">
        <f>Modelling_new[[#This Row],[Comisined DC ]]/$AO$1</f>
        <v>1</v>
      </c>
      <c r="AV583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83" s="5">
        <f>AVERAGEIFS(Modelling_new[[Comisined DC ]],Modelling_new[Date],"&lt;="&amp;Modelling_new[[#This Row],[Date]],Modelling_new[[Comisined DC ]],"&gt;"&amp;0,Modelling_new[Finacial Year],Modelling_new[[#This Row],[Finacial Year]])</f>
        <v>12.80000000000001</v>
      </c>
      <c r="BD583" s="27">
        <f t="shared" si="213"/>
        <v>45582</v>
      </c>
      <c r="BE583" s="5">
        <f>MONTH(Modelling[[#This Row],[Date]])</f>
        <v>10</v>
      </c>
      <c r="BF583" s="25">
        <f>YEAR(BD583)+IF(MONTH(Modelling[[#This Row],[Date]])&gt;=4,1,0)</f>
        <v>2025</v>
      </c>
      <c r="BG583" s="3">
        <f t="shared" si="234"/>
        <v>2024</v>
      </c>
      <c r="BH583" s="3" t="s">
        <v>627</v>
      </c>
      <c r="BI583" s="3" t="s">
        <v>627</v>
      </c>
      <c r="BJ583" s="102">
        <f>DATE(Modelling_old[[#This Row],[Calendor Year]],Modelling_old[[#This Row],[Start Month]],1)</f>
        <v>45566</v>
      </c>
      <c r="BK583" s="5">
        <f t="shared" si="235"/>
        <v>31</v>
      </c>
      <c r="BL583" s="5">
        <f t="shared" si="236"/>
        <v>10</v>
      </c>
      <c r="BM583" s="4">
        <f>Modelling_old[[#This Row],[Target E_Grid daily
MWh]]+Modelling_new[[#This Row],[Target E_Grid daily
MWh]]</f>
        <v>109.23370253960269</v>
      </c>
      <c r="BN583" s="4">
        <f>Modelling_old[[#This Row],[Target E_Grid MTD
MWh]]+Modelling_new[[#This Row],[Target E_Grid MTD
MWh]]</f>
        <v>1856.9729431732453</v>
      </c>
      <c r="BO583" s="4">
        <f>Modelling_old[[#This Row],[Target E_Grid YTD
MWh]]+Modelling_new[[#This Row],[Target E_Grid YTD
MWh]]</f>
        <v>19737.441404422512</v>
      </c>
      <c r="BP583" s="4">
        <f>AVERAGE(Modelling_old[[#This Row],[Target POA Daily (KWh/m2)]],Modelling_new[[#This Row],[Target POA Daily (KWh/m2)]])</f>
        <v>6.0354838709677416</v>
      </c>
      <c r="BQ583" s="4">
        <f>SUM($BP$567:BP583)</f>
        <v>102.60322580645158</v>
      </c>
      <c r="BR583" s="4">
        <f>SUM($BP$384:BP583)</f>
        <v>1071.4032258064467</v>
      </c>
      <c r="BS583" s="323">
        <f>BM583/Modelling[[#This Row],[Comisined DC ]]/BP583</f>
        <v>0.74470262898426853</v>
      </c>
      <c r="BT583" s="337">
        <f>BN583/BQ583/Modelling[[#This Row],[Comisined DC ]]</f>
        <v>0.74470262898426864</v>
      </c>
      <c r="BU583" s="337">
        <f>BO583/BR583/Modelling[[#This Row],[Comisined DC ]]</f>
        <v>0.75801226048686787</v>
      </c>
      <c r="BV583" s="323">
        <f>BM583/(24*Modelling[[#This Row],[Comisined DC ]])</f>
        <v>0.18727669607924277</v>
      </c>
      <c r="BW583" s="323">
        <f>Modelling[[#This Row],[Target E_Grid MTD
MWh]]/Modelling[[#This Row],[MTD DC Capcity]]/(24*CG583)</f>
        <v>0.1872766960792428</v>
      </c>
      <c r="BX583" s="338">
        <f>Modelling[[#This Row],[Target E_Grid YTD
MWh]]/Modelling[[#This Row],[YTD DC Capcity]]/(24*CH583)</f>
        <v>0.1691951627263468</v>
      </c>
      <c r="BY583" s="4">
        <f>Modelling_old[[#This Row],[DC Capcity]]+Modelling_new[[#This Row],[Comisined DC ]]</f>
        <v>24.303100000000001</v>
      </c>
      <c r="BZ583" s="4">
        <v>0</v>
      </c>
      <c r="CA583">
        <f>AVERAGEIFS(Modelling[[Comisined DC ]],Modelling[Date],"&lt;="&amp;Modelling[[#This Row],[Date]],Modelling[Month Year],Modelling[[#This Row],[Month Year]])</f>
        <v>24.303099999999993</v>
      </c>
      <c r="CB583">
        <f>AVERAGEIFS(Modelling[[Comisined DC ]],Modelling[Date],"&lt;="&amp;Modelling[[#This Row],[Date]],Modelling[Finacial Year],Modelling[[#This Row],[Finacial Year]])</f>
        <v>24.303100000000065</v>
      </c>
      <c r="CG583">
        <f t="shared" si="215"/>
        <v>17</v>
      </c>
      <c r="CH583">
        <f t="shared" si="237"/>
        <v>200</v>
      </c>
    </row>
    <row r="584" spans="1:86" x14ac:dyDescent="0.35">
      <c r="A584" s="27">
        <f t="shared" si="216"/>
        <v>45583</v>
      </c>
      <c r="B584" s="5">
        <f>MONTH(Modelling_old[[#This Row],[Date]])</f>
        <v>10</v>
      </c>
      <c r="C584" s="25">
        <f t="shared" si="217"/>
        <v>2025</v>
      </c>
      <c r="D584" s="3">
        <f t="shared" si="218"/>
        <v>2024</v>
      </c>
      <c r="E584" s="3" t="s">
        <v>627</v>
      </c>
      <c r="F584" s="3" t="s">
        <v>627</v>
      </c>
      <c r="G584" s="102">
        <f>DATE(Modelling_old[[#This Row],[Calendor Year]],Modelling_old[[#This Row],[Start Month]],1)</f>
        <v>45566</v>
      </c>
      <c r="H584" s="5">
        <f t="shared" si="219"/>
        <v>31</v>
      </c>
      <c r="I584" s="5">
        <f t="shared" si="220"/>
        <v>10</v>
      </c>
      <c r="J584" s="4">
        <f>_xlfn.XLOOKUP(Modelling_old[[#This Row],[Month]],$C$1:$C$14,$N$1:$N$14)/Modelling_old[[#This Row],[Total Days]]</f>
        <v>48.038709677419355</v>
      </c>
      <c r="K584" s="4">
        <f>SUM($J$567:J584)</f>
        <v>864.69677419354821</v>
      </c>
      <c r="L584" s="4">
        <f>SUM($J$384:J584)</f>
        <v>8593.696774193535</v>
      </c>
      <c r="M584" s="4">
        <f t="shared" si="221"/>
        <v>6.0354838709677416</v>
      </c>
      <c r="N584" s="4">
        <f>SUM($M$567:M584)</f>
        <v>108.63870967741931</v>
      </c>
      <c r="O584" s="4">
        <f>SUM($M$384:M584)</f>
        <v>1077.4387096774144</v>
      </c>
      <c r="P584" s="323">
        <f t="shared" si="222"/>
        <v>0.69193347973063524</v>
      </c>
      <c r="Q584" s="337">
        <f t="shared" si="223"/>
        <v>0.69193347973063535</v>
      </c>
      <c r="R584" s="337">
        <f t="shared" si="224"/>
        <v>0.6933819880331995</v>
      </c>
      <c r="S584" s="323">
        <f t="shared" si="225"/>
        <v>0.1740063898623681</v>
      </c>
      <c r="T584" s="9">
        <f>Modelling_old[[#This Row],[Target E_Grid MTD
MWh]]/Modelling_old[[#This Row],[DC Capcity]]/(24*CG584)</f>
        <v>0.17400638986236808</v>
      </c>
      <c r="U584" s="338">
        <f>Modelling_old[[#This Row],[Target E_Grid YTD
MWh]]/Modelling_old[[#This Row],[DC Capcity]]/(24*CH584)</f>
        <v>0.15486662406717472</v>
      </c>
      <c r="V584" s="134">
        <v>11.5031</v>
      </c>
      <c r="Y584" s="27">
        <f t="shared" si="212"/>
        <v>45583</v>
      </c>
      <c r="Z584" s="5">
        <f>MONTH(Modelling_new[[#This Row],[Date]])</f>
        <v>10</v>
      </c>
      <c r="AA584" s="25">
        <f>YEAR(Y584)+IF(MONTH(Modelling_new[[#This Row],[Date]])&gt;=4,1,0)</f>
        <v>2025</v>
      </c>
      <c r="AB584" s="3">
        <f t="shared" si="226"/>
        <v>2024</v>
      </c>
      <c r="AC584" s="3" t="s">
        <v>627</v>
      </c>
      <c r="AD584" s="3" t="s">
        <v>627</v>
      </c>
      <c r="AE584" s="102">
        <f>DATE(Modelling_old[[#This Row],[Calendor Year]],Modelling_old[[#This Row],[Start Month]],1)</f>
        <v>45566</v>
      </c>
      <c r="AF584" s="5">
        <f t="shared" si="227"/>
        <v>31</v>
      </c>
      <c r="AG584" s="5">
        <f t="shared" si="228"/>
        <v>10</v>
      </c>
      <c r="AH584" s="4">
        <f>_xlfn.XLOOKUP(Modelling_new[[#This Row],[Month]],$AA$1:$AA$14,$AL$1:$AL$14)/Modelling_new[[#This Row],[Total Days]]</f>
        <v>61.194992862183334</v>
      </c>
      <c r="AI584" s="4">
        <f>SUM($AH$567:AH584)</f>
        <v>1101.5098715192998</v>
      </c>
      <c r="AJ584" s="4">
        <f>SUM($AH$384:AH584)</f>
        <v>11252.978332768582</v>
      </c>
      <c r="AK584" s="4">
        <f t="shared" si="229"/>
        <v>6.0354838709677416</v>
      </c>
      <c r="AL584" s="4">
        <f>SUM($AK$567:AK584)</f>
        <v>108.63870967741931</v>
      </c>
      <c r="AM584" s="4">
        <f>SUM($AK$384:AK584)</f>
        <v>1077.4387096774144</v>
      </c>
      <c r="AN584" s="323">
        <f t="shared" si="230"/>
        <v>0.88143217495962878</v>
      </c>
      <c r="AO584" s="323">
        <f t="shared" si="231"/>
        <v>0.88143217495962889</v>
      </c>
      <c r="AP584" s="323">
        <f t="shared" si="232"/>
        <v>0.90794598560894935</v>
      </c>
      <c r="AQ584" s="323">
        <f t="shared" si="233"/>
        <v>0.22166123647170233</v>
      </c>
      <c r="AR584" s="323">
        <f>Modelling_new[[#This Row],[Target E_Grid MTD
MWh]]/Modelling_new[[#This Row],[MTD DC Capcity]]/(24*CG584)</f>
        <v>0.19920245072325293</v>
      </c>
      <c r="AS584" s="323">
        <f>Modelling_new[[#This Row],[Target E_Grid YTD
MWh]]/Modelling_new[[#This Row],[YTD DC Capcity]]/(24*CH584)</f>
        <v>0.18224273056541143</v>
      </c>
      <c r="AT584" s="5">
        <v>12.8</v>
      </c>
      <c r="AU584" s="9">
        <f>Modelling_new[[#This Row],[Comisined DC ]]/$AO$1</f>
        <v>1</v>
      </c>
      <c r="AV584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84" s="5">
        <f>AVERAGEIFS(Modelling_new[[Comisined DC ]],Modelling_new[Date],"&lt;="&amp;Modelling_new[[#This Row],[Date]],Modelling_new[[Comisined DC ]],"&gt;"&amp;0,Modelling_new[Finacial Year],Modelling_new[[#This Row],[Finacial Year]])</f>
        <v>12.80000000000001</v>
      </c>
      <c r="BD584" s="27">
        <f t="shared" si="213"/>
        <v>45583</v>
      </c>
      <c r="BE584" s="5">
        <f>MONTH(Modelling[[#This Row],[Date]])</f>
        <v>10</v>
      </c>
      <c r="BF584" s="25">
        <f>YEAR(BD584)+IF(MONTH(Modelling[[#This Row],[Date]])&gt;=4,1,0)</f>
        <v>2025</v>
      </c>
      <c r="BG584" s="3">
        <f t="shared" si="234"/>
        <v>2024</v>
      </c>
      <c r="BH584" s="3" t="s">
        <v>627</v>
      </c>
      <c r="BI584" s="3" t="s">
        <v>627</v>
      </c>
      <c r="BJ584" s="102">
        <f>DATE(Modelling_old[[#This Row],[Calendor Year]],Modelling_old[[#This Row],[Start Month]],1)</f>
        <v>45566</v>
      </c>
      <c r="BK584" s="5">
        <f t="shared" si="235"/>
        <v>31</v>
      </c>
      <c r="BL584" s="5">
        <f t="shared" si="236"/>
        <v>10</v>
      </c>
      <c r="BM584" s="4">
        <f>Modelling_old[[#This Row],[Target E_Grid daily
MWh]]+Modelling_new[[#This Row],[Target E_Grid daily
MWh]]</f>
        <v>109.23370253960269</v>
      </c>
      <c r="BN584" s="4">
        <f>Modelling_old[[#This Row],[Target E_Grid MTD
MWh]]+Modelling_new[[#This Row],[Target E_Grid MTD
MWh]]</f>
        <v>1966.2066457128481</v>
      </c>
      <c r="BO584" s="4">
        <f>Modelling_old[[#This Row],[Target E_Grid YTD
MWh]]+Modelling_new[[#This Row],[Target E_Grid YTD
MWh]]</f>
        <v>19846.675106962117</v>
      </c>
      <c r="BP584" s="4">
        <f>AVERAGE(Modelling_old[[#This Row],[Target POA Daily (KWh/m2)]],Modelling_new[[#This Row],[Target POA Daily (KWh/m2)]])</f>
        <v>6.0354838709677416</v>
      </c>
      <c r="BQ584" s="4">
        <f>SUM($BP$567:BP584)</f>
        <v>108.63870967741931</v>
      </c>
      <c r="BR584" s="4">
        <f>SUM($BP$384:BP584)</f>
        <v>1077.4387096774144</v>
      </c>
      <c r="BS584" s="323">
        <f>BM584/Modelling[[#This Row],[Comisined DC ]]/BP584</f>
        <v>0.74470262898426853</v>
      </c>
      <c r="BT584" s="337">
        <f>BN584/BQ584/Modelling[[#This Row],[Comisined DC ]]</f>
        <v>0.74470262898426864</v>
      </c>
      <c r="BU584" s="337">
        <f>BO584/BR584/Modelling[[#This Row],[Comisined DC ]]</f>
        <v>0.75793770398027427</v>
      </c>
      <c r="BV584" s="323">
        <f>BM584/(24*Modelling[[#This Row],[Comisined DC ]])</f>
        <v>0.18727669607924277</v>
      </c>
      <c r="BW584" s="323">
        <f>Modelling[[#This Row],[Target E_Grid MTD
MWh]]/Modelling[[#This Row],[MTD DC Capcity]]/(24*CG584)</f>
        <v>0.18727669607924285</v>
      </c>
      <c r="BX584" s="338">
        <f>Modelling[[#This Row],[Target E_Grid YTD
MWh]]/Modelling[[#This Row],[YTD DC Capcity]]/(24*CH584)</f>
        <v>0.16928512060372441</v>
      </c>
      <c r="BY584" s="4">
        <f>Modelling_old[[#This Row],[DC Capcity]]+Modelling_new[[#This Row],[Comisined DC ]]</f>
        <v>24.303100000000001</v>
      </c>
      <c r="BZ584" s="4">
        <v>0</v>
      </c>
      <c r="CA584">
        <f>AVERAGEIFS(Modelling[[Comisined DC ]],Modelling[Date],"&lt;="&amp;Modelling[[#This Row],[Date]],Modelling[Month Year],Modelling[[#This Row],[Month Year]])</f>
        <v>24.30309999999999</v>
      </c>
      <c r="CB584">
        <f>AVERAGEIFS(Modelling[[Comisined DC ]],Modelling[Date],"&lt;="&amp;Modelling[[#This Row],[Date]],Modelling[Finacial Year],Modelling[[#This Row],[Finacial Year]])</f>
        <v>24.303100000000065</v>
      </c>
      <c r="CG584">
        <f t="shared" si="215"/>
        <v>18</v>
      </c>
      <c r="CH584">
        <f t="shared" si="237"/>
        <v>201</v>
      </c>
    </row>
    <row r="585" spans="1:86" x14ac:dyDescent="0.35">
      <c r="A585" s="27">
        <f t="shared" si="216"/>
        <v>45584</v>
      </c>
      <c r="B585" s="5">
        <f>MONTH(Modelling_old[[#This Row],[Date]])</f>
        <v>10</v>
      </c>
      <c r="C585" s="25">
        <f t="shared" si="217"/>
        <v>2025</v>
      </c>
      <c r="D585" s="3">
        <f t="shared" si="218"/>
        <v>2024</v>
      </c>
      <c r="E585" s="3" t="s">
        <v>627</v>
      </c>
      <c r="F585" s="3" t="s">
        <v>627</v>
      </c>
      <c r="G585" s="102">
        <f>DATE(Modelling_old[[#This Row],[Calendor Year]],Modelling_old[[#This Row],[Start Month]],1)</f>
        <v>45566</v>
      </c>
      <c r="H585" s="5">
        <f t="shared" si="219"/>
        <v>31</v>
      </c>
      <c r="I585" s="5">
        <f t="shared" si="220"/>
        <v>10</v>
      </c>
      <c r="J585" s="4">
        <f>_xlfn.XLOOKUP(Modelling_old[[#This Row],[Month]],$C$1:$C$14,$N$1:$N$14)/Modelling_old[[#This Row],[Total Days]]</f>
        <v>48.038709677419355</v>
      </c>
      <c r="K585" s="4">
        <f>SUM($J$567:J585)</f>
        <v>912.73548387096753</v>
      </c>
      <c r="L585" s="4">
        <f>SUM($J$384:J585)</f>
        <v>8641.7354838709543</v>
      </c>
      <c r="M585" s="4">
        <f t="shared" si="221"/>
        <v>6.0354838709677416</v>
      </c>
      <c r="N585" s="4">
        <f>SUM($M$567:M585)</f>
        <v>114.67419354838705</v>
      </c>
      <c r="O585" s="4">
        <f>SUM($M$384:M585)</f>
        <v>1083.4741935483821</v>
      </c>
      <c r="P585" s="323">
        <f t="shared" si="222"/>
        <v>0.69193347973063524</v>
      </c>
      <c r="Q585" s="337">
        <f t="shared" si="223"/>
        <v>0.69193347973063535</v>
      </c>
      <c r="R585" s="337">
        <f t="shared" si="224"/>
        <v>0.69337391912989832</v>
      </c>
      <c r="S585" s="323">
        <f t="shared" si="225"/>
        <v>0.1740063898623681</v>
      </c>
      <c r="T585" s="9">
        <f>Modelling_old[[#This Row],[Target E_Grid MTD
MWh]]/Modelling_old[[#This Row],[DC Capcity]]/(24*CG585)</f>
        <v>0.17400638986236805</v>
      </c>
      <c r="U585" s="338">
        <f>Modelling_old[[#This Row],[Target E_Grid YTD
MWh]]/Modelling_old[[#This Row],[DC Capcity]]/(24*CH585)</f>
        <v>0.15496137538299251</v>
      </c>
      <c r="V585" s="134">
        <v>11.5031</v>
      </c>
      <c r="Y585" s="27">
        <f t="shared" si="212"/>
        <v>45584</v>
      </c>
      <c r="Z585" s="5">
        <f>MONTH(Modelling_new[[#This Row],[Date]])</f>
        <v>10</v>
      </c>
      <c r="AA585" s="25">
        <f>YEAR(Y585)+IF(MONTH(Modelling_new[[#This Row],[Date]])&gt;=4,1,0)</f>
        <v>2025</v>
      </c>
      <c r="AB585" s="3">
        <f t="shared" si="226"/>
        <v>2024</v>
      </c>
      <c r="AC585" s="3" t="s">
        <v>627</v>
      </c>
      <c r="AD585" s="3" t="s">
        <v>627</v>
      </c>
      <c r="AE585" s="102">
        <f>DATE(Modelling_old[[#This Row],[Calendor Year]],Modelling_old[[#This Row],[Start Month]],1)</f>
        <v>45566</v>
      </c>
      <c r="AF585" s="5">
        <f t="shared" si="227"/>
        <v>31</v>
      </c>
      <c r="AG585" s="5">
        <f t="shared" si="228"/>
        <v>10</v>
      </c>
      <c r="AH585" s="4">
        <f>_xlfn.XLOOKUP(Modelling_new[[#This Row],[Month]],$AA$1:$AA$14,$AL$1:$AL$14)/Modelling_new[[#This Row],[Total Days]]</f>
        <v>61.194992862183334</v>
      </c>
      <c r="AI585" s="4">
        <f>SUM($AH$567:AH585)</f>
        <v>1162.7048643814833</v>
      </c>
      <c r="AJ585" s="4">
        <f>SUM($AH$384:AH585)</f>
        <v>11314.173325630765</v>
      </c>
      <c r="AK585" s="4">
        <f t="shared" si="229"/>
        <v>6.0354838709677416</v>
      </c>
      <c r="AL585" s="4">
        <f>SUM($AK$567:AK585)</f>
        <v>114.67419354838705</v>
      </c>
      <c r="AM585" s="4">
        <f>SUM($AK$384:AK585)</f>
        <v>1083.4741935483821</v>
      </c>
      <c r="AN585" s="323">
        <f t="shared" si="230"/>
        <v>0.88143217495962878</v>
      </c>
      <c r="AO585" s="323">
        <f t="shared" si="231"/>
        <v>0.88143217495962889</v>
      </c>
      <c r="AP585" s="323">
        <f t="shared" si="232"/>
        <v>0.90779829065000639</v>
      </c>
      <c r="AQ585" s="323">
        <f t="shared" si="233"/>
        <v>0.22166123647170233</v>
      </c>
      <c r="AR585" s="323">
        <f>Modelling_new[[#This Row],[Target E_Grid MTD
MWh]]/Modelling_new[[#This Row],[MTD DC Capcity]]/(24*CG585)</f>
        <v>0.19920245072325296</v>
      </c>
      <c r="AS585" s="323">
        <f>Modelling_new[[#This Row],[Target E_Grid YTD
MWh]]/Modelling_new[[#This Row],[YTD DC Capcity]]/(24*CH585)</f>
        <v>0.1823266895760938</v>
      </c>
      <c r="AT585" s="5">
        <v>12.8</v>
      </c>
      <c r="AU585" s="9">
        <f>Modelling_new[[#This Row],[Comisined DC ]]/$AO$1</f>
        <v>1</v>
      </c>
      <c r="AV58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85" s="5">
        <f>AVERAGEIFS(Modelling_new[[Comisined DC ]],Modelling_new[Date],"&lt;="&amp;Modelling_new[[#This Row],[Date]],Modelling_new[[Comisined DC ]],"&gt;"&amp;0,Modelling_new[Finacial Year],Modelling_new[[#This Row],[Finacial Year]])</f>
        <v>12.800000000000011</v>
      </c>
      <c r="BD585" s="27">
        <f t="shared" si="213"/>
        <v>45584</v>
      </c>
      <c r="BE585" s="5">
        <f>MONTH(Modelling[[#This Row],[Date]])</f>
        <v>10</v>
      </c>
      <c r="BF585" s="25">
        <f>YEAR(BD585)+IF(MONTH(Modelling[[#This Row],[Date]])&gt;=4,1,0)</f>
        <v>2025</v>
      </c>
      <c r="BG585" s="3">
        <f t="shared" si="234"/>
        <v>2024</v>
      </c>
      <c r="BH585" s="3" t="s">
        <v>627</v>
      </c>
      <c r="BI585" s="3" t="s">
        <v>627</v>
      </c>
      <c r="BJ585" s="102">
        <f>DATE(Modelling_old[[#This Row],[Calendor Year]],Modelling_old[[#This Row],[Start Month]],1)</f>
        <v>45566</v>
      </c>
      <c r="BK585" s="5">
        <f t="shared" si="235"/>
        <v>31</v>
      </c>
      <c r="BL585" s="5">
        <f t="shared" si="236"/>
        <v>10</v>
      </c>
      <c r="BM585" s="4">
        <f>Modelling_old[[#This Row],[Target E_Grid daily
MWh]]+Modelling_new[[#This Row],[Target E_Grid daily
MWh]]</f>
        <v>109.23370253960269</v>
      </c>
      <c r="BN585" s="4">
        <f>Modelling_old[[#This Row],[Target E_Grid MTD
MWh]]+Modelling_new[[#This Row],[Target E_Grid MTD
MWh]]</f>
        <v>2075.4403482524508</v>
      </c>
      <c r="BO585" s="4">
        <f>Modelling_old[[#This Row],[Target E_Grid YTD
MWh]]+Modelling_new[[#This Row],[Target E_Grid YTD
MWh]]</f>
        <v>19955.908809501721</v>
      </c>
      <c r="BP585" s="4">
        <f>AVERAGE(Modelling_old[[#This Row],[Target POA Daily (KWh/m2)]],Modelling_new[[#This Row],[Target POA Daily (KWh/m2)]])</f>
        <v>6.0354838709677416</v>
      </c>
      <c r="BQ585" s="4">
        <f>SUM($BP$567:BP585)</f>
        <v>114.67419354838705</v>
      </c>
      <c r="BR585" s="4">
        <f>SUM($BP$384:BP585)</f>
        <v>1083.4741935483821</v>
      </c>
      <c r="BS585" s="323">
        <f>BM585/Modelling[[#This Row],[Comisined DC ]]/BP585</f>
        <v>0.74470262898426853</v>
      </c>
      <c r="BT585" s="337">
        <f>BN585/BQ585/Modelling[[#This Row],[Comisined DC ]]</f>
        <v>0.74470262898426864</v>
      </c>
      <c r="BU585" s="337">
        <f>BO585/BR585/Modelling[[#This Row],[Comisined DC ]]</f>
        <v>0.75786397810646466</v>
      </c>
      <c r="BV585" s="323">
        <f>BM585/(24*Modelling[[#This Row],[Comisined DC ]])</f>
        <v>0.18727669607924277</v>
      </c>
      <c r="BW585" s="323">
        <f>Modelling[[#This Row],[Target E_Grid MTD
MWh]]/Modelling[[#This Row],[MTD DC Capcity]]/(24*CG585)</f>
        <v>0.18727669607924285</v>
      </c>
      <c r="BX585" s="338">
        <f>Modelling[[#This Row],[Target E_Grid YTD
MWh]]/Modelling[[#This Row],[YTD DC Capcity]]/(24*CH585)</f>
        <v>0.16937418780904875</v>
      </c>
      <c r="BY585" s="4">
        <f>Modelling_old[[#This Row],[DC Capcity]]+Modelling_new[[#This Row],[Comisined DC ]]</f>
        <v>24.303100000000001</v>
      </c>
      <c r="BZ585" s="4">
        <v>0</v>
      </c>
      <c r="CA585">
        <f>AVERAGEIFS(Modelling[[Comisined DC ]],Modelling[Date],"&lt;="&amp;Modelling[[#This Row],[Date]],Modelling[Month Year],Modelling[[#This Row],[Month Year]])</f>
        <v>24.30309999999999</v>
      </c>
      <c r="CB585">
        <f>AVERAGEIFS(Modelling[[Comisined DC ]],Modelling[Date],"&lt;="&amp;Modelling[[#This Row],[Date]],Modelling[Finacial Year],Modelling[[#This Row],[Finacial Year]])</f>
        <v>24.303100000000065</v>
      </c>
      <c r="CG585">
        <f t="shared" si="215"/>
        <v>19</v>
      </c>
      <c r="CH585">
        <f t="shared" si="237"/>
        <v>202</v>
      </c>
    </row>
    <row r="586" spans="1:86" x14ac:dyDescent="0.35">
      <c r="A586" s="27">
        <f t="shared" si="216"/>
        <v>45585</v>
      </c>
      <c r="B586" s="5">
        <f>MONTH(Modelling_old[[#This Row],[Date]])</f>
        <v>10</v>
      </c>
      <c r="C586" s="25">
        <f t="shared" si="217"/>
        <v>2025</v>
      </c>
      <c r="D586" s="3">
        <f t="shared" si="218"/>
        <v>2024</v>
      </c>
      <c r="E586" s="3" t="s">
        <v>627</v>
      </c>
      <c r="F586" s="3" t="s">
        <v>627</v>
      </c>
      <c r="G586" s="102">
        <f>DATE(Modelling_old[[#This Row],[Calendor Year]],Modelling_old[[#This Row],[Start Month]],1)</f>
        <v>45566</v>
      </c>
      <c r="H586" s="5">
        <f t="shared" si="219"/>
        <v>31</v>
      </c>
      <c r="I586" s="5">
        <f t="shared" si="220"/>
        <v>10</v>
      </c>
      <c r="J586" s="4">
        <f>_xlfn.XLOOKUP(Modelling_old[[#This Row],[Month]],$C$1:$C$14,$N$1:$N$14)/Modelling_old[[#This Row],[Total Days]]</f>
        <v>48.038709677419355</v>
      </c>
      <c r="K586" s="4">
        <f>SUM($J$567:J586)</f>
        <v>960.77419354838685</v>
      </c>
      <c r="L586" s="4">
        <f>SUM($J$384:J586)</f>
        <v>8689.7741935483737</v>
      </c>
      <c r="M586" s="4">
        <f t="shared" si="221"/>
        <v>6.0354838709677416</v>
      </c>
      <c r="N586" s="4">
        <f>SUM($M$567:M586)</f>
        <v>120.70967741935479</v>
      </c>
      <c r="O586" s="4">
        <f>SUM($M$384:M586)</f>
        <v>1089.5096774193498</v>
      </c>
      <c r="P586" s="323">
        <f t="shared" si="222"/>
        <v>0.69193347973063524</v>
      </c>
      <c r="Q586" s="337">
        <f t="shared" si="223"/>
        <v>0.69193347973063535</v>
      </c>
      <c r="R586" s="337">
        <f t="shared" si="224"/>
        <v>0.69336593962412474</v>
      </c>
      <c r="S586" s="323">
        <f t="shared" si="225"/>
        <v>0.1740063898623681</v>
      </c>
      <c r="T586" s="9">
        <f>Modelling_old[[#This Row],[Target E_Grid MTD
MWh]]/Modelling_old[[#This Row],[DC Capcity]]/(24*CG586)</f>
        <v>0.17400638986236805</v>
      </c>
      <c r="U586" s="338">
        <f>Modelling_old[[#This Row],[Target E_Grid YTD
MWh]]/Modelling_old[[#This Row],[DC Capcity]]/(24*CH586)</f>
        <v>0.15505519318830963</v>
      </c>
      <c r="V586" s="134">
        <v>11.5031</v>
      </c>
      <c r="Y586" s="27">
        <f t="shared" si="212"/>
        <v>45585</v>
      </c>
      <c r="Z586" s="5">
        <f>MONTH(Modelling_new[[#This Row],[Date]])</f>
        <v>10</v>
      </c>
      <c r="AA586" s="25">
        <f>YEAR(Y586)+IF(MONTH(Modelling_new[[#This Row],[Date]])&gt;=4,1,0)</f>
        <v>2025</v>
      </c>
      <c r="AB586" s="3">
        <f t="shared" si="226"/>
        <v>2024</v>
      </c>
      <c r="AC586" s="3" t="s">
        <v>627</v>
      </c>
      <c r="AD586" s="3" t="s">
        <v>627</v>
      </c>
      <c r="AE586" s="102">
        <f>DATE(Modelling_old[[#This Row],[Calendor Year]],Modelling_old[[#This Row],[Start Month]],1)</f>
        <v>45566</v>
      </c>
      <c r="AF586" s="5">
        <f t="shared" si="227"/>
        <v>31</v>
      </c>
      <c r="AG586" s="5">
        <f t="shared" si="228"/>
        <v>10</v>
      </c>
      <c r="AH586" s="4">
        <f>_xlfn.XLOOKUP(Modelling_new[[#This Row],[Month]],$AA$1:$AA$14,$AL$1:$AL$14)/Modelling_new[[#This Row],[Total Days]]</f>
        <v>61.194992862183334</v>
      </c>
      <c r="AI586" s="4">
        <f>SUM($AH$567:AH586)</f>
        <v>1223.8998572436667</v>
      </c>
      <c r="AJ586" s="4">
        <f>SUM($AH$384:AH586)</f>
        <v>11375.368318492949</v>
      </c>
      <c r="AK586" s="4">
        <f t="shared" si="229"/>
        <v>6.0354838709677416</v>
      </c>
      <c r="AL586" s="4">
        <f>SUM($AK$567:AK586)</f>
        <v>120.70967741935479</v>
      </c>
      <c r="AM586" s="4">
        <f>SUM($AK$384:AK586)</f>
        <v>1089.5096774193498</v>
      </c>
      <c r="AN586" s="323">
        <f t="shared" si="230"/>
        <v>0.88143217495962878</v>
      </c>
      <c r="AO586" s="323">
        <f t="shared" si="231"/>
        <v>0.88143217495962911</v>
      </c>
      <c r="AP586" s="323">
        <f t="shared" si="232"/>
        <v>0.90765223204282997</v>
      </c>
      <c r="AQ586" s="323">
        <f t="shared" si="233"/>
        <v>0.22166123647170233</v>
      </c>
      <c r="AR586" s="323">
        <f>Modelling_new[[#This Row],[Target E_Grid MTD
MWh]]/Modelling_new[[#This Row],[MTD DC Capcity]]/(24*CG586)</f>
        <v>0.19920245072325302</v>
      </c>
      <c r="AS586" s="323">
        <f>Modelling_new[[#This Row],[Target E_Grid YTD
MWh]]/Modelling_new[[#This Row],[YTD DC Capcity]]/(24*CH586)</f>
        <v>0.18240982140440493</v>
      </c>
      <c r="AT586" s="5">
        <v>12.8</v>
      </c>
      <c r="AU586" s="9">
        <f>Modelling_new[[#This Row],[Comisined DC ]]/$AO$1</f>
        <v>1</v>
      </c>
      <c r="AV586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86" s="5">
        <f>AVERAGEIFS(Modelling_new[[Comisined DC ]],Modelling_new[Date],"&lt;="&amp;Modelling_new[[#This Row],[Date]],Modelling_new[[Comisined DC ]],"&gt;"&amp;0,Modelling_new[Finacial Year],Modelling_new[[#This Row],[Finacial Year]])</f>
        <v>12.800000000000011</v>
      </c>
      <c r="BD586" s="27">
        <f t="shared" si="213"/>
        <v>45585</v>
      </c>
      <c r="BE586" s="5">
        <f>MONTH(Modelling[[#This Row],[Date]])</f>
        <v>10</v>
      </c>
      <c r="BF586" s="25">
        <f>YEAR(BD586)+IF(MONTH(Modelling[[#This Row],[Date]])&gt;=4,1,0)</f>
        <v>2025</v>
      </c>
      <c r="BG586" s="3">
        <f t="shared" si="234"/>
        <v>2024</v>
      </c>
      <c r="BH586" s="3" t="s">
        <v>627</v>
      </c>
      <c r="BI586" s="3" t="s">
        <v>627</v>
      </c>
      <c r="BJ586" s="102">
        <f>DATE(Modelling_old[[#This Row],[Calendor Year]],Modelling_old[[#This Row],[Start Month]],1)</f>
        <v>45566</v>
      </c>
      <c r="BK586" s="5">
        <f t="shared" si="235"/>
        <v>31</v>
      </c>
      <c r="BL586" s="5">
        <f t="shared" si="236"/>
        <v>10</v>
      </c>
      <c r="BM586" s="4">
        <f>Modelling_old[[#This Row],[Target E_Grid daily
MWh]]+Modelling_new[[#This Row],[Target E_Grid daily
MWh]]</f>
        <v>109.23370253960269</v>
      </c>
      <c r="BN586" s="4">
        <f>Modelling_old[[#This Row],[Target E_Grid MTD
MWh]]+Modelling_new[[#This Row],[Target E_Grid MTD
MWh]]</f>
        <v>2184.6740507920535</v>
      </c>
      <c r="BO586" s="4">
        <f>Modelling_old[[#This Row],[Target E_Grid YTD
MWh]]+Modelling_new[[#This Row],[Target E_Grid YTD
MWh]]</f>
        <v>20065.142512041322</v>
      </c>
      <c r="BP586" s="4">
        <f>AVERAGE(Modelling_old[[#This Row],[Target POA Daily (KWh/m2)]],Modelling_new[[#This Row],[Target POA Daily (KWh/m2)]])</f>
        <v>6.0354838709677416</v>
      </c>
      <c r="BQ586" s="4">
        <f>SUM($BP$567:BP586)</f>
        <v>120.70967741935479</v>
      </c>
      <c r="BR586" s="4">
        <f>SUM($BP$384:BP586)</f>
        <v>1089.5096774193498</v>
      </c>
      <c r="BS586" s="323">
        <f>BM586/Modelling[[#This Row],[Comisined DC ]]/BP586</f>
        <v>0.74470262898426853</v>
      </c>
      <c r="BT586" s="337">
        <f>BN586/BQ586/Modelling[[#This Row],[Comisined DC ]]</f>
        <v>0.74470262898426864</v>
      </c>
      <c r="BU586" s="337">
        <f>BO586/BR586/Modelling[[#This Row],[Comisined DC ]]</f>
        <v>0.75779106906123683</v>
      </c>
      <c r="BV586" s="323">
        <f>BM586/(24*Modelling[[#This Row],[Comisined DC ]])</f>
        <v>0.18727669607924277</v>
      </c>
      <c r="BW586" s="323">
        <f>Modelling[[#This Row],[Target E_Grid MTD
MWh]]/Modelling[[#This Row],[MTD DC Capcity]]/(24*CG586)</f>
        <v>0.18727669607924285</v>
      </c>
      <c r="BX586" s="338">
        <f>Modelling[[#This Row],[Target E_Grid YTD
MWh]]/Modelling[[#This Row],[YTD DC Capcity]]/(24*CH586)</f>
        <v>0.16946237750496104</v>
      </c>
      <c r="BY586" s="4">
        <f>Modelling_old[[#This Row],[DC Capcity]]+Modelling_new[[#This Row],[Comisined DC ]]</f>
        <v>24.303100000000001</v>
      </c>
      <c r="BZ586" s="4">
        <v>0</v>
      </c>
      <c r="CA586">
        <f>AVERAGEIFS(Modelling[[Comisined DC ]],Modelling[Date],"&lt;="&amp;Modelling[[#This Row],[Date]],Modelling[Month Year],Modelling[[#This Row],[Month Year]])</f>
        <v>24.30309999999999</v>
      </c>
      <c r="CB586">
        <f>AVERAGEIFS(Modelling[[Comisined DC ]],Modelling[Date],"&lt;="&amp;Modelling[[#This Row],[Date]],Modelling[Finacial Year],Modelling[[#This Row],[Finacial Year]])</f>
        <v>24.303100000000065</v>
      </c>
      <c r="CG586">
        <f t="shared" si="215"/>
        <v>20</v>
      </c>
      <c r="CH586">
        <f t="shared" si="237"/>
        <v>203</v>
      </c>
    </row>
    <row r="587" spans="1:86" x14ac:dyDescent="0.35">
      <c r="A587" s="27">
        <f t="shared" si="216"/>
        <v>45586</v>
      </c>
      <c r="B587" s="5">
        <f>MONTH(Modelling_old[[#This Row],[Date]])</f>
        <v>10</v>
      </c>
      <c r="C587" s="25">
        <f t="shared" si="217"/>
        <v>2025</v>
      </c>
      <c r="D587" s="3">
        <f t="shared" si="218"/>
        <v>2024</v>
      </c>
      <c r="E587" s="3" t="s">
        <v>627</v>
      </c>
      <c r="F587" s="3" t="s">
        <v>627</v>
      </c>
      <c r="G587" s="102">
        <f>DATE(Modelling_old[[#This Row],[Calendor Year]],Modelling_old[[#This Row],[Start Month]],1)</f>
        <v>45566</v>
      </c>
      <c r="H587" s="5">
        <f t="shared" si="219"/>
        <v>31</v>
      </c>
      <c r="I587" s="5">
        <f t="shared" si="220"/>
        <v>10</v>
      </c>
      <c r="J587" s="4">
        <f>_xlfn.XLOOKUP(Modelling_old[[#This Row],[Month]],$C$1:$C$14,$N$1:$N$14)/Modelling_old[[#This Row],[Total Days]]</f>
        <v>48.038709677419355</v>
      </c>
      <c r="K587" s="4">
        <f>SUM($J$567:J587)</f>
        <v>1008.8129032258062</v>
      </c>
      <c r="L587" s="4">
        <f>SUM($J$384:J587)</f>
        <v>8737.812903225793</v>
      </c>
      <c r="M587" s="4">
        <f t="shared" si="221"/>
        <v>6.0354838709677416</v>
      </c>
      <c r="N587" s="4">
        <f>SUM($M$567:M587)</f>
        <v>126.74516129032253</v>
      </c>
      <c r="O587" s="4">
        <f>SUM($M$384:M587)</f>
        <v>1095.5451612903175</v>
      </c>
      <c r="P587" s="323">
        <f t="shared" si="222"/>
        <v>0.69193347973063524</v>
      </c>
      <c r="Q587" s="337">
        <f t="shared" si="223"/>
        <v>0.69193347973063535</v>
      </c>
      <c r="R587" s="337">
        <f t="shared" si="224"/>
        <v>0.69335804803837509</v>
      </c>
      <c r="S587" s="323">
        <f t="shared" si="225"/>
        <v>0.1740063898623681</v>
      </c>
      <c r="T587" s="9">
        <f>Modelling_old[[#This Row],[Target E_Grid MTD
MWh]]/Modelling_old[[#This Row],[DC Capcity]]/(24*CG587)</f>
        <v>0.17400638986236805</v>
      </c>
      <c r="U587" s="338">
        <f>Modelling_old[[#This Row],[Target E_Grid YTD
MWh]]/Modelling_old[[#This Row],[DC Capcity]]/(24*CH587)</f>
        <v>0.15514809121122167</v>
      </c>
      <c r="V587" s="134">
        <v>11.5031</v>
      </c>
      <c r="Y587" s="27">
        <f t="shared" si="212"/>
        <v>45586</v>
      </c>
      <c r="Z587" s="5">
        <f>MONTH(Modelling_new[[#This Row],[Date]])</f>
        <v>10</v>
      </c>
      <c r="AA587" s="25">
        <f>YEAR(Y587)+IF(MONTH(Modelling_new[[#This Row],[Date]])&gt;=4,1,0)</f>
        <v>2025</v>
      </c>
      <c r="AB587" s="3">
        <f t="shared" si="226"/>
        <v>2024</v>
      </c>
      <c r="AC587" s="3" t="s">
        <v>627</v>
      </c>
      <c r="AD587" s="3" t="s">
        <v>627</v>
      </c>
      <c r="AE587" s="102">
        <f>DATE(Modelling_old[[#This Row],[Calendor Year]],Modelling_old[[#This Row],[Start Month]],1)</f>
        <v>45566</v>
      </c>
      <c r="AF587" s="5">
        <f t="shared" si="227"/>
        <v>31</v>
      </c>
      <c r="AG587" s="5">
        <f t="shared" si="228"/>
        <v>10</v>
      </c>
      <c r="AH587" s="4">
        <f>_xlfn.XLOOKUP(Modelling_new[[#This Row],[Month]],$AA$1:$AA$14,$AL$1:$AL$14)/Modelling_new[[#This Row],[Total Days]]</f>
        <v>61.194992862183334</v>
      </c>
      <c r="AI587" s="4">
        <f>SUM($AH$567:AH587)</f>
        <v>1285.0948501058501</v>
      </c>
      <c r="AJ587" s="4">
        <f>SUM($AH$384:AH587)</f>
        <v>11436.563311355132</v>
      </c>
      <c r="AK587" s="4">
        <f t="shared" si="229"/>
        <v>6.0354838709677416</v>
      </c>
      <c r="AL587" s="4">
        <f>SUM($AK$567:AK587)</f>
        <v>126.74516129032253</v>
      </c>
      <c r="AM587" s="4">
        <f>SUM($AK$384:AK587)</f>
        <v>1095.5451612903175</v>
      </c>
      <c r="AN587" s="323">
        <f t="shared" si="230"/>
        <v>0.88143217495962878</v>
      </c>
      <c r="AO587" s="323">
        <f t="shared" si="231"/>
        <v>0.88143217495962911</v>
      </c>
      <c r="AP587" s="323">
        <f t="shared" si="232"/>
        <v>0.90750778274287114</v>
      </c>
      <c r="AQ587" s="323">
        <f t="shared" si="233"/>
        <v>0.22166123647170233</v>
      </c>
      <c r="AR587" s="323">
        <f>Modelling_new[[#This Row],[Target E_Grid MTD
MWh]]/Modelling_new[[#This Row],[MTD DC Capcity]]/(24*CG587)</f>
        <v>0.19920245072325302</v>
      </c>
      <c r="AS587" s="323">
        <f>Modelling_new[[#This Row],[Target E_Grid YTD
MWh]]/Modelling_new[[#This Row],[YTD DC Capcity]]/(24*CH587)</f>
        <v>0.18249213821479141</v>
      </c>
      <c r="AT587" s="5">
        <v>12.8</v>
      </c>
      <c r="AU587" s="9">
        <f>Modelling_new[[#This Row],[Comisined DC ]]/$AO$1</f>
        <v>1</v>
      </c>
      <c r="AV587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587" s="5">
        <f>AVERAGEIFS(Modelling_new[[Comisined DC ]],Modelling_new[Date],"&lt;="&amp;Modelling_new[[#This Row],[Date]],Modelling_new[[Comisined DC ]],"&gt;"&amp;0,Modelling_new[Finacial Year],Modelling_new[[#This Row],[Finacial Year]])</f>
        <v>12.800000000000013</v>
      </c>
      <c r="BD587" s="27">
        <f t="shared" si="213"/>
        <v>45586</v>
      </c>
      <c r="BE587" s="5">
        <f>MONTH(Modelling[[#This Row],[Date]])</f>
        <v>10</v>
      </c>
      <c r="BF587" s="25">
        <f>YEAR(BD587)+IF(MONTH(Modelling[[#This Row],[Date]])&gt;=4,1,0)</f>
        <v>2025</v>
      </c>
      <c r="BG587" s="3">
        <f t="shared" si="234"/>
        <v>2024</v>
      </c>
      <c r="BH587" s="3" t="s">
        <v>627</v>
      </c>
      <c r="BI587" s="3" t="s">
        <v>627</v>
      </c>
      <c r="BJ587" s="102">
        <f>DATE(Modelling_old[[#This Row],[Calendor Year]],Modelling_old[[#This Row],[Start Month]],1)</f>
        <v>45566</v>
      </c>
      <c r="BK587" s="5">
        <f t="shared" si="235"/>
        <v>31</v>
      </c>
      <c r="BL587" s="5">
        <f t="shared" si="236"/>
        <v>10</v>
      </c>
      <c r="BM587" s="4">
        <f>Modelling_old[[#This Row],[Target E_Grid daily
MWh]]+Modelling_new[[#This Row],[Target E_Grid daily
MWh]]</f>
        <v>109.23370253960269</v>
      </c>
      <c r="BN587" s="4">
        <f>Modelling_old[[#This Row],[Target E_Grid MTD
MWh]]+Modelling_new[[#This Row],[Target E_Grid MTD
MWh]]</f>
        <v>2293.9077533316563</v>
      </c>
      <c r="BO587" s="4">
        <f>Modelling_old[[#This Row],[Target E_Grid YTD
MWh]]+Modelling_new[[#This Row],[Target E_Grid YTD
MWh]]</f>
        <v>20174.376214580923</v>
      </c>
      <c r="BP587" s="4">
        <f>AVERAGE(Modelling_old[[#This Row],[Target POA Daily (KWh/m2)]],Modelling_new[[#This Row],[Target POA Daily (KWh/m2)]])</f>
        <v>6.0354838709677416</v>
      </c>
      <c r="BQ587" s="4">
        <f>SUM($BP$567:BP587)</f>
        <v>126.74516129032253</v>
      </c>
      <c r="BR587" s="4">
        <f>SUM($BP$384:BP587)</f>
        <v>1095.5451612903175</v>
      </c>
      <c r="BS587" s="323">
        <f>BM587/Modelling[[#This Row],[Comisined DC ]]/BP587</f>
        <v>0.74470262898426853</v>
      </c>
      <c r="BT587" s="337">
        <f>BN587/BQ587/Modelling[[#This Row],[Comisined DC ]]</f>
        <v>0.74470262898426876</v>
      </c>
      <c r="BU587" s="337">
        <f>BO587/BR587/Modelling[[#This Row],[Comisined DC ]]</f>
        <v>0.75771896334458366</v>
      </c>
      <c r="BV587" s="323">
        <f>BM587/(24*Modelling[[#This Row],[Comisined DC ]])</f>
        <v>0.18727669607924277</v>
      </c>
      <c r="BW587" s="323">
        <f>Modelling[[#This Row],[Target E_Grid MTD
MWh]]/Modelling[[#This Row],[MTD DC Capcity]]/(24*CG587)</f>
        <v>0.18727669607924285</v>
      </c>
      <c r="BX587" s="338">
        <f>Modelling[[#This Row],[Target E_Grid YTD
MWh]]/Modelling[[#This Row],[YTD DC Capcity]]/(24*CH587)</f>
        <v>0.16954970259601143</v>
      </c>
      <c r="BY587" s="4">
        <f>Modelling_old[[#This Row],[DC Capcity]]+Modelling_new[[#This Row],[Comisined DC ]]</f>
        <v>24.303100000000001</v>
      </c>
      <c r="BZ587" s="4">
        <v>0</v>
      </c>
      <c r="CA587">
        <f>AVERAGEIFS(Modelling[[Comisined DC ]],Modelling[Date],"&lt;="&amp;Modelling[[#This Row],[Date]],Modelling[Month Year],Modelling[[#This Row],[Month Year]])</f>
        <v>24.30309999999999</v>
      </c>
      <c r="CB587">
        <f>AVERAGEIFS(Modelling[[Comisined DC ]],Modelling[Date],"&lt;="&amp;Modelling[[#This Row],[Date]],Modelling[Finacial Year],Modelling[[#This Row],[Finacial Year]])</f>
        <v>24.303100000000065</v>
      </c>
      <c r="CG587">
        <f t="shared" si="215"/>
        <v>21</v>
      </c>
      <c r="CH587">
        <f t="shared" si="237"/>
        <v>204</v>
      </c>
    </row>
    <row r="588" spans="1:86" x14ac:dyDescent="0.35">
      <c r="A588" s="27">
        <f t="shared" si="216"/>
        <v>45587</v>
      </c>
      <c r="B588" s="5">
        <f>MONTH(Modelling_old[[#This Row],[Date]])</f>
        <v>10</v>
      </c>
      <c r="C588" s="25">
        <f t="shared" si="217"/>
        <v>2025</v>
      </c>
      <c r="D588" s="3">
        <f t="shared" si="218"/>
        <v>2024</v>
      </c>
      <c r="E588" s="3" t="s">
        <v>627</v>
      </c>
      <c r="F588" s="3" t="s">
        <v>627</v>
      </c>
      <c r="G588" s="102">
        <f>DATE(Modelling_old[[#This Row],[Calendor Year]],Modelling_old[[#This Row],[Start Month]],1)</f>
        <v>45566</v>
      </c>
      <c r="H588" s="5">
        <f t="shared" si="219"/>
        <v>31</v>
      </c>
      <c r="I588" s="5">
        <f t="shared" si="220"/>
        <v>10</v>
      </c>
      <c r="J588" s="4">
        <f>_xlfn.XLOOKUP(Modelling_old[[#This Row],[Month]],$C$1:$C$14,$N$1:$N$14)/Modelling_old[[#This Row],[Total Days]]</f>
        <v>48.038709677419355</v>
      </c>
      <c r="K588" s="4">
        <f>SUM($J$567:J588)</f>
        <v>1056.8516129032255</v>
      </c>
      <c r="L588" s="4">
        <f>SUM($J$384:J588)</f>
        <v>8785.8516129032123</v>
      </c>
      <c r="M588" s="4">
        <f t="shared" si="221"/>
        <v>6.0354838709677416</v>
      </c>
      <c r="N588" s="4">
        <f>SUM($M$567:M588)</f>
        <v>132.78064516129027</v>
      </c>
      <c r="O588" s="4">
        <f>SUM($M$384:M588)</f>
        <v>1101.5806451612852</v>
      </c>
      <c r="P588" s="323">
        <f t="shared" si="222"/>
        <v>0.69193347973063524</v>
      </c>
      <c r="Q588" s="337">
        <f t="shared" si="223"/>
        <v>0.69193347973063535</v>
      </c>
      <c r="R588" s="337">
        <f t="shared" si="224"/>
        <v>0.69335024292752623</v>
      </c>
      <c r="S588" s="323">
        <f t="shared" si="225"/>
        <v>0.1740063898623681</v>
      </c>
      <c r="T588" s="9">
        <f>Modelling_old[[#This Row],[Target E_Grid MTD
MWh]]/Modelling_old[[#This Row],[DC Capcity]]/(24*CG588)</f>
        <v>0.17400638986236805</v>
      </c>
      <c r="U588" s="338">
        <f>Modelling_old[[#This Row],[Target E_Grid YTD
MWh]]/Modelling_old[[#This Row],[DC Capcity]]/(24*CH588)</f>
        <v>0.15524008291195898</v>
      </c>
      <c r="V588" s="134">
        <v>11.5031</v>
      </c>
      <c r="Y588" s="27">
        <f t="shared" si="212"/>
        <v>45587</v>
      </c>
      <c r="Z588" s="5">
        <f>MONTH(Modelling_new[[#This Row],[Date]])</f>
        <v>10</v>
      </c>
      <c r="AA588" s="25">
        <f>YEAR(Y588)+IF(MONTH(Modelling_new[[#This Row],[Date]])&gt;=4,1,0)</f>
        <v>2025</v>
      </c>
      <c r="AB588" s="3">
        <f t="shared" si="226"/>
        <v>2024</v>
      </c>
      <c r="AC588" s="3" t="s">
        <v>627</v>
      </c>
      <c r="AD588" s="3" t="s">
        <v>627</v>
      </c>
      <c r="AE588" s="102">
        <f>DATE(Modelling_old[[#This Row],[Calendor Year]],Modelling_old[[#This Row],[Start Month]],1)</f>
        <v>45566</v>
      </c>
      <c r="AF588" s="5">
        <f t="shared" si="227"/>
        <v>31</v>
      </c>
      <c r="AG588" s="5">
        <f t="shared" si="228"/>
        <v>10</v>
      </c>
      <c r="AH588" s="4">
        <f>_xlfn.XLOOKUP(Modelling_new[[#This Row],[Month]],$AA$1:$AA$14,$AL$1:$AL$14)/Modelling_new[[#This Row],[Total Days]]</f>
        <v>61.194992862183334</v>
      </c>
      <c r="AI588" s="4">
        <f>SUM($AH$567:AH588)</f>
        <v>1346.2898429680336</v>
      </c>
      <c r="AJ588" s="4">
        <f>SUM($AH$384:AH588)</f>
        <v>11497.758304217316</v>
      </c>
      <c r="AK588" s="4">
        <f t="shared" si="229"/>
        <v>6.0354838709677416</v>
      </c>
      <c r="AL588" s="4">
        <f>SUM($AK$567:AK588)</f>
        <v>132.78064516129027</v>
      </c>
      <c r="AM588" s="4">
        <f>SUM($AK$384:AK588)</f>
        <v>1101.5806451612852</v>
      </c>
      <c r="AN588" s="323">
        <f t="shared" si="230"/>
        <v>0.88143217495962878</v>
      </c>
      <c r="AO588" s="323">
        <f t="shared" si="231"/>
        <v>0.88143217495962922</v>
      </c>
      <c r="AP588" s="323">
        <f t="shared" si="232"/>
        <v>0.90736491629828309</v>
      </c>
      <c r="AQ588" s="323">
        <f t="shared" si="233"/>
        <v>0.22166123647170233</v>
      </c>
      <c r="AR588" s="323">
        <f>Modelling_new[[#This Row],[Target E_Grid MTD
MWh]]/Modelling_new[[#This Row],[MTD DC Capcity]]/(24*CG588)</f>
        <v>0.19920245072325302</v>
      </c>
      <c r="AS588" s="323">
        <f>Modelling_new[[#This Row],[Target E_Grid YTD
MWh]]/Modelling_new[[#This Row],[YTD DC Capcity]]/(24*CH588)</f>
        <v>0.18257365193434488</v>
      </c>
      <c r="AT588" s="5">
        <v>12.8</v>
      </c>
      <c r="AU588" s="9">
        <f>Modelling_new[[#This Row],[Comisined DC ]]/$AO$1</f>
        <v>1</v>
      </c>
      <c r="AV588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88" s="5">
        <f>AVERAGEIFS(Modelling_new[[Comisined DC ]],Modelling_new[Date],"&lt;="&amp;Modelling_new[[#This Row],[Date]],Modelling_new[[Comisined DC ]],"&gt;"&amp;0,Modelling_new[Finacial Year],Modelling_new[[#This Row],[Finacial Year]])</f>
        <v>12.800000000000013</v>
      </c>
      <c r="BD588" s="27">
        <f t="shared" si="213"/>
        <v>45587</v>
      </c>
      <c r="BE588" s="5">
        <f>MONTH(Modelling[[#This Row],[Date]])</f>
        <v>10</v>
      </c>
      <c r="BF588" s="25">
        <f>YEAR(BD588)+IF(MONTH(Modelling[[#This Row],[Date]])&gt;=4,1,0)</f>
        <v>2025</v>
      </c>
      <c r="BG588" s="3">
        <f t="shared" si="234"/>
        <v>2024</v>
      </c>
      <c r="BH588" s="3" t="s">
        <v>627</v>
      </c>
      <c r="BI588" s="3" t="s">
        <v>627</v>
      </c>
      <c r="BJ588" s="102">
        <f>DATE(Modelling_old[[#This Row],[Calendor Year]],Modelling_old[[#This Row],[Start Month]],1)</f>
        <v>45566</v>
      </c>
      <c r="BK588" s="5">
        <f t="shared" si="235"/>
        <v>31</v>
      </c>
      <c r="BL588" s="5">
        <f t="shared" si="236"/>
        <v>10</v>
      </c>
      <c r="BM588" s="4">
        <f>Modelling_old[[#This Row],[Target E_Grid daily
MWh]]+Modelling_new[[#This Row],[Target E_Grid daily
MWh]]</f>
        <v>109.23370253960269</v>
      </c>
      <c r="BN588" s="4">
        <f>Modelling_old[[#This Row],[Target E_Grid MTD
MWh]]+Modelling_new[[#This Row],[Target E_Grid MTD
MWh]]</f>
        <v>2403.141455871259</v>
      </c>
      <c r="BO588" s="4">
        <f>Modelling_old[[#This Row],[Target E_Grid YTD
MWh]]+Modelling_new[[#This Row],[Target E_Grid YTD
MWh]]</f>
        <v>20283.609917120528</v>
      </c>
      <c r="BP588" s="4">
        <f>AVERAGE(Modelling_old[[#This Row],[Target POA Daily (KWh/m2)]],Modelling_new[[#This Row],[Target POA Daily (KWh/m2)]])</f>
        <v>6.0354838709677416</v>
      </c>
      <c r="BQ588" s="4">
        <f>SUM($BP$567:BP588)</f>
        <v>132.78064516129027</v>
      </c>
      <c r="BR588" s="4">
        <f>SUM($BP$384:BP588)</f>
        <v>1101.5806451612852</v>
      </c>
      <c r="BS588" s="323">
        <f>BM588/Modelling[[#This Row],[Comisined DC ]]/BP588</f>
        <v>0.74470262898426853</v>
      </c>
      <c r="BT588" s="337">
        <f>BN588/BQ588/Modelling[[#This Row],[Comisined DC ]]</f>
        <v>0.74470262898426876</v>
      </c>
      <c r="BU588" s="337">
        <f>BO588/BR588/Modelling[[#This Row],[Comisined DC ]]</f>
        <v>0.75764764775236093</v>
      </c>
      <c r="BV588" s="323">
        <f>BM588/(24*Modelling[[#This Row],[Comisined DC ]])</f>
        <v>0.18727669607924277</v>
      </c>
      <c r="BW588" s="323">
        <f>Modelling[[#This Row],[Target E_Grid MTD
MWh]]/Modelling[[#This Row],[MTD DC Capcity]]/(24*CG588)</f>
        <v>0.18727669607924288</v>
      </c>
      <c r="BX588" s="338">
        <f>Modelling[[#This Row],[Target E_Grid YTD
MWh]]/Modelling[[#This Row],[YTD DC Capcity]]/(24*CH588)</f>
        <v>0.16963617573495404</v>
      </c>
      <c r="BY588" s="4">
        <f>Modelling_old[[#This Row],[DC Capcity]]+Modelling_new[[#This Row],[Comisined DC ]]</f>
        <v>24.303100000000001</v>
      </c>
      <c r="BZ588" s="4">
        <v>0</v>
      </c>
      <c r="CA588">
        <f>AVERAGEIFS(Modelling[[Comisined DC ]],Modelling[Date],"&lt;="&amp;Modelling[[#This Row],[Date]],Modelling[Month Year],Modelling[[#This Row],[Month Year]])</f>
        <v>24.303099999999986</v>
      </c>
      <c r="CB588">
        <f>AVERAGEIFS(Modelling[[Comisined DC ]],Modelling[Date],"&lt;="&amp;Modelling[[#This Row],[Date]],Modelling[Finacial Year],Modelling[[#This Row],[Finacial Year]])</f>
        <v>24.303100000000065</v>
      </c>
      <c r="CG588">
        <f t="shared" si="215"/>
        <v>22</v>
      </c>
      <c r="CH588">
        <f t="shared" si="237"/>
        <v>205</v>
      </c>
    </row>
    <row r="589" spans="1:86" x14ac:dyDescent="0.35">
      <c r="A589" s="27">
        <f t="shared" si="216"/>
        <v>45588</v>
      </c>
      <c r="B589" s="5">
        <f>MONTH(Modelling_old[[#This Row],[Date]])</f>
        <v>10</v>
      </c>
      <c r="C589" s="25">
        <f t="shared" si="217"/>
        <v>2025</v>
      </c>
      <c r="D589" s="3">
        <f t="shared" si="218"/>
        <v>2024</v>
      </c>
      <c r="E589" s="3" t="s">
        <v>627</v>
      </c>
      <c r="F589" s="3" t="s">
        <v>627</v>
      </c>
      <c r="G589" s="102">
        <f>DATE(Modelling_old[[#This Row],[Calendor Year]],Modelling_old[[#This Row],[Start Month]],1)</f>
        <v>45566</v>
      </c>
      <c r="H589" s="5">
        <f t="shared" si="219"/>
        <v>31</v>
      </c>
      <c r="I589" s="5">
        <f t="shared" si="220"/>
        <v>10</v>
      </c>
      <c r="J589" s="4">
        <f>_xlfn.XLOOKUP(Modelling_old[[#This Row],[Month]],$C$1:$C$14,$N$1:$N$14)/Modelling_old[[#This Row],[Total Days]]</f>
        <v>48.038709677419355</v>
      </c>
      <c r="K589" s="4">
        <f>SUM($J$567:J589)</f>
        <v>1104.8903225806448</v>
      </c>
      <c r="L589" s="4">
        <f>SUM($J$384:J589)</f>
        <v>8833.8903225806316</v>
      </c>
      <c r="M589" s="4">
        <f t="shared" si="221"/>
        <v>6.0354838709677416</v>
      </c>
      <c r="N589" s="4">
        <f>SUM($M$567:M589)</f>
        <v>138.816129032258</v>
      </c>
      <c r="O589" s="4">
        <f>SUM($M$384:M589)</f>
        <v>1107.616129032253</v>
      </c>
      <c r="P589" s="323">
        <f t="shared" si="222"/>
        <v>0.69193347973063524</v>
      </c>
      <c r="Q589" s="337">
        <f t="shared" si="223"/>
        <v>0.69193347973063535</v>
      </c>
      <c r="R589" s="337">
        <f t="shared" si="224"/>
        <v>0.69334252287795339</v>
      </c>
      <c r="S589" s="323">
        <f t="shared" si="225"/>
        <v>0.1740063898623681</v>
      </c>
      <c r="T589" s="9">
        <f>Modelling_old[[#This Row],[Target E_Grid MTD
MWh]]/Modelling_old[[#This Row],[DC Capcity]]/(24*CG589)</f>
        <v>0.17400638986236802</v>
      </c>
      <c r="U589" s="338">
        <f>Modelling_old[[#This Row],[Target E_Grid YTD
MWh]]/Modelling_old[[#This Row],[DC Capcity]]/(24*CH589)</f>
        <v>0.15533118148938815</v>
      </c>
      <c r="V589" s="134">
        <v>11.5031</v>
      </c>
      <c r="Y589" s="27">
        <f t="shared" si="212"/>
        <v>45588</v>
      </c>
      <c r="Z589" s="5">
        <f>MONTH(Modelling_new[[#This Row],[Date]])</f>
        <v>10</v>
      </c>
      <c r="AA589" s="25">
        <f>YEAR(Y589)+IF(MONTH(Modelling_new[[#This Row],[Date]])&gt;=4,1,0)</f>
        <v>2025</v>
      </c>
      <c r="AB589" s="3">
        <f t="shared" si="226"/>
        <v>2024</v>
      </c>
      <c r="AC589" s="3" t="s">
        <v>627</v>
      </c>
      <c r="AD589" s="3" t="s">
        <v>627</v>
      </c>
      <c r="AE589" s="102">
        <f>DATE(Modelling_old[[#This Row],[Calendor Year]],Modelling_old[[#This Row],[Start Month]],1)</f>
        <v>45566</v>
      </c>
      <c r="AF589" s="5">
        <f t="shared" si="227"/>
        <v>31</v>
      </c>
      <c r="AG589" s="5">
        <f t="shared" si="228"/>
        <v>10</v>
      </c>
      <c r="AH589" s="4">
        <f>_xlfn.XLOOKUP(Modelling_new[[#This Row],[Month]],$AA$1:$AA$14,$AL$1:$AL$14)/Modelling_new[[#This Row],[Total Days]]</f>
        <v>61.194992862183334</v>
      </c>
      <c r="AI589" s="4">
        <f>SUM($AH$567:AH589)</f>
        <v>1407.484835830217</v>
      </c>
      <c r="AJ589" s="4">
        <f>SUM($AH$384:AH589)</f>
        <v>11558.953297079499</v>
      </c>
      <c r="AK589" s="4">
        <f t="shared" si="229"/>
        <v>6.0354838709677416</v>
      </c>
      <c r="AL589" s="4">
        <f>SUM($AK$567:AK589)</f>
        <v>138.816129032258</v>
      </c>
      <c r="AM589" s="4">
        <f>SUM($AK$384:AK589)</f>
        <v>1107.616129032253</v>
      </c>
      <c r="AN589" s="323">
        <f t="shared" si="230"/>
        <v>0.88143217495962878</v>
      </c>
      <c r="AO589" s="323">
        <f t="shared" si="231"/>
        <v>0.88143217495962922</v>
      </c>
      <c r="AP589" s="323">
        <f t="shared" si="232"/>
        <v>0.90722360683377012</v>
      </c>
      <c r="AQ589" s="323">
        <f t="shared" si="233"/>
        <v>0.22166123647170233</v>
      </c>
      <c r="AR589" s="323">
        <f>Modelling_new[[#This Row],[Target E_Grid MTD
MWh]]/Modelling_new[[#This Row],[MTD DC Capcity]]/(24*CG589)</f>
        <v>0.19920245072325302</v>
      </c>
      <c r="AS589" s="323">
        <f>Modelling_new[[#This Row],[Target E_Grid YTD
MWh]]/Modelling_new[[#This Row],[YTD DC Capcity]]/(24*CH589)</f>
        <v>0.18265437425856287</v>
      </c>
      <c r="AT589" s="5">
        <v>12.8</v>
      </c>
      <c r="AU589" s="9">
        <f>Modelling_new[[#This Row],[Comisined DC ]]/$AO$1</f>
        <v>1</v>
      </c>
      <c r="AV58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89" s="5">
        <f>AVERAGEIFS(Modelling_new[[Comisined DC ]],Modelling_new[Date],"&lt;="&amp;Modelling_new[[#This Row],[Date]],Modelling_new[[Comisined DC ]],"&gt;"&amp;0,Modelling_new[Finacial Year],Modelling_new[[#This Row],[Finacial Year]])</f>
        <v>12.800000000000015</v>
      </c>
      <c r="BD589" s="27">
        <f t="shared" si="213"/>
        <v>45588</v>
      </c>
      <c r="BE589" s="5">
        <f>MONTH(Modelling[[#This Row],[Date]])</f>
        <v>10</v>
      </c>
      <c r="BF589" s="25">
        <f>YEAR(BD589)+IF(MONTH(Modelling[[#This Row],[Date]])&gt;=4,1,0)</f>
        <v>2025</v>
      </c>
      <c r="BG589" s="3">
        <f t="shared" si="234"/>
        <v>2024</v>
      </c>
      <c r="BH589" s="3" t="s">
        <v>627</v>
      </c>
      <c r="BI589" s="3" t="s">
        <v>627</v>
      </c>
      <c r="BJ589" s="102">
        <f>DATE(Modelling_old[[#This Row],[Calendor Year]],Modelling_old[[#This Row],[Start Month]],1)</f>
        <v>45566</v>
      </c>
      <c r="BK589" s="5">
        <f t="shared" si="235"/>
        <v>31</v>
      </c>
      <c r="BL589" s="5">
        <f t="shared" si="236"/>
        <v>10</v>
      </c>
      <c r="BM589" s="4">
        <f>Modelling_old[[#This Row],[Target E_Grid daily
MWh]]+Modelling_new[[#This Row],[Target E_Grid daily
MWh]]</f>
        <v>109.23370253960269</v>
      </c>
      <c r="BN589" s="4">
        <f>Modelling_old[[#This Row],[Target E_Grid MTD
MWh]]+Modelling_new[[#This Row],[Target E_Grid MTD
MWh]]</f>
        <v>2512.3751584108618</v>
      </c>
      <c r="BO589" s="4">
        <f>Modelling_old[[#This Row],[Target E_Grid YTD
MWh]]+Modelling_new[[#This Row],[Target E_Grid YTD
MWh]]</f>
        <v>20392.843619660132</v>
      </c>
      <c r="BP589" s="4">
        <f>AVERAGE(Modelling_old[[#This Row],[Target POA Daily (KWh/m2)]],Modelling_new[[#This Row],[Target POA Daily (KWh/m2)]])</f>
        <v>6.0354838709677416</v>
      </c>
      <c r="BQ589" s="4">
        <f>SUM($BP$567:BP589)</f>
        <v>138.816129032258</v>
      </c>
      <c r="BR589" s="4">
        <f>SUM($BP$384:BP589)</f>
        <v>1107.616129032253</v>
      </c>
      <c r="BS589" s="323">
        <f>BM589/Modelling[[#This Row],[Comisined DC ]]/BP589</f>
        <v>0.74470262898426853</v>
      </c>
      <c r="BT589" s="337">
        <f>BN589/BQ589/Modelling[[#This Row],[Comisined DC ]]</f>
        <v>0.74470262898426876</v>
      </c>
      <c r="BU589" s="337">
        <f>BO589/BR589/Modelling[[#This Row],[Comisined DC ]]</f>
        <v>0.75757710936822575</v>
      </c>
      <c r="BV589" s="323">
        <f>BM589/(24*Modelling[[#This Row],[Comisined DC ]])</f>
        <v>0.18727669607924277</v>
      </c>
      <c r="BW589" s="323">
        <f>Modelling[[#This Row],[Target E_Grid MTD
MWh]]/Modelling[[#This Row],[MTD DC Capcity]]/(24*CG589)</f>
        <v>0.18727669607924288</v>
      </c>
      <c r="BX589" s="338">
        <f>Modelling[[#This Row],[Target E_Grid YTD
MWh]]/Modelling[[#This Row],[YTD DC Capcity]]/(24*CH589)</f>
        <v>0.16972180932885836</v>
      </c>
      <c r="BY589" s="4">
        <f>Modelling_old[[#This Row],[DC Capcity]]+Modelling_new[[#This Row],[Comisined DC ]]</f>
        <v>24.303100000000001</v>
      </c>
      <c r="BZ589" s="4">
        <v>0</v>
      </c>
      <c r="CA589">
        <f>AVERAGEIFS(Modelling[[Comisined DC ]],Modelling[Date],"&lt;="&amp;Modelling[[#This Row],[Date]],Modelling[Month Year],Modelling[[#This Row],[Month Year]])</f>
        <v>24.303099999999986</v>
      </c>
      <c r="CB589">
        <f>AVERAGEIFS(Modelling[[Comisined DC ]],Modelling[Date],"&lt;="&amp;Modelling[[#This Row],[Date]],Modelling[Finacial Year],Modelling[[#This Row],[Finacial Year]])</f>
        <v>24.303100000000065</v>
      </c>
      <c r="CG589">
        <f t="shared" si="215"/>
        <v>23</v>
      </c>
      <c r="CH589">
        <f t="shared" si="237"/>
        <v>206</v>
      </c>
    </row>
    <row r="590" spans="1:86" x14ac:dyDescent="0.35">
      <c r="A590" s="27">
        <f t="shared" si="216"/>
        <v>45589</v>
      </c>
      <c r="B590" s="5">
        <f>MONTH(Modelling_old[[#This Row],[Date]])</f>
        <v>10</v>
      </c>
      <c r="C590" s="25">
        <f t="shared" si="217"/>
        <v>2025</v>
      </c>
      <c r="D590" s="3">
        <f t="shared" si="218"/>
        <v>2024</v>
      </c>
      <c r="E590" s="3" t="s">
        <v>627</v>
      </c>
      <c r="F590" s="3" t="s">
        <v>627</v>
      </c>
      <c r="G590" s="102">
        <f>DATE(Modelling_old[[#This Row],[Calendor Year]],Modelling_old[[#This Row],[Start Month]],1)</f>
        <v>45566</v>
      </c>
      <c r="H590" s="5">
        <f t="shared" si="219"/>
        <v>31</v>
      </c>
      <c r="I590" s="5">
        <f t="shared" si="220"/>
        <v>10</v>
      </c>
      <c r="J590" s="4">
        <f>_xlfn.XLOOKUP(Modelling_old[[#This Row],[Month]],$C$1:$C$14,$N$1:$N$14)/Modelling_old[[#This Row],[Total Days]]</f>
        <v>48.038709677419355</v>
      </c>
      <c r="K590" s="4">
        <f>SUM($J$567:J590)</f>
        <v>1152.9290322580641</v>
      </c>
      <c r="L590" s="4">
        <f>SUM($J$384:J590)</f>
        <v>8881.9290322580509</v>
      </c>
      <c r="M590" s="4">
        <f t="shared" si="221"/>
        <v>6.0354838709677416</v>
      </c>
      <c r="N590" s="4">
        <f>SUM($M$567:M590)</f>
        <v>144.85161290322574</v>
      </c>
      <c r="O590" s="4">
        <f>SUM($M$384:M590)</f>
        <v>1113.6516129032207</v>
      </c>
      <c r="P590" s="323">
        <f t="shared" si="222"/>
        <v>0.69193347973063524</v>
      </c>
      <c r="Q590" s="337">
        <f t="shared" si="223"/>
        <v>0.69193347973063535</v>
      </c>
      <c r="R590" s="337">
        <f t="shared" si="224"/>
        <v>0.69333488650667663</v>
      </c>
      <c r="S590" s="323">
        <f t="shared" si="225"/>
        <v>0.1740063898623681</v>
      </c>
      <c r="T590" s="9">
        <f>Modelling_old[[#This Row],[Target E_Grid MTD
MWh]]/Modelling_old[[#This Row],[DC Capcity]]/(24*CG590)</f>
        <v>0.17400638986236805</v>
      </c>
      <c r="U590" s="338">
        <f>Modelling_old[[#This Row],[Target E_Grid YTD
MWh]]/Modelling_old[[#This Row],[DC Capcity]]/(24*CH590)</f>
        <v>0.15542139988732526</v>
      </c>
      <c r="V590" s="134">
        <v>11.5031</v>
      </c>
      <c r="Y590" s="27">
        <f t="shared" si="212"/>
        <v>45589</v>
      </c>
      <c r="Z590" s="5">
        <f>MONTH(Modelling_new[[#This Row],[Date]])</f>
        <v>10</v>
      </c>
      <c r="AA590" s="25">
        <f>YEAR(Y590)+IF(MONTH(Modelling_new[[#This Row],[Date]])&gt;=4,1,0)</f>
        <v>2025</v>
      </c>
      <c r="AB590" s="3">
        <f t="shared" si="226"/>
        <v>2024</v>
      </c>
      <c r="AC590" s="3" t="s">
        <v>627</v>
      </c>
      <c r="AD590" s="3" t="s">
        <v>627</v>
      </c>
      <c r="AE590" s="102">
        <f>DATE(Modelling_old[[#This Row],[Calendor Year]],Modelling_old[[#This Row],[Start Month]],1)</f>
        <v>45566</v>
      </c>
      <c r="AF590" s="5">
        <f t="shared" si="227"/>
        <v>31</v>
      </c>
      <c r="AG590" s="5">
        <f t="shared" si="228"/>
        <v>10</v>
      </c>
      <c r="AH590" s="4">
        <f>_xlfn.XLOOKUP(Modelling_new[[#This Row],[Month]],$AA$1:$AA$14,$AL$1:$AL$14)/Modelling_new[[#This Row],[Total Days]]</f>
        <v>61.194992862183334</v>
      </c>
      <c r="AI590" s="4">
        <f>SUM($AH$567:AH590)</f>
        <v>1468.6798286924004</v>
      </c>
      <c r="AJ590" s="4">
        <f>SUM($AH$384:AH590)</f>
        <v>11620.148289941682</v>
      </c>
      <c r="AK590" s="4">
        <f t="shared" si="229"/>
        <v>6.0354838709677416</v>
      </c>
      <c r="AL590" s="4">
        <f>SUM($AK$567:AK590)</f>
        <v>144.85161290322574</v>
      </c>
      <c r="AM590" s="4">
        <f>SUM($AK$384:AK590)</f>
        <v>1113.6516129032207</v>
      </c>
      <c r="AN590" s="323">
        <f t="shared" si="230"/>
        <v>0.88143217495962878</v>
      </c>
      <c r="AO590" s="323">
        <f t="shared" si="231"/>
        <v>0.88143217495962922</v>
      </c>
      <c r="AP590" s="323">
        <f t="shared" si="232"/>
        <v>0.90708382903496676</v>
      </c>
      <c r="AQ590" s="323">
        <f t="shared" si="233"/>
        <v>0.22166123647170233</v>
      </c>
      <c r="AR590" s="323">
        <f>Modelling_new[[#This Row],[Target E_Grid MTD
MWh]]/Modelling_new[[#This Row],[MTD DC Capcity]]/(24*CG590)</f>
        <v>0.19920245072325302</v>
      </c>
      <c r="AS590" s="323">
        <f>Modelling_new[[#This Row],[Target E_Grid YTD
MWh]]/Modelling_new[[#This Row],[YTD DC Capcity]]/(24*CH590)</f>
        <v>0.18273431665694301</v>
      </c>
      <c r="AT590" s="5">
        <v>12.8</v>
      </c>
      <c r="AU590" s="9">
        <f>Modelling_new[[#This Row],[Comisined DC ]]/$AO$1</f>
        <v>1</v>
      </c>
      <c r="AV59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90" s="5">
        <f>AVERAGEIFS(Modelling_new[[Comisined DC ]],Modelling_new[Date],"&lt;="&amp;Modelling_new[[#This Row],[Date]],Modelling_new[[Comisined DC ]],"&gt;"&amp;0,Modelling_new[Finacial Year],Modelling_new[[#This Row],[Finacial Year]])</f>
        <v>12.800000000000015</v>
      </c>
      <c r="BD590" s="27">
        <f t="shared" si="213"/>
        <v>45589</v>
      </c>
      <c r="BE590" s="5">
        <f>MONTH(Modelling[[#This Row],[Date]])</f>
        <v>10</v>
      </c>
      <c r="BF590" s="25">
        <f>YEAR(BD590)+IF(MONTH(Modelling[[#This Row],[Date]])&gt;=4,1,0)</f>
        <v>2025</v>
      </c>
      <c r="BG590" s="3">
        <f t="shared" si="234"/>
        <v>2024</v>
      </c>
      <c r="BH590" s="3" t="s">
        <v>627</v>
      </c>
      <c r="BI590" s="3" t="s">
        <v>627</v>
      </c>
      <c r="BJ590" s="102">
        <f>DATE(Modelling_old[[#This Row],[Calendor Year]],Modelling_old[[#This Row],[Start Month]],1)</f>
        <v>45566</v>
      </c>
      <c r="BK590" s="5">
        <f t="shared" si="235"/>
        <v>31</v>
      </c>
      <c r="BL590" s="5">
        <f t="shared" si="236"/>
        <v>10</v>
      </c>
      <c r="BM590" s="4">
        <f>Modelling_old[[#This Row],[Target E_Grid daily
MWh]]+Modelling_new[[#This Row],[Target E_Grid daily
MWh]]</f>
        <v>109.23370253960269</v>
      </c>
      <c r="BN590" s="4">
        <f>Modelling_old[[#This Row],[Target E_Grid MTD
MWh]]+Modelling_new[[#This Row],[Target E_Grid MTD
MWh]]</f>
        <v>2621.6088609504645</v>
      </c>
      <c r="BO590" s="4">
        <f>Modelling_old[[#This Row],[Target E_Grid YTD
MWh]]+Modelling_new[[#This Row],[Target E_Grid YTD
MWh]]</f>
        <v>20502.077322199733</v>
      </c>
      <c r="BP590" s="4">
        <f>AVERAGE(Modelling_old[[#This Row],[Target POA Daily (KWh/m2)]],Modelling_new[[#This Row],[Target POA Daily (KWh/m2)]])</f>
        <v>6.0354838709677416</v>
      </c>
      <c r="BQ590" s="4">
        <f>SUM($BP$567:BP590)</f>
        <v>144.85161290322574</v>
      </c>
      <c r="BR590" s="4">
        <f>SUM($BP$384:BP590)</f>
        <v>1113.6516129032207</v>
      </c>
      <c r="BS590" s="323">
        <f>BM590/Modelling[[#This Row],[Comisined DC ]]/BP590</f>
        <v>0.74470262898426853</v>
      </c>
      <c r="BT590" s="337">
        <f>BN590/BQ590/Modelling[[#This Row],[Comisined DC ]]</f>
        <v>0.74470262898426876</v>
      </c>
      <c r="BU590" s="337">
        <f>BO590/BR590/Modelling[[#This Row],[Comisined DC ]]</f>
        <v>0.7575073355558376</v>
      </c>
      <c r="BV590" s="323">
        <f>BM590/(24*Modelling[[#This Row],[Comisined DC ]])</f>
        <v>0.18727669607924277</v>
      </c>
      <c r="BW590" s="323">
        <f>Modelling[[#This Row],[Target E_Grid MTD
MWh]]/Modelling[[#This Row],[MTD DC Capcity]]/(24*CG590)</f>
        <v>0.18727669607924288</v>
      </c>
      <c r="BX590" s="338">
        <f>Modelling[[#This Row],[Target E_Grid YTD
MWh]]/Modelling[[#This Row],[YTD DC Capcity]]/(24*CH590)</f>
        <v>0.16980661554504378</v>
      </c>
      <c r="BY590" s="4">
        <f>Modelling_old[[#This Row],[DC Capcity]]+Modelling_new[[#This Row],[Comisined DC ]]</f>
        <v>24.303100000000001</v>
      </c>
      <c r="BZ590" s="4">
        <v>0</v>
      </c>
      <c r="CA590">
        <f>AVERAGEIFS(Modelling[[Comisined DC ]],Modelling[Date],"&lt;="&amp;Modelling[[#This Row],[Date]],Modelling[Month Year],Modelling[[#This Row],[Month Year]])</f>
        <v>24.303099999999986</v>
      </c>
      <c r="CB590">
        <f>AVERAGEIFS(Modelling[[Comisined DC ]],Modelling[Date],"&lt;="&amp;Modelling[[#This Row],[Date]],Modelling[Finacial Year],Modelling[[#This Row],[Finacial Year]])</f>
        <v>24.303100000000065</v>
      </c>
      <c r="CG590">
        <f t="shared" si="215"/>
        <v>24</v>
      </c>
      <c r="CH590">
        <f t="shared" si="237"/>
        <v>207</v>
      </c>
    </row>
    <row r="591" spans="1:86" x14ac:dyDescent="0.35">
      <c r="A591" s="27">
        <f t="shared" si="216"/>
        <v>45590</v>
      </c>
      <c r="B591" s="5">
        <f>MONTH(Modelling_old[[#This Row],[Date]])</f>
        <v>10</v>
      </c>
      <c r="C591" s="25">
        <f t="shared" si="217"/>
        <v>2025</v>
      </c>
      <c r="D591" s="3">
        <f t="shared" si="218"/>
        <v>2024</v>
      </c>
      <c r="E591" s="3" t="s">
        <v>627</v>
      </c>
      <c r="F591" s="3" t="s">
        <v>627</v>
      </c>
      <c r="G591" s="102">
        <f>DATE(Modelling_old[[#This Row],[Calendor Year]],Modelling_old[[#This Row],[Start Month]],1)</f>
        <v>45566</v>
      </c>
      <c r="H591" s="5">
        <f t="shared" si="219"/>
        <v>31</v>
      </c>
      <c r="I591" s="5">
        <f t="shared" si="220"/>
        <v>10</v>
      </c>
      <c r="J591" s="4">
        <f>_xlfn.XLOOKUP(Modelling_old[[#This Row],[Month]],$C$1:$C$14,$N$1:$N$14)/Modelling_old[[#This Row],[Total Days]]</f>
        <v>48.038709677419355</v>
      </c>
      <c r="K591" s="4">
        <f>SUM($J$567:J591)</f>
        <v>1200.9677419354834</v>
      </c>
      <c r="L591" s="4">
        <f>SUM($J$384:J591)</f>
        <v>8929.9677419354703</v>
      </c>
      <c r="M591" s="4">
        <f t="shared" si="221"/>
        <v>6.0354838709677416</v>
      </c>
      <c r="N591" s="4">
        <f>SUM($M$567:M591)</f>
        <v>150.88709677419348</v>
      </c>
      <c r="O591" s="4">
        <f>SUM($M$384:M591)</f>
        <v>1119.6870967741884</v>
      </c>
      <c r="P591" s="323">
        <f t="shared" si="222"/>
        <v>0.69193347973063524</v>
      </c>
      <c r="Q591" s="337">
        <f t="shared" si="223"/>
        <v>0.69193347973063535</v>
      </c>
      <c r="R591" s="337">
        <f t="shared" si="224"/>
        <v>0.6933273324605348</v>
      </c>
      <c r="S591" s="323">
        <f t="shared" si="225"/>
        <v>0.1740063898623681</v>
      </c>
      <c r="T591" s="9">
        <f>Modelling_old[[#This Row],[Target E_Grid MTD
MWh]]/Modelling_old[[#This Row],[DC Capcity]]/(24*CG591)</f>
        <v>0.17400638986236805</v>
      </c>
      <c r="U591" s="338">
        <f>Modelling_old[[#This Row],[Target E_Grid YTD
MWh]]/Modelling_old[[#This Row],[DC Capcity]]/(24*CH591)</f>
        <v>0.15551075080066681</v>
      </c>
      <c r="V591" s="134">
        <v>11.5031</v>
      </c>
      <c r="Y591" s="27">
        <f t="shared" si="212"/>
        <v>45590</v>
      </c>
      <c r="Z591" s="5">
        <f>MONTH(Modelling_new[[#This Row],[Date]])</f>
        <v>10</v>
      </c>
      <c r="AA591" s="25">
        <f>YEAR(Y591)+IF(MONTH(Modelling_new[[#This Row],[Date]])&gt;=4,1,0)</f>
        <v>2025</v>
      </c>
      <c r="AB591" s="3">
        <f t="shared" si="226"/>
        <v>2024</v>
      </c>
      <c r="AC591" s="3" t="s">
        <v>627</v>
      </c>
      <c r="AD591" s="3" t="s">
        <v>627</v>
      </c>
      <c r="AE591" s="102">
        <f>DATE(Modelling_old[[#This Row],[Calendor Year]],Modelling_old[[#This Row],[Start Month]],1)</f>
        <v>45566</v>
      </c>
      <c r="AF591" s="5">
        <f t="shared" si="227"/>
        <v>31</v>
      </c>
      <c r="AG591" s="5">
        <f t="shared" si="228"/>
        <v>10</v>
      </c>
      <c r="AH591" s="4">
        <f>_xlfn.XLOOKUP(Modelling_new[[#This Row],[Month]],$AA$1:$AA$14,$AL$1:$AL$14)/Modelling_new[[#This Row],[Total Days]]</f>
        <v>61.194992862183334</v>
      </c>
      <c r="AI591" s="4">
        <f>SUM($AH$567:AH591)</f>
        <v>1529.8748215545838</v>
      </c>
      <c r="AJ591" s="4">
        <f>SUM($AH$384:AH591)</f>
        <v>11681.343282803866</v>
      </c>
      <c r="AK591" s="4">
        <f t="shared" si="229"/>
        <v>6.0354838709677416</v>
      </c>
      <c r="AL591" s="4">
        <f>SUM($AK$567:AK591)</f>
        <v>150.88709677419348</v>
      </c>
      <c r="AM591" s="4">
        <f>SUM($AK$384:AK591)</f>
        <v>1119.6870967741884</v>
      </c>
      <c r="AN591" s="323">
        <f t="shared" si="230"/>
        <v>0.88143217495962878</v>
      </c>
      <c r="AO591" s="323">
        <f t="shared" si="231"/>
        <v>0.88143217495962944</v>
      </c>
      <c r="AP591" s="323">
        <f t="shared" si="232"/>
        <v>0.90694555813331801</v>
      </c>
      <c r="AQ591" s="323">
        <f t="shared" si="233"/>
        <v>0.22166123647170233</v>
      </c>
      <c r="AR591" s="323">
        <f>Modelling_new[[#This Row],[Target E_Grid MTD
MWh]]/Modelling_new[[#This Row],[MTD DC Capcity]]/(24*CG591)</f>
        <v>0.19920245072325304</v>
      </c>
      <c r="AS591" s="323">
        <f>Modelling_new[[#This Row],[Target E_Grid YTD
MWh]]/Modelling_new[[#This Row],[YTD DC Capcity]]/(24*CH591)</f>
        <v>0.18281349037841566</v>
      </c>
      <c r="AT591" s="5">
        <v>12.8</v>
      </c>
      <c r="AU591" s="9">
        <f>Modelling_new[[#This Row],[Comisined DC ]]/$AO$1</f>
        <v>1</v>
      </c>
      <c r="AV59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91" s="5">
        <f>AVERAGEIFS(Modelling_new[[Comisined DC ]],Modelling_new[Date],"&lt;="&amp;Modelling_new[[#This Row],[Date]],Modelling_new[[Comisined DC ]],"&gt;"&amp;0,Modelling_new[Finacial Year],Modelling_new[[#This Row],[Finacial Year]])</f>
        <v>12.800000000000015</v>
      </c>
      <c r="BD591" s="27">
        <f t="shared" si="213"/>
        <v>45590</v>
      </c>
      <c r="BE591" s="5">
        <f>MONTH(Modelling[[#This Row],[Date]])</f>
        <v>10</v>
      </c>
      <c r="BF591" s="25">
        <f>YEAR(BD591)+IF(MONTH(Modelling[[#This Row],[Date]])&gt;=4,1,0)</f>
        <v>2025</v>
      </c>
      <c r="BG591" s="3">
        <f t="shared" si="234"/>
        <v>2024</v>
      </c>
      <c r="BH591" s="3" t="s">
        <v>627</v>
      </c>
      <c r="BI591" s="3" t="s">
        <v>627</v>
      </c>
      <c r="BJ591" s="102">
        <f>DATE(Modelling_old[[#This Row],[Calendor Year]],Modelling_old[[#This Row],[Start Month]],1)</f>
        <v>45566</v>
      </c>
      <c r="BK591" s="5">
        <f t="shared" si="235"/>
        <v>31</v>
      </c>
      <c r="BL591" s="5">
        <f t="shared" si="236"/>
        <v>10</v>
      </c>
      <c r="BM591" s="4">
        <f>Modelling_old[[#This Row],[Target E_Grid daily
MWh]]+Modelling_new[[#This Row],[Target E_Grid daily
MWh]]</f>
        <v>109.23370253960269</v>
      </c>
      <c r="BN591" s="4">
        <f>Modelling_old[[#This Row],[Target E_Grid MTD
MWh]]+Modelling_new[[#This Row],[Target E_Grid MTD
MWh]]</f>
        <v>2730.8425634900673</v>
      </c>
      <c r="BO591" s="4">
        <f>Modelling_old[[#This Row],[Target E_Grid YTD
MWh]]+Modelling_new[[#This Row],[Target E_Grid YTD
MWh]]</f>
        <v>20611.311024739334</v>
      </c>
      <c r="BP591" s="4">
        <f>AVERAGE(Modelling_old[[#This Row],[Target POA Daily (KWh/m2)]],Modelling_new[[#This Row],[Target POA Daily (KWh/m2)]])</f>
        <v>6.0354838709677416</v>
      </c>
      <c r="BQ591" s="4">
        <f>SUM($BP$567:BP591)</f>
        <v>150.88709677419348</v>
      </c>
      <c r="BR591" s="4">
        <f>SUM($BP$384:BP591)</f>
        <v>1119.6870967741884</v>
      </c>
      <c r="BS591" s="323">
        <f>BM591/Modelling[[#This Row],[Comisined DC ]]/BP591</f>
        <v>0.74470262898426853</v>
      </c>
      <c r="BT591" s="337">
        <f>BN591/BQ591/Modelling[[#This Row],[Comisined DC ]]</f>
        <v>0.74470262898426876</v>
      </c>
      <c r="BU591" s="337">
        <f>BO591/BR591/Modelling[[#This Row],[Comisined DC ]]</f>
        <v>0.75743831395131256</v>
      </c>
      <c r="BV591" s="323">
        <f>BM591/(24*Modelling[[#This Row],[Comisined DC ]])</f>
        <v>0.18727669607924277</v>
      </c>
      <c r="BW591" s="323">
        <f>Modelling[[#This Row],[Target E_Grid MTD
MWh]]/Modelling[[#This Row],[MTD DC Capcity]]/(24*CG591)</f>
        <v>0.18727669607924288</v>
      </c>
      <c r="BX591" s="338">
        <f>Modelling[[#This Row],[Target E_Grid YTD
MWh]]/Modelling[[#This Row],[YTD DC Capcity]]/(24*CH591)</f>
        <v>0.1698906063168428</v>
      </c>
      <c r="BY591" s="4">
        <f>Modelling_old[[#This Row],[DC Capcity]]+Modelling_new[[#This Row],[Comisined DC ]]</f>
        <v>24.303100000000001</v>
      </c>
      <c r="BZ591" s="4">
        <v>0</v>
      </c>
      <c r="CA591">
        <f>AVERAGEIFS(Modelling[[Comisined DC ]],Modelling[Date],"&lt;="&amp;Modelling[[#This Row],[Date]],Modelling[Month Year],Modelling[[#This Row],[Month Year]])</f>
        <v>24.303099999999986</v>
      </c>
      <c r="CB591">
        <f>AVERAGEIFS(Modelling[[Comisined DC ]],Modelling[Date],"&lt;="&amp;Modelling[[#This Row],[Date]],Modelling[Finacial Year],Modelling[[#This Row],[Finacial Year]])</f>
        <v>24.303100000000065</v>
      </c>
      <c r="CG591">
        <f t="shared" si="215"/>
        <v>25</v>
      </c>
      <c r="CH591">
        <f t="shared" si="237"/>
        <v>208</v>
      </c>
    </row>
    <row r="592" spans="1:86" x14ac:dyDescent="0.35">
      <c r="A592" s="27">
        <f t="shared" si="216"/>
        <v>45591</v>
      </c>
      <c r="B592" s="5">
        <f>MONTH(Modelling_old[[#This Row],[Date]])</f>
        <v>10</v>
      </c>
      <c r="C592" s="25">
        <f t="shared" si="217"/>
        <v>2025</v>
      </c>
      <c r="D592" s="3">
        <f t="shared" si="218"/>
        <v>2024</v>
      </c>
      <c r="E592" s="3" t="s">
        <v>627</v>
      </c>
      <c r="F592" s="3" t="s">
        <v>627</v>
      </c>
      <c r="G592" s="102">
        <f>DATE(Modelling_old[[#This Row],[Calendor Year]],Modelling_old[[#This Row],[Start Month]],1)</f>
        <v>45566</v>
      </c>
      <c r="H592" s="5">
        <f t="shared" si="219"/>
        <v>31</v>
      </c>
      <c r="I592" s="5">
        <f t="shared" si="220"/>
        <v>10</v>
      </c>
      <c r="J592" s="4">
        <f>_xlfn.XLOOKUP(Modelling_old[[#This Row],[Month]],$C$1:$C$14,$N$1:$N$14)/Modelling_old[[#This Row],[Total Days]]</f>
        <v>48.038709677419355</v>
      </c>
      <c r="K592" s="4">
        <f>SUM($J$567:J592)</f>
        <v>1249.0064516129028</v>
      </c>
      <c r="L592" s="4">
        <f>SUM($J$384:J592)</f>
        <v>8978.0064516128896</v>
      </c>
      <c r="M592" s="4">
        <f t="shared" si="221"/>
        <v>6.0354838709677416</v>
      </c>
      <c r="N592" s="4">
        <f>SUM($M$567:M592)</f>
        <v>156.92258064516122</v>
      </c>
      <c r="O592" s="4">
        <f>SUM($M$384:M592)</f>
        <v>1125.7225806451561</v>
      </c>
      <c r="P592" s="323">
        <f t="shared" si="222"/>
        <v>0.69193347973063524</v>
      </c>
      <c r="Q592" s="337">
        <f t="shared" si="223"/>
        <v>0.69193347973063535</v>
      </c>
      <c r="R592" s="337">
        <f t="shared" si="224"/>
        <v>0.69331985941538632</v>
      </c>
      <c r="S592" s="323">
        <f t="shared" si="225"/>
        <v>0.1740063898623681</v>
      </c>
      <c r="T592" s="9">
        <f>Modelling_old[[#This Row],[Target E_Grid MTD
MWh]]/Modelling_old[[#This Row],[DC Capcity]]/(24*CG592)</f>
        <v>0.17400638986236805</v>
      </c>
      <c r="U592" s="338">
        <f>Modelling_old[[#This Row],[Target E_Grid YTD
MWh]]/Modelling_old[[#This Row],[DC Capcity]]/(24*CH592)</f>
        <v>0.15559924668134481</v>
      </c>
      <c r="V592" s="134">
        <v>11.5031</v>
      </c>
      <c r="Y592" s="27">
        <f t="shared" si="212"/>
        <v>45591</v>
      </c>
      <c r="Z592" s="5">
        <f>MONTH(Modelling_new[[#This Row],[Date]])</f>
        <v>10</v>
      </c>
      <c r="AA592" s="25">
        <f>YEAR(Y592)+IF(MONTH(Modelling_new[[#This Row],[Date]])&gt;=4,1,0)</f>
        <v>2025</v>
      </c>
      <c r="AB592" s="3">
        <f t="shared" si="226"/>
        <v>2024</v>
      </c>
      <c r="AC592" s="3" t="s">
        <v>627</v>
      </c>
      <c r="AD592" s="3" t="s">
        <v>627</v>
      </c>
      <c r="AE592" s="102">
        <f>DATE(Modelling_old[[#This Row],[Calendor Year]],Modelling_old[[#This Row],[Start Month]],1)</f>
        <v>45566</v>
      </c>
      <c r="AF592" s="5">
        <f t="shared" si="227"/>
        <v>31</v>
      </c>
      <c r="AG592" s="5">
        <f t="shared" si="228"/>
        <v>10</v>
      </c>
      <c r="AH592" s="4">
        <f>_xlfn.XLOOKUP(Modelling_new[[#This Row],[Month]],$AA$1:$AA$14,$AL$1:$AL$14)/Modelling_new[[#This Row],[Total Days]]</f>
        <v>61.194992862183334</v>
      </c>
      <c r="AI592" s="4">
        <f>SUM($AH$567:AH592)</f>
        <v>1591.0698144167673</v>
      </c>
      <c r="AJ592" s="4">
        <f>SUM($AH$384:AH592)</f>
        <v>11742.538275666049</v>
      </c>
      <c r="AK592" s="4">
        <f t="shared" si="229"/>
        <v>6.0354838709677416</v>
      </c>
      <c r="AL592" s="4">
        <f>SUM($AK$567:AK592)</f>
        <v>156.92258064516122</v>
      </c>
      <c r="AM592" s="4">
        <f>SUM($AK$384:AK592)</f>
        <v>1125.7225806451561</v>
      </c>
      <c r="AN592" s="323">
        <f t="shared" si="230"/>
        <v>0.88143217495962878</v>
      </c>
      <c r="AO592" s="323">
        <f t="shared" si="231"/>
        <v>0.88143217495962944</v>
      </c>
      <c r="AP592" s="323">
        <f t="shared" si="232"/>
        <v>0.9068087698914491</v>
      </c>
      <c r="AQ592" s="323">
        <f t="shared" si="233"/>
        <v>0.22166123647170233</v>
      </c>
      <c r="AR592" s="323">
        <f>Modelling_new[[#This Row],[Target E_Grid MTD
MWh]]/Modelling_new[[#This Row],[MTD DC Capcity]]/(24*CG592)</f>
        <v>0.19920245072325304</v>
      </c>
      <c r="AS592" s="323">
        <f>Modelling_new[[#This Row],[Target E_Grid YTD
MWh]]/Modelling_new[[#This Row],[YTD DC Capcity]]/(24*CH592)</f>
        <v>0.1828919064566206</v>
      </c>
      <c r="AT592" s="5">
        <v>12.8</v>
      </c>
      <c r="AU592" s="9">
        <f>Modelling_new[[#This Row],[Comisined DC ]]/$AO$1</f>
        <v>1</v>
      </c>
      <c r="AV59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92" s="5">
        <f>AVERAGEIFS(Modelling_new[[Comisined DC ]],Modelling_new[Date],"&lt;="&amp;Modelling_new[[#This Row],[Date]],Modelling_new[[Comisined DC ]],"&gt;"&amp;0,Modelling_new[Finacial Year],Modelling_new[[#This Row],[Finacial Year]])</f>
        <v>12.800000000000017</v>
      </c>
      <c r="BD592" s="27">
        <f t="shared" si="213"/>
        <v>45591</v>
      </c>
      <c r="BE592" s="5">
        <f>MONTH(Modelling[[#This Row],[Date]])</f>
        <v>10</v>
      </c>
      <c r="BF592" s="25">
        <f>YEAR(BD592)+IF(MONTH(Modelling[[#This Row],[Date]])&gt;=4,1,0)</f>
        <v>2025</v>
      </c>
      <c r="BG592" s="3">
        <f t="shared" si="234"/>
        <v>2024</v>
      </c>
      <c r="BH592" s="3" t="s">
        <v>627</v>
      </c>
      <c r="BI592" s="3" t="s">
        <v>627</v>
      </c>
      <c r="BJ592" s="102">
        <f>DATE(Modelling_old[[#This Row],[Calendor Year]],Modelling_old[[#This Row],[Start Month]],1)</f>
        <v>45566</v>
      </c>
      <c r="BK592" s="5">
        <f t="shared" si="235"/>
        <v>31</v>
      </c>
      <c r="BL592" s="5">
        <f t="shared" si="236"/>
        <v>10</v>
      </c>
      <c r="BM592" s="4">
        <f>Modelling_old[[#This Row],[Target E_Grid daily
MWh]]+Modelling_new[[#This Row],[Target E_Grid daily
MWh]]</f>
        <v>109.23370253960269</v>
      </c>
      <c r="BN592" s="4">
        <f>Modelling_old[[#This Row],[Target E_Grid MTD
MWh]]+Modelling_new[[#This Row],[Target E_Grid MTD
MWh]]</f>
        <v>2840.07626602967</v>
      </c>
      <c r="BO592" s="4">
        <f>Modelling_old[[#This Row],[Target E_Grid YTD
MWh]]+Modelling_new[[#This Row],[Target E_Grid YTD
MWh]]</f>
        <v>20720.544727278939</v>
      </c>
      <c r="BP592" s="4">
        <f>AVERAGE(Modelling_old[[#This Row],[Target POA Daily (KWh/m2)]],Modelling_new[[#This Row],[Target POA Daily (KWh/m2)]])</f>
        <v>6.0354838709677416</v>
      </c>
      <c r="BQ592" s="4">
        <f>SUM($BP$567:BP592)</f>
        <v>156.92258064516122</v>
      </c>
      <c r="BR592" s="4">
        <f>SUM($BP$384:BP592)</f>
        <v>1125.7225806451561</v>
      </c>
      <c r="BS592" s="323">
        <f>BM592/Modelling[[#This Row],[Comisined DC ]]/BP592</f>
        <v>0.74470262898426853</v>
      </c>
      <c r="BT592" s="337">
        <f>BN592/BQ592/Modelling[[#This Row],[Comisined DC ]]</f>
        <v>0.74470262898426876</v>
      </c>
      <c r="BU592" s="337">
        <f>BO592/BR592/Modelling[[#This Row],[Comisined DC ]]</f>
        <v>0.75737003245591961</v>
      </c>
      <c r="BV592" s="323">
        <f>BM592/(24*Modelling[[#This Row],[Comisined DC ]])</f>
        <v>0.18727669607924277</v>
      </c>
      <c r="BW592" s="323">
        <f>Modelling[[#This Row],[Target E_Grid MTD
MWh]]/Modelling[[#This Row],[MTD DC Capcity]]/(24*CG592)</f>
        <v>0.18727669607924291</v>
      </c>
      <c r="BX592" s="338">
        <f>Modelling[[#This Row],[Target E_Grid YTD
MWh]]/Modelling[[#This Row],[YTD DC Capcity]]/(24*CH592)</f>
        <v>0.16997379334919879</v>
      </c>
      <c r="BY592" s="4">
        <f>Modelling_old[[#This Row],[DC Capcity]]+Modelling_new[[#This Row],[Comisined DC ]]</f>
        <v>24.303100000000001</v>
      </c>
      <c r="BZ592" s="4">
        <v>0</v>
      </c>
      <c r="CA592">
        <f>AVERAGEIFS(Modelling[[Comisined DC ]],Modelling[Date],"&lt;="&amp;Modelling[[#This Row],[Date]],Modelling[Month Year],Modelling[[#This Row],[Month Year]])</f>
        <v>24.303099999999986</v>
      </c>
      <c r="CB592">
        <f>AVERAGEIFS(Modelling[[Comisined DC ]],Modelling[Date],"&lt;="&amp;Modelling[[#This Row],[Date]],Modelling[Finacial Year],Modelling[[#This Row],[Finacial Year]])</f>
        <v>24.303100000000065</v>
      </c>
      <c r="CG592">
        <f t="shared" si="215"/>
        <v>26</v>
      </c>
      <c r="CH592">
        <f t="shared" si="237"/>
        <v>209</v>
      </c>
    </row>
    <row r="593" spans="1:86" x14ac:dyDescent="0.35">
      <c r="A593" s="27">
        <f t="shared" si="216"/>
        <v>45592</v>
      </c>
      <c r="B593" s="5">
        <f>MONTH(Modelling_old[[#This Row],[Date]])</f>
        <v>10</v>
      </c>
      <c r="C593" s="25">
        <f t="shared" si="217"/>
        <v>2025</v>
      </c>
      <c r="D593" s="3">
        <f t="shared" si="218"/>
        <v>2024</v>
      </c>
      <c r="E593" s="3" t="s">
        <v>627</v>
      </c>
      <c r="F593" s="3" t="s">
        <v>627</v>
      </c>
      <c r="G593" s="102">
        <f>DATE(Modelling_old[[#This Row],[Calendor Year]],Modelling_old[[#This Row],[Start Month]],1)</f>
        <v>45566</v>
      </c>
      <c r="H593" s="5">
        <f t="shared" si="219"/>
        <v>31</v>
      </c>
      <c r="I593" s="5">
        <f t="shared" si="220"/>
        <v>10</v>
      </c>
      <c r="J593" s="4">
        <f>_xlfn.XLOOKUP(Modelling_old[[#This Row],[Month]],$C$1:$C$14,$N$1:$N$14)/Modelling_old[[#This Row],[Total Days]]</f>
        <v>48.038709677419355</v>
      </c>
      <c r="K593" s="4">
        <f>SUM($J$567:J593)</f>
        <v>1297.0451612903221</v>
      </c>
      <c r="L593" s="4">
        <f>SUM($J$384:J593)</f>
        <v>9026.0451612903089</v>
      </c>
      <c r="M593" s="4">
        <f t="shared" si="221"/>
        <v>6.0354838709677416</v>
      </c>
      <c r="N593" s="4">
        <f>SUM($M$567:M593)</f>
        <v>162.95806451612896</v>
      </c>
      <c r="O593" s="4">
        <f>SUM($M$384:M593)</f>
        <v>1131.7580645161238</v>
      </c>
      <c r="P593" s="323">
        <f t="shared" si="222"/>
        <v>0.69193347973063524</v>
      </c>
      <c r="Q593" s="337">
        <f t="shared" si="223"/>
        <v>0.69193347973063535</v>
      </c>
      <c r="R593" s="337">
        <f t="shared" si="224"/>
        <v>0.69331246607533537</v>
      </c>
      <c r="S593" s="323">
        <f t="shared" si="225"/>
        <v>0.1740063898623681</v>
      </c>
      <c r="T593" s="9">
        <f>Modelling_old[[#This Row],[Target E_Grid MTD
MWh]]/Modelling_old[[#This Row],[DC Capcity]]/(24*CG593)</f>
        <v>0.17400638986236802</v>
      </c>
      <c r="U593" s="338">
        <f>Modelling_old[[#This Row],[Target E_Grid YTD
MWh]]/Modelling_old[[#This Row],[DC Capcity]]/(24*CH593)</f>
        <v>0.1556868997441116</v>
      </c>
      <c r="V593" s="134">
        <v>11.5031</v>
      </c>
      <c r="Y593" s="27">
        <f t="shared" si="212"/>
        <v>45592</v>
      </c>
      <c r="Z593" s="5">
        <f>MONTH(Modelling_new[[#This Row],[Date]])</f>
        <v>10</v>
      </c>
      <c r="AA593" s="25">
        <f>YEAR(Y593)+IF(MONTH(Modelling_new[[#This Row],[Date]])&gt;=4,1,0)</f>
        <v>2025</v>
      </c>
      <c r="AB593" s="3">
        <f t="shared" si="226"/>
        <v>2024</v>
      </c>
      <c r="AC593" s="3" t="s">
        <v>627</v>
      </c>
      <c r="AD593" s="3" t="s">
        <v>627</v>
      </c>
      <c r="AE593" s="102">
        <f>DATE(Modelling_old[[#This Row],[Calendor Year]],Modelling_old[[#This Row],[Start Month]],1)</f>
        <v>45566</v>
      </c>
      <c r="AF593" s="5">
        <f t="shared" si="227"/>
        <v>31</v>
      </c>
      <c r="AG593" s="5">
        <f t="shared" si="228"/>
        <v>10</v>
      </c>
      <c r="AH593" s="4">
        <f>_xlfn.XLOOKUP(Modelling_new[[#This Row],[Month]],$AA$1:$AA$14,$AL$1:$AL$14)/Modelling_new[[#This Row],[Total Days]]</f>
        <v>61.194992862183334</v>
      </c>
      <c r="AI593" s="4">
        <f>SUM($AH$567:AH593)</f>
        <v>1652.2648072789507</v>
      </c>
      <c r="AJ593" s="4">
        <f>SUM($AH$384:AH593)</f>
        <v>11803.733268528233</v>
      </c>
      <c r="AK593" s="4">
        <f t="shared" si="229"/>
        <v>6.0354838709677416</v>
      </c>
      <c r="AL593" s="4">
        <f>SUM($AK$567:AK593)</f>
        <v>162.95806451612896</v>
      </c>
      <c r="AM593" s="4">
        <f>SUM($AK$384:AK593)</f>
        <v>1131.7580645161238</v>
      </c>
      <c r="AN593" s="323">
        <f t="shared" si="230"/>
        <v>0.88143217495962878</v>
      </c>
      <c r="AO593" s="323">
        <f t="shared" si="231"/>
        <v>0.88143217495962944</v>
      </c>
      <c r="AP593" s="323">
        <f t="shared" si="232"/>
        <v>0.9066734405890009</v>
      </c>
      <c r="AQ593" s="323">
        <f t="shared" si="233"/>
        <v>0.22166123647170233</v>
      </c>
      <c r="AR593" s="323">
        <f>Modelling_new[[#This Row],[Target E_Grid MTD
MWh]]/Modelling_new[[#This Row],[MTD DC Capcity]]/(24*CG593)</f>
        <v>0.19920245072325304</v>
      </c>
      <c r="AS593" s="323">
        <f>Modelling_new[[#This Row],[Target E_Grid YTD
MWh]]/Modelling_new[[#This Row],[YTD DC Capcity]]/(24*CH593)</f>
        <v>0.18296957571503314</v>
      </c>
      <c r="AT593" s="5">
        <v>12.8</v>
      </c>
      <c r="AU593" s="9">
        <f>Modelling_new[[#This Row],[Comisined DC ]]/$AO$1</f>
        <v>1</v>
      </c>
      <c r="AV593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593" s="5">
        <f>AVERAGEIFS(Modelling_new[[Comisined DC ]],Modelling_new[Date],"&lt;="&amp;Modelling_new[[#This Row],[Date]],Modelling_new[[Comisined DC ]],"&gt;"&amp;0,Modelling_new[Finacial Year],Modelling_new[[#This Row],[Finacial Year]])</f>
        <v>12.800000000000017</v>
      </c>
      <c r="BD593" s="27">
        <f t="shared" si="213"/>
        <v>45592</v>
      </c>
      <c r="BE593" s="5">
        <f>MONTH(Modelling[[#This Row],[Date]])</f>
        <v>10</v>
      </c>
      <c r="BF593" s="25">
        <f>YEAR(BD593)+IF(MONTH(Modelling[[#This Row],[Date]])&gt;=4,1,0)</f>
        <v>2025</v>
      </c>
      <c r="BG593" s="3">
        <f t="shared" si="234"/>
        <v>2024</v>
      </c>
      <c r="BH593" s="3" t="s">
        <v>627</v>
      </c>
      <c r="BI593" s="3" t="s">
        <v>627</v>
      </c>
      <c r="BJ593" s="102">
        <f>DATE(Modelling_old[[#This Row],[Calendor Year]],Modelling_old[[#This Row],[Start Month]],1)</f>
        <v>45566</v>
      </c>
      <c r="BK593" s="5">
        <f t="shared" si="235"/>
        <v>31</v>
      </c>
      <c r="BL593" s="5">
        <f t="shared" si="236"/>
        <v>10</v>
      </c>
      <c r="BM593" s="4">
        <f>Modelling_old[[#This Row],[Target E_Grid daily
MWh]]+Modelling_new[[#This Row],[Target E_Grid daily
MWh]]</f>
        <v>109.23370253960269</v>
      </c>
      <c r="BN593" s="4">
        <f>Modelling_old[[#This Row],[Target E_Grid MTD
MWh]]+Modelling_new[[#This Row],[Target E_Grid MTD
MWh]]</f>
        <v>2949.3099685692728</v>
      </c>
      <c r="BO593" s="4">
        <f>Modelling_old[[#This Row],[Target E_Grid YTD
MWh]]+Modelling_new[[#This Row],[Target E_Grid YTD
MWh]]</f>
        <v>20829.778429818543</v>
      </c>
      <c r="BP593" s="4">
        <f>AVERAGE(Modelling_old[[#This Row],[Target POA Daily (KWh/m2)]],Modelling_new[[#This Row],[Target POA Daily (KWh/m2)]])</f>
        <v>6.0354838709677416</v>
      </c>
      <c r="BQ593" s="4">
        <f>SUM($BP$567:BP593)</f>
        <v>162.95806451612896</v>
      </c>
      <c r="BR593" s="4">
        <f>SUM($BP$384:BP593)</f>
        <v>1131.7580645161238</v>
      </c>
      <c r="BS593" s="323">
        <f>BM593/Modelling[[#This Row],[Comisined DC ]]/BP593</f>
        <v>0.74470262898426853</v>
      </c>
      <c r="BT593" s="337">
        <f>BN593/BQ593/Modelling[[#This Row],[Comisined DC ]]</f>
        <v>0.74470262898426887</v>
      </c>
      <c r="BU593" s="337">
        <f>BO593/BR593/Modelling[[#This Row],[Comisined DC ]]</f>
        <v>0.75730247922900895</v>
      </c>
      <c r="BV593" s="323">
        <f>BM593/(24*Modelling[[#This Row],[Comisined DC ]])</f>
        <v>0.18727669607924277</v>
      </c>
      <c r="BW593" s="323">
        <f>Modelling[[#This Row],[Target E_Grid MTD
MWh]]/Modelling[[#This Row],[MTD DC Capcity]]/(24*CG593)</f>
        <v>0.18727669607924291</v>
      </c>
      <c r="BX593" s="338">
        <f>Modelling[[#This Row],[Target E_Grid YTD
MWh]]/Modelling[[#This Row],[YTD DC Capcity]]/(24*CH593)</f>
        <v>0.17005618812410375</v>
      </c>
      <c r="BY593" s="4">
        <f>Modelling_old[[#This Row],[DC Capcity]]+Modelling_new[[#This Row],[Comisined DC ]]</f>
        <v>24.303100000000001</v>
      </c>
      <c r="BZ593" s="4">
        <v>0</v>
      </c>
      <c r="CA593">
        <f>AVERAGEIFS(Modelling[[Comisined DC ]],Modelling[Date],"&lt;="&amp;Modelling[[#This Row],[Date]],Modelling[Month Year],Modelling[[#This Row],[Month Year]])</f>
        <v>24.303099999999986</v>
      </c>
      <c r="CB593">
        <f>AVERAGEIFS(Modelling[[Comisined DC ]],Modelling[Date],"&lt;="&amp;Modelling[[#This Row],[Date]],Modelling[Finacial Year],Modelling[[#This Row],[Finacial Year]])</f>
        <v>24.303100000000065</v>
      </c>
      <c r="CG593">
        <f t="shared" si="215"/>
        <v>27</v>
      </c>
      <c r="CH593">
        <f t="shared" si="237"/>
        <v>210</v>
      </c>
    </row>
    <row r="594" spans="1:86" x14ac:dyDescent="0.35">
      <c r="A594" s="27">
        <f t="shared" si="216"/>
        <v>45593</v>
      </c>
      <c r="B594" s="5">
        <f>MONTH(Modelling_old[[#This Row],[Date]])</f>
        <v>10</v>
      </c>
      <c r="C594" s="25">
        <f t="shared" si="217"/>
        <v>2025</v>
      </c>
      <c r="D594" s="3">
        <f t="shared" si="218"/>
        <v>2024</v>
      </c>
      <c r="E594" s="3" t="s">
        <v>627</v>
      </c>
      <c r="F594" s="3" t="s">
        <v>627</v>
      </c>
      <c r="G594" s="102">
        <f>DATE(Modelling_old[[#This Row],[Calendor Year]],Modelling_old[[#This Row],[Start Month]],1)</f>
        <v>45566</v>
      </c>
      <c r="H594" s="5">
        <f t="shared" si="219"/>
        <v>31</v>
      </c>
      <c r="I594" s="5">
        <f t="shared" si="220"/>
        <v>10</v>
      </c>
      <c r="J594" s="4">
        <f>_xlfn.XLOOKUP(Modelling_old[[#This Row],[Month]],$C$1:$C$14,$N$1:$N$14)/Modelling_old[[#This Row],[Total Days]]</f>
        <v>48.038709677419355</v>
      </c>
      <c r="K594" s="4">
        <f>SUM($J$567:J594)</f>
        <v>1345.0838709677414</v>
      </c>
      <c r="L594" s="4">
        <f>SUM($J$384:J594)</f>
        <v>9074.0838709677282</v>
      </c>
      <c r="M594" s="4">
        <f t="shared" si="221"/>
        <v>6.0354838709677416</v>
      </c>
      <c r="N594" s="4">
        <f>SUM($M$567:M594)</f>
        <v>168.99354838709669</v>
      </c>
      <c r="O594" s="4">
        <f>SUM($M$384:M594)</f>
        <v>1137.7935483870915</v>
      </c>
      <c r="P594" s="323">
        <f t="shared" si="222"/>
        <v>0.69193347973063524</v>
      </c>
      <c r="Q594" s="337">
        <f t="shared" si="223"/>
        <v>0.69193347973063535</v>
      </c>
      <c r="R594" s="337">
        <f t="shared" si="224"/>
        <v>0.69330515117198277</v>
      </c>
      <c r="S594" s="323">
        <f t="shared" si="225"/>
        <v>0.1740063898623681</v>
      </c>
      <c r="T594" s="9">
        <f>Modelling_old[[#This Row],[Target E_Grid MTD
MWh]]/Modelling_old[[#This Row],[DC Capcity]]/(24*CG594)</f>
        <v>0.17400638986236802</v>
      </c>
      <c r="U594" s="338">
        <f>Modelling_old[[#This Row],[Target E_Grid YTD
MWh]]/Modelling_old[[#This Row],[DC Capcity]]/(24*CH594)</f>
        <v>0.15577372197216019</v>
      </c>
      <c r="V594" s="134">
        <v>11.5031</v>
      </c>
      <c r="Y594" s="27">
        <f t="shared" si="212"/>
        <v>45593</v>
      </c>
      <c r="Z594" s="5">
        <f>MONTH(Modelling_new[[#This Row],[Date]])</f>
        <v>10</v>
      </c>
      <c r="AA594" s="25">
        <f>YEAR(Y594)+IF(MONTH(Modelling_new[[#This Row],[Date]])&gt;=4,1,0)</f>
        <v>2025</v>
      </c>
      <c r="AB594" s="3">
        <f t="shared" si="226"/>
        <v>2024</v>
      </c>
      <c r="AC594" s="3" t="s">
        <v>627</v>
      </c>
      <c r="AD594" s="3" t="s">
        <v>627</v>
      </c>
      <c r="AE594" s="102">
        <f>DATE(Modelling_old[[#This Row],[Calendor Year]],Modelling_old[[#This Row],[Start Month]],1)</f>
        <v>45566</v>
      </c>
      <c r="AF594" s="5">
        <f t="shared" si="227"/>
        <v>31</v>
      </c>
      <c r="AG594" s="5">
        <f t="shared" si="228"/>
        <v>10</v>
      </c>
      <c r="AH594" s="4">
        <f>_xlfn.XLOOKUP(Modelling_new[[#This Row],[Month]],$AA$1:$AA$14,$AL$1:$AL$14)/Modelling_new[[#This Row],[Total Days]]</f>
        <v>61.194992862183334</v>
      </c>
      <c r="AI594" s="4">
        <f>SUM($AH$567:AH594)</f>
        <v>1713.4598001411341</v>
      </c>
      <c r="AJ594" s="4">
        <f>SUM($AH$384:AH594)</f>
        <v>11864.928261390416</v>
      </c>
      <c r="AK594" s="4">
        <f t="shared" si="229"/>
        <v>6.0354838709677416</v>
      </c>
      <c r="AL594" s="4">
        <f>SUM($AK$567:AK594)</f>
        <v>168.99354838709669</v>
      </c>
      <c r="AM594" s="4">
        <f>SUM($AK$384:AK594)</f>
        <v>1137.7935483870915</v>
      </c>
      <c r="AN594" s="323">
        <f t="shared" si="230"/>
        <v>0.88143217495962878</v>
      </c>
      <c r="AO594" s="323">
        <f t="shared" si="231"/>
        <v>0.88143217495962956</v>
      </c>
      <c r="AP594" s="323">
        <f t="shared" si="232"/>
        <v>0.90653954700891792</v>
      </c>
      <c r="AQ594" s="323">
        <f t="shared" si="233"/>
        <v>0.22166123647170233</v>
      </c>
      <c r="AR594" s="323">
        <f>Modelling_new[[#This Row],[Target E_Grid MTD
MWh]]/Modelling_new[[#This Row],[MTD DC Capcity]]/(24*CG594)</f>
        <v>0.19920245072325304</v>
      </c>
      <c r="AS594" s="323">
        <f>Modelling_new[[#This Row],[Target E_Grid YTD
MWh]]/Modelling_new[[#This Row],[YTD DC Capcity]]/(24*CH594)</f>
        <v>0.18304650877194409</v>
      </c>
      <c r="AT594" s="5">
        <v>12.8</v>
      </c>
      <c r="AU594" s="9">
        <f>Modelling_new[[#This Row],[Comisined DC ]]/$AO$1</f>
        <v>1</v>
      </c>
      <c r="AV594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94" s="5">
        <f>AVERAGEIFS(Modelling_new[[Comisined DC ]],Modelling_new[Date],"&lt;="&amp;Modelling_new[[#This Row],[Date]],Modelling_new[[Comisined DC ]],"&gt;"&amp;0,Modelling_new[Finacial Year],Modelling_new[[#This Row],[Finacial Year]])</f>
        <v>12.800000000000018</v>
      </c>
      <c r="BD594" s="27">
        <f t="shared" si="213"/>
        <v>45593</v>
      </c>
      <c r="BE594" s="5">
        <f>MONTH(Modelling[[#This Row],[Date]])</f>
        <v>10</v>
      </c>
      <c r="BF594" s="25">
        <f>YEAR(BD594)+IF(MONTH(Modelling[[#This Row],[Date]])&gt;=4,1,0)</f>
        <v>2025</v>
      </c>
      <c r="BG594" s="3">
        <f t="shared" si="234"/>
        <v>2024</v>
      </c>
      <c r="BH594" s="3" t="s">
        <v>627</v>
      </c>
      <c r="BI594" s="3" t="s">
        <v>627</v>
      </c>
      <c r="BJ594" s="102">
        <f>DATE(Modelling_old[[#This Row],[Calendor Year]],Modelling_old[[#This Row],[Start Month]],1)</f>
        <v>45566</v>
      </c>
      <c r="BK594" s="5">
        <f t="shared" si="235"/>
        <v>31</v>
      </c>
      <c r="BL594" s="5">
        <f t="shared" si="236"/>
        <v>10</v>
      </c>
      <c r="BM594" s="4">
        <f>Modelling_old[[#This Row],[Target E_Grid daily
MWh]]+Modelling_new[[#This Row],[Target E_Grid daily
MWh]]</f>
        <v>109.23370253960269</v>
      </c>
      <c r="BN594" s="4">
        <f>Modelling_old[[#This Row],[Target E_Grid MTD
MWh]]+Modelling_new[[#This Row],[Target E_Grid MTD
MWh]]</f>
        <v>3058.5436711088755</v>
      </c>
      <c r="BO594" s="4">
        <f>Modelling_old[[#This Row],[Target E_Grid YTD
MWh]]+Modelling_new[[#This Row],[Target E_Grid YTD
MWh]]</f>
        <v>20939.012132358144</v>
      </c>
      <c r="BP594" s="4">
        <f>AVERAGE(Modelling_old[[#This Row],[Target POA Daily (KWh/m2)]],Modelling_new[[#This Row],[Target POA Daily (KWh/m2)]])</f>
        <v>6.0354838709677416</v>
      </c>
      <c r="BQ594" s="4">
        <f>SUM($BP$567:BP594)</f>
        <v>168.99354838709669</v>
      </c>
      <c r="BR594" s="4">
        <f>SUM($BP$384:BP594)</f>
        <v>1137.7935483870915</v>
      </c>
      <c r="BS594" s="323">
        <f>BM594/Modelling[[#This Row],[Comisined DC ]]/BP594</f>
        <v>0.74470262898426853</v>
      </c>
      <c r="BT594" s="337">
        <f>BN594/BQ594/Modelling[[#This Row],[Comisined DC ]]</f>
        <v>0.74470262898426887</v>
      </c>
      <c r="BU594" s="337">
        <f>BO594/BR594/Modelling[[#This Row],[Comisined DC ]]</f>
        <v>0.75723564268116905</v>
      </c>
      <c r="BV594" s="323">
        <f>BM594/(24*Modelling[[#This Row],[Comisined DC ]])</f>
        <v>0.18727669607924277</v>
      </c>
      <c r="BW594" s="323">
        <f>Modelling[[#This Row],[Target E_Grid MTD
MWh]]/Modelling[[#This Row],[MTD DC Capcity]]/(24*CG594)</f>
        <v>0.18727669607924294</v>
      </c>
      <c r="BX594" s="338">
        <f>Modelling[[#This Row],[Target E_Grid YTD
MWh]]/Modelling[[#This Row],[YTD DC Capcity]]/(24*CH594)</f>
        <v>0.17013780190588168</v>
      </c>
      <c r="BY594" s="4">
        <f>Modelling_old[[#This Row],[DC Capcity]]+Modelling_new[[#This Row],[Comisined DC ]]</f>
        <v>24.303100000000001</v>
      </c>
      <c r="BZ594" s="4">
        <v>0</v>
      </c>
      <c r="CA594">
        <f>AVERAGEIFS(Modelling[[Comisined DC ]],Modelling[Date],"&lt;="&amp;Modelling[[#This Row],[Date]],Modelling[Month Year],Modelling[[#This Row],[Month Year]])</f>
        <v>24.303099999999983</v>
      </c>
      <c r="CB594">
        <f>AVERAGEIFS(Modelling[[Comisined DC ]],Modelling[Date],"&lt;="&amp;Modelling[[#This Row],[Date]],Modelling[Finacial Year],Modelling[[#This Row],[Finacial Year]])</f>
        <v>24.303100000000065</v>
      </c>
      <c r="CG594">
        <f t="shared" si="215"/>
        <v>28</v>
      </c>
      <c r="CH594">
        <f t="shared" si="237"/>
        <v>211</v>
      </c>
    </row>
    <row r="595" spans="1:86" x14ac:dyDescent="0.35">
      <c r="A595" s="27">
        <f t="shared" si="216"/>
        <v>45594</v>
      </c>
      <c r="B595" s="5">
        <f>MONTH(Modelling_old[[#This Row],[Date]])</f>
        <v>10</v>
      </c>
      <c r="C595" s="25">
        <f t="shared" si="217"/>
        <v>2025</v>
      </c>
      <c r="D595" s="3">
        <f t="shared" si="218"/>
        <v>2024</v>
      </c>
      <c r="E595" s="3" t="s">
        <v>627</v>
      </c>
      <c r="F595" s="3" t="s">
        <v>627</v>
      </c>
      <c r="G595" s="102">
        <f>DATE(Modelling_old[[#This Row],[Calendor Year]],Modelling_old[[#This Row],[Start Month]],1)</f>
        <v>45566</v>
      </c>
      <c r="H595" s="5">
        <f t="shared" si="219"/>
        <v>31</v>
      </c>
      <c r="I595" s="5">
        <f t="shared" si="220"/>
        <v>10</v>
      </c>
      <c r="J595" s="4">
        <f>_xlfn.XLOOKUP(Modelling_old[[#This Row],[Month]],$C$1:$C$14,$N$1:$N$14)/Modelling_old[[#This Row],[Total Days]]</f>
        <v>48.038709677419355</v>
      </c>
      <c r="K595" s="4">
        <f>SUM($J$567:J595)</f>
        <v>1393.1225806451607</v>
      </c>
      <c r="L595" s="4">
        <f>SUM($J$384:J595)</f>
        <v>9122.1225806451475</v>
      </c>
      <c r="M595" s="4">
        <f t="shared" si="221"/>
        <v>6.0354838709677416</v>
      </c>
      <c r="N595" s="4">
        <f>SUM($M$567:M595)</f>
        <v>175.02903225806443</v>
      </c>
      <c r="O595" s="4">
        <f>SUM($M$384:M595)</f>
        <v>1143.8290322580592</v>
      </c>
      <c r="P595" s="323">
        <f t="shared" si="222"/>
        <v>0.69193347973063524</v>
      </c>
      <c r="Q595" s="337">
        <f t="shared" si="223"/>
        <v>0.69193347973063535</v>
      </c>
      <c r="R595" s="337">
        <f t="shared" si="224"/>
        <v>0.6932979134637004</v>
      </c>
      <c r="S595" s="323">
        <f t="shared" si="225"/>
        <v>0.1740063898623681</v>
      </c>
      <c r="T595" s="9">
        <f>Modelling_old[[#This Row],[Target E_Grid MTD
MWh]]/Modelling_old[[#This Row],[DC Capcity]]/(24*CG595)</f>
        <v>0.17400638986236802</v>
      </c>
      <c r="U595" s="338">
        <f>Modelling_old[[#This Row],[Target E_Grid YTD
MWh]]/Modelling_old[[#This Row],[DC Capcity]]/(24*CH595)</f>
        <v>0.1558597251225857</v>
      </c>
      <c r="V595" s="134">
        <v>11.5031</v>
      </c>
      <c r="Y595" s="27">
        <f t="shared" si="212"/>
        <v>45594</v>
      </c>
      <c r="Z595" s="5">
        <f>MONTH(Modelling_new[[#This Row],[Date]])</f>
        <v>10</v>
      </c>
      <c r="AA595" s="25">
        <f>YEAR(Y595)+IF(MONTH(Modelling_new[[#This Row],[Date]])&gt;=4,1,0)</f>
        <v>2025</v>
      </c>
      <c r="AB595" s="3">
        <f t="shared" si="226"/>
        <v>2024</v>
      </c>
      <c r="AC595" s="3" t="s">
        <v>627</v>
      </c>
      <c r="AD595" s="3" t="s">
        <v>627</v>
      </c>
      <c r="AE595" s="102">
        <f>DATE(Modelling_old[[#This Row],[Calendor Year]],Modelling_old[[#This Row],[Start Month]],1)</f>
        <v>45566</v>
      </c>
      <c r="AF595" s="5">
        <f t="shared" si="227"/>
        <v>31</v>
      </c>
      <c r="AG595" s="5">
        <f t="shared" si="228"/>
        <v>10</v>
      </c>
      <c r="AH595" s="4">
        <f>_xlfn.XLOOKUP(Modelling_new[[#This Row],[Month]],$AA$1:$AA$14,$AL$1:$AL$14)/Modelling_new[[#This Row],[Total Days]]</f>
        <v>61.194992862183334</v>
      </c>
      <c r="AI595" s="4">
        <f>SUM($AH$567:AH595)</f>
        <v>1774.6547930033175</v>
      </c>
      <c r="AJ595" s="4">
        <f>SUM($AH$384:AH595)</f>
        <v>11926.1232542526</v>
      </c>
      <c r="AK595" s="4">
        <f t="shared" si="229"/>
        <v>6.0354838709677416</v>
      </c>
      <c r="AL595" s="4">
        <f>SUM($AK$567:AK595)</f>
        <v>175.02903225806443</v>
      </c>
      <c r="AM595" s="4">
        <f>SUM($AK$384:AK595)</f>
        <v>1143.8290322580592</v>
      </c>
      <c r="AN595" s="323">
        <f t="shared" si="230"/>
        <v>0.88143217495962878</v>
      </c>
      <c r="AO595" s="323">
        <f t="shared" si="231"/>
        <v>0.88143217495962956</v>
      </c>
      <c r="AP595" s="323">
        <f t="shared" si="232"/>
        <v>0.90640706642416946</v>
      </c>
      <c r="AQ595" s="323">
        <f t="shared" si="233"/>
        <v>0.22166123647170233</v>
      </c>
      <c r="AR595" s="323">
        <f>Modelling_new[[#This Row],[Target E_Grid MTD
MWh]]/Modelling_new[[#This Row],[MTD DC Capcity]]/(24*CG595)</f>
        <v>0.19920245072325304</v>
      </c>
      <c r="AS595" s="323">
        <f>Modelling_new[[#This Row],[Target E_Grid YTD
MWh]]/Modelling_new[[#This Row],[YTD DC Capcity]]/(24*CH595)</f>
        <v>0.18312271604529931</v>
      </c>
      <c r="AT595" s="5">
        <v>12.8</v>
      </c>
      <c r="AU595" s="9">
        <f>Modelling_new[[#This Row],[Comisined DC ]]/$AO$1</f>
        <v>1</v>
      </c>
      <c r="AV595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95" s="5">
        <f>AVERAGEIFS(Modelling_new[[Comisined DC ]],Modelling_new[Date],"&lt;="&amp;Modelling_new[[#This Row],[Date]],Modelling_new[[Comisined DC ]],"&gt;"&amp;0,Modelling_new[Finacial Year],Modelling_new[[#This Row],[Finacial Year]])</f>
        <v>12.800000000000018</v>
      </c>
      <c r="BD595" s="27">
        <f t="shared" si="213"/>
        <v>45594</v>
      </c>
      <c r="BE595" s="5">
        <f>MONTH(Modelling[[#This Row],[Date]])</f>
        <v>10</v>
      </c>
      <c r="BF595" s="25">
        <f>YEAR(BD595)+IF(MONTH(Modelling[[#This Row],[Date]])&gt;=4,1,0)</f>
        <v>2025</v>
      </c>
      <c r="BG595" s="3">
        <f t="shared" si="234"/>
        <v>2024</v>
      </c>
      <c r="BH595" s="3" t="s">
        <v>627</v>
      </c>
      <c r="BI595" s="3" t="s">
        <v>627</v>
      </c>
      <c r="BJ595" s="102">
        <f>DATE(Modelling_old[[#This Row],[Calendor Year]],Modelling_old[[#This Row],[Start Month]],1)</f>
        <v>45566</v>
      </c>
      <c r="BK595" s="5">
        <f t="shared" si="235"/>
        <v>31</v>
      </c>
      <c r="BL595" s="5">
        <f t="shared" si="236"/>
        <v>10</v>
      </c>
      <c r="BM595" s="4">
        <f>Modelling_old[[#This Row],[Target E_Grid daily
MWh]]+Modelling_new[[#This Row],[Target E_Grid daily
MWh]]</f>
        <v>109.23370253960269</v>
      </c>
      <c r="BN595" s="4">
        <f>Modelling_old[[#This Row],[Target E_Grid MTD
MWh]]+Modelling_new[[#This Row],[Target E_Grid MTD
MWh]]</f>
        <v>3167.7773736484783</v>
      </c>
      <c r="BO595" s="4">
        <f>Modelling_old[[#This Row],[Target E_Grid YTD
MWh]]+Modelling_new[[#This Row],[Target E_Grid YTD
MWh]]</f>
        <v>21048.245834897745</v>
      </c>
      <c r="BP595" s="4">
        <f>AVERAGE(Modelling_old[[#This Row],[Target POA Daily (KWh/m2)]],Modelling_new[[#This Row],[Target POA Daily (KWh/m2)]])</f>
        <v>6.0354838709677416</v>
      </c>
      <c r="BQ595" s="4">
        <f>SUM($BP$567:BP595)</f>
        <v>175.02903225806443</v>
      </c>
      <c r="BR595" s="4">
        <f>SUM($BP$384:BP595)</f>
        <v>1143.8290322580592</v>
      </c>
      <c r="BS595" s="323">
        <f>BM595/Modelling[[#This Row],[Comisined DC ]]/BP595</f>
        <v>0.74470262898426853</v>
      </c>
      <c r="BT595" s="337">
        <f>BN595/BQ595/Modelling[[#This Row],[Comisined DC ]]</f>
        <v>0.74470262898426887</v>
      </c>
      <c r="BU595" s="337">
        <f>BO595/BR595/Modelling[[#This Row],[Comisined DC ]]</f>
        <v>0.75716951146759692</v>
      </c>
      <c r="BV595" s="323">
        <f>BM595/(24*Modelling[[#This Row],[Comisined DC ]])</f>
        <v>0.18727669607924277</v>
      </c>
      <c r="BW595" s="323">
        <f>Modelling[[#This Row],[Target E_Grid MTD
MWh]]/Modelling[[#This Row],[MTD DC Capcity]]/(24*CG595)</f>
        <v>0.18727669607924294</v>
      </c>
      <c r="BX595" s="338">
        <f>Modelling[[#This Row],[Target E_Grid YTD
MWh]]/Modelling[[#This Row],[YTD DC Capcity]]/(24*CH595)</f>
        <v>0.17021864574632203</v>
      </c>
      <c r="BY595" s="4">
        <f>Modelling_old[[#This Row],[DC Capcity]]+Modelling_new[[#This Row],[Comisined DC ]]</f>
        <v>24.303100000000001</v>
      </c>
      <c r="BZ595" s="4">
        <v>0</v>
      </c>
      <c r="CA595">
        <f>AVERAGEIFS(Modelling[[Comisined DC ]],Modelling[Date],"&lt;="&amp;Modelling[[#This Row],[Date]],Modelling[Month Year],Modelling[[#This Row],[Month Year]])</f>
        <v>24.303099999999983</v>
      </c>
      <c r="CB595">
        <f>AVERAGEIFS(Modelling[[Comisined DC ]],Modelling[Date],"&lt;="&amp;Modelling[[#This Row],[Date]],Modelling[Finacial Year],Modelling[[#This Row],[Finacial Year]])</f>
        <v>24.303100000000065</v>
      </c>
      <c r="CG595">
        <f t="shared" si="215"/>
        <v>29</v>
      </c>
      <c r="CH595">
        <f t="shared" si="237"/>
        <v>212</v>
      </c>
    </row>
    <row r="596" spans="1:86" x14ac:dyDescent="0.35">
      <c r="A596" s="27">
        <f t="shared" si="216"/>
        <v>45595</v>
      </c>
      <c r="B596" s="5">
        <f>MONTH(Modelling_old[[#This Row],[Date]])</f>
        <v>10</v>
      </c>
      <c r="C596" s="25">
        <f t="shared" si="217"/>
        <v>2025</v>
      </c>
      <c r="D596" s="3">
        <f t="shared" si="218"/>
        <v>2024</v>
      </c>
      <c r="E596" s="3" t="s">
        <v>627</v>
      </c>
      <c r="F596" s="3" t="s">
        <v>627</v>
      </c>
      <c r="G596" s="102">
        <f>DATE(Modelling_old[[#This Row],[Calendor Year]],Modelling_old[[#This Row],[Start Month]],1)</f>
        <v>45566</v>
      </c>
      <c r="H596" s="5">
        <f t="shared" si="219"/>
        <v>31</v>
      </c>
      <c r="I596" s="5">
        <f t="shared" si="220"/>
        <v>10</v>
      </c>
      <c r="J596" s="4">
        <f>_xlfn.XLOOKUP(Modelling_old[[#This Row],[Month]],$C$1:$C$14,$N$1:$N$14)/Modelling_old[[#This Row],[Total Days]]</f>
        <v>48.038709677419355</v>
      </c>
      <c r="K596" s="4">
        <f>SUM($J$567:J596)</f>
        <v>1441.16129032258</v>
      </c>
      <c r="L596" s="4">
        <f>SUM($J$384:J596)</f>
        <v>9170.1612903225669</v>
      </c>
      <c r="M596" s="4">
        <f t="shared" si="221"/>
        <v>6.0354838709677416</v>
      </c>
      <c r="N596" s="4">
        <f>SUM($M$567:M596)</f>
        <v>181.06451612903217</v>
      </c>
      <c r="O596" s="4">
        <f>SUM($M$384:M596)</f>
        <v>1149.8645161290269</v>
      </c>
      <c r="P596" s="323">
        <f t="shared" si="222"/>
        <v>0.69193347973063524</v>
      </c>
      <c r="Q596" s="337">
        <f t="shared" si="223"/>
        <v>0.69193347973063535</v>
      </c>
      <c r="R596" s="337">
        <f t="shared" si="224"/>
        <v>0.69329075173492849</v>
      </c>
      <c r="S596" s="323">
        <f t="shared" si="225"/>
        <v>0.1740063898623681</v>
      </c>
      <c r="T596" s="9">
        <f>Modelling_old[[#This Row],[Target E_Grid MTD
MWh]]/Modelling_old[[#This Row],[DC Capcity]]/(24*CG596)</f>
        <v>0.17400638986236802</v>
      </c>
      <c r="U596" s="338">
        <f>Modelling_old[[#This Row],[Target E_Grid YTD
MWh]]/Modelling_old[[#This Row],[DC Capcity]]/(24*CH596)</f>
        <v>0.15594492073169264</v>
      </c>
      <c r="V596" s="134">
        <v>11.5031</v>
      </c>
      <c r="Y596" s="27">
        <f t="shared" ref="Y596:Y659" si="238">Y595+1</f>
        <v>45595</v>
      </c>
      <c r="Z596" s="5">
        <f>MONTH(Modelling_new[[#This Row],[Date]])</f>
        <v>10</v>
      </c>
      <c r="AA596" s="25">
        <f>YEAR(Y596)+IF(MONTH(Modelling_new[[#This Row],[Date]])&gt;=4,1,0)</f>
        <v>2025</v>
      </c>
      <c r="AB596" s="3">
        <f t="shared" si="226"/>
        <v>2024</v>
      </c>
      <c r="AC596" s="3" t="s">
        <v>627</v>
      </c>
      <c r="AD596" s="3" t="s">
        <v>627</v>
      </c>
      <c r="AE596" s="102">
        <f>DATE(Modelling_old[[#This Row],[Calendor Year]],Modelling_old[[#This Row],[Start Month]],1)</f>
        <v>45566</v>
      </c>
      <c r="AF596" s="5">
        <f t="shared" si="227"/>
        <v>31</v>
      </c>
      <c r="AG596" s="5">
        <f t="shared" si="228"/>
        <v>10</v>
      </c>
      <c r="AH596" s="4">
        <f>_xlfn.XLOOKUP(Modelling_new[[#This Row],[Month]],$AA$1:$AA$14,$AL$1:$AL$14)/Modelling_new[[#This Row],[Total Days]]</f>
        <v>61.194992862183334</v>
      </c>
      <c r="AI596" s="4">
        <f>SUM($AH$567:AH596)</f>
        <v>1835.849785865501</v>
      </c>
      <c r="AJ596" s="4">
        <f>SUM($AH$384:AH596)</f>
        <v>11987.318247114783</v>
      </c>
      <c r="AK596" s="4">
        <f t="shared" si="229"/>
        <v>6.0354838709677416</v>
      </c>
      <c r="AL596" s="4">
        <f>SUM($AK$567:AK596)</f>
        <v>181.06451612903217</v>
      </c>
      <c r="AM596" s="4">
        <f>SUM($AK$384:AK596)</f>
        <v>1149.8645161290269</v>
      </c>
      <c r="AN596" s="323">
        <f t="shared" si="230"/>
        <v>0.88143217495962878</v>
      </c>
      <c r="AO596" s="323">
        <f t="shared" si="231"/>
        <v>0.88143217495962956</v>
      </c>
      <c r="AP596" s="323">
        <f t="shared" si="232"/>
        <v>0.90627597658488923</v>
      </c>
      <c r="AQ596" s="323">
        <f t="shared" si="233"/>
        <v>0.22166123647170233</v>
      </c>
      <c r="AR596" s="323">
        <f>Modelling_new[[#This Row],[Target E_Grid MTD
MWh]]/Modelling_new[[#This Row],[MTD DC Capcity]]/(24*CG596)</f>
        <v>0.19920245072325307</v>
      </c>
      <c r="AS596" s="323">
        <f>Modelling_new[[#This Row],[Target E_Grid YTD
MWh]]/Modelling_new[[#This Row],[YTD DC Capcity]]/(24*CH596)</f>
        <v>0.18319820775740236</v>
      </c>
      <c r="AT596" s="5">
        <v>12.8</v>
      </c>
      <c r="AU596" s="9">
        <f>Modelling_new[[#This Row],[Comisined DC ]]/$AO$1</f>
        <v>1</v>
      </c>
      <c r="AV596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96" s="5">
        <f>AVERAGEIFS(Modelling_new[[Comisined DC ]],Modelling_new[Date],"&lt;="&amp;Modelling_new[[#This Row],[Date]],Modelling_new[[Comisined DC ]],"&gt;"&amp;0,Modelling_new[Finacial Year],Modelling_new[[#This Row],[Finacial Year]])</f>
        <v>12.80000000000002</v>
      </c>
      <c r="BD596" s="27">
        <f t="shared" ref="BD596:BD659" si="239">BD595+1</f>
        <v>45595</v>
      </c>
      <c r="BE596" s="5">
        <f>MONTH(Modelling[[#This Row],[Date]])</f>
        <v>10</v>
      </c>
      <c r="BF596" s="25">
        <f>YEAR(BD596)+IF(MONTH(Modelling[[#This Row],[Date]])&gt;=4,1,0)</f>
        <v>2025</v>
      </c>
      <c r="BG596" s="3">
        <f t="shared" si="234"/>
        <v>2024</v>
      </c>
      <c r="BH596" s="3" t="s">
        <v>627</v>
      </c>
      <c r="BI596" s="3" t="s">
        <v>627</v>
      </c>
      <c r="BJ596" s="102">
        <f>DATE(Modelling_old[[#This Row],[Calendor Year]],Modelling_old[[#This Row],[Start Month]],1)</f>
        <v>45566</v>
      </c>
      <c r="BK596" s="5">
        <f t="shared" si="235"/>
        <v>31</v>
      </c>
      <c r="BL596" s="5">
        <f t="shared" si="236"/>
        <v>10</v>
      </c>
      <c r="BM596" s="4">
        <f>Modelling_old[[#This Row],[Target E_Grid daily
MWh]]+Modelling_new[[#This Row],[Target E_Grid daily
MWh]]</f>
        <v>109.23370253960269</v>
      </c>
      <c r="BN596" s="4">
        <f>Modelling_old[[#This Row],[Target E_Grid MTD
MWh]]+Modelling_new[[#This Row],[Target E_Grid MTD
MWh]]</f>
        <v>3277.011076188081</v>
      </c>
      <c r="BO596" s="4">
        <f>Modelling_old[[#This Row],[Target E_Grid YTD
MWh]]+Modelling_new[[#This Row],[Target E_Grid YTD
MWh]]</f>
        <v>21157.47953743735</v>
      </c>
      <c r="BP596" s="4">
        <f>AVERAGE(Modelling_old[[#This Row],[Target POA Daily (KWh/m2)]],Modelling_new[[#This Row],[Target POA Daily (KWh/m2)]])</f>
        <v>6.0354838709677416</v>
      </c>
      <c r="BQ596" s="4">
        <f>SUM($BP$567:BP596)</f>
        <v>181.06451612903217</v>
      </c>
      <c r="BR596" s="4">
        <f>SUM($BP$384:BP596)</f>
        <v>1149.8645161290269</v>
      </c>
      <c r="BS596" s="323">
        <f>BM596/Modelling[[#This Row],[Comisined DC ]]/BP596</f>
        <v>0.74470262898426853</v>
      </c>
      <c r="BT596" s="337">
        <f>BN596/BQ596/Modelling[[#This Row],[Comisined DC ]]</f>
        <v>0.74470262898426887</v>
      </c>
      <c r="BU596" s="337">
        <f>BO596/BR596/Modelling[[#This Row],[Comisined DC ]]</f>
        <v>0.75710407448167905</v>
      </c>
      <c r="BV596" s="323">
        <f>BM596/(24*Modelling[[#This Row],[Comisined DC ]])</f>
        <v>0.18727669607924277</v>
      </c>
      <c r="BW596" s="323">
        <f>Modelling[[#This Row],[Target E_Grid MTD
MWh]]/Modelling[[#This Row],[MTD DC Capcity]]/(24*CG596)</f>
        <v>0.18727669607924294</v>
      </c>
      <c r="BX596" s="338">
        <f>Modelling[[#This Row],[Target E_Grid YTD
MWh]]/Modelling[[#This Row],[YTD DC Capcity]]/(24*CH596)</f>
        <v>0.17029873048966909</v>
      </c>
      <c r="BY596" s="4">
        <f>Modelling_old[[#This Row],[DC Capcity]]+Modelling_new[[#This Row],[Comisined DC ]]</f>
        <v>24.303100000000001</v>
      </c>
      <c r="BZ596" s="4">
        <v>0</v>
      </c>
      <c r="CA596">
        <f>AVERAGEIFS(Modelling[[Comisined DC ]],Modelling[Date],"&lt;="&amp;Modelling[[#This Row],[Date]],Modelling[Month Year],Modelling[[#This Row],[Month Year]])</f>
        <v>24.303099999999983</v>
      </c>
      <c r="CB596">
        <f>AVERAGEIFS(Modelling[[Comisined DC ]],Modelling[Date],"&lt;="&amp;Modelling[[#This Row],[Date]],Modelling[Finacial Year],Modelling[[#This Row],[Finacial Year]])</f>
        <v>24.303100000000065</v>
      </c>
      <c r="CG596">
        <f t="shared" si="215"/>
        <v>30</v>
      </c>
      <c r="CH596">
        <f t="shared" si="237"/>
        <v>213</v>
      </c>
    </row>
    <row r="597" spans="1:86" x14ac:dyDescent="0.35">
      <c r="A597" s="27">
        <f t="shared" si="216"/>
        <v>45596</v>
      </c>
      <c r="B597" s="5">
        <f>MONTH(Modelling_old[[#This Row],[Date]])</f>
        <v>10</v>
      </c>
      <c r="C597" s="25">
        <f t="shared" si="217"/>
        <v>2025</v>
      </c>
      <c r="D597" s="3">
        <f t="shared" si="218"/>
        <v>2024</v>
      </c>
      <c r="E597" s="3" t="s">
        <v>627</v>
      </c>
      <c r="F597" s="3" t="s">
        <v>627</v>
      </c>
      <c r="G597" s="102">
        <f>DATE(Modelling_old[[#This Row],[Calendor Year]],Modelling_old[[#This Row],[Start Month]],1)</f>
        <v>45566</v>
      </c>
      <c r="H597" s="5">
        <f t="shared" si="219"/>
        <v>31</v>
      </c>
      <c r="I597" s="5">
        <f t="shared" si="220"/>
        <v>10</v>
      </c>
      <c r="J597" s="4">
        <f>_xlfn.XLOOKUP(Modelling_old[[#This Row],[Month]],$C$1:$C$14,$N$1:$N$14)/Modelling_old[[#This Row],[Total Days]]</f>
        <v>48.038709677419355</v>
      </c>
      <c r="K597" s="4">
        <f>SUM($J$567:J597)</f>
        <v>1489.1999999999994</v>
      </c>
      <c r="L597" s="4">
        <f>SUM($J$384:J597)</f>
        <v>9218.1999999999862</v>
      </c>
      <c r="M597" s="4">
        <f t="shared" si="221"/>
        <v>6.0354838709677416</v>
      </c>
      <c r="N597" s="4">
        <f>SUM($M$567:M597)</f>
        <v>187.09999999999991</v>
      </c>
      <c r="O597" s="4">
        <f>SUM($M$384:M597)</f>
        <v>1155.8999999999946</v>
      </c>
      <c r="P597" s="323">
        <f t="shared" si="222"/>
        <v>0.69193347973063524</v>
      </c>
      <c r="Q597" s="337">
        <f t="shared" si="223"/>
        <v>0.69193347973063535</v>
      </c>
      <c r="R597" s="337">
        <f t="shared" si="224"/>
        <v>0.69328366479549564</v>
      </c>
      <c r="S597" s="323">
        <f t="shared" si="225"/>
        <v>0.1740063898623681</v>
      </c>
      <c r="T597" s="9">
        <f>Modelling_old[[#This Row],[Target E_Grid MTD
MWh]]/Modelling_old[[#This Row],[DC Capcity]]/(24*CG597)</f>
        <v>0.17400638986236802</v>
      </c>
      <c r="U597" s="338">
        <f>Modelling_old[[#This Row],[Target E_Grid YTD
MWh]]/Modelling_old[[#This Row],[DC Capcity]]/(24*CH597)</f>
        <v>0.15602932012015375</v>
      </c>
      <c r="V597" s="134">
        <v>11.5031</v>
      </c>
      <c r="Y597" s="27">
        <f t="shared" si="238"/>
        <v>45596</v>
      </c>
      <c r="Z597" s="5">
        <f>MONTH(Modelling_new[[#This Row],[Date]])</f>
        <v>10</v>
      </c>
      <c r="AA597" s="25">
        <f>YEAR(Y597)+IF(MONTH(Modelling_new[[#This Row],[Date]])&gt;=4,1,0)</f>
        <v>2025</v>
      </c>
      <c r="AB597" s="3">
        <f t="shared" si="226"/>
        <v>2024</v>
      </c>
      <c r="AC597" s="3" t="s">
        <v>627</v>
      </c>
      <c r="AD597" s="3" t="s">
        <v>627</v>
      </c>
      <c r="AE597" s="102">
        <f>DATE(Modelling_old[[#This Row],[Calendor Year]],Modelling_old[[#This Row],[Start Month]],1)</f>
        <v>45566</v>
      </c>
      <c r="AF597" s="5">
        <f t="shared" si="227"/>
        <v>31</v>
      </c>
      <c r="AG597" s="5">
        <f t="shared" si="228"/>
        <v>10</v>
      </c>
      <c r="AH597" s="4">
        <f>_xlfn.XLOOKUP(Modelling_new[[#This Row],[Month]],$AA$1:$AA$14,$AL$1:$AL$14)/Modelling_new[[#This Row],[Total Days]]</f>
        <v>61.194992862183334</v>
      </c>
      <c r="AI597" s="4">
        <f>SUM($AH$567:AH597)</f>
        <v>1897.0447787276844</v>
      </c>
      <c r="AJ597" s="4">
        <f>SUM($AH$384:AH597)</f>
        <v>12048.513239976966</v>
      </c>
      <c r="AK597" s="4">
        <f t="shared" si="229"/>
        <v>6.0354838709677416</v>
      </c>
      <c r="AL597" s="4">
        <f>SUM($AK$567:AK597)</f>
        <v>187.09999999999991</v>
      </c>
      <c r="AM597" s="4">
        <f>SUM($AK$384:AK597)</f>
        <v>1155.8999999999946</v>
      </c>
      <c r="AN597" s="323">
        <f t="shared" si="230"/>
        <v>0.88143217495962878</v>
      </c>
      <c r="AO597" s="323">
        <f t="shared" si="231"/>
        <v>0.88143217495962956</v>
      </c>
      <c r="AP597" s="323">
        <f t="shared" si="232"/>
        <v>0.90614625570591811</v>
      </c>
      <c r="AQ597" s="323">
        <f t="shared" si="233"/>
        <v>0.22166123647170233</v>
      </c>
      <c r="AR597" s="323">
        <f>Modelling_new[[#This Row],[Target E_Grid MTD
MWh]]/Modelling_new[[#This Row],[MTD DC Capcity]]/(24*CG597)</f>
        <v>0.19920245072325307</v>
      </c>
      <c r="AS597" s="323">
        <f>Modelling_new[[#This Row],[Target E_Grid YTD
MWh]]/Modelling_new[[#This Row],[YTD DC Capcity]]/(24*CH597)</f>
        <v>0.18327299393948579</v>
      </c>
      <c r="AT597" s="5">
        <v>12.8</v>
      </c>
      <c r="AU597" s="9">
        <f>Modelling_new[[#This Row],[Comisined DC ]]/$AO$1</f>
        <v>1</v>
      </c>
      <c r="AV597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597" s="5">
        <f>AVERAGEIFS(Modelling_new[[Comisined DC ]],Modelling_new[Date],"&lt;="&amp;Modelling_new[[#This Row],[Date]],Modelling_new[[Comisined DC ]],"&gt;"&amp;0,Modelling_new[Finacial Year],Modelling_new[[#This Row],[Finacial Year]])</f>
        <v>12.80000000000002</v>
      </c>
      <c r="BD597" s="27">
        <f t="shared" si="239"/>
        <v>45596</v>
      </c>
      <c r="BE597" s="5">
        <f>MONTH(Modelling[[#This Row],[Date]])</f>
        <v>10</v>
      </c>
      <c r="BF597" s="25">
        <f>YEAR(BD597)+IF(MONTH(Modelling[[#This Row],[Date]])&gt;=4,1,0)</f>
        <v>2025</v>
      </c>
      <c r="BG597" s="3">
        <f t="shared" si="234"/>
        <v>2024</v>
      </c>
      <c r="BH597" s="3" t="s">
        <v>627</v>
      </c>
      <c r="BI597" s="3" t="s">
        <v>627</v>
      </c>
      <c r="BJ597" s="102">
        <f>DATE(Modelling_old[[#This Row],[Calendor Year]],Modelling_old[[#This Row],[Start Month]],1)</f>
        <v>45566</v>
      </c>
      <c r="BK597" s="5">
        <f t="shared" si="235"/>
        <v>31</v>
      </c>
      <c r="BL597" s="5">
        <f t="shared" si="236"/>
        <v>10</v>
      </c>
      <c r="BM597" s="4">
        <f>Modelling_old[[#This Row],[Target E_Grid daily
MWh]]+Modelling_new[[#This Row],[Target E_Grid daily
MWh]]</f>
        <v>109.23370253960269</v>
      </c>
      <c r="BN597" s="4">
        <f>Modelling_old[[#This Row],[Target E_Grid MTD
MWh]]+Modelling_new[[#This Row],[Target E_Grid MTD
MWh]]</f>
        <v>3386.2447787276838</v>
      </c>
      <c r="BO597" s="4">
        <f>Modelling_old[[#This Row],[Target E_Grid YTD
MWh]]+Modelling_new[[#This Row],[Target E_Grid YTD
MWh]]</f>
        <v>21266.713239976954</v>
      </c>
      <c r="BP597" s="4">
        <f>AVERAGE(Modelling_old[[#This Row],[Target POA Daily (KWh/m2)]],Modelling_new[[#This Row],[Target POA Daily (KWh/m2)]])</f>
        <v>6.0354838709677416</v>
      </c>
      <c r="BQ597" s="4">
        <f>SUM($BP$567:BP597)</f>
        <v>187.09999999999991</v>
      </c>
      <c r="BR597" s="4">
        <f>SUM($BP$384:BP597)</f>
        <v>1155.8999999999946</v>
      </c>
      <c r="BS597" s="323">
        <f>BM597/Modelling[[#This Row],[Comisined DC ]]/BP597</f>
        <v>0.74470262898426853</v>
      </c>
      <c r="BT597" s="337">
        <f>BN597/BQ597/Modelling[[#This Row],[Comisined DC ]]</f>
        <v>0.74470262898426887</v>
      </c>
      <c r="BU597" s="337">
        <f>BO597/BR597/Modelling[[#This Row],[Comisined DC ]]</f>
        <v>0.7570393208487729</v>
      </c>
      <c r="BV597" s="323">
        <f>BM597/(24*Modelling[[#This Row],[Comisined DC ]])</f>
        <v>0.18727669607924277</v>
      </c>
      <c r="BW597" s="323">
        <f>Modelling[[#This Row],[Target E_Grid MTD
MWh]]/Modelling[[#This Row],[MTD DC Capcity]]/(24*CG597)</f>
        <v>0.18727669607924294</v>
      </c>
      <c r="BX597" s="338">
        <f>Modelling[[#This Row],[Target E_Grid YTD
MWh]]/Modelling[[#This Row],[YTD DC Capcity]]/(24*CH597)</f>
        <v>0.17037806677747086</v>
      </c>
      <c r="BY597" s="4">
        <f>Modelling_old[[#This Row],[DC Capcity]]+Modelling_new[[#This Row],[Comisined DC ]]</f>
        <v>24.303100000000001</v>
      </c>
      <c r="BZ597" s="4">
        <v>0</v>
      </c>
      <c r="CA597">
        <f>AVERAGEIFS(Modelling[[Comisined DC ]],Modelling[Date],"&lt;="&amp;Modelling[[#This Row],[Date]],Modelling[Month Year],Modelling[[#This Row],[Month Year]])</f>
        <v>24.303099999999983</v>
      </c>
      <c r="CB597">
        <f>AVERAGEIFS(Modelling[[Comisined DC ]],Modelling[Date],"&lt;="&amp;Modelling[[#This Row],[Date]],Modelling[Finacial Year],Modelling[[#This Row],[Finacial Year]])</f>
        <v>24.303100000000065</v>
      </c>
      <c r="CG597">
        <f t="shared" si="215"/>
        <v>31</v>
      </c>
      <c r="CH597">
        <f t="shared" si="237"/>
        <v>214</v>
      </c>
    </row>
    <row r="598" spans="1:86" x14ac:dyDescent="0.35">
      <c r="A598" s="27">
        <f t="shared" si="216"/>
        <v>45597</v>
      </c>
      <c r="B598" s="5">
        <f>MONTH(Modelling_old[[#This Row],[Date]])</f>
        <v>11</v>
      </c>
      <c r="C598" s="25">
        <f t="shared" si="217"/>
        <v>2025</v>
      </c>
      <c r="D598" s="3">
        <f t="shared" si="218"/>
        <v>2024</v>
      </c>
      <c r="E598" s="3" t="s">
        <v>627</v>
      </c>
      <c r="F598" s="3" t="s">
        <v>627</v>
      </c>
      <c r="G598" s="102">
        <f>DATE(Modelling_old[[#This Row],[Calendor Year]],Modelling_old[[#This Row],[Start Month]],1)</f>
        <v>45597</v>
      </c>
      <c r="H598" s="5">
        <f t="shared" si="219"/>
        <v>30</v>
      </c>
      <c r="I598" s="5">
        <f t="shared" si="220"/>
        <v>11</v>
      </c>
      <c r="J598" s="4">
        <f>_xlfn.XLOOKUP(Modelling_old[[#This Row],[Month]],$C$1:$C$14,$N$1:$N$14)/Modelling_old[[#This Row],[Total Days]]</f>
        <v>51.083333333333336</v>
      </c>
      <c r="K598" s="4">
        <f>SUM($J$598:J598)</f>
        <v>51.083333333333336</v>
      </c>
      <c r="L598" s="4">
        <f>SUM($J$384:J598)</f>
        <v>9269.2833333333201</v>
      </c>
      <c r="M598" s="4">
        <f t="shared" si="221"/>
        <v>6.4133333333333331</v>
      </c>
      <c r="N598" s="4">
        <f>SUM($M$598:M598)</f>
        <v>6.4133333333333331</v>
      </c>
      <c r="O598" s="4">
        <f>SUM($M$384:M598)</f>
        <v>1162.313333333328</v>
      </c>
      <c r="P598" s="323">
        <f t="shared" si="222"/>
        <v>0.69243740514963059</v>
      </c>
      <c r="Q598" s="337">
        <f t="shared" si="223"/>
        <v>0.69243740514963059</v>
      </c>
      <c r="R598" s="337">
        <f t="shared" si="224"/>
        <v>0.69327899536166926</v>
      </c>
      <c r="S598" s="323">
        <f t="shared" si="225"/>
        <v>0.18503466215387351</v>
      </c>
      <c r="T598" s="9">
        <f>Modelling_old[[#This Row],[Target E_Grid MTD
MWh]]/Modelling_old[[#This Row],[DC Capcity]]/(24*CG598)</f>
        <v>0.18503466215387351</v>
      </c>
      <c r="U598" s="338">
        <f>Modelling_old[[#This Row],[Target E_Grid YTD
MWh]]/Modelling_old[[#This Row],[DC Capcity]]/(24*CH598)</f>
        <v>0.15616422868775245</v>
      </c>
      <c r="V598" s="134">
        <v>11.5031</v>
      </c>
      <c r="Y598" s="27">
        <f t="shared" si="238"/>
        <v>45597</v>
      </c>
      <c r="Z598" s="5">
        <f>MONTH(Modelling_new[[#This Row],[Date]])</f>
        <v>11</v>
      </c>
      <c r="AA598" s="25">
        <f>YEAR(Y598)+IF(MONTH(Modelling_new[[#This Row],[Date]])&gt;=4,1,0)</f>
        <v>2025</v>
      </c>
      <c r="AB598" s="3">
        <f t="shared" si="226"/>
        <v>2024</v>
      </c>
      <c r="AC598" s="3" t="s">
        <v>627</v>
      </c>
      <c r="AD598" s="3" t="s">
        <v>627</v>
      </c>
      <c r="AE598" s="102">
        <f>DATE(Modelling_old[[#This Row],[Calendor Year]],Modelling_old[[#This Row],[Start Month]],1)</f>
        <v>45597</v>
      </c>
      <c r="AF598" s="5">
        <f t="shared" si="227"/>
        <v>30</v>
      </c>
      <c r="AG598" s="5">
        <f t="shared" si="228"/>
        <v>11</v>
      </c>
      <c r="AH598" s="4">
        <f>_xlfn.XLOOKUP(Modelling_new[[#This Row],[Month]],$AA$1:$AA$14,$AL$1:$AL$14)/Modelling_new[[#This Row],[Total Days]]</f>
        <v>61.403834681353906</v>
      </c>
      <c r="AI598" s="4">
        <f>SUM($AH$598:AH598)</f>
        <v>61.403834681353906</v>
      </c>
      <c r="AJ598" s="4">
        <f>SUM($AH$384:AH598)</f>
        <v>12109.91707465832</v>
      </c>
      <c r="AK598" s="4">
        <f t="shared" si="229"/>
        <v>6.4133333333333331</v>
      </c>
      <c r="AL598" s="4">
        <f>SUM($AK$598:AK598)</f>
        <v>6.4133333333333331</v>
      </c>
      <c r="AM598" s="4">
        <f>SUM($AK$384:AK598)</f>
        <v>1162.313333333328</v>
      </c>
      <c r="AN598" s="323">
        <f t="shared" si="230"/>
        <v>0.83233237102108171</v>
      </c>
      <c r="AO598" s="323">
        <f t="shared" si="231"/>
        <v>0.83233237102108171</v>
      </c>
      <c r="AP598" s="323">
        <f t="shared" si="232"/>
        <v>0.90573897048124075</v>
      </c>
      <c r="AQ598" s="323">
        <f t="shared" si="233"/>
        <v>0.22241770581174464</v>
      </c>
      <c r="AR598" s="323">
        <f>Modelling_new[[#This Row],[Target E_Grid MTD
MWh]]/Modelling_new[[#This Row],[MTD DC Capcity]]/(24*CG598)</f>
        <v>0.19988227435336559</v>
      </c>
      <c r="AS598" s="323">
        <f>Modelling_new[[#This Row],[Target E_Grid YTD
MWh]]/Modelling_new[[#This Row],[YTD DC Capcity]]/(24*CH598)</f>
        <v>0.18335024640652706</v>
      </c>
      <c r="AT598" s="5">
        <v>12.8</v>
      </c>
      <c r="AU598" s="9">
        <f>Modelling_new[[#This Row],[Comisined DC ]]/$AO$1</f>
        <v>1</v>
      </c>
      <c r="AV59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98" s="5">
        <f>AVERAGEIFS(Modelling_new[[Comisined DC ]],Modelling_new[Date],"&lt;="&amp;Modelling_new[[#This Row],[Date]],Modelling_new[[Comisined DC ]],"&gt;"&amp;0,Modelling_new[Finacial Year],Modelling_new[[#This Row],[Finacial Year]])</f>
        <v>12.800000000000022</v>
      </c>
      <c r="BD598" s="27">
        <f t="shared" si="239"/>
        <v>45597</v>
      </c>
      <c r="BE598" s="5">
        <f>MONTH(Modelling[[#This Row],[Date]])</f>
        <v>11</v>
      </c>
      <c r="BF598" s="25">
        <f>YEAR(BD598)+IF(MONTH(Modelling[[#This Row],[Date]])&gt;=4,1,0)</f>
        <v>2025</v>
      </c>
      <c r="BG598" s="3">
        <f t="shared" si="234"/>
        <v>2024</v>
      </c>
      <c r="BH598" s="3" t="s">
        <v>627</v>
      </c>
      <c r="BI598" s="3" t="s">
        <v>627</v>
      </c>
      <c r="BJ598" s="102">
        <f>DATE(Modelling_old[[#This Row],[Calendor Year]],Modelling_old[[#This Row],[Start Month]],1)</f>
        <v>45597</v>
      </c>
      <c r="BK598" s="5">
        <f t="shared" si="235"/>
        <v>30</v>
      </c>
      <c r="BL598" s="5">
        <f t="shared" si="236"/>
        <v>11</v>
      </c>
      <c r="BM598" s="4">
        <f>Modelling_old[[#This Row],[Target E_Grid daily
MWh]]+Modelling_new[[#This Row],[Target E_Grid daily
MWh]]</f>
        <v>112.48716801468724</v>
      </c>
      <c r="BN598" s="4">
        <f>Modelling_old[[#This Row],[Target E_Grid MTD
MWh]]+Modelling_new[[#This Row],[Target E_Grid MTD
MWh]]</f>
        <v>112.48716801468724</v>
      </c>
      <c r="BO598" s="4">
        <f>Modelling_old[[#This Row],[Target E_Grid YTD
MWh]]+Modelling_new[[#This Row],[Target E_Grid YTD
MWh]]</f>
        <v>21379.200407991641</v>
      </c>
      <c r="BP598" s="4">
        <f>AVERAGE(Modelling_old[[#This Row],[Target POA Daily (KWh/m2)]],Modelling_new[[#This Row],[Target POA Daily (KWh/m2)]])</f>
        <v>6.4133333333333331</v>
      </c>
      <c r="BQ598" s="4">
        <f>SUM($BP$598:BP598)</f>
        <v>6.4133333333333331</v>
      </c>
      <c r="BR598" s="4">
        <f>SUM($BP$384:BP598)</f>
        <v>1162.313333333328</v>
      </c>
      <c r="BS598" s="323">
        <f>BM598/Modelling[[#This Row],[Comisined DC ]]/BP598</f>
        <v>0.7217013143290083</v>
      </c>
      <c r="BT598" s="337">
        <f>BN598/BQ598/Modelling[[#This Row],[Comisined DC ]]</f>
        <v>0.72170131432900819</v>
      </c>
      <c r="BU598" s="337">
        <f>BO598/BR598/Modelling[[#This Row],[Comisined DC ]]</f>
        <v>0.75684433520363981</v>
      </c>
      <c r="BV598" s="323">
        <f>BM598/(24*Modelling[[#This Row],[Comisined DC ]])</f>
        <v>0.19285462899569608</v>
      </c>
      <c r="BW598" s="323">
        <f>Modelling[[#This Row],[Target E_Grid MTD
MWh]]/Modelling[[#This Row],[MTD DC Capcity]]/(24*CG598)</f>
        <v>0.19285462899569608</v>
      </c>
      <c r="BX598" s="338">
        <f>Modelling[[#This Row],[Target E_Grid YTD
MWh]]/Modelling[[#This Row],[YTD DC Capcity]]/(24*CH598)</f>
        <v>0.17048260892732303</v>
      </c>
      <c r="BY598" s="4">
        <f>Modelling_old[[#This Row],[DC Capcity]]+Modelling_new[[#This Row],[Comisined DC ]]</f>
        <v>24.303100000000001</v>
      </c>
      <c r="BZ598" s="4">
        <v>0</v>
      </c>
      <c r="CA598">
        <f>AVERAGEIFS(Modelling[[Comisined DC ]],Modelling[Date],"&lt;="&amp;Modelling[[#This Row],[Date]],Modelling[Month Year],Modelling[[#This Row],[Month Year]])</f>
        <v>24.303100000000001</v>
      </c>
      <c r="CB598">
        <f>AVERAGEIFS(Modelling[[Comisined DC ]],Modelling[Date],"&lt;="&amp;Modelling[[#This Row],[Date]],Modelling[Finacial Year],Modelling[[#This Row],[Finacial Year]])</f>
        <v>24.303100000000065</v>
      </c>
      <c r="CG598">
        <v>1</v>
      </c>
      <c r="CH598">
        <f t="shared" si="237"/>
        <v>215</v>
      </c>
    </row>
    <row r="599" spans="1:86" x14ac:dyDescent="0.35">
      <c r="A599" s="27">
        <f t="shared" si="216"/>
        <v>45598</v>
      </c>
      <c r="B599" s="5">
        <f>MONTH(Modelling_old[[#This Row],[Date]])</f>
        <v>11</v>
      </c>
      <c r="C599" s="25">
        <f t="shared" si="217"/>
        <v>2025</v>
      </c>
      <c r="D599" s="3">
        <f t="shared" si="218"/>
        <v>2024</v>
      </c>
      <c r="E599" s="3" t="s">
        <v>627</v>
      </c>
      <c r="F599" s="3" t="s">
        <v>627</v>
      </c>
      <c r="G599" s="102">
        <f>DATE(Modelling_old[[#This Row],[Calendor Year]],Modelling_old[[#This Row],[Start Month]],1)</f>
        <v>45597</v>
      </c>
      <c r="H599" s="5">
        <f t="shared" si="219"/>
        <v>30</v>
      </c>
      <c r="I599" s="5">
        <f t="shared" si="220"/>
        <v>11</v>
      </c>
      <c r="J599" s="4">
        <f>_xlfn.XLOOKUP(Modelling_old[[#This Row],[Month]],$C$1:$C$14,$N$1:$N$14)/Modelling_old[[#This Row],[Total Days]]</f>
        <v>51.083333333333336</v>
      </c>
      <c r="K599" s="4">
        <f>SUM($J$598:J599)</f>
        <v>102.16666666666667</v>
      </c>
      <c r="L599" s="4">
        <f>SUM($J$384:J599)</f>
        <v>9320.3666666666541</v>
      </c>
      <c r="M599" s="4">
        <f t="shared" si="221"/>
        <v>6.4133333333333331</v>
      </c>
      <c r="N599" s="4">
        <f>SUM($M$598:M599)</f>
        <v>12.826666666666666</v>
      </c>
      <c r="O599" s="4">
        <f>SUM($M$384:M599)</f>
        <v>1168.7266666666615</v>
      </c>
      <c r="P599" s="323">
        <f t="shared" si="222"/>
        <v>0.69243740514963059</v>
      </c>
      <c r="Q599" s="337">
        <f t="shared" si="223"/>
        <v>0.69243740514963059</v>
      </c>
      <c r="R599" s="337">
        <f t="shared" si="224"/>
        <v>0.69327437717444562</v>
      </c>
      <c r="S599" s="323">
        <f t="shared" si="225"/>
        <v>0.18503466215387351</v>
      </c>
      <c r="T599" s="9">
        <f>Modelling_old[[#This Row],[Target E_Grid MTD
MWh]]/Modelling_old[[#This Row],[DC Capcity]]/(24*CG599)</f>
        <v>0.18503466215387351</v>
      </c>
      <c r="U599" s="338">
        <f>Modelling_old[[#This Row],[Target E_Grid YTD
MWh]]/Modelling_old[[#This Row],[DC Capcity]]/(24*CH599)</f>
        <v>0.15629788810194747</v>
      </c>
      <c r="V599" s="134">
        <v>11.5031</v>
      </c>
      <c r="Y599" s="27">
        <f t="shared" si="238"/>
        <v>45598</v>
      </c>
      <c r="Z599" s="5">
        <f>MONTH(Modelling_new[[#This Row],[Date]])</f>
        <v>11</v>
      </c>
      <c r="AA599" s="25">
        <f>YEAR(Y599)+IF(MONTH(Modelling_new[[#This Row],[Date]])&gt;=4,1,0)</f>
        <v>2025</v>
      </c>
      <c r="AB599" s="3">
        <f t="shared" si="226"/>
        <v>2024</v>
      </c>
      <c r="AC599" s="3" t="s">
        <v>627</v>
      </c>
      <c r="AD599" s="3" t="s">
        <v>627</v>
      </c>
      <c r="AE599" s="102">
        <f>DATE(Modelling_old[[#This Row],[Calendor Year]],Modelling_old[[#This Row],[Start Month]],1)</f>
        <v>45597</v>
      </c>
      <c r="AF599" s="5">
        <f t="shared" si="227"/>
        <v>30</v>
      </c>
      <c r="AG599" s="5">
        <f t="shared" si="228"/>
        <v>11</v>
      </c>
      <c r="AH599" s="4">
        <f>_xlfn.XLOOKUP(Modelling_new[[#This Row],[Month]],$AA$1:$AA$14,$AL$1:$AL$14)/Modelling_new[[#This Row],[Total Days]]</f>
        <v>61.403834681353906</v>
      </c>
      <c r="AI599" s="4">
        <f>SUM($AH$598:AH599)</f>
        <v>122.80766936270781</v>
      </c>
      <c r="AJ599" s="4">
        <f>SUM($AH$384:AH599)</f>
        <v>12171.320909339674</v>
      </c>
      <c r="AK599" s="4">
        <f t="shared" si="229"/>
        <v>6.4133333333333331</v>
      </c>
      <c r="AL599" s="4">
        <f>SUM($AK$598:AK599)</f>
        <v>12.826666666666666</v>
      </c>
      <c r="AM599" s="4">
        <f>SUM($AK$384:AK599)</f>
        <v>1168.7266666666615</v>
      </c>
      <c r="AN599" s="323">
        <f t="shared" si="230"/>
        <v>0.83233237102108171</v>
      </c>
      <c r="AO599" s="323">
        <f t="shared" si="231"/>
        <v>0.83233237102108171</v>
      </c>
      <c r="AP599" s="323">
        <f t="shared" si="232"/>
        <v>0.90533615517409349</v>
      </c>
      <c r="AQ599" s="323">
        <f t="shared" si="233"/>
        <v>0.22241770581174464</v>
      </c>
      <c r="AR599" s="323">
        <f>Modelling_new[[#This Row],[Target E_Grid MTD
MWh]]/Modelling_new[[#This Row],[MTD DC Capcity]]/(24*CG599)</f>
        <v>0.19988227435336559</v>
      </c>
      <c r="AS599" s="323">
        <f>Modelling_new[[#This Row],[Target E_Grid YTD
MWh]]/Modelling_new[[#This Row],[YTD DC Capcity]]/(24*CH599)</f>
        <v>0.18342678357294762</v>
      </c>
      <c r="AT599" s="5">
        <v>12.8</v>
      </c>
      <c r="AU599" s="9">
        <f>Modelling_new[[#This Row],[Comisined DC ]]/$AO$1</f>
        <v>1</v>
      </c>
      <c r="AV599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599" s="5">
        <f>AVERAGEIFS(Modelling_new[[Comisined DC ]],Modelling_new[Date],"&lt;="&amp;Modelling_new[[#This Row],[Date]],Modelling_new[[Comisined DC ]],"&gt;"&amp;0,Modelling_new[Finacial Year],Modelling_new[[#This Row],[Finacial Year]])</f>
        <v>12.800000000000022</v>
      </c>
      <c r="BD599" s="27">
        <f t="shared" si="239"/>
        <v>45598</v>
      </c>
      <c r="BE599" s="5">
        <f>MONTH(Modelling[[#This Row],[Date]])</f>
        <v>11</v>
      </c>
      <c r="BF599" s="25">
        <f>YEAR(BD599)+IF(MONTH(Modelling[[#This Row],[Date]])&gt;=4,1,0)</f>
        <v>2025</v>
      </c>
      <c r="BG599" s="3">
        <f t="shared" si="234"/>
        <v>2024</v>
      </c>
      <c r="BH599" s="3" t="s">
        <v>627</v>
      </c>
      <c r="BI599" s="3" t="s">
        <v>627</v>
      </c>
      <c r="BJ599" s="102">
        <f>DATE(Modelling_old[[#This Row],[Calendor Year]],Modelling_old[[#This Row],[Start Month]],1)</f>
        <v>45597</v>
      </c>
      <c r="BK599" s="5">
        <f t="shared" si="235"/>
        <v>30</v>
      </c>
      <c r="BL599" s="5">
        <f t="shared" si="236"/>
        <v>11</v>
      </c>
      <c r="BM599" s="4">
        <f>Modelling_old[[#This Row],[Target E_Grid daily
MWh]]+Modelling_new[[#This Row],[Target E_Grid daily
MWh]]</f>
        <v>112.48716801468724</v>
      </c>
      <c r="BN599" s="4">
        <f>Modelling_old[[#This Row],[Target E_Grid MTD
MWh]]+Modelling_new[[#This Row],[Target E_Grid MTD
MWh]]</f>
        <v>224.97433602937448</v>
      </c>
      <c r="BO599" s="4">
        <f>Modelling_old[[#This Row],[Target E_Grid YTD
MWh]]+Modelling_new[[#This Row],[Target E_Grid YTD
MWh]]</f>
        <v>21491.687576006327</v>
      </c>
      <c r="BP599" s="4">
        <f>AVERAGE(Modelling_old[[#This Row],[Target POA Daily (KWh/m2)]],Modelling_new[[#This Row],[Target POA Daily (KWh/m2)]])</f>
        <v>6.4133333333333331</v>
      </c>
      <c r="BQ599" s="4">
        <f>SUM($BP$598:BP599)</f>
        <v>12.826666666666666</v>
      </c>
      <c r="BR599" s="4">
        <f>SUM($BP$384:BP599)</f>
        <v>1168.7266666666615</v>
      </c>
      <c r="BS599" s="323">
        <f>BM599/Modelling[[#This Row],[Comisined DC ]]/BP599</f>
        <v>0.7217013143290083</v>
      </c>
      <c r="BT599" s="337">
        <f>BN599/BQ599/Modelling[[#This Row],[Comisined DC ]]</f>
        <v>0.72170131432900819</v>
      </c>
      <c r="BU599" s="337">
        <f>BO599/BR599/Modelling[[#This Row],[Comisined DC ]]</f>
        <v>0.75665148950786032</v>
      </c>
      <c r="BV599" s="323">
        <f>BM599/(24*Modelling[[#This Row],[Comisined DC ]])</f>
        <v>0.19285462899569608</v>
      </c>
      <c r="BW599" s="323">
        <f>Modelling[[#This Row],[Target E_Grid MTD
MWh]]/Modelling[[#This Row],[MTD DC Capcity]]/(24*CG599)</f>
        <v>0.19285462899569608</v>
      </c>
      <c r="BX599" s="338">
        <f>Modelling[[#This Row],[Target E_Grid YTD
MWh]]/Modelling[[#This Row],[YTD DC Capcity]]/(24*CH599)</f>
        <v>0.17058618309430623</v>
      </c>
      <c r="BY599" s="4">
        <f>Modelling_old[[#This Row],[DC Capcity]]+Modelling_new[[#This Row],[Comisined DC ]]</f>
        <v>24.303100000000001</v>
      </c>
      <c r="BZ599" s="4">
        <v>0</v>
      </c>
      <c r="CA599">
        <f>AVERAGEIFS(Modelling[[Comisined DC ]],Modelling[Date],"&lt;="&amp;Modelling[[#This Row],[Date]],Modelling[Month Year],Modelling[[#This Row],[Month Year]])</f>
        <v>24.303100000000001</v>
      </c>
      <c r="CB599">
        <f>AVERAGEIFS(Modelling[[Comisined DC ]],Modelling[Date],"&lt;="&amp;Modelling[[#This Row],[Date]],Modelling[Finacial Year],Modelling[[#This Row],[Finacial Year]])</f>
        <v>24.303100000000065</v>
      </c>
      <c r="CG599">
        <f t="shared" si="215"/>
        <v>2</v>
      </c>
      <c r="CH599">
        <f t="shared" si="237"/>
        <v>216</v>
      </c>
    </row>
    <row r="600" spans="1:86" x14ac:dyDescent="0.35">
      <c r="A600" s="27">
        <f t="shared" si="216"/>
        <v>45599</v>
      </c>
      <c r="B600" s="5">
        <f>MONTH(Modelling_old[[#This Row],[Date]])</f>
        <v>11</v>
      </c>
      <c r="C600" s="25">
        <f t="shared" si="217"/>
        <v>2025</v>
      </c>
      <c r="D600" s="3">
        <f t="shared" si="218"/>
        <v>2024</v>
      </c>
      <c r="E600" s="3" t="s">
        <v>627</v>
      </c>
      <c r="F600" s="3" t="s">
        <v>627</v>
      </c>
      <c r="G600" s="102">
        <f>DATE(Modelling_old[[#This Row],[Calendor Year]],Modelling_old[[#This Row],[Start Month]],1)</f>
        <v>45597</v>
      </c>
      <c r="H600" s="5">
        <f t="shared" si="219"/>
        <v>30</v>
      </c>
      <c r="I600" s="5">
        <f t="shared" si="220"/>
        <v>11</v>
      </c>
      <c r="J600" s="4">
        <f>_xlfn.XLOOKUP(Modelling_old[[#This Row],[Month]],$C$1:$C$14,$N$1:$N$14)/Modelling_old[[#This Row],[Total Days]]</f>
        <v>51.083333333333336</v>
      </c>
      <c r="K600" s="4">
        <f>SUM($J$598:J600)</f>
        <v>153.25</v>
      </c>
      <c r="L600" s="4">
        <f>SUM($J$384:J600)</f>
        <v>9371.449999999988</v>
      </c>
      <c r="M600" s="4">
        <f t="shared" si="221"/>
        <v>6.4133333333333331</v>
      </c>
      <c r="N600" s="4">
        <f>SUM($M$598:M600)</f>
        <v>19.239999999999998</v>
      </c>
      <c r="O600" s="4">
        <f>SUM($M$384:M600)</f>
        <v>1175.1399999999949</v>
      </c>
      <c r="P600" s="323">
        <f t="shared" si="222"/>
        <v>0.69243740514963059</v>
      </c>
      <c r="Q600" s="337">
        <f t="shared" si="223"/>
        <v>0.69243740514963059</v>
      </c>
      <c r="R600" s="337">
        <f t="shared" si="224"/>
        <v>0.69326980939478888</v>
      </c>
      <c r="S600" s="323">
        <f t="shared" si="225"/>
        <v>0.18503466215387351</v>
      </c>
      <c r="T600" s="9">
        <f>Modelling_old[[#This Row],[Target E_Grid MTD
MWh]]/Modelling_old[[#This Row],[DC Capcity]]/(24*CG600)</f>
        <v>0.18503466215387351</v>
      </c>
      <c r="U600" s="338">
        <f>Modelling_old[[#This Row],[Target E_Grid YTD
MWh]]/Modelling_old[[#This Row],[DC Capcity]]/(24*CH600)</f>
        <v>0.15643031563214069</v>
      </c>
      <c r="V600" s="134">
        <v>11.5031</v>
      </c>
      <c r="Y600" s="27">
        <f t="shared" si="238"/>
        <v>45599</v>
      </c>
      <c r="Z600" s="5">
        <f>MONTH(Modelling_new[[#This Row],[Date]])</f>
        <v>11</v>
      </c>
      <c r="AA600" s="25">
        <f>YEAR(Y600)+IF(MONTH(Modelling_new[[#This Row],[Date]])&gt;=4,1,0)</f>
        <v>2025</v>
      </c>
      <c r="AB600" s="3">
        <f t="shared" si="226"/>
        <v>2024</v>
      </c>
      <c r="AC600" s="3" t="s">
        <v>627</v>
      </c>
      <c r="AD600" s="3" t="s">
        <v>627</v>
      </c>
      <c r="AE600" s="102">
        <f>DATE(Modelling_old[[#This Row],[Calendor Year]],Modelling_old[[#This Row],[Start Month]],1)</f>
        <v>45597</v>
      </c>
      <c r="AF600" s="5">
        <f t="shared" si="227"/>
        <v>30</v>
      </c>
      <c r="AG600" s="5">
        <f t="shared" si="228"/>
        <v>11</v>
      </c>
      <c r="AH600" s="4">
        <f>_xlfn.XLOOKUP(Modelling_new[[#This Row],[Month]],$AA$1:$AA$14,$AL$1:$AL$14)/Modelling_new[[#This Row],[Total Days]]</f>
        <v>61.403834681353906</v>
      </c>
      <c r="AI600" s="4">
        <f>SUM($AH$598:AH600)</f>
        <v>184.21150404406171</v>
      </c>
      <c r="AJ600" s="4">
        <f>SUM($AH$384:AH600)</f>
        <v>12232.724744021029</v>
      </c>
      <c r="AK600" s="4">
        <f t="shared" si="229"/>
        <v>6.4133333333333331</v>
      </c>
      <c r="AL600" s="4">
        <f>SUM($AK$598:AK600)</f>
        <v>19.239999999999998</v>
      </c>
      <c r="AM600" s="4">
        <f>SUM($AK$384:AK600)</f>
        <v>1175.1399999999949</v>
      </c>
      <c r="AN600" s="323">
        <f t="shared" si="230"/>
        <v>0.83233237102108171</v>
      </c>
      <c r="AO600" s="323">
        <f t="shared" si="231"/>
        <v>0.83233237102108171</v>
      </c>
      <c r="AP600" s="323">
        <f t="shared" si="232"/>
        <v>0.90493773660067411</v>
      </c>
      <c r="AQ600" s="323">
        <f t="shared" si="233"/>
        <v>0.22241770581174464</v>
      </c>
      <c r="AR600" s="323">
        <f>Modelling_new[[#This Row],[Target E_Grid MTD
MWh]]/Modelling_new[[#This Row],[MTD DC Capcity]]/(24*CG600)</f>
        <v>0.19988227435336553</v>
      </c>
      <c r="AS600" s="323">
        <f>Modelling_new[[#This Row],[Target E_Grid YTD
MWh]]/Modelling_new[[#This Row],[YTD DC Capcity]]/(24*CH600)</f>
        <v>0.1835026153276961</v>
      </c>
      <c r="AT600" s="5">
        <v>12.8</v>
      </c>
      <c r="AU600" s="9">
        <f>Modelling_new[[#This Row],[Comisined DC ]]/$AO$1</f>
        <v>1</v>
      </c>
      <c r="AV600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00" s="5">
        <f>AVERAGEIFS(Modelling_new[[Comisined DC ]],Modelling_new[Date],"&lt;="&amp;Modelling_new[[#This Row],[Date]],Modelling_new[[Comisined DC ]],"&gt;"&amp;0,Modelling_new[Finacial Year],Modelling_new[[#This Row],[Finacial Year]])</f>
        <v>12.800000000000022</v>
      </c>
      <c r="BD600" s="27">
        <f t="shared" si="239"/>
        <v>45599</v>
      </c>
      <c r="BE600" s="5">
        <f>MONTH(Modelling[[#This Row],[Date]])</f>
        <v>11</v>
      </c>
      <c r="BF600" s="25">
        <f>YEAR(BD600)+IF(MONTH(Modelling[[#This Row],[Date]])&gt;=4,1,0)</f>
        <v>2025</v>
      </c>
      <c r="BG600" s="3">
        <f t="shared" si="234"/>
        <v>2024</v>
      </c>
      <c r="BH600" s="3" t="s">
        <v>627</v>
      </c>
      <c r="BI600" s="3" t="s">
        <v>627</v>
      </c>
      <c r="BJ600" s="102">
        <f>DATE(Modelling_old[[#This Row],[Calendor Year]],Modelling_old[[#This Row],[Start Month]],1)</f>
        <v>45597</v>
      </c>
      <c r="BK600" s="5">
        <f t="shared" si="235"/>
        <v>30</v>
      </c>
      <c r="BL600" s="5">
        <f t="shared" si="236"/>
        <v>11</v>
      </c>
      <c r="BM600" s="4">
        <f>Modelling_old[[#This Row],[Target E_Grid daily
MWh]]+Modelling_new[[#This Row],[Target E_Grid daily
MWh]]</f>
        <v>112.48716801468724</v>
      </c>
      <c r="BN600" s="4">
        <f>Modelling_old[[#This Row],[Target E_Grid MTD
MWh]]+Modelling_new[[#This Row],[Target E_Grid MTD
MWh]]</f>
        <v>337.46150404406171</v>
      </c>
      <c r="BO600" s="4">
        <f>Modelling_old[[#This Row],[Target E_Grid YTD
MWh]]+Modelling_new[[#This Row],[Target E_Grid YTD
MWh]]</f>
        <v>21604.174744021017</v>
      </c>
      <c r="BP600" s="4">
        <f>AVERAGE(Modelling_old[[#This Row],[Target POA Daily (KWh/m2)]],Modelling_new[[#This Row],[Target POA Daily (KWh/m2)]])</f>
        <v>6.4133333333333331</v>
      </c>
      <c r="BQ600" s="4">
        <f>SUM($BP$598:BP600)</f>
        <v>19.239999999999998</v>
      </c>
      <c r="BR600" s="4">
        <f>SUM($BP$384:BP600)</f>
        <v>1175.1399999999949</v>
      </c>
      <c r="BS600" s="323">
        <f>BM600/Modelling[[#This Row],[Comisined DC ]]/BP600</f>
        <v>0.7217013143290083</v>
      </c>
      <c r="BT600" s="337">
        <f>BN600/BQ600/Modelling[[#This Row],[Comisined DC ]]</f>
        <v>0.72170131432900819</v>
      </c>
      <c r="BU600" s="337">
        <f>BO600/BR600/Modelling[[#This Row],[Comisined DC ]]</f>
        <v>0.75646074872507663</v>
      </c>
      <c r="BV600" s="323">
        <f>BM600/(24*Modelling[[#This Row],[Comisined DC ]])</f>
        <v>0.19285462899569608</v>
      </c>
      <c r="BW600" s="323">
        <f>Modelling[[#This Row],[Target E_Grid MTD
MWh]]/Modelling[[#This Row],[MTD DC Capcity]]/(24*CG600)</f>
        <v>0.19285462899569608</v>
      </c>
      <c r="BX600" s="338">
        <f>Modelling[[#This Row],[Target E_Grid YTD
MWh]]/Modelling[[#This Row],[YTD DC Capcity]]/(24*CH600)</f>
        <v>0.1706888026606721</v>
      </c>
      <c r="BY600" s="4">
        <f>Modelling_old[[#This Row],[DC Capcity]]+Modelling_new[[#This Row],[Comisined DC ]]</f>
        <v>24.303100000000001</v>
      </c>
      <c r="BZ600" s="4">
        <v>0</v>
      </c>
      <c r="CA600">
        <f>AVERAGEIFS(Modelling[[Comisined DC ]],Modelling[Date],"&lt;="&amp;Modelling[[#This Row],[Date]],Modelling[Month Year],Modelling[[#This Row],[Month Year]])</f>
        <v>24.303100000000001</v>
      </c>
      <c r="CB600">
        <f>AVERAGEIFS(Modelling[[Comisined DC ]],Modelling[Date],"&lt;="&amp;Modelling[[#This Row],[Date]],Modelling[Finacial Year],Modelling[[#This Row],[Finacial Year]])</f>
        <v>24.303100000000065</v>
      </c>
      <c r="CG600">
        <f t="shared" si="215"/>
        <v>3</v>
      </c>
      <c r="CH600">
        <f t="shared" si="237"/>
        <v>217</v>
      </c>
    </row>
    <row r="601" spans="1:86" x14ac:dyDescent="0.35">
      <c r="A601" s="27">
        <f t="shared" si="216"/>
        <v>45600</v>
      </c>
      <c r="B601" s="5">
        <f>MONTH(Modelling_old[[#This Row],[Date]])</f>
        <v>11</v>
      </c>
      <c r="C601" s="25">
        <f t="shared" si="217"/>
        <v>2025</v>
      </c>
      <c r="D601" s="3">
        <f t="shared" si="218"/>
        <v>2024</v>
      </c>
      <c r="E601" s="3" t="s">
        <v>627</v>
      </c>
      <c r="F601" s="3" t="s">
        <v>627</v>
      </c>
      <c r="G601" s="102">
        <f>DATE(Modelling_old[[#This Row],[Calendor Year]],Modelling_old[[#This Row],[Start Month]],1)</f>
        <v>45597</v>
      </c>
      <c r="H601" s="5">
        <f t="shared" si="219"/>
        <v>30</v>
      </c>
      <c r="I601" s="5">
        <f t="shared" si="220"/>
        <v>11</v>
      </c>
      <c r="J601" s="4">
        <f>_xlfn.XLOOKUP(Modelling_old[[#This Row],[Month]],$C$1:$C$14,$N$1:$N$14)/Modelling_old[[#This Row],[Total Days]]</f>
        <v>51.083333333333336</v>
      </c>
      <c r="K601" s="4">
        <f>SUM($J$598:J601)</f>
        <v>204.33333333333334</v>
      </c>
      <c r="L601" s="4">
        <f>SUM($J$384:J601)</f>
        <v>9422.5333333333219</v>
      </c>
      <c r="M601" s="4">
        <f t="shared" si="221"/>
        <v>6.4133333333333331</v>
      </c>
      <c r="N601" s="4">
        <f>SUM($M$598:M601)</f>
        <v>25.653333333333332</v>
      </c>
      <c r="O601" s="4">
        <f>SUM($M$384:M601)</f>
        <v>1181.5533333333283</v>
      </c>
      <c r="P601" s="323">
        <f t="shared" si="222"/>
        <v>0.69243740514963059</v>
      </c>
      <c r="Q601" s="337">
        <f t="shared" si="223"/>
        <v>0.69243740514963059</v>
      </c>
      <c r="R601" s="337">
        <f t="shared" si="224"/>
        <v>0.69326529120187996</v>
      </c>
      <c r="S601" s="323">
        <f t="shared" si="225"/>
        <v>0.18503466215387351</v>
      </c>
      <c r="T601" s="9">
        <f>Modelling_old[[#This Row],[Target E_Grid MTD
MWh]]/Modelling_old[[#This Row],[DC Capcity]]/(24*CG601)</f>
        <v>0.18503466215387351</v>
      </c>
      <c r="U601" s="338">
        <f>Modelling_old[[#This Row],[Target E_Grid YTD
MWh]]/Modelling_old[[#This Row],[DC Capcity]]/(24*CH601)</f>
        <v>0.15656152823086425</v>
      </c>
      <c r="V601" s="134">
        <v>11.5031</v>
      </c>
      <c r="Y601" s="27">
        <f t="shared" si="238"/>
        <v>45600</v>
      </c>
      <c r="Z601" s="5">
        <f>MONTH(Modelling_new[[#This Row],[Date]])</f>
        <v>11</v>
      </c>
      <c r="AA601" s="25">
        <f>YEAR(Y601)+IF(MONTH(Modelling_new[[#This Row],[Date]])&gt;=4,1,0)</f>
        <v>2025</v>
      </c>
      <c r="AB601" s="3">
        <f t="shared" si="226"/>
        <v>2024</v>
      </c>
      <c r="AC601" s="3" t="s">
        <v>627</v>
      </c>
      <c r="AD601" s="3" t="s">
        <v>627</v>
      </c>
      <c r="AE601" s="102">
        <f>DATE(Modelling_old[[#This Row],[Calendor Year]],Modelling_old[[#This Row],[Start Month]],1)</f>
        <v>45597</v>
      </c>
      <c r="AF601" s="5">
        <f t="shared" si="227"/>
        <v>30</v>
      </c>
      <c r="AG601" s="5">
        <f t="shared" si="228"/>
        <v>11</v>
      </c>
      <c r="AH601" s="4">
        <f>_xlfn.XLOOKUP(Modelling_new[[#This Row],[Month]],$AA$1:$AA$14,$AL$1:$AL$14)/Modelling_new[[#This Row],[Total Days]]</f>
        <v>61.403834681353906</v>
      </c>
      <c r="AI601" s="4">
        <f>SUM($AH$598:AH601)</f>
        <v>245.61533872541563</v>
      </c>
      <c r="AJ601" s="4">
        <f>SUM($AH$384:AH601)</f>
        <v>12294.128578702383</v>
      </c>
      <c r="AK601" s="4">
        <f t="shared" si="229"/>
        <v>6.4133333333333331</v>
      </c>
      <c r="AL601" s="4">
        <f>SUM($AK$598:AK601)</f>
        <v>25.653333333333332</v>
      </c>
      <c r="AM601" s="4">
        <f>SUM($AK$384:AK601)</f>
        <v>1181.5533333333283</v>
      </c>
      <c r="AN601" s="323">
        <f t="shared" si="230"/>
        <v>0.83233237102108171</v>
      </c>
      <c r="AO601" s="323">
        <f t="shared" si="231"/>
        <v>0.83233237102108171</v>
      </c>
      <c r="AP601" s="323">
        <f t="shared" si="232"/>
        <v>0.90454364316611302</v>
      </c>
      <c r="AQ601" s="323">
        <f t="shared" si="233"/>
        <v>0.22241770581174464</v>
      </c>
      <c r="AR601" s="323">
        <f>Modelling_new[[#This Row],[Target E_Grid MTD
MWh]]/Modelling_new[[#This Row],[MTD DC Capcity]]/(24*CG601)</f>
        <v>0.19988227435336559</v>
      </c>
      <c r="AS601" s="323">
        <f>Modelling_new[[#This Row],[Target E_Grid YTD
MWh]]/Modelling_new[[#This Row],[YTD DC Capcity]]/(24*CH601)</f>
        <v>0.18357775137827254</v>
      </c>
      <c r="AT601" s="5">
        <v>12.8</v>
      </c>
      <c r="AU601" s="9">
        <f>Modelling_new[[#This Row],[Comisined DC ]]/$AO$1</f>
        <v>1</v>
      </c>
      <c r="AV601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01" s="5">
        <f>AVERAGEIFS(Modelling_new[[Comisined DC ]],Modelling_new[Date],"&lt;="&amp;Modelling_new[[#This Row],[Date]],Modelling_new[[Comisined DC ]],"&gt;"&amp;0,Modelling_new[Finacial Year],Modelling_new[[#This Row],[Finacial Year]])</f>
        <v>12.800000000000024</v>
      </c>
      <c r="BD601" s="27">
        <f t="shared" si="239"/>
        <v>45600</v>
      </c>
      <c r="BE601" s="5">
        <f>MONTH(Modelling[[#This Row],[Date]])</f>
        <v>11</v>
      </c>
      <c r="BF601" s="25">
        <f>YEAR(BD601)+IF(MONTH(Modelling[[#This Row],[Date]])&gt;=4,1,0)</f>
        <v>2025</v>
      </c>
      <c r="BG601" s="3">
        <f t="shared" si="234"/>
        <v>2024</v>
      </c>
      <c r="BH601" s="3" t="s">
        <v>627</v>
      </c>
      <c r="BI601" s="3" t="s">
        <v>627</v>
      </c>
      <c r="BJ601" s="102">
        <f>DATE(Modelling_old[[#This Row],[Calendor Year]],Modelling_old[[#This Row],[Start Month]],1)</f>
        <v>45597</v>
      </c>
      <c r="BK601" s="5">
        <f t="shared" si="235"/>
        <v>30</v>
      </c>
      <c r="BL601" s="5">
        <f t="shared" si="236"/>
        <v>11</v>
      </c>
      <c r="BM601" s="4">
        <f>Modelling_old[[#This Row],[Target E_Grid daily
MWh]]+Modelling_new[[#This Row],[Target E_Grid daily
MWh]]</f>
        <v>112.48716801468724</v>
      </c>
      <c r="BN601" s="4">
        <f>Modelling_old[[#This Row],[Target E_Grid MTD
MWh]]+Modelling_new[[#This Row],[Target E_Grid MTD
MWh]]</f>
        <v>449.94867205874897</v>
      </c>
      <c r="BO601" s="4">
        <f>Modelling_old[[#This Row],[Target E_Grid YTD
MWh]]+Modelling_new[[#This Row],[Target E_Grid YTD
MWh]]</f>
        <v>21716.661912035706</v>
      </c>
      <c r="BP601" s="4">
        <f>AVERAGE(Modelling_old[[#This Row],[Target POA Daily (KWh/m2)]],Modelling_new[[#This Row],[Target POA Daily (KWh/m2)]])</f>
        <v>6.4133333333333331</v>
      </c>
      <c r="BQ601" s="4">
        <f>SUM($BP$598:BP601)</f>
        <v>25.653333333333332</v>
      </c>
      <c r="BR601" s="4">
        <f>SUM($BP$384:BP601)</f>
        <v>1181.5533333333283</v>
      </c>
      <c r="BS601" s="323">
        <f>BM601/Modelling[[#This Row],[Comisined DC ]]/BP601</f>
        <v>0.7217013143290083</v>
      </c>
      <c r="BT601" s="337">
        <f>BN601/BQ601/Modelling[[#This Row],[Comisined DC ]]</f>
        <v>0.72170131432900819</v>
      </c>
      <c r="BU601" s="337">
        <f>BO601/BR601/Modelling[[#This Row],[Comisined DC ]]</f>
        <v>0.75627207857962397</v>
      </c>
      <c r="BV601" s="323">
        <f>BM601/(24*Modelling[[#This Row],[Comisined DC ]])</f>
        <v>0.19285462899569608</v>
      </c>
      <c r="BW601" s="323">
        <f>Modelling[[#This Row],[Target E_Grid MTD
MWh]]/Modelling[[#This Row],[MTD DC Capcity]]/(24*CG601)</f>
        <v>0.19285462899569608</v>
      </c>
      <c r="BX601" s="338">
        <f>Modelling[[#This Row],[Target E_Grid YTD
MWh]]/Modelling[[#This Row],[YTD DC Capcity]]/(24*CH601)</f>
        <v>0.17079048076312636</v>
      </c>
      <c r="BY601" s="4">
        <f>Modelling_old[[#This Row],[DC Capcity]]+Modelling_new[[#This Row],[Comisined DC ]]</f>
        <v>24.303100000000001</v>
      </c>
      <c r="BZ601" s="4">
        <v>0</v>
      </c>
      <c r="CA601">
        <f>AVERAGEIFS(Modelling[[Comisined DC ]],Modelling[Date],"&lt;="&amp;Modelling[[#This Row],[Date]],Modelling[Month Year],Modelling[[#This Row],[Month Year]])</f>
        <v>24.303100000000001</v>
      </c>
      <c r="CB601">
        <f>AVERAGEIFS(Modelling[[Comisined DC ]],Modelling[Date],"&lt;="&amp;Modelling[[#This Row],[Date]],Modelling[Finacial Year],Modelling[[#This Row],[Finacial Year]])</f>
        <v>24.303100000000065</v>
      </c>
      <c r="CG601">
        <f t="shared" si="215"/>
        <v>4</v>
      </c>
      <c r="CH601">
        <f t="shared" si="237"/>
        <v>218</v>
      </c>
    </row>
    <row r="602" spans="1:86" x14ac:dyDescent="0.35">
      <c r="A602" s="27">
        <f t="shared" si="216"/>
        <v>45601</v>
      </c>
      <c r="B602" s="5">
        <f>MONTH(Modelling_old[[#This Row],[Date]])</f>
        <v>11</v>
      </c>
      <c r="C602" s="25">
        <f t="shared" si="217"/>
        <v>2025</v>
      </c>
      <c r="D602" s="3">
        <f t="shared" si="218"/>
        <v>2024</v>
      </c>
      <c r="E602" s="3" t="s">
        <v>627</v>
      </c>
      <c r="F602" s="3" t="s">
        <v>627</v>
      </c>
      <c r="G602" s="102">
        <f>DATE(Modelling_old[[#This Row],[Calendor Year]],Modelling_old[[#This Row],[Start Month]],1)</f>
        <v>45597</v>
      </c>
      <c r="H602" s="5">
        <f t="shared" si="219"/>
        <v>30</v>
      </c>
      <c r="I602" s="5">
        <f t="shared" si="220"/>
        <v>11</v>
      </c>
      <c r="J602" s="4">
        <f>_xlfn.XLOOKUP(Modelling_old[[#This Row],[Month]],$C$1:$C$14,$N$1:$N$14)/Modelling_old[[#This Row],[Total Days]]</f>
        <v>51.083333333333336</v>
      </c>
      <c r="K602" s="4">
        <f>SUM($J$598:J602)</f>
        <v>255.41666666666669</v>
      </c>
      <c r="L602" s="4">
        <f>SUM($J$384:J602)</f>
        <v>9473.6166666666559</v>
      </c>
      <c r="M602" s="4">
        <f t="shared" si="221"/>
        <v>6.4133333333333331</v>
      </c>
      <c r="N602" s="4">
        <f>SUM($M$598:M602)</f>
        <v>32.066666666666663</v>
      </c>
      <c r="O602" s="4">
        <f>SUM($M$384:M602)</f>
        <v>1187.9666666666617</v>
      </c>
      <c r="P602" s="323">
        <f t="shared" si="222"/>
        <v>0.69243740514963059</v>
      </c>
      <c r="Q602" s="337">
        <f t="shared" si="223"/>
        <v>0.6924374051496307</v>
      </c>
      <c r="R602" s="337">
        <f t="shared" si="224"/>
        <v>0.6932608217926246</v>
      </c>
      <c r="S602" s="323">
        <f t="shared" si="225"/>
        <v>0.18503466215387351</v>
      </c>
      <c r="T602" s="9">
        <f>Modelling_old[[#This Row],[Target E_Grid MTD
MWh]]/Modelling_old[[#This Row],[DC Capcity]]/(24*CG602)</f>
        <v>0.18503466215387351</v>
      </c>
      <c r="U602" s="338">
        <f>Modelling_old[[#This Row],[Target E_Grid YTD
MWh]]/Modelling_old[[#This Row],[DC Capcity]]/(24*CH602)</f>
        <v>0.15669154254101497</v>
      </c>
      <c r="V602" s="134">
        <v>11.5031</v>
      </c>
      <c r="Y602" s="27">
        <f t="shared" si="238"/>
        <v>45601</v>
      </c>
      <c r="Z602" s="5">
        <f>MONTH(Modelling_new[[#This Row],[Date]])</f>
        <v>11</v>
      </c>
      <c r="AA602" s="25">
        <f>YEAR(Y602)+IF(MONTH(Modelling_new[[#This Row],[Date]])&gt;=4,1,0)</f>
        <v>2025</v>
      </c>
      <c r="AB602" s="3">
        <f t="shared" si="226"/>
        <v>2024</v>
      </c>
      <c r="AC602" s="3" t="s">
        <v>627</v>
      </c>
      <c r="AD602" s="3" t="s">
        <v>627</v>
      </c>
      <c r="AE602" s="102">
        <f>DATE(Modelling_old[[#This Row],[Calendor Year]],Modelling_old[[#This Row],[Start Month]],1)</f>
        <v>45597</v>
      </c>
      <c r="AF602" s="5">
        <f t="shared" si="227"/>
        <v>30</v>
      </c>
      <c r="AG602" s="5">
        <f t="shared" si="228"/>
        <v>11</v>
      </c>
      <c r="AH602" s="4">
        <f>_xlfn.XLOOKUP(Modelling_new[[#This Row],[Month]],$AA$1:$AA$14,$AL$1:$AL$14)/Modelling_new[[#This Row],[Total Days]]</f>
        <v>61.403834681353906</v>
      </c>
      <c r="AI602" s="4">
        <f>SUM($AH$598:AH602)</f>
        <v>307.01917340676954</v>
      </c>
      <c r="AJ602" s="4">
        <f>SUM($AH$384:AH602)</f>
        <v>12355.532413383737</v>
      </c>
      <c r="AK602" s="4">
        <f t="shared" si="229"/>
        <v>6.4133333333333331</v>
      </c>
      <c r="AL602" s="4">
        <f>SUM($AK$598:AK602)</f>
        <v>32.066666666666663</v>
      </c>
      <c r="AM602" s="4">
        <f>SUM($AK$384:AK602)</f>
        <v>1187.9666666666617</v>
      </c>
      <c r="AN602" s="323">
        <f t="shared" si="230"/>
        <v>0.83233237102108171</v>
      </c>
      <c r="AO602" s="323">
        <f t="shared" si="231"/>
        <v>0.83233237102108182</v>
      </c>
      <c r="AP602" s="323">
        <f t="shared" si="232"/>
        <v>0.90415380482158303</v>
      </c>
      <c r="AQ602" s="323">
        <f t="shared" si="233"/>
        <v>0.22241770581174464</v>
      </c>
      <c r="AR602" s="323">
        <f>Modelling_new[[#This Row],[Target E_Grid MTD
MWh]]/Modelling_new[[#This Row],[MTD DC Capcity]]/(24*CG602)</f>
        <v>0.19988227435336556</v>
      </c>
      <c r="AS602" s="323">
        <f>Modelling_new[[#This Row],[Target E_Grid YTD
MWh]]/Modelling_new[[#This Row],[YTD DC Capcity]]/(24*CH602)</f>
        <v>0.18365220125487111</v>
      </c>
      <c r="AT602" s="5">
        <v>12.8</v>
      </c>
      <c r="AU602" s="9">
        <f>Modelling_new[[#This Row],[Comisined DC ]]/$AO$1</f>
        <v>1</v>
      </c>
      <c r="AV602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02" s="5">
        <f>AVERAGEIFS(Modelling_new[[Comisined DC ]],Modelling_new[Date],"&lt;="&amp;Modelling_new[[#This Row],[Date]],Modelling_new[[Comisined DC ]],"&gt;"&amp;0,Modelling_new[Finacial Year],Modelling_new[[#This Row],[Finacial Year]])</f>
        <v>12.800000000000024</v>
      </c>
      <c r="BD602" s="27">
        <f t="shared" si="239"/>
        <v>45601</v>
      </c>
      <c r="BE602" s="5">
        <f>MONTH(Modelling[[#This Row],[Date]])</f>
        <v>11</v>
      </c>
      <c r="BF602" s="25">
        <f>YEAR(BD602)+IF(MONTH(Modelling[[#This Row],[Date]])&gt;=4,1,0)</f>
        <v>2025</v>
      </c>
      <c r="BG602" s="3">
        <f t="shared" si="234"/>
        <v>2024</v>
      </c>
      <c r="BH602" s="3" t="s">
        <v>627</v>
      </c>
      <c r="BI602" s="3" t="s">
        <v>627</v>
      </c>
      <c r="BJ602" s="102">
        <f>DATE(Modelling_old[[#This Row],[Calendor Year]],Modelling_old[[#This Row],[Start Month]],1)</f>
        <v>45597</v>
      </c>
      <c r="BK602" s="5">
        <f t="shared" si="235"/>
        <v>30</v>
      </c>
      <c r="BL602" s="5">
        <f t="shared" si="236"/>
        <v>11</v>
      </c>
      <c r="BM602" s="4">
        <f>Modelling_old[[#This Row],[Target E_Grid daily
MWh]]+Modelling_new[[#This Row],[Target E_Grid daily
MWh]]</f>
        <v>112.48716801468724</v>
      </c>
      <c r="BN602" s="4">
        <f>Modelling_old[[#This Row],[Target E_Grid MTD
MWh]]+Modelling_new[[#This Row],[Target E_Grid MTD
MWh]]</f>
        <v>562.43584007343622</v>
      </c>
      <c r="BO602" s="4">
        <f>Modelling_old[[#This Row],[Target E_Grid YTD
MWh]]+Modelling_new[[#This Row],[Target E_Grid YTD
MWh]]</f>
        <v>21829.149080050393</v>
      </c>
      <c r="BP602" s="4">
        <f>AVERAGE(Modelling_old[[#This Row],[Target POA Daily (KWh/m2)]],Modelling_new[[#This Row],[Target POA Daily (KWh/m2)]])</f>
        <v>6.4133333333333331</v>
      </c>
      <c r="BQ602" s="4">
        <f>SUM($BP$598:BP602)</f>
        <v>32.066666666666663</v>
      </c>
      <c r="BR602" s="4">
        <f>SUM($BP$384:BP602)</f>
        <v>1187.9666666666617</v>
      </c>
      <c r="BS602" s="323">
        <f>BM602/Modelling[[#This Row],[Comisined DC ]]/BP602</f>
        <v>0.7217013143290083</v>
      </c>
      <c r="BT602" s="337">
        <f>BN602/BQ602/Modelling[[#This Row],[Comisined DC ]]</f>
        <v>0.72170131432900841</v>
      </c>
      <c r="BU602" s="337">
        <f>BO602/BR602/Modelling[[#This Row],[Comisined DC ]]</f>
        <v>0.7560854455359971</v>
      </c>
      <c r="BV602" s="323">
        <f>BM602/(24*Modelling[[#This Row],[Comisined DC ]])</f>
        <v>0.19285462899569608</v>
      </c>
      <c r="BW602" s="323">
        <f>Modelling[[#This Row],[Target E_Grid MTD
MWh]]/Modelling[[#This Row],[MTD DC Capcity]]/(24*CG602)</f>
        <v>0.19285462899569608</v>
      </c>
      <c r="BX602" s="338">
        <f>Modelling[[#This Row],[Target E_Grid YTD
MWh]]/Modelling[[#This Row],[YTD DC Capcity]]/(24*CH602)</f>
        <v>0.17089123029843489</v>
      </c>
      <c r="BY602" s="4">
        <f>Modelling_old[[#This Row],[DC Capcity]]+Modelling_new[[#This Row],[Comisined DC ]]</f>
        <v>24.303100000000001</v>
      </c>
      <c r="BZ602" s="4">
        <v>0</v>
      </c>
      <c r="CA602">
        <f>AVERAGEIFS(Modelling[[Comisined DC ]],Modelling[Date],"&lt;="&amp;Modelling[[#This Row],[Date]],Modelling[Month Year],Modelling[[#This Row],[Month Year]])</f>
        <v>24.303100000000001</v>
      </c>
      <c r="CB602">
        <f>AVERAGEIFS(Modelling[[Comisined DC ]],Modelling[Date],"&lt;="&amp;Modelling[[#This Row],[Date]],Modelling[Finacial Year],Modelling[[#This Row],[Finacial Year]])</f>
        <v>24.303100000000065</v>
      </c>
      <c r="CG602">
        <f t="shared" si="215"/>
        <v>5</v>
      </c>
      <c r="CH602">
        <f t="shared" si="237"/>
        <v>219</v>
      </c>
    </row>
    <row r="603" spans="1:86" x14ac:dyDescent="0.35">
      <c r="A603" s="27">
        <f t="shared" si="216"/>
        <v>45602</v>
      </c>
      <c r="B603" s="5">
        <f>MONTH(Modelling_old[[#This Row],[Date]])</f>
        <v>11</v>
      </c>
      <c r="C603" s="25">
        <f t="shared" si="217"/>
        <v>2025</v>
      </c>
      <c r="D603" s="3">
        <f t="shared" si="218"/>
        <v>2024</v>
      </c>
      <c r="E603" s="3" t="s">
        <v>627</v>
      </c>
      <c r="F603" s="3" t="s">
        <v>627</v>
      </c>
      <c r="G603" s="102">
        <f>DATE(Modelling_old[[#This Row],[Calendor Year]],Modelling_old[[#This Row],[Start Month]],1)</f>
        <v>45597</v>
      </c>
      <c r="H603" s="5">
        <f t="shared" si="219"/>
        <v>30</v>
      </c>
      <c r="I603" s="5">
        <f t="shared" si="220"/>
        <v>11</v>
      </c>
      <c r="J603" s="4">
        <f>_xlfn.XLOOKUP(Modelling_old[[#This Row],[Month]],$C$1:$C$14,$N$1:$N$14)/Modelling_old[[#This Row],[Total Days]]</f>
        <v>51.083333333333336</v>
      </c>
      <c r="K603" s="4">
        <f>SUM($J$598:J603)</f>
        <v>306.5</v>
      </c>
      <c r="L603" s="4">
        <f>SUM($J$384:J603)</f>
        <v>9524.6999999999898</v>
      </c>
      <c r="M603" s="4">
        <f t="shared" si="221"/>
        <v>6.4133333333333331</v>
      </c>
      <c r="N603" s="4">
        <f>SUM($M$598:M603)</f>
        <v>38.479999999999997</v>
      </c>
      <c r="O603" s="4">
        <f>SUM($M$384:M603)</f>
        <v>1194.3799999999951</v>
      </c>
      <c r="P603" s="323">
        <f t="shared" si="222"/>
        <v>0.69243740514963059</v>
      </c>
      <c r="Q603" s="337">
        <f t="shared" si="223"/>
        <v>0.69243740514963059</v>
      </c>
      <c r="R603" s="337">
        <f t="shared" si="224"/>
        <v>0.69325640038117775</v>
      </c>
      <c r="S603" s="323">
        <f t="shared" si="225"/>
        <v>0.18503466215387351</v>
      </c>
      <c r="T603" s="9">
        <f>Modelling_old[[#This Row],[Target E_Grid MTD
MWh]]/Modelling_old[[#This Row],[DC Capcity]]/(24*CG603)</f>
        <v>0.18503466215387351</v>
      </c>
      <c r="U603" s="338">
        <f>Modelling_old[[#This Row],[Target E_Grid YTD
MWh]]/Modelling_old[[#This Row],[DC Capcity]]/(24*CH603)</f>
        <v>0.15682037490289163</v>
      </c>
      <c r="V603" s="134">
        <v>11.5031</v>
      </c>
      <c r="Y603" s="27">
        <f t="shared" si="238"/>
        <v>45602</v>
      </c>
      <c r="Z603" s="5">
        <f>MONTH(Modelling_new[[#This Row],[Date]])</f>
        <v>11</v>
      </c>
      <c r="AA603" s="25">
        <f>YEAR(Y603)+IF(MONTH(Modelling_new[[#This Row],[Date]])&gt;=4,1,0)</f>
        <v>2025</v>
      </c>
      <c r="AB603" s="3">
        <f t="shared" si="226"/>
        <v>2024</v>
      </c>
      <c r="AC603" s="3" t="s">
        <v>627</v>
      </c>
      <c r="AD603" s="3" t="s">
        <v>627</v>
      </c>
      <c r="AE603" s="102">
        <f>DATE(Modelling_old[[#This Row],[Calendor Year]],Modelling_old[[#This Row],[Start Month]],1)</f>
        <v>45597</v>
      </c>
      <c r="AF603" s="5">
        <f t="shared" si="227"/>
        <v>30</v>
      </c>
      <c r="AG603" s="5">
        <f t="shared" si="228"/>
        <v>11</v>
      </c>
      <c r="AH603" s="4">
        <f>_xlfn.XLOOKUP(Modelling_new[[#This Row],[Month]],$AA$1:$AA$14,$AL$1:$AL$14)/Modelling_new[[#This Row],[Total Days]]</f>
        <v>61.403834681353906</v>
      </c>
      <c r="AI603" s="4">
        <f>SUM($AH$598:AH603)</f>
        <v>368.42300808812342</v>
      </c>
      <c r="AJ603" s="4">
        <f>SUM($AH$384:AH603)</f>
        <v>12416.936248065091</v>
      </c>
      <c r="AK603" s="4">
        <f t="shared" si="229"/>
        <v>6.4133333333333331</v>
      </c>
      <c r="AL603" s="4">
        <f>SUM($AK$598:AK603)</f>
        <v>38.479999999999997</v>
      </c>
      <c r="AM603" s="4">
        <f>SUM($AK$384:AK603)</f>
        <v>1194.3799999999951</v>
      </c>
      <c r="AN603" s="323">
        <f t="shared" si="230"/>
        <v>0.83233237102108171</v>
      </c>
      <c r="AO603" s="323">
        <f t="shared" si="231"/>
        <v>0.83233237102108171</v>
      </c>
      <c r="AP603" s="323">
        <f t="shared" si="232"/>
        <v>0.90376815302279145</v>
      </c>
      <c r="AQ603" s="323">
        <f t="shared" si="233"/>
        <v>0.22241770581174464</v>
      </c>
      <c r="AR603" s="323">
        <f>Modelling_new[[#This Row],[Target E_Grid MTD
MWh]]/Modelling_new[[#This Row],[MTD DC Capcity]]/(24*CG603)</f>
        <v>0.19988227435336559</v>
      </c>
      <c r="AS603" s="323">
        <f>Modelling_new[[#This Row],[Target E_Grid YTD
MWh]]/Modelling_new[[#This Row],[YTD DC Capcity]]/(24*CH603)</f>
        <v>0.18372597431440971</v>
      </c>
      <c r="AT603" s="5">
        <v>12.8</v>
      </c>
      <c r="AU603" s="9">
        <f>Modelling_new[[#This Row],[Comisined DC ]]/$AO$1</f>
        <v>1</v>
      </c>
      <c r="AV60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03" s="5">
        <f>AVERAGEIFS(Modelling_new[[Comisined DC ]],Modelling_new[Date],"&lt;="&amp;Modelling_new[[#This Row],[Date]],Modelling_new[[Comisined DC ]],"&gt;"&amp;0,Modelling_new[Finacial Year],Modelling_new[[#This Row],[Finacial Year]])</f>
        <v>12.800000000000026</v>
      </c>
      <c r="BD603" s="27">
        <f t="shared" si="239"/>
        <v>45602</v>
      </c>
      <c r="BE603" s="5">
        <f>MONTH(Modelling[[#This Row],[Date]])</f>
        <v>11</v>
      </c>
      <c r="BF603" s="25">
        <f>YEAR(BD603)+IF(MONTH(Modelling[[#This Row],[Date]])&gt;=4,1,0)</f>
        <v>2025</v>
      </c>
      <c r="BG603" s="3">
        <f t="shared" si="234"/>
        <v>2024</v>
      </c>
      <c r="BH603" s="3" t="s">
        <v>627</v>
      </c>
      <c r="BI603" s="3" t="s">
        <v>627</v>
      </c>
      <c r="BJ603" s="102">
        <f>DATE(Modelling_old[[#This Row],[Calendor Year]],Modelling_old[[#This Row],[Start Month]],1)</f>
        <v>45597</v>
      </c>
      <c r="BK603" s="5">
        <f t="shared" si="235"/>
        <v>30</v>
      </c>
      <c r="BL603" s="5">
        <f t="shared" si="236"/>
        <v>11</v>
      </c>
      <c r="BM603" s="4">
        <f>Modelling_old[[#This Row],[Target E_Grid daily
MWh]]+Modelling_new[[#This Row],[Target E_Grid daily
MWh]]</f>
        <v>112.48716801468724</v>
      </c>
      <c r="BN603" s="4">
        <f>Modelling_old[[#This Row],[Target E_Grid MTD
MWh]]+Modelling_new[[#This Row],[Target E_Grid MTD
MWh]]</f>
        <v>674.92300808812342</v>
      </c>
      <c r="BO603" s="4">
        <f>Modelling_old[[#This Row],[Target E_Grid YTD
MWh]]+Modelling_new[[#This Row],[Target E_Grid YTD
MWh]]</f>
        <v>21941.636248065079</v>
      </c>
      <c r="BP603" s="4">
        <f>AVERAGE(Modelling_old[[#This Row],[Target POA Daily (KWh/m2)]],Modelling_new[[#This Row],[Target POA Daily (KWh/m2)]])</f>
        <v>6.4133333333333331</v>
      </c>
      <c r="BQ603" s="4">
        <f>SUM($BP$598:BP603)</f>
        <v>38.479999999999997</v>
      </c>
      <c r="BR603" s="4">
        <f>SUM($BP$384:BP603)</f>
        <v>1194.3799999999951</v>
      </c>
      <c r="BS603" s="323">
        <f>BM603/Modelling[[#This Row],[Comisined DC ]]/BP603</f>
        <v>0.7217013143290083</v>
      </c>
      <c r="BT603" s="337">
        <f>BN603/BQ603/Modelling[[#This Row],[Comisined DC ]]</f>
        <v>0.72170131432900819</v>
      </c>
      <c r="BU603" s="337">
        <f>BO603/BR603/Modelling[[#This Row],[Comisined DC ]]</f>
        <v>0.75590081677897869</v>
      </c>
      <c r="BV603" s="323">
        <f>BM603/(24*Modelling[[#This Row],[Comisined DC ]])</f>
        <v>0.19285462899569608</v>
      </c>
      <c r="BW603" s="323">
        <f>Modelling[[#This Row],[Target E_Grid MTD
MWh]]/Modelling[[#This Row],[MTD DC Capcity]]/(24*CG603)</f>
        <v>0.19285462899569608</v>
      </c>
      <c r="BX603" s="338">
        <f>Modelling[[#This Row],[Target E_Grid YTD
MWh]]/Modelling[[#This Row],[YTD DC Capcity]]/(24*CH603)</f>
        <v>0.17099106392887697</v>
      </c>
      <c r="BY603" s="4">
        <f>Modelling_old[[#This Row],[DC Capcity]]+Modelling_new[[#This Row],[Comisined DC ]]</f>
        <v>24.303100000000001</v>
      </c>
      <c r="BZ603" s="4">
        <v>0</v>
      </c>
      <c r="CA603">
        <f>AVERAGEIFS(Modelling[[Comisined DC ]],Modelling[Date],"&lt;="&amp;Modelling[[#This Row],[Date]],Modelling[Month Year],Modelling[[#This Row],[Month Year]])</f>
        <v>24.303100000000001</v>
      </c>
      <c r="CB603">
        <f>AVERAGEIFS(Modelling[[Comisined DC ]],Modelling[Date],"&lt;="&amp;Modelling[[#This Row],[Date]],Modelling[Finacial Year],Modelling[[#This Row],[Finacial Year]])</f>
        <v>24.303100000000065</v>
      </c>
      <c r="CG603">
        <f t="shared" si="215"/>
        <v>6</v>
      </c>
      <c r="CH603">
        <f t="shared" si="237"/>
        <v>220</v>
      </c>
    </row>
    <row r="604" spans="1:86" x14ac:dyDescent="0.35">
      <c r="A604" s="27">
        <f t="shared" si="216"/>
        <v>45603</v>
      </c>
      <c r="B604" s="5">
        <f>MONTH(Modelling_old[[#This Row],[Date]])</f>
        <v>11</v>
      </c>
      <c r="C604" s="25">
        <f t="shared" si="217"/>
        <v>2025</v>
      </c>
      <c r="D604" s="3">
        <f t="shared" si="218"/>
        <v>2024</v>
      </c>
      <c r="E604" s="3" t="s">
        <v>627</v>
      </c>
      <c r="F604" s="3" t="s">
        <v>627</v>
      </c>
      <c r="G604" s="102">
        <f>DATE(Modelling_old[[#This Row],[Calendor Year]],Modelling_old[[#This Row],[Start Month]],1)</f>
        <v>45597</v>
      </c>
      <c r="H604" s="5">
        <f t="shared" si="219"/>
        <v>30</v>
      </c>
      <c r="I604" s="5">
        <f t="shared" si="220"/>
        <v>11</v>
      </c>
      <c r="J604" s="4">
        <f>_xlfn.XLOOKUP(Modelling_old[[#This Row],[Month]],$C$1:$C$14,$N$1:$N$14)/Modelling_old[[#This Row],[Total Days]]</f>
        <v>51.083333333333336</v>
      </c>
      <c r="K604" s="4">
        <f>SUM($J$598:J604)</f>
        <v>357.58333333333331</v>
      </c>
      <c r="L604" s="4">
        <f>SUM($J$384:J604)</f>
        <v>9575.7833333333238</v>
      </c>
      <c r="M604" s="4">
        <f t="shared" si="221"/>
        <v>6.4133333333333331</v>
      </c>
      <c r="N604" s="4">
        <f>SUM($M$598:M604)</f>
        <v>44.893333333333331</v>
      </c>
      <c r="O604" s="4">
        <f>SUM($M$384:M604)</f>
        <v>1200.7933333333285</v>
      </c>
      <c r="P604" s="323">
        <f t="shared" si="222"/>
        <v>0.69243740514963059</v>
      </c>
      <c r="Q604" s="337">
        <f t="shared" si="223"/>
        <v>0.69243740514963048</v>
      </c>
      <c r="R604" s="337">
        <f t="shared" si="224"/>
        <v>0.69325202619848336</v>
      </c>
      <c r="S604" s="323">
        <f t="shared" si="225"/>
        <v>0.18503466215387351</v>
      </c>
      <c r="T604" s="9">
        <f>Modelling_old[[#This Row],[Target E_Grid MTD
MWh]]/Modelling_old[[#This Row],[DC Capcity]]/(24*CG604)</f>
        <v>0.18503466215387349</v>
      </c>
      <c r="U604" s="338">
        <f>Modelling_old[[#This Row],[Target E_Grid YTD
MWh]]/Modelling_old[[#This Row],[DC Capcity]]/(24*CH604)</f>
        <v>0.15694804136104087</v>
      </c>
      <c r="V604" s="134">
        <v>11.5031</v>
      </c>
      <c r="Y604" s="27">
        <f t="shared" si="238"/>
        <v>45603</v>
      </c>
      <c r="Z604" s="5">
        <f>MONTH(Modelling_new[[#This Row],[Date]])</f>
        <v>11</v>
      </c>
      <c r="AA604" s="25">
        <f>YEAR(Y604)+IF(MONTH(Modelling_new[[#This Row],[Date]])&gt;=4,1,0)</f>
        <v>2025</v>
      </c>
      <c r="AB604" s="3">
        <f t="shared" si="226"/>
        <v>2024</v>
      </c>
      <c r="AC604" s="3" t="s">
        <v>627</v>
      </c>
      <c r="AD604" s="3" t="s">
        <v>627</v>
      </c>
      <c r="AE604" s="102">
        <f>DATE(Modelling_old[[#This Row],[Calendor Year]],Modelling_old[[#This Row],[Start Month]],1)</f>
        <v>45597</v>
      </c>
      <c r="AF604" s="5">
        <f t="shared" si="227"/>
        <v>30</v>
      </c>
      <c r="AG604" s="5">
        <f t="shared" si="228"/>
        <v>11</v>
      </c>
      <c r="AH604" s="4">
        <f>_xlfn.XLOOKUP(Modelling_new[[#This Row],[Month]],$AA$1:$AA$14,$AL$1:$AL$14)/Modelling_new[[#This Row],[Total Days]]</f>
        <v>61.403834681353906</v>
      </c>
      <c r="AI604" s="4">
        <f>SUM($AH$598:AH604)</f>
        <v>429.82684276947731</v>
      </c>
      <c r="AJ604" s="4">
        <f>SUM($AH$384:AH604)</f>
        <v>12478.340082746445</v>
      </c>
      <c r="AK604" s="4">
        <f t="shared" si="229"/>
        <v>6.4133333333333331</v>
      </c>
      <c r="AL604" s="4">
        <f>SUM($AK$598:AK604)</f>
        <v>44.893333333333331</v>
      </c>
      <c r="AM604" s="4">
        <f>SUM($AK$384:AK604)</f>
        <v>1200.7933333333285</v>
      </c>
      <c r="AN604" s="323">
        <f t="shared" si="230"/>
        <v>0.83233237102108171</v>
      </c>
      <c r="AO604" s="323">
        <f t="shared" si="231"/>
        <v>0.83233237102108171</v>
      </c>
      <c r="AP604" s="323">
        <f t="shared" si="232"/>
        <v>0.90338662068980236</v>
      </c>
      <c r="AQ604" s="323">
        <f t="shared" si="233"/>
        <v>0.22241770581174464</v>
      </c>
      <c r="AR604" s="323">
        <f>Modelling_new[[#This Row],[Target E_Grid MTD
MWh]]/Modelling_new[[#This Row],[MTD DC Capcity]]/(24*CG604)</f>
        <v>0.19988227435336561</v>
      </c>
      <c r="AS604" s="323">
        <f>Modelling_new[[#This Row],[Target E_Grid YTD
MWh]]/Modelling_new[[#This Row],[YTD DC Capcity]]/(24*CH604)</f>
        <v>0.18379907974445023</v>
      </c>
      <c r="AT604" s="5">
        <v>12.8</v>
      </c>
      <c r="AU604" s="9">
        <f>Modelling_new[[#This Row],[Comisined DC ]]/$AO$1</f>
        <v>1</v>
      </c>
      <c r="AV60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04" s="5">
        <f>AVERAGEIFS(Modelling_new[[Comisined DC ]],Modelling_new[Date],"&lt;="&amp;Modelling_new[[#This Row],[Date]],Modelling_new[[Comisined DC ]],"&gt;"&amp;0,Modelling_new[Finacial Year],Modelling_new[[#This Row],[Finacial Year]])</f>
        <v>12.800000000000026</v>
      </c>
      <c r="BD604" s="27">
        <f t="shared" si="239"/>
        <v>45603</v>
      </c>
      <c r="BE604" s="5">
        <f>MONTH(Modelling[[#This Row],[Date]])</f>
        <v>11</v>
      </c>
      <c r="BF604" s="25">
        <f>YEAR(BD604)+IF(MONTH(Modelling[[#This Row],[Date]])&gt;=4,1,0)</f>
        <v>2025</v>
      </c>
      <c r="BG604" s="3">
        <f t="shared" si="234"/>
        <v>2024</v>
      </c>
      <c r="BH604" s="3" t="s">
        <v>627</v>
      </c>
      <c r="BI604" s="3" t="s">
        <v>627</v>
      </c>
      <c r="BJ604" s="102">
        <f>DATE(Modelling_old[[#This Row],[Calendor Year]],Modelling_old[[#This Row],[Start Month]],1)</f>
        <v>45597</v>
      </c>
      <c r="BK604" s="5">
        <f t="shared" si="235"/>
        <v>30</v>
      </c>
      <c r="BL604" s="5">
        <f t="shared" si="236"/>
        <v>11</v>
      </c>
      <c r="BM604" s="4">
        <f>Modelling_old[[#This Row],[Target E_Grid daily
MWh]]+Modelling_new[[#This Row],[Target E_Grid daily
MWh]]</f>
        <v>112.48716801468724</v>
      </c>
      <c r="BN604" s="4">
        <f>Modelling_old[[#This Row],[Target E_Grid MTD
MWh]]+Modelling_new[[#This Row],[Target E_Grid MTD
MWh]]</f>
        <v>787.41017610281062</v>
      </c>
      <c r="BO604" s="4">
        <f>Modelling_old[[#This Row],[Target E_Grid YTD
MWh]]+Modelling_new[[#This Row],[Target E_Grid YTD
MWh]]</f>
        <v>22054.123416079769</v>
      </c>
      <c r="BP604" s="4">
        <f>AVERAGE(Modelling_old[[#This Row],[Target POA Daily (KWh/m2)]],Modelling_new[[#This Row],[Target POA Daily (KWh/m2)]])</f>
        <v>6.4133333333333331</v>
      </c>
      <c r="BQ604" s="4">
        <f>SUM($BP$598:BP604)</f>
        <v>44.893333333333331</v>
      </c>
      <c r="BR604" s="4">
        <f>SUM($BP$384:BP604)</f>
        <v>1200.7933333333285</v>
      </c>
      <c r="BS604" s="323">
        <f>BM604/Modelling[[#This Row],[Comisined DC ]]/BP604</f>
        <v>0.7217013143290083</v>
      </c>
      <c r="BT604" s="337">
        <f>BN604/BQ604/Modelling[[#This Row],[Comisined DC ]]</f>
        <v>0.72170131432900819</v>
      </c>
      <c r="BU604" s="337">
        <f>BO604/BR604/Modelling[[#This Row],[Comisined DC ]]</f>
        <v>0.75571816019440474</v>
      </c>
      <c r="BV604" s="323">
        <f>BM604/(24*Modelling[[#This Row],[Comisined DC ]])</f>
        <v>0.19285462899569608</v>
      </c>
      <c r="BW604" s="323">
        <f>Modelling[[#This Row],[Target E_Grid MTD
MWh]]/Modelling[[#This Row],[MTD DC Capcity]]/(24*CG604)</f>
        <v>0.19285462899569605</v>
      </c>
      <c r="BX604" s="338">
        <f>Modelling[[#This Row],[Target E_Grid YTD
MWh]]/Modelling[[#This Row],[YTD DC Capcity]]/(24*CH604)</f>
        <v>0.17108999408755038</v>
      </c>
      <c r="BY604" s="4">
        <f>Modelling_old[[#This Row],[DC Capcity]]+Modelling_new[[#This Row],[Comisined DC ]]</f>
        <v>24.303100000000001</v>
      </c>
      <c r="BZ604" s="4">
        <v>0</v>
      </c>
      <c r="CA604">
        <f>AVERAGEIFS(Modelling[[Comisined DC ]],Modelling[Date],"&lt;="&amp;Modelling[[#This Row],[Date]],Modelling[Month Year],Modelling[[#This Row],[Month Year]])</f>
        <v>24.303100000000001</v>
      </c>
      <c r="CB604">
        <f>AVERAGEIFS(Modelling[[Comisined DC ]],Modelling[Date],"&lt;="&amp;Modelling[[#This Row],[Date]],Modelling[Finacial Year],Modelling[[#This Row],[Finacial Year]])</f>
        <v>24.303100000000065</v>
      </c>
      <c r="CG604">
        <f t="shared" si="215"/>
        <v>7</v>
      </c>
      <c r="CH604">
        <f t="shared" si="237"/>
        <v>221</v>
      </c>
    </row>
    <row r="605" spans="1:86" x14ac:dyDescent="0.35">
      <c r="A605" s="27">
        <f t="shared" si="216"/>
        <v>45604</v>
      </c>
      <c r="B605" s="5">
        <f>MONTH(Modelling_old[[#This Row],[Date]])</f>
        <v>11</v>
      </c>
      <c r="C605" s="25">
        <f t="shared" si="217"/>
        <v>2025</v>
      </c>
      <c r="D605" s="3">
        <f t="shared" si="218"/>
        <v>2024</v>
      </c>
      <c r="E605" s="3" t="s">
        <v>627</v>
      </c>
      <c r="F605" s="3" t="s">
        <v>627</v>
      </c>
      <c r="G605" s="102">
        <f>DATE(Modelling_old[[#This Row],[Calendor Year]],Modelling_old[[#This Row],[Start Month]],1)</f>
        <v>45597</v>
      </c>
      <c r="H605" s="5">
        <f t="shared" si="219"/>
        <v>30</v>
      </c>
      <c r="I605" s="5">
        <f t="shared" si="220"/>
        <v>11</v>
      </c>
      <c r="J605" s="4">
        <f>_xlfn.XLOOKUP(Modelling_old[[#This Row],[Month]],$C$1:$C$14,$N$1:$N$14)/Modelling_old[[#This Row],[Total Days]]</f>
        <v>51.083333333333336</v>
      </c>
      <c r="K605" s="4">
        <f>SUM($J$598:J605)</f>
        <v>408.66666666666663</v>
      </c>
      <c r="L605" s="4">
        <f>SUM($J$384:J605)</f>
        <v>9626.8666666666577</v>
      </c>
      <c r="M605" s="4">
        <f t="shared" si="221"/>
        <v>6.4133333333333331</v>
      </c>
      <c r="N605" s="4">
        <f>SUM($M$598:M605)</f>
        <v>51.306666666666665</v>
      </c>
      <c r="O605" s="4">
        <f>SUM($M$384:M605)</f>
        <v>1207.2066666666619</v>
      </c>
      <c r="P605" s="323">
        <f t="shared" si="222"/>
        <v>0.69243740514963059</v>
      </c>
      <c r="Q605" s="337">
        <f t="shared" si="223"/>
        <v>0.69243740514963048</v>
      </c>
      <c r="R605" s="337">
        <f t="shared" si="224"/>
        <v>0.69324769849182721</v>
      </c>
      <c r="S605" s="323">
        <f t="shared" si="225"/>
        <v>0.18503466215387351</v>
      </c>
      <c r="T605" s="9">
        <f>Modelling_old[[#This Row],[Target E_Grid MTD
MWh]]/Modelling_old[[#This Row],[DC Capcity]]/(24*CG605)</f>
        <v>0.18503466215387346</v>
      </c>
      <c r="U605" s="338">
        <f>Modelling_old[[#This Row],[Target E_Grid YTD
MWh]]/Modelling_old[[#This Row],[DC Capcity]]/(24*CH605)</f>
        <v>0.15707455767091849</v>
      </c>
      <c r="V605" s="134">
        <v>11.5031</v>
      </c>
      <c r="Y605" s="27">
        <f t="shared" si="238"/>
        <v>45604</v>
      </c>
      <c r="Z605" s="5">
        <f>MONTH(Modelling_new[[#This Row],[Date]])</f>
        <v>11</v>
      </c>
      <c r="AA605" s="25">
        <f>YEAR(Y605)+IF(MONTH(Modelling_new[[#This Row],[Date]])&gt;=4,1,0)</f>
        <v>2025</v>
      </c>
      <c r="AB605" s="3">
        <f t="shared" si="226"/>
        <v>2024</v>
      </c>
      <c r="AC605" s="3" t="s">
        <v>627</v>
      </c>
      <c r="AD605" s="3" t="s">
        <v>627</v>
      </c>
      <c r="AE605" s="102">
        <f>DATE(Modelling_old[[#This Row],[Calendor Year]],Modelling_old[[#This Row],[Start Month]],1)</f>
        <v>45597</v>
      </c>
      <c r="AF605" s="5">
        <f t="shared" si="227"/>
        <v>30</v>
      </c>
      <c r="AG605" s="5">
        <f t="shared" si="228"/>
        <v>11</v>
      </c>
      <c r="AH605" s="4">
        <f>_xlfn.XLOOKUP(Modelling_new[[#This Row],[Month]],$AA$1:$AA$14,$AL$1:$AL$14)/Modelling_new[[#This Row],[Total Days]]</f>
        <v>61.403834681353906</v>
      </c>
      <c r="AI605" s="4">
        <f>SUM($AH$598:AH605)</f>
        <v>491.23067745083119</v>
      </c>
      <c r="AJ605" s="4">
        <f>SUM($AH$384:AH605)</f>
        <v>12539.743917427799</v>
      </c>
      <c r="AK605" s="4">
        <f t="shared" si="229"/>
        <v>6.4133333333333331</v>
      </c>
      <c r="AL605" s="4">
        <f>SUM($AK$598:AK605)</f>
        <v>51.306666666666665</v>
      </c>
      <c r="AM605" s="4">
        <f>SUM($AK$384:AK605)</f>
        <v>1207.2066666666619</v>
      </c>
      <c r="AN605" s="323">
        <f t="shared" si="230"/>
        <v>0.83233237102108171</v>
      </c>
      <c r="AO605" s="323">
        <f t="shared" si="231"/>
        <v>0.83233237102108171</v>
      </c>
      <c r="AP605" s="323">
        <f t="shared" si="232"/>
        <v>0.9030091421681391</v>
      </c>
      <c r="AQ605" s="323">
        <f t="shared" si="233"/>
        <v>0.22241770581174464</v>
      </c>
      <c r="AR605" s="323">
        <f>Modelling_new[[#This Row],[Target E_Grid MTD
MWh]]/Modelling_new[[#This Row],[MTD DC Capcity]]/(24*CG605)</f>
        <v>0.19988227435336559</v>
      </c>
      <c r="AS605" s="323">
        <f>Modelling_new[[#This Row],[Target E_Grid YTD
MWh]]/Modelling_new[[#This Row],[YTD DC Capcity]]/(24*CH605)</f>
        <v>0.18387152656701292</v>
      </c>
      <c r="AT605" s="5">
        <v>12.8</v>
      </c>
      <c r="AU605" s="9">
        <f>Modelling_new[[#This Row],[Comisined DC ]]/$AO$1</f>
        <v>1</v>
      </c>
      <c r="AV60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05" s="5">
        <f>AVERAGEIFS(Modelling_new[[Comisined DC ]],Modelling_new[Date],"&lt;="&amp;Modelling_new[[#This Row],[Date]],Modelling_new[[Comisined DC ]],"&gt;"&amp;0,Modelling_new[Finacial Year],Modelling_new[[#This Row],[Finacial Year]])</f>
        <v>12.800000000000026</v>
      </c>
      <c r="BD605" s="27">
        <f t="shared" si="239"/>
        <v>45604</v>
      </c>
      <c r="BE605" s="5">
        <f>MONTH(Modelling[[#This Row],[Date]])</f>
        <v>11</v>
      </c>
      <c r="BF605" s="25">
        <f>YEAR(BD605)+IF(MONTH(Modelling[[#This Row],[Date]])&gt;=4,1,0)</f>
        <v>2025</v>
      </c>
      <c r="BG605" s="3">
        <f t="shared" si="234"/>
        <v>2024</v>
      </c>
      <c r="BH605" s="3" t="s">
        <v>627</v>
      </c>
      <c r="BI605" s="3" t="s">
        <v>627</v>
      </c>
      <c r="BJ605" s="102">
        <f>DATE(Modelling_old[[#This Row],[Calendor Year]],Modelling_old[[#This Row],[Start Month]],1)</f>
        <v>45597</v>
      </c>
      <c r="BK605" s="5">
        <f t="shared" si="235"/>
        <v>30</v>
      </c>
      <c r="BL605" s="5">
        <f t="shared" si="236"/>
        <v>11</v>
      </c>
      <c r="BM605" s="4">
        <f>Modelling_old[[#This Row],[Target E_Grid daily
MWh]]+Modelling_new[[#This Row],[Target E_Grid daily
MWh]]</f>
        <v>112.48716801468724</v>
      </c>
      <c r="BN605" s="4">
        <f>Modelling_old[[#This Row],[Target E_Grid MTD
MWh]]+Modelling_new[[#This Row],[Target E_Grid MTD
MWh]]</f>
        <v>899.89734411749782</v>
      </c>
      <c r="BO605" s="4">
        <f>Modelling_old[[#This Row],[Target E_Grid YTD
MWh]]+Modelling_new[[#This Row],[Target E_Grid YTD
MWh]]</f>
        <v>22166.610584094458</v>
      </c>
      <c r="BP605" s="4">
        <f>AVERAGE(Modelling_old[[#This Row],[Target POA Daily (KWh/m2)]],Modelling_new[[#This Row],[Target POA Daily (KWh/m2)]])</f>
        <v>6.4133333333333331</v>
      </c>
      <c r="BQ605" s="4">
        <f>SUM($BP$598:BP605)</f>
        <v>51.306666666666665</v>
      </c>
      <c r="BR605" s="4">
        <f>SUM($BP$384:BP605)</f>
        <v>1207.2066666666619</v>
      </c>
      <c r="BS605" s="323">
        <f>BM605/Modelling[[#This Row],[Comisined DC ]]/BP605</f>
        <v>0.7217013143290083</v>
      </c>
      <c r="BT605" s="337">
        <f>BN605/BQ605/Modelling[[#This Row],[Comisined DC ]]</f>
        <v>0.72170131432900819</v>
      </c>
      <c r="BU605" s="337">
        <f>BO605/BR605/Modelling[[#This Row],[Comisined DC ]]</f>
        <v>0.75553744435054215</v>
      </c>
      <c r="BV605" s="323">
        <f>BM605/(24*Modelling[[#This Row],[Comisined DC ]])</f>
        <v>0.19285462899569608</v>
      </c>
      <c r="BW605" s="323">
        <f>Modelling[[#This Row],[Target E_Grid MTD
MWh]]/Modelling[[#This Row],[MTD DC Capcity]]/(24*CG605)</f>
        <v>0.19285462899569605</v>
      </c>
      <c r="BX605" s="338">
        <f>Modelling[[#This Row],[Target E_Grid YTD
MWh]]/Modelling[[#This Row],[YTD DC Capcity]]/(24*CH605)</f>
        <v>0.17118803298353305</v>
      </c>
      <c r="BY605" s="4">
        <f>Modelling_old[[#This Row],[DC Capcity]]+Modelling_new[[#This Row],[Comisined DC ]]</f>
        <v>24.303100000000001</v>
      </c>
      <c r="BZ605" s="4">
        <v>0</v>
      </c>
      <c r="CA605">
        <f>AVERAGEIFS(Modelling[[Comisined DC ]],Modelling[Date],"&lt;="&amp;Modelling[[#This Row],[Date]],Modelling[Month Year],Modelling[[#This Row],[Month Year]])</f>
        <v>24.303100000000001</v>
      </c>
      <c r="CB605">
        <f>AVERAGEIFS(Modelling[[Comisined DC ]],Modelling[Date],"&lt;="&amp;Modelling[[#This Row],[Date]],Modelling[Finacial Year],Modelling[[#This Row],[Finacial Year]])</f>
        <v>24.303100000000065</v>
      </c>
      <c r="CG605">
        <f t="shared" si="215"/>
        <v>8</v>
      </c>
      <c r="CH605">
        <f t="shared" si="237"/>
        <v>222</v>
      </c>
    </row>
    <row r="606" spans="1:86" x14ac:dyDescent="0.35">
      <c r="A606" s="27">
        <f t="shared" si="216"/>
        <v>45605</v>
      </c>
      <c r="B606" s="5">
        <f>MONTH(Modelling_old[[#This Row],[Date]])</f>
        <v>11</v>
      </c>
      <c r="C606" s="25">
        <f t="shared" si="217"/>
        <v>2025</v>
      </c>
      <c r="D606" s="3">
        <f t="shared" si="218"/>
        <v>2024</v>
      </c>
      <c r="E606" s="3" t="s">
        <v>627</v>
      </c>
      <c r="F606" s="3" t="s">
        <v>627</v>
      </c>
      <c r="G606" s="102">
        <f>DATE(Modelling_old[[#This Row],[Calendor Year]],Modelling_old[[#This Row],[Start Month]],1)</f>
        <v>45597</v>
      </c>
      <c r="H606" s="5">
        <f t="shared" si="219"/>
        <v>30</v>
      </c>
      <c r="I606" s="5">
        <f t="shared" si="220"/>
        <v>11</v>
      </c>
      <c r="J606" s="4">
        <f>_xlfn.XLOOKUP(Modelling_old[[#This Row],[Month]],$C$1:$C$14,$N$1:$N$14)/Modelling_old[[#This Row],[Total Days]]</f>
        <v>51.083333333333336</v>
      </c>
      <c r="K606" s="4">
        <f>SUM($J$598:J606)</f>
        <v>459.74999999999994</v>
      </c>
      <c r="L606" s="4">
        <f>SUM($J$384:J606)</f>
        <v>9677.9499999999916</v>
      </c>
      <c r="M606" s="4">
        <f t="shared" si="221"/>
        <v>6.4133333333333331</v>
      </c>
      <c r="N606" s="4">
        <f>SUM($M$598:M606)</f>
        <v>57.72</v>
      </c>
      <c r="O606" s="4">
        <f>SUM($M$384:M606)</f>
        <v>1213.6199999999953</v>
      </c>
      <c r="P606" s="323">
        <f t="shared" si="222"/>
        <v>0.69243740514963059</v>
      </c>
      <c r="Q606" s="337">
        <f t="shared" si="223"/>
        <v>0.69243740514963048</v>
      </c>
      <c r="R606" s="337">
        <f t="shared" si="224"/>
        <v>0.69324341652440635</v>
      </c>
      <c r="S606" s="323">
        <f t="shared" si="225"/>
        <v>0.18503466215387351</v>
      </c>
      <c r="T606" s="9">
        <f>Modelling_old[[#This Row],[Target E_Grid MTD
MWh]]/Modelling_old[[#This Row],[DC Capcity]]/(24*CG606)</f>
        <v>0.18503466215387349</v>
      </c>
      <c r="U606" s="338">
        <f>Modelling_old[[#This Row],[Target E_Grid YTD
MWh]]/Modelling_old[[#This Row],[DC Capcity]]/(24*CH606)</f>
        <v>0.15719993930537124</v>
      </c>
      <c r="V606" s="134">
        <v>11.5031</v>
      </c>
      <c r="Y606" s="27">
        <f t="shared" si="238"/>
        <v>45605</v>
      </c>
      <c r="Z606" s="5">
        <f>MONTH(Modelling_new[[#This Row],[Date]])</f>
        <v>11</v>
      </c>
      <c r="AA606" s="25">
        <f>YEAR(Y606)+IF(MONTH(Modelling_new[[#This Row],[Date]])&gt;=4,1,0)</f>
        <v>2025</v>
      </c>
      <c r="AB606" s="3">
        <f t="shared" si="226"/>
        <v>2024</v>
      </c>
      <c r="AC606" s="3" t="s">
        <v>627</v>
      </c>
      <c r="AD606" s="3" t="s">
        <v>627</v>
      </c>
      <c r="AE606" s="102">
        <f>DATE(Modelling_old[[#This Row],[Calendor Year]],Modelling_old[[#This Row],[Start Month]],1)</f>
        <v>45597</v>
      </c>
      <c r="AF606" s="5">
        <f t="shared" si="227"/>
        <v>30</v>
      </c>
      <c r="AG606" s="5">
        <f t="shared" si="228"/>
        <v>11</v>
      </c>
      <c r="AH606" s="4">
        <f>_xlfn.XLOOKUP(Modelling_new[[#This Row],[Month]],$AA$1:$AA$14,$AL$1:$AL$14)/Modelling_new[[#This Row],[Total Days]]</f>
        <v>61.403834681353906</v>
      </c>
      <c r="AI606" s="4">
        <f>SUM($AH$598:AH606)</f>
        <v>552.63451213218514</v>
      </c>
      <c r="AJ606" s="4">
        <f>SUM($AH$384:AH606)</f>
        <v>12601.147752109153</v>
      </c>
      <c r="AK606" s="4">
        <f t="shared" si="229"/>
        <v>6.4133333333333331</v>
      </c>
      <c r="AL606" s="4">
        <f>SUM($AK$598:AK606)</f>
        <v>57.72</v>
      </c>
      <c r="AM606" s="4">
        <f>SUM($AK$384:AK606)</f>
        <v>1213.6199999999953</v>
      </c>
      <c r="AN606" s="323">
        <f t="shared" si="230"/>
        <v>0.83233237102108171</v>
      </c>
      <c r="AO606" s="323">
        <f t="shared" si="231"/>
        <v>0.83233237102108171</v>
      </c>
      <c r="AP606" s="323">
        <f t="shared" si="232"/>
        <v>0.90263565319111994</v>
      </c>
      <c r="AQ606" s="323">
        <f t="shared" si="233"/>
        <v>0.22241770581174464</v>
      </c>
      <c r="AR606" s="323">
        <f>Modelling_new[[#This Row],[Target E_Grid MTD
MWh]]/Modelling_new[[#This Row],[MTD DC Capcity]]/(24*CG606)</f>
        <v>0.19988227435336561</v>
      </c>
      <c r="AS606" s="323">
        <f>Modelling_new[[#This Row],[Target E_Grid YTD
MWh]]/Modelling_new[[#This Row],[YTD DC Capcity]]/(24*CH606)</f>
        <v>0.18394332364228802</v>
      </c>
      <c r="AT606" s="5">
        <v>12.8</v>
      </c>
      <c r="AU606" s="9">
        <f>Modelling_new[[#This Row],[Comisined DC ]]/$AO$1</f>
        <v>1</v>
      </c>
      <c r="AV606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06" s="5">
        <f>AVERAGEIFS(Modelling_new[[Comisined DC ]],Modelling_new[Date],"&lt;="&amp;Modelling_new[[#This Row],[Date]],Modelling_new[[Comisined DC ]],"&gt;"&amp;0,Modelling_new[Finacial Year],Modelling_new[[#This Row],[Finacial Year]])</f>
        <v>12.800000000000027</v>
      </c>
      <c r="BD606" s="27">
        <f t="shared" si="239"/>
        <v>45605</v>
      </c>
      <c r="BE606" s="5">
        <f>MONTH(Modelling[[#This Row],[Date]])</f>
        <v>11</v>
      </c>
      <c r="BF606" s="25">
        <f>YEAR(BD606)+IF(MONTH(Modelling[[#This Row],[Date]])&gt;=4,1,0)</f>
        <v>2025</v>
      </c>
      <c r="BG606" s="3">
        <f t="shared" si="234"/>
        <v>2024</v>
      </c>
      <c r="BH606" s="3" t="s">
        <v>627</v>
      </c>
      <c r="BI606" s="3" t="s">
        <v>627</v>
      </c>
      <c r="BJ606" s="102">
        <f>DATE(Modelling_old[[#This Row],[Calendor Year]],Modelling_old[[#This Row],[Start Month]],1)</f>
        <v>45597</v>
      </c>
      <c r="BK606" s="5">
        <f t="shared" si="235"/>
        <v>30</v>
      </c>
      <c r="BL606" s="5">
        <f t="shared" si="236"/>
        <v>11</v>
      </c>
      <c r="BM606" s="4">
        <f>Modelling_old[[#This Row],[Target E_Grid daily
MWh]]+Modelling_new[[#This Row],[Target E_Grid daily
MWh]]</f>
        <v>112.48716801468724</v>
      </c>
      <c r="BN606" s="4">
        <f>Modelling_old[[#This Row],[Target E_Grid MTD
MWh]]+Modelling_new[[#This Row],[Target E_Grid MTD
MWh]]</f>
        <v>1012.3845121321851</v>
      </c>
      <c r="BO606" s="4">
        <f>Modelling_old[[#This Row],[Target E_Grid YTD
MWh]]+Modelling_new[[#This Row],[Target E_Grid YTD
MWh]]</f>
        <v>22279.097752109144</v>
      </c>
      <c r="BP606" s="4">
        <f>AVERAGE(Modelling_old[[#This Row],[Target POA Daily (KWh/m2)]],Modelling_new[[#This Row],[Target POA Daily (KWh/m2)]])</f>
        <v>6.4133333333333331</v>
      </c>
      <c r="BQ606" s="4">
        <f>SUM($BP$598:BP606)</f>
        <v>57.72</v>
      </c>
      <c r="BR606" s="4">
        <f>SUM($BP$384:BP606)</f>
        <v>1213.6199999999953</v>
      </c>
      <c r="BS606" s="323">
        <f>BM606/Modelling[[#This Row],[Comisined DC ]]/BP606</f>
        <v>0.7217013143290083</v>
      </c>
      <c r="BT606" s="337">
        <f>BN606/BQ606/Modelling[[#This Row],[Comisined DC ]]</f>
        <v>0.72170131432900819</v>
      </c>
      <c r="BU606" s="337">
        <f>BO606/BR606/Modelling[[#This Row],[Comisined DC ]]</f>
        <v>0.75535863848005691</v>
      </c>
      <c r="BV606" s="323">
        <f>BM606/(24*Modelling[[#This Row],[Comisined DC ]])</f>
        <v>0.19285462899569608</v>
      </c>
      <c r="BW606" s="323">
        <f>Modelling[[#This Row],[Target E_Grid MTD
MWh]]/Modelling[[#This Row],[MTD DC Capcity]]/(24*CG606)</f>
        <v>0.19285462899569608</v>
      </c>
      <c r="BX606" s="338">
        <f>Modelling[[#This Row],[Target E_Grid YTD
MWh]]/Modelling[[#This Row],[YTD DC Capcity]]/(24*CH606)</f>
        <v>0.17128519260690597</v>
      </c>
      <c r="BY606" s="4">
        <f>Modelling_old[[#This Row],[DC Capcity]]+Modelling_new[[#This Row],[Comisined DC ]]</f>
        <v>24.303100000000001</v>
      </c>
      <c r="BZ606" s="4">
        <v>0</v>
      </c>
      <c r="CA606">
        <f>AVERAGEIFS(Modelling[[Comisined DC ]],Modelling[Date],"&lt;="&amp;Modelling[[#This Row],[Date]],Modelling[Month Year],Modelling[[#This Row],[Month Year]])</f>
        <v>24.303100000000001</v>
      </c>
      <c r="CB606">
        <f>AVERAGEIFS(Modelling[[Comisined DC ]],Modelling[Date],"&lt;="&amp;Modelling[[#This Row],[Date]],Modelling[Finacial Year],Modelling[[#This Row],[Finacial Year]])</f>
        <v>24.303100000000065</v>
      </c>
      <c r="CG606">
        <f t="shared" si="215"/>
        <v>9</v>
      </c>
      <c r="CH606">
        <f t="shared" si="237"/>
        <v>223</v>
      </c>
    </row>
    <row r="607" spans="1:86" x14ac:dyDescent="0.35">
      <c r="A607" s="27">
        <f t="shared" si="216"/>
        <v>45606</v>
      </c>
      <c r="B607" s="5">
        <f>MONTH(Modelling_old[[#This Row],[Date]])</f>
        <v>11</v>
      </c>
      <c r="C607" s="25">
        <f t="shared" si="217"/>
        <v>2025</v>
      </c>
      <c r="D607" s="3">
        <f t="shared" si="218"/>
        <v>2024</v>
      </c>
      <c r="E607" s="3" t="s">
        <v>627</v>
      </c>
      <c r="F607" s="3" t="s">
        <v>627</v>
      </c>
      <c r="G607" s="102">
        <f>DATE(Modelling_old[[#This Row],[Calendor Year]],Modelling_old[[#This Row],[Start Month]],1)</f>
        <v>45597</v>
      </c>
      <c r="H607" s="5">
        <f t="shared" si="219"/>
        <v>30</v>
      </c>
      <c r="I607" s="5">
        <f t="shared" si="220"/>
        <v>11</v>
      </c>
      <c r="J607" s="4">
        <f>_xlfn.XLOOKUP(Modelling_old[[#This Row],[Month]],$C$1:$C$14,$N$1:$N$14)/Modelling_old[[#This Row],[Total Days]]</f>
        <v>51.083333333333336</v>
      </c>
      <c r="K607" s="4">
        <f>SUM($J$598:J607)</f>
        <v>510.83333333333326</v>
      </c>
      <c r="L607" s="4">
        <f>SUM($J$384:J607)</f>
        <v>9729.0333333333256</v>
      </c>
      <c r="M607" s="4">
        <f t="shared" si="221"/>
        <v>6.4133333333333331</v>
      </c>
      <c r="N607" s="4">
        <f>SUM($M$598:M607)</f>
        <v>64.133333333333326</v>
      </c>
      <c r="O607" s="4">
        <f>SUM($M$384:M607)</f>
        <v>1220.0333333333288</v>
      </c>
      <c r="P607" s="323">
        <f t="shared" si="222"/>
        <v>0.69243740514963059</v>
      </c>
      <c r="Q607" s="337">
        <f t="shared" si="223"/>
        <v>0.69243740514963048</v>
      </c>
      <c r="R607" s="337">
        <f t="shared" si="224"/>
        <v>0.69323917957491032</v>
      </c>
      <c r="S607" s="323">
        <f t="shared" si="225"/>
        <v>0.18503466215387351</v>
      </c>
      <c r="T607" s="9">
        <f>Modelling_old[[#This Row],[Target E_Grid MTD
MWh]]/Modelling_old[[#This Row],[DC Capcity]]/(24*CG607)</f>
        <v>0.18503466215387346</v>
      </c>
      <c r="U607" s="338">
        <f>Modelling_old[[#This Row],[Target E_Grid YTD
MWh]]/Modelling_old[[#This Row],[DC Capcity]]/(24*CH607)</f>
        <v>0.15732420146094492</v>
      </c>
      <c r="V607" s="134">
        <v>11.5031</v>
      </c>
      <c r="Y607" s="27">
        <f t="shared" si="238"/>
        <v>45606</v>
      </c>
      <c r="Z607" s="5">
        <f>MONTH(Modelling_new[[#This Row],[Date]])</f>
        <v>11</v>
      </c>
      <c r="AA607" s="25">
        <f>YEAR(Y607)+IF(MONTH(Modelling_new[[#This Row],[Date]])&gt;=4,1,0)</f>
        <v>2025</v>
      </c>
      <c r="AB607" s="3">
        <f t="shared" si="226"/>
        <v>2024</v>
      </c>
      <c r="AC607" s="3" t="s">
        <v>627</v>
      </c>
      <c r="AD607" s="3" t="s">
        <v>627</v>
      </c>
      <c r="AE607" s="102">
        <f>DATE(Modelling_old[[#This Row],[Calendor Year]],Modelling_old[[#This Row],[Start Month]],1)</f>
        <v>45597</v>
      </c>
      <c r="AF607" s="5">
        <f t="shared" si="227"/>
        <v>30</v>
      </c>
      <c r="AG607" s="5">
        <f t="shared" si="228"/>
        <v>11</v>
      </c>
      <c r="AH607" s="4">
        <f>_xlfn.XLOOKUP(Modelling_new[[#This Row],[Month]],$AA$1:$AA$14,$AL$1:$AL$14)/Modelling_new[[#This Row],[Total Days]]</f>
        <v>61.403834681353906</v>
      </c>
      <c r="AI607" s="4">
        <f>SUM($AH$598:AH607)</f>
        <v>614.03834681353908</v>
      </c>
      <c r="AJ607" s="4">
        <f>SUM($AH$384:AH607)</f>
        <v>12662.551586790507</v>
      </c>
      <c r="AK607" s="4">
        <f t="shared" si="229"/>
        <v>6.4133333333333331</v>
      </c>
      <c r="AL607" s="4">
        <f>SUM($AK$598:AK607)</f>
        <v>64.133333333333326</v>
      </c>
      <c r="AM607" s="4">
        <f>SUM($AK$384:AK607)</f>
        <v>1220.0333333333288</v>
      </c>
      <c r="AN607" s="323">
        <f t="shared" si="230"/>
        <v>0.83233237102108171</v>
      </c>
      <c r="AO607" s="323">
        <f t="shared" si="231"/>
        <v>0.83233237102108182</v>
      </c>
      <c r="AP607" s="323">
        <f t="shared" si="232"/>
        <v>0.90226609084338316</v>
      </c>
      <c r="AQ607" s="323">
        <f t="shared" si="233"/>
        <v>0.22241770581174464</v>
      </c>
      <c r="AR607" s="323">
        <f>Modelling_new[[#This Row],[Target E_Grid MTD
MWh]]/Modelling_new[[#This Row],[MTD DC Capcity]]/(24*CG607)</f>
        <v>0.19988227435336559</v>
      </c>
      <c r="AS607" s="323">
        <f>Modelling_new[[#This Row],[Target E_Grid YTD
MWh]]/Modelling_new[[#This Row],[YTD DC Capcity]]/(24*CH607)</f>
        <v>0.18401447967224818</v>
      </c>
      <c r="AT607" s="5">
        <v>12.8</v>
      </c>
      <c r="AU607" s="9">
        <f>Modelling_new[[#This Row],[Comisined DC ]]/$AO$1</f>
        <v>1</v>
      </c>
      <c r="AV607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07" s="5">
        <f>AVERAGEIFS(Modelling_new[[Comisined DC ]],Modelling_new[Date],"&lt;="&amp;Modelling_new[[#This Row],[Date]],Modelling_new[[Comisined DC ]],"&gt;"&amp;0,Modelling_new[Finacial Year],Modelling_new[[#This Row],[Finacial Year]])</f>
        <v>12.800000000000027</v>
      </c>
      <c r="BD607" s="27">
        <f t="shared" si="239"/>
        <v>45606</v>
      </c>
      <c r="BE607" s="5">
        <f>MONTH(Modelling[[#This Row],[Date]])</f>
        <v>11</v>
      </c>
      <c r="BF607" s="25">
        <f>YEAR(BD607)+IF(MONTH(Modelling[[#This Row],[Date]])&gt;=4,1,0)</f>
        <v>2025</v>
      </c>
      <c r="BG607" s="3">
        <f t="shared" si="234"/>
        <v>2024</v>
      </c>
      <c r="BH607" s="3" t="s">
        <v>627</v>
      </c>
      <c r="BI607" s="3" t="s">
        <v>627</v>
      </c>
      <c r="BJ607" s="102">
        <f>DATE(Modelling_old[[#This Row],[Calendor Year]],Modelling_old[[#This Row],[Start Month]],1)</f>
        <v>45597</v>
      </c>
      <c r="BK607" s="5">
        <f t="shared" si="235"/>
        <v>30</v>
      </c>
      <c r="BL607" s="5">
        <f t="shared" si="236"/>
        <v>11</v>
      </c>
      <c r="BM607" s="4">
        <f>Modelling_old[[#This Row],[Target E_Grid daily
MWh]]+Modelling_new[[#This Row],[Target E_Grid daily
MWh]]</f>
        <v>112.48716801468724</v>
      </c>
      <c r="BN607" s="4">
        <f>Modelling_old[[#This Row],[Target E_Grid MTD
MWh]]+Modelling_new[[#This Row],[Target E_Grid MTD
MWh]]</f>
        <v>1124.8716801468722</v>
      </c>
      <c r="BO607" s="4">
        <f>Modelling_old[[#This Row],[Target E_Grid YTD
MWh]]+Modelling_new[[#This Row],[Target E_Grid YTD
MWh]]</f>
        <v>22391.584920123831</v>
      </c>
      <c r="BP607" s="4">
        <f>AVERAGE(Modelling_old[[#This Row],[Target POA Daily (KWh/m2)]],Modelling_new[[#This Row],[Target POA Daily (KWh/m2)]])</f>
        <v>6.4133333333333331</v>
      </c>
      <c r="BQ607" s="4">
        <f>SUM($BP$598:BP607)</f>
        <v>64.133333333333326</v>
      </c>
      <c r="BR607" s="4">
        <f>SUM($BP$384:BP607)</f>
        <v>1220.0333333333288</v>
      </c>
      <c r="BS607" s="323">
        <f>BM607/Modelling[[#This Row],[Comisined DC ]]/BP607</f>
        <v>0.7217013143290083</v>
      </c>
      <c r="BT607" s="337">
        <f>BN607/BQ607/Modelling[[#This Row],[Comisined DC ]]</f>
        <v>0.72170131432900819</v>
      </c>
      <c r="BU607" s="337">
        <f>BO607/BR607/Modelling[[#This Row],[Comisined DC ]]</f>
        <v>0.75518171246255283</v>
      </c>
      <c r="BV607" s="323">
        <f>BM607/(24*Modelling[[#This Row],[Comisined DC ]])</f>
        <v>0.19285462899569608</v>
      </c>
      <c r="BW607" s="323">
        <f>Modelling[[#This Row],[Target E_Grid MTD
MWh]]/Modelling[[#This Row],[MTD DC Capcity]]/(24*CG607)</f>
        <v>0.19285462899569605</v>
      </c>
      <c r="BX607" s="338">
        <f>Modelling[[#This Row],[Target E_Grid YTD
MWh]]/Modelling[[#This Row],[YTD DC Capcity]]/(24*CH607)</f>
        <v>0.17138148473364162</v>
      </c>
      <c r="BY607" s="4">
        <f>Modelling_old[[#This Row],[DC Capcity]]+Modelling_new[[#This Row],[Comisined DC ]]</f>
        <v>24.303100000000001</v>
      </c>
      <c r="BZ607" s="4">
        <v>0</v>
      </c>
      <c r="CA607">
        <f>AVERAGEIFS(Modelling[[Comisined DC ]],Modelling[Date],"&lt;="&amp;Modelling[[#This Row],[Date]],Modelling[Month Year],Modelling[[#This Row],[Month Year]])</f>
        <v>24.303100000000001</v>
      </c>
      <c r="CB607">
        <f>AVERAGEIFS(Modelling[[Comisined DC ]],Modelling[Date],"&lt;="&amp;Modelling[[#This Row],[Date]],Modelling[Finacial Year],Modelling[[#This Row],[Finacial Year]])</f>
        <v>24.303100000000065</v>
      </c>
      <c r="CG607">
        <f t="shared" si="215"/>
        <v>10</v>
      </c>
      <c r="CH607">
        <f t="shared" si="237"/>
        <v>224</v>
      </c>
    </row>
    <row r="608" spans="1:86" x14ac:dyDescent="0.35">
      <c r="A608" s="27">
        <f t="shared" si="216"/>
        <v>45607</v>
      </c>
      <c r="B608" s="5">
        <f>MONTH(Modelling_old[[#This Row],[Date]])</f>
        <v>11</v>
      </c>
      <c r="C608" s="25">
        <f t="shared" si="217"/>
        <v>2025</v>
      </c>
      <c r="D608" s="3">
        <f t="shared" si="218"/>
        <v>2024</v>
      </c>
      <c r="E608" s="3" t="s">
        <v>627</v>
      </c>
      <c r="F608" s="3" t="s">
        <v>627</v>
      </c>
      <c r="G608" s="102">
        <f>DATE(Modelling_old[[#This Row],[Calendor Year]],Modelling_old[[#This Row],[Start Month]],1)</f>
        <v>45597</v>
      </c>
      <c r="H608" s="5">
        <f t="shared" si="219"/>
        <v>30</v>
      </c>
      <c r="I608" s="5">
        <f t="shared" si="220"/>
        <v>11</v>
      </c>
      <c r="J608" s="4">
        <f>_xlfn.XLOOKUP(Modelling_old[[#This Row],[Month]],$C$1:$C$14,$N$1:$N$14)/Modelling_old[[#This Row],[Total Days]]</f>
        <v>51.083333333333336</v>
      </c>
      <c r="K608" s="4">
        <f>SUM($J$598:J608)</f>
        <v>561.91666666666663</v>
      </c>
      <c r="L608" s="4">
        <f>SUM($J$384:J608)</f>
        <v>9780.1166666666595</v>
      </c>
      <c r="M608" s="4">
        <f t="shared" si="221"/>
        <v>6.4133333333333331</v>
      </c>
      <c r="N608" s="4">
        <f>SUM($M$598:M608)</f>
        <v>70.546666666666653</v>
      </c>
      <c r="O608" s="4">
        <f>SUM($M$384:M608)</f>
        <v>1226.4466666666622</v>
      </c>
      <c r="P608" s="323">
        <f t="shared" si="222"/>
        <v>0.69243740514963059</v>
      </c>
      <c r="Q608" s="337">
        <f t="shared" si="223"/>
        <v>0.6924374051496307</v>
      </c>
      <c r="R608" s="337">
        <f t="shared" si="224"/>
        <v>0.69323498693711594</v>
      </c>
      <c r="S608" s="323">
        <f t="shared" si="225"/>
        <v>0.18503466215387351</v>
      </c>
      <c r="T608" s="9">
        <f>Modelling_old[[#This Row],[Target E_Grid MTD
MWh]]/Modelling_old[[#This Row],[DC Capcity]]/(24*CG608)</f>
        <v>0.18503466215387349</v>
      </c>
      <c r="U608" s="338">
        <f>Modelling_old[[#This Row],[Target E_Grid YTD
MWh]]/Modelling_old[[#This Row],[DC Capcity]]/(24*CH608)</f>
        <v>0.1574473590640246</v>
      </c>
      <c r="V608" s="134">
        <v>11.5031</v>
      </c>
      <c r="Y608" s="27">
        <f t="shared" si="238"/>
        <v>45607</v>
      </c>
      <c r="Z608" s="5">
        <f>MONTH(Modelling_new[[#This Row],[Date]])</f>
        <v>11</v>
      </c>
      <c r="AA608" s="25">
        <f>YEAR(Y608)+IF(MONTH(Modelling_new[[#This Row],[Date]])&gt;=4,1,0)</f>
        <v>2025</v>
      </c>
      <c r="AB608" s="3">
        <f t="shared" si="226"/>
        <v>2024</v>
      </c>
      <c r="AC608" s="3" t="s">
        <v>627</v>
      </c>
      <c r="AD608" s="3" t="s">
        <v>627</v>
      </c>
      <c r="AE608" s="102">
        <f>DATE(Modelling_old[[#This Row],[Calendor Year]],Modelling_old[[#This Row],[Start Month]],1)</f>
        <v>45597</v>
      </c>
      <c r="AF608" s="5">
        <f t="shared" si="227"/>
        <v>30</v>
      </c>
      <c r="AG608" s="5">
        <f t="shared" si="228"/>
        <v>11</v>
      </c>
      <c r="AH608" s="4">
        <f>_xlfn.XLOOKUP(Modelling_new[[#This Row],[Month]],$AA$1:$AA$14,$AL$1:$AL$14)/Modelling_new[[#This Row],[Total Days]]</f>
        <v>61.403834681353906</v>
      </c>
      <c r="AI608" s="4">
        <f>SUM($AH$598:AH608)</f>
        <v>675.44218149489302</v>
      </c>
      <c r="AJ608" s="4">
        <f>SUM($AH$384:AH608)</f>
        <v>12723.955421471861</v>
      </c>
      <c r="AK608" s="4">
        <f t="shared" si="229"/>
        <v>6.4133333333333331</v>
      </c>
      <c r="AL608" s="4">
        <f>SUM($AK$598:AK608)</f>
        <v>70.546666666666653</v>
      </c>
      <c r="AM608" s="4">
        <f>SUM($AK$384:AK608)</f>
        <v>1226.4466666666622</v>
      </c>
      <c r="AN608" s="323">
        <f t="shared" si="230"/>
        <v>0.83233237102108171</v>
      </c>
      <c r="AO608" s="323">
        <f t="shared" si="231"/>
        <v>0.83233237102108193</v>
      </c>
      <c r="AP608" s="323">
        <f t="shared" si="232"/>
        <v>0.90190039352555407</v>
      </c>
      <c r="AQ608" s="323">
        <f t="shared" si="233"/>
        <v>0.22241770581174464</v>
      </c>
      <c r="AR608" s="323">
        <f>Modelling_new[[#This Row],[Target E_Grid MTD
MWh]]/Modelling_new[[#This Row],[MTD DC Capcity]]/(24*CG608)</f>
        <v>0.19988227435336561</v>
      </c>
      <c r="AS608" s="323">
        <f>Modelling_new[[#This Row],[Target E_Grid YTD
MWh]]/Modelling_new[[#This Row],[YTD DC Capcity]]/(24*CH608)</f>
        <v>0.18408500320416424</v>
      </c>
      <c r="AT608" s="5">
        <v>12.8</v>
      </c>
      <c r="AU608" s="9">
        <f>Modelling_new[[#This Row],[Comisined DC ]]/$AO$1</f>
        <v>1</v>
      </c>
      <c r="AV608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08" s="5">
        <f>AVERAGEIFS(Modelling_new[[Comisined DC ]],Modelling_new[Date],"&lt;="&amp;Modelling_new[[#This Row],[Date]],Modelling_new[[Comisined DC ]],"&gt;"&amp;0,Modelling_new[Finacial Year],Modelling_new[[#This Row],[Finacial Year]])</f>
        <v>12.800000000000029</v>
      </c>
      <c r="BD608" s="27">
        <f t="shared" si="239"/>
        <v>45607</v>
      </c>
      <c r="BE608" s="5">
        <f>MONTH(Modelling[[#This Row],[Date]])</f>
        <v>11</v>
      </c>
      <c r="BF608" s="25">
        <f>YEAR(BD608)+IF(MONTH(Modelling[[#This Row],[Date]])&gt;=4,1,0)</f>
        <v>2025</v>
      </c>
      <c r="BG608" s="3">
        <f t="shared" si="234"/>
        <v>2024</v>
      </c>
      <c r="BH608" s="3" t="s">
        <v>627</v>
      </c>
      <c r="BI608" s="3" t="s">
        <v>627</v>
      </c>
      <c r="BJ608" s="102">
        <f>DATE(Modelling_old[[#This Row],[Calendor Year]],Modelling_old[[#This Row],[Start Month]],1)</f>
        <v>45597</v>
      </c>
      <c r="BK608" s="5">
        <f t="shared" si="235"/>
        <v>30</v>
      </c>
      <c r="BL608" s="5">
        <f t="shared" si="236"/>
        <v>11</v>
      </c>
      <c r="BM608" s="4">
        <f>Modelling_old[[#This Row],[Target E_Grid daily
MWh]]+Modelling_new[[#This Row],[Target E_Grid daily
MWh]]</f>
        <v>112.48716801468724</v>
      </c>
      <c r="BN608" s="4">
        <f>Modelling_old[[#This Row],[Target E_Grid MTD
MWh]]+Modelling_new[[#This Row],[Target E_Grid MTD
MWh]]</f>
        <v>1237.3588481615598</v>
      </c>
      <c r="BO608" s="4">
        <f>Modelling_old[[#This Row],[Target E_Grid YTD
MWh]]+Modelling_new[[#This Row],[Target E_Grid YTD
MWh]]</f>
        <v>22504.07208813852</v>
      </c>
      <c r="BP608" s="4">
        <f>AVERAGE(Modelling_old[[#This Row],[Target POA Daily (KWh/m2)]],Modelling_new[[#This Row],[Target POA Daily (KWh/m2)]])</f>
        <v>6.4133333333333331</v>
      </c>
      <c r="BQ608" s="4">
        <f>SUM($BP$598:BP608)</f>
        <v>70.546666666666653</v>
      </c>
      <c r="BR608" s="4">
        <f>SUM($BP$384:BP608)</f>
        <v>1226.4466666666622</v>
      </c>
      <c r="BS608" s="323">
        <f>BM608/Modelling[[#This Row],[Comisined DC ]]/BP608</f>
        <v>0.7217013143290083</v>
      </c>
      <c r="BT608" s="337">
        <f>BN608/BQ608/Modelling[[#This Row],[Comisined DC ]]</f>
        <v>0.72170131432900841</v>
      </c>
      <c r="BU608" s="337">
        <f>BO608/BR608/Modelling[[#This Row],[Comisined DC ]]</f>
        <v>0.75500663680765567</v>
      </c>
      <c r="BV608" s="323">
        <f>BM608/(24*Modelling[[#This Row],[Comisined DC ]])</f>
        <v>0.19285462899569608</v>
      </c>
      <c r="BW608" s="323">
        <f>Modelling[[#This Row],[Target E_Grid MTD
MWh]]/Modelling[[#This Row],[MTD DC Capcity]]/(24*CG608)</f>
        <v>0.19285462899569608</v>
      </c>
      <c r="BX608" s="338">
        <f>Modelling[[#This Row],[Target E_Grid YTD
MWh]]/Modelling[[#This Row],[YTD DC Capcity]]/(24*CH608)</f>
        <v>0.17147692093036188</v>
      </c>
      <c r="BY608" s="4">
        <f>Modelling_old[[#This Row],[DC Capcity]]+Modelling_new[[#This Row],[Comisined DC ]]</f>
        <v>24.303100000000001</v>
      </c>
      <c r="BZ608" s="4">
        <v>0</v>
      </c>
      <c r="CA608">
        <f>AVERAGEIFS(Modelling[[Comisined DC ]],Modelling[Date],"&lt;="&amp;Modelling[[#This Row],[Date]],Modelling[Month Year],Modelling[[#This Row],[Month Year]])</f>
        <v>24.303100000000004</v>
      </c>
      <c r="CB608">
        <f>AVERAGEIFS(Modelling[[Comisined DC ]],Modelling[Date],"&lt;="&amp;Modelling[[#This Row],[Date]],Modelling[Finacial Year],Modelling[[#This Row],[Finacial Year]])</f>
        <v>24.303100000000065</v>
      </c>
      <c r="CG608">
        <f t="shared" si="215"/>
        <v>11</v>
      </c>
      <c r="CH608">
        <f t="shared" si="237"/>
        <v>225</v>
      </c>
    </row>
    <row r="609" spans="1:86" x14ac:dyDescent="0.35">
      <c r="A609" s="27">
        <f t="shared" si="216"/>
        <v>45608</v>
      </c>
      <c r="B609" s="5">
        <f>MONTH(Modelling_old[[#This Row],[Date]])</f>
        <v>11</v>
      </c>
      <c r="C609" s="25">
        <f t="shared" si="217"/>
        <v>2025</v>
      </c>
      <c r="D609" s="3">
        <f t="shared" si="218"/>
        <v>2024</v>
      </c>
      <c r="E609" s="3" t="s">
        <v>627</v>
      </c>
      <c r="F609" s="3" t="s">
        <v>627</v>
      </c>
      <c r="G609" s="102">
        <f>DATE(Modelling_old[[#This Row],[Calendor Year]],Modelling_old[[#This Row],[Start Month]],1)</f>
        <v>45597</v>
      </c>
      <c r="H609" s="5">
        <f t="shared" si="219"/>
        <v>30</v>
      </c>
      <c r="I609" s="5">
        <f t="shared" si="220"/>
        <v>11</v>
      </c>
      <c r="J609" s="4">
        <f>_xlfn.XLOOKUP(Modelling_old[[#This Row],[Month]],$C$1:$C$14,$N$1:$N$14)/Modelling_old[[#This Row],[Total Days]]</f>
        <v>51.083333333333336</v>
      </c>
      <c r="K609" s="4">
        <f>SUM($J$598:J609)</f>
        <v>613</v>
      </c>
      <c r="L609" s="4">
        <f>SUM($J$384:J609)</f>
        <v>9831.1999999999935</v>
      </c>
      <c r="M609" s="4">
        <f t="shared" si="221"/>
        <v>6.4133333333333331</v>
      </c>
      <c r="N609" s="4">
        <f>SUM($M$598:M609)</f>
        <v>76.95999999999998</v>
      </c>
      <c r="O609" s="4">
        <f>SUM($M$384:M609)</f>
        <v>1232.8599999999956</v>
      </c>
      <c r="P609" s="323">
        <f t="shared" si="222"/>
        <v>0.69243740514963059</v>
      </c>
      <c r="Q609" s="337">
        <f t="shared" si="223"/>
        <v>0.6924374051496307</v>
      </c>
      <c r="R609" s="337">
        <f t="shared" si="224"/>
        <v>0.69323083791949525</v>
      </c>
      <c r="S609" s="323">
        <f t="shared" si="225"/>
        <v>0.18503466215387351</v>
      </c>
      <c r="T609" s="9">
        <f>Modelling_old[[#This Row],[Target E_Grid MTD
MWh]]/Modelling_old[[#This Row],[DC Capcity]]/(24*CG609)</f>
        <v>0.18503466215387351</v>
      </c>
      <c r="U609" s="338">
        <f>Modelling_old[[#This Row],[Target E_Grid YTD
MWh]]/Modelling_old[[#This Row],[DC Capcity]]/(24*CH609)</f>
        <v>0.15756942677681154</v>
      </c>
      <c r="V609" s="134">
        <v>11.5031</v>
      </c>
      <c r="Y609" s="27">
        <f t="shared" si="238"/>
        <v>45608</v>
      </c>
      <c r="Z609" s="5">
        <f>MONTH(Modelling_new[[#This Row],[Date]])</f>
        <v>11</v>
      </c>
      <c r="AA609" s="25">
        <f>YEAR(Y609)+IF(MONTH(Modelling_new[[#This Row],[Date]])&gt;=4,1,0)</f>
        <v>2025</v>
      </c>
      <c r="AB609" s="3">
        <f t="shared" si="226"/>
        <v>2024</v>
      </c>
      <c r="AC609" s="3" t="s">
        <v>627</v>
      </c>
      <c r="AD609" s="3" t="s">
        <v>627</v>
      </c>
      <c r="AE609" s="102">
        <f>DATE(Modelling_old[[#This Row],[Calendor Year]],Modelling_old[[#This Row],[Start Month]],1)</f>
        <v>45597</v>
      </c>
      <c r="AF609" s="5">
        <f t="shared" si="227"/>
        <v>30</v>
      </c>
      <c r="AG609" s="5">
        <f t="shared" si="228"/>
        <v>11</v>
      </c>
      <c r="AH609" s="4">
        <f>_xlfn.XLOOKUP(Modelling_new[[#This Row],[Month]],$AA$1:$AA$14,$AL$1:$AL$14)/Modelling_new[[#This Row],[Total Days]]</f>
        <v>61.403834681353906</v>
      </c>
      <c r="AI609" s="4">
        <f>SUM($AH$598:AH609)</f>
        <v>736.84601617624696</v>
      </c>
      <c r="AJ609" s="4">
        <f>SUM($AH$384:AH609)</f>
        <v>12785.359256153215</v>
      </c>
      <c r="AK609" s="4">
        <f t="shared" si="229"/>
        <v>6.4133333333333331</v>
      </c>
      <c r="AL609" s="4">
        <f>SUM($AK$598:AK609)</f>
        <v>76.95999999999998</v>
      </c>
      <c r="AM609" s="4">
        <f>SUM($AK$384:AK609)</f>
        <v>1232.8599999999956</v>
      </c>
      <c r="AN609" s="323">
        <f t="shared" si="230"/>
        <v>0.83233237102108171</v>
      </c>
      <c r="AO609" s="323">
        <f t="shared" si="231"/>
        <v>0.83233237102108193</v>
      </c>
      <c r="AP609" s="323">
        <f t="shared" si="232"/>
        <v>0.9015385009200173</v>
      </c>
      <c r="AQ609" s="323">
        <f t="shared" si="233"/>
        <v>0.22241770581174464</v>
      </c>
      <c r="AR609" s="323">
        <f>Modelling_new[[#This Row],[Target E_Grid MTD
MWh]]/Modelling_new[[#This Row],[MTD DC Capcity]]/(24*CG609)</f>
        <v>0.19988227435336561</v>
      </c>
      <c r="AS609" s="323">
        <f>Modelling_new[[#This Row],[Target E_Grid YTD
MWh]]/Modelling_new[[#This Row],[YTD DC Capcity]]/(24*CH609)</f>
        <v>0.18415490263402795</v>
      </c>
      <c r="AT609" s="5">
        <v>12.8</v>
      </c>
      <c r="AU609" s="9">
        <f>Modelling_new[[#This Row],[Comisined DC ]]/$AO$1</f>
        <v>1</v>
      </c>
      <c r="AV609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09" s="5">
        <f>AVERAGEIFS(Modelling_new[[Comisined DC ]],Modelling_new[Date],"&lt;="&amp;Modelling_new[[#This Row],[Date]],Modelling_new[[Comisined DC ]],"&gt;"&amp;0,Modelling_new[Finacial Year],Modelling_new[[#This Row],[Finacial Year]])</f>
        <v>12.800000000000029</v>
      </c>
      <c r="BD609" s="27">
        <f t="shared" si="239"/>
        <v>45608</v>
      </c>
      <c r="BE609" s="5">
        <f>MONTH(Modelling[[#This Row],[Date]])</f>
        <v>11</v>
      </c>
      <c r="BF609" s="25">
        <f>YEAR(BD609)+IF(MONTH(Modelling[[#This Row],[Date]])&gt;=4,1,0)</f>
        <v>2025</v>
      </c>
      <c r="BG609" s="3">
        <f t="shared" si="234"/>
        <v>2024</v>
      </c>
      <c r="BH609" s="3" t="s">
        <v>627</v>
      </c>
      <c r="BI609" s="3" t="s">
        <v>627</v>
      </c>
      <c r="BJ609" s="102">
        <f>DATE(Modelling_old[[#This Row],[Calendor Year]],Modelling_old[[#This Row],[Start Month]],1)</f>
        <v>45597</v>
      </c>
      <c r="BK609" s="5">
        <f t="shared" si="235"/>
        <v>30</v>
      </c>
      <c r="BL609" s="5">
        <f t="shared" si="236"/>
        <v>11</v>
      </c>
      <c r="BM609" s="4">
        <f>Modelling_old[[#This Row],[Target E_Grid daily
MWh]]+Modelling_new[[#This Row],[Target E_Grid daily
MWh]]</f>
        <v>112.48716801468724</v>
      </c>
      <c r="BN609" s="4">
        <f>Modelling_old[[#This Row],[Target E_Grid MTD
MWh]]+Modelling_new[[#This Row],[Target E_Grid MTD
MWh]]</f>
        <v>1349.8460161762468</v>
      </c>
      <c r="BO609" s="4">
        <f>Modelling_old[[#This Row],[Target E_Grid YTD
MWh]]+Modelling_new[[#This Row],[Target E_Grid YTD
MWh]]</f>
        <v>22616.55925615321</v>
      </c>
      <c r="BP609" s="4">
        <f>AVERAGE(Modelling_old[[#This Row],[Target POA Daily (KWh/m2)]],Modelling_new[[#This Row],[Target POA Daily (KWh/m2)]])</f>
        <v>6.4133333333333331</v>
      </c>
      <c r="BQ609" s="4">
        <f>SUM($BP$598:BP609)</f>
        <v>76.95999999999998</v>
      </c>
      <c r="BR609" s="4">
        <f>SUM($BP$384:BP609)</f>
        <v>1232.8599999999956</v>
      </c>
      <c r="BS609" s="323">
        <f>BM609/Modelling[[#This Row],[Comisined DC ]]/BP609</f>
        <v>0.7217013143290083</v>
      </c>
      <c r="BT609" s="337">
        <f>BN609/BQ609/Modelling[[#This Row],[Comisined DC ]]</f>
        <v>0.72170131432900841</v>
      </c>
      <c r="BU609" s="337">
        <f>BO609/BR609/Modelling[[#This Row],[Comisined DC ]]</f>
        <v>0.7548333826386262</v>
      </c>
      <c r="BV609" s="323">
        <f>BM609/(24*Modelling[[#This Row],[Comisined DC ]])</f>
        <v>0.19285462899569608</v>
      </c>
      <c r="BW609" s="323">
        <f>Modelling[[#This Row],[Target E_Grid MTD
MWh]]/Modelling[[#This Row],[MTD DC Capcity]]/(24*CG609)</f>
        <v>0.19285462899569608</v>
      </c>
      <c r="BX609" s="338">
        <f>Modelling[[#This Row],[Target E_Grid YTD
MWh]]/Modelling[[#This Row],[YTD DC Capcity]]/(24*CH609)</f>
        <v>0.17157151255896957</v>
      </c>
      <c r="BY609" s="4">
        <f>Modelling_old[[#This Row],[DC Capcity]]+Modelling_new[[#This Row],[Comisined DC ]]</f>
        <v>24.303100000000001</v>
      </c>
      <c r="BZ609" s="4">
        <v>0</v>
      </c>
      <c r="CA609">
        <f>AVERAGEIFS(Modelling[[Comisined DC ]],Modelling[Date],"&lt;="&amp;Modelling[[#This Row],[Date]],Modelling[Month Year],Modelling[[#This Row],[Month Year]])</f>
        <v>24.303100000000001</v>
      </c>
      <c r="CB609">
        <f>AVERAGEIFS(Modelling[[Comisined DC ]],Modelling[Date],"&lt;="&amp;Modelling[[#This Row],[Date]],Modelling[Finacial Year],Modelling[[#This Row],[Finacial Year]])</f>
        <v>24.303100000000065</v>
      </c>
      <c r="CG609">
        <f t="shared" si="215"/>
        <v>12</v>
      </c>
      <c r="CH609">
        <f t="shared" si="237"/>
        <v>226</v>
      </c>
    </row>
    <row r="610" spans="1:86" x14ac:dyDescent="0.35">
      <c r="A610" s="27">
        <f t="shared" si="216"/>
        <v>45609</v>
      </c>
      <c r="B610" s="5">
        <f>MONTH(Modelling_old[[#This Row],[Date]])</f>
        <v>11</v>
      </c>
      <c r="C610" s="25">
        <f t="shared" si="217"/>
        <v>2025</v>
      </c>
      <c r="D610" s="3">
        <f t="shared" si="218"/>
        <v>2024</v>
      </c>
      <c r="E610" s="3" t="s">
        <v>627</v>
      </c>
      <c r="F610" s="3" t="s">
        <v>627</v>
      </c>
      <c r="G610" s="102">
        <f>DATE(Modelling_old[[#This Row],[Calendor Year]],Modelling_old[[#This Row],[Start Month]],1)</f>
        <v>45597</v>
      </c>
      <c r="H610" s="5">
        <f t="shared" si="219"/>
        <v>30</v>
      </c>
      <c r="I610" s="5">
        <f t="shared" si="220"/>
        <v>11</v>
      </c>
      <c r="J610" s="4">
        <f>_xlfn.XLOOKUP(Modelling_old[[#This Row],[Month]],$C$1:$C$14,$N$1:$N$14)/Modelling_old[[#This Row],[Total Days]]</f>
        <v>51.083333333333336</v>
      </c>
      <c r="K610" s="4">
        <f>SUM($J$598:J610)</f>
        <v>664.08333333333337</v>
      </c>
      <c r="L610" s="4">
        <f>SUM($J$384:J610)</f>
        <v>9882.2833333333274</v>
      </c>
      <c r="M610" s="4">
        <f t="shared" si="221"/>
        <v>6.4133333333333331</v>
      </c>
      <c r="N610" s="4">
        <f>SUM($M$598:M610)</f>
        <v>83.373333333333306</v>
      </c>
      <c r="O610" s="4">
        <f>SUM($M$384:M610)</f>
        <v>1239.273333333329</v>
      </c>
      <c r="P610" s="323">
        <f t="shared" si="222"/>
        <v>0.69243740514963059</v>
      </c>
      <c r="Q610" s="337">
        <f t="shared" si="223"/>
        <v>0.69243740514963081</v>
      </c>
      <c r="R610" s="337">
        <f t="shared" si="224"/>
        <v>0.6932267318448353</v>
      </c>
      <c r="S610" s="323">
        <f t="shared" si="225"/>
        <v>0.18503466215387351</v>
      </c>
      <c r="T610" s="9">
        <f>Modelling_old[[#This Row],[Target E_Grid MTD
MWh]]/Modelling_old[[#This Row],[DC Capcity]]/(24*CG610)</f>
        <v>0.18503466215387351</v>
      </c>
      <c r="U610" s="338">
        <f>Modelling_old[[#This Row],[Target E_Grid YTD
MWh]]/Modelling_old[[#This Row],[DC Capcity]]/(24*CH610)</f>
        <v>0.15769041900314223</v>
      </c>
      <c r="V610" s="134">
        <v>11.5031</v>
      </c>
      <c r="Y610" s="27">
        <f t="shared" si="238"/>
        <v>45609</v>
      </c>
      <c r="Z610" s="5">
        <f>MONTH(Modelling_new[[#This Row],[Date]])</f>
        <v>11</v>
      </c>
      <c r="AA610" s="25">
        <f>YEAR(Y610)+IF(MONTH(Modelling_new[[#This Row],[Date]])&gt;=4,1,0)</f>
        <v>2025</v>
      </c>
      <c r="AB610" s="3">
        <f t="shared" si="226"/>
        <v>2024</v>
      </c>
      <c r="AC610" s="3" t="s">
        <v>627</v>
      </c>
      <c r="AD610" s="3" t="s">
        <v>627</v>
      </c>
      <c r="AE610" s="102">
        <f>DATE(Modelling_old[[#This Row],[Calendor Year]],Modelling_old[[#This Row],[Start Month]],1)</f>
        <v>45597</v>
      </c>
      <c r="AF610" s="5">
        <f t="shared" si="227"/>
        <v>30</v>
      </c>
      <c r="AG610" s="5">
        <f t="shared" si="228"/>
        <v>11</v>
      </c>
      <c r="AH610" s="4">
        <f>_xlfn.XLOOKUP(Modelling_new[[#This Row],[Month]],$AA$1:$AA$14,$AL$1:$AL$14)/Modelling_new[[#This Row],[Total Days]]</f>
        <v>61.403834681353906</v>
      </c>
      <c r="AI610" s="4">
        <f>SUM($AH$598:AH610)</f>
        <v>798.2498508576009</v>
      </c>
      <c r="AJ610" s="4">
        <f>SUM($AH$384:AH610)</f>
        <v>12846.763090834569</v>
      </c>
      <c r="AK610" s="4">
        <f t="shared" si="229"/>
        <v>6.4133333333333331</v>
      </c>
      <c r="AL610" s="4">
        <f>SUM($AK$598:AK610)</f>
        <v>83.373333333333306</v>
      </c>
      <c r="AM610" s="4">
        <f>SUM($AK$384:AK610)</f>
        <v>1239.273333333329</v>
      </c>
      <c r="AN610" s="323">
        <f t="shared" si="230"/>
        <v>0.83233237102108171</v>
      </c>
      <c r="AO610" s="323">
        <f t="shared" si="231"/>
        <v>0.83233237102108215</v>
      </c>
      <c r="AP610" s="323">
        <f t="shared" si="232"/>
        <v>0.90118035395775031</v>
      </c>
      <c r="AQ610" s="323">
        <f t="shared" si="233"/>
        <v>0.22241770581174464</v>
      </c>
      <c r="AR610" s="323">
        <f>Modelling_new[[#This Row],[Target E_Grid MTD
MWh]]/Modelling_new[[#This Row],[MTD DC Capcity]]/(24*CG610)</f>
        <v>0.19988227435336561</v>
      </c>
      <c r="AS610" s="323">
        <f>Modelling_new[[#This Row],[Target E_Grid YTD
MWh]]/Modelling_new[[#This Row],[YTD DC Capcity]]/(24*CH610)</f>
        <v>0.18422418620988407</v>
      </c>
      <c r="AT610" s="5">
        <v>12.8</v>
      </c>
      <c r="AU610" s="9">
        <f>Modelling_new[[#This Row],[Comisined DC ]]/$AO$1</f>
        <v>1</v>
      </c>
      <c r="AV610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10" s="5">
        <f>AVERAGEIFS(Modelling_new[[Comisined DC ]],Modelling_new[Date],"&lt;="&amp;Modelling_new[[#This Row],[Date]],Modelling_new[[Comisined DC ]],"&gt;"&amp;0,Modelling_new[Finacial Year],Modelling_new[[#This Row],[Finacial Year]])</f>
        <v>12.800000000000029</v>
      </c>
      <c r="BD610" s="27">
        <f t="shared" si="239"/>
        <v>45609</v>
      </c>
      <c r="BE610" s="5">
        <f>MONTH(Modelling[[#This Row],[Date]])</f>
        <v>11</v>
      </c>
      <c r="BF610" s="25">
        <f>YEAR(BD610)+IF(MONTH(Modelling[[#This Row],[Date]])&gt;=4,1,0)</f>
        <v>2025</v>
      </c>
      <c r="BG610" s="3">
        <f t="shared" si="234"/>
        <v>2024</v>
      </c>
      <c r="BH610" s="3" t="s">
        <v>627</v>
      </c>
      <c r="BI610" s="3" t="s">
        <v>627</v>
      </c>
      <c r="BJ610" s="102">
        <f>DATE(Modelling_old[[#This Row],[Calendor Year]],Modelling_old[[#This Row],[Start Month]],1)</f>
        <v>45597</v>
      </c>
      <c r="BK610" s="5">
        <f t="shared" si="235"/>
        <v>30</v>
      </c>
      <c r="BL610" s="5">
        <f t="shared" si="236"/>
        <v>11</v>
      </c>
      <c r="BM610" s="4">
        <f>Modelling_old[[#This Row],[Target E_Grid daily
MWh]]+Modelling_new[[#This Row],[Target E_Grid daily
MWh]]</f>
        <v>112.48716801468724</v>
      </c>
      <c r="BN610" s="4">
        <f>Modelling_old[[#This Row],[Target E_Grid MTD
MWh]]+Modelling_new[[#This Row],[Target E_Grid MTD
MWh]]</f>
        <v>1462.3331841909344</v>
      </c>
      <c r="BO610" s="4">
        <f>Modelling_old[[#This Row],[Target E_Grid YTD
MWh]]+Modelling_new[[#This Row],[Target E_Grid YTD
MWh]]</f>
        <v>22729.046424167896</v>
      </c>
      <c r="BP610" s="4">
        <f>AVERAGE(Modelling_old[[#This Row],[Target POA Daily (KWh/m2)]],Modelling_new[[#This Row],[Target POA Daily (KWh/m2)]])</f>
        <v>6.4133333333333331</v>
      </c>
      <c r="BQ610" s="4">
        <f>SUM($BP$598:BP610)</f>
        <v>83.373333333333306</v>
      </c>
      <c r="BR610" s="4">
        <f>SUM($BP$384:BP610)</f>
        <v>1239.273333333329</v>
      </c>
      <c r="BS610" s="323">
        <f>BM610/Modelling[[#This Row],[Comisined DC ]]/BP610</f>
        <v>0.7217013143290083</v>
      </c>
      <c r="BT610" s="337">
        <f>BN610/BQ610/Modelling[[#This Row],[Comisined DC ]]</f>
        <v>0.72170131432900864</v>
      </c>
      <c r="BU610" s="337">
        <f>BO610/BR610/Modelling[[#This Row],[Comisined DC ]]</f>
        <v>0.75466192167648238</v>
      </c>
      <c r="BV610" s="323">
        <f>BM610/(24*Modelling[[#This Row],[Comisined DC ]])</f>
        <v>0.19285462899569608</v>
      </c>
      <c r="BW610" s="323">
        <f>Modelling[[#This Row],[Target E_Grid MTD
MWh]]/Modelling[[#This Row],[MTD DC Capcity]]/(24*CG610)</f>
        <v>0.19285462899569614</v>
      </c>
      <c r="BX610" s="338">
        <f>Modelling[[#This Row],[Target E_Grid YTD
MWh]]/Modelling[[#This Row],[YTD DC Capcity]]/(24*CH610)</f>
        <v>0.17166527078115779</v>
      </c>
      <c r="BY610" s="4">
        <f>Modelling_old[[#This Row],[DC Capcity]]+Modelling_new[[#This Row],[Comisined DC ]]</f>
        <v>24.303100000000001</v>
      </c>
      <c r="BZ610" s="4">
        <v>0</v>
      </c>
      <c r="CA610">
        <f>AVERAGEIFS(Modelling[[Comisined DC ]],Modelling[Date],"&lt;="&amp;Modelling[[#This Row],[Date]],Modelling[Month Year],Modelling[[#This Row],[Month Year]])</f>
        <v>24.303099999999997</v>
      </c>
      <c r="CB610">
        <f>AVERAGEIFS(Modelling[[Comisined DC ]],Modelling[Date],"&lt;="&amp;Modelling[[#This Row],[Date]],Modelling[Finacial Year],Modelling[[#This Row],[Finacial Year]])</f>
        <v>24.303100000000065</v>
      </c>
      <c r="CG610">
        <f t="shared" si="215"/>
        <v>13</v>
      </c>
      <c r="CH610">
        <f t="shared" si="237"/>
        <v>227</v>
      </c>
    </row>
    <row r="611" spans="1:86" x14ac:dyDescent="0.35">
      <c r="A611" s="27">
        <f t="shared" si="216"/>
        <v>45610</v>
      </c>
      <c r="B611" s="5">
        <f>MONTH(Modelling_old[[#This Row],[Date]])</f>
        <v>11</v>
      </c>
      <c r="C611" s="25">
        <f t="shared" si="217"/>
        <v>2025</v>
      </c>
      <c r="D611" s="3">
        <f t="shared" si="218"/>
        <v>2024</v>
      </c>
      <c r="E611" s="3" t="s">
        <v>627</v>
      </c>
      <c r="F611" s="3" t="s">
        <v>627</v>
      </c>
      <c r="G611" s="102">
        <f>DATE(Modelling_old[[#This Row],[Calendor Year]],Modelling_old[[#This Row],[Start Month]],1)</f>
        <v>45597</v>
      </c>
      <c r="H611" s="5">
        <f t="shared" si="219"/>
        <v>30</v>
      </c>
      <c r="I611" s="5">
        <f t="shared" si="220"/>
        <v>11</v>
      </c>
      <c r="J611" s="4">
        <f>_xlfn.XLOOKUP(Modelling_old[[#This Row],[Month]],$C$1:$C$14,$N$1:$N$14)/Modelling_old[[#This Row],[Total Days]]</f>
        <v>51.083333333333336</v>
      </c>
      <c r="K611" s="4">
        <f>SUM($J$598:J611)</f>
        <v>715.16666666666674</v>
      </c>
      <c r="L611" s="4">
        <f>SUM($J$384:J611)</f>
        <v>9933.3666666666613</v>
      </c>
      <c r="M611" s="4">
        <f t="shared" si="221"/>
        <v>6.4133333333333331</v>
      </c>
      <c r="N611" s="4">
        <f>SUM($M$598:M611)</f>
        <v>89.786666666666633</v>
      </c>
      <c r="O611" s="4">
        <f>SUM($M$384:M611)</f>
        <v>1245.6866666666624</v>
      </c>
      <c r="P611" s="323">
        <f t="shared" si="222"/>
        <v>0.69243740514963059</v>
      </c>
      <c r="Q611" s="337">
        <f t="shared" si="223"/>
        <v>0.69243740514963092</v>
      </c>
      <c r="R611" s="337">
        <f t="shared" si="224"/>
        <v>0.69322266804986932</v>
      </c>
      <c r="S611" s="323">
        <f t="shared" si="225"/>
        <v>0.18503466215387351</v>
      </c>
      <c r="T611" s="9">
        <f>Modelling_old[[#This Row],[Target E_Grid MTD
MWh]]/Modelling_old[[#This Row],[DC Capcity]]/(24*CG611)</f>
        <v>0.18503466215387351</v>
      </c>
      <c r="U611" s="338">
        <f>Modelling_old[[#This Row],[Target E_Grid YTD
MWh]]/Modelling_old[[#This Row],[DC Capcity]]/(24*CH611)</f>
        <v>0.15781034989415421</v>
      </c>
      <c r="V611" s="134">
        <v>11.5031</v>
      </c>
      <c r="Y611" s="27">
        <f t="shared" si="238"/>
        <v>45610</v>
      </c>
      <c r="Z611" s="5">
        <f>MONTH(Modelling_new[[#This Row],[Date]])</f>
        <v>11</v>
      </c>
      <c r="AA611" s="25">
        <f>YEAR(Y611)+IF(MONTH(Modelling_new[[#This Row],[Date]])&gt;=4,1,0)</f>
        <v>2025</v>
      </c>
      <c r="AB611" s="3">
        <f t="shared" si="226"/>
        <v>2024</v>
      </c>
      <c r="AC611" s="3" t="s">
        <v>627</v>
      </c>
      <c r="AD611" s="3" t="s">
        <v>627</v>
      </c>
      <c r="AE611" s="102">
        <f>DATE(Modelling_old[[#This Row],[Calendor Year]],Modelling_old[[#This Row],[Start Month]],1)</f>
        <v>45597</v>
      </c>
      <c r="AF611" s="5">
        <f t="shared" si="227"/>
        <v>30</v>
      </c>
      <c r="AG611" s="5">
        <f t="shared" si="228"/>
        <v>11</v>
      </c>
      <c r="AH611" s="4">
        <f>_xlfn.XLOOKUP(Modelling_new[[#This Row],[Month]],$AA$1:$AA$14,$AL$1:$AL$14)/Modelling_new[[#This Row],[Total Days]]</f>
        <v>61.403834681353906</v>
      </c>
      <c r="AI611" s="4">
        <f>SUM($AH$598:AH611)</f>
        <v>859.65368553895485</v>
      </c>
      <c r="AJ611" s="4">
        <f>SUM($AH$384:AH611)</f>
        <v>12908.166925515923</v>
      </c>
      <c r="AK611" s="4">
        <f t="shared" si="229"/>
        <v>6.4133333333333331</v>
      </c>
      <c r="AL611" s="4">
        <f>SUM($AK$598:AK611)</f>
        <v>89.786666666666633</v>
      </c>
      <c r="AM611" s="4">
        <f>SUM($AK$384:AK611)</f>
        <v>1245.6866666666624</v>
      </c>
      <c r="AN611" s="323">
        <f t="shared" si="230"/>
        <v>0.83233237102108171</v>
      </c>
      <c r="AO611" s="323">
        <f t="shared" si="231"/>
        <v>0.83233237102108215</v>
      </c>
      <c r="AP611" s="323">
        <f t="shared" si="232"/>
        <v>0.90082589478618169</v>
      </c>
      <c r="AQ611" s="323">
        <f t="shared" si="233"/>
        <v>0.22241770581174464</v>
      </c>
      <c r="AR611" s="323">
        <f>Modelling_new[[#This Row],[Target E_Grid MTD
MWh]]/Modelling_new[[#This Row],[MTD DC Capcity]]/(24*CG611)</f>
        <v>0.19988227435336561</v>
      </c>
      <c r="AS611" s="323">
        <f>Modelling_new[[#This Row],[Target E_Grid YTD
MWh]]/Modelling_new[[#This Row],[YTD DC Capcity]]/(24*CH611)</f>
        <v>0.18429286203507475</v>
      </c>
      <c r="AT611" s="5">
        <v>12.8</v>
      </c>
      <c r="AU611" s="9">
        <f>Modelling_new[[#This Row],[Comisined DC ]]/$AO$1</f>
        <v>1</v>
      </c>
      <c r="AV611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11" s="5">
        <f>AVERAGEIFS(Modelling_new[[Comisined DC ]],Modelling_new[Date],"&lt;="&amp;Modelling_new[[#This Row],[Date]],Modelling_new[[Comisined DC ]],"&gt;"&amp;0,Modelling_new[Finacial Year],Modelling_new[[#This Row],[Finacial Year]])</f>
        <v>12.800000000000031</v>
      </c>
      <c r="BD611" s="27">
        <f t="shared" si="239"/>
        <v>45610</v>
      </c>
      <c r="BE611" s="5">
        <f>MONTH(Modelling[[#This Row],[Date]])</f>
        <v>11</v>
      </c>
      <c r="BF611" s="25">
        <f>YEAR(BD611)+IF(MONTH(Modelling[[#This Row],[Date]])&gt;=4,1,0)</f>
        <v>2025</v>
      </c>
      <c r="BG611" s="3">
        <f t="shared" si="234"/>
        <v>2024</v>
      </c>
      <c r="BH611" s="3" t="s">
        <v>627</v>
      </c>
      <c r="BI611" s="3" t="s">
        <v>627</v>
      </c>
      <c r="BJ611" s="102">
        <f>DATE(Modelling_old[[#This Row],[Calendor Year]],Modelling_old[[#This Row],[Start Month]],1)</f>
        <v>45597</v>
      </c>
      <c r="BK611" s="5">
        <f t="shared" si="235"/>
        <v>30</v>
      </c>
      <c r="BL611" s="5">
        <f t="shared" si="236"/>
        <v>11</v>
      </c>
      <c r="BM611" s="4">
        <f>Modelling_old[[#This Row],[Target E_Grid daily
MWh]]+Modelling_new[[#This Row],[Target E_Grid daily
MWh]]</f>
        <v>112.48716801468724</v>
      </c>
      <c r="BN611" s="4">
        <f>Modelling_old[[#This Row],[Target E_Grid MTD
MWh]]+Modelling_new[[#This Row],[Target E_Grid MTD
MWh]]</f>
        <v>1574.8203522056215</v>
      </c>
      <c r="BO611" s="4">
        <f>Modelling_old[[#This Row],[Target E_Grid YTD
MWh]]+Modelling_new[[#This Row],[Target E_Grid YTD
MWh]]</f>
        <v>22841.533592182583</v>
      </c>
      <c r="BP611" s="4">
        <f>AVERAGE(Modelling_old[[#This Row],[Target POA Daily (KWh/m2)]],Modelling_new[[#This Row],[Target POA Daily (KWh/m2)]])</f>
        <v>6.4133333333333331</v>
      </c>
      <c r="BQ611" s="4">
        <f>SUM($BP$598:BP611)</f>
        <v>89.786666666666633</v>
      </c>
      <c r="BR611" s="4">
        <f>SUM($BP$384:BP611)</f>
        <v>1245.6866666666624</v>
      </c>
      <c r="BS611" s="323">
        <f>BM611/Modelling[[#This Row],[Comisined DC ]]/BP611</f>
        <v>0.7217013143290083</v>
      </c>
      <c r="BT611" s="337">
        <f>BN611/BQ611/Modelling[[#This Row],[Comisined DC ]]</f>
        <v>0.72170131432900853</v>
      </c>
      <c r="BU611" s="337">
        <f>BO611/BR611/Modelling[[#This Row],[Comisined DC ]]</f>
        <v>0.75449222622461243</v>
      </c>
      <c r="BV611" s="323">
        <f>BM611/(24*Modelling[[#This Row],[Comisined DC ]])</f>
        <v>0.19285462899569608</v>
      </c>
      <c r="BW611" s="323">
        <f>Modelling[[#This Row],[Target E_Grid MTD
MWh]]/Modelling[[#This Row],[MTD DC Capcity]]/(24*CG611)</f>
        <v>0.19285462899569614</v>
      </c>
      <c r="BX611" s="338">
        <f>Modelling[[#This Row],[Target E_Grid YTD
MWh]]/Modelling[[#This Row],[YTD DC Capcity]]/(24*CH611)</f>
        <v>0.1717582065628005</v>
      </c>
      <c r="BY611" s="4">
        <f>Modelling_old[[#This Row],[DC Capcity]]+Modelling_new[[#This Row],[Comisined DC ]]</f>
        <v>24.303100000000001</v>
      </c>
      <c r="BZ611" s="4">
        <v>0</v>
      </c>
      <c r="CA611">
        <f>AVERAGEIFS(Modelling[[Comisined DC ]],Modelling[Date],"&lt;="&amp;Modelling[[#This Row],[Date]],Modelling[Month Year],Modelling[[#This Row],[Month Year]])</f>
        <v>24.303099999999997</v>
      </c>
      <c r="CB611">
        <f>AVERAGEIFS(Modelling[[Comisined DC ]],Modelling[Date],"&lt;="&amp;Modelling[[#This Row],[Date]],Modelling[Finacial Year],Modelling[[#This Row],[Finacial Year]])</f>
        <v>24.303100000000065</v>
      </c>
      <c r="CG611">
        <f t="shared" si="215"/>
        <v>14</v>
      </c>
      <c r="CH611">
        <f t="shared" si="237"/>
        <v>228</v>
      </c>
    </row>
    <row r="612" spans="1:86" x14ac:dyDescent="0.35">
      <c r="A612" s="27">
        <f t="shared" si="216"/>
        <v>45611</v>
      </c>
      <c r="B612" s="5">
        <f>MONTH(Modelling_old[[#This Row],[Date]])</f>
        <v>11</v>
      </c>
      <c r="C612" s="25">
        <f t="shared" si="217"/>
        <v>2025</v>
      </c>
      <c r="D612" s="3">
        <f t="shared" si="218"/>
        <v>2024</v>
      </c>
      <c r="E612" s="3" t="s">
        <v>627</v>
      </c>
      <c r="F612" s="3" t="s">
        <v>627</v>
      </c>
      <c r="G612" s="102">
        <f>DATE(Modelling_old[[#This Row],[Calendor Year]],Modelling_old[[#This Row],[Start Month]],1)</f>
        <v>45597</v>
      </c>
      <c r="H612" s="5">
        <f t="shared" si="219"/>
        <v>30</v>
      </c>
      <c r="I612" s="5">
        <f t="shared" si="220"/>
        <v>11</v>
      </c>
      <c r="J612" s="4">
        <f>_xlfn.XLOOKUP(Modelling_old[[#This Row],[Month]],$C$1:$C$14,$N$1:$N$14)/Modelling_old[[#This Row],[Total Days]]</f>
        <v>51.083333333333336</v>
      </c>
      <c r="K612" s="4">
        <f>SUM($J$598:J612)</f>
        <v>766.25000000000011</v>
      </c>
      <c r="L612" s="4">
        <f>SUM($J$384:J612)</f>
        <v>9984.4499999999953</v>
      </c>
      <c r="M612" s="4">
        <f t="shared" si="221"/>
        <v>6.4133333333333331</v>
      </c>
      <c r="N612" s="4">
        <f>SUM($M$598:M612)</f>
        <v>96.19999999999996</v>
      </c>
      <c r="O612" s="4">
        <f>SUM($M$384:M612)</f>
        <v>1252.0999999999958</v>
      </c>
      <c r="P612" s="323">
        <f t="shared" si="222"/>
        <v>0.69243740514963059</v>
      </c>
      <c r="Q612" s="337">
        <f t="shared" si="223"/>
        <v>0.69243740514963092</v>
      </c>
      <c r="R612" s="337">
        <f t="shared" si="224"/>
        <v>0.69321864588491955</v>
      </c>
      <c r="S612" s="323">
        <f t="shared" si="225"/>
        <v>0.18503466215387351</v>
      </c>
      <c r="T612" s="9">
        <f>Modelling_old[[#This Row],[Target E_Grid MTD
MWh]]/Modelling_old[[#This Row],[DC Capcity]]/(24*CG612)</f>
        <v>0.18503466215387354</v>
      </c>
      <c r="U612" s="338">
        <f>Modelling_old[[#This Row],[Target E_Grid YTD
MWh]]/Modelling_old[[#This Row],[DC Capcity]]/(24*CH612)</f>
        <v>0.15792923335380366</v>
      </c>
      <c r="V612" s="134">
        <v>11.5031</v>
      </c>
      <c r="Y612" s="27">
        <f t="shared" si="238"/>
        <v>45611</v>
      </c>
      <c r="Z612" s="5">
        <f>MONTH(Modelling_new[[#This Row],[Date]])</f>
        <v>11</v>
      </c>
      <c r="AA612" s="25">
        <f>YEAR(Y612)+IF(MONTH(Modelling_new[[#This Row],[Date]])&gt;=4,1,0)</f>
        <v>2025</v>
      </c>
      <c r="AB612" s="3">
        <f t="shared" si="226"/>
        <v>2024</v>
      </c>
      <c r="AC612" s="3" t="s">
        <v>627</v>
      </c>
      <c r="AD612" s="3" t="s">
        <v>627</v>
      </c>
      <c r="AE612" s="102">
        <f>DATE(Modelling_old[[#This Row],[Calendor Year]],Modelling_old[[#This Row],[Start Month]],1)</f>
        <v>45597</v>
      </c>
      <c r="AF612" s="5">
        <f t="shared" si="227"/>
        <v>30</v>
      </c>
      <c r="AG612" s="5">
        <f t="shared" si="228"/>
        <v>11</v>
      </c>
      <c r="AH612" s="4">
        <f>_xlfn.XLOOKUP(Modelling_new[[#This Row],[Month]],$AA$1:$AA$14,$AL$1:$AL$14)/Modelling_new[[#This Row],[Total Days]]</f>
        <v>61.403834681353906</v>
      </c>
      <c r="AI612" s="4">
        <f>SUM($AH$598:AH612)</f>
        <v>921.05752022030879</v>
      </c>
      <c r="AJ612" s="4">
        <f>SUM($AH$384:AH612)</f>
        <v>12969.570760197277</v>
      </c>
      <c r="AK612" s="4">
        <f t="shared" si="229"/>
        <v>6.4133333333333331</v>
      </c>
      <c r="AL612" s="4">
        <f>SUM($AK$598:AK612)</f>
        <v>96.19999999999996</v>
      </c>
      <c r="AM612" s="4">
        <f>SUM($AK$384:AK612)</f>
        <v>1252.0999999999958</v>
      </c>
      <c r="AN612" s="323">
        <f t="shared" si="230"/>
        <v>0.83233237102108171</v>
      </c>
      <c r="AO612" s="323">
        <f t="shared" si="231"/>
        <v>0.83233237102108226</v>
      </c>
      <c r="AP612" s="323">
        <f t="shared" si="232"/>
        <v>0.90047506673803845</v>
      </c>
      <c r="AQ612" s="323">
        <f t="shared" si="233"/>
        <v>0.22241770581174464</v>
      </c>
      <c r="AR612" s="323">
        <f>Modelling_new[[#This Row],[Target E_Grid MTD
MWh]]/Modelling_new[[#This Row],[MTD DC Capcity]]/(24*CG612)</f>
        <v>0.19988227435336559</v>
      </c>
      <c r="AS612" s="323">
        <f>Modelling_new[[#This Row],[Target E_Grid YTD
MWh]]/Modelling_new[[#This Row],[YTD DC Capcity]]/(24*CH612)</f>
        <v>0.18436093807139917</v>
      </c>
      <c r="AT612" s="5">
        <v>12.8</v>
      </c>
      <c r="AU612" s="9">
        <f>Modelling_new[[#This Row],[Comisined DC ]]/$AO$1</f>
        <v>1</v>
      </c>
      <c r="AV612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12" s="5">
        <f>AVERAGEIFS(Modelling_new[[Comisined DC ]],Modelling_new[Date],"&lt;="&amp;Modelling_new[[#This Row],[Date]],Modelling_new[[Comisined DC ]],"&gt;"&amp;0,Modelling_new[Finacial Year],Modelling_new[[#This Row],[Finacial Year]])</f>
        <v>12.800000000000031</v>
      </c>
      <c r="BD612" s="27">
        <f t="shared" si="239"/>
        <v>45611</v>
      </c>
      <c r="BE612" s="5">
        <f>MONTH(Modelling[[#This Row],[Date]])</f>
        <v>11</v>
      </c>
      <c r="BF612" s="25">
        <f>YEAR(BD612)+IF(MONTH(Modelling[[#This Row],[Date]])&gt;=4,1,0)</f>
        <v>2025</v>
      </c>
      <c r="BG612" s="3">
        <f t="shared" si="234"/>
        <v>2024</v>
      </c>
      <c r="BH612" s="3" t="s">
        <v>627</v>
      </c>
      <c r="BI612" s="3" t="s">
        <v>627</v>
      </c>
      <c r="BJ612" s="102">
        <f>DATE(Modelling_old[[#This Row],[Calendor Year]],Modelling_old[[#This Row],[Start Month]],1)</f>
        <v>45597</v>
      </c>
      <c r="BK612" s="5">
        <f t="shared" si="235"/>
        <v>30</v>
      </c>
      <c r="BL612" s="5">
        <f t="shared" si="236"/>
        <v>11</v>
      </c>
      <c r="BM612" s="4">
        <f>Modelling_old[[#This Row],[Target E_Grid daily
MWh]]+Modelling_new[[#This Row],[Target E_Grid daily
MWh]]</f>
        <v>112.48716801468724</v>
      </c>
      <c r="BN612" s="4">
        <f>Modelling_old[[#This Row],[Target E_Grid MTD
MWh]]+Modelling_new[[#This Row],[Target E_Grid MTD
MWh]]</f>
        <v>1687.307520220309</v>
      </c>
      <c r="BO612" s="4">
        <f>Modelling_old[[#This Row],[Target E_Grid YTD
MWh]]+Modelling_new[[#This Row],[Target E_Grid YTD
MWh]]</f>
        <v>22954.020760197272</v>
      </c>
      <c r="BP612" s="4">
        <f>AVERAGE(Modelling_old[[#This Row],[Target POA Daily (KWh/m2)]],Modelling_new[[#This Row],[Target POA Daily (KWh/m2)]])</f>
        <v>6.4133333333333331</v>
      </c>
      <c r="BQ612" s="4">
        <f>SUM($BP$598:BP612)</f>
        <v>96.19999999999996</v>
      </c>
      <c r="BR612" s="4">
        <f>SUM($BP$384:BP612)</f>
        <v>1252.0999999999958</v>
      </c>
      <c r="BS612" s="323">
        <f>BM612/Modelling[[#This Row],[Comisined DC ]]/BP612</f>
        <v>0.7217013143290083</v>
      </c>
      <c r="BT612" s="337">
        <f>BN612/BQ612/Modelling[[#This Row],[Comisined DC ]]</f>
        <v>0.72170131432900864</v>
      </c>
      <c r="BU612" s="337">
        <f>BO612/BR612/Modelling[[#This Row],[Comisined DC ]]</f>
        <v>0.75432426915385886</v>
      </c>
      <c r="BV612" s="323">
        <f>BM612/(24*Modelling[[#This Row],[Comisined DC ]])</f>
        <v>0.19285462899569608</v>
      </c>
      <c r="BW612" s="323">
        <f>Modelling[[#This Row],[Target E_Grid MTD
MWh]]/Modelling[[#This Row],[MTD DC Capcity]]/(24*CG612)</f>
        <v>0.19285462899569619</v>
      </c>
      <c r="BX612" s="338">
        <f>Modelling[[#This Row],[Target E_Grid YTD
MWh]]/Modelling[[#This Row],[YTD DC Capcity]]/(24*CH612)</f>
        <v>0.171850330678228</v>
      </c>
      <c r="BY612" s="4">
        <f>Modelling_old[[#This Row],[DC Capcity]]+Modelling_new[[#This Row],[Comisined DC ]]</f>
        <v>24.303100000000001</v>
      </c>
      <c r="BZ612" s="4">
        <v>0</v>
      </c>
      <c r="CA612">
        <f>AVERAGEIFS(Modelling[[Comisined DC ]],Modelling[Date],"&lt;="&amp;Modelling[[#This Row],[Date]],Modelling[Month Year],Modelling[[#This Row],[Month Year]])</f>
        <v>24.303099999999993</v>
      </c>
      <c r="CB612">
        <f>AVERAGEIFS(Modelling[[Comisined DC ]],Modelling[Date],"&lt;="&amp;Modelling[[#This Row],[Date]],Modelling[Finacial Year],Modelling[[#This Row],[Finacial Year]])</f>
        <v>24.303100000000065</v>
      </c>
      <c r="CG612">
        <f t="shared" si="215"/>
        <v>15</v>
      </c>
      <c r="CH612">
        <f t="shared" si="237"/>
        <v>229</v>
      </c>
    </row>
    <row r="613" spans="1:86" x14ac:dyDescent="0.35">
      <c r="A613" s="27">
        <f t="shared" si="216"/>
        <v>45612</v>
      </c>
      <c r="B613" s="5">
        <f>MONTH(Modelling_old[[#This Row],[Date]])</f>
        <v>11</v>
      </c>
      <c r="C613" s="25">
        <f t="shared" si="217"/>
        <v>2025</v>
      </c>
      <c r="D613" s="3">
        <f t="shared" si="218"/>
        <v>2024</v>
      </c>
      <c r="E613" s="3" t="s">
        <v>627</v>
      </c>
      <c r="F613" s="3" t="s">
        <v>627</v>
      </c>
      <c r="G613" s="102">
        <f>DATE(Modelling_old[[#This Row],[Calendor Year]],Modelling_old[[#This Row],[Start Month]],1)</f>
        <v>45597</v>
      </c>
      <c r="H613" s="5">
        <f t="shared" si="219"/>
        <v>30</v>
      </c>
      <c r="I613" s="5">
        <f t="shared" si="220"/>
        <v>11</v>
      </c>
      <c r="J613" s="4">
        <f>_xlfn.XLOOKUP(Modelling_old[[#This Row],[Month]],$C$1:$C$14,$N$1:$N$14)/Modelling_old[[#This Row],[Total Days]]</f>
        <v>51.083333333333336</v>
      </c>
      <c r="K613" s="4">
        <f>SUM($J$598:J613)</f>
        <v>817.33333333333348</v>
      </c>
      <c r="L613" s="4">
        <f>SUM($J$384:J613)</f>
        <v>10035.533333333329</v>
      </c>
      <c r="M613" s="4">
        <f t="shared" si="221"/>
        <v>6.4133333333333331</v>
      </c>
      <c r="N613" s="4">
        <f>SUM($M$598:M613)</f>
        <v>102.61333333333329</v>
      </c>
      <c r="O613" s="4">
        <f>SUM($M$384:M613)</f>
        <v>1258.5133333333292</v>
      </c>
      <c r="P613" s="323">
        <f t="shared" si="222"/>
        <v>0.69243740514963059</v>
      </c>
      <c r="Q613" s="337">
        <f t="shared" si="223"/>
        <v>0.69243740514963104</v>
      </c>
      <c r="R613" s="337">
        <f t="shared" si="224"/>
        <v>0.69321466471355153</v>
      </c>
      <c r="S613" s="323">
        <f t="shared" si="225"/>
        <v>0.18503466215387351</v>
      </c>
      <c r="T613" s="9">
        <f>Modelling_old[[#This Row],[Target E_Grid MTD
MWh]]/Modelling_old[[#This Row],[DC Capcity]]/(24*CG613)</f>
        <v>0.18503466215387354</v>
      </c>
      <c r="U613" s="338">
        <f>Modelling_old[[#This Row],[Target E_Grid YTD
MWh]]/Modelling_old[[#This Row],[DC Capcity]]/(24*CH613)</f>
        <v>0.15804708304423876</v>
      </c>
      <c r="V613" s="134">
        <v>11.5031</v>
      </c>
      <c r="Y613" s="27">
        <f t="shared" si="238"/>
        <v>45612</v>
      </c>
      <c r="Z613" s="5">
        <f>MONTH(Modelling_new[[#This Row],[Date]])</f>
        <v>11</v>
      </c>
      <c r="AA613" s="25">
        <f>YEAR(Y613)+IF(MONTH(Modelling_new[[#This Row],[Date]])&gt;=4,1,0)</f>
        <v>2025</v>
      </c>
      <c r="AB613" s="3">
        <f t="shared" si="226"/>
        <v>2024</v>
      </c>
      <c r="AC613" s="3" t="s">
        <v>627</v>
      </c>
      <c r="AD613" s="3" t="s">
        <v>627</v>
      </c>
      <c r="AE613" s="102">
        <f>DATE(Modelling_old[[#This Row],[Calendor Year]],Modelling_old[[#This Row],[Start Month]],1)</f>
        <v>45597</v>
      </c>
      <c r="AF613" s="5">
        <f t="shared" si="227"/>
        <v>30</v>
      </c>
      <c r="AG613" s="5">
        <f t="shared" si="228"/>
        <v>11</v>
      </c>
      <c r="AH613" s="4">
        <f>_xlfn.XLOOKUP(Modelling_new[[#This Row],[Month]],$AA$1:$AA$14,$AL$1:$AL$14)/Modelling_new[[#This Row],[Total Days]]</f>
        <v>61.403834681353906</v>
      </c>
      <c r="AI613" s="4">
        <f>SUM($AH$598:AH613)</f>
        <v>982.46135490166273</v>
      </c>
      <c r="AJ613" s="4">
        <f>SUM($AH$384:AH613)</f>
        <v>13030.974594878631</v>
      </c>
      <c r="AK613" s="4">
        <f t="shared" si="229"/>
        <v>6.4133333333333331</v>
      </c>
      <c r="AL613" s="4">
        <f>SUM($AK$598:AK613)</f>
        <v>102.61333333333329</v>
      </c>
      <c r="AM613" s="4">
        <f>SUM($AK$384:AK613)</f>
        <v>1258.5133333333292</v>
      </c>
      <c r="AN613" s="323">
        <f t="shared" si="230"/>
        <v>0.83233237102108171</v>
      </c>
      <c r="AO613" s="323">
        <f t="shared" si="231"/>
        <v>0.83233237102108226</v>
      </c>
      <c r="AP613" s="323">
        <f t="shared" si="232"/>
        <v>0.90012781430114353</v>
      </c>
      <c r="AQ613" s="323">
        <f t="shared" si="233"/>
        <v>0.22241770581174464</v>
      </c>
      <c r="AR613" s="323">
        <f>Modelling_new[[#This Row],[Target E_Grid MTD
MWh]]/Modelling_new[[#This Row],[MTD DC Capcity]]/(24*CG613)</f>
        <v>0.19988227435336559</v>
      </c>
      <c r="AS613" s="323">
        <f>Modelling_new[[#This Row],[Target E_Grid YTD
MWh]]/Modelling_new[[#This Row],[YTD DC Capcity]]/(24*CH613)</f>
        <v>0.18442842214219032</v>
      </c>
      <c r="AT613" s="5">
        <v>12.8</v>
      </c>
      <c r="AU613" s="9">
        <f>Modelling_new[[#This Row],[Comisined DC ]]/$AO$1</f>
        <v>1</v>
      </c>
      <c r="AV613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13" s="5">
        <f>AVERAGEIFS(Modelling_new[[Comisined DC ]],Modelling_new[Date],"&lt;="&amp;Modelling_new[[#This Row],[Date]],Modelling_new[[Comisined DC ]],"&gt;"&amp;0,Modelling_new[Finacial Year],Modelling_new[[#This Row],[Finacial Year]])</f>
        <v>12.800000000000031</v>
      </c>
      <c r="BD613" s="27">
        <f t="shared" si="239"/>
        <v>45612</v>
      </c>
      <c r="BE613" s="5">
        <f>MONTH(Modelling[[#This Row],[Date]])</f>
        <v>11</v>
      </c>
      <c r="BF613" s="25">
        <f>YEAR(BD613)+IF(MONTH(Modelling[[#This Row],[Date]])&gt;=4,1,0)</f>
        <v>2025</v>
      </c>
      <c r="BG613" s="3">
        <f t="shared" si="234"/>
        <v>2024</v>
      </c>
      <c r="BH613" s="3" t="s">
        <v>627</v>
      </c>
      <c r="BI613" s="3" t="s">
        <v>627</v>
      </c>
      <c r="BJ613" s="102">
        <f>DATE(Modelling_old[[#This Row],[Calendor Year]],Modelling_old[[#This Row],[Start Month]],1)</f>
        <v>45597</v>
      </c>
      <c r="BK613" s="5">
        <f t="shared" si="235"/>
        <v>30</v>
      </c>
      <c r="BL613" s="5">
        <f t="shared" si="236"/>
        <v>11</v>
      </c>
      <c r="BM613" s="4">
        <f>Modelling_old[[#This Row],[Target E_Grid daily
MWh]]+Modelling_new[[#This Row],[Target E_Grid daily
MWh]]</f>
        <v>112.48716801468724</v>
      </c>
      <c r="BN613" s="4">
        <f>Modelling_old[[#This Row],[Target E_Grid MTD
MWh]]+Modelling_new[[#This Row],[Target E_Grid MTD
MWh]]</f>
        <v>1799.7946882349961</v>
      </c>
      <c r="BO613" s="4">
        <f>Modelling_old[[#This Row],[Target E_Grid YTD
MWh]]+Modelling_new[[#This Row],[Target E_Grid YTD
MWh]]</f>
        <v>23066.507928211962</v>
      </c>
      <c r="BP613" s="4">
        <f>AVERAGE(Modelling_old[[#This Row],[Target POA Daily (KWh/m2)]],Modelling_new[[#This Row],[Target POA Daily (KWh/m2)]])</f>
        <v>6.4133333333333331</v>
      </c>
      <c r="BQ613" s="4">
        <f>SUM($BP$598:BP613)</f>
        <v>102.61333333333329</v>
      </c>
      <c r="BR613" s="4">
        <f>SUM($BP$384:BP613)</f>
        <v>1258.5133333333292</v>
      </c>
      <c r="BS613" s="323">
        <f>BM613/Modelling[[#This Row],[Comisined DC ]]/BP613</f>
        <v>0.7217013143290083</v>
      </c>
      <c r="BT613" s="337">
        <f>BN613/BQ613/Modelling[[#This Row],[Comisined DC ]]</f>
        <v>0.72170131432900864</v>
      </c>
      <c r="BU613" s="337">
        <f>BO613/BR613/Modelling[[#This Row],[Comisined DC ]]</f>
        <v>0.75415802388806119</v>
      </c>
      <c r="BV613" s="323">
        <f>BM613/(24*Modelling[[#This Row],[Comisined DC ]])</f>
        <v>0.19285462899569608</v>
      </c>
      <c r="BW613" s="323">
        <f>Modelling[[#This Row],[Target E_Grid MTD
MWh]]/Modelling[[#This Row],[MTD DC Capcity]]/(24*CG613)</f>
        <v>0.19285462899569616</v>
      </c>
      <c r="BX613" s="338">
        <f>Modelling[[#This Row],[Target E_Grid YTD
MWh]]/Modelling[[#This Row],[YTD DC Capcity]]/(24*CH613)</f>
        <v>0.17194165371439091</v>
      </c>
      <c r="BY613" s="4">
        <f>Modelling_old[[#This Row],[DC Capcity]]+Modelling_new[[#This Row],[Comisined DC ]]</f>
        <v>24.303100000000001</v>
      </c>
      <c r="BZ613" s="4">
        <v>0</v>
      </c>
      <c r="CA613">
        <f>AVERAGEIFS(Modelling[[Comisined DC ]],Modelling[Date],"&lt;="&amp;Modelling[[#This Row],[Date]],Modelling[Month Year],Modelling[[#This Row],[Month Year]])</f>
        <v>24.303099999999993</v>
      </c>
      <c r="CB613">
        <f>AVERAGEIFS(Modelling[[Comisined DC ]],Modelling[Date],"&lt;="&amp;Modelling[[#This Row],[Date]],Modelling[Finacial Year],Modelling[[#This Row],[Finacial Year]])</f>
        <v>24.303100000000065</v>
      </c>
      <c r="CG613">
        <f t="shared" si="215"/>
        <v>16</v>
      </c>
      <c r="CH613">
        <f t="shared" si="237"/>
        <v>230</v>
      </c>
    </row>
    <row r="614" spans="1:86" x14ac:dyDescent="0.35">
      <c r="A614" s="27">
        <f t="shared" si="216"/>
        <v>45613</v>
      </c>
      <c r="B614" s="5">
        <f>MONTH(Modelling_old[[#This Row],[Date]])</f>
        <v>11</v>
      </c>
      <c r="C614" s="25">
        <f t="shared" si="217"/>
        <v>2025</v>
      </c>
      <c r="D614" s="3">
        <f t="shared" si="218"/>
        <v>2024</v>
      </c>
      <c r="E614" s="3" t="s">
        <v>627</v>
      </c>
      <c r="F614" s="3" t="s">
        <v>627</v>
      </c>
      <c r="G614" s="102">
        <f>DATE(Modelling_old[[#This Row],[Calendor Year]],Modelling_old[[#This Row],[Start Month]],1)</f>
        <v>45597</v>
      </c>
      <c r="H614" s="5">
        <f t="shared" si="219"/>
        <v>30</v>
      </c>
      <c r="I614" s="5">
        <f t="shared" si="220"/>
        <v>11</v>
      </c>
      <c r="J614" s="4">
        <f>_xlfn.XLOOKUP(Modelling_old[[#This Row],[Month]],$C$1:$C$14,$N$1:$N$14)/Modelling_old[[#This Row],[Total Days]]</f>
        <v>51.083333333333336</v>
      </c>
      <c r="K614" s="4">
        <f>SUM($J$598:J614)</f>
        <v>868.41666666666686</v>
      </c>
      <c r="L614" s="4">
        <f>SUM($J$384:J614)</f>
        <v>10086.616666666663</v>
      </c>
      <c r="M614" s="4">
        <f t="shared" si="221"/>
        <v>6.4133333333333331</v>
      </c>
      <c r="N614" s="4">
        <f>SUM($M$598:M614)</f>
        <v>109.02666666666661</v>
      </c>
      <c r="O614" s="4">
        <f>SUM($M$384:M614)</f>
        <v>1264.9266666666626</v>
      </c>
      <c r="P614" s="323">
        <f t="shared" si="222"/>
        <v>0.69243740514963059</v>
      </c>
      <c r="Q614" s="337">
        <f t="shared" si="223"/>
        <v>0.69243740514963104</v>
      </c>
      <c r="R614" s="337">
        <f t="shared" si="224"/>
        <v>0.6932107239122377</v>
      </c>
      <c r="S614" s="323">
        <f t="shared" si="225"/>
        <v>0.18503466215387351</v>
      </c>
      <c r="T614" s="9">
        <f>Modelling_old[[#This Row],[Target E_Grid MTD
MWh]]/Modelling_old[[#This Row],[DC Capcity]]/(24*CG614)</f>
        <v>0.18503466215387354</v>
      </c>
      <c r="U614" s="338">
        <f>Modelling_old[[#This Row],[Target E_Grid YTD
MWh]]/Modelling_old[[#This Row],[DC Capcity]]/(24*CH614)</f>
        <v>0.15816391239103372</v>
      </c>
      <c r="V614" s="134">
        <v>11.5031</v>
      </c>
      <c r="Y614" s="27">
        <f t="shared" si="238"/>
        <v>45613</v>
      </c>
      <c r="Z614" s="5">
        <f>MONTH(Modelling_new[[#This Row],[Date]])</f>
        <v>11</v>
      </c>
      <c r="AA614" s="25">
        <f>YEAR(Y614)+IF(MONTH(Modelling_new[[#This Row],[Date]])&gt;=4,1,0)</f>
        <v>2025</v>
      </c>
      <c r="AB614" s="3">
        <f t="shared" si="226"/>
        <v>2024</v>
      </c>
      <c r="AC614" s="3" t="s">
        <v>627</v>
      </c>
      <c r="AD614" s="3" t="s">
        <v>627</v>
      </c>
      <c r="AE614" s="102">
        <f>DATE(Modelling_old[[#This Row],[Calendor Year]],Modelling_old[[#This Row],[Start Month]],1)</f>
        <v>45597</v>
      </c>
      <c r="AF614" s="5">
        <f t="shared" si="227"/>
        <v>30</v>
      </c>
      <c r="AG614" s="5">
        <f t="shared" si="228"/>
        <v>11</v>
      </c>
      <c r="AH614" s="4">
        <f>_xlfn.XLOOKUP(Modelling_new[[#This Row],[Month]],$AA$1:$AA$14,$AL$1:$AL$14)/Modelling_new[[#This Row],[Total Days]]</f>
        <v>61.403834681353906</v>
      </c>
      <c r="AI614" s="4">
        <f>SUM($AH$598:AH614)</f>
        <v>1043.8651895830167</v>
      </c>
      <c r="AJ614" s="4">
        <f>SUM($AH$384:AH614)</f>
        <v>13092.378429559985</v>
      </c>
      <c r="AK614" s="4">
        <f t="shared" si="229"/>
        <v>6.4133333333333331</v>
      </c>
      <c r="AL614" s="4">
        <f>SUM($AK$598:AK614)</f>
        <v>109.02666666666661</v>
      </c>
      <c r="AM614" s="4">
        <f>SUM($AK$384:AK614)</f>
        <v>1264.9266666666626</v>
      </c>
      <c r="AN614" s="323">
        <f t="shared" si="230"/>
        <v>0.83233237102108171</v>
      </c>
      <c r="AO614" s="323">
        <f t="shared" si="231"/>
        <v>0.83233237102108226</v>
      </c>
      <c r="AP614" s="323">
        <f t="shared" si="232"/>
        <v>0.89978408308913416</v>
      </c>
      <c r="AQ614" s="323">
        <f t="shared" si="233"/>
        <v>0.22241770581174464</v>
      </c>
      <c r="AR614" s="323">
        <f>Modelling_new[[#This Row],[Target E_Grid MTD
MWh]]/Modelling_new[[#This Row],[MTD DC Capcity]]/(24*CG614)</f>
        <v>0.19988227435336559</v>
      </c>
      <c r="AS614" s="323">
        <f>Modelling_new[[#This Row],[Target E_Grid YTD
MWh]]/Modelling_new[[#This Row],[YTD DC Capcity]]/(24*CH614)</f>
        <v>0.18449532193531226</v>
      </c>
      <c r="AT614" s="5">
        <v>12.8</v>
      </c>
      <c r="AU614" s="9">
        <f>Modelling_new[[#This Row],[Comisined DC ]]/$AO$1</f>
        <v>1</v>
      </c>
      <c r="AV614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14" s="5">
        <f>AVERAGEIFS(Modelling_new[[Comisined DC ]],Modelling_new[Date],"&lt;="&amp;Modelling_new[[#This Row],[Date]],Modelling_new[[Comisined DC ]],"&gt;"&amp;0,Modelling_new[Finacial Year],Modelling_new[[#This Row],[Finacial Year]])</f>
        <v>12.800000000000033</v>
      </c>
      <c r="BD614" s="27">
        <f t="shared" si="239"/>
        <v>45613</v>
      </c>
      <c r="BE614" s="5">
        <f>MONTH(Modelling[[#This Row],[Date]])</f>
        <v>11</v>
      </c>
      <c r="BF614" s="25">
        <f>YEAR(BD614)+IF(MONTH(Modelling[[#This Row],[Date]])&gt;=4,1,0)</f>
        <v>2025</v>
      </c>
      <c r="BG614" s="3">
        <f t="shared" si="234"/>
        <v>2024</v>
      </c>
      <c r="BH614" s="3" t="s">
        <v>627</v>
      </c>
      <c r="BI614" s="3" t="s">
        <v>627</v>
      </c>
      <c r="BJ614" s="102">
        <f>DATE(Modelling_old[[#This Row],[Calendor Year]],Modelling_old[[#This Row],[Start Month]],1)</f>
        <v>45597</v>
      </c>
      <c r="BK614" s="5">
        <f t="shared" si="235"/>
        <v>30</v>
      </c>
      <c r="BL614" s="5">
        <f t="shared" si="236"/>
        <v>11</v>
      </c>
      <c r="BM614" s="4">
        <f>Modelling_old[[#This Row],[Target E_Grid daily
MWh]]+Modelling_new[[#This Row],[Target E_Grid daily
MWh]]</f>
        <v>112.48716801468724</v>
      </c>
      <c r="BN614" s="4">
        <f>Modelling_old[[#This Row],[Target E_Grid MTD
MWh]]+Modelling_new[[#This Row],[Target E_Grid MTD
MWh]]</f>
        <v>1912.2818562496836</v>
      </c>
      <c r="BO614" s="4">
        <f>Modelling_old[[#This Row],[Target E_Grid YTD
MWh]]+Modelling_new[[#This Row],[Target E_Grid YTD
MWh]]</f>
        <v>23178.995096226648</v>
      </c>
      <c r="BP614" s="4">
        <f>AVERAGE(Modelling_old[[#This Row],[Target POA Daily (KWh/m2)]],Modelling_new[[#This Row],[Target POA Daily (KWh/m2)]])</f>
        <v>6.4133333333333331</v>
      </c>
      <c r="BQ614" s="4">
        <f>SUM($BP$598:BP614)</f>
        <v>109.02666666666661</v>
      </c>
      <c r="BR614" s="4">
        <f>SUM($BP$384:BP614)</f>
        <v>1264.9266666666626</v>
      </c>
      <c r="BS614" s="323">
        <f>BM614/Modelling[[#This Row],[Comisined DC ]]/BP614</f>
        <v>0.7217013143290083</v>
      </c>
      <c r="BT614" s="337">
        <f>BN614/BQ614/Modelling[[#This Row],[Comisined DC ]]</f>
        <v>0.72170131432900886</v>
      </c>
      <c r="BU614" s="337">
        <f>BO614/BR614/Modelling[[#This Row],[Comisined DC ]]</f>
        <v>0.75399346439003578</v>
      </c>
      <c r="BV614" s="323">
        <f>BM614/(24*Modelling[[#This Row],[Comisined DC ]])</f>
        <v>0.19285462899569608</v>
      </c>
      <c r="BW614" s="323">
        <f>Modelling[[#This Row],[Target E_Grid MTD
MWh]]/Modelling[[#This Row],[MTD DC Capcity]]/(24*CG614)</f>
        <v>0.19285462899569622</v>
      </c>
      <c r="BX614" s="338">
        <f>Modelling[[#This Row],[Target E_Grid YTD
MWh]]/Modelling[[#This Row],[YTD DC Capcity]]/(24*CH614)</f>
        <v>0.17203218607491605</v>
      </c>
      <c r="BY614" s="4">
        <f>Modelling_old[[#This Row],[DC Capcity]]+Modelling_new[[#This Row],[Comisined DC ]]</f>
        <v>24.303100000000001</v>
      </c>
      <c r="BZ614" s="4">
        <v>0</v>
      </c>
      <c r="CA614">
        <f>AVERAGEIFS(Modelling[[Comisined DC ]],Modelling[Date],"&lt;="&amp;Modelling[[#This Row],[Date]],Modelling[Month Year],Modelling[[#This Row],[Month Year]])</f>
        <v>24.303099999999993</v>
      </c>
      <c r="CB614">
        <f>AVERAGEIFS(Modelling[[Comisined DC ]],Modelling[Date],"&lt;="&amp;Modelling[[#This Row],[Date]],Modelling[Finacial Year],Modelling[[#This Row],[Finacial Year]])</f>
        <v>24.303100000000065</v>
      </c>
      <c r="CG614">
        <f t="shared" si="215"/>
        <v>17</v>
      </c>
      <c r="CH614">
        <f t="shared" si="237"/>
        <v>231</v>
      </c>
    </row>
    <row r="615" spans="1:86" x14ac:dyDescent="0.35">
      <c r="A615" s="27">
        <f t="shared" si="216"/>
        <v>45614</v>
      </c>
      <c r="B615" s="5">
        <f>MONTH(Modelling_old[[#This Row],[Date]])</f>
        <v>11</v>
      </c>
      <c r="C615" s="25">
        <f t="shared" si="217"/>
        <v>2025</v>
      </c>
      <c r="D615" s="3">
        <f t="shared" si="218"/>
        <v>2024</v>
      </c>
      <c r="E615" s="3" t="s">
        <v>627</v>
      </c>
      <c r="F615" s="3" t="s">
        <v>627</v>
      </c>
      <c r="G615" s="102">
        <f>DATE(Modelling_old[[#This Row],[Calendor Year]],Modelling_old[[#This Row],[Start Month]],1)</f>
        <v>45597</v>
      </c>
      <c r="H615" s="5">
        <f t="shared" si="219"/>
        <v>30</v>
      </c>
      <c r="I615" s="5">
        <f t="shared" si="220"/>
        <v>11</v>
      </c>
      <c r="J615" s="4">
        <f>_xlfn.XLOOKUP(Modelling_old[[#This Row],[Month]],$C$1:$C$14,$N$1:$N$14)/Modelling_old[[#This Row],[Total Days]]</f>
        <v>51.083333333333336</v>
      </c>
      <c r="K615" s="4">
        <f>SUM($J$598:J615)</f>
        <v>919.50000000000023</v>
      </c>
      <c r="L615" s="4">
        <f>SUM($J$384:J615)</f>
        <v>10137.699999999997</v>
      </c>
      <c r="M615" s="4">
        <f t="shared" si="221"/>
        <v>6.4133333333333331</v>
      </c>
      <c r="N615" s="4">
        <f>SUM($M$598:M615)</f>
        <v>115.43999999999994</v>
      </c>
      <c r="O615" s="4">
        <f>SUM($M$384:M615)</f>
        <v>1271.3399999999961</v>
      </c>
      <c r="P615" s="323">
        <f t="shared" si="222"/>
        <v>0.69243740514963059</v>
      </c>
      <c r="Q615" s="337">
        <f t="shared" si="223"/>
        <v>0.69243740514963104</v>
      </c>
      <c r="R615" s="337">
        <f t="shared" si="224"/>
        <v>0.69320682287003221</v>
      </c>
      <c r="S615" s="323">
        <f t="shared" si="225"/>
        <v>0.18503466215387351</v>
      </c>
      <c r="T615" s="9">
        <f>Modelling_old[[#This Row],[Target E_Grid MTD
MWh]]/Modelling_old[[#This Row],[DC Capcity]]/(24*CG615)</f>
        <v>0.18503466215387354</v>
      </c>
      <c r="U615" s="338">
        <f>Modelling_old[[#This Row],[Target E_Grid YTD
MWh]]/Modelling_old[[#This Row],[DC Capcity]]/(24*CH615)</f>
        <v>0.15827973458828734</v>
      </c>
      <c r="V615" s="134">
        <v>11.5031</v>
      </c>
      <c r="Y615" s="27">
        <f t="shared" si="238"/>
        <v>45614</v>
      </c>
      <c r="Z615" s="5">
        <f>MONTH(Modelling_new[[#This Row],[Date]])</f>
        <v>11</v>
      </c>
      <c r="AA615" s="25">
        <f>YEAR(Y615)+IF(MONTH(Modelling_new[[#This Row],[Date]])&gt;=4,1,0)</f>
        <v>2025</v>
      </c>
      <c r="AB615" s="3">
        <f t="shared" si="226"/>
        <v>2024</v>
      </c>
      <c r="AC615" s="3" t="s">
        <v>627</v>
      </c>
      <c r="AD615" s="3" t="s">
        <v>627</v>
      </c>
      <c r="AE615" s="102">
        <f>DATE(Modelling_old[[#This Row],[Calendor Year]],Modelling_old[[#This Row],[Start Month]],1)</f>
        <v>45597</v>
      </c>
      <c r="AF615" s="5">
        <f t="shared" si="227"/>
        <v>30</v>
      </c>
      <c r="AG615" s="5">
        <f t="shared" si="228"/>
        <v>11</v>
      </c>
      <c r="AH615" s="4">
        <f>_xlfn.XLOOKUP(Modelling_new[[#This Row],[Month]],$AA$1:$AA$14,$AL$1:$AL$14)/Modelling_new[[#This Row],[Total Days]]</f>
        <v>61.403834681353906</v>
      </c>
      <c r="AI615" s="4">
        <f>SUM($AH$598:AH615)</f>
        <v>1105.2690242643705</v>
      </c>
      <c r="AJ615" s="4">
        <f>SUM($AH$384:AH615)</f>
        <v>13153.782264241339</v>
      </c>
      <c r="AK615" s="4">
        <f t="shared" si="229"/>
        <v>6.4133333333333331</v>
      </c>
      <c r="AL615" s="4">
        <f>SUM($AK$598:AK615)</f>
        <v>115.43999999999994</v>
      </c>
      <c r="AM615" s="4">
        <f>SUM($AK$384:AK615)</f>
        <v>1271.3399999999961</v>
      </c>
      <c r="AN615" s="323">
        <f t="shared" si="230"/>
        <v>0.83233237102108171</v>
      </c>
      <c r="AO615" s="323">
        <f t="shared" si="231"/>
        <v>0.83233237102108226</v>
      </c>
      <c r="AP615" s="323">
        <f t="shared" si="232"/>
        <v>0.89944381981306609</v>
      </c>
      <c r="AQ615" s="323">
        <f t="shared" si="233"/>
        <v>0.22241770581174464</v>
      </c>
      <c r="AR615" s="323">
        <f>Modelling_new[[#This Row],[Target E_Grid MTD
MWh]]/Modelling_new[[#This Row],[MTD DC Capcity]]/(24*CG615)</f>
        <v>0.19988227435336553</v>
      </c>
      <c r="AS615" s="323">
        <f>Modelling_new[[#This Row],[Target E_Grid YTD
MWh]]/Modelling_new[[#This Row],[YTD DC Capcity]]/(24*CH615)</f>
        <v>0.18456164500607974</v>
      </c>
      <c r="AT615" s="5">
        <v>12.8</v>
      </c>
      <c r="AU615" s="9">
        <f>Modelling_new[[#This Row],[Comisined DC ]]/$AO$1</f>
        <v>1</v>
      </c>
      <c r="AV61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15" s="5">
        <f>AVERAGEIFS(Modelling_new[[Comisined DC ]],Modelling_new[Date],"&lt;="&amp;Modelling_new[[#This Row],[Date]],Modelling_new[[Comisined DC ]],"&gt;"&amp;0,Modelling_new[Finacial Year],Modelling_new[[#This Row],[Finacial Year]])</f>
        <v>12.800000000000033</v>
      </c>
      <c r="BD615" s="27">
        <f t="shared" si="239"/>
        <v>45614</v>
      </c>
      <c r="BE615" s="5">
        <f>MONTH(Modelling[[#This Row],[Date]])</f>
        <v>11</v>
      </c>
      <c r="BF615" s="25">
        <f>YEAR(BD615)+IF(MONTH(Modelling[[#This Row],[Date]])&gt;=4,1,0)</f>
        <v>2025</v>
      </c>
      <c r="BG615" s="3">
        <f t="shared" si="234"/>
        <v>2024</v>
      </c>
      <c r="BH615" s="3" t="s">
        <v>627</v>
      </c>
      <c r="BI615" s="3" t="s">
        <v>627</v>
      </c>
      <c r="BJ615" s="102">
        <f>DATE(Modelling_old[[#This Row],[Calendor Year]],Modelling_old[[#This Row],[Start Month]],1)</f>
        <v>45597</v>
      </c>
      <c r="BK615" s="5">
        <f t="shared" si="235"/>
        <v>30</v>
      </c>
      <c r="BL615" s="5">
        <f t="shared" si="236"/>
        <v>11</v>
      </c>
      <c r="BM615" s="4">
        <f>Modelling_old[[#This Row],[Target E_Grid daily
MWh]]+Modelling_new[[#This Row],[Target E_Grid daily
MWh]]</f>
        <v>112.48716801468724</v>
      </c>
      <c r="BN615" s="4">
        <f>Modelling_old[[#This Row],[Target E_Grid MTD
MWh]]+Modelling_new[[#This Row],[Target E_Grid MTD
MWh]]</f>
        <v>2024.7690242643707</v>
      </c>
      <c r="BO615" s="4">
        <f>Modelling_old[[#This Row],[Target E_Grid YTD
MWh]]+Modelling_new[[#This Row],[Target E_Grid YTD
MWh]]</f>
        <v>23291.482264241335</v>
      </c>
      <c r="BP615" s="4">
        <f>AVERAGE(Modelling_old[[#This Row],[Target POA Daily (KWh/m2)]],Modelling_new[[#This Row],[Target POA Daily (KWh/m2)]])</f>
        <v>6.4133333333333331</v>
      </c>
      <c r="BQ615" s="4">
        <f>SUM($BP$598:BP615)</f>
        <v>115.43999999999994</v>
      </c>
      <c r="BR615" s="4">
        <f>SUM($BP$384:BP615)</f>
        <v>1271.3399999999961</v>
      </c>
      <c r="BS615" s="323">
        <f>BM615/Modelling[[#This Row],[Comisined DC ]]/BP615</f>
        <v>0.7217013143290083</v>
      </c>
      <c r="BT615" s="337">
        <f>BN615/BQ615/Modelling[[#This Row],[Comisined DC ]]</f>
        <v>0.72170131432900886</v>
      </c>
      <c r="BU615" s="337">
        <f>BO615/BR615/Modelling[[#This Row],[Comisined DC ]]</f>
        <v>0.75383056514798297</v>
      </c>
      <c r="BV615" s="323">
        <f>BM615/(24*Modelling[[#This Row],[Comisined DC ]])</f>
        <v>0.19285462899569608</v>
      </c>
      <c r="BW615" s="323">
        <f>Modelling[[#This Row],[Target E_Grid MTD
MWh]]/Modelling[[#This Row],[MTD DC Capcity]]/(24*CG615)</f>
        <v>0.19285462899569622</v>
      </c>
      <c r="BX615" s="338">
        <f>Modelling[[#This Row],[Target E_Grid YTD
MWh]]/Modelling[[#This Row],[YTD DC Capcity]]/(24*CH615)</f>
        <v>0.17212193798405731</v>
      </c>
      <c r="BY615" s="4">
        <f>Modelling_old[[#This Row],[DC Capcity]]+Modelling_new[[#This Row],[Comisined DC ]]</f>
        <v>24.303100000000001</v>
      </c>
      <c r="BZ615" s="4">
        <v>0</v>
      </c>
      <c r="CA615">
        <f>AVERAGEIFS(Modelling[[Comisined DC ]],Modelling[Date],"&lt;="&amp;Modelling[[#This Row],[Date]],Modelling[Month Year],Modelling[[#This Row],[Month Year]])</f>
        <v>24.30309999999999</v>
      </c>
      <c r="CB615">
        <f>AVERAGEIFS(Modelling[[Comisined DC ]],Modelling[Date],"&lt;="&amp;Modelling[[#This Row],[Date]],Modelling[Finacial Year],Modelling[[#This Row],[Finacial Year]])</f>
        <v>24.303100000000065</v>
      </c>
      <c r="CG615">
        <f t="shared" si="215"/>
        <v>18</v>
      </c>
      <c r="CH615">
        <f t="shared" si="237"/>
        <v>232</v>
      </c>
    </row>
    <row r="616" spans="1:86" x14ac:dyDescent="0.35">
      <c r="A616" s="27">
        <f t="shared" si="216"/>
        <v>45615</v>
      </c>
      <c r="B616" s="5">
        <f>MONTH(Modelling_old[[#This Row],[Date]])</f>
        <v>11</v>
      </c>
      <c r="C616" s="25">
        <f t="shared" si="217"/>
        <v>2025</v>
      </c>
      <c r="D616" s="3">
        <f t="shared" si="218"/>
        <v>2024</v>
      </c>
      <c r="E616" s="3" t="s">
        <v>627</v>
      </c>
      <c r="F616" s="3" t="s">
        <v>627</v>
      </c>
      <c r="G616" s="102">
        <f>DATE(Modelling_old[[#This Row],[Calendor Year]],Modelling_old[[#This Row],[Start Month]],1)</f>
        <v>45597</v>
      </c>
      <c r="H616" s="5">
        <f t="shared" si="219"/>
        <v>30</v>
      </c>
      <c r="I616" s="5">
        <f t="shared" si="220"/>
        <v>11</v>
      </c>
      <c r="J616" s="4">
        <f>_xlfn.XLOOKUP(Modelling_old[[#This Row],[Month]],$C$1:$C$14,$N$1:$N$14)/Modelling_old[[#This Row],[Total Days]]</f>
        <v>51.083333333333336</v>
      </c>
      <c r="K616" s="4">
        <f>SUM($J$598:J616)</f>
        <v>970.5833333333336</v>
      </c>
      <c r="L616" s="4">
        <f>SUM($J$384:J616)</f>
        <v>10188.783333333331</v>
      </c>
      <c r="M616" s="4">
        <f t="shared" si="221"/>
        <v>6.4133333333333331</v>
      </c>
      <c r="N616" s="4">
        <f>SUM($M$598:M616)</f>
        <v>121.85333333333327</v>
      </c>
      <c r="O616" s="4">
        <f>SUM($M$384:M616)</f>
        <v>1277.7533333333295</v>
      </c>
      <c r="P616" s="323">
        <f t="shared" si="222"/>
        <v>0.69243740514963059</v>
      </c>
      <c r="Q616" s="337">
        <f t="shared" si="223"/>
        <v>0.69243740514963115</v>
      </c>
      <c r="R616" s="337">
        <f t="shared" si="224"/>
        <v>0.69320296098825518</v>
      </c>
      <c r="S616" s="323">
        <f t="shared" si="225"/>
        <v>0.18503466215387351</v>
      </c>
      <c r="T616" s="9">
        <f>Modelling_old[[#This Row],[Target E_Grid MTD
MWh]]/Modelling_old[[#This Row],[DC Capcity]]/(24*CG616)</f>
        <v>0.18503466215387354</v>
      </c>
      <c r="U616" s="338">
        <f>Modelling_old[[#This Row],[Target E_Grid YTD
MWh]]/Modelling_old[[#This Row],[DC Capcity]]/(24*CH616)</f>
        <v>0.15839456260359031</v>
      </c>
      <c r="V616" s="134">
        <v>11.5031</v>
      </c>
      <c r="Y616" s="27">
        <f t="shared" si="238"/>
        <v>45615</v>
      </c>
      <c r="Z616" s="5">
        <f>MONTH(Modelling_new[[#This Row],[Date]])</f>
        <v>11</v>
      </c>
      <c r="AA616" s="25">
        <f>YEAR(Y616)+IF(MONTH(Modelling_new[[#This Row],[Date]])&gt;=4,1,0)</f>
        <v>2025</v>
      </c>
      <c r="AB616" s="3">
        <f t="shared" si="226"/>
        <v>2024</v>
      </c>
      <c r="AC616" s="3" t="s">
        <v>627</v>
      </c>
      <c r="AD616" s="3" t="s">
        <v>627</v>
      </c>
      <c r="AE616" s="102">
        <f>DATE(Modelling_old[[#This Row],[Calendor Year]],Modelling_old[[#This Row],[Start Month]],1)</f>
        <v>45597</v>
      </c>
      <c r="AF616" s="5">
        <f t="shared" si="227"/>
        <v>30</v>
      </c>
      <c r="AG616" s="5">
        <f t="shared" si="228"/>
        <v>11</v>
      </c>
      <c r="AH616" s="4">
        <f>_xlfn.XLOOKUP(Modelling_new[[#This Row],[Month]],$AA$1:$AA$14,$AL$1:$AL$14)/Modelling_new[[#This Row],[Total Days]]</f>
        <v>61.403834681353906</v>
      </c>
      <c r="AI616" s="4">
        <f>SUM($AH$598:AH616)</f>
        <v>1166.6728589457243</v>
      </c>
      <c r="AJ616" s="4">
        <f>SUM($AH$384:AH616)</f>
        <v>13215.186098922693</v>
      </c>
      <c r="AK616" s="4">
        <f t="shared" si="229"/>
        <v>6.4133333333333331</v>
      </c>
      <c r="AL616" s="4">
        <f>SUM($AK$598:AK616)</f>
        <v>121.85333333333327</v>
      </c>
      <c r="AM616" s="4">
        <f>SUM($AK$384:AK616)</f>
        <v>1277.7533333333295</v>
      </c>
      <c r="AN616" s="323">
        <f t="shared" si="230"/>
        <v>0.83233237102108171</v>
      </c>
      <c r="AO616" s="323">
        <f t="shared" si="231"/>
        <v>0.83233237102108226</v>
      </c>
      <c r="AP616" s="323">
        <f t="shared" si="232"/>
        <v>0.89910697225387148</v>
      </c>
      <c r="AQ616" s="323">
        <f t="shared" si="233"/>
        <v>0.22241770581174464</v>
      </c>
      <c r="AR616" s="323">
        <f>Modelling_new[[#This Row],[Target E_Grid MTD
MWh]]/Modelling_new[[#This Row],[MTD DC Capcity]]/(24*CG616)</f>
        <v>0.19988227435336553</v>
      </c>
      <c r="AS616" s="323">
        <f>Modelling_new[[#This Row],[Target E_Grid YTD
MWh]]/Modelling_new[[#This Row],[YTD DC Capcity]]/(24*CH616)</f>
        <v>0.18462739878010245</v>
      </c>
      <c r="AT616" s="5">
        <v>12.8</v>
      </c>
      <c r="AU616" s="9">
        <f>Modelling_new[[#This Row],[Comisined DC ]]/$AO$1</f>
        <v>1</v>
      </c>
      <c r="AV61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16" s="5">
        <f>AVERAGEIFS(Modelling_new[[Comisined DC ]],Modelling_new[Date],"&lt;="&amp;Modelling_new[[#This Row],[Date]],Modelling_new[[Comisined DC ]],"&gt;"&amp;0,Modelling_new[Finacial Year],Modelling_new[[#This Row],[Finacial Year]])</f>
        <v>12.800000000000033</v>
      </c>
      <c r="BD616" s="27">
        <f t="shared" si="239"/>
        <v>45615</v>
      </c>
      <c r="BE616" s="5">
        <f>MONTH(Modelling[[#This Row],[Date]])</f>
        <v>11</v>
      </c>
      <c r="BF616" s="25">
        <f>YEAR(BD616)+IF(MONTH(Modelling[[#This Row],[Date]])&gt;=4,1,0)</f>
        <v>2025</v>
      </c>
      <c r="BG616" s="3">
        <f t="shared" si="234"/>
        <v>2024</v>
      </c>
      <c r="BH616" s="3" t="s">
        <v>627</v>
      </c>
      <c r="BI616" s="3" t="s">
        <v>627</v>
      </c>
      <c r="BJ616" s="102">
        <f>DATE(Modelling_old[[#This Row],[Calendor Year]],Modelling_old[[#This Row],[Start Month]],1)</f>
        <v>45597</v>
      </c>
      <c r="BK616" s="5">
        <f t="shared" si="235"/>
        <v>30</v>
      </c>
      <c r="BL616" s="5">
        <f t="shared" si="236"/>
        <v>11</v>
      </c>
      <c r="BM616" s="4">
        <f>Modelling_old[[#This Row],[Target E_Grid daily
MWh]]+Modelling_new[[#This Row],[Target E_Grid daily
MWh]]</f>
        <v>112.48716801468724</v>
      </c>
      <c r="BN616" s="4">
        <f>Modelling_old[[#This Row],[Target E_Grid MTD
MWh]]+Modelling_new[[#This Row],[Target E_Grid MTD
MWh]]</f>
        <v>2137.2561922790578</v>
      </c>
      <c r="BO616" s="4">
        <f>Modelling_old[[#This Row],[Target E_Grid YTD
MWh]]+Modelling_new[[#This Row],[Target E_Grid YTD
MWh]]</f>
        <v>23403.969432256024</v>
      </c>
      <c r="BP616" s="4">
        <f>AVERAGE(Modelling_old[[#This Row],[Target POA Daily (KWh/m2)]],Modelling_new[[#This Row],[Target POA Daily (KWh/m2)]])</f>
        <v>6.4133333333333331</v>
      </c>
      <c r="BQ616" s="4">
        <f>SUM($BP$598:BP616)</f>
        <v>121.85333333333327</v>
      </c>
      <c r="BR616" s="4">
        <f>SUM($BP$384:BP616)</f>
        <v>1277.7533333333295</v>
      </c>
      <c r="BS616" s="323">
        <f>BM616/Modelling[[#This Row],[Comisined DC ]]/BP616</f>
        <v>0.7217013143290083</v>
      </c>
      <c r="BT616" s="337">
        <f>BN616/BQ616/Modelling[[#This Row],[Comisined DC ]]</f>
        <v>0.72170131432900864</v>
      </c>
      <c r="BU616" s="337">
        <f>BO616/BR616/Modelling[[#This Row],[Comisined DC ]]</f>
        <v>0.75366930116230058</v>
      </c>
      <c r="BV616" s="323">
        <f>BM616/(24*Modelling[[#This Row],[Comisined DC ]])</f>
        <v>0.19285462899569608</v>
      </c>
      <c r="BW616" s="323">
        <f>Modelling[[#This Row],[Target E_Grid MTD
MWh]]/Modelling[[#This Row],[MTD DC Capcity]]/(24*CG616)</f>
        <v>0.19285462899569619</v>
      </c>
      <c r="BX616" s="338">
        <f>Modelling[[#This Row],[Target E_Grid YTD
MWh]]/Modelling[[#This Row],[YTD DC Capcity]]/(24*CH616)</f>
        <v>0.17221091949054504</v>
      </c>
      <c r="BY616" s="4">
        <f>Modelling_old[[#This Row],[DC Capcity]]+Modelling_new[[#This Row],[Comisined DC ]]</f>
        <v>24.303100000000001</v>
      </c>
      <c r="BZ616" s="4">
        <v>0</v>
      </c>
      <c r="CA616">
        <f>AVERAGEIFS(Modelling[[Comisined DC ]],Modelling[Date],"&lt;="&amp;Modelling[[#This Row],[Date]],Modelling[Month Year],Modelling[[#This Row],[Month Year]])</f>
        <v>24.30309999999999</v>
      </c>
      <c r="CB616">
        <f>AVERAGEIFS(Modelling[[Comisined DC ]],Modelling[Date],"&lt;="&amp;Modelling[[#This Row],[Date]],Modelling[Finacial Year],Modelling[[#This Row],[Finacial Year]])</f>
        <v>24.303100000000068</v>
      </c>
      <c r="CG616">
        <f t="shared" si="215"/>
        <v>19</v>
      </c>
      <c r="CH616">
        <f t="shared" si="237"/>
        <v>233</v>
      </c>
    </row>
    <row r="617" spans="1:86" x14ac:dyDescent="0.35">
      <c r="A617" s="27">
        <f t="shared" si="216"/>
        <v>45616</v>
      </c>
      <c r="B617" s="5">
        <f>MONTH(Modelling_old[[#This Row],[Date]])</f>
        <v>11</v>
      </c>
      <c r="C617" s="25">
        <f t="shared" si="217"/>
        <v>2025</v>
      </c>
      <c r="D617" s="3">
        <f t="shared" si="218"/>
        <v>2024</v>
      </c>
      <c r="E617" s="3" t="s">
        <v>627</v>
      </c>
      <c r="F617" s="3" t="s">
        <v>627</v>
      </c>
      <c r="G617" s="102">
        <f>DATE(Modelling_old[[#This Row],[Calendor Year]],Modelling_old[[#This Row],[Start Month]],1)</f>
        <v>45597</v>
      </c>
      <c r="H617" s="5">
        <f t="shared" si="219"/>
        <v>30</v>
      </c>
      <c r="I617" s="5">
        <f t="shared" si="220"/>
        <v>11</v>
      </c>
      <c r="J617" s="4">
        <f>_xlfn.XLOOKUP(Modelling_old[[#This Row],[Month]],$C$1:$C$14,$N$1:$N$14)/Modelling_old[[#This Row],[Total Days]]</f>
        <v>51.083333333333336</v>
      </c>
      <c r="K617" s="4">
        <f>SUM($J$598:J617)</f>
        <v>1021.666666666667</v>
      </c>
      <c r="L617" s="4">
        <f>SUM($J$384:J617)</f>
        <v>10239.866666666665</v>
      </c>
      <c r="M617" s="4">
        <f t="shared" si="221"/>
        <v>6.4133333333333331</v>
      </c>
      <c r="N617" s="4">
        <f>SUM($M$598:M617)</f>
        <v>128.26666666666659</v>
      </c>
      <c r="O617" s="4">
        <f>SUM($M$384:M617)</f>
        <v>1284.1666666666629</v>
      </c>
      <c r="P617" s="323">
        <f t="shared" si="222"/>
        <v>0.69243740514963059</v>
      </c>
      <c r="Q617" s="337">
        <f t="shared" si="223"/>
        <v>0.69243740514963115</v>
      </c>
      <c r="R617" s="337">
        <f t="shared" si="224"/>
        <v>0.69319913768018637</v>
      </c>
      <c r="S617" s="323">
        <f t="shared" si="225"/>
        <v>0.18503466215387351</v>
      </c>
      <c r="T617" s="9">
        <f>Modelling_old[[#This Row],[Target E_Grid MTD
MWh]]/Modelling_old[[#This Row],[DC Capcity]]/(24*CG617)</f>
        <v>0.18503466215387354</v>
      </c>
      <c r="U617" s="338">
        <f>Modelling_old[[#This Row],[Target E_Grid YTD
MWh]]/Modelling_old[[#This Row],[DC Capcity]]/(24*CH617)</f>
        <v>0.15850840918286505</v>
      </c>
      <c r="V617" s="134">
        <v>11.5031</v>
      </c>
      <c r="Y617" s="27">
        <f t="shared" si="238"/>
        <v>45616</v>
      </c>
      <c r="Z617" s="5">
        <f>MONTH(Modelling_new[[#This Row],[Date]])</f>
        <v>11</v>
      </c>
      <c r="AA617" s="25">
        <f>YEAR(Y617)+IF(MONTH(Modelling_new[[#This Row],[Date]])&gt;=4,1,0)</f>
        <v>2025</v>
      </c>
      <c r="AB617" s="3">
        <f t="shared" si="226"/>
        <v>2024</v>
      </c>
      <c r="AC617" s="3" t="s">
        <v>627</v>
      </c>
      <c r="AD617" s="3" t="s">
        <v>627</v>
      </c>
      <c r="AE617" s="102">
        <f>DATE(Modelling_old[[#This Row],[Calendor Year]],Modelling_old[[#This Row],[Start Month]],1)</f>
        <v>45597</v>
      </c>
      <c r="AF617" s="5">
        <f t="shared" si="227"/>
        <v>30</v>
      </c>
      <c r="AG617" s="5">
        <f t="shared" si="228"/>
        <v>11</v>
      </c>
      <c r="AH617" s="4">
        <f>_xlfn.XLOOKUP(Modelling_new[[#This Row],[Month]],$AA$1:$AA$14,$AL$1:$AL$14)/Modelling_new[[#This Row],[Total Days]]</f>
        <v>61.403834681353906</v>
      </c>
      <c r="AI617" s="4">
        <f>SUM($AH$598:AH617)</f>
        <v>1228.0766936270782</v>
      </c>
      <c r="AJ617" s="4">
        <f>SUM($AH$384:AH617)</f>
        <v>13276.589933604047</v>
      </c>
      <c r="AK617" s="4">
        <f t="shared" si="229"/>
        <v>6.4133333333333331</v>
      </c>
      <c r="AL617" s="4">
        <f>SUM($AK$598:AK617)</f>
        <v>128.26666666666659</v>
      </c>
      <c r="AM617" s="4">
        <f>SUM($AK$384:AK617)</f>
        <v>1284.1666666666629</v>
      </c>
      <c r="AN617" s="323">
        <f t="shared" si="230"/>
        <v>0.83233237102108171</v>
      </c>
      <c r="AO617" s="323">
        <f t="shared" si="231"/>
        <v>0.83233237102108215</v>
      </c>
      <c r="AP617" s="323">
        <f t="shared" si="232"/>
        <v>0.8987734892356446</v>
      </c>
      <c r="AQ617" s="323">
        <f t="shared" si="233"/>
        <v>0.22241770581174464</v>
      </c>
      <c r="AR617" s="323">
        <f>Modelling_new[[#This Row],[Target E_Grid MTD
MWh]]/Modelling_new[[#This Row],[MTD DC Capcity]]/(24*CG617)</f>
        <v>0.19988227435336553</v>
      </c>
      <c r="AS617" s="323">
        <f>Modelling_new[[#This Row],[Target E_Grid YTD
MWh]]/Modelling_new[[#This Row],[YTD DC Capcity]]/(24*CH617)</f>
        <v>0.1846925905560565</v>
      </c>
      <c r="AT617" s="5">
        <v>12.8</v>
      </c>
      <c r="AU617" s="9">
        <f>Modelling_new[[#This Row],[Comisined DC ]]/$AO$1</f>
        <v>1</v>
      </c>
      <c r="AV617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17" s="5">
        <f>AVERAGEIFS(Modelling_new[[Comisined DC ]],Modelling_new[Date],"&lt;="&amp;Modelling_new[[#This Row],[Date]],Modelling_new[[Comisined DC ]],"&gt;"&amp;0,Modelling_new[Finacial Year],Modelling_new[[#This Row],[Finacial Year]])</f>
        <v>12.800000000000034</v>
      </c>
      <c r="BD617" s="27">
        <f t="shared" si="239"/>
        <v>45616</v>
      </c>
      <c r="BE617" s="5">
        <f>MONTH(Modelling[[#This Row],[Date]])</f>
        <v>11</v>
      </c>
      <c r="BF617" s="25">
        <f>YEAR(BD617)+IF(MONTH(Modelling[[#This Row],[Date]])&gt;=4,1,0)</f>
        <v>2025</v>
      </c>
      <c r="BG617" s="3">
        <f t="shared" si="234"/>
        <v>2024</v>
      </c>
      <c r="BH617" s="3" t="s">
        <v>627</v>
      </c>
      <c r="BI617" s="3" t="s">
        <v>627</v>
      </c>
      <c r="BJ617" s="102">
        <f>DATE(Modelling_old[[#This Row],[Calendor Year]],Modelling_old[[#This Row],[Start Month]],1)</f>
        <v>45597</v>
      </c>
      <c r="BK617" s="5">
        <f t="shared" si="235"/>
        <v>30</v>
      </c>
      <c r="BL617" s="5">
        <f t="shared" si="236"/>
        <v>11</v>
      </c>
      <c r="BM617" s="4">
        <f>Modelling_old[[#This Row],[Target E_Grid daily
MWh]]+Modelling_new[[#This Row],[Target E_Grid daily
MWh]]</f>
        <v>112.48716801468724</v>
      </c>
      <c r="BN617" s="4">
        <f>Modelling_old[[#This Row],[Target E_Grid MTD
MWh]]+Modelling_new[[#This Row],[Target E_Grid MTD
MWh]]</f>
        <v>2249.7433602937454</v>
      </c>
      <c r="BO617" s="4">
        <f>Modelling_old[[#This Row],[Target E_Grid YTD
MWh]]+Modelling_new[[#This Row],[Target E_Grid YTD
MWh]]</f>
        <v>23516.456600270714</v>
      </c>
      <c r="BP617" s="4">
        <f>AVERAGE(Modelling_old[[#This Row],[Target POA Daily (KWh/m2)]],Modelling_new[[#This Row],[Target POA Daily (KWh/m2)]])</f>
        <v>6.4133333333333331</v>
      </c>
      <c r="BQ617" s="4">
        <f>SUM($BP$598:BP617)</f>
        <v>128.26666666666659</v>
      </c>
      <c r="BR617" s="4">
        <f>SUM($BP$384:BP617)</f>
        <v>1284.1666666666629</v>
      </c>
      <c r="BS617" s="323">
        <f>BM617/Modelling[[#This Row],[Comisined DC ]]/BP617</f>
        <v>0.7217013143290083</v>
      </c>
      <c r="BT617" s="337">
        <f>BN617/BQ617/Modelling[[#This Row],[Comisined DC ]]</f>
        <v>0.72170131432900886</v>
      </c>
      <c r="BU617" s="337">
        <f>BO617/BR617/Modelling[[#This Row],[Comisined DC ]]</f>
        <v>0.7535096479327944</v>
      </c>
      <c r="BV617" s="323">
        <f>BM617/(24*Modelling[[#This Row],[Comisined DC ]])</f>
        <v>0.19285462899569608</v>
      </c>
      <c r="BW617" s="323">
        <f>Modelling[[#This Row],[Target E_Grid MTD
MWh]]/Modelling[[#This Row],[MTD DC Capcity]]/(24*CG617)</f>
        <v>0.19285462899569622</v>
      </c>
      <c r="BX617" s="338">
        <f>Modelling[[#This Row],[Target E_Grid YTD
MWh]]/Modelling[[#This Row],[YTD DC Capcity]]/(24*CH617)</f>
        <v>0.17229914047133629</v>
      </c>
      <c r="BY617" s="4">
        <f>Modelling_old[[#This Row],[DC Capcity]]+Modelling_new[[#This Row],[Comisined DC ]]</f>
        <v>24.303100000000001</v>
      </c>
      <c r="BZ617" s="4">
        <v>0</v>
      </c>
      <c r="CA617">
        <f>AVERAGEIFS(Modelling[[Comisined DC ]],Modelling[Date],"&lt;="&amp;Modelling[[#This Row],[Date]],Modelling[Month Year],Modelling[[#This Row],[Month Year]])</f>
        <v>24.30309999999999</v>
      </c>
      <c r="CB617">
        <f>AVERAGEIFS(Modelling[[Comisined DC ]],Modelling[Date],"&lt;="&amp;Modelling[[#This Row],[Date]],Modelling[Finacial Year],Modelling[[#This Row],[Finacial Year]])</f>
        <v>24.303100000000068</v>
      </c>
      <c r="CG617">
        <f t="shared" si="215"/>
        <v>20</v>
      </c>
      <c r="CH617">
        <f t="shared" si="237"/>
        <v>234</v>
      </c>
    </row>
    <row r="618" spans="1:86" x14ac:dyDescent="0.35">
      <c r="A618" s="27">
        <f t="shared" si="216"/>
        <v>45617</v>
      </c>
      <c r="B618" s="5">
        <f>MONTH(Modelling_old[[#This Row],[Date]])</f>
        <v>11</v>
      </c>
      <c r="C618" s="25">
        <f t="shared" si="217"/>
        <v>2025</v>
      </c>
      <c r="D618" s="3">
        <f t="shared" si="218"/>
        <v>2024</v>
      </c>
      <c r="E618" s="3" t="s">
        <v>627</v>
      </c>
      <c r="F618" s="3" t="s">
        <v>627</v>
      </c>
      <c r="G618" s="102">
        <f>DATE(Modelling_old[[#This Row],[Calendor Year]],Modelling_old[[#This Row],[Start Month]],1)</f>
        <v>45597</v>
      </c>
      <c r="H618" s="5">
        <f t="shared" si="219"/>
        <v>30</v>
      </c>
      <c r="I618" s="5">
        <f t="shared" si="220"/>
        <v>11</v>
      </c>
      <c r="J618" s="4">
        <f>_xlfn.XLOOKUP(Modelling_old[[#This Row],[Month]],$C$1:$C$14,$N$1:$N$14)/Modelling_old[[#This Row],[Total Days]]</f>
        <v>51.083333333333336</v>
      </c>
      <c r="K618" s="4">
        <f>SUM($J$598:J618)</f>
        <v>1072.7500000000002</v>
      </c>
      <c r="L618" s="4">
        <f>SUM($J$384:J618)</f>
        <v>10290.949999999999</v>
      </c>
      <c r="M618" s="4">
        <f t="shared" si="221"/>
        <v>6.4133333333333331</v>
      </c>
      <c r="N618" s="4">
        <f>SUM($M$598:M618)</f>
        <v>134.67999999999992</v>
      </c>
      <c r="O618" s="4">
        <f>SUM($M$384:M618)</f>
        <v>1290.5799999999963</v>
      </c>
      <c r="P618" s="323">
        <f t="shared" si="222"/>
        <v>0.69243740514963059</v>
      </c>
      <c r="Q618" s="337">
        <f t="shared" si="223"/>
        <v>0.69243740514963115</v>
      </c>
      <c r="R618" s="337">
        <f t="shared" si="224"/>
        <v>0.69319535237076779</v>
      </c>
      <c r="S618" s="323">
        <f t="shared" si="225"/>
        <v>0.18503466215387351</v>
      </c>
      <c r="T618" s="9">
        <f>Modelling_old[[#This Row],[Target E_Grid MTD
MWh]]/Modelling_old[[#This Row],[DC Capcity]]/(24*CG618)</f>
        <v>0.18503466215387354</v>
      </c>
      <c r="U618" s="338">
        <f>Modelling_old[[#This Row],[Target E_Grid YTD
MWh]]/Modelling_old[[#This Row],[DC Capcity]]/(24*CH618)</f>
        <v>0.15862128685508209</v>
      </c>
      <c r="V618" s="134">
        <v>11.5031</v>
      </c>
      <c r="Y618" s="27">
        <f t="shared" si="238"/>
        <v>45617</v>
      </c>
      <c r="Z618" s="5">
        <f>MONTH(Modelling_new[[#This Row],[Date]])</f>
        <v>11</v>
      </c>
      <c r="AA618" s="25">
        <f>YEAR(Y618)+IF(MONTH(Modelling_new[[#This Row],[Date]])&gt;=4,1,0)</f>
        <v>2025</v>
      </c>
      <c r="AB618" s="3">
        <f t="shared" si="226"/>
        <v>2024</v>
      </c>
      <c r="AC618" s="3" t="s">
        <v>627</v>
      </c>
      <c r="AD618" s="3" t="s">
        <v>627</v>
      </c>
      <c r="AE618" s="102">
        <f>DATE(Modelling_old[[#This Row],[Calendor Year]],Modelling_old[[#This Row],[Start Month]],1)</f>
        <v>45597</v>
      </c>
      <c r="AF618" s="5">
        <f t="shared" si="227"/>
        <v>30</v>
      </c>
      <c r="AG618" s="5">
        <f t="shared" si="228"/>
        <v>11</v>
      </c>
      <c r="AH618" s="4">
        <f>_xlfn.XLOOKUP(Modelling_new[[#This Row],[Month]],$AA$1:$AA$14,$AL$1:$AL$14)/Modelling_new[[#This Row],[Total Days]]</f>
        <v>61.403834681353906</v>
      </c>
      <c r="AI618" s="4">
        <f>SUM($AH$598:AH618)</f>
        <v>1289.480528308432</v>
      </c>
      <c r="AJ618" s="4">
        <f>SUM($AH$384:AH618)</f>
        <v>13337.993768285402</v>
      </c>
      <c r="AK618" s="4">
        <f t="shared" si="229"/>
        <v>6.4133333333333331</v>
      </c>
      <c r="AL618" s="4">
        <f>SUM($AK$598:AK618)</f>
        <v>134.67999999999992</v>
      </c>
      <c r="AM618" s="4">
        <f>SUM($AK$384:AK618)</f>
        <v>1290.5799999999963</v>
      </c>
      <c r="AN618" s="323">
        <f t="shared" si="230"/>
        <v>0.83233237102108171</v>
      </c>
      <c r="AO618" s="323">
        <f t="shared" si="231"/>
        <v>0.83233237102108215</v>
      </c>
      <c r="AP618" s="323">
        <f t="shared" si="232"/>
        <v>0.89844332059972176</v>
      </c>
      <c r="AQ618" s="323">
        <f t="shared" si="233"/>
        <v>0.22241770581174464</v>
      </c>
      <c r="AR618" s="323">
        <f>Modelling_new[[#This Row],[Target E_Grid MTD
MWh]]/Modelling_new[[#This Row],[MTD DC Capcity]]/(24*CG618)</f>
        <v>0.19988227435336553</v>
      </c>
      <c r="AS618" s="323">
        <f>Modelling_new[[#This Row],[Target E_Grid YTD
MWh]]/Modelling_new[[#This Row],[YTD DC Capcity]]/(24*CH618)</f>
        <v>0.1847572275083855</v>
      </c>
      <c r="AT618" s="5">
        <v>12.8</v>
      </c>
      <c r="AU618" s="9">
        <f>Modelling_new[[#This Row],[Comisined DC ]]/$AO$1</f>
        <v>1</v>
      </c>
      <c r="AV618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18" s="5">
        <f>AVERAGEIFS(Modelling_new[[Comisined DC ]],Modelling_new[Date],"&lt;="&amp;Modelling_new[[#This Row],[Date]],Modelling_new[[Comisined DC ]],"&gt;"&amp;0,Modelling_new[Finacial Year],Modelling_new[[#This Row],[Finacial Year]])</f>
        <v>12.800000000000034</v>
      </c>
      <c r="BD618" s="27">
        <f t="shared" si="239"/>
        <v>45617</v>
      </c>
      <c r="BE618" s="5">
        <f>MONTH(Modelling[[#This Row],[Date]])</f>
        <v>11</v>
      </c>
      <c r="BF618" s="25">
        <f>YEAR(BD618)+IF(MONTH(Modelling[[#This Row],[Date]])&gt;=4,1,0)</f>
        <v>2025</v>
      </c>
      <c r="BG618" s="3">
        <f t="shared" si="234"/>
        <v>2024</v>
      </c>
      <c r="BH618" s="3" t="s">
        <v>627</v>
      </c>
      <c r="BI618" s="3" t="s">
        <v>627</v>
      </c>
      <c r="BJ618" s="102">
        <f>DATE(Modelling_old[[#This Row],[Calendor Year]],Modelling_old[[#This Row],[Start Month]],1)</f>
        <v>45597</v>
      </c>
      <c r="BK618" s="5">
        <f t="shared" si="235"/>
        <v>30</v>
      </c>
      <c r="BL618" s="5">
        <f t="shared" si="236"/>
        <v>11</v>
      </c>
      <c r="BM618" s="4">
        <f>Modelling_old[[#This Row],[Target E_Grid daily
MWh]]+Modelling_new[[#This Row],[Target E_Grid daily
MWh]]</f>
        <v>112.48716801468724</v>
      </c>
      <c r="BN618" s="4">
        <f>Modelling_old[[#This Row],[Target E_Grid MTD
MWh]]+Modelling_new[[#This Row],[Target E_Grid MTD
MWh]]</f>
        <v>2362.2305283084324</v>
      </c>
      <c r="BO618" s="4">
        <f>Modelling_old[[#This Row],[Target E_Grid YTD
MWh]]+Modelling_new[[#This Row],[Target E_Grid YTD
MWh]]</f>
        <v>23628.9437682854</v>
      </c>
      <c r="BP618" s="4">
        <f>AVERAGE(Modelling_old[[#This Row],[Target POA Daily (KWh/m2)]],Modelling_new[[#This Row],[Target POA Daily (KWh/m2)]])</f>
        <v>6.4133333333333331</v>
      </c>
      <c r="BQ618" s="4">
        <f>SUM($BP$598:BP618)</f>
        <v>134.67999999999992</v>
      </c>
      <c r="BR618" s="4">
        <f>SUM($BP$384:BP618)</f>
        <v>1290.5799999999963</v>
      </c>
      <c r="BS618" s="323">
        <f>BM618/Modelling[[#This Row],[Comisined DC ]]/BP618</f>
        <v>0.7217013143290083</v>
      </c>
      <c r="BT618" s="337">
        <f>BN618/BQ618/Modelling[[#This Row],[Comisined DC ]]</f>
        <v>0.72170131432900886</v>
      </c>
      <c r="BU618" s="337">
        <f>BO618/BR618/Modelling[[#This Row],[Comisined DC ]]</f>
        <v>0.75335158144626979</v>
      </c>
      <c r="BV618" s="323">
        <f>BM618/(24*Modelling[[#This Row],[Comisined DC ]])</f>
        <v>0.19285462899569608</v>
      </c>
      <c r="BW618" s="323">
        <f>Modelling[[#This Row],[Target E_Grid MTD
MWh]]/Modelling[[#This Row],[MTD DC Capcity]]/(24*CG618)</f>
        <v>0.19285462899569622</v>
      </c>
      <c r="BX618" s="338">
        <f>Modelling[[#This Row],[Target E_Grid YTD
MWh]]/Modelling[[#This Row],[YTD DC Capcity]]/(24*CH618)</f>
        <v>0.17238661063526972</v>
      </c>
      <c r="BY618" s="4">
        <f>Modelling_old[[#This Row],[DC Capcity]]+Modelling_new[[#This Row],[Comisined DC ]]</f>
        <v>24.303100000000001</v>
      </c>
      <c r="BZ618" s="4">
        <v>0</v>
      </c>
      <c r="CA618">
        <f>AVERAGEIFS(Modelling[[Comisined DC ]],Modelling[Date],"&lt;="&amp;Modelling[[#This Row],[Date]],Modelling[Month Year],Modelling[[#This Row],[Month Year]])</f>
        <v>24.30309999999999</v>
      </c>
      <c r="CB618">
        <f>AVERAGEIFS(Modelling[[Comisined DC ]],Modelling[Date],"&lt;="&amp;Modelling[[#This Row],[Date]],Modelling[Finacial Year],Modelling[[#This Row],[Finacial Year]])</f>
        <v>24.303100000000068</v>
      </c>
      <c r="CG618">
        <f t="shared" si="215"/>
        <v>21</v>
      </c>
      <c r="CH618">
        <f t="shared" si="237"/>
        <v>235</v>
      </c>
    </row>
    <row r="619" spans="1:86" x14ac:dyDescent="0.35">
      <c r="A619" s="27">
        <f t="shared" si="216"/>
        <v>45618</v>
      </c>
      <c r="B619" s="5">
        <f>MONTH(Modelling_old[[#This Row],[Date]])</f>
        <v>11</v>
      </c>
      <c r="C619" s="25">
        <f t="shared" si="217"/>
        <v>2025</v>
      </c>
      <c r="D619" s="3">
        <f t="shared" si="218"/>
        <v>2024</v>
      </c>
      <c r="E619" s="3" t="s">
        <v>627</v>
      </c>
      <c r="F619" s="3" t="s">
        <v>627</v>
      </c>
      <c r="G619" s="102">
        <f>DATE(Modelling_old[[#This Row],[Calendor Year]],Modelling_old[[#This Row],[Start Month]],1)</f>
        <v>45597</v>
      </c>
      <c r="H619" s="5">
        <f t="shared" si="219"/>
        <v>30</v>
      </c>
      <c r="I619" s="5">
        <f t="shared" si="220"/>
        <v>11</v>
      </c>
      <c r="J619" s="4">
        <f>_xlfn.XLOOKUP(Modelling_old[[#This Row],[Month]],$C$1:$C$14,$N$1:$N$14)/Modelling_old[[#This Row],[Total Days]]</f>
        <v>51.083333333333336</v>
      </c>
      <c r="K619" s="4">
        <f>SUM($J$598:J619)</f>
        <v>1123.8333333333335</v>
      </c>
      <c r="L619" s="4">
        <f>SUM($J$384:J619)</f>
        <v>10342.033333333333</v>
      </c>
      <c r="M619" s="4">
        <f t="shared" si="221"/>
        <v>6.4133333333333331</v>
      </c>
      <c r="N619" s="4">
        <f>SUM($M$598:M619)</f>
        <v>141.09333333333325</v>
      </c>
      <c r="O619" s="4">
        <f>SUM($M$384:M619)</f>
        <v>1296.9933333333297</v>
      </c>
      <c r="P619" s="323">
        <f t="shared" si="222"/>
        <v>0.69243740514963059</v>
      </c>
      <c r="Q619" s="337">
        <f t="shared" si="223"/>
        <v>0.69243740514963104</v>
      </c>
      <c r="R619" s="337">
        <f t="shared" si="224"/>
        <v>0.69319160449631601</v>
      </c>
      <c r="S619" s="323">
        <f t="shared" si="225"/>
        <v>0.18503466215387351</v>
      </c>
      <c r="T619" s="9">
        <f>Modelling_old[[#This Row],[Target E_Grid MTD
MWh]]/Modelling_old[[#This Row],[DC Capcity]]/(24*CG619)</f>
        <v>0.18503466215387351</v>
      </c>
      <c r="U619" s="338">
        <f>Modelling_old[[#This Row],[Target E_Grid YTD
MWh]]/Modelling_old[[#This Row],[DC Capcity]]/(24*CH619)</f>
        <v>0.15873320793685664</v>
      </c>
      <c r="V619" s="134">
        <v>11.5031</v>
      </c>
      <c r="Y619" s="27">
        <f t="shared" si="238"/>
        <v>45618</v>
      </c>
      <c r="Z619" s="5">
        <f>MONTH(Modelling_new[[#This Row],[Date]])</f>
        <v>11</v>
      </c>
      <c r="AA619" s="25">
        <f>YEAR(Y619)+IF(MONTH(Modelling_new[[#This Row],[Date]])&gt;=4,1,0)</f>
        <v>2025</v>
      </c>
      <c r="AB619" s="3">
        <f t="shared" si="226"/>
        <v>2024</v>
      </c>
      <c r="AC619" s="3" t="s">
        <v>627</v>
      </c>
      <c r="AD619" s="3" t="s">
        <v>627</v>
      </c>
      <c r="AE619" s="102">
        <f>DATE(Modelling_old[[#This Row],[Calendor Year]],Modelling_old[[#This Row],[Start Month]],1)</f>
        <v>45597</v>
      </c>
      <c r="AF619" s="5">
        <f t="shared" si="227"/>
        <v>30</v>
      </c>
      <c r="AG619" s="5">
        <f t="shared" si="228"/>
        <v>11</v>
      </c>
      <c r="AH619" s="4">
        <f>_xlfn.XLOOKUP(Modelling_new[[#This Row],[Month]],$AA$1:$AA$14,$AL$1:$AL$14)/Modelling_new[[#This Row],[Total Days]]</f>
        <v>61.403834681353906</v>
      </c>
      <c r="AI619" s="4">
        <f>SUM($AH$598:AH619)</f>
        <v>1350.8843629897858</v>
      </c>
      <c r="AJ619" s="4">
        <f>SUM($AH$384:AH619)</f>
        <v>13399.397602966756</v>
      </c>
      <c r="AK619" s="4">
        <f t="shared" si="229"/>
        <v>6.4133333333333331</v>
      </c>
      <c r="AL619" s="4">
        <f>SUM($AK$598:AK619)</f>
        <v>141.09333333333325</v>
      </c>
      <c r="AM619" s="4">
        <f>SUM($AK$384:AK619)</f>
        <v>1296.9933333333297</v>
      </c>
      <c r="AN619" s="323">
        <f t="shared" si="230"/>
        <v>0.83233237102108171</v>
      </c>
      <c r="AO619" s="323">
        <f t="shared" si="231"/>
        <v>0.83233237102108215</v>
      </c>
      <c r="AP619" s="323">
        <f t="shared" si="232"/>
        <v>0.89811641717953117</v>
      </c>
      <c r="AQ619" s="323">
        <f t="shared" si="233"/>
        <v>0.22241770581174464</v>
      </c>
      <c r="AR619" s="323">
        <f>Modelling_new[[#This Row],[Target E_Grid MTD
MWh]]/Modelling_new[[#This Row],[MTD DC Capcity]]/(24*CG619)</f>
        <v>0.1998822743533655</v>
      </c>
      <c r="AS619" s="323">
        <f>Modelling_new[[#This Row],[Target E_Grid YTD
MWh]]/Modelling_new[[#This Row],[YTD DC Capcity]]/(24*CH619)</f>
        <v>0.18482131668993201</v>
      </c>
      <c r="AT619" s="5">
        <v>12.8</v>
      </c>
      <c r="AU619" s="9">
        <f>Modelling_new[[#This Row],[Comisined DC ]]/$AO$1</f>
        <v>1</v>
      </c>
      <c r="AV61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19" s="5">
        <f>AVERAGEIFS(Modelling_new[[Comisined DC ]],Modelling_new[Date],"&lt;="&amp;Modelling_new[[#This Row],[Date]],Modelling_new[[Comisined DC ]],"&gt;"&amp;0,Modelling_new[Finacial Year],Modelling_new[[#This Row],[Finacial Year]])</f>
        <v>12.800000000000036</v>
      </c>
      <c r="BD619" s="27">
        <f t="shared" si="239"/>
        <v>45618</v>
      </c>
      <c r="BE619" s="5">
        <f>MONTH(Modelling[[#This Row],[Date]])</f>
        <v>11</v>
      </c>
      <c r="BF619" s="25">
        <f>YEAR(BD619)+IF(MONTH(Modelling[[#This Row],[Date]])&gt;=4,1,0)</f>
        <v>2025</v>
      </c>
      <c r="BG619" s="3">
        <f t="shared" si="234"/>
        <v>2024</v>
      </c>
      <c r="BH619" s="3" t="s">
        <v>627</v>
      </c>
      <c r="BI619" s="3" t="s">
        <v>627</v>
      </c>
      <c r="BJ619" s="102">
        <f>DATE(Modelling_old[[#This Row],[Calendor Year]],Modelling_old[[#This Row],[Start Month]],1)</f>
        <v>45597</v>
      </c>
      <c r="BK619" s="5">
        <f t="shared" si="235"/>
        <v>30</v>
      </c>
      <c r="BL619" s="5">
        <f t="shared" si="236"/>
        <v>11</v>
      </c>
      <c r="BM619" s="4">
        <f>Modelling_old[[#This Row],[Target E_Grid daily
MWh]]+Modelling_new[[#This Row],[Target E_Grid daily
MWh]]</f>
        <v>112.48716801468724</v>
      </c>
      <c r="BN619" s="4">
        <f>Modelling_old[[#This Row],[Target E_Grid MTD
MWh]]+Modelling_new[[#This Row],[Target E_Grid MTD
MWh]]</f>
        <v>2474.7176963231195</v>
      </c>
      <c r="BO619" s="4">
        <f>Modelling_old[[#This Row],[Target E_Grid YTD
MWh]]+Modelling_new[[#This Row],[Target E_Grid YTD
MWh]]</f>
        <v>23741.430936300087</v>
      </c>
      <c r="BP619" s="4">
        <f>AVERAGE(Modelling_old[[#This Row],[Target POA Daily (KWh/m2)]],Modelling_new[[#This Row],[Target POA Daily (KWh/m2)]])</f>
        <v>6.4133333333333331</v>
      </c>
      <c r="BQ619" s="4">
        <f>SUM($BP$598:BP619)</f>
        <v>141.09333333333325</v>
      </c>
      <c r="BR619" s="4">
        <f>SUM($BP$384:BP619)</f>
        <v>1296.9933333333297</v>
      </c>
      <c r="BS619" s="323">
        <f>BM619/Modelling[[#This Row],[Comisined DC ]]/BP619</f>
        <v>0.7217013143290083</v>
      </c>
      <c r="BT619" s="337">
        <f>BN619/BQ619/Modelling[[#This Row],[Comisined DC ]]</f>
        <v>0.72170131432900864</v>
      </c>
      <c r="BU619" s="337">
        <f>BO619/BR619/Modelling[[#This Row],[Comisined DC ]]</f>
        <v>0.75319507816449072</v>
      </c>
      <c r="BV619" s="323">
        <f>BM619/(24*Modelling[[#This Row],[Comisined DC ]])</f>
        <v>0.19285462899569608</v>
      </c>
      <c r="BW619" s="323">
        <f>Modelling[[#This Row],[Target E_Grid MTD
MWh]]/Modelling[[#This Row],[MTD DC Capcity]]/(24*CG619)</f>
        <v>0.19285462899569622</v>
      </c>
      <c r="BX619" s="338">
        <f>Modelling[[#This Row],[Target E_Grid YTD
MWh]]/Modelling[[#This Row],[YTD DC Capcity]]/(24*CH619)</f>
        <v>0.17247333952662747</v>
      </c>
      <c r="BY619" s="4">
        <f>Modelling_old[[#This Row],[DC Capcity]]+Modelling_new[[#This Row],[Comisined DC ]]</f>
        <v>24.303100000000001</v>
      </c>
      <c r="BZ619" s="4">
        <v>0</v>
      </c>
      <c r="CA619">
        <f>AVERAGEIFS(Modelling[[Comisined DC ]],Modelling[Date],"&lt;="&amp;Modelling[[#This Row],[Date]],Modelling[Month Year],Modelling[[#This Row],[Month Year]])</f>
        <v>24.303099999999986</v>
      </c>
      <c r="CB619">
        <f>AVERAGEIFS(Modelling[[Comisined DC ]],Modelling[Date],"&lt;="&amp;Modelling[[#This Row],[Date]],Modelling[Finacial Year],Modelling[[#This Row],[Finacial Year]])</f>
        <v>24.303100000000068</v>
      </c>
      <c r="CG619">
        <f t="shared" si="215"/>
        <v>22</v>
      </c>
      <c r="CH619">
        <f t="shared" si="237"/>
        <v>236</v>
      </c>
    </row>
    <row r="620" spans="1:86" x14ac:dyDescent="0.35">
      <c r="A620" s="27">
        <f t="shared" si="216"/>
        <v>45619</v>
      </c>
      <c r="B620" s="5">
        <f>MONTH(Modelling_old[[#This Row],[Date]])</f>
        <v>11</v>
      </c>
      <c r="C620" s="25">
        <f t="shared" si="217"/>
        <v>2025</v>
      </c>
      <c r="D620" s="3">
        <f t="shared" si="218"/>
        <v>2024</v>
      </c>
      <c r="E620" s="3" t="s">
        <v>627</v>
      </c>
      <c r="F620" s="3" t="s">
        <v>627</v>
      </c>
      <c r="G620" s="102">
        <f>DATE(Modelling_old[[#This Row],[Calendor Year]],Modelling_old[[#This Row],[Start Month]],1)</f>
        <v>45597</v>
      </c>
      <c r="H620" s="5">
        <f t="shared" si="219"/>
        <v>30</v>
      </c>
      <c r="I620" s="5">
        <f t="shared" si="220"/>
        <v>11</v>
      </c>
      <c r="J620" s="4">
        <f>_xlfn.XLOOKUP(Modelling_old[[#This Row],[Month]],$C$1:$C$14,$N$1:$N$14)/Modelling_old[[#This Row],[Total Days]]</f>
        <v>51.083333333333336</v>
      </c>
      <c r="K620" s="4">
        <f>SUM($J$598:J620)</f>
        <v>1174.9166666666667</v>
      </c>
      <c r="L620" s="4">
        <f>SUM($J$384:J620)</f>
        <v>10393.116666666667</v>
      </c>
      <c r="M620" s="4">
        <f t="shared" si="221"/>
        <v>6.4133333333333331</v>
      </c>
      <c r="N620" s="4">
        <f>SUM($M$598:M620)</f>
        <v>147.50666666666658</v>
      </c>
      <c r="O620" s="4">
        <f>SUM($M$384:M620)</f>
        <v>1303.4066666666631</v>
      </c>
      <c r="P620" s="323">
        <f t="shared" si="222"/>
        <v>0.69243740514963059</v>
      </c>
      <c r="Q620" s="337">
        <f t="shared" si="223"/>
        <v>0.69243740514963104</v>
      </c>
      <c r="R620" s="337">
        <f t="shared" si="224"/>
        <v>0.69318789350424137</v>
      </c>
      <c r="S620" s="323">
        <f t="shared" si="225"/>
        <v>0.18503466215387351</v>
      </c>
      <c r="T620" s="9">
        <f>Modelling_old[[#This Row],[Target E_Grid MTD
MWh]]/Modelling_old[[#This Row],[DC Capcity]]/(24*CG620)</f>
        <v>0.18503466215387351</v>
      </c>
      <c r="U620" s="338">
        <f>Modelling_old[[#This Row],[Target E_Grid YTD
MWh]]/Modelling_old[[#This Row],[DC Capcity]]/(24*CH620)</f>
        <v>0.15884418453692847</v>
      </c>
      <c r="V620" s="134">
        <v>11.5031</v>
      </c>
      <c r="Y620" s="27">
        <f t="shared" si="238"/>
        <v>45619</v>
      </c>
      <c r="Z620" s="5">
        <f>MONTH(Modelling_new[[#This Row],[Date]])</f>
        <v>11</v>
      </c>
      <c r="AA620" s="25">
        <f>YEAR(Y620)+IF(MONTH(Modelling_new[[#This Row],[Date]])&gt;=4,1,0)</f>
        <v>2025</v>
      </c>
      <c r="AB620" s="3">
        <f t="shared" si="226"/>
        <v>2024</v>
      </c>
      <c r="AC620" s="3" t="s">
        <v>627</v>
      </c>
      <c r="AD620" s="3" t="s">
        <v>627</v>
      </c>
      <c r="AE620" s="102">
        <f>DATE(Modelling_old[[#This Row],[Calendor Year]],Modelling_old[[#This Row],[Start Month]],1)</f>
        <v>45597</v>
      </c>
      <c r="AF620" s="5">
        <f t="shared" si="227"/>
        <v>30</v>
      </c>
      <c r="AG620" s="5">
        <f t="shared" si="228"/>
        <v>11</v>
      </c>
      <c r="AH620" s="4">
        <f>_xlfn.XLOOKUP(Modelling_new[[#This Row],[Month]],$AA$1:$AA$14,$AL$1:$AL$14)/Modelling_new[[#This Row],[Total Days]]</f>
        <v>61.403834681353906</v>
      </c>
      <c r="AI620" s="4">
        <f>SUM($AH$598:AH620)</f>
        <v>1412.2881976711396</v>
      </c>
      <c r="AJ620" s="4">
        <f>SUM($AH$384:AH620)</f>
        <v>13460.80143764811</v>
      </c>
      <c r="AK620" s="4">
        <f t="shared" si="229"/>
        <v>6.4133333333333331</v>
      </c>
      <c r="AL620" s="4">
        <f>SUM($AK$598:AK620)</f>
        <v>147.50666666666658</v>
      </c>
      <c r="AM620" s="4">
        <f>SUM($AK$384:AK620)</f>
        <v>1303.4066666666631</v>
      </c>
      <c r="AN620" s="323">
        <f t="shared" si="230"/>
        <v>0.83233237102108171</v>
      </c>
      <c r="AO620" s="323">
        <f t="shared" si="231"/>
        <v>0.83233237102108215</v>
      </c>
      <c r="AP620" s="323">
        <f t="shared" si="232"/>
        <v>0.89779273077618582</v>
      </c>
      <c r="AQ620" s="323">
        <f t="shared" si="233"/>
        <v>0.22241770581174464</v>
      </c>
      <c r="AR620" s="323">
        <f>Modelling_new[[#This Row],[Target E_Grid MTD
MWh]]/Modelling_new[[#This Row],[MTD DC Capcity]]/(24*CG620)</f>
        <v>0.19988227435336547</v>
      </c>
      <c r="AS620" s="323">
        <f>Modelling_new[[#This Row],[Target E_Grid YTD
MWh]]/Modelling_new[[#This Row],[YTD DC Capcity]]/(24*CH620)</f>
        <v>0.18488486503450344</v>
      </c>
      <c r="AT620" s="5">
        <v>12.8</v>
      </c>
      <c r="AU620" s="9">
        <f>Modelling_new[[#This Row],[Comisined DC ]]/$AO$1</f>
        <v>1</v>
      </c>
      <c r="AV62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20" s="5">
        <f>AVERAGEIFS(Modelling_new[[Comisined DC ]],Modelling_new[Date],"&lt;="&amp;Modelling_new[[#This Row],[Date]],Modelling_new[[Comisined DC ]],"&gt;"&amp;0,Modelling_new[Finacial Year],Modelling_new[[#This Row],[Finacial Year]])</f>
        <v>12.800000000000036</v>
      </c>
      <c r="BD620" s="27">
        <f t="shared" si="239"/>
        <v>45619</v>
      </c>
      <c r="BE620" s="5">
        <f>MONTH(Modelling[[#This Row],[Date]])</f>
        <v>11</v>
      </c>
      <c r="BF620" s="25">
        <f>YEAR(BD620)+IF(MONTH(Modelling[[#This Row],[Date]])&gt;=4,1,0)</f>
        <v>2025</v>
      </c>
      <c r="BG620" s="3">
        <f t="shared" si="234"/>
        <v>2024</v>
      </c>
      <c r="BH620" s="3" t="s">
        <v>627</v>
      </c>
      <c r="BI620" s="3" t="s">
        <v>627</v>
      </c>
      <c r="BJ620" s="102">
        <f>DATE(Modelling_old[[#This Row],[Calendor Year]],Modelling_old[[#This Row],[Start Month]],1)</f>
        <v>45597</v>
      </c>
      <c r="BK620" s="5">
        <f t="shared" si="235"/>
        <v>30</v>
      </c>
      <c r="BL620" s="5">
        <f t="shared" si="236"/>
        <v>11</v>
      </c>
      <c r="BM620" s="4">
        <f>Modelling_old[[#This Row],[Target E_Grid daily
MWh]]+Modelling_new[[#This Row],[Target E_Grid daily
MWh]]</f>
        <v>112.48716801468724</v>
      </c>
      <c r="BN620" s="4">
        <f>Modelling_old[[#This Row],[Target E_Grid MTD
MWh]]+Modelling_new[[#This Row],[Target E_Grid MTD
MWh]]</f>
        <v>2587.2048643378066</v>
      </c>
      <c r="BO620" s="4">
        <f>Modelling_old[[#This Row],[Target E_Grid YTD
MWh]]+Modelling_new[[#This Row],[Target E_Grid YTD
MWh]]</f>
        <v>23853.918104314776</v>
      </c>
      <c r="BP620" s="4">
        <f>AVERAGE(Modelling_old[[#This Row],[Target POA Daily (KWh/m2)]],Modelling_new[[#This Row],[Target POA Daily (KWh/m2)]])</f>
        <v>6.4133333333333331</v>
      </c>
      <c r="BQ620" s="4">
        <f>SUM($BP$598:BP620)</f>
        <v>147.50666666666658</v>
      </c>
      <c r="BR620" s="4">
        <f>SUM($BP$384:BP620)</f>
        <v>1303.4066666666631</v>
      </c>
      <c r="BS620" s="323">
        <f>BM620/Modelling[[#This Row],[Comisined DC ]]/BP620</f>
        <v>0.7217013143290083</v>
      </c>
      <c r="BT620" s="337">
        <f>BN620/BQ620/Modelling[[#This Row],[Comisined DC ]]</f>
        <v>0.72170131432900864</v>
      </c>
      <c r="BU620" s="337">
        <f>BO620/BR620/Modelling[[#This Row],[Comisined DC ]]</f>
        <v>0.75304011501249557</v>
      </c>
      <c r="BV620" s="323">
        <f>BM620/(24*Modelling[[#This Row],[Comisined DC ]])</f>
        <v>0.19285462899569608</v>
      </c>
      <c r="BW620" s="323">
        <f>Modelling[[#This Row],[Target E_Grid MTD
MWh]]/Modelling[[#This Row],[MTD DC Capcity]]/(24*CG620)</f>
        <v>0.19285462899569619</v>
      </c>
      <c r="BX620" s="338">
        <f>Modelling[[#This Row],[Target E_Grid YTD
MWh]]/Modelling[[#This Row],[YTD DC Capcity]]/(24*CH620)</f>
        <v>0.17255933652860667</v>
      </c>
      <c r="BY620" s="4">
        <f>Modelling_old[[#This Row],[DC Capcity]]+Modelling_new[[#This Row],[Comisined DC ]]</f>
        <v>24.303100000000001</v>
      </c>
      <c r="BZ620" s="4">
        <v>0</v>
      </c>
      <c r="CA620">
        <f>AVERAGEIFS(Modelling[[Comisined DC ]],Modelling[Date],"&lt;="&amp;Modelling[[#This Row],[Date]],Modelling[Month Year],Modelling[[#This Row],[Month Year]])</f>
        <v>24.303099999999986</v>
      </c>
      <c r="CB620">
        <f>AVERAGEIFS(Modelling[[Comisined DC ]],Modelling[Date],"&lt;="&amp;Modelling[[#This Row],[Date]],Modelling[Finacial Year],Modelling[[#This Row],[Finacial Year]])</f>
        <v>24.303100000000068</v>
      </c>
      <c r="CG620">
        <f t="shared" si="215"/>
        <v>23</v>
      </c>
      <c r="CH620">
        <f t="shared" si="237"/>
        <v>237</v>
      </c>
    </row>
    <row r="621" spans="1:86" x14ac:dyDescent="0.35">
      <c r="A621" s="27">
        <f t="shared" si="216"/>
        <v>45620</v>
      </c>
      <c r="B621" s="5">
        <f>MONTH(Modelling_old[[#This Row],[Date]])</f>
        <v>11</v>
      </c>
      <c r="C621" s="25">
        <f t="shared" si="217"/>
        <v>2025</v>
      </c>
      <c r="D621" s="3">
        <f t="shared" si="218"/>
        <v>2024</v>
      </c>
      <c r="E621" s="3" t="s">
        <v>627</v>
      </c>
      <c r="F621" s="3" t="s">
        <v>627</v>
      </c>
      <c r="G621" s="102">
        <f>DATE(Modelling_old[[#This Row],[Calendor Year]],Modelling_old[[#This Row],[Start Month]],1)</f>
        <v>45597</v>
      </c>
      <c r="H621" s="5">
        <f t="shared" si="219"/>
        <v>30</v>
      </c>
      <c r="I621" s="5">
        <f t="shared" si="220"/>
        <v>11</v>
      </c>
      <c r="J621" s="4">
        <f>_xlfn.XLOOKUP(Modelling_old[[#This Row],[Month]],$C$1:$C$14,$N$1:$N$14)/Modelling_old[[#This Row],[Total Days]]</f>
        <v>51.083333333333336</v>
      </c>
      <c r="K621" s="4">
        <f>SUM($J$598:J621)</f>
        <v>1226</v>
      </c>
      <c r="L621" s="4">
        <f>SUM($J$384:J621)</f>
        <v>10444.200000000001</v>
      </c>
      <c r="M621" s="4">
        <f t="shared" si="221"/>
        <v>6.4133333333333331</v>
      </c>
      <c r="N621" s="4">
        <f>SUM($M$598:M621)</f>
        <v>153.9199999999999</v>
      </c>
      <c r="O621" s="4">
        <f>SUM($M$384:M621)</f>
        <v>1309.8199999999965</v>
      </c>
      <c r="P621" s="323">
        <f t="shared" si="222"/>
        <v>0.69243740514963059</v>
      </c>
      <c r="Q621" s="337">
        <f t="shared" si="223"/>
        <v>0.69243740514963104</v>
      </c>
      <c r="R621" s="337">
        <f t="shared" si="224"/>
        <v>0.69318421885277715</v>
      </c>
      <c r="S621" s="323">
        <f t="shared" si="225"/>
        <v>0.18503466215387351</v>
      </c>
      <c r="T621" s="9">
        <f>Modelling_old[[#This Row],[Target E_Grid MTD
MWh]]/Modelling_old[[#This Row],[DC Capcity]]/(24*CG621)</f>
        <v>0.18503466215387351</v>
      </c>
      <c r="U621" s="338">
        <f>Modelling_old[[#This Row],[Target E_Grid YTD
MWh]]/Modelling_old[[#This Row],[DC Capcity]]/(24*CH621)</f>
        <v>0.15895422856052907</v>
      </c>
      <c r="V621" s="134">
        <v>11.5031</v>
      </c>
      <c r="Y621" s="27">
        <f t="shared" si="238"/>
        <v>45620</v>
      </c>
      <c r="Z621" s="5">
        <f>MONTH(Modelling_new[[#This Row],[Date]])</f>
        <v>11</v>
      </c>
      <c r="AA621" s="25">
        <f>YEAR(Y621)+IF(MONTH(Modelling_new[[#This Row],[Date]])&gt;=4,1,0)</f>
        <v>2025</v>
      </c>
      <c r="AB621" s="3">
        <f t="shared" si="226"/>
        <v>2024</v>
      </c>
      <c r="AC621" s="3" t="s">
        <v>627</v>
      </c>
      <c r="AD621" s="3" t="s">
        <v>627</v>
      </c>
      <c r="AE621" s="102">
        <f>DATE(Modelling_old[[#This Row],[Calendor Year]],Modelling_old[[#This Row],[Start Month]],1)</f>
        <v>45597</v>
      </c>
      <c r="AF621" s="5">
        <f t="shared" si="227"/>
        <v>30</v>
      </c>
      <c r="AG621" s="5">
        <f t="shared" si="228"/>
        <v>11</v>
      </c>
      <c r="AH621" s="4">
        <f>_xlfn.XLOOKUP(Modelling_new[[#This Row],[Month]],$AA$1:$AA$14,$AL$1:$AL$14)/Modelling_new[[#This Row],[Total Days]]</f>
        <v>61.403834681353906</v>
      </c>
      <c r="AI621" s="4">
        <f>SUM($AH$598:AH621)</f>
        <v>1473.6920323524935</v>
      </c>
      <c r="AJ621" s="4">
        <f>SUM($AH$384:AH621)</f>
        <v>13522.205272329464</v>
      </c>
      <c r="AK621" s="4">
        <f t="shared" si="229"/>
        <v>6.4133333333333331</v>
      </c>
      <c r="AL621" s="4">
        <f>SUM($AK$598:AK621)</f>
        <v>153.9199999999999</v>
      </c>
      <c r="AM621" s="4">
        <f>SUM($AK$384:AK621)</f>
        <v>1309.8199999999965</v>
      </c>
      <c r="AN621" s="323">
        <f t="shared" si="230"/>
        <v>0.83233237102108171</v>
      </c>
      <c r="AO621" s="323">
        <f t="shared" si="231"/>
        <v>0.83233237102108215</v>
      </c>
      <c r="AP621" s="323">
        <f t="shared" si="232"/>
        <v>0.89747221413479272</v>
      </c>
      <c r="AQ621" s="323">
        <f t="shared" si="233"/>
        <v>0.22241770581174464</v>
      </c>
      <c r="AR621" s="323">
        <f>Modelling_new[[#This Row],[Target E_Grid MTD
MWh]]/Modelling_new[[#This Row],[MTD DC Capcity]]/(24*CG621)</f>
        <v>0.19988227435336547</v>
      </c>
      <c r="AS621" s="323">
        <f>Modelling_new[[#This Row],[Target E_Grid YTD
MWh]]/Modelling_new[[#This Row],[YTD DC Capcity]]/(24*CH621)</f>
        <v>0.1849478793593726</v>
      </c>
      <c r="AT621" s="5">
        <v>12.8</v>
      </c>
      <c r="AU621" s="9">
        <f>Modelling_new[[#This Row],[Comisined DC ]]/$AO$1</f>
        <v>1</v>
      </c>
      <c r="AV62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21" s="5">
        <f>AVERAGEIFS(Modelling_new[[Comisined DC ]],Modelling_new[Date],"&lt;="&amp;Modelling_new[[#This Row],[Date]],Modelling_new[[Comisined DC ]],"&gt;"&amp;0,Modelling_new[Finacial Year],Modelling_new[[#This Row],[Finacial Year]])</f>
        <v>12.800000000000036</v>
      </c>
      <c r="BD621" s="27">
        <f t="shared" si="239"/>
        <v>45620</v>
      </c>
      <c r="BE621" s="5">
        <f>MONTH(Modelling[[#This Row],[Date]])</f>
        <v>11</v>
      </c>
      <c r="BF621" s="25">
        <f>YEAR(BD621)+IF(MONTH(Modelling[[#This Row],[Date]])&gt;=4,1,0)</f>
        <v>2025</v>
      </c>
      <c r="BG621" s="3">
        <f t="shared" si="234"/>
        <v>2024</v>
      </c>
      <c r="BH621" s="3" t="s">
        <v>627</v>
      </c>
      <c r="BI621" s="3" t="s">
        <v>627</v>
      </c>
      <c r="BJ621" s="102">
        <f>DATE(Modelling_old[[#This Row],[Calendor Year]],Modelling_old[[#This Row],[Start Month]],1)</f>
        <v>45597</v>
      </c>
      <c r="BK621" s="5">
        <f t="shared" si="235"/>
        <v>30</v>
      </c>
      <c r="BL621" s="5">
        <f t="shared" si="236"/>
        <v>11</v>
      </c>
      <c r="BM621" s="4">
        <f>Modelling_old[[#This Row],[Target E_Grid daily
MWh]]+Modelling_new[[#This Row],[Target E_Grid daily
MWh]]</f>
        <v>112.48716801468724</v>
      </c>
      <c r="BN621" s="4">
        <f>Modelling_old[[#This Row],[Target E_Grid MTD
MWh]]+Modelling_new[[#This Row],[Target E_Grid MTD
MWh]]</f>
        <v>2699.6920323524937</v>
      </c>
      <c r="BO621" s="4">
        <f>Modelling_old[[#This Row],[Target E_Grid YTD
MWh]]+Modelling_new[[#This Row],[Target E_Grid YTD
MWh]]</f>
        <v>23966.405272329466</v>
      </c>
      <c r="BP621" s="4">
        <f>AVERAGE(Modelling_old[[#This Row],[Target POA Daily (KWh/m2)]],Modelling_new[[#This Row],[Target POA Daily (KWh/m2)]])</f>
        <v>6.4133333333333331</v>
      </c>
      <c r="BQ621" s="4">
        <f>SUM($BP$598:BP621)</f>
        <v>153.9199999999999</v>
      </c>
      <c r="BR621" s="4">
        <f>SUM($BP$384:BP621)</f>
        <v>1309.8199999999965</v>
      </c>
      <c r="BS621" s="323">
        <f>BM621/Modelling[[#This Row],[Comisined DC ]]/BP621</f>
        <v>0.7217013143290083</v>
      </c>
      <c r="BT621" s="337">
        <f>BN621/BQ621/Modelling[[#This Row],[Comisined DC ]]</f>
        <v>0.72170131432900864</v>
      </c>
      <c r="BU621" s="337">
        <f>BO621/BR621/Modelling[[#This Row],[Comisined DC ]]</f>
        <v>0.75288666936725424</v>
      </c>
      <c r="BV621" s="323">
        <f>BM621/(24*Modelling[[#This Row],[Comisined DC ]])</f>
        <v>0.19285462899569608</v>
      </c>
      <c r="BW621" s="323">
        <f>Modelling[[#This Row],[Target E_Grid MTD
MWh]]/Modelling[[#This Row],[MTD DC Capcity]]/(24*CG621)</f>
        <v>0.19285462899569619</v>
      </c>
      <c r="BX621" s="338">
        <f>Modelling[[#This Row],[Target E_Grid YTD
MWh]]/Modelling[[#This Row],[YTD DC Capcity]]/(24*CH621)</f>
        <v>0.17264461086670371</v>
      </c>
      <c r="BY621" s="4">
        <f>Modelling_old[[#This Row],[DC Capcity]]+Modelling_new[[#This Row],[Comisined DC ]]</f>
        <v>24.303100000000001</v>
      </c>
      <c r="BZ621" s="4">
        <v>0</v>
      </c>
      <c r="CA621">
        <f>AVERAGEIFS(Modelling[[Comisined DC ]],Modelling[Date],"&lt;="&amp;Modelling[[#This Row],[Date]],Modelling[Month Year],Modelling[[#This Row],[Month Year]])</f>
        <v>24.303099999999986</v>
      </c>
      <c r="CB621">
        <f>AVERAGEIFS(Modelling[[Comisined DC ]],Modelling[Date],"&lt;="&amp;Modelling[[#This Row],[Date]],Modelling[Finacial Year],Modelling[[#This Row],[Finacial Year]])</f>
        <v>24.303100000000068</v>
      </c>
      <c r="CG621">
        <f t="shared" si="215"/>
        <v>24</v>
      </c>
      <c r="CH621">
        <f t="shared" si="237"/>
        <v>238</v>
      </c>
    </row>
    <row r="622" spans="1:86" x14ac:dyDescent="0.35">
      <c r="A622" s="27">
        <f t="shared" si="216"/>
        <v>45621</v>
      </c>
      <c r="B622" s="5">
        <f>MONTH(Modelling_old[[#This Row],[Date]])</f>
        <v>11</v>
      </c>
      <c r="C622" s="25">
        <f t="shared" si="217"/>
        <v>2025</v>
      </c>
      <c r="D622" s="3">
        <f t="shared" si="218"/>
        <v>2024</v>
      </c>
      <c r="E622" s="3" t="s">
        <v>627</v>
      </c>
      <c r="F622" s="3" t="s">
        <v>627</v>
      </c>
      <c r="G622" s="102">
        <f>DATE(Modelling_old[[#This Row],[Calendor Year]],Modelling_old[[#This Row],[Start Month]],1)</f>
        <v>45597</v>
      </c>
      <c r="H622" s="5">
        <f t="shared" si="219"/>
        <v>30</v>
      </c>
      <c r="I622" s="5">
        <f t="shared" si="220"/>
        <v>11</v>
      </c>
      <c r="J622" s="4">
        <f>_xlfn.XLOOKUP(Modelling_old[[#This Row],[Month]],$C$1:$C$14,$N$1:$N$14)/Modelling_old[[#This Row],[Total Days]]</f>
        <v>51.083333333333336</v>
      </c>
      <c r="K622" s="4">
        <f>SUM($J$598:J622)</f>
        <v>1277.0833333333333</v>
      </c>
      <c r="L622" s="4">
        <f>SUM($J$384:J622)</f>
        <v>10495.283333333335</v>
      </c>
      <c r="M622" s="4">
        <f t="shared" si="221"/>
        <v>6.4133333333333331</v>
      </c>
      <c r="N622" s="4">
        <f>SUM($M$598:M622)</f>
        <v>160.33333333333323</v>
      </c>
      <c r="O622" s="4">
        <f>SUM($M$384:M622)</f>
        <v>1316.2333333333299</v>
      </c>
      <c r="P622" s="323">
        <f t="shared" si="222"/>
        <v>0.69243740514963059</v>
      </c>
      <c r="Q622" s="337">
        <f t="shared" si="223"/>
        <v>0.69243740514963104</v>
      </c>
      <c r="R622" s="337">
        <f t="shared" si="224"/>
        <v>0.69318058001071547</v>
      </c>
      <c r="S622" s="323">
        <f t="shared" si="225"/>
        <v>0.18503466215387351</v>
      </c>
      <c r="T622" s="9">
        <f>Modelling_old[[#This Row],[Target E_Grid MTD
MWh]]/Modelling_old[[#This Row],[DC Capcity]]/(24*CG622)</f>
        <v>0.18503466215387349</v>
      </c>
      <c r="U622" s="338">
        <f>Modelling_old[[#This Row],[Target E_Grid YTD
MWh]]/Modelling_old[[#This Row],[DC Capcity]]/(24*CH622)</f>
        <v>0.15906335171363931</v>
      </c>
      <c r="V622" s="134">
        <v>11.5031</v>
      </c>
      <c r="Y622" s="27">
        <f t="shared" si="238"/>
        <v>45621</v>
      </c>
      <c r="Z622" s="5">
        <f>MONTH(Modelling_new[[#This Row],[Date]])</f>
        <v>11</v>
      </c>
      <c r="AA622" s="25">
        <f>YEAR(Y622)+IF(MONTH(Modelling_new[[#This Row],[Date]])&gt;=4,1,0)</f>
        <v>2025</v>
      </c>
      <c r="AB622" s="3">
        <f t="shared" si="226"/>
        <v>2024</v>
      </c>
      <c r="AC622" s="3" t="s">
        <v>627</v>
      </c>
      <c r="AD622" s="3" t="s">
        <v>627</v>
      </c>
      <c r="AE622" s="102">
        <f>DATE(Modelling_old[[#This Row],[Calendor Year]],Modelling_old[[#This Row],[Start Month]],1)</f>
        <v>45597</v>
      </c>
      <c r="AF622" s="5">
        <f t="shared" si="227"/>
        <v>30</v>
      </c>
      <c r="AG622" s="5">
        <f t="shared" si="228"/>
        <v>11</v>
      </c>
      <c r="AH622" s="4">
        <f>_xlfn.XLOOKUP(Modelling_new[[#This Row],[Month]],$AA$1:$AA$14,$AL$1:$AL$14)/Modelling_new[[#This Row],[Total Days]]</f>
        <v>61.403834681353906</v>
      </c>
      <c r="AI622" s="4">
        <f>SUM($AH$598:AH622)</f>
        <v>1535.0958670338473</v>
      </c>
      <c r="AJ622" s="4">
        <f>SUM($AH$384:AH622)</f>
        <v>13583.609107010818</v>
      </c>
      <c r="AK622" s="4">
        <f t="shared" si="229"/>
        <v>6.4133333333333331</v>
      </c>
      <c r="AL622" s="4">
        <f>SUM($AK$598:AK622)</f>
        <v>160.33333333333323</v>
      </c>
      <c r="AM622" s="4">
        <f>SUM($AK$384:AK622)</f>
        <v>1316.2333333333299</v>
      </c>
      <c r="AN622" s="323">
        <f t="shared" si="230"/>
        <v>0.83233237102108171</v>
      </c>
      <c r="AO622" s="323">
        <f t="shared" si="231"/>
        <v>0.83233237102108193</v>
      </c>
      <c r="AP622" s="323">
        <f t="shared" si="232"/>
        <v>0.89715482092145471</v>
      </c>
      <c r="AQ622" s="323">
        <f t="shared" si="233"/>
        <v>0.22241770581174464</v>
      </c>
      <c r="AR622" s="323">
        <f>Modelling_new[[#This Row],[Target E_Grid MTD
MWh]]/Modelling_new[[#This Row],[MTD DC Capcity]]/(24*CG622)</f>
        <v>0.19988227435336547</v>
      </c>
      <c r="AS622" s="323">
        <f>Modelling_new[[#This Row],[Target E_Grid YTD
MWh]]/Modelling_new[[#This Row],[YTD DC Capcity]]/(24*CH622)</f>
        <v>0.18501036636771565</v>
      </c>
      <c r="AT622" s="5">
        <v>12.8</v>
      </c>
      <c r="AU622" s="9">
        <f>Modelling_new[[#This Row],[Comisined DC ]]/$AO$1</f>
        <v>1</v>
      </c>
      <c r="AV62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22" s="5">
        <f>AVERAGEIFS(Modelling_new[[Comisined DC ]],Modelling_new[Date],"&lt;="&amp;Modelling_new[[#This Row],[Date]],Modelling_new[[Comisined DC ]],"&gt;"&amp;0,Modelling_new[Finacial Year],Modelling_new[[#This Row],[Finacial Year]])</f>
        <v>12.800000000000038</v>
      </c>
      <c r="BD622" s="27">
        <f t="shared" si="239"/>
        <v>45621</v>
      </c>
      <c r="BE622" s="5">
        <f>MONTH(Modelling[[#This Row],[Date]])</f>
        <v>11</v>
      </c>
      <c r="BF622" s="25">
        <f>YEAR(BD622)+IF(MONTH(Modelling[[#This Row],[Date]])&gt;=4,1,0)</f>
        <v>2025</v>
      </c>
      <c r="BG622" s="3">
        <f t="shared" si="234"/>
        <v>2024</v>
      </c>
      <c r="BH622" s="3" t="s">
        <v>627</v>
      </c>
      <c r="BI622" s="3" t="s">
        <v>627</v>
      </c>
      <c r="BJ622" s="102">
        <f>DATE(Modelling_old[[#This Row],[Calendor Year]],Modelling_old[[#This Row],[Start Month]],1)</f>
        <v>45597</v>
      </c>
      <c r="BK622" s="5">
        <f t="shared" si="235"/>
        <v>30</v>
      </c>
      <c r="BL622" s="5">
        <f t="shared" si="236"/>
        <v>11</v>
      </c>
      <c r="BM622" s="4">
        <f>Modelling_old[[#This Row],[Target E_Grid daily
MWh]]+Modelling_new[[#This Row],[Target E_Grid daily
MWh]]</f>
        <v>112.48716801468724</v>
      </c>
      <c r="BN622" s="4">
        <f>Modelling_old[[#This Row],[Target E_Grid MTD
MWh]]+Modelling_new[[#This Row],[Target E_Grid MTD
MWh]]</f>
        <v>2812.1792003671808</v>
      </c>
      <c r="BO622" s="4">
        <f>Modelling_old[[#This Row],[Target E_Grid YTD
MWh]]+Modelling_new[[#This Row],[Target E_Grid YTD
MWh]]</f>
        <v>24078.892440344152</v>
      </c>
      <c r="BP622" s="4">
        <f>AVERAGE(Modelling_old[[#This Row],[Target POA Daily (KWh/m2)]],Modelling_new[[#This Row],[Target POA Daily (KWh/m2)]])</f>
        <v>6.4133333333333331</v>
      </c>
      <c r="BQ622" s="4">
        <f>SUM($BP$598:BP622)</f>
        <v>160.33333333333323</v>
      </c>
      <c r="BR622" s="4">
        <f>SUM($BP$384:BP622)</f>
        <v>1316.2333333333299</v>
      </c>
      <c r="BS622" s="323">
        <f>BM622/Modelling[[#This Row],[Comisined DC ]]/BP622</f>
        <v>0.7217013143290083</v>
      </c>
      <c r="BT622" s="337">
        <f>BN622/BQ622/Modelling[[#This Row],[Comisined DC ]]</f>
        <v>0.72170131432900864</v>
      </c>
      <c r="BU622" s="337">
        <f>BO622/BR622/Modelling[[#This Row],[Comisined DC ]]</f>
        <v>0.75273471904665856</v>
      </c>
      <c r="BV622" s="323">
        <f>BM622/(24*Modelling[[#This Row],[Comisined DC ]])</f>
        <v>0.19285462899569608</v>
      </c>
      <c r="BW622" s="323">
        <f>Modelling[[#This Row],[Target E_Grid MTD
MWh]]/Modelling[[#This Row],[MTD DC Capcity]]/(24*CG622)</f>
        <v>0.19285462899569619</v>
      </c>
      <c r="BX622" s="338">
        <f>Modelling[[#This Row],[Target E_Grid YTD
MWh]]/Modelling[[#This Row],[YTD DC Capcity]]/(24*CH622)</f>
        <v>0.17272917161201329</v>
      </c>
      <c r="BY622" s="4">
        <f>Modelling_old[[#This Row],[DC Capcity]]+Modelling_new[[#This Row],[Comisined DC ]]</f>
        <v>24.303100000000001</v>
      </c>
      <c r="BZ622" s="4">
        <v>0</v>
      </c>
      <c r="CA622">
        <f>AVERAGEIFS(Modelling[[Comisined DC ]],Modelling[Date],"&lt;="&amp;Modelling[[#This Row],[Date]],Modelling[Month Year],Modelling[[#This Row],[Month Year]])</f>
        <v>24.303099999999986</v>
      </c>
      <c r="CB622">
        <f>AVERAGEIFS(Modelling[[Comisined DC ]],Modelling[Date],"&lt;="&amp;Modelling[[#This Row],[Date]],Modelling[Finacial Year],Modelling[[#This Row],[Finacial Year]])</f>
        <v>24.303100000000068</v>
      </c>
      <c r="CG622">
        <f t="shared" si="215"/>
        <v>25</v>
      </c>
      <c r="CH622">
        <f t="shared" si="237"/>
        <v>239</v>
      </c>
    </row>
    <row r="623" spans="1:86" x14ac:dyDescent="0.35">
      <c r="A623" s="27">
        <f t="shared" si="216"/>
        <v>45622</v>
      </c>
      <c r="B623" s="5">
        <f>MONTH(Modelling_old[[#This Row],[Date]])</f>
        <v>11</v>
      </c>
      <c r="C623" s="25">
        <f t="shared" si="217"/>
        <v>2025</v>
      </c>
      <c r="D623" s="3">
        <f t="shared" si="218"/>
        <v>2024</v>
      </c>
      <c r="E623" s="3" t="s">
        <v>627</v>
      </c>
      <c r="F623" s="3" t="s">
        <v>627</v>
      </c>
      <c r="G623" s="102">
        <f>DATE(Modelling_old[[#This Row],[Calendor Year]],Modelling_old[[#This Row],[Start Month]],1)</f>
        <v>45597</v>
      </c>
      <c r="H623" s="5">
        <f t="shared" si="219"/>
        <v>30</v>
      </c>
      <c r="I623" s="5">
        <f t="shared" si="220"/>
        <v>11</v>
      </c>
      <c r="J623" s="4">
        <f>_xlfn.XLOOKUP(Modelling_old[[#This Row],[Month]],$C$1:$C$14,$N$1:$N$14)/Modelling_old[[#This Row],[Total Days]]</f>
        <v>51.083333333333336</v>
      </c>
      <c r="K623" s="4">
        <f>SUM($J$598:J623)</f>
        <v>1328.1666666666665</v>
      </c>
      <c r="L623" s="4">
        <f>SUM($J$384:J623)</f>
        <v>10546.366666666669</v>
      </c>
      <c r="M623" s="4">
        <f t="shared" si="221"/>
        <v>6.4133333333333331</v>
      </c>
      <c r="N623" s="4">
        <f>SUM($M$598:M623)</f>
        <v>166.74666666666656</v>
      </c>
      <c r="O623" s="4">
        <f>SUM($M$384:M623)</f>
        <v>1322.6466666666634</v>
      </c>
      <c r="P623" s="323">
        <f t="shared" si="222"/>
        <v>0.69243740514963059</v>
      </c>
      <c r="Q623" s="337">
        <f t="shared" si="223"/>
        <v>0.69243740514963092</v>
      </c>
      <c r="R623" s="337">
        <f t="shared" si="224"/>
        <v>0.69317697645715193</v>
      </c>
      <c r="S623" s="323">
        <f t="shared" si="225"/>
        <v>0.18503466215387351</v>
      </c>
      <c r="T623" s="9">
        <f>Modelling_old[[#This Row],[Target E_Grid MTD
MWh]]/Modelling_old[[#This Row],[DC Capcity]]/(24*CG623)</f>
        <v>0.18503466215387349</v>
      </c>
      <c r="U623" s="338">
        <f>Modelling_old[[#This Row],[Target E_Grid YTD
MWh]]/Modelling_old[[#This Row],[DC Capcity]]/(24*CH623)</f>
        <v>0.15917156550714029</v>
      </c>
      <c r="V623" s="134">
        <v>11.5031</v>
      </c>
      <c r="Y623" s="27">
        <f t="shared" si="238"/>
        <v>45622</v>
      </c>
      <c r="Z623" s="5">
        <f>MONTH(Modelling_new[[#This Row],[Date]])</f>
        <v>11</v>
      </c>
      <c r="AA623" s="25">
        <f>YEAR(Y623)+IF(MONTH(Modelling_new[[#This Row],[Date]])&gt;=4,1,0)</f>
        <v>2025</v>
      </c>
      <c r="AB623" s="3">
        <f t="shared" si="226"/>
        <v>2024</v>
      </c>
      <c r="AC623" s="3" t="s">
        <v>627</v>
      </c>
      <c r="AD623" s="3" t="s">
        <v>627</v>
      </c>
      <c r="AE623" s="102">
        <f>DATE(Modelling_old[[#This Row],[Calendor Year]],Modelling_old[[#This Row],[Start Month]],1)</f>
        <v>45597</v>
      </c>
      <c r="AF623" s="5">
        <f t="shared" si="227"/>
        <v>30</v>
      </c>
      <c r="AG623" s="5">
        <f t="shared" si="228"/>
        <v>11</v>
      </c>
      <c r="AH623" s="4">
        <f>_xlfn.XLOOKUP(Modelling_new[[#This Row],[Month]],$AA$1:$AA$14,$AL$1:$AL$14)/Modelling_new[[#This Row],[Total Days]]</f>
        <v>61.403834681353906</v>
      </c>
      <c r="AI623" s="4">
        <f>SUM($AH$598:AH623)</f>
        <v>1596.4997017152011</v>
      </c>
      <c r="AJ623" s="4">
        <f>SUM($AH$384:AH623)</f>
        <v>13645.012941692172</v>
      </c>
      <c r="AK623" s="4">
        <f t="shared" si="229"/>
        <v>6.4133333333333331</v>
      </c>
      <c r="AL623" s="4">
        <f>SUM($AK$598:AK623)</f>
        <v>166.74666666666656</v>
      </c>
      <c r="AM623" s="4">
        <f>SUM($AK$384:AK623)</f>
        <v>1322.6466666666634</v>
      </c>
      <c r="AN623" s="323">
        <f t="shared" si="230"/>
        <v>0.83233237102108171</v>
      </c>
      <c r="AO623" s="323">
        <f t="shared" si="231"/>
        <v>0.83233237102108193</v>
      </c>
      <c r="AP623" s="323">
        <f t="shared" si="232"/>
        <v>0.89684050570094143</v>
      </c>
      <c r="AQ623" s="323">
        <f t="shared" si="233"/>
        <v>0.22241770581174464</v>
      </c>
      <c r="AR623" s="323">
        <f>Modelling_new[[#This Row],[Target E_Grid MTD
MWh]]/Modelling_new[[#This Row],[MTD DC Capcity]]/(24*CG623)</f>
        <v>0.19988227435336545</v>
      </c>
      <c r="AS623" s="323">
        <f>Modelling_new[[#This Row],[Target E_Grid YTD
MWh]]/Modelling_new[[#This Row],[YTD DC Capcity]]/(24*CH623)</f>
        <v>0.18507233265098921</v>
      </c>
      <c r="AT623" s="5">
        <v>12.8</v>
      </c>
      <c r="AU623" s="9">
        <f>Modelling_new[[#This Row],[Comisined DC ]]/$AO$1</f>
        <v>1</v>
      </c>
      <c r="AV623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23" s="5">
        <f>AVERAGEIFS(Modelling_new[[Comisined DC ]],Modelling_new[Date],"&lt;="&amp;Modelling_new[[#This Row],[Date]],Modelling_new[[Comisined DC ]],"&gt;"&amp;0,Modelling_new[Finacial Year],Modelling_new[[#This Row],[Finacial Year]])</f>
        <v>12.800000000000038</v>
      </c>
      <c r="BD623" s="27">
        <f t="shared" si="239"/>
        <v>45622</v>
      </c>
      <c r="BE623" s="5">
        <f>MONTH(Modelling[[#This Row],[Date]])</f>
        <v>11</v>
      </c>
      <c r="BF623" s="25">
        <f>YEAR(BD623)+IF(MONTH(Modelling[[#This Row],[Date]])&gt;=4,1,0)</f>
        <v>2025</v>
      </c>
      <c r="BG623" s="3">
        <f t="shared" si="234"/>
        <v>2024</v>
      </c>
      <c r="BH623" s="3" t="s">
        <v>627</v>
      </c>
      <c r="BI623" s="3" t="s">
        <v>627</v>
      </c>
      <c r="BJ623" s="102">
        <f>DATE(Modelling_old[[#This Row],[Calendor Year]],Modelling_old[[#This Row],[Start Month]],1)</f>
        <v>45597</v>
      </c>
      <c r="BK623" s="5">
        <f t="shared" si="235"/>
        <v>30</v>
      </c>
      <c r="BL623" s="5">
        <f t="shared" si="236"/>
        <v>11</v>
      </c>
      <c r="BM623" s="4">
        <f>Modelling_old[[#This Row],[Target E_Grid daily
MWh]]+Modelling_new[[#This Row],[Target E_Grid daily
MWh]]</f>
        <v>112.48716801468724</v>
      </c>
      <c r="BN623" s="4">
        <f>Modelling_old[[#This Row],[Target E_Grid MTD
MWh]]+Modelling_new[[#This Row],[Target E_Grid MTD
MWh]]</f>
        <v>2924.6663683818679</v>
      </c>
      <c r="BO623" s="4">
        <f>Modelling_old[[#This Row],[Target E_Grid YTD
MWh]]+Modelling_new[[#This Row],[Target E_Grid YTD
MWh]]</f>
        <v>24191.379608358839</v>
      </c>
      <c r="BP623" s="4">
        <f>AVERAGE(Modelling_old[[#This Row],[Target POA Daily (KWh/m2)]],Modelling_new[[#This Row],[Target POA Daily (KWh/m2)]])</f>
        <v>6.4133333333333331</v>
      </c>
      <c r="BQ623" s="4">
        <f>SUM($BP$598:BP623)</f>
        <v>166.74666666666656</v>
      </c>
      <c r="BR623" s="4">
        <f>SUM($BP$384:BP623)</f>
        <v>1322.6466666666634</v>
      </c>
      <c r="BS623" s="323">
        <f>BM623/Modelling[[#This Row],[Comisined DC ]]/BP623</f>
        <v>0.7217013143290083</v>
      </c>
      <c r="BT623" s="337">
        <f>BN623/BQ623/Modelling[[#This Row],[Comisined DC ]]</f>
        <v>0.72170131432900864</v>
      </c>
      <c r="BU623" s="337">
        <f>BO623/BR623/Modelling[[#This Row],[Comisined DC ]]</f>
        <v>0.7525842422988327</v>
      </c>
      <c r="BV623" s="323">
        <f>BM623/(24*Modelling[[#This Row],[Comisined DC ]])</f>
        <v>0.19285462899569608</v>
      </c>
      <c r="BW623" s="323">
        <f>Modelling[[#This Row],[Target E_Grid MTD
MWh]]/Modelling[[#This Row],[MTD DC Capcity]]/(24*CG623)</f>
        <v>0.19285462899569616</v>
      </c>
      <c r="BX623" s="338">
        <f>Modelling[[#This Row],[Target E_Grid YTD
MWh]]/Modelling[[#This Row],[YTD DC Capcity]]/(24*CH623)</f>
        <v>0.17281302768444529</v>
      </c>
      <c r="BY623" s="4">
        <f>Modelling_old[[#This Row],[DC Capcity]]+Modelling_new[[#This Row],[Comisined DC ]]</f>
        <v>24.303100000000001</v>
      </c>
      <c r="BZ623" s="4">
        <v>0</v>
      </c>
      <c r="CA623">
        <f>AVERAGEIFS(Modelling[[Comisined DC ]],Modelling[Date],"&lt;="&amp;Modelling[[#This Row],[Date]],Modelling[Month Year],Modelling[[#This Row],[Month Year]])</f>
        <v>24.303099999999986</v>
      </c>
      <c r="CB623">
        <f>AVERAGEIFS(Modelling[[Comisined DC ]],Modelling[Date],"&lt;="&amp;Modelling[[#This Row],[Date]],Modelling[Finacial Year],Modelling[[#This Row],[Finacial Year]])</f>
        <v>24.303100000000068</v>
      </c>
      <c r="CG623">
        <f t="shared" si="215"/>
        <v>26</v>
      </c>
      <c r="CH623">
        <f t="shared" si="237"/>
        <v>240</v>
      </c>
    </row>
    <row r="624" spans="1:86" x14ac:dyDescent="0.35">
      <c r="A624" s="27">
        <f t="shared" si="216"/>
        <v>45623</v>
      </c>
      <c r="B624" s="5">
        <f>MONTH(Modelling_old[[#This Row],[Date]])</f>
        <v>11</v>
      </c>
      <c r="C624" s="25">
        <f t="shared" si="217"/>
        <v>2025</v>
      </c>
      <c r="D624" s="3">
        <f t="shared" si="218"/>
        <v>2024</v>
      </c>
      <c r="E624" s="3" t="s">
        <v>627</v>
      </c>
      <c r="F624" s="3" t="s">
        <v>627</v>
      </c>
      <c r="G624" s="102">
        <f>DATE(Modelling_old[[#This Row],[Calendor Year]],Modelling_old[[#This Row],[Start Month]],1)</f>
        <v>45597</v>
      </c>
      <c r="H624" s="5">
        <f t="shared" si="219"/>
        <v>30</v>
      </c>
      <c r="I624" s="5">
        <f t="shared" si="220"/>
        <v>11</v>
      </c>
      <c r="J624" s="4">
        <f>_xlfn.XLOOKUP(Modelling_old[[#This Row],[Month]],$C$1:$C$14,$N$1:$N$14)/Modelling_old[[#This Row],[Total Days]]</f>
        <v>51.083333333333336</v>
      </c>
      <c r="K624" s="4">
        <f>SUM($J$598:J624)</f>
        <v>1379.2499999999998</v>
      </c>
      <c r="L624" s="4">
        <f>SUM($J$384:J624)</f>
        <v>10597.450000000003</v>
      </c>
      <c r="M624" s="4">
        <f t="shared" si="221"/>
        <v>6.4133333333333331</v>
      </c>
      <c r="N624" s="4">
        <f>SUM($M$598:M624)</f>
        <v>173.15999999999988</v>
      </c>
      <c r="O624" s="4">
        <f>SUM($M$384:M624)</f>
        <v>1329.0599999999968</v>
      </c>
      <c r="P624" s="323">
        <f t="shared" si="222"/>
        <v>0.69243740514963059</v>
      </c>
      <c r="Q624" s="337">
        <f t="shared" si="223"/>
        <v>0.69243740514963092</v>
      </c>
      <c r="R624" s="337">
        <f t="shared" si="224"/>
        <v>0.69317340768123592</v>
      </c>
      <c r="S624" s="323">
        <f t="shared" si="225"/>
        <v>0.18503466215387351</v>
      </c>
      <c r="T624" s="9">
        <f>Modelling_old[[#This Row],[Target E_Grid MTD
MWh]]/Modelling_old[[#This Row],[DC Capcity]]/(24*CG624)</f>
        <v>0.18503466215387346</v>
      </c>
      <c r="U624" s="338">
        <f>Modelling_old[[#This Row],[Target E_Grid YTD
MWh]]/Modelling_old[[#This Row],[DC Capcity]]/(24*CH624)</f>
        <v>0.15927888126086118</v>
      </c>
      <c r="V624" s="134">
        <v>11.5031</v>
      </c>
      <c r="Y624" s="27">
        <f t="shared" si="238"/>
        <v>45623</v>
      </c>
      <c r="Z624" s="5">
        <f>MONTH(Modelling_new[[#This Row],[Date]])</f>
        <v>11</v>
      </c>
      <c r="AA624" s="25">
        <f>YEAR(Y624)+IF(MONTH(Modelling_new[[#This Row],[Date]])&gt;=4,1,0)</f>
        <v>2025</v>
      </c>
      <c r="AB624" s="3">
        <f t="shared" si="226"/>
        <v>2024</v>
      </c>
      <c r="AC624" s="3" t="s">
        <v>627</v>
      </c>
      <c r="AD624" s="3" t="s">
        <v>627</v>
      </c>
      <c r="AE624" s="102">
        <f>DATE(Modelling_old[[#This Row],[Calendor Year]],Modelling_old[[#This Row],[Start Month]],1)</f>
        <v>45597</v>
      </c>
      <c r="AF624" s="5">
        <f t="shared" si="227"/>
        <v>30</v>
      </c>
      <c r="AG624" s="5">
        <f t="shared" si="228"/>
        <v>11</v>
      </c>
      <c r="AH624" s="4">
        <f>_xlfn.XLOOKUP(Modelling_new[[#This Row],[Month]],$AA$1:$AA$14,$AL$1:$AL$14)/Modelling_new[[#This Row],[Total Days]]</f>
        <v>61.403834681353906</v>
      </c>
      <c r="AI624" s="4">
        <f>SUM($AH$598:AH624)</f>
        <v>1657.903536396555</v>
      </c>
      <c r="AJ624" s="4">
        <f>SUM($AH$384:AH624)</f>
        <v>13706.416776373526</v>
      </c>
      <c r="AK624" s="4">
        <f t="shared" si="229"/>
        <v>6.4133333333333331</v>
      </c>
      <c r="AL624" s="4">
        <f>SUM($AK$598:AK624)</f>
        <v>173.15999999999988</v>
      </c>
      <c r="AM624" s="4">
        <f>SUM($AK$384:AK624)</f>
        <v>1329.0599999999968</v>
      </c>
      <c r="AN624" s="323">
        <f t="shared" si="230"/>
        <v>0.83233237102108171</v>
      </c>
      <c r="AO624" s="323">
        <f t="shared" si="231"/>
        <v>0.83233237102108193</v>
      </c>
      <c r="AP624" s="323">
        <f t="shared" si="232"/>
        <v>0.89652922391500733</v>
      </c>
      <c r="AQ624" s="323">
        <f t="shared" si="233"/>
        <v>0.22241770581174464</v>
      </c>
      <c r="AR624" s="323">
        <f>Modelling_new[[#This Row],[Target E_Grid MTD
MWh]]/Modelling_new[[#This Row],[MTD DC Capcity]]/(24*CG624)</f>
        <v>0.19988227435336545</v>
      </c>
      <c r="AS624" s="323">
        <f>Modelling_new[[#This Row],[Target E_Grid YTD
MWh]]/Modelling_new[[#This Row],[YTD DC Capcity]]/(24*CH624)</f>
        <v>0.185133784691248</v>
      </c>
      <c r="AT624" s="5">
        <v>12.8</v>
      </c>
      <c r="AU624" s="9">
        <f>Modelling_new[[#This Row],[Comisined DC ]]/$AO$1</f>
        <v>1</v>
      </c>
      <c r="AV624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24" s="5">
        <f>AVERAGEIFS(Modelling_new[[Comisined DC ]],Modelling_new[Date],"&lt;="&amp;Modelling_new[[#This Row],[Date]],Modelling_new[[Comisined DC ]],"&gt;"&amp;0,Modelling_new[Finacial Year],Modelling_new[[#This Row],[Finacial Year]])</f>
        <v>12.800000000000038</v>
      </c>
      <c r="BD624" s="27">
        <f t="shared" si="239"/>
        <v>45623</v>
      </c>
      <c r="BE624" s="5">
        <f>MONTH(Modelling[[#This Row],[Date]])</f>
        <v>11</v>
      </c>
      <c r="BF624" s="25">
        <f>YEAR(BD624)+IF(MONTH(Modelling[[#This Row],[Date]])&gt;=4,1,0)</f>
        <v>2025</v>
      </c>
      <c r="BG624" s="3">
        <f t="shared" si="234"/>
        <v>2024</v>
      </c>
      <c r="BH624" s="3" t="s">
        <v>627</v>
      </c>
      <c r="BI624" s="3" t="s">
        <v>627</v>
      </c>
      <c r="BJ624" s="102">
        <f>DATE(Modelling_old[[#This Row],[Calendor Year]],Modelling_old[[#This Row],[Start Month]],1)</f>
        <v>45597</v>
      </c>
      <c r="BK624" s="5">
        <f t="shared" si="235"/>
        <v>30</v>
      </c>
      <c r="BL624" s="5">
        <f t="shared" si="236"/>
        <v>11</v>
      </c>
      <c r="BM624" s="4">
        <f>Modelling_old[[#This Row],[Target E_Grid daily
MWh]]+Modelling_new[[#This Row],[Target E_Grid daily
MWh]]</f>
        <v>112.48716801468724</v>
      </c>
      <c r="BN624" s="4">
        <f>Modelling_old[[#This Row],[Target E_Grid MTD
MWh]]+Modelling_new[[#This Row],[Target E_Grid MTD
MWh]]</f>
        <v>3037.153536396555</v>
      </c>
      <c r="BO624" s="4">
        <f>Modelling_old[[#This Row],[Target E_Grid YTD
MWh]]+Modelling_new[[#This Row],[Target E_Grid YTD
MWh]]</f>
        <v>24303.866776373528</v>
      </c>
      <c r="BP624" s="4">
        <f>AVERAGE(Modelling_old[[#This Row],[Target POA Daily (KWh/m2)]],Modelling_new[[#This Row],[Target POA Daily (KWh/m2)]])</f>
        <v>6.4133333333333331</v>
      </c>
      <c r="BQ624" s="4">
        <f>SUM($BP$598:BP624)</f>
        <v>173.15999999999988</v>
      </c>
      <c r="BR624" s="4">
        <f>SUM($BP$384:BP624)</f>
        <v>1329.0599999999968</v>
      </c>
      <c r="BS624" s="323">
        <f>BM624/Modelling[[#This Row],[Comisined DC ]]/BP624</f>
        <v>0.7217013143290083</v>
      </c>
      <c r="BT624" s="337">
        <f>BN624/BQ624/Modelling[[#This Row],[Comisined DC ]]</f>
        <v>0.72170131432900853</v>
      </c>
      <c r="BU624" s="337">
        <f>BO624/BR624/Modelling[[#This Row],[Comisined DC ]]</f>
        <v>0.75243521779175271</v>
      </c>
      <c r="BV624" s="323">
        <f>BM624/(24*Modelling[[#This Row],[Comisined DC ]])</f>
        <v>0.19285462899569608</v>
      </c>
      <c r="BW624" s="323">
        <f>Modelling[[#This Row],[Target E_Grid MTD
MWh]]/Modelling[[#This Row],[MTD DC Capcity]]/(24*CG624)</f>
        <v>0.19285462899569616</v>
      </c>
      <c r="BX624" s="338">
        <f>Modelling[[#This Row],[Target E_Grid YTD
MWh]]/Modelling[[#This Row],[YTD DC Capcity]]/(24*CH624)</f>
        <v>0.17289618785586128</v>
      </c>
      <c r="BY624" s="4">
        <f>Modelling_old[[#This Row],[DC Capcity]]+Modelling_new[[#This Row],[Comisined DC ]]</f>
        <v>24.303100000000001</v>
      </c>
      <c r="BZ624" s="4">
        <v>0</v>
      </c>
      <c r="CA624">
        <f>AVERAGEIFS(Modelling[[Comisined DC ]],Modelling[Date],"&lt;="&amp;Modelling[[#This Row],[Date]],Modelling[Month Year],Modelling[[#This Row],[Month Year]])</f>
        <v>24.303099999999986</v>
      </c>
      <c r="CB624">
        <f>AVERAGEIFS(Modelling[[Comisined DC ]],Modelling[Date],"&lt;="&amp;Modelling[[#This Row],[Date]],Modelling[Finacial Year],Modelling[[#This Row],[Finacial Year]])</f>
        <v>24.303100000000068</v>
      </c>
      <c r="CG624">
        <f t="shared" si="215"/>
        <v>27</v>
      </c>
      <c r="CH624">
        <f t="shared" si="237"/>
        <v>241</v>
      </c>
    </row>
    <row r="625" spans="1:86" x14ac:dyDescent="0.35">
      <c r="A625" s="27">
        <f t="shared" si="216"/>
        <v>45624</v>
      </c>
      <c r="B625" s="5">
        <f>MONTH(Modelling_old[[#This Row],[Date]])</f>
        <v>11</v>
      </c>
      <c r="C625" s="25">
        <f t="shared" si="217"/>
        <v>2025</v>
      </c>
      <c r="D625" s="3">
        <f t="shared" si="218"/>
        <v>2024</v>
      </c>
      <c r="E625" s="3" t="s">
        <v>627</v>
      </c>
      <c r="F625" s="3" t="s">
        <v>627</v>
      </c>
      <c r="G625" s="102">
        <f>DATE(Modelling_old[[#This Row],[Calendor Year]],Modelling_old[[#This Row],[Start Month]],1)</f>
        <v>45597</v>
      </c>
      <c r="H625" s="5">
        <f t="shared" si="219"/>
        <v>30</v>
      </c>
      <c r="I625" s="5">
        <f t="shared" si="220"/>
        <v>11</v>
      </c>
      <c r="J625" s="4">
        <f>_xlfn.XLOOKUP(Modelling_old[[#This Row],[Month]],$C$1:$C$14,$N$1:$N$14)/Modelling_old[[#This Row],[Total Days]]</f>
        <v>51.083333333333336</v>
      </c>
      <c r="K625" s="4">
        <f>SUM($J$598:J625)</f>
        <v>1430.333333333333</v>
      </c>
      <c r="L625" s="4">
        <f>SUM($J$384:J625)</f>
        <v>10648.533333333336</v>
      </c>
      <c r="M625" s="4">
        <f t="shared" si="221"/>
        <v>6.4133333333333331</v>
      </c>
      <c r="N625" s="4">
        <f>SUM($M$598:M625)</f>
        <v>179.57333333333321</v>
      </c>
      <c r="O625" s="4">
        <f>SUM($M$384:M625)</f>
        <v>1335.4733333333302</v>
      </c>
      <c r="P625" s="323">
        <f t="shared" si="222"/>
        <v>0.69243740514963059</v>
      </c>
      <c r="Q625" s="337">
        <f t="shared" si="223"/>
        <v>0.69243740514963092</v>
      </c>
      <c r="R625" s="337">
        <f t="shared" si="224"/>
        <v>0.69316987318193024</v>
      </c>
      <c r="S625" s="323">
        <f t="shared" si="225"/>
        <v>0.18503466215387351</v>
      </c>
      <c r="T625" s="9">
        <f>Modelling_old[[#This Row],[Target E_Grid MTD
MWh]]/Modelling_old[[#This Row],[DC Capcity]]/(24*CG625)</f>
        <v>0.18503466215387346</v>
      </c>
      <c r="U625" s="338">
        <f>Modelling_old[[#This Row],[Target E_Grid YTD
MWh]]/Modelling_old[[#This Row],[DC Capcity]]/(24*CH625)</f>
        <v>0.15938531010752655</v>
      </c>
      <c r="V625" s="134">
        <v>11.5031</v>
      </c>
      <c r="Y625" s="27">
        <f t="shared" si="238"/>
        <v>45624</v>
      </c>
      <c r="Z625" s="5">
        <f>MONTH(Modelling_new[[#This Row],[Date]])</f>
        <v>11</v>
      </c>
      <c r="AA625" s="25">
        <f>YEAR(Y625)+IF(MONTH(Modelling_new[[#This Row],[Date]])&gt;=4,1,0)</f>
        <v>2025</v>
      </c>
      <c r="AB625" s="3">
        <f t="shared" si="226"/>
        <v>2024</v>
      </c>
      <c r="AC625" s="3" t="s">
        <v>627</v>
      </c>
      <c r="AD625" s="3" t="s">
        <v>627</v>
      </c>
      <c r="AE625" s="102">
        <f>DATE(Modelling_old[[#This Row],[Calendor Year]],Modelling_old[[#This Row],[Start Month]],1)</f>
        <v>45597</v>
      </c>
      <c r="AF625" s="5">
        <f t="shared" si="227"/>
        <v>30</v>
      </c>
      <c r="AG625" s="5">
        <f t="shared" si="228"/>
        <v>11</v>
      </c>
      <c r="AH625" s="4">
        <f>_xlfn.XLOOKUP(Modelling_new[[#This Row],[Month]],$AA$1:$AA$14,$AL$1:$AL$14)/Modelling_new[[#This Row],[Total Days]]</f>
        <v>61.403834681353906</v>
      </c>
      <c r="AI625" s="4">
        <f>SUM($AH$598:AH625)</f>
        <v>1719.3073710779088</v>
      </c>
      <c r="AJ625" s="4">
        <f>SUM($AH$384:AH625)</f>
        <v>13767.82061105488</v>
      </c>
      <c r="AK625" s="4">
        <f t="shared" si="229"/>
        <v>6.4133333333333331</v>
      </c>
      <c r="AL625" s="4">
        <f>SUM($AK$598:AK625)</f>
        <v>179.57333333333321</v>
      </c>
      <c r="AM625" s="4">
        <f>SUM($AK$384:AK625)</f>
        <v>1335.4733333333302</v>
      </c>
      <c r="AN625" s="323">
        <f t="shared" si="230"/>
        <v>0.83233237102108171</v>
      </c>
      <c r="AO625" s="323">
        <f t="shared" si="231"/>
        <v>0.83233237102108193</v>
      </c>
      <c r="AP625" s="323">
        <f t="shared" si="232"/>
        <v>0.89622093186133356</v>
      </c>
      <c r="AQ625" s="323">
        <f t="shared" si="233"/>
        <v>0.22241770581174464</v>
      </c>
      <c r="AR625" s="323">
        <f>Modelling_new[[#This Row],[Target E_Grid MTD
MWh]]/Modelling_new[[#This Row],[MTD DC Capcity]]/(24*CG625)</f>
        <v>0.19988227435336542</v>
      </c>
      <c r="AS625" s="323">
        <f>Modelling_new[[#This Row],[Target E_Grid YTD
MWh]]/Modelling_new[[#This Row],[YTD DC Capcity]]/(24*CH625)</f>
        <v>0.18519472886340552</v>
      </c>
      <c r="AT625" s="5">
        <v>12.8</v>
      </c>
      <c r="AU625" s="9">
        <f>Modelling_new[[#This Row],[Comisined DC ]]/$AO$1</f>
        <v>1</v>
      </c>
      <c r="AV625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625" s="5">
        <f>AVERAGEIFS(Modelling_new[[Comisined DC ]],Modelling_new[Date],"&lt;="&amp;Modelling_new[[#This Row],[Date]],Modelling_new[[Comisined DC ]],"&gt;"&amp;0,Modelling_new[Finacial Year],Modelling_new[[#This Row],[Finacial Year]])</f>
        <v>12.80000000000004</v>
      </c>
      <c r="BD625" s="27">
        <f t="shared" si="239"/>
        <v>45624</v>
      </c>
      <c r="BE625" s="5">
        <f>MONTH(Modelling[[#This Row],[Date]])</f>
        <v>11</v>
      </c>
      <c r="BF625" s="25">
        <f>YEAR(BD625)+IF(MONTH(Modelling[[#This Row],[Date]])&gt;=4,1,0)</f>
        <v>2025</v>
      </c>
      <c r="BG625" s="3">
        <f t="shared" si="234"/>
        <v>2024</v>
      </c>
      <c r="BH625" s="3" t="s">
        <v>627</v>
      </c>
      <c r="BI625" s="3" t="s">
        <v>627</v>
      </c>
      <c r="BJ625" s="102">
        <f>DATE(Modelling_old[[#This Row],[Calendor Year]],Modelling_old[[#This Row],[Start Month]],1)</f>
        <v>45597</v>
      </c>
      <c r="BK625" s="5">
        <f t="shared" si="235"/>
        <v>30</v>
      </c>
      <c r="BL625" s="5">
        <f t="shared" si="236"/>
        <v>11</v>
      </c>
      <c r="BM625" s="4">
        <f>Modelling_old[[#This Row],[Target E_Grid daily
MWh]]+Modelling_new[[#This Row],[Target E_Grid daily
MWh]]</f>
        <v>112.48716801468724</v>
      </c>
      <c r="BN625" s="4">
        <f>Modelling_old[[#This Row],[Target E_Grid MTD
MWh]]+Modelling_new[[#This Row],[Target E_Grid MTD
MWh]]</f>
        <v>3149.640704411242</v>
      </c>
      <c r="BO625" s="4">
        <f>Modelling_old[[#This Row],[Target E_Grid YTD
MWh]]+Modelling_new[[#This Row],[Target E_Grid YTD
MWh]]</f>
        <v>24416.353944388218</v>
      </c>
      <c r="BP625" s="4">
        <f>AVERAGE(Modelling_old[[#This Row],[Target POA Daily (KWh/m2)]],Modelling_new[[#This Row],[Target POA Daily (KWh/m2)]])</f>
        <v>6.4133333333333331</v>
      </c>
      <c r="BQ625" s="4">
        <f>SUM($BP$598:BP625)</f>
        <v>179.57333333333321</v>
      </c>
      <c r="BR625" s="4">
        <f>SUM($BP$384:BP625)</f>
        <v>1335.4733333333302</v>
      </c>
      <c r="BS625" s="323">
        <f>BM625/Modelling[[#This Row],[Comisined DC ]]/BP625</f>
        <v>0.7217013143290083</v>
      </c>
      <c r="BT625" s="337">
        <f>BN625/BQ625/Modelling[[#This Row],[Comisined DC ]]</f>
        <v>0.72170131432900853</v>
      </c>
      <c r="BU625" s="337">
        <f>BO625/BR625/Modelling[[#This Row],[Comisined DC ]]</f>
        <v>0.75228762460316456</v>
      </c>
      <c r="BV625" s="323">
        <f>BM625/(24*Modelling[[#This Row],[Comisined DC ]])</f>
        <v>0.19285462899569608</v>
      </c>
      <c r="BW625" s="323">
        <f>Modelling[[#This Row],[Target E_Grid MTD
MWh]]/Modelling[[#This Row],[MTD DC Capcity]]/(24*CG625)</f>
        <v>0.19285462899569619</v>
      </c>
      <c r="BX625" s="338">
        <f>Modelling[[#This Row],[Target E_Grid YTD
MWh]]/Modelling[[#This Row],[YTD DC Capcity]]/(24*CH625)</f>
        <v>0.17297866075313334</v>
      </c>
      <c r="BY625" s="4">
        <f>Modelling_old[[#This Row],[DC Capcity]]+Modelling_new[[#This Row],[Comisined DC ]]</f>
        <v>24.303100000000001</v>
      </c>
      <c r="BZ625" s="4">
        <v>0</v>
      </c>
      <c r="CA625">
        <f>AVERAGEIFS(Modelling[[Comisined DC ]],Modelling[Date],"&lt;="&amp;Modelling[[#This Row],[Date]],Modelling[Month Year],Modelling[[#This Row],[Month Year]])</f>
        <v>24.303099999999983</v>
      </c>
      <c r="CB625">
        <f>AVERAGEIFS(Modelling[[Comisined DC ]],Modelling[Date],"&lt;="&amp;Modelling[[#This Row],[Date]],Modelling[Finacial Year],Modelling[[#This Row],[Finacial Year]])</f>
        <v>24.303100000000068</v>
      </c>
      <c r="CG625">
        <f t="shared" si="215"/>
        <v>28</v>
      </c>
      <c r="CH625">
        <f t="shared" si="237"/>
        <v>242</v>
      </c>
    </row>
    <row r="626" spans="1:86" x14ac:dyDescent="0.35">
      <c r="A626" s="27">
        <f t="shared" si="216"/>
        <v>45625</v>
      </c>
      <c r="B626" s="5">
        <f>MONTH(Modelling_old[[#This Row],[Date]])</f>
        <v>11</v>
      </c>
      <c r="C626" s="25">
        <f t="shared" si="217"/>
        <v>2025</v>
      </c>
      <c r="D626" s="3">
        <f t="shared" si="218"/>
        <v>2024</v>
      </c>
      <c r="E626" s="3" t="s">
        <v>627</v>
      </c>
      <c r="F626" s="3" t="s">
        <v>627</v>
      </c>
      <c r="G626" s="102">
        <f>DATE(Modelling_old[[#This Row],[Calendor Year]],Modelling_old[[#This Row],[Start Month]],1)</f>
        <v>45597</v>
      </c>
      <c r="H626" s="5">
        <f t="shared" si="219"/>
        <v>30</v>
      </c>
      <c r="I626" s="5">
        <f t="shared" si="220"/>
        <v>11</v>
      </c>
      <c r="J626" s="4">
        <f>_xlfn.XLOOKUP(Modelling_old[[#This Row],[Month]],$C$1:$C$14,$N$1:$N$14)/Modelling_old[[#This Row],[Total Days]]</f>
        <v>51.083333333333336</v>
      </c>
      <c r="K626" s="4">
        <f>SUM($J$598:J626)</f>
        <v>1481.4166666666663</v>
      </c>
      <c r="L626" s="4">
        <f>SUM($J$384:J626)</f>
        <v>10699.61666666667</v>
      </c>
      <c r="M626" s="4">
        <f t="shared" si="221"/>
        <v>6.4133333333333331</v>
      </c>
      <c r="N626" s="4">
        <f>SUM($M$598:M626)</f>
        <v>185.98666666666654</v>
      </c>
      <c r="O626" s="4">
        <f>SUM($M$384:M626)</f>
        <v>1341.8866666666636</v>
      </c>
      <c r="P626" s="323">
        <f t="shared" si="222"/>
        <v>0.69243740514963059</v>
      </c>
      <c r="Q626" s="337">
        <f t="shared" si="223"/>
        <v>0.69243740514963081</v>
      </c>
      <c r="R626" s="337">
        <f t="shared" si="224"/>
        <v>0.69316637246777624</v>
      </c>
      <c r="S626" s="323">
        <f t="shared" si="225"/>
        <v>0.18503466215387351</v>
      </c>
      <c r="T626" s="9">
        <f>Modelling_old[[#This Row],[Target E_Grid MTD
MWh]]/Modelling_old[[#This Row],[DC Capcity]]/(24*CG626)</f>
        <v>0.18503466215387346</v>
      </c>
      <c r="U626" s="338">
        <f>Modelling_old[[#This Row],[Target E_Grid YTD
MWh]]/Modelling_old[[#This Row],[DC Capcity]]/(24*CH626)</f>
        <v>0.15949086299660617</v>
      </c>
      <c r="V626" s="134">
        <v>11.5031</v>
      </c>
      <c r="Y626" s="27">
        <f t="shared" si="238"/>
        <v>45625</v>
      </c>
      <c r="Z626" s="5">
        <f>MONTH(Modelling_new[[#This Row],[Date]])</f>
        <v>11</v>
      </c>
      <c r="AA626" s="25">
        <f>YEAR(Y626)+IF(MONTH(Modelling_new[[#This Row],[Date]])&gt;=4,1,0)</f>
        <v>2025</v>
      </c>
      <c r="AB626" s="3">
        <f t="shared" si="226"/>
        <v>2024</v>
      </c>
      <c r="AC626" s="3" t="s">
        <v>627</v>
      </c>
      <c r="AD626" s="3" t="s">
        <v>627</v>
      </c>
      <c r="AE626" s="102">
        <f>DATE(Modelling_old[[#This Row],[Calendor Year]],Modelling_old[[#This Row],[Start Month]],1)</f>
        <v>45597</v>
      </c>
      <c r="AF626" s="5">
        <f t="shared" si="227"/>
        <v>30</v>
      </c>
      <c r="AG626" s="5">
        <f t="shared" si="228"/>
        <v>11</v>
      </c>
      <c r="AH626" s="4">
        <f>_xlfn.XLOOKUP(Modelling_new[[#This Row],[Month]],$AA$1:$AA$14,$AL$1:$AL$14)/Modelling_new[[#This Row],[Total Days]]</f>
        <v>61.403834681353906</v>
      </c>
      <c r="AI626" s="4">
        <f>SUM($AH$598:AH626)</f>
        <v>1780.7112057592626</v>
      </c>
      <c r="AJ626" s="4">
        <f>SUM($AH$384:AH626)</f>
        <v>13829.224445736234</v>
      </c>
      <c r="AK626" s="4">
        <f t="shared" si="229"/>
        <v>6.4133333333333331</v>
      </c>
      <c r="AL626" s="4">
        <f>SUM($AK$598:AK626)</f>
        <v>185.98666666666654</v>
      </c>
      <c r="AM626" s="4">
        <f>SUM($AK$384:AK626)</f>
        <v>1341.8866666666636</v>
      </c>
      <c r="AN626" s="323">
        <f t="shared" si="230"/>
        <v>0.83233237102108171</v>
      </c>
      <c r="AO626" s="323">
        <f t="shared" si="231"/>
        <v>0.83233237102108193</v>
      </c>
      <c r="AP626" s="323">
        <f t="shared" si="232"/>
        <v>0.89591558667307469</v>
      </c>
      <c r="AQ626" s="323">
        <f t="shared" si="233"/>
        <v>0.22241770581174464</v>
      </c>
      <c r="AR626" s="323">
        <f>Modelling_new[[#This Row],[Target E_Grid MTD
MWh]]/Modelling_new[[#This Row],[MTD DC Capcity]]/(24*CG626)</f>
        <v>0.19988227435336542</v>
      </c>
      <c r="AS626" s="323">
        <f>Modelling_new[[#This Row],[Target E_Grid YTD
MWh]]/Modelling_new[[#This Row],[YTD DC Capcity]]/(24*CH626)</f>
        <v>0.18525517143743825</v>
      </c>
      <c r="AT626" s="5">
        <v>12.8</v>
      </c>
      <c r="AU626" s="9">
        <f>Modelling_new[[#This Row],[Comisined DC ]]/$AO$1</f>
        <v>1</v>
      </c>
      <c r="AV626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626" s="5">
        <f>AVERAGEIFS(Modelling_new[[Comisined DC ]],Modelling_new[Date],"&lt;="&amp;Modelling_new[[#This Row],[Date]],Modelling_new[[Comisined DC ]],"&gt;"&amp;0,Modelling_new[Finacial Year],Modelling_new[[#This Row],[Finacial Year]])</f>
        <v>12.80000000000004</v>
      </c>
      <c r="BD626" s="27">
        <f t="shared" si="239"/>
        <v>45625</v>
      </c>
      <c r="BE626" s="5">
        <f>MONTH(Modelling[[#This Row],[Date]])</f>
        <v>11</v>
      </c>
      <c r="BF626" s="25">
        <f>YEAR(BD626)+IF(MONTH(Modelling[[#This Row],[Date]])&gt;=4,1,0)</f>
        <v>2025</v>
      </c>
      <c r="BG626" s="3">
        <f t="shared" si="234"/>
        <v>2024</v>
      </c>
      <c r="BH626" s="3" t="s">
        <v>627</v>
      </c>
      <c r="BI626" s="3" t="s">
        <v>627</v>
      </c>
      <c r="BJ626" s="102">
        <f>DATE(Modelling_old[[#This Row],[Calendor Year]],Modelling_old[[#This Row],[Start Month]],1)</f>
        <v>45597</v>
      </c>
      <c r="BK626" s="5">
        <f t="shared" si="235"/>
        <v>30</v>
      </c>
      <c r="BL626" s="5">
        <f t="shared" si="236"/>
        <v>11</v>
      </c>
      <c r="BM626" s="4">
        <f>Modelling_old[[#This Row],[Target E_Grid daily
MWh]]+Modelling_new[[#This Row],[Target E_Grid daily
MWh]]</f>
        <v>112.48716801468724</v>
      </c>
      <c r="BN626" s="4">
        <f>Modelling_old[[#This Row],[Target E_Grid MTD
MWh]]+Modelling_new[[#This Row],[Target E_Grid MTD
MWh]]</f>
        <v>3262.1278724259291</v>
      </c>
      <c r="BO626" s="4">
        <f>Modelling_old[[#This Row],[Target E_Grid YTD
MWh]]+Modelling_new[[#This Row],[Target E_Grid YTD
MWh]]</f>
        <v>24528.841112402904</v>
      </c>
      <c r="BP626" s="4">
        <f>AVERAGE(Modelling_old[[#This Row],[Target POA Daily (KWh/m2)]],Modelling_new[[#This Row],[Target POA Daily (KWh/m2)]])</f>
        <v>6.4133333333333331</v>
      </c>
      <c r="BQ626" s="4">
        <f>SUM($BP$598:BP626)</f>
        <v>185.98666666666654</v>
      </c>
      <c r="BR626" s="4">
        <f>SUM($BP$384:BP626)</f>
        <v>1341.8866666666636</v>
      </c>
      <c r="BS626" s="323">
        <f>BM626/Modelling[[#This Row],[Comisined DC ]]/BP626</f>
        <v>0.7217013143290083</v>
      </c>
      <c r="BT626" s="337">
        <f>BN626/BQ626/Modelling[[#This Row],[Comisined DC ]]</f>
        <v>0.72170131432900853</v>
      </c>
      <c r="BU626" s="337">
        <f>BO626/BR626/Modelling[[#This Row],[Comisined DC ]]</f>
        <v>0.75214144221079293</v>
      </c>
      <c r="BV626" s="323">
        <f>BM626/(24*Modelling[[#This Row],[Comisined DC ]])</f>
        <v>0.19285462899569608</v>
      </c>
      <c r="BW626" s="323">
        <f>Modelling[[#This Row],[Target E_Grid MTD
MWh]]/Modelling[[#This Row],[MTD DC Capcity]]/(24*CG626)</f>
        <v>0.19285462899569616</v>
      </c>
      <c r="BX626" s="338">
        <f>Modelling[[#This Row],[Target E_Grid YTD
MWh]]/Modelling[[#This Row],[YTD DC Capcity]]/(24*CH626)</f>
        <v>0.17306045486112742</v>
      </c>
      <c r="BY626" s="4">
        <f>Modelling_old[[#This Row],[DC Capcity]]+Modelling_new[[#This Row],[Comisined DC ]]</f>
        <v>24.303100000000001</v>
      </c>
      <c r="BZ626" s="4">
        <v>0</v>
      </c>
      <c r="CA626">
        <f>AVERAGEIFS(Modelling[[Comisined DC ]],Modelling[Date],"&lt;="&amp;Modelling[[#This Row],[Date]],Modelling[Month Year],Modelling[[#This Row],[Month Year]])</f>
        <v>24.303099999999983</v>
      </c>
      <c r="CB626">
        <f>AVERAGEIFS(Modelling[[Comisined DC ]],Modelling[Date],"&lt;="&amp;Modelling[[#This Row],[Date]],Modelling[Finacial Year],Modelling[[#This Row],[Finacial Year]])</f>
        <v>24.303100000000068</v>
      </c>
      <c r="CG626">
        <f t="shared" si="215"/>
        <v>29</v>
      </c>
      <c r="CH626">
        <f t="shared" si="237"/>
        <v>243</v>
      </c>
    </row>
    <row r="627" spans="1:86" x14ac:dyDescent="0.35">
      <c r="A627" s="27">
        <f t="shared" si="216"/>
        <v>45626</v>
      </c>
      <c r="B627" s="5">
        <f>MONTH(Modelling_old[[#This Row],[Date]])</f>
        <v>11</v>
      </c>
      <c r="C627" s="25">
        <f t="shared" si="217"/>
        <v>2025</v>
      </c>
      <c r="D627" s="3">
        <f t="shared" si="218"/>
        <v>2024</v>
      </c>
      <c r="E627" s="3" t="s">
        <v>627</v>
      </c>
      <c r="F627" s="3" t="s">
        <v>627</v>
      </c>
      <c r="G627" s="102">
        <f>DATE(Modelling_old[[#This Row],[Calendor Year]],Modelling_old[[#This Row],[Start Month]],1)</f>
        <v>45597</v>
      </c>
      <c r="H627" s="5">
        <f t="shared" si="219"/>
        <v>30</v>
      </c>
      <c r="I627" s="5">
        <f t="shared" si="220"/>
        <v>11</v>
      </c>
      <c r="J627" s="4">
        <f>_xlfn.XLOOKUP(Modelling_old[[#This Row],[Month]],$C$1:$C$14,$N$1:$N$14)/Modelling_old[[#This Row],[Total Days]]</f>
        <v>51.083333333333336</v>
      </c>
      <c r="K627" s="4">
        <f>SUM($J$598:J627)</f>
        <v>1532.4999999999995</v>
      </c>
      <c r="L627" s="4">
        <f>SUM($J$384:J627)</f>
        <v>10750.700000000004</v>
      </c>
      <c r="M627" s="4">
        <f t="shared" si="221"/>
        <v>6.4133333333333331</v>
      </c>
      <c r="N627" s="4">
        <f>SUM($M$598:M627)</f>
        <v>192.39999999999986</v>
      </c>
      <c r="O627" s="4">
        <f>SUM($M$384:M627)</f>
        <v>1348.299999999997</v>
      </c>
      <c r="P627" s="323">
        <f t="shared" si="222"/>
        <v>0.69243740514963059</v>
      </c>
      <c r="Q627" s="337">
        <f t="shared" si="223"/>
        <v>0.69243740514963081</v>
      </c>
      <c r="R627" s="337">
        <f t="shared" si="224"/>
        <v>0.69316290505666556</v>
      </c>
      <c r="S627" s="323">
        <f t="shared" si="225"/>
        <v>0.18503466215387351</v>
      </c>
      <c r="T627" s="9">
        <f>Modelling_old[[#This Row],[Target E_Grid MTD
MWh]]/Modelling_old[[#This Row],[DC Capcity]]/(24*CG627)</f>
        <v>0.18503466215387346</v>
      </c>
      <c r="U627" s="338">
        <f>Modelling_old[[#This Row],[Target E_Grid YTD
MWh]]/Modelling_old[[#This Row],[DC Capcity]]/(24*CH627)</f>
        <v>0.15959555069807038</v>
      </c>
      <c r="V627" s="134">
        <v>11.5031</v>
      </c>
      <c r="Y627" s="27">
        <f t="shared" si="238"/>
        <v>45626</v>
      </c>
      <c r="Z627" s="5">
        <f>MONTH(Modelling_new[[#This Row],[Date]])</f>
        <v>11</v>
      </c>
      <c r="AA627" s="25">
        <f>YEAR(Y627)+IF(MONTH(Modelling_new[[#This Row],[Date]])&gt;=4,1,0)</f>
        <v>2025</v>
      </c>
      <c r="AB627" s="3">
        <f t="shared" si="226"/>
        <v>2024</v>
      </c>
      <c r="AC627" s="3" t="s">
        <v>627</v>
      </c>
      <c r="AD627" s="3" t="s">
        <v>627</v>
      </c>
      <c r="AE627" s="102">
        <f>DATE(Modelling_old[[#This Row],[Calendor Year]],Modelling_old[[#This Row],[Start Month]],1)</f>
        <v>45597</v>
      </c>
      <c r="AF627" s="5">
        <f t="shared" si="227"/>
        <v>30</v>
      </c>
      <c r="AG627" s="5">
        <f t="shared" si="228"/>
        <v>11</v>
      </c>
      <c r="AH627" s="4">
        <f>_xlfn.XLOOKUP(Modelling_new[[#This Row],[Month]],$AA$1:$AA$14,$AL$1:$AL$14)/Modelling_new[[#This Row],[Total Days]]</f>
        <v>61.403834681353906</v>
      </c>
      <c r="AI627" s="4">
        <f>SUM($AH$598:AH627)</f>
        <v>1842.1150404406164</v>
      </c>
      <c r="AJ627" s="4">
        <f>SUM($AH$384:AH627)</f>
        <v>13890.628280417588</v>
      </c>
      <c r="AK627" s="4">
        <f t="shared" si="229"/>
        <v>6.4133333333333331</v>
      </c>
      <c r="AL627" s="4">
        <f>SUM($AK$598:AK627)</f>
        <v>192.39999999999986</v>
      </c>
      <c r="AM627" s="4">
        <f>SUM($AK$384:AK627)</f>
        <v>1348.299999999997</v>
      </c>
      <c r="AN627" s="323">
        <f t="shared" si="230"/>
        <v>0.83233237102108171</v>
      </c>
      <c r="AO627" s="323">
        <f t="shared" si="231"/>
        <v>0.83233237102108193</v>
      </c>
      <c r="AP627" s="323">
        <f t="shared" si="232"/>
        <v>0.89561314629898781</v>
      </c>
      <c r="AQ627" s="323">
        <f t="shared" si="233"/>
        <v>0.22241770581174464</v>
      </c>
      <c r="AR627" s="323">
        <f>Modelling_new[[#This Row],[Target E_Grid MTD
MWh]]/Modelling_new[[#This Row],[MTD DC Capcity]]/(24*CG627)</f>
        <v>0.19988227435336539</v>
      </c>
      <c r="AS627" s="323">
        <f>Modelling_new[[#This Row],[Target E_Grid YTD
MWh]]/Modelling_new[[#This Row],[YTD DC Capcity]]/(24*CH627)</f>
        <v>0.18531511858053634</v>
      </c>
      <c r="AT627" s="5">
        <v>12.8</v>
      </c>
      <c r="AU627" s="9">
        <f>Modelling_new[[#This Row],[Comisined DC ]]/$AO$1</f>
        <v>1</v>
      </c>
      <c r="AV627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627" s="5">
        <f>AVERAGEIFS(Modelling_new[[Comisined DC ]],Modelling_new[Date],"&lt;="&amp;Modelling_new[[#This Row],[Date]],Modelling_new[[Comisined DC ]],"&gt;"&amp;0,Modelling_new[Finacial Year],Modelling_new[[#This Row],[Finacial Year]])</f>
        <v>12.80000000000004</v>
      </c>
      <c r="BD627" s="27">
        <f t="shared" si="239"/>
        <v>45626</v>
      </c>
      <c r="BE627" s="5">
        <f>MONTH(Modelling[[#This Row],[Date]])</f>
        <v>11</v>
      </c>
      <c r="BF627" s="25">
        <f>YEAR(BD627)+IF(MONTH(Modelling[[#This Row],[Date]])&gt;=4,1,0)</f>
        <v>2025</v>
      </c>
      <c r="BG627" s="3">
        <f t="shared" si="234"/>
        <v>2024</v>
      </c>
      <c r="BH627" s="3" t="s">
        <v>627</v>
      </c>
      <c r="BI627" s="3" t="s">
        <v>627</v>
      </c>
      <c r="BJ627" s="102">
        <f>DATE(Modelling_old[[#This Row],[Calendor Year]],Modelling_old[[#This Row],[Start Month]],1)</f>
        <v>45597</v>
      </c>
      <c r="BK627" s="5">
        <f t="shared" si="235"/>
        <v>30</v>
      </c>
      <c r="BL627" s="5">
        <f t="shared" si="236"/>
        <v>11</v>
      </c>
      <c r="BM627" s="4">
        <f>Modelling_old[[#This Row],[Target E_Grid daily
MWh]]+Modelling_new[[#This Row],[Target E_Grid daily
MWh]]</f>
        <v>112.48716801468724</v>
      </c>
      <c r="BN627" s="4">
        <f>Modelling_old[[#This Row],[Target E_Grid MTD
MWh]]+Modelling_new[[#This Row],[Target E_Grid MTD
MWh]]</f>
        <v>3374.6150404406162</v>
      </c>
      <c r="BO627" s="4">
        <f>Modelling_old[[#This Row],[Target E_Grid YTD
MWh]]+Modelling_new[[#This Row],[Target E_Grid YTD
MWh]]</f>
        <v>24641.328280417591</v>
      </c>
      <c r="BP627" s="4">
        <f>AVERAGE(Modelling_old[[#This Row],[Target POA Daily (KWh/m2)]],Modelling_new[[#This Row],[Target POA Daily (KWh/m2)]])</f>
        <v>6.4133333333333331</v>
      </c>
      <c r="BQ627" s="4">
        <f>SUM($BP$598:BP627)</f>
        <v>192.39999999999986</v>
      </c>
      <c r="BR627" s="4">
        <f>SUM($BP$384:BP627)</f>
        <v>1348.299999999997</v>
      </c>
      <c r="BS627" s="323">
        <f>BM627/Modelling[[#This Row],[Comisined DC ]]/BP627</f>
        <v>0.7217013143290083</v>
      </c>
      <c r="BT627" s="337">
        <f>BN627/BQ627/Modelling[[#This Row],[Comisined DC ]]</f>
        <v>0.72170131432900853</v>
      </c>
      <c r="BU627" s="337">
        <f>BO627/BR627/Modelling[[#This Row],[Comisined DC ]]</f>
        <v>0.75199665048282782</v>
      </c>
      <c r="BV627" s="323">
        <f>BM627/(24*Modelling[[#This Row],[Comisined DC ]])</f>
        <v>0.19285462899569608</v>
      </c>
      <c r="BW627" s="323">
        <f>Modelling[[#This Row],[Target E_Grid MTD
MWh]]/Modelling[[#This Row],[MTD DC Capcity]]/(24*CG627)</f>
        <v>0.19285462899569616</v>
      </c>
      <c r="BX627" s="338">
        <f>Modelling[[#This Row],[Target E_Grid YTD
MWh]]/Modelling[[#This Row],[YTD DC Capcity]]/(24*CH627)</f>
        <v>0.17314157852561335</v>
      </c>
      <c r="BY627" s="4">
        <f>Modelling_old[[#This Row],[DC Capcity]]+Modelling_new[[#This Row],[Comisined DC ]]</f>
        <v>24.303100000000001</v>
      </c>
      <c r="BZ627" s="4">
        <v>0</v>
      </c>
      <c r="CA627">
        <f>AVERAGEIFS(Modelling[[Comisined DC ]],Modelling[Date],"&lt;="&amp;Modelling[[#This Row],[Date]],Modelling[Month Year],Modelling[[#This Row],[Month Year]])</f>
        <v>24.303099999999983</v>
      </c>
      <c r="CB627">
        <f>AVERAGEIFS(Modelling[[Comisined DC ]],Modelling[Date],"&lt;="&amp;Modelling[[#This Row],[Date]],Modelling[Finacial Year],Modelling[[#This Row],[Finacial Year]])</f>
        <v>24.303100000000068</v>
      </c>
      <c r="CG627">
        <f t="shared" si="215"/>
        <v>30</v>
      </c>
      <c r="CH627">
        <f t="shared" si="237"/>
        <v>244</v>
      </c>
    </row>
    <row r="628" spans="1:86" x14ac:dyDescent="0.35">
      <c r="A628" s="27">
        <f t="shared" si="216"/>
        <v>45627</v>
      </c>
      <c r="B628" s="5">
        <f>MONTH(Modelling_old[[#This Row],[Date]])</f>
        <v>12</v>
      </c>
      <c r="C628" s="25">
        <f t="shared" si="217"/>
        <v>2025</v>
      </c>
      <c r="D628" s="3">
        <f t="shared" si="218"/>
        <v>2024</v>
      </c>
      <c r="E628" s="3" t="s">
        <v>627</v>
      </c>
      <c r="F628" s="3" t="s">
        <v>627</v>
      </c>
      <c r="G628" s="102">
        <f>DATE(Modelling_old[[#This Row],[Calendor Year]],Modelling_old[[#This Row],[Start Month]],1)</f>
        <v>45627</v>
      </c>
      <c r="H628" s="5">
        <f t="shared" si="219"/>
        <v>31</v>
      </c>
      <c r="I628" s="5">
        <f t="shared" si="220"/>
        <v>12</v>
      </c>
      <c r="J628" s="4">
        <f>_xlfn.XLOOKUP(Modelling_old[[#This Row],[Month]],$C$1:$C$14,$N$1:$N$14)/Modelling_old[[#This Row],[Total Days]]</f>
        <v>52.20322580645162</v>
      </c>
      <c r="K628" s="4">
        <f>SUM($J$628:J628)</f>
        <v>52.20322580645162</v>
      </c>
      <c r="L628" s="4">
        <f>SUM($J$384:J628)</f>
        <v>10802.903225806456</v>
      </c>
      <c r="M628" s="4">
        <f t="shared" si="221"/>
        <v>6.4806451612903224</v>
      </c>
      <c r="N628" s="4">
        <f>SUM($M$628:M628)</f>
        <v>6.4806451612903224</v>
      </c>
      <c r="O628" s="4">
        <f>SUM($M$384:M628)</f>
        <v>1354.7806451612873</v>
      </c>
      <c r="P628" s="323">
        <f t="shared" si="222"/>
        <v>0.7002678729073224</v>
      </c>
      <c r="Q628" s="337">
        <f t="shared" si="223"/>
        <v>0.7002678729073224</v>
      </c>
      <c r="R628" s="337">
        <f t="shared" si="224"/>
        <v>0.69319689194279877</v>
      </c>
      <c r="S628" s="323">
        <f t="shared" si="225"/>
        <v>0.18909115009016275</v>
      </c>
      <c r="T628" s="9">
        <f>Modelling_old[[#This Row],[Target E_Grid MTD
MWh]]/Modelling_old[[#This Row],[DC Capcity]]/(24*CG628)</f>
        <v>0.18909115009016272</v>
      </c>
      <c r="U628" s="338">
        <f>Modelling_old[[#This Row],[Target E_Grid YTD
MWh]]/Modelling_old[[#This Row],[DC Capcity]]/(24*CH628)</f>
        <v>0.15971594089967078</v>
      </c>
      <c r="V628" s="134">
        <v>11.5031</v>
      </c>
      <c r="Y628" s="27">
        <f t="shared" si="238"/>
        <v>45627</v>
      </c>
      <c r="Z628" s="5">
        <f>MONTH(Modelling_new[[#This Row],[Date]])</f>
        <v>12</v>
      </c>
      <c r="AA628" s="25">
        <f>YEAR(Y628)+IF(MONTH(Modelling_new[[#This Row],[Date]])&gt;=4,1,0)</f>
        <v>2025</v>
      </c>
      <c r="AB628" s="3">
        <f t="shared" si="226"/>
        <v>2024</v>
      </c>
      <c r="AC628" s="3" t="s">
        <v>627</v>
      </c>
      <c r="AD628" s="3" t="s">
        <v>627</v>
      </c>
      <c r="AE628" s="102">
        <f>DATE(Modelling_old[[#This Row],[Calendor Year]],Modelling_old[[#This Row],[Start Month]],1)</f>
        <v>45627</v>
      </c>
      <c r="AF628" s="5">
        <f t="shared" si="227"/>
        <v>31</v>
      </c>
      <c r="AG628" s="5">
        <f t="shared" si="228"/>
        <v>12</v>
      </c>
      <c r="AH628" s="4">
        <f>_xlfn.XLOOKUP(Modelling_new[[#This Row],[Month]],$AA$1:$AA$14,$AL$1:$AL$14)/Modelling_new[[#This Row],[Total Days]]</f>
        <v>60.105797566052928</v>
      </c>
      <c r="AI628" s="4">
        <f>SUM($AH$628:AH628)</f>
        <v>60.105797566052928</v>
      </c>
      <c r="AJ628" s="4">
        <f>SUM($AH$384:AH628)</f>
        <v>13950.734077983641</v>
      </c>
      <c r="AK628" s="4">
        <f t="shared" si="229"/>
        <v>6.4806451612903224</v>
      </c>
      <c r="AL628" s="4">
        <f>SUM($AK$628:AK628)</f>
        <v>6.4806451612903224</v>
      </c>
      <c r="AM628" s="4">
        <f>SUM($AK$384:AK628)</f>
        <v>1354.7806451612873</v>
      </c>
      <c r="AN628" s="323">
        <f t="shared" si="230"/>
        <v>0.80627505984076986</v>
      </c>
      <c r="AO628" s="323">
        <f t="shared" si="231"/>
        <v>0.80627505984076986</v>
      </c>
      <c r="AP628" s="323">
        <f t="shared" si="232"/>
        <v>0.89518579413700328</v>
      </c>
      <c r="AQ628" s="323">
        <f t="shared" si="233"/>
        <v>0.21771594021775628</v>
      </c>
      <c r="AR628" s="323">
        <f>Modelling_new[[#This Row],[Target E_Grid MTD
MWh]]/Modelling_new[[#This Row],[MTD DC Capcity]]/(24*CG628)</f>
        <v>0.19565689311866186</v>
      </c>
      <c r="AS628" s="323">
        <f>Modelling_new[[#This Row],[Target E_Grid YTD
MWh]]/Modelling_new[[#This Row],[YTD DC Capcity]]/(24*CH628)</f>
        <v>0.18535732990518172</v>
      </c>
      <c r="AT628" s="5">
        <v>12.8</v>
      </c>
      <c r="AU628" s="9">
        <f>Modelling_new[[#This Row],[Comisined DC ]]/$AO$1</f>
        <v>1</v>
      </c>
      <c r="AV62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28" s="5">
        <f>AVERAGEIFS(Modelling_new[[Comisined DC ]],Modelling_new[Date],"&lt;="&amp;Modelling_new[[#This Row],[Date]],Modelling_new[[Comisined DC ]],"&gt;"&amp;0,Modelling_new[Finacial Year],Modelling_new[[#This Row],[Finacial Year]])</f>
        <v>12.800000000000042</v>
      </c>
      <c r="BD628" s="27">
        <f t="shared" si="239"/>
        <v>45627</v>
      </c>
      <c r="BE628" s="5">
        <f>MONTH(Modelling[[#This Row],[Date]])</f>
        <v>12</v>
      </c>
      <c r="BF628" s="25">
        <f>YEAR(BD628)+IF(MONTH(Modelling[[#This Row],[Date]])&gt;=4,1,0)</f>
        <v>2025</v>
      </c>
      <c r="BG628" s="3">
        <f t="shared" si="234"/>
        <v>2024</v>
      </c>
      <c r="BH628" s="3" t="s">
        <v>627</v>
      </c>
      <c r="BI628" s="3" t="s">
        <v>627</v>
      </c>
      <c r="BJ628" s="102">
        <f>DATE(Modelling_old[[#This Row],[Calendor Year]],Modelling_old[[#This Row],[Start Month]],1)</f>
        <v>45627</v>
      </c>
      <c r="BK628" s="5">
        <f t="shared" si="235"/>
        <v>31</v>
      </c>
      <c r="BL628" s="5">
        <f t="shared" si="236"/>
        <v>12</v>
      </c>
      <c r="BM628" s="4">
        <f>Modelling_old[[#This Row],[Target E_Grid daily
MWh]]+Modelling_new[[#This Row],[Target E_Grid daily
MWh]]</f>
        <v>112.30902337250456</v>
      </c>
      <c r="BN628" s="4">
        <f>Modelling_old[[#This Row],[Target E_Grid MTD
MWh]]+Modelling_new[[#This Row],[Target E_Grid MTD
MWh]]</f>
        <v>112.30902337250456</v>
      </c>
      <c r="BO628" s="4">
        <f>Modelling_old[[#This Row],[Target E_Grid YTD
MWh]]+Modelling_new[[#This Row],[Target E_Grid YTD
MWh]]</f>
        <v>24753.637303790099</v>
      </c>
      <c r="BP628" s="4">
        <f>AVERAGE(Modelling_old[[#This Row],[Target POA Daily (KWh/m2)]],Modelling_new[[#This Row],[Target POA Daily (KWh/m2)]])</f>
        <v>6.4806451612903224</v>
      </c>
      <c r="BQ628" s="4">
        <f>SUM($BP$628:BP628)</f>
        <v>6.4806451612903224</v>
      </c>
      <c r="BR628" s="4">
        <f>SUM($BP$384:BP628)</f>
        <v>1354.7806451612873</v>
      </c>
      <c r="BS628" s="323">
        <f>BM628/Modelling[[#This Row],[Comisined DC ]]/BP628</f>
        <v>0.71307421726835596</v>
      </c>
      <c r="BT628" s="337">
        <f>BN628/BQ628/Modelling[[#This Row],[Comisined DC ]]</f>
        <v>0.71307421726835585</v>
      </c>
      <c r="BU628" s="337">
        <f>BO628/BR628/Modelling[[#This Row],[Comisined DC ]]</f>
        <v>0.75181046353117786</v>
      </c>
      <c r="BV628" s="323">
        <f>BM628/(24*Modelling[[#This Row],[Comisined DC ]])</f>
        <v>0.1925492073242106</v>
      </c>
      <c r="BW628" s="323">
        <f>Modelling[[#This Row],[Target E_Grid MTD
MWh]]/Modelling[[#This Row],[MTD DC Capcity]]/(24*CG628)</f>
        <v>0.19254920732421063</v>
      </c>
      <c r="BX628" s="338">
        <f>Modelling[[#This Row],[Target E_Grid YTD
MWh]]/Modelling[[#This Row],[YTD DC Capcity]]/(24*CH628)</f>
        <v>0.17322079333703622</v>
      </c>
      <c r="BY628" s="4">
        <f>Modelling_old[[#This Row],[DC Capcity]]+Modelling_new[[#This Row],[Comisined DC ]]</f>
        <v>24.303100000000001</v>
      </c>
      <c r="BZ628" s="4">
        <v>0</v>
      </c>
      <c r="CA628">
        <f>AVERAGEIFS(Modelling[[Comisined DC ]],Modelling[Date],"&lt;="&amp;Modelling[[#This Row],[Date]],Modelling[Month Year],Modelling[[#This Row],[Month Year]])</f>
        <v>24.303100000000001</v>
      </c>
      <c r="CB628">
        <f>AVERAGEIFS(Modelling[[Comisined DC ]],Modelling[Date],"&lt;="&amp;Modelling[[#This Row],[Date]],Modelling[Finacial Year],Modelling[[#This Row],[Finacial Year]])</f>
        <v>24.303100000000068</v>
      </c>
      <c r="CG628">
        <v>1</v>
      </c>
      <c r="CH628">
        <f t="shared" si="237"/>
        <v>245</v>
      </c>
    </row>
    <row r="629" spans="1:86" x14ac:dyDescent="0.35">
      <c r="A629" s="27">
        <f t="shared" si="216"/>
        <v>45628</v>
      </c>
      <c r="B629" s="5">
        <f>MONTH(Modelling_old[[#This Row],[Date]])</f>
        <v>12</v>
      </c>
      <c r="C629" s="25">
        <f t="shared" si="217"/>
        <v>2025</v>
      </c>
      <c r="D629" s="3">
        <f t="shared" si="218"/>
        <v>2024</v>
      </c>
      <c r="E629" s="3" t="s">
        <v>627</v>
      </c>
      <c r="F629" s="3" t="s">
        <v>627</v>
      </c>
      <c r="G629" s="102">
        <f>DATE(Modelling_old[[#This Row],[Calendor Year]],Modelling_old[[#This Row],[Start Month]],1)</f>
        <v>45627</v>
      </c>
      <c r="H629" s="5">
        <f t="shared" si="219"/>
        <v>31</v>
      </c>
      <c r="I629" s="5">
        <f t="shared" si="220"/>
        <v>12</v>
      </c>
      <c r="J629" s="4">
        <f>_xlfn.XLOOKUP(Modelling_old[[#This Row],[Month]],$C$1:$C$14,$N$1:$N$14)/Modelling_old[[#This Row],[Total Days]]</f>
        <v>52.20322580645162</v>
      </c>
      <c r="K629" s="4">
        <f>SUM($J$628:J629)</f>
        <v>104.40645161290324</v>
      </c>
      <c r="L629" s="4">
        <f>SUM($J$384:J629)</f>
        <v>10855.106451612908</v>
      </c>
      <c r="M629" s="4">
        <f t="shared" si="221"/>
        <v>6.4806451612903224</v>
      </c>
      <c r="N629" s="4">
        <f>SUM($M$628:M629)</f>
        <v>12.961290322580645</v>
      </c>
      <c r="O629" s="4">
        <f>SUM($M$384:M629)</f>
        <v>1361.2612903225777</v>
      </c>
      <c r="P629" s="323">
        <f t="shared" si="222"/>
        <v>0.7002678729073224</v>
      </c>
      <c r="Q629" s="337">
        <f t="shared" si="223"/>
        <v>0.7002678729073224</v>
      </c>
      <c r="R629" s="337">
        <f t="shared" si="224"/>
        <v>0.69323055522177324</v>
      </c>
      <c r="S629" s="323">
        <f t="shared" si="225"/>
        <v>0.18909115009016275</v>
      </c>
      <c r="T629" s="9">
        <f>Modelling_old[[#This Row],[Target E_Grid MTD
MWh]]/Modelling_old[[#This Row],[DC Capcity]]/(24*CG629)</f>
        <v>0.18909115009016272</v>
      </c>
      <c r="U629" s="338">
        <f>Modelling_old[[#This Row],[Target E_Grid YTD
MWh]]/Modelling_old[[#This Row],[DC Capcity]]/(24*CH629)</f>
        <v>0.15983535231914431</v>
      </c>
      <c r="V629" s="134">
        <v>11.5031</v>
      </c>
      <c r="Y629" s="27">
        <f t="shared" si="238"/>
        <v>45628</v>
      </c>
      <c r="Z629" s="5">
        <f>MONTH(Modelling_new[[#This Row],[Date]])</f>
        <v>12</v>
      </c>
      <c r="AA629" s="25">
        <f>YEAR(Y629)+IF(MONTH(Modelling_new[[#This Row],[Date]])&gt;=4,1,0)</f>
        <v>2025</v>
      </c>
      <c r="AB629" s="3">
        <f t="shared" si="226"/>
        <v>2024</v>
      </c>
      <c r="AC629" s="3" t="s">
        <v>627</v>
      </c>
      <c r="AD629" s="3" t="s">
        <v>627</v>
      </c>
      <c r="AE629" s="102">
        <f>DATE(Modelling_old[[#This Row],[Calendor Year]],Modelling_old[[#This Row],[Start Month]],1)</f>
        <v>45627</v>
      </c>
      <c r="AF629" s="5">
        <f t="shared" si="227"/>
        <v>31</v>
      </c>
      <c r="AG629" s="5">
        <f t="shared" si="228"/>
        <v>12</v>
      </c>
      <c r="AH629" s="4">
        <f>_xlfn.XLOOKUP(Modelling_new[[#This Row],[Month]],$AA$1:$AA$14,$AL$1:$AL$14)/Modelling_new[[#This Row],[Total Days]]</f>
        <v>60.105797566052928</v>
      </c>
      <c r="AI629" s="4">
        <f>SUM($AH$628:AH629)</f>
        <v>120.21159513210586</v>
      </c>
      <c r="AJ629" s="4">
        <f>SUM($AH$384:AH629)</f>
        <v>14010.839875549695</v>
      </c>
      <c r="AK629" s="4">
        <f t="shared" si="229"/>
        <v>6.4806451612903224</v>
      </c>
      <c r="AL629" s="4">
        <f>SUM($AK$628:AK629)</f>
        <v>12.961290322580645</v>
      </c>
      <c r="AM629" s="4">
        <f>SUM($AK$384:AK629)</f>
        <v>1361.2612903225777</v>
      </c>
      <c r="AN629" s="323">
        <f t="shared" si="230"/>
        <v>0.80627505984076986</v>
      </c>
      <c r="AO629" s="323">
        <f t="shared" si="231"/>
        <v>0.80627505984076986</v>
      </c>
      <c r="AP629" s="323">
        <f t="shared" si="232"/>
        <v>0.89476251102148385</v>
      </c>
      <c r="AQ629" s="323">
        <f t="shared" si="233"/>
        <v>0.21771594021775628</v>
      </c>
      <c r="AR629" s="323">
        <f>Modelling_new[[#This Row],[Target E_Grid MTD
MWh]]/Modelling_new[[#This Row],[MTD DC Capcity]]/(24*CG629)</f>
        <v>0.19565689311866186</v>
      </c>
      <c r="AS629" s="323">
        <f>Modelling_new[[#This Row],[Target E_Grid YTD
MWh]]/Modelling_new[[#This Row],[YTD DC Capcity]]/(24*CH629)</f>
        <v>0.18539919804832594</v>
      </c>
      <c r="AT629" s="5">
        <v>12.8</v>
      </c>
      <c r="AU629" s="9">
        <f>Modelling_new[[#This Row],[Comisined DC ]]/$AO$1</f>
        <v>1</v>
      </c>
      <c r="AV629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29" s="5">
        <f>AVERAGEIFS(Modelling_new[[Comisined DC ]],Modelling_new[Date],"&lt;="&amp;Modelling_new[[#This Row],[Date]],Modelling_new[[Comisined DC ]],"&gt;"&amp;0,Modelling_new[Finacial Year],Modelling_new[[#This Row],[Finacial Year]])</f>
        <v>12.800000000000042</v>
      </c>
      <c r="BD629" s="27">
        <f t="shared" si="239"/>
        <v>45628</v>
      </c>
      <c r="BE629" s="5">
        <f>MONTH(Modelling[[#This Row],[Date]])</f>
        <v>12</v>
      </c>
      <c r="BF629" s="25">
        <f>YEAR(BD629)+IF(MONTH(Modelling[[#This Row],[Date]])&gt;=4,1,0)</f>
        <v>2025</v>
      </c>
      <c r="BG629" s="3">
        <f t="shared" si="234"/>
        <v>2024</v>
      </c>
      <c r="BH629" s="3" t="s">
        <v>627</v>
      </c>
      <c r="BI629" s="3" t="s">
        <v>627</v>
      </c>
      <c r="BJ629" s="102">
        <f>DATE(Modelling_old[[#This Row],[Calendor Year]],Modelling_old[[#This Row],[Start Month]],1)</f>
        <v>45627</v>
      </c>
      <c r="BK629" s="5">
        <f t="shared" si="235"/>
        <v>31</v>
      </c>
      <c r="BL629" s="5">
        <f t="shared" si="236"/>
        <v>12</v>
      </c>
      <c r="BM629" s="4">
        <f>Modelling_old[[#This Row],[Target E_Grid daily
MWh]]+Modelling_new[[#This Row],[Target E_Grid daily
MWh]]</f>
        <v>112.30902337250456</v>
      </c>
      <c r="BN629" s="4">
        <f>Modelling_old[[#This Row],[Target E_Grid MTD
MWh]]+Modelling_new[[#This Row],[Target E_Grid MTD
MWh]]</f>
        <v>224.61804674500911</v>
      </c>
      <c r="BO629" s="4">
        <f>Modelling_old[[#This Row],[Target E_Grid YTD
MWh]]+Modelling_new[[#This Row],[Target E_Grid YTD
MWh]]</f>
        <v>24865.946327162601</v>
      </c>
      <c r="BP629" s="4">
        <f>AVERAGE(Modelling_old[[#This Row],[Target POA Daily (KWh/m2)]],Modelling_new[[#This Row],[Target POA Daily (KWh/m2)]])</f>
        <v>6.4806451612903224</v>
      </c>
      <c r="BQ629" s="4">
        <f>SUM($BP$628:BP629)</f>
        <v>12.961290322580645</v>
      </c>
      <c r="BR629" s="4">
        <f>SUM($BP$384:BP629)</f>
        <v>1361.2612903225777</v>
      </c>
      <c r="BS629" s="323">
        <f>BM629/Modelling[[#This Row],[Comisined DC ]]/BP629</f>
        <v>0.71307421726835596</v>
      </c>
      <c r="BT629" s="337">
        <f>BN629/BQ629/Modelling[[#This Row],[Comisined DC ]]</f>
        <v>0.71307421726835585</v>
      </c>
      <c r="BU629" s="337">
        <f>BO629/BR629/Modelling[[#This Row],[Comisined DC ]]</f>
        <v>0.75162604936418853</v>
      </c>
      <c r="BV629" s="323">
        <f>BM629/(24*Modelling[[#This Row],[Comisined DC ]])</f>
        <v>0.1925492073242106</v>
      </c>
      <c r="BW629" s="323">
        <f>Modelling[[#This Row],[Target E_Grid MTD
MWh]]/Modelling[[#This Row],[MTD DC Capcity]]/(24*CG629)</f>
        <v>0.19254920732421063</v>
      </c>
      <c r="BX629" s="338">
        <f>Modelling[[#This Row],[Target E_Grid YTD
MWh]]/Modelling[[#This Row],[YTD DC Capcity]]/(24*CH629)</f>
        <v>0.17329936412560196</v>
      </c>
      <c r="BY629" s="4">
        <f>Modelling_old[[#This Row],[DC Capcity]]+Modelling_new[[#This Row],[Comisined DC ]]</f>
        <v>24.303100000000001</v>
      </c>
      <c r="BZ629" s="4">
        <v>0</v>
      </c>
      <c r="CA629">
        <f>AVERAGEIFS(Modelling[[Comisined DC ]],Modelling[Date],"&lt;="&amp;Modelling[[#This Row],[Date]],Modelling[Month Year],Modelling[[#This Row],[Month Year]])</f>
        <v>24.303100000000001</v>
      </c>
      <c r="CB629">
        <f>AVERAGEIFS(Modelling[[Comisined DC ]],Modelling[Date],"&lt;="&amp;Modelling[[#This Row],[Date]],Modelling[Finacial Year],Modelling[[#This Row],[Finacial Year]])</f>
        <v>24.303100000000068</v>
      </c>
      <c r="CG629">
        <f t="shared" si="215"/>
        <v>2</v>
      </c>
      <c r="CH629">
        <f t="shared" si="237"/>
        <v>246</v>
      </c>
    </row>
    <row r="630" spans="1:86" x14ac:dyDescent="0.35">
      <c r="A630" s="27">
        <f t="shared" si="216"/>
        <v>45629</v>
      </c>
      <c r="B630" s="5">
        <f>MONTH(Modelling_old[[#This Row],[Date]])</f>
        <v>12</v>
      </c>
      <c r="C630" s="25">
        <f t="shared" si="217"/>
        <v>2025</v>
      </c>
      <c r="D630" s="3">
        <f t="shared" si="218"/>
        <v>2024</v>
      </c>
      <c r="E630" s="3" t="s">
        <v>627</v>
      </c>
      <c r="F630" s="3" t="s">
        <v>627</v>
      </c>
      <c r="G630" s="102">
        <f>DATE(Modelling_old[[#This Row],[Calendor Year]],Modelling_old[[#This Row],[Start Month]],1)</f>
        <v>45627</v>
      </c>
      <c r="H630" s="5">
        <f t="shared" si="219"/>
        <v>31</v>
      </c>
      <c r="I630" s="5">
        <f t="shared" si="220"/>
        <v>12</v>
      </c>
      <c r="J630" s="4">
        <f>_xlfn.XLOOKUP(Modelling_old[[#This Row],[Month]],$C$1:$C$14,$N$1:$N$14)/Modelling_old[[#This Row],[Total Days]]</f>
        <v>52.20322580645162</v>
      </c>
      <c r="K630" s="4">
        <f>SUM($J$628:J630)</f>
        <v>156.60967741935485</v>
      </c>
      <c r="L630" s="4">
        <f>SUM($J$384:J630)</f>
        <v>10907.30967741936</v>
      </c>
      <c r="M630" s="4">
        <f t="shared" si="221"/>
        <v>6.4806451612903224</v>
      </c>
      <c r="N630" s="4">
        <f>SUM($M$628:M630)</f>
        <v>19.441935483870967</v>
      </c>
      <c r="O630" s="4">
        <f>SUM($M$384:M630)</f>
        <v>1367.741935483868</v>
      </c>
      <c r="P630" s="323">
        <f t="shared" si="222"/>
        <v>0.7002678729073224</v>
      </c>
      <c r="Q630" s="337">
        <f t="shared" si="223"/>
        <v>0.7002678729073224</v>
      </c>
      <c r="R630" s="337">
        <f t="shared" si="224"/>
        <v>0.69326389949354283</v>
      </c>
      <c r="S630" s="323">
        <f t="shared" si="225"/>
        <v>0.18909115009016275</v>
      </c>
      <c r="T630" s="9">
        <f>Modelling_old[[#This Row],[Target E_Grid MTD
MWh]]/Modelling_old[[#This Row],[DC Capcity]]/(24*CG630)</f>
        <v>0.18909115009016272</v>
      </c>
      <c r="U630" s="338">
        <f>Modelling_old[[#This Row],[Target E_Grid YTD
MWh]]/Modelling_old[[#This Row],[DC Capcity]]/(24*CH630)</f>
        <v>0.15995379684453304</v>
      </c>
      <c r="V630" s="134">
        <v>11.5031</v>
      </c>
      <c r="Y630" s="27">
        <f t="shared" si="238"/>
        <v>45629</v>
      </c>
      <c r="Z630" s="5">
        <f>MONTH(Modelling_new[[#This Row],[Date]])</f>
        <v>12</v>
      </c>
      <c r="AA630" s="25">
        <f>YEAR(Y630)+IF(MONTH(Modelling_new[[#This Row],[Date]])&gt;=4,1,0)</f>
        <v>2025</v>
      </c>
      <c r="AB630" s="3">
        <f t="shared" si="226"/>
        <v>2024</v>
      </c>
      <c r="AC630" s="3" t="s">
        <v>627</v>
      </c>
      <c r="AD630" s="3" t="s">
        <v>627</v>
      </c>
      <c r="AE630" s="102">
        <f>DATE(Modelling_old[[#This Row],[Calendor Year]],Modelling_old[[#This Row],[Start Month]],1)</f>
        <v>45627</v>
      </c>
      <c r="AF630" s="5">
        <f t="shared" si="227"/>
        <v>31</v>
      </c>
      <c r="AG630" s="5">
        <f t="shared" si="228"/>
        <v>12</v>
      </c>
      <c r="AH630" s="4">
        <f>_xlfn.XLOOKUP(Modelling_new[[#This Row],[Month]],$AA$1:$AA$14,$AL$1:$AL$14)/Modelling_new[[#This Row],[Total Days]]</f>
        <v>60.105797566052928</v>
      </c>
      <c r="AI630" s="4">
        <f>SUM($AH$628:AH630)</f>
        <v>180.31739269815878</v>
      </c>
      <c r="AJ630" s="4">
        <f>SUM($AH$384:AH630)</f>
        <v>14070.945673115748</v>
      </c>
      <c r="AK630" s="4">
        <f t="shared" si="229"/>
        <v>6.4806451612903224</v>
      </c>
      <c r="AL630" s="4">
        <f>SUM($AK$628:AK630)</f>
        <v>19.441935483870967</v>
      </c>
      <c r="AM630" s="4">
        <f>SUM($AK$384:AK630)</f>
        <v>1367.741935483868</v>
      </c>
      <c r="AN630" s="323">
        <f t="shared" si="230"/>
        <v>0.80627505984076986</v>
      </c>
      <c r="AO630" s="323">
        <f t="shared" si="231"/>
        <v>0.80627505984076986</v>
      </c>
      <c r="AP630" s="323">
        <f t="shared" si="232"/>
        <v>0.8943432391124696</v>
      </c>
      <c r="AQ630" s="323">
        <f t="shared" si="233"/>
        <v>0.21771594021775628</v>
      </c>
      <c r="AR630" s="323">
        <f>Modelling_new[[#This Row],[Target E_Grid MTD
MWh]]/Modelling_new[[#This Row],[MTD DC Capcity]]/(24*CG630)</f>
        <v>0.19565689311866186</v>
      </c>
      <c r="AS630" s="323">
        <f>Modelling_new[[#This Row],[Target E_Grid YTD
MWh]]/Modelling_new[[#This Row],[YTD DC Capcity]]/(24*CH630)</f>
        <v>0.18544072717816537</v>
      </c>
      <c r="AT630" s="5">
        <v>12.8</v>
      </c>
      <c r="AU630" s="9">
        <f>Modelling_new[[#This Row],[Comisined DC ]]/$AO$1</f>
        <v>1</v>
      </c>
      <c r="AV630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30" s="5">
        <f>AVERAGEIFS(Modelling_new[[Comisined DC ]],Modelling_new[Date],"&lt;="&amp;Modelling_new[[#This Row],[Date]],Modelling_new[[Comisined DC ]],"&gt;"&amp;0,Modelling_new[Finacial Year],Modelling_new[[#This Row],[Finacial Year]])</f>
        <v>12.800000000000042</v>
      </c>
      <c r="BD630" s="27">
        <f t="shared" si="239"/>
        <v>45629</v>
      </c>
      <c r="BE630" s="5">
        <f>MONTH(Modelling[[#This Row],[Date]])</f>
        <v>12</v>
      </c>
      <c r="BF630" s="25">
        <f>YEAR(BD630)+IF(MONTH(Modelling[[#This Row],[Date]])&gt;=4,1,0)</f>
        <v>2025</v>
      </c>
      <c r="BG630" s="3">
        <f t="shared" si="234"/>
        <v>2024</v>
      </c>
      <c r="BH630" s="3" t="s">
        <v>627</v>
      </c>
      <c r="BI630" s="3" t="s">
        <v>627</v>
      </c>
      <c r="BJ630" s="102">
        <f>DATE(Modelling_old[[#This Row],[Calendor Year]],Modelling_old[[#This Row],[Start Month]],1)</f>
        <v>45627</v>
      </c>
      <c r="BK630" s="5">
        <f t="shared" si="235"/>
        <v>31</v>
      </c>
      <c r="BL630" s="5">
        <f t="shared" si="236"/>
        <v>12</v>
      </c>
      <c r="BM630" s="4">
        <f>Modelling_old[[#This Row],[Target E_Grid daily
MWh]]+Modelling_new[[#This Row],[Target E_Grid daily
MWh]]</f>
        <v>112.30902337250456</v>
      </c>
      <c r="BN630" s="4">
        <f>Modelling_old[[#This Row],[Target E_Grid MTD
MWh]]+Modelling_new[[#This Row],[Target E_Grid MTD
MWh]]</f>
        <v>336.92707011751361</v>
      </c>
      <c r="BO630" s="4">
        <f>Modelling_old[[#This Row],[Target E_Grid YTD
MWh]]+Modelling_new[[#This Row],[Target E_Grid YTD
MWh]]</f>
        <v>24978.25535053511</v>
      </c>
      <c r="BP630" s="4">
        <f>AVERAGE(Modelling_old[[#This Row],[Target POA Daily (KWh/m2)]],Modelling_new[[#This Row],[Target POA Daily (KWh/m2)]])</f>
        <v>6.4806451612903224</v>
      </c>
      <c r="BQ630" s="4">
        <f>SUM($BP$628:BP630)</f>
        <v>19.441935483870967</v>
      </c>
      <c r="BR630" s="4">
        <f>SUM($BP$384:BP630)</f>
        <v>1367.741935483868</v>
      </c>
      <c r="BS630" s="323">
        <f>BM630/Modelling[[#This Row],[Comisined DC ]]/BP630</f>
        <v>0.71307421726835596</v>
      </c>
      <c r="BT630" s="337">
        <f>BN630/BQ630/Modelling[[#This Row],[Comisined DC ]]</f>
        <v>0.71307421726835574</v>
      </c>
      <c r="BU630" s="337">
        <f>BO630/BR630/Modelling[[#This Row],[Comisined DC ]]</f>
        <v>0.75144338278239498</v>
      </c>
      <c r="BV630" s="323">
        <f>BM630/(24*Modelling[[#This Row],[Comisined DC ]])</f>
        <v>0.1925492073242106</v>
      </c>
      <c r="BW630" s="323">
        <f>Modelling[[#This Row],[Target E_Grid MTD
MWh]]/Modelling[[#This Row],[MTD DC Capcity]]/(24*CG630)</f>
        <v>0.19254920732421058</v>
      </c>
      <c r="BX630" s="338">
        <f>Modelling[[#This Row],[Target E_Grid YTD
MWh]]/Modelling[[#This Row],[YTD DC Capcity]]/(24*CH630)</f>
        <v>0.17337729871345059</v>
      </c>
      <c r="BY630" s="4">
        <f>Modelling_old[[#This Row],[DC Capcity]]+Modelling_new[[#This Row],[Comisined DC ]]</f>
        <v>24.303100000000001</v>
      </c>
      <c r="BZ630" s="4">
        <v>0</v>
      </c>
      <c r="CA630">
        <f>AVERAGEIFS(Modelling[[Comisined DC ]],Modelling[Date],"&lt;="&amp;Modelling[[#This Row],[Date]],Modelling[Month Year],Modelling[[#This Row],[Month Year]])</f>
        <v>24.303100000000001</v>
      </c>
      <c r="CB630">
        <f>AVERAGEIFS(Modelling[[Comisined DC ]],Modelling[Date],"&lt;="&amp;Modelling[[#This Row],[Date]],Modelling[Finacial Year],Modelling[[#This Row],[Finacial Year]])</f>
        <v>24.303100000000068</v>
      </c>
      <c r="CG630">
        <f t="shared" si="215"/>
        <v>3</v>
      </c>
      <c r="CH630">
        <f t="shared" si="237"/>
        <v>247</v>
      </c>
    </row>
    <row r="631" spans="1:86" x14ac:dyDescent="0.35">
      <c r="A631" s="27">
        <f t="shared" si="216"/>
        <v>45630</v>
      </c>
      <c r="B631" s="5">
        <f>MONTH(Modelling_old[[#This Row],[Date]])</f>
        <v>12</v>
      </c>
      <c r="C631" s="25">
        <f t="shared" si="217"/>
        <v>2025</v>
      </c>
      <c r="D631" s="3">
        <f t="shared" si="218"/>
        <v>2024</v>
      </c>
      <c r="E631" s="3" t="s">
        <v>627</v>
      </c>
      <c r="F631" s="3" t="s">
        <v>627</v>
      </c>
      <c r="G631" s="102">
        <f>DATE(Modelling_old[[#This Row],[Calendor Year]],Modelling_old[[#This Row],[Start Month]],1)</f>
        <v>45627</v>
      </c>
      <c r="H631" s="5">
        <f t="shared" si="219"/>
        <v>31</v>
      </c>
      <c r="I631" s="5">
        <f t="shared" si="220"/>
        <v>12</v>
      </c>
      <c r="J631" s="4">
        <f>_xlfn.XLOOKUP(Modelling_old[[#This Row],[Month]],$C$1:$C$14,$N$1:$N$14)/Modelling_old[[#This Row],[Total Days]]</f>
        <v>52.20322580645162</v>
      </c>
      <c r="K631" s="4">
        <f>SUM($J$628:J631)</f>
        <v>208.81290322580648</v>
      </c>
      <c r="L631" s="4">
        <f>SUM($J$384:J631)</f>
        <v>10959.512903225812</v>
      </c>
      <c r="M631" s="4">
        <f t="shared" si="221"/>
        <v>6.4806451612903224</v>
      </c>
      <c r="N631" s="4">
        <f>SUM($M$628:M631)</f>
        <v>25.92258064516129</v>
      </c>
      <c r="O631" s="4">
        <f>SUM($M$384:M631)</f>
        <v>1374.2225806451584</v>
      </c>
      <c r="P631" s="323">
        <f t="shared" si="222"/>
        <v>0.7002678729073224</v>
      </c>
      <c r="Q631" s="337">
        <f t="shared" si="223"/>
        <v>0.7002678729073224</v>
      </c>
      <c r="R631" s="337">
        <f t="shared" si="224"/>
        <v>0.69329692927128994</v>
      </c>
      <c r="S631" s="323">
        <f t="shared" si="225"/>
        <v>0.18909115009016275</v>
      </c>
      <c r="T631" s="9">
        <f>Modelling_old[[#This Row],[Target E_Grid MTD
MWh]]/Modelling_old[[#This Row],[DC Capcity]]/(24*CG631)</f>
        <v>0.18909115009016272</v>
      </c>
      <c r="U631" s="338">
        <f>Modelling_old[[#This Row],[Target E_Grid YTD
MWh]]/Modelling_old[[#This Row],[DC Capcity]]/(24*CH631)</f>
        <v>0.1600712861721364</v>
      </c>
      <c r="V631" s="134">
        <v>11.5031</v>
      </c>
      <c r="Y631" s="27">
        <f t="shared" si="238"/>
        <v>45630</v>
      </c>
      <c r="Z631" s="5">
        <f>MONTH(Modelling_new[[#This Row],[Date]])</f>
        <v>12</v>
      </c>
      <c r="AA631" s="25">
        <f>YEAR(Y631)+IF(MONTH(Modelling_new[[#This Row],[Date]])&gt;=4,1,0)</f>
        <v>2025</v>
      </c>
      <c r="AB631" s="3">
        <f t="shared" si="226"/>
        <v>2024</v>
      </c>
      <c r="AC631" s="3" t="s">
        <v>627</v>
      </c>
      <c r="AD631" s="3" t="s">
        <v>627</v>
      </c>
      <c r="AE631" s="102">
        <f>DATE(Modelling_old[[#This Row],[Calendor Year]],Modelling_old[[#This Row],[Start Month]],1)</f>
        <v>45627</v>
      </c>
      <c r="AF631" s="5">
        <f t="shared" si="227"/>
        <v>31</v>
      </c>
      <c r="AG631" s="5">
        <f t="shared" si="228"/>
        <v>12</v>
      </c>
      <c r="AH631" s="4">
        <f>_xlfn.XLOOKUP(Modelling_new[[#This Row],[Month]],$AA$1:$AA$14,$AL$1:$AL$14)/Modelling_new[[#This Row],[Total Days]]</f>
        <v>60.105797566052928</v>
      </c>
      <c r="AI631" s="4">
        <f>SUM($AH$628:AH631)</f>
        <v>240.42319026421171</v>
      </c>
      <c r="AJ631" s="4">
        <f>SUM($AH$384:AH631)</f>
        <v>14131.051470681801</v>
      </c>
      <c r="AK631" s="4">
        <f t="shared" si="229"/>
        <v>6.4806451612903224</v>
      </c>
      <c r="AL631" s="4">
        <f>SUM($AK$628:AK631)</f>
        <v>25.92258064516129</v>
      </c>
      <c r="AM631" s="4">
        <f>SUM($AK$384:AK631)</f>
        <v>1374.2225806451584</v>
      </c>
      <c r="AN631" s="323">
        <f t="shared" si="230"/>
        <v>0.80627505984076986</v>
      </c>
      <c r="AO631" s="323">
        <f t="shared" si="231"/>
        <v>0.80627505984076986</v>
      </c>
      <c r="AP631" s="323">
        <f t="shared" si="232"/>
        <v>0.89392792166106172</v>
      </c>
      <c r="AQ631" s="323">
        <f t="shared" si="233"/>
        <v>0.21771594021775628</v>
      </c>
      <c r="AR631" s="323">
        <f>Modelling_new[[#This Row],[Target E_Grid MTD
MWh]]/Modelling_new[[#This Row],[MTD DC Capcity]]/(24*CG631)</f>
        <v>0.19565689311866186</v>
      </c>
      <c r="AS631" s="323">
        <f>Modelling_new[[#This Row],[Target E_Grid YTD
MWh]]/Modelling_new[[#This Row],[YTD DC Capcity]]/(24*CH631)</f>
        <v>0.18548192139566735</v>
      </c>
      <c r="AT631" s="5">
        <v>12.8</v>
      </c>
      <c r="AU631" s="9">
        <f>Modelling_new[[#This Row],[Comisined DC ]]/$AO$1</f>
        <v>1</v>
      </c>
      <c r="AV631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31" s="5">
        <f>AVERAGEIFS(Modelling_new[[Comisined DC ]],Modelling_new[Date],"&lt;="&amp;Modelling_new[[#This Row],[Date]],Modelling_new[[Comisined DC ]],"&gt;"&amp;0,Modelling_new[Finacial Year],Modelling_new[[#This Row],[Finacial Year]])</f>
        <v>12.800000000000043</v>
      </c>
      <c r="BD631" s="27">
        <f t="shared" si="239"/>
        <v>45630</v>
      </c>
      <c r="BE631" s="5">
        <f>MONTH(Modelling[[#This Row],[Date]])</f>
        <v>12</v>
      </c>
      <c r="BF631" s="25">
        <f>YEAR(BD631)+IF(MONTH(Modelling[[#This Row],[Date]])&gt;=4,1,0)</f>
        <v>2025</v>
      </c>
      <c r="BG631" s="3">
        <f t="shared" si="234"/>
        <v>2024</v>
      </c>
      <c r="BH631" s="3" t="s">
        <v>627</v>
      </c>
      <c r="BI631" s="3" t="s">
        <v>627</v>
      </c>
      <c r="BJ631" s="102">
        <f>DATE(Modelling_old[[#This Row],[Calendor Year]],Modelling_old[[#This Row],[Start Month]],1)</f>
        <v>45627</v>
      </c>
      <c r="BK631" s="5">
        <f t="shared" si="235"/>
        <v>31</v>
      </c>
      <c r="BL631" s="5">
        <f t="shared" si="236"/>
        <v>12</v>
      </c>
      <c r="BM631" s="4">
        <f>Modelling_old[[#This Row],[Target E_Grid daily
MWh]]+Modelling_new[[#This Row],[Target E_Grid daily
MWh]]</f>
        <v>112.30902337250456</v>
      </c>
      <c r="BN631" s="4">
        <f>Modelling_old[[#This Row],[Target E_Grid MTD
MWh]]+Modelling_new[[#This Row],[Target E_Grid MTD
MWh]]</f>
        <v>449.23609349001822</v>
      </c>
      <c r="BO631" s="4">
        <f>Modelling_old[[#This Row],[Target E_Grid YTD
MWh]]+Modelling_new[[#This Row],[Target E_Grid YTD
MWh]]</f>
        <v>25090.564373907611</v>
      </c>
      <c r="BP631" s="4">
        <f>AVERAGE(Modelling_old[[#This Row],[Target POA Daily (KWh/m2)]],Modelling_new[[#This Row],[Target POA Daily (KWh/m2)]])</f>
        <v>6.4806451612903224</v>
      </c>
      <c r="BQ631" s="4">
        <f>SUM($BP$628:BP631)</f>
        <v>25.92258064516129</v>
      </c>
      <c r="BR631" s="4">
        <f>SUM($BP$384:BP631)</f>
        <v>1374.2225806451584</v>
      </c>
      <c r="BS631" s="323">
        <f>BM631/Modelling[[#This Row],[Comisined DC ]]/BP631</f>
        <v>0.71307421726835596</v>
      </c>
      <c r="BT631" s="337">
        <f>BN631/BQ631/Modelling[[#This Row],[Comisined DC ]]</f>
        <v>0.71307421726835585</v>
      </c>
      <c r="BU631" s="337">
        <f>BO631/BR631/Modelling[[#This Row],[Comisined DC ]]</f>
        <v>0.75126243906168066</v>
      </c>
      <c r="BV631" s="323">
        <f>BM631/(24*Modelling[[#This Row],[Comisined DC ]])</f>
        <v>0.1925492073242106</v>
      </c>
      <c r="BW631" s="323">
        <f>Modelling[[#This Row],[Target E_Grid MTD
MWh]]/Modelling[[#This Row],[MTD DC Capcity]]/(24*CG631)</f>
        <v>0.19254920732421063</v>
      </c>
      <c r="BX631" s="338">
        <f>Modelling[[#This Row],[Target E_Grid YTD
MWh]]/Modelling[[#This Row],[YTD DC Capcity]]/(24*CH631)</f>
        <v>0.17345460479655847</v>
      </c>
      <c r="BY631" s="4">
        <f>Modelling_old[[#This Row],[DC Capcity]]+Modelling_new[[#This Row],[Comisined DC ]]</f>
        <v>24.303100000000001</v>
      </c>
      <c r="BZ631" s="4">
        <v>0</v>
      </c>
      <c r="CA631">
        <f>AVERAGEIFS(Modelling[[Comisined DC ]],Modelling[Date],"&lt;="&amp;Modelling[[#This Row],[Date]],Modelling[Month Year],Modelling[[#This Row],[Month Year]])</f>
        <v>24.303100000000001</v>
      </c>
      <c r="CB631">
        <f>AVERAGEIFS(Modelling[[Comisined DC ]],Modelling[Date],"&lt;="&amp;Modelling[[#This Row],[Date]],Modelling[Finacial Year],Modelling[[#This Row],[Finacial Year]])</f>
        <v>24.303100000000068</v>
      </c>
      <c r="CG631">
        <f t="shared" si="215"/>
        <v>4</v>
      </c>
      <c r="CH631">
        <f t="shared" si="237"/>
        <v>248</v>
      </c>
    </row>
    <row r="632" spans="1:86" x14ac:dyDescent="0.35">
      <c r="A632" s="27">
        <f t="shared" si="216"/>
        <v>45631</v>
      </c>
      <c r="B632" s="5">
        <f>MONTH(Modelling_old[[#This Row],[Date]])</f>
        <v>12</v>
      </c>
      <c r="C632" s="25">
        <f t="shared" si="217"/>
        <v>2025</v>
      </c>
      <c r="D632" s="3">
        <f t="shared" si="218"/>
        <v>2024</v>
      </c>
      <c r="E632" s="3" t="s">
        <v>627</v>
      </c>
      <c r="F632" s="3" t="s">
        <v>627</v>
      </c>
      <c r="G632" s="102">
        <f>DATE(Modelling_old[[#This Row],[Calendor Year]],Modelling_old[[#This Row],[Start Month]],1)</f>
        <v>45627</v>
      </c>
      <c r="H632" s="5">
        <f t="shared" si="219"/>
        <v>31</v>
      </c>
      <c r="I632" s="5">
        <f t="shared" si="220"/>
        <v>12</v>
      </c>
      <c r="J632" s="4">
        <f>_xlfn.XLOOKUP(Modelling_old[[#This Row],[Month]],$C$1:$C$14,$N$1:$N$14)/Modelling_old[[#This Row],[Total Days]]</f>
        <v>52.20322580645162</v>
      </c>
      <c r="K632" s="4">
        <f>SUM($J$628:J632)</f>
        <v>261.01612903225811</v>
      </c>
      <c r="L632" s="4">
        <f>SUM($J$384:J632)</f>
        <v>11011.716129032264</v>
      </c>
      <c r="M632" s="4">
        <f t="shared" si="221"/>
        <v>6.4806451612903224</v>
      </c>
      <c r="N632" s="4">
        <f>SUM($M$628:M632)</f>
        <v>32.403225806451616</v>
      </c>
      <c r="O632" s="4">
        <f>SUM($M$384:M632)</f>
        <v>1380.7032258064487</v>
      </c>
      <c r="P632" s="323">
        <f t="shared" si="222"/>
        <v>0.7002678729073224</v>
      </c>
      <c r="Q632" s="337">
        <f t="shared" si="223"/>
        <v>0.70026787290732229</v>
      </c>
      <c r="R632" s="337">
        <f t="shared" si="224"/>
        <v>0.69332964898346272</v>
      </c>
      <c r="S632" s="323">
        <f t="shared" si="225"/>
        <v>0.18909115009016275</v>
      </c>
      <c r="T632" s="9">
        <f>Modelling_old[[#This Row],[Target E_Grid MTD
MWh]]/Modelling_old[[#This Row],[DC Capcity]]/(24*CG632)</f>
        <v>0.18909115009016275</v>
      </c>
      <c r="U632" s="338">
        <f>Modelling_old[[#This Row],[Target E_Grid YTD
MWh]]/Modelling_old[[#This Row],[DC Capcity]]/(24*CH632)</f>
        <v>0.16018783181036142</v>
      </c>
      <c r="V632" s="134">
        <v>11.5031</v>
      </c>
      <c r="Y632" s="27">
        <f t="shared" si="238"/>
        <v>45631</v>
      </c>
      <c r="Z632" s="5">
        <f>MONTH(Modelling_new[[#This Row],[Date]])</f>
        <v>12</v>
      </c>
      <c r="AA632" s="25">
        <f>YEAR(Y632)+IF(MONTH(Modelling_new[[#This Row],[Date]])&gt;=4,1,0)</f>
        <v>2025</v>
      </c>
      <c r="AB632" s="3">
        <f t="shared" si="226"/>
        <v>2024</v>
      </c>
      <c r="AC632" s="3" t="s">
        <v>627</v>
      </c>
      <c r="AD632" s="3" t="s">
        <v>627</v>
      </c>
      <c r="AE632" s="102">
        <f>DATE(Modelling_old[[#This Row],[Calendor Year]],Modelling_old[[#This Row],[Start Month]],1)</f>
        <v>45627</v>
      </c>
      <c r="AF632" s="5">
        <f t="shared" si="227"/>
        <v>31</v>
      </c>
      <c r="AG632" s="5">
        <f t="shared" si="228"/>
        <v>12</v>
      </c>
      <c r="AH632" s="4">
        <f>_xlfn.XLOOKUP(Modelling_new[[#This Row],[Month]],$AA$1:$AA$14,$AL$1:$AL$14)/Modelling_new[[#This Row],[Total Days]]</f>
        <v>60.105797566052928</v>
      </c>
      <c r="AI632" s="4">
        <f>SUM($AH$628:AH632)</f>
        <v>300.52898783026467</v>
      </c>
      <c r="AJ632" s="4">
        <f>SUM($AH$384:AH632)</f>
        <v>14191.157268247855</v>
      </c>
      <c r="AK632" s="4">
        <f t="shared" si="229"/>
        <v>6.4806451612903224</v>
      </c>
      <c r="AL632" s="4">
        <f>SUM($AK$628:AK632)</f>
        <v>32.403225806451616</v>
      </c>
      <c r="AM632" s="4">
        <f>SUM($AK$384:AK632)</f>
        <v>1380.7032258064487</v>
      </c>
      <c r="AN632" s="323">
        <f t="shared" si="230"/>
        <v>0.80627505984076986</v>
      </c>
      <c r="AO632" s="323">
        <f t="shared" si="231"/>
        <v>0.80627505984076986</v>
      </c>
      <c r="AP632" s="323">
        <f t="shared" si="232"/>
        <v>0.8935165029838168</v>
      </c>
      <c r="AQ632" s="323">
        <f t="shared" si="233"/>
        <v>0.21771594021775628</v>
      </c>
      <c r="AR632" s="323">
        <f>Modelling_new[[#This Row],[Target E_Grid MTD
MWh]]/Modelling_new[[#This Row],[MTD DC Capcity]]/(24*CG632)</f>
        <v>0.19565689311866188</v>
      </c>
      <c r="AS632" s="323">
        <f>Modelling_new[[#This Row],[Target E_Grid YTD
MWh]]/Modelling_new[[#This Row],[YTD DC Capcity]]/(24*CH632)</f>
        <v>0.18552278473592032</v>
      </c>
      <c r="AT632" s="5">
        <v>12.8</v>
      </c>
      <c r="AU632" s="9">
        <f>Modelling_new[[#This Row],[Comisined DC ]]/$AO$1</f>
        <v>1</v>
      </c>
      <c r="AV632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32" s="5">
        <f>AVERAGEIFS(Modelling_new[[Comisined DC ]],Modelling_new[Date],"&lt;="&amp;Modelling_new[[#This Row],[Date]],Modelling_new[[Comisined DC ]],"&gt;"&amp;0,Modelling_new[Finacial Year],Modelling_new[[#This Row],[Finacial Year]])</f>
        <v>12.800000000000043</v>
      </c>
      <c r="BD632" s="27">
        <f t="shared" si="239"/>
        <v>45631</v>
      </c>
      <c r="BE632" s="5">
        <f>MONTH(Modelling[[#This Row],[Date]])</f>
        <v>12</v>
      </c>
      <c r="BF632" s="25">
        <f>YEAR(BD632)+IF(MONTH(Modelling[[#This Row],[Date]])&gt;=4,1,0)</f>
        <v>2025</v>
      </c>
      <c r="BG632" s="3">
        <f t="shared" si="234"/>
        <v>2024</v>
      </c>
      <c r="BH632" s="3" t="s">
        <v>627</v>
      </c>
      <c r="BI632" s="3" t="s">
        <v>627</v>
      </c>
      <c r="BJ632" s="102">
        <f>DATE(Modelling_old[[#This Row],[Calendor Year]],Modelling_old[[#This Row],[Start Month]],1)</f>
        <v>45627</v>
      </c>
      <c r="BK632" s="5">
        <f t="shared" si="235"/>
        <v>31</v>
      </c>
      <c r="BL632" s="5">
        <f t="shared" si="236"/>
        <v>12</v>
      </c>
      <c r="BM632" s="4">
        <f>Modelling_old[[#This Row],[Target E_Grid daily
MWh]]+Modelling_new[[#This Row],[Target E_Grid daily
MWh]]</f>
        <v>112.30902337250456</v>
      </c>
      <c r="BN632" s="4">
        <f>Modelling_old[[#This Row],[Target E_Grid MTD
MWh]]+Modelling_new[[#This Row],[Target E_Grid MTD
MWh]]</f>
        <v>561.54511686252272</v>
      </c>
      <c r="BO632" s="4">
        <f>Modelling_old[[#This Row],[Target E_Grid YTD
MWh]]+Modelling_new[[#This Row],[Target E_Grid YTD
MWh]]</f>
        <v>25202.87339728012</v>
      </c>
      <c r="BP632" s="4">
        <f>AVERAGE(Modelling_old[[#This Row],[Target POA Daily (KWh/m2)]],Modelling_new[[#This Row],[Target POA Daily (KWh/m2)]])</f>
        <v>6.4806451612903224</v>
      </c>
      <c r="BQ632" s="4">
        <f>SUM($BP$628:BP632)</f>
        <v>32.403225806451616</v>
      </c>
      <c r="BR632" s="4">
        <f>SUM($BP$384:BP632)</f>
        <v>1380.7032258064487</v>
      </c>
      <c r="BS632" s="323">
        <f>BM632/Modelling[[#This Row],[Comisined DC ]]/BP632</f>
        <v>0.71307421726835596</v>
      </c>
      <c r="BT632" s="337">
        <f>BN632/BQ632/Modelling[[#This Row],[Comisined DC ]]</f>
        <v>0.71307421726835574</v>
      </c>
      <c r="BU632" s="337">
        <f>BO632/BR632/Modelling[[#This Row],[Comisined DC ]]</f>
        <v>0.75108319394212331</v>
      </c>
      <c r="BV632" s="323">
        <f>BM632/(24*Modelling[[#This Row],[Comisined DC ]])</f>
        <v>0.1925492073242106</v>
      </c>
      <c r="BW632" s="323">
        <f>Modelling[[#This Row],[Target E_Grid MTD
MWh]]/Modelling[[#This Row],[MTD DC Capcity]]/(24*CG632)</f>
        <v>0.1925492073242106</v>
      </c>
      <c r="BX632" s="338">
        <f>Modelling[[#This Row],[Target E_Grid YTD
MWh]]/Modelling[[#This Row],[YTD DC Capcity]]/(24*CH632)</f>
        <v>0.17353128994727196</v>
      </c>
      <c r="BY632" s="4">
        <f>Modelling_old[[#This Row],[DC Capcity]]+Modelling_new[[#This Row],[Comisined DC ]]</f>
        <v>24.303100000000001</v>
      </c>
      <c r="BZ632" s="4">
        <v>0</v>
      </c>
      <c r="CA632">
        <f>AVERAGEIFS(Modelling[[Comisined DC ]],Modelling[Date],"&lt;="&amp;Modelling[[#This Row],[Date]],Modelling[Month Year],Modelling[[#This Row],[Month Year]])</f>
        <v>24.303100000000001</v>
      </c>
      <c r="CB632">
        <f>AVERAGEIFS(Modelling[[Comisined DC ]],Modelling[Date],"&lt;="&amp;Modelling[[#This Row],[Date]],Modelling[Finacial Year],Modelling[[#This Row],[Finacial Year]])</f>
        <v>24.303100000000068</v>
      </c>
      <c r="CG632">
        <f t="shared" ref="CG632:CG658" si="240">CG631+1</f>
        <v>5</v>
      </c>
      <c r="CH632">
        <f t="shared" si="237"/>
        <v>249</v>
      </c>
    </row>
    <row r="633" spans="1:86" x14ac:dyDescent="0.35">
      <c r="A633" s="27">
        <f t="shared" si="216"/>
        <v>45632</v>
      </c>
      <c r="B633" s="5">
        <f>MONTH(Modelling_old[[#This Row],[Date]])</f>
        <v>12</v>
      </c>
      <c r="C633" s="25">
        <f t="shared" si="217"/>
        <v>2025</v>
      </c>
      <c r="D633" s="3">
        <f t="shared" si="218"/>
        <v>2024</v>
      </c>
      <c r="E633" s="3" t="s">
        <v>627</v>
      </c>
      <c r="F633" s="3" t="s">
        <v>627</v>
      </c>
      <c r="G633" s="102">
        <f>DATE(Modelling_old[[#This Row],[Calendor Year]],Modelling_old[[#This Row],[Start Month]],1)</f>
        <v>45627</v>
      </c>
      <c r="H633" s="5">
        <f t="shared" si="219"/>
        <v>31</v>
      </c>
      <c r="I633" s="5">
        <f t="shared" si="220"/>
        <v>12</v>
      </c>
      <c r="J633" s="4">
        <f>_xlfn.XLOOKUP(Modelling_old[[#This Row],[Month]],$C$1:$C$14,$N$1:$N$14)/Modelling_old[[#This Row],[Total Days]]</f>
        <v>52.20322580645162</v>
      </c>
      <c r="K633" s="4">
        <f>SUM($J$628:J633)</f>
        <v>313.21935483870971</v>
      </c>
      <c r="L633" s="4">
        <f>SUM($J$384:J633)</f>
        <v>11063.919354838716</v>
      </c>
      <c r="M633" s="4">
        <f t="shared" si="221"/>
        <v>6.4806451612903224</v>
      </c>
      <c r="N633" s="4">
        <f>SUM($M$628:M633)</f>
        <v>38.883870967741942</v>
      </c>
      <c r="O633" s="4">
        <f>SUM($M$384:M633)</f>
        <v>1387.183870967739</v>
      </c>
      <c r="P633" s="323">
        <f t="shared" si="222"/>
        <v>0.7002678729073224</v>
      </c>
      <c r="Q633" s="337">
        <f t="shared" si="223"/>
        <v>0.70026787290732229</v>
      </c>
      <c r="R633" s="337">
        <f t="shared" si="224"/>
        <v>0.69336206297575398</v>
      </c>
      <c r="S633" s="323">
        <f t="shared" si="225"/>
        <v>0.18909115009016275</v>
      </c>
      <c r="T633" s="9">
        <f>Modelling_old[[#This Row],[Target E_Grid MTD
MWh]]/Modelling_old[[#This Row],[DC Capcity]]/(24*CG633)</f>
        <v>0.18909115009016272</v>
      </c>
      <c r="U633" s="338">
        <f>Modelling_old[[#This Row],[Target E_Grid YTD
MWh]]/Modelling_old[[#This Row],[DC Capcity]]/(24*CH633)</f>
        <v>0.16030344508348063</v>
      </c>
      <c r="V633" s="134">
        <v>11.5031</v>
      </c>
      <c r="Y633" s="27">
        <f t="shared" si="238"/>
        <v>45632</v>
      </c>
      <c r="Z633" s="5">
        <f>MONTH(Modelling_new[[#This Row],[Date]])</f>
        <v>12</v>
      </c>
      <c r="AA633" s="25">
        <f>YEAR(Y633)+IF(MONTH(Modelling_new[[#This Row],[Date]])&gt;=4,1,0)</f>
        <v>2025</v>
      </c>
      <c r="AB633" s="3">
        <f t="shared" si="226"/>
        <v>2024</v>
      </c>
      <c r="AC633" s="3" t="s">
        <v>627</v>
      </c>
      <c r="AD633" s="3" t="s">
        <v>627</v>
      </c>
      <c r="AE633" s="102">
        <f>DATE(Modelling_old[[#This Row],[Calendor Year]],Modelling_old[[#This Row],[Start Month]],1)</f>
        <v>45627</v>
      </c>
      <c r="AF633" s="5">
        <f t="shared" si="227"/>
        <v>31</v>
      </c>
      <c r="AG633" s="5">
        <f t="shared" si="228"/>
        <v>12</v>
      </c>
      <c r="AH633" s="4">
        <f>_xlfn.XLOOKUP(Modelling_new[[#This Row],[Month]],$AA$1:$AA$14,$AL$1:$AL$14)/Modelling_new[[#This Row],[Total Days]]</f>
        <v>60.105797566052928</v>
      </c>
      <c r="AI633" s="4">
        <f>SUM($AH$628:AH633)</f>
        <v>360.63478539631762</v>
      </c>
      <c r="AJ633" s="4">
        <f>SUM($AH$384:AH633)</f>
        <v>14251.263065813908</v>
      </c>
      <c r="AK633" s="4">
        <f t="shared" si="229"/>
        <v>6.4806451612903224</v>
      </c>
      <c r="AL633" s="4">
        <f>SUM($AK$628:AK633)</f>
        <v>38.883870967741942</v>
      </c>
      <c r="AM633" s="4">
        <f>SUM($AK$384:AK633)</f>
        <v>1387.183870967739</v>
      </c>
      <c r="AN633" s="323">
        <f t="shared" si="230"/>
        <v>0.80627505984076986</v>
      </c>
      <c r="AO633" s="323">
        <f t="shared" si="231"/>
        <v>0.80627505984076986</v>
      </c>
      <c r="AP633" s="323">
        <f t="shared" si="232"/>
        <v>0.89310892843785961</v>
      </c>
      <c r="AQ633" s="323">
        <f t="shared" si="233"/>
        <v>0.21771594021775628</v>
      </c>
      <c r="AR633" s="323">
        <f>Modelling_new[[#This Row],[Target E_Grid MTD
MWh]]/Modelling_new[[#This Row],[MTD DC Capcity]]/(24*CG633)</f>
        <v>0.19565689311866191</v>
      </c>
      <c r="AS633" s="323">
        <f>Modelling_new[[#This Row],[Target E_Grid YTD
MWh]]/Modelling_new[[#This Row],[YTD DC Capcity]]/(24*CH633)</f>
        <v>0.18556332116945132</v>
      </c>
      <c r="AT633" s="5">
        <v>12.8</v>
      </c>
      <c r="AU633" s="9">
        <f>Modelling_new[[#This Row],[Comisined DC ]]/$AO$1</f>
        <v>1</v>
      </c>
      <c r="AV63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33" s="5">
        <f>AVERAGEIFS(Modelling_new[[Comisined DC ]],Modelling_new[Date],"&lt;="&amp;Modelling_new[[#This Row],[Date]],Modelling_new[[Comisined DC ]],"&gt;"&amp;0,Modelling_new[Finacial Year],Modelling_new[[#This Row],[Finacial Year]])</f>
        <v>12.800000000000043</v>
      </c>
      <c r="BD633" s="27">
        <f t="shared" si="239"/>
        <v>45632</v>
      </c>
      <c r="BE633" s="5">
        <f>MONTH(Modelling[[#This Row],[Date]])</f>
        <v>12</v>
      </c>
      <c r="BF633" s="25">
        <f>YEAR(BD633)+IF(MONTH(Modelling[[#This Row],[Date]])&gt;=4,1,0)</f>
        <v>2025</v>
      </c>
      <c r="BG633" s="3">
        <f t="shared" si="234"/>
        <v>2024</v>
      </c>
      <c r="BH633" s="3" t="s">
        <v>627</v>
      </c>
      <c r="BI633" s="3" t="s">
        <v>627</v>
      </c>
      <c r="BJ633" s="102">
        <f>DATE(Modelling_old[[#This Row],[Calendor Year]],Modelling_old[[#This Row],[Start Month]],1)</f>
        <v>45627</v>
      </c>
      <c r="BK633" s="5">
        <f t="shared" si="235"/>
        <v>31</v>
      </c>
      <c r="BL633" s="5">
        <f t="shared" si="236"/>
        <v>12</v>
      </c>
      <c r="BM633" s="4">
        <f>Modelling_old[[#This Row],[Target E_Grid daily
MWh]]+Modelling_new[[#This Row],[Target E_Grid daily
MWh]]</f>
        <v>112.30902337250456</v>
      </c>
      <c r="BN633" s="4">
        <f>Modelling_old[[#This Row],[Target E_Grid MTD
MWh]]+Modelling_new[[#This Row],[Target E_Grid MTD
MWh]]</f>
        <v>673.85414023502733</v>
      </c>
      <c r="BO633" s="4">
        <f>Modelling_old[[#This Row],[Target E_Grid YTD
MWh]]+Modelling_new[[#This Row],[Target E_Grid YTD
MWh]]</f>
        <v>25315.182420652622</v>
      </c>
      <c r="BP633" s="4">
        <f>AVERAGE(Modelling_old[[#This Row],[Target POA Daily (KWh/m2)]],Modelling_new[[#This Row],[Target POA Daily (KWh/m2)]])</f>
        <v>6.4806451612903224</v>
      </c>
      <c r="BQ633" s="4">
        <f>SUM($BP$628:BP633)</f>
        <v>38.883870967741942</v>
      </c>
      <c r="BR633" s="4">
        <f>SUM($BP$384:BP633)</f>
        <v>1387.183870967739</v>
      </c>
      <c r="BS633" s="323">
        <f>BM633/Modelling[[#This Row],[Comisined DC ]]/BP633</f>
        <v>0.71307421726835596</v>
      </c>
      <c r="BT633" s="337">
        <f>BN633/BQ633/Modelling[[#This Row],[Comisined DC ]]</f>
        <v>0.71307421726835574</v>
      </c>
      <c r="BU633" s="337">
        <f>BO633/BR633/Modelling[[#This Row],[Comisined DC ]]</f>
        <v>0.75090562361714908</v>
      </c>
      <c r="BV633" s="323">
        <f>BM633/(24*Modelling[[#This Row],[Comisined DC ]])</f>
        <v>0.1925492073242106</v>
      </c>
      <c r="BW633" s="323">
        <f>Modelling[[#This Row],[Target E_Grid MTD
MWh]]/Modelling[[#This Row],[MTD DC Capcity]]/(24*CG633)</f>
        <v>0.19254920732421063</v>
      </c>
      <c r="BX633" s="338">
        <f>Modelling[[#This Row],[Target E_Grid YTD
MWh]]/Modelling[[#This Row],[YTD DC Capcity]]/(24*CH633)</f>
        <v>0.17360736161677967</v>
      </c>
      <c r="BY633" s="4">
        <f>Modelling_old[[#This Row],[DC Capcity]]+Modelling_new[[#This Row],[Comisined DC ]]</f>
        <v>24.303100000000001</v>
      </c>
      <c r="BZ633" s="4">
        <v>0</v>
      </c>
      <c r="CA633">
        <f>AVERAGEIFS(Modelling[[Comisined DC ]],Modelling[Date],"&lt;="&amp;Modelling[[#This Row],[Date]],Modelling[Month Year],Modelling[[#This Row],[Month Year]])</f>
        <v>24.303100000000001</v>
      </c>
      <c r="CB633">
        <f>AVERAGEIFS(Modelling[[Comisined DC ]],Modelling[Date],"&lt;="&amp;Modelling[[#This Row],[Date]],Modelling[Finacial Year],Modelling[[#This Row],[Finacial Year]])</f>
        <v>24.303100000000068</v>
      </c>
      <c r="CG633">
        <f t="shared" si="240"/>
        <v>6</v>
      </c>
      <c r="CH633">
        <f t="shared" si="237"/>
        <v>250</v>
      </c>
    </row>
    <row r="634" spans="1:86" x14ac:dyDescent="0.35">
      <c r="A634" s="27">
        <f t="shared" si="216"/>
        <v>45633</v>
      </c>
      <c r="B634" s="5">
        <f>MONTH(Modelling_old[[#This Row],[Date]])</f>
        <v>12</v>
      </c>
      <c r="C634" s="25">
        <f t="shared" si="217"/>
        <v>2025</v>
      </c>
      <c r="D634" s="3">
        <f t="shared" si="218"/>
        <v>2024</v>
      </c>
      <c r="E634" s="3" t="s">
        <v>627</v>
      </c>
      <c r="F634" s="3" t="s">
        <v>627</v>
      </c>
      <c r="G634" s="102">
        <f>DATE(Modelling_old[[#This Row],[Calendor Year]],Modelling_old[[#This Row],[Start Month]],1)</f>
        <v>45627</v>
      </c>
      <c r="H634" s="5">
        <f t="shared" si="219"/>
        <v>31</v>
      </c>
      <c r="I634" s="5">
        <f t="shared" si="220"/>
        <v>12</v>
      </c>
      <c r="J634" s="4">
        <f>_xlfn.XLOOKUP(Modelling_old[[#This Row],[Month]],$C$1:$C$14,$N$1:$N$14)/Modelling_old[[#This Row],[Total Days]]</f>
        <v>52.20322580645162</v>
      </c>
      <c r="K634" s="4">
        <f>SUM($J$628:J634)</f>
        <v>365.4225806451613</v>
      </c>
      <c r="L634" s="4">
        <f>SUM($J$384:J634)</f>
        <v>11116.122580645168</v>
      </c>
      <c r="M634" s="4">
        <f t="shared" si="221"/>
        <v>6.4806451612903224</v>
      </c>
      <c r="N634" s="4">
        <f>SUM($M$628:M634)</f>
        <v>45.364516129032268</v>
      </c>
      <c r="O634" s="4">
        <f>SUM($M$384:M634)</f>
        <v>1393.6645161290294</v>
      </c>
      <c r="P634" s="323">
        <f t="shared" si="222"/>
        <v>0.7002678729073224</v>
      </c>
      <c r="Q634" s="337">
        <f t="shared" si="223"/>
        <v>0.70026787290732218</v>
      </c>
      <c r="R634" s="337">
        <f t="shared" si="224"/>
        <v>0.69339417551302529</v>
      </c>
      <c r="S634" s="323">
        <f t="shared" si="225"/>
        <v>0.18909115009016275</v>
      </c>
      <c r="T634" s="9">
        <f>Modelling_old[[#This Row],[Target E_Grid MTD
MWh]]/Modelling_old[[#This Row],[DC Capcity]]/(24*CG634)</f>
        <v>0.18909115009016272</v>
      </c>
      <c r="U634" s="338">
        <f>Modelling_old[[#This Row],[Target E_Grid YTD
MWh]]/Modelling_old[[#This Row],[DC Capcity]]/(24*CH634)</f>
        <v>0.16041813713530007</v>
      </c>
      <c r="V634" s="134">
        <v>11.5031</v>
      </c>
      <c r="Y634" s="27">
        <f t="shared" si="238"/>
        <v>45633</v>
      </c>
      <c r="Z634" s="5">
        <f>MONTH(Modelling_new[[#This Row],[Date]])</f>
        <v>12</v>
      </c>
      <c r="AA634" s="25">
        <f>YEAR(Y634)+IF(MONTH(Modelling_new[[#This Row],[Date]])&gt;=4,1,0)</f>
        <v>2025</v>
      </c>
      <c r="AB634" s="3">
        <f t="shared" si="226"/>
        <v>2024</v>
      </c>
      <c r="AC634" s="3" t="s">
        <v>627</v>
      </c>
      <c r="AD634" s="3" t="s">
        <v>627</v>
      </c>
      <c r="AE634" s="102">
        <f>DATE(Modelling_old[[#This Row],[Calendor Year]],Modelling_old[[#This Row],[Start Month]],1)</f>
        <v>45627</v>
      </c>
      <c r="AF634" s="5">
        <f t="shared" si="227"/>
        <v>31</v>
      </c>
      <c r="AG634" s="5">
        <f t="shared" si="228"/>
        <v>12</v>
      </c>
      <c r="AH634" s="4">
        <f>_xlfn.XLOOKUP(Modelling_new[[#This Row],[Month]],$AA$1:$AA$14,$AL$1:$AL$14)/Modelling_new[[#This Row],[Total Days]]</f>
        <v>60.105797566052928</v>
      </c>
      <c r="AI634" s="4">
        <f>SUM($AH$628:AH634)</f>
        <v>420.74058296237058</v>
      </c>
      <c r="AJ634" s="4">
        <f>SUM($AH$384:AH634)</f>
        <v>14311.368863379961</v>
      </c>
      <c r="AK634" s="4">
        <f t="shared" si="229"/>
        <v>6.4806451612903224</v>
      </c>
      <c r="AL634" s="4">
        <f>SUM($AK$628:AK634)</f>
        <v>45.364516129032268</v>
      </c>
      <c r="AM634" s="4">
        <f>SUM($AK$384:AK634)</f>
        <v>1393.6645161290294</v>
      </c>
      <c r="AN634" s="323">
        <f t="shared" si="230"/>
        <v>0.80627505984076986</v>
      </c>
      <c r="AO634" s="323">
        <f t="shared" si="231"/>
        <v>0.80627505984076986</v>
      </c>
      <c r="AP634" s="323">
        <f t="shared" si="232"/>
        <v>0.89270514439668824</v>
      </c>
      <c r="AQ634" s="323">
        <f t="shared" si="233"/>
        <v>0.21771594021775628</v>
      </c>
      <c r="AR634" s="323">
        <f>Modelling_new[[#This Row],[Target E_Grid MTD
MWh]]/Modelling_new[[#This Row],[MTD DC Capcity]]/(24*CG634)</f>
        <v>0.19565689311866194</v>
      </c>
      <c r="AS634" s="323">
        <f>Modelling_new[[#This Row],[Target E_Grid YTD
MWh]]/Modelling_new[[#This Row],[YTD DC Capcity]]/(24*CH634)</f>
        <v>0.18560353460351189</v>
      </c>
      <c r="AT634" s="5">
        <v>12.8</v>
      </c>
      <c r="AU634" s="9">
        <f>Modelling_new[[#This Row],[Comisined DC ]]/$AO$1</f>
        <v>1</v>
      </c>
      <c r="AV63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34" s="5">
        <f>AVERAGEIFS(Modelling_new[[Comisined DC ]],Modelling_new[Date],"&lt;="&amp;Modelling_new[[#This Row],[Date]],Modelling_new[[Comisined DC ]],"&gt;"&amp;0,Modelling_new[Finacial Year],Modelling_new[[#This Row],[Finacial Year]])</f>
        <v>12.800000000000043</v>
      </c>
      <c r="BD634" s="27">
        <f t="shared" si="239"/>
        <v>45633</v>
      </c>
      <c r="BE634" s="5">
        <f>MONTH(Modelling[[#This Row],[Date]])</f>
        <v>12</v>
      </c>
      <c r="BF634" s="25">
        <f>YEAR(BD634)+IF(MONTH(Modelling[[#This Row],[Date]])&gt;=4,1,0)</f>
        <v>2025</v>
      </c>
      <c r="BG634" s="3">
        <f t="shared" si="234"/>
        <v>2024</v>
      </c>
      <c r="BH634" s="3" t="s">
        <v>627</v>
      </c>
      <c r="BI634" s="3" t="s">
        <v>627</v>
      </c>
      <c r="BJ634" s="102">
        <f>DATE(Modelling_old[[#This Row],[Calendor Year]],Modelling_old[[#This Row],[Start Month]],1)</f>
        <v>45627</v>
      </c>
      <c r="BK634" s="5">
        <f t="shared" si="235"/>
        <v>31</v>
      </c>
      <c r="BL634" s="5">
        <f t="shared" si="236"/>
        <v>12</v>
      </c>
      <c r="BM634" s="4">
        <f>Modelling_old[[#This Row],[Target E_Grid daily
MWh]]+Modelling_new[[#This Row],[Target E_Grid daily
MWh]]</f>
        <v>112.30902337250456</v>
      </c>
      <c r="BN634" s="4">
        <f>Modelling_old[[#This Row],[Target E_Grid MTD
MWh]]+Modelling_new[[#This Row],[Target E_Grid MTD
MWh]]</f>
        <v>786.16316360753194</v>
      </c>
      <c r="BO634" s="4">
        <f>Modelling_old[[#This Row],[Target E_Grid YTD
MWh]]+Modelling_new[[#This Row],[Target E_Grid YTD
MWh]]</f>
        <v>25427.49144402513</v>
      </c>
      <c r="BP634" s="4">
        <f>AVERAGE(Modelling_old[[#This Row],[Target POA Daily (KWh/m2)]],Modelling_new[[#This Row],[Target POA Daily (KWh/m2)]])</f>
        <v>6.4806451612903224</v>
      </c>
      <c r="BQ634" s="4">
        <f>SUM($BP$628:BP634)</f>
        <v>45.364516129032268</v>
      </c>
      <c r="BR634" s="4">
        <f>SUM($BP$384:BP634)</f>
        <v>1393.6645161290294</v>
      </c>
      <c r="BS634" s="323">
        <f>BM634/Modelling[[#This Row],[Comisined DC ]]/BP634</f>
        <v>0.71307421726835596</v>
      </c>
      <c r="BT634" s="337">
        <f>BN634/BQ634/Modelling[[#This Row],[Comisined DC ]]</f>
        <v>0.71307421726835574</v>
      </c>
      <c r="BU634" s="337">
        <f>BO634/BR634/Modelling[[#This Row],[Comisined DC ]]</f>
        <v>0.75072970472299527</v>
      </c>
      <c r="BV634" s="323">
        <f>BM634/(24*Modelling[[#This Row],[Comisined DC ]])</f>
        <v>0.1925492073242106</v>
      </c>
      <c r="BW634" s="323">
        <f>Modelling[[#This Row],[Target E_Grid MTD
MWh]]/Modelling[[#This Row],[MTD DC Capcity]]/(24*CG634)</f>
        <v>0.19254920732421063</v>
      </c>
      <c r="BX634" s="338">
        <f>Modelling[[#This Row],[Target E_Grid YTD
MWh]]/Modelling[[#This Row],[YTD DC Capcity]]/(24*CH634)</f>
        <v>0.17368282713752645</v>
      </c>
      <c r="BY634" s="4">
        <f>Modelling_old[[#This Row],[DC Capcity]]+Modelling_new[[#This Row],[Comisined DC ]]</f>
        <v>24.303100000000001</v>
      </c>
      <c r="BZ634" s="4">
        <v>0</v>
      </c>
      <c r="CA634">
        <f>AVERAGEIFS(Modelling[[Comisined DC ]],Modelling[Date],"&lt;="&amp;Modelling[[#This Row],[Date]],Modelling[Month Year],Modelling[[#This Row],[Month Year]])</f>
        <v>24.303100000000001</v>
      </c>
      <c r="CB634">
        <f>AVERAGEIFS(Modelling[[Comisined DC ]],Modelling[Date],"&lt;="&amp;Modelling[[#This Row],[Date]],Modelling[Finacial Year],Modelling[[#This Row],[Finacial Year]])</f>
        <v>24.303100000000068</v>
      </c>
      <c r="CG634">
        <f t="shared" si="240"/>
        <v>7</v>
      </c>
      <c r="CH634">
        <f t="shared" si="237"/>
        <v>251</v>
      </c>
    </row>
    <row r="635" spans="1:86" x14ac:dyDescent="0.35">
      <c r="A635" s="27">
        <f t="shared" si="216"/>
        <v>45634</v>
      </c>
      <c r="B635" s="5">
        <f>MONTH(Modelling_old[[#This Row],[Date]])</f>
        <v>12</v>
      </c>
      <c r="C635" s="25">
        <f t="shared" si="217"/>
        <v>2025</v>
      </c>
      <c r="D635" s="3">
        <f t="shared" si="218"/>
        <v>2024</v>
      </c>
      <c r="E635" s="3" t="s">
        <v>627</v>
      </c>
      <c r="F635" s="3" t="s">
        <v>627</v>
      </c>
      <c r="G635" s="102">
        <f>DATE(Modelling_old[[#This Row],[Calendor Year]],Modelling_old[[#This Row],[Start Month]],1)</f>
        <v>45627</v>
      </c>
      <c r="H635" s="5">
        <f t="shared" si="219"/>
        <v>31</v>
      </c>
      <c r="I635" s="5">
        <f t="shared" si="220"/>
        <v>12</v>
      </c>
      <c r="J635" s="4">
        <f>_xlfn.XLOOKUP(Modelling_old[[#This Row],[Month]],$C$1:$C$14,$N$1:$N$14)/Modelling_old[[#This Row],[Total Days]]</f>
        <v>52.20322580645162</v>
      </c>
      <c r="K635" s="4">
        <f>SUM($J$628:J635)</f>
        <v>417.6258064516129</v>
      </c>
      <c r="L635" s="4">
        <f>SUM($J$384:J635)</f>
        <v>11168.325806451619</v>
      </c>
      <c r="M635" s="4">
        <f t="shared" si="221"/>
        <v>6.4806451612903224</v>
      </c>
      <c r="N635" s="4">
        <f>SUM($M$628:M635)</f>
        <v>51.845161290322594</v>
      </c>
      <c r="O635" s="4">
        <f>SUM($M$384:M635)</f>
        <v>1400.1451612903197</v>
      </c>
      <c r="P635" s="323">
        <f t="shared" si="222"/>
        <v>0.7002678729073224</v>
      </c>
      <c r="Q635" s="337">
        <f t="shared" si="223"/>
        <v>0.70026787290732218</v>
      </c>
      <c r="R635" s="337">
        <f t="shared" si="224"/>
        <v>0.6934259907811775</v>
      </c>
      <c r="S635" s="323">
        <f t="shared" si="225"/>
        <v>0.18909115009016275</v>
      </c>
      <c r="T635" s="9">
        <f>Modelling_old[[#This Row],[Target E_Grid MTD
MWh]]/Modelling_old[[#This Row],[DC Capcity]]/(24*CG635)</f>
        <v>0.18909115009016272</v>
      </c>
      <c r="U635" s="338">
        <f>Modelling_old[[#This Row],[Target E_Grid YTD
MWh]]/Modelling_old[[#This Row],[DC Capcity]]/(24*CH635)</f>
        <v>0.16053191893273999</v>
      </c>
      <c r="V635" s="134">
        <v>11.5031</v>
      </c>
      <c r="Y635" s="27">
        <f t="shared" si="238"/>
        <v>45634</v>
      </c>
      <c r="Z635" s="5">
        <f>MONTH(Modelling_new[[#This Row],[Date]])</f>
        <v>12</v>
      </c>
      <c r="AA635" s="25">
        <f>YEAR(Y635)+IF(MONTH(Modelling_new[[#This Row],[Date]])&gt;=4,1,0)</f>
        <v>2025</v>
      </c>
      <c r="AB635" s="3">
        <f t="shared" si="226"/>
        <v>2024</v>
      </c>
      <c r="AC635" s="3" t="s">
        <v>627</v>
      </c>
      <c r="AD635" s="3" t="s">
        <v>627</v>
      </c>
      <c r="AE635" s="102">
        <f>DATE(Modelling_old[[#This Row],[Calendor Year]],Modelling_old[[#This Row],[Start Month]],1)</f>
        <v>45627</v>
      </c>
      <c r="AF635" s="5">
        <f t="shared" si="227"/>
        <v>31</v>
      </c>
      <c r="AG635" s="5">
        <f t="shared" si="228"/>
        <v>12</v>
      </c>
      <c r="AH635" s="4">
        <f>_xlfn.XLOOKUP(Modelling_new[[#This Row],[Month]],$AA$1:$AA$14,$AL$1:$AL$14)/Modelling_new[[#This Row],[Total Days]]</f>
        <v>60.105797566052928</v>
      </c>
      <c r="AI635" s="4">
        <f>SUM($AH$628:AH635)</f>
        <v>480.84638052842354</v>
      </c>
      <c r="AJ635" s="4">
        <f>SUM($AH$384:AH635)</f>
        <v>14371.474660946014</v>
      </c>
      <c r="AK635" s="4">
        <f t="shared" si="229"/>
        <v>6.4806451612903224</v>
      </c>
      <c r="AL635" s="4">
        <f>SUM($AK$628:AK635)</f>
        <v>51.845161290322594</v>
      </c>
      <c r="AM635" s="4">
        <f>SUM($AK$384:AK635)</f>
        <v>1400.1451612903197</v>
      </c>
      <c r="AN635" s="323">
        <f t="shared" si="230"/>
        <v>0.80627505984076986</v>
      </c>
      <c r="AO635" s="323">
        <f t="shared" si="231"/>
        <v>0.80627505984076986</v>
      </c>
      <c r="AP635" s="323">
        <f t="shared" si="232"/>
        <v>0.89230509822665316</v>
      </c>
      <c r="AQ635" s="323">
        <f t="shared" si="233"/>
        <v>0.21771594021775628</v>
      </c>
      <c r="AR635" s="323">
        <f>Modelling_new[[#This Row],[Target E_Grid MTD
MWh]]/Modelling_new[[#This Row],[MTD DC Capcity]]/(24*CG635)</f>
        <v>0.19565689311866194</v>
      </c>
      <c r="AS635" s="323">
        <f>Modelling_new[[#This Row],[Target E_Grid YTD
MWh]]/Modelling_new[[#This Row],[YTD DC Capcity]]/(24*CH635)</f>
        <v>0.18564342888333388</v>
      </c>
      <c r="AT635" s="5">
        <v>12.8</v>
      </c>
      <c r="AU635" s="9">
        <f>Modelling_new[[#This Row],[Comisined DC ]]/$AO$1</f>
        <v>1</v>
      </c>
      <c r="AV63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35" s="5">
        <f>AVERAGEIFS(Modelling_new[[Comisined DC ]],Modelling_new[Date],"&lt;="&amp;Modelling_new[[#This Row],[Date]],Modelling_new[[Comisined DC ]],"&gt;"&amp;0,Modelling_new[Finacial Year],Modelling_new[[#This Row],[Finacial Year]])</f>
        <v>12.800000000000045</v>
      </c>
      <c r="BD635" s="27">
        <f t="shared" si="239"/>
        <v>45634</v>
      </c>
      <c r="BE635" s="5">
        <f>MONTH(Modelling[[#This Row],[Date]])</f>
        <v>12</v>
      </c>
      <c r="BF635" s="25">
        <f>YEAR(BD635)+IF(MONTH(Modelling[[#This Row],[Date]])&gt;=4,1,0)</f>
        <v>2025</v>
      </c>
      <c r="BG635" s="3">
        <f t="shared" si="234"/>
        <v>2024</v>
      </c>
      <c r="BH635" s="3" t="s">
        <v>627</v>
      </c>
      <c r="BI635" s="3" t="s">
        <v>627</v>
      </c>
      <c r="BJ635" s="102">
        <f>DATE(Modelling_old[[#This Row],[Calendor Year]],Modelling_old[[#This Row],[Start Month]],1)</f>
        <v>45627</v>
      </c>
      <c r="BK635" s="5">
        <f t="shared" si="235"/>
        <v>31</v>
      </c>
      <c r="BL635" s="5">
        <f t="shared" si="236"/>
        <v>12</v>
      </c>
      <c r="BM635" s="4">
        <f>Modelling_old[[#This Row],[Target E_Grid daily
MWh]]+Modelling_new[[#This Row],[Target E_Grid daily
MWh]]</f>
        <v>112.30902337250456</v>
      </c>
      <c r="BN635" s="4">
        <f>Modelling_old[[#This Row],[Target E_Grid MTD
MWh]]+Modelling_new[[#This Row],[Target E_Grid MTD
MWh]]</f>
        <v>898.47218698003644</v>
      </c>
      <c r="BO635" s="4">
        <f>Modelling_old[[#This Row],[Target E_Grid YTD
MWh]]+Modelling_new[[#This Row],[Target E_Grid YTD
MWh]]</f>
        <v>25539.800467397632</v>
      </c>
      <c r="BP635" s="4">
        <f>AVERAGE(Modelling_old[[#This Row],[Target POA Daily (KWh/m2)]],Modelling_new[[#This Row],[Target POA Daily (KWh/m2)]])</f>
        <v>6.4806451612903224</v>
      </c>
      <c r="BQ635" s="4">
        <f>SUM($BP$628:BP635)</f>
        <v>51.845161290322594</v>
      </c>
      <c r="BR635" s="4">
        <f>SUM($BP$384:BP635)</f>
        <v>1400.1451612903197</v>
      </c>
      <c r="BS635" s="323">
        <f>BM635/Modelling[[#This Row],[Comisined DC ]]/BP635</f>
        <v>0.71307421726835596</v>
      </c>
      <c r="BT635" s="337">
        <f>BN635/BQ635/Modelling[[#This Row],[Comisined DC ]]</f>
        <v>0.71307421726835574</v>
      </c>
      <c r="BU635" s="337">
        <f>BO635/BR635/Modelling[[#This Row],[Comisined DC ]]</f>
        <v>0.75055541432845918</v>
      </c>
      <c r="BV635" s="323">
        <f>BM635/(24*Modelling[[#This Row],[Comisined DC ]])</f>
        <v>0.1925492073242106</v>
      </c>
      <c r="BW635" s="323">
        <f>Modelling[[#This Row],[Target E_Grid MTD
MWh]]/Modelling[[#This Row],[MTD DC Capcity]]/(24*CG635)</f>
        <v>0.19254920732421063</v>
      </c>
      <c r="BX635" s="338">
        <f>Modelling[[#This Row],[Target E_Grid YTD
MWh]]/Modelling[[#This Row],[YTD DC Capcity]]/(24*CH635)</f>
        <v>0.17375769372556885</v>
      </c>
      <c r="BY635" s="4">
        <f>Modelling_old[[#This Row],[DC Capcity]]+Modelling_new[[#This Row],[Comisined DC ]]</f>
        <v>24.303100000000001</v>
      </c>
      <c r="BZ635" s="4">
        <v>0</v>
      </c>
      <c r="CA635">
        <f>AVERAGEIFS(Modelling[[Comisined DC ]],Modelling[Date],"&lt;="&amp;Modelling[[#This Row],[Date]],Modelling[Month Year],Modelling[[#This Row],[Month Year]])</f>
        <v>24.303100000000001</v>
      </c>
      <c r="CB635">
        <f>AVERAGEIFS(Modelling[[Comisined DC ]],Modelling[Date],"&lt;="&amp;Modelling[[#This Row],[Date]],Modelling[Finacial Year],Modelling[[#This Row],[Finacial Year]])</f>
        <v>24.303100000000068</v>
      </c>
      <c r="CG635">
        <f t="shared" si="240"/>
        <v>8</v>
      </c>
      <c r="CH635">
        <f t="shared" si="237"/>
        <v>252</v>
      </c>
    </row>
    <row r="636" spans="1:86" x14ac:dyDescent="0.35">
      <c r="A636" s="27">
        <f t="shared" si="216"/>
        <v>45635</v>
      </c>
      <c r="B636" s="5">
        <f>MONTH(Modelling_old[[#This Row],[Date]])</f>
        <v>12</v>
      </c>
      <c r="C636" s="25">
        <f t="shared" si="217"/>
        <v>2025</v>
      </c>
      <c r="D636" s="3">
        <f t="shared" si="218"/>
        <v>2024</v>
      </c>
      <c r="E636" s="3" t="s">
        <v>627</v>
      </c>
      <c r="F636" s="3" t="s">
        <v>627</v>
      </c>
      <c r="G636" s="102">
        <f>DATE(Modelling_old[[#This Row],[Calendor Year]],Modelling_old[[#This Row],[Start Month]],1)</f>
        <v>45627</v>
      </c>
      <c r="H636" s="5">
        <f t="shared" si="219"/>
        <v>31</v>
      </c>
      <c r="I636" s="5">
        <f t="shared" si="220"/>
        <v>12</v>
      </c>
      <c r="J636" s="4">
        <f>_xlfn.XLOOKUP(Modelling_old[[#This Row],[Month]],$C$1:$C$14,$N$1:$N$14)/Modelling_old[[#This Row],[Total Days]]</f>
        <v>52.20322580645162</v>
      </c>
      <c r="K636" s="4">
        <f>SUM($J$628:J636)</f>
        <v>469.8290322580645</v>
      </c>
      <c r="L636" s="4">
        <f>SUM($J$384:J636)</f>
        <v>11220.529032258071</v>
      </c>
      <c r="M636" s="4">
        <f t="shared" si="221"/>
        <v>6.4806451612903224</v>
      </c>
      <c r="N636" s="4">
        <f>SUM($M$628:M636)</f>
        <v>58.32580645161292</v>
      </c>
      <c r="O636" s="4">
        <f>SUM($M$384:M636)</f>
        <v>1406.6258064516101</v>
      </c>
      <c r="P636" s="323">
        <f t="shared" si="222"/>
        <v>0.7002678729073224</v>
      </c>
      <c r="Q636" s="337">
        <f t="shared" si="223"/>
        <v>0.70026787290732218</v>
      </c>
      <c r="R636" s="337">
        <f t="shared" si="224"/>
        <v>0.69345751288897017</v>
      </c>
      <c r="S636" s="323">
        <f t="shared" si="225"/>
        <v>0.18909115009016275</v>
      </c>
      <c r="T636" s="9">
        <f>Modelling_old[[#This Row],[Target E_Grid MTD
MWh]]/Modelling_old[[#This Row],[DC Capcity]]/(24*CG636)</f>
        <v>0.1890911500901627</v>
      </c>
      <c r="U636" s="338">
        <f>Modelling_old[[#This Row],[Target E_Grid YTD
MWh]]/Modelling_old[[#This Row],[DC Capcity]]/(24*CH636)</f>
        <v>0.16064480126933062</v>
      </c>
      <c r="V636" s="134">
        <v>11.5031</v>
      </c>
      <c r="Y636" s="27">
        <f t="shared" si="238"/>
        <v>45635</v>
      </c>
      <c r="Z636" s="5">
        <f>MONTH(Modelling_new[[#This Row],[Date]])</f>
        <v>12</v>
      </c>
      <c r="AA636" s="25">
        <f>YEAR(Y636)+IF(MONTH(Modelling_new[[#This Row],[Date]])&gt;=4,1,0)</f>
        <v>2025</v>
      </c>
      <c r="AB636" s="3">
        <f t="shared" si="226"/>
        <v>2024</v>
      </c>
      <c r="AC636" s="3" t="s">
        <v>627</v>
      </c>
      <c r="AD636" s="3" t="s">
        <v>627</v>
      </c>
      <c r="AE636" s="102">
        <f>DATE(Modelling_old[[#This Row],[Calendor Year]],Modelling_old[[#This Row],[Start Month]],1)</f>
        <v>45627</v>
      </c>
      <c r="AF636" s="5">
        <f t="shared" si="227"/>
        <v>31</v>
      </c>
      <c r="AG636" s="5">
        <f t="shared" si="228"/>
        <v>12</v>
      </c>
      <c r="AH636" s="4">
        <f>_xlfn.XLOOKUP(Modelling_new[[#This Row],[Month]],$AA$1:$AA$14,$AL$1:$AL$14)/Modelling_new[[#This Row],[Total Days]]</f>
        <v>60.105797566052928</v>
      </c>
      <c r="AI636" s="4">
        <f>SUM($AH$628:AH636)</f>
        <v>540.95217809447649</v>
      </c>
      <c r="AJ636" s="4">
        <f>SUM($AH$384:AH636)</f>
        <v>14431.580458512068</v>
      </c>
      <c r="AK636" s="4">
        <f t="shared" si="229"/>
        <v>6.4806451612903224</v>
      </c>
      <c r="AL636" s="4">
        <f>SUM($AK$628:AK636)</f>
        <v>58.32580645161292</v>
      </c>
      <c r="AM636" s="4">
        <f>SUM($AK$384:AK636)</f>
        <v>1406.6258064516101</v>
      </c>
      <c r="AN636" s="323">
        <f t="shared" si="230"/>
        <v>0.80627505984076986</v>
      </c>
      <c r="AO636" s="323">
        <f t="shared" si="231"/>
        <v>0.80627505984076986</v>
      </c>
      <c r="AP636" s="323">
        <f t="shared" si="232"/>
        <v>0.89190873826408601</v>
      </c>
      <c r="AQ636" s="323">
        <f t="shared" si="233"/>
        <v>0.21771594021775628</v>
      </c>
      <c r="AR636" s="323">
        <f>Modelling_new[[#This Row],[Target E_Grid MTD
MWh]]/Modelling_new[[#This Row],[MTD DC Capcity]]/(24*CG636)</f>
        <v>0.19565689311866194</v>
      </c>
      <c r="AS636" s="323">
        <f>Modelling_new[[#This Row],[Target E_Grid YTD
MWh]]/Modelling_new[[#This Row],[YTD DC Capcity]]/(24*CH636)</f>
        <v>0.18568300779335498</v>
      </c>
      <c r="AT636" s="5">
        <v>12.8</v>
      </c>
      <c r="AU636" s="9">
        <f>Modelling_new[[#This Row],[Comisined DC ]]/$AO$1</f>
        <v>1</v>
      </c>
      <c r="AV636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36" s="5">
        <f>AVERAGEIFS(Modelling_new[[Comisined DC ]],Modelling_new[Date],"&lt;="&amp;Modelling_new[[#This Row],[Date]],Modelling_new[[Comisined DC ]],"&gt;"&amp;0,Modelling_new[Finacial Year],Modelling_new[[#This Row],[Finacial Year]])</f>
        <v>12.800000000000045</v>
      </c>
      <c r="BD636" s="27">
        <f t="shared" si="239"/>
        <v>45635</v>
      </c>
      <c r="BE636" s="5">
        <f>MONTH(Modelling[[#This Row],[Date]])</f>
        <v>12</v>
      </c>
      <c r="BF636" s="25">
        <f>YEAR(BD636)+IF(MONTH(Modelling[[#This Row],[Date]])&gt;=4,1,0)</f>
        <v>2025</v>
      </c>
      <c r="BG636" s="3">
        <f t="shared" si="234"/>
        <v>2024</v>
      </c>
      <c r="BH636" s="3" t="s">
        <v>627</v>
      </c>
      <c r="BI636" s="3" t="s">
        <v>627</v>
      </c>
      <c r="BJ636" s="102">
        <f>DATE(Modelling_old[[#This Row],[Calendor Year]],Modelling_old[[#This Row],[Start Month]],1)</f>
        <v>45627</v>
      </c>
      <c r="BK636" s="5">
        <f t="shared" si="235"/>
        <v>31</v>
      </c>
      <c r="BL636" s="5">
        <f t="shared" si="236"/>
        <v>12</v>
      </c>
      <c r="BM636" s="4">
        <f>Modelling_old[[#This Row],[Target E_Grid daily
MWh]]+Modelling_new[[#This Row],[Target E_Grid daily
MWh]]</f>
        <v>112.30902337250456</v>
      </c>
      <c r="BN636" s="4">
        <f>Modelling_old[[#This Row],[Target E_Grid MTD
MWh]]+Modelling_new[[#This Row],[Target E_Grid MTD
MWh]]</f>
        <v>1010.7812103525409</v>
      </c>
      <c r="BO636" s="4">
        <f>Modelling_old[[#This Row],[Target E_Grid YTD
MWh]]+Modelling_new[[#This Row],[Target E_Grid YTD
MWh]]</f>
        <v>25652.109490770141</v>
      </c>
      <c r="BP636" s="4">
        <f>AVERAGE(Modelling_old[[#This Row],[Target POA Daily (KWh/m2)]],Modelling_new[[#This Row],[Target POA Daily (KWh/m2)]])</f>
        <v>6.4806451612903224</v>
      </c>
      <c r="BQ636" s="4">
        <f>SUM($BP$628:BP636)</f>
        <v>58.32580645161292</v>
      </c>
      <c r="BR636" s="4">
        <f>SUM($BP$384:BP636)</f>
        <v>1406.6258064516101</v>
      </c>
      <c r="BS636" s="323">
        <f>BM636/Modelling[[#This Row],[Comisined DC ]]/BP636</f>
        <v>0.71307421726835596</v>
      </c>
      <c r="BT636" s="337">
        <f>BN636/BQ636/Modelling[[#This Row],[Comisined DC ]]</f>
        <v>0.71307421726835574</v>
      </c>
      <c r="BU636" s="337">
        <f>BO636/BR636/Modelling[[#This Row],[Comisined DC ]]</f>
        <v>0.75038272992493638</v>
      </c>
      <c r="BV636" s="323">
        <f>BM636/(24*Modelling[[#This Row],[Comisined DC ]])</f>
        <v>0.1925492073242106</v>
      </c>
      <c r="BW636" s="323">
        <f>Modelling[[#This Row],[Target E_Grid MTD
MWh]]/Modelling[[#This Row],[MTD DC Capcity]]/(24*CG636)</f>
        <v>0.1925492073242106</v>
      </c>
      <c r="BX636" s="338">
        <f>Modelling[[#This Row],[Target E_Grid YTD
MWh]]/Modelling[[#This Row],[YTD DC Capcity]]/(24*CH636)</f>
        <v>0.17383196848287572</v>
      </c>
      <c r="BY636" s="4">
        <f>Modelling_old[[#This Row],[DC Capcity]]+Modelling_new[[#This Row],[Comisined DC ]]</f>
        <v>24.303100000000001</v>
      </c>
      <c r="BZ636" s="4">
        <v>0</v>
      </c>
      <c r="CA636">
        <f>AVERAGEIFS(Modelling[[Comisined DC ]],Modelling[Date],"&lt;="&amp;Modelling[[#This Row],[Date]],Modelling[Month Year],Modelling[[#This Row],[Month Year]])</f>
        <v>24.303100000000001</v>
      </c>
      <c r="CB636">
        <f>AVERAGEIFS(Modelling[[Comisined DC ]],Modelling[Date],"&lt;="&amp;Modelling[[#This Row],[Date]],Modelling[Finacial Year],Modelling[[#This Row],[Finacial Year]])</f>
        <v>24.303100000000068</v>
      </c>
      <c r="CG636">
        <f t="shared" si="240"/>
        <v>9</v>
      </c>
      <c r="CH636">
        <f t="shared" si="237"/>
        <v>253</v>
      </c>
    </row>
    <row r="637" spans="1:86" x14ac:dyDescent="0.35">
      <c r="A637" s="27">
        <f t="shared" si="216"/>
        <v>45636</v>
      </c>
      <c r="B637" s="5">
        <f>MONTH(Modelling_old[[#This Row],[Date]])</f>
        <v>12</v>
      </c>
      <c r="C637" s="25">
        <f t="shared" si="217"/>
        <v>2025</v>
      </c>
      <c r="D637" s="3">
        <f t="shared" si="218"/>
        <v>2024</v>
      </c>
      <c r="E637" s="3" t="s">
        <v>627</v>
      </c>
      <c r="F637" s="3" t="s">
        <v>627</v>
      </c>
      <c r="G637" s="102">
        <f>DATE(Modelling_old[[#This Row],[Calendor Year]],Modelling_old[[#This Row],[Start Month]],1)</f>
        <v>45627</v>
      </c>
      <c r="H637" s="5">
        <f t="shared" si="219"/>
        <v>31</v>
      </c>
      <c r="I637" s="5">
        <f t="shared" si="220"/>
        <v>12</v>
      </c>
      <c r="J637" s="4">
        <f>_xlfn.XLOOKUP(Modelling_old[[#This Row],[Month]],$C$1:$C$14,$N$1:$N$14)/Modelling_old[[#This Row],[Total Days]]</f>
        <v>52.20322580645162</v>
      </c>
      <c r="K637" s="4">
        <f>SUM($J$628:J637)</f>
        <v>522.0322580645161</v>
      </c>
      <c r="L637" s="4">
        <f>SUM($J$384:J637)</f>
        <v>11272.732258064523</v>
      </c>
      <c r="M637" s="4">
        <f t="shared" si="221"/>
        <v>6.4806451612903224</v>
      </c>
      <c r="N637" s="4">
        <f>SUM($M$628:M637)</f>
        <v>64.806451612903246</v>
      </c>
      <c r="O637" s="4">
        <f>SUM($M$384:M637)</f>
        <v>1413.1064516129004</v>
      </c>
      <c r="P637" s="323">
        <f t="shared" si="222"/>
        <v>0.7002678729073224</v>
      </c>
      <c r="Q637" s="337">
        <f t="shared" si="223"/>
        <v>0.70026787290732195</v>
      </c>
      <c r="R637" s="337">
        <f t="shared" si="224"/>
        <v>0.69348874586979004</v>
      </c>
      <c r="S637" s="323">
        <f t="shared" si="225"/>
        <v>0.18909115009016275</v>
      </c>
      <c r="T637" s="9">
        <f>Modelling_old[[#This Row],[Target E_Grid MTD
MWh]]/Modelling_old[[#This Row],[DC Capcity]]/(24*CG637)</f>
        <v>0.1890911500901627</v>
      </c>
      <c r="U637" s="338">
        <f>Modelling_old[[#This Row],[Target E_Grid YTD
MWh]]/Modelling_old[[#This Row],[DC Capcity]]/(24*CH637)</f>
        <v>0.16075679476862523</v>
      </c>
      <c r="V637" s="134">
        <v>11.5031</v>
      </c>
      <c r="Y637" s="27">
        <f t="shared" si="238"/>
        <v>45636</v>
      </c>
      <c r="Z637" s="5">
        <f>MONTH(Modelling_new[[#This Row],[Date]])</f>
        <v>12</v>
      </c>
      <c r="AA637" s="25">
        <f>YEAR(Y637)+IF(MONTH(Modelling_new[[#This Row],[Date]])&gt;=4,1,0)</f>
        <v>2025</v>
      </c>
      <c r="AB637" s="3">
        <f t="shared" si="226"/>
        <v>2024</v>
      </c>
      <c r="AC637" s="3" t="s">
        <v>627</v>
      </c>
      <c r="AD637" s="3" t="s">
        <v>627</v>
      </c>
      <c r="AE637" s="102">
        <f>DATE(Modelling_old[[#This Row],[Calendor Year]],Modelling_old[[#This Row],[Start Month]],1)</f>
        <v>45627</v>
      </c>
      <c r="AF637" s="5">
        <f t="shared" si="227"/>
        <v>31</v>
      </c>
      <c r="AG637" s="5">
        <f t="shared" si="228"/>
        <v>12</v>
      </c>
      <c r="AH637" s="4">
        <f>_xlfn.XLOOKUP(Modelling_new[[#This Row],[Month]],$AA$1:$AA$14,$AL$1:$AL$14)/Modelling_new[[#This Row],[Total Days]]</f>
        <v>60.105797566052928</v>
      </c>
      <c r="AI637" s="4">
        <f>SUM($AH$628:AH637)</f>
        <v>601.05797566052945</v>
      </c>
      <c r="AJ637" s="4">
        <f>SUM($AH$384:AH637)</f>
        <v>14491.686256078121</v>
      </c>
      <c r="AK637" s="4">
        <f t="shared" si="229"/>
        <v>6.4806451612903224</v>
      </c>
      <c r="AL637" s="4">
        <f>SUM($AK$628:AK637)</f>
        <v>64.806451612903246</v>
      </c>
      <c r="AM637" s="4">
        <f>SUM($AK$384:AK637)</f>
        <v>1413.1064516129004</v>
      </c>
      <c r="AN637" s="323">
        <f t="shared" si="230"/>
        <v>0.80627505984076986</v>
      </c>
      <c r="AO637" s="323">
        <f t="shared" si="231"/>
        <v>0.80627505984076986</v>
      </c>
      <c r="AP637" s="323">
        <f t="shared" si="232"/>
        <v>0.89151601379305701</v>
      </c>
      <c r="AQ637" s="323">
        <f t="shared" si="233"/>
        <v>0.21771594021775628</v>
      </c>
      <c r="AR637" s="323">
        <f>Modelling_new[[#This Row],[Target E_Grid MTD
MWh]]/Modelling_new[[#This Row],[MTD DC Capcity]]/(24*CG637)</f>
        <v>0.19565689311866194</v>
      </c>
      <c r="AS637" s="323">
        <f>Modelling_new[[#This Row],[Target E_Grid YTD
MWh]]/Modelling_new[[#This Row],[YTD DC Capcity]]/(24*CH637)</f>
        <v>0.18572227505841521</v>
      </c>
      <c r="AT637" s="5">
        <v>12.8</v>
      </c>
      <c r="AU637" s="9">
        <f>Modelling_new[[#This Row],[Comisined DC ]]/$AO$1</f>
        <v>1</v>
      </c>
      <c r="AV637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37" s="5">
        <f>AVERAGEIFS(Modelling_new[[Comisined DC ]],Modelling_new[Date],"&lt;="&amp;Modelling_new[[#This Row],[Date]],Modelling_new[[Comisined DC ]],"&gt;"&amp;0,Modelling_new[Finacial Year],Modelling_new[[#This Row],[Finacial Year]])</f>
        <v>12.800000000000045</v>
      </c>
      <c r="BD637" s="27">
        <f t="shared" si="239"/>
        <v>45636</v>
      </c>
      <c r="BE637" s="5">
        <f>MONTH(Modelling[[#This Row],[Date]])</f>
        <v>12</v>
      </c>
      <c r="BF637" s="25">
        <f>YEAR(BD637)+IF(MONTH(Modelling[[#This Row],[Date]])&gt;=4,1,0)</f>
        <v>2025</v>
      </c>
      <c r="BG637" s="3">
        <f t="shared" si="234"/>
        <v>2024</v>
      </c>
      <c r="BH637" s="3" t="s">
        <v>627</v>
      </c>
      <c r="BI637" s="3" t="s">
        <v>627</v>
      </c>
      <c r="BJ637" s="102">
        <f>DATE(Modelling_old[[#This Row],[Calendor Year]],Modelling_old[[#This Row],[Start Month]],1)</f>
        <v>45627</v>
      </c>
      <c r="BK637" s="5">
        <f t="shared" si="235"/>
        <v>31</v>
      </c>
      <c r="BL637" s="5">
        <f t="shared" si="236"/>
        <v>12</v>
      </c>
      <c r="BM637" s="4">
        <f>Modelling_old[[#This Row],[Target E_Grid daily
MWh]]+Modelling_new[[#This Row],[Target E_Grid daily
MWh]]</f>
        <v>112.30902337250456</v>
      </c>
      <c r="BN637" s="4">
        <f>Modelling_old[[#This Row],[Target E_Grid MTD
MWh]]+Modelling_new[[#This Row],[Target E_Grid MTD
MWh]]</f>
        <v>1123.0902337250454</v>
      </c>
      <c r="BO637" s="4">
        <f>Modelling_old[[#This Row],[Target E_Grid YTD
MWh]]+Modelling_new[[#This Row],[Target E_Grid YTD
MWh]]</f>
        <v>25764.418514142642</v>
      </c>
      <c r="BP637" s="4">
        <f>AVERAGE(Modelling_old[[#This Row],[Target POA Daily (KWh/m2)]],Modelling_new[[#This Row],[Target POA Daily (KWh/m2)]])</f>
        <v>6.4806451612903224</v>
      </c>
      <c r="BQ637" s="4">
        <f>SUM($BP$628:BP637)</f>
        <v>64.806451612903246</v>
      </c>
      <c r="BR637" s="4">
        <f>SUM($BP$384:BP637)</f>
        <v>1413.1064516129004</v>
      </c>
      <c r="BS637" s="323">
        <f>BM637/Modelling[[#This Row],[Comisined DC ]]/BP637</f>
        <v>0.71307421726835596</v>
      </c>
      <c r="BT637" s="337">
        <f>BN637/BQ637/Modelling[[#This Row],[Comisined DC ]]</f>
        <v>0.71307421726835563</v>
      </c>
      <c r="BU637" s="337">
        <f>BO637/BR637/Modelling[[#This Row],[Comisined DC ]]</f>
        <v>0.75021162941672848</v>
      </c>
      <c r="BV637" s="323">
        <f>BM637/(24*Modelling[[#This Row],[Comisined DC ]])</f>
        <v>0.1925492073242106</v>
      </c>
      <c r="BW637" s="323">
        <f>Modelling[[#This Row],[Target E_Grid MTD
MWh]]/Modelling[[#This Row],[MTD DC Capcity]]/(24*CG637)</f>
        <v>0.1925492073242106</v>
      </c>
      <c r="BX637" s="338">
        <f>Modelling[[#This Row],[Target E_Grid YTD
MWh]]/Modelling[[#This Row],[YTD DC Capcity]]/(24*CH637)</f>
        <v>0.17390565839957389</v>
      </c>
      <c r="BY637" s="4">
        <f>Modelling_old[[#This Row],[DC Capcity]]+Modelling_new[[#This Row],[Comisined DC ]]</f>
        <v>24.303100000000001</v>
      </c>
      <c r="BZ637" s="4">
        <v>0</v>
      </c>
      <c r="CA637">
        <f>AVERAGEIFS(Modelling[[Comisined DC ]],Modelling[Date],"&lt;="&amp;Modelling[[#This Row],[Date]],Modelling[Month Year],Modelling[[#This Row],[Month Year]])</f>
        <v>24.303100000000001</v>
      </c>
      <c r="CB637">
        <f>AVERAGEIFS(Modelling[[Comisined DC ]],Modelling[Date],"&lt;="&amp;Modelling[[#This Row],[Date]],Modelling[Finacial Year],Modelling[[#This Row],[Finacial Year]])</f>
        <v>24.303100000000068</v>
      </c>
      <c r="CG637">
        <f t="shared" si="240"/>
        <v>10</v>
      </c>
      <c r="CH637">
        <f t="shared" si="237"/>
        <v>254</v>
      </c>
    </row>
    <row r="638" spans="1:86" x14ac:dyDescent="0.35">
      <c r="A638" s="27">
        <f t="shared" si="216"/>
        <v>45637</v>
      </c>
      <c r="B638" s="5">
        <f>MONTH(Modelling_old[[#This Row],[Date]])</f>
        <v>12</v>
      </c>
      <c r="C638" s="25">
        <f t="shared" si="217"/>
        <v>2025</v>
      </c>
      <c r="D638" s="3">
        <f t="shared" si="218"/>
        <v>2024</v>
      </c>
      <c r="E638" s="3" t="s">
        <v>627</v>
      </c>
      <c r="F638" s="3" t="s">
        <v>627</v>
      </c>
      <c r="G638" s="102">
        <f>DATE(Modelling_old[[#This Row],[Calendor Year]],Modelling_old[[#This Row],[Start Month]],1)</f>
        <v>45627</v>
      </c>
      <c r="H638" s="5">
        <f t="shared" si="219"/>
        <v>31</v>
      </c>
      <c r="I638" s="5">
        <f t="shared" si="220"/>
        <v>12</v>
      </c>
      <c r="J638" s="4">
        <f>_xlfn.XLOOKUP(Modelling_old[[#This Row],[Month]],$C$1:$C$14,$N$1:$N$14)/Modelling_old[[#This Row],[Total Days]]</f>
        <v>52.20322580645162</v>
      </c>
      <c r="K638" s="4">
        <f>SUM($J$628:J638)</f>
        <v>574.23548387096776</v>
      </c>
      <c r="L638" s="4">
        <f>SUM($J$384:J638)</f>
        <v>11324.935483870975</v>
      </c>
      <c r="M638" s="4">
        <f t="shared" si="221"/>
        <v>6.4806451612903224</v>
      </c>
      <c r="N638" s="4">
        <f>SUM($M$628:M638)</f>
        <v>71.287096774193571</v>
      </c>
      <c r="O638" s="4">
        <f>SUM($M$384:M638)</f>
        <v>1419.5870967741907</v>
      </c>
      <c r="P638" s="323">
        <f t="shared" si="222"/>
        <v>0.7002678729073224</v>
      </c>
      <c r="Q638" s="337">
        <f t="shared" si="223"/>
        <v>0.70026787290732218</v>
      </c>
      <c r="R638" s="337">
        <f t="shared" si="224"/>
        <v>0.69351969368337141</v>
      </c>
      <c r="S638" s="323">
        <f t="shared" si="225"/>
        <v>0.18909115009016275</v>
      </c>
      <c r="T638" s="9">
        <f>Modelling_old[[#This Row],[Target E_Grid MTD
MWh]]/Modelling_old[[#This Row],[DC Capcity]]/(24*CG638)</f>
        <v>0.1890911500901627</v>
      </c>
      <c r="U638" s="338">
        <f>Modelling_old[[#This Row],[Target E_Grid YTD
MWh]]/Modelling_old[[#This Row],[DC Capcity]]/(24*CH638)</f>
        <v>0.16086790988753322</v>
      </c>
      <c r="V638" s="134">
        <v>11.5031</v>
      </c>
      <c r="Y638" s="27">
        <f t="shared" si="238"/>
        <v>45637</v>
      </c>
      <c r="Z638" s="5">
        <f>MONTH(Modelling_new[[#This Row],[Date]])</f>
        <v>12</v>
      </c>
      <c r="AA638" s="25">
        <f>YEAR(Y638)+IF(MONTH(Modelling_new[[#This Row],[Date]])&gt;=4,1,0)</f>
        <v>2025</v>
      </c>
      <c r="AB638" s="3">
        <f t="shared" si="226"/>
        <v>2024</v>
      </c>
      <c r="AC638" s="3" t="s">
        <v>627</v>
      </c>
      <c r="AD638" s="3" t="s">
        <v>627</v>
      </c>
      <c r="AE638" s="102">
        <f>DATE(Modelling_old[[#This Row],[Calendor Year]],Modelling_old[[#This Row],[Start Month]],1)</f>
        <v>45627</v>
      </c>
      <c r="AF638" s="5">
        <f t="shared" si="227"/>
        <v>31</v>
      </c>
      <c r="AG638" s="5">
        <f t="shared" si="228"/>
        <v>12</v>
      </c>
      <c r="AH638" s="4">
        <f>_xlfn.XLOOKUP(Modelling_new[[#This Row],[Month]],$AA$1:$AA$14,$AL$1:$AL$14)/Modelling_new[[#This Row],[Total Days]]</f>
        <v>60.105797566052928</v>
      </c>
      <c r="AI638" s="4">
        <f>SUM($AH$628:AH638)</f>
        <v>661.16377322658241</v>
      </c>
      <c r="AJ638" s="4">
        <f>SUM($AH$384:AH638)</f>
        <v>14551.792053644174</v>
      </c>
      <c r="AK638" s="4">
        <f t="shared" si="229"/>
        <v>6.4806451612903224</v>
      </c>
      <c r="AL638" s="4">
        <f>SUM($AK$628:AK638)</f>
        <v>71.287096774193571</v>
      </c>
      <c r="AM638" s="4">
        <f>SUM($AK$384:AK638)</f>
        <v>1419.5870967741907</v>
      </c>
      <c r="AN638" s="323">
        <f t="shared" si="230"/>
        <v>0.80627505984076986</v>
      </c>
      <c r="AO638" s="323">
        <f t="shared" si="231"/>
        <v>0.80627505984076986</v>
      </c>
      <c r="AP638" s="323">
        <f t="shared" si="232"/>
        <v>0.89112687502374155</v>
      </c>
      <c r="AQ638" s="323">
        <f t="shared" si="233"/>
        <v>0.21771594021775628</v>
      </c>
      <c r="AR638" s="323">
        <f>Modelling_new[[#This Row],[Target E_Grid MTD
MWh]]/Modelling_new[[#This Row],[MTD DC Capcity]]/(24*CG638)</f>
        <v>0.19565689311866194</v>
      </c>
      <c r="AS638" s="323">
        <f>Modelling_new[[#This Row],[Target E_Grid YTD
MWh]]/Modelling_new[[#This Row],[YTD DC Capcity]]/(24*CH638)</f>
        <v>0.18576123434492597</v>
      </c>
      <c r="AT638" s="5">
        <v>12.8</v>
      </c>
      <c r="AU638" s="9">
        <f>Modelling_new[[#This Row],[Comisined DC ]]/$AO$1</f>
        <v>1</v>
      </c>
      <c r="AV638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38" s="5">
        <f>AVERAGEIFS(Modelling_new[[Comisined DC ]],Modelling_new[Date],"&lt;="&amp;Modelling_new[[#This Row],[Date]],Modelling_new[[Comisined DC ]],"&gt;"&amp;0,Modelling_new[Finacial Year],Modelling_new[[#This Row],[Finacial Year]])</f>
        <v>12.800000000000047</v>
      </c>
      <c r="BD638" s="27">
        <f t="shared" si="239"/>
        <v>45637</v>
      </c>
      <c r="BE638" s="5">
        <f>MONTH(Modelling[[#This Row],[Date]])</f>
        <v>12</v>
      </c>
      <c r="BF638" s="25">
        <f>YEAR(BD638)+IF(MONTH(Modelling[[#This Row],[Date]])&gt;=4,1,0)</f>
        <v>2025</v>
      </c>
      <c r="BG638" s="3">
        <f t="shared" si="234"/>
        <v>2024</v>
      </c>
      <c r="BH638" s="3" t="s">
        <v>627</v>
      </c>
      <c r="BI638" s="3" t="s">
        <v>627</v>
      </c>
      <c r="BJ638" s="102">
        <f>DATE(Modelling_old[[#This Row],[Calendor Year]],Modelling_old[[#This Row],[Start Month]],1)</f>
        <v>45627</v>
      </c>
      <c r="BK638" s="5">
        <f t="shared" si="235"/>
        <v>31</v>
      </c>
      <c r="BL638" s="5">
        <f t="shared" si="236"/>
        <v>12</v>
      </c>
      <c r="BM638" s="4">
        <f>Modelling_old[[#This Row],[Target E_Grid daily
MWh]]+Modelling_new[[#This Row],[Target E_Grid daily
MWh]]</f>
        <v>112.30902337250456</v>
      </c>
      <c r="BN638" s="4">
        <f>Modelling_old[[#This Row],[Target E_Grid MTD
MWh]]+Modelling_new[[#This Row],[Target E_Grid MTD
MWh]]</f>
        <v>1235.3992570975502</v>
      </c>
      <c r="BO638" s="4">
        <f>Modelling_old[[#This Row],[Target E_Grid YTD
MWh]]+Modelling_new[[#This Row],[Target E_Grid YTD
MWh]]</f>
        <v>25876.727537515151</v>
      </c>
      <c r="BP638" s="4">
        <f>AVERAGE(Modelling_old[[#This Row],[Target POA Daily (KWh/m2)]],Modelling_new[[#This Row],[Target POA Daily (KWh/m2)]])</f>
        <v>6.4806451612903224</v>
      </c>
      <c r="BQ638" s="4">
        <f>SUM($BP$628:BP638)</f>
        <v>71.287096774193571</v>
      </c>
      <c r="BR638" s="4">
        <f>SUM($BP$384:BP638)</f>
        <v>1419.5870967741907</v>
      </c>
      <c r="BS638" s="323">
        <f>BM638/Modelling[[#This Row],[Comisined DC ]]/BP638</f>
        <v>0.71307421726835596</v>
      </c>
      <c r="BT638" s="337">
        <f>BN638/BQ638/Modelling[[#This Row],[Comisined DC ]]</f>
        <v>0.71307421726835574</v>
      </c>
      <c r="BU638" s="337">
        <f>BO638/BR638/Modelling[[#This Row],[Comisined DC ]]</f>
        <v>0.75004209111161924</v>
      </c>
      <c r="BV638" s="323">
        <f>BM638/(24*Modelling[[#This Row],[Comisined DC ]])</f>
        <v>0.1925492073242106</v>
      </c>
      <c r="BW638" s="323">
        <f>Modelling[[#This Row],[Target E_Grid MTD
MWh]]/Modelling[[#This Row],[MTD DC Capcity]]/(24*CG638)</f>
        <v>0.1925492073242106</v>
      </c>
      <c r="BX638" s="338">
        <f>Modelling[[#This Row],[Target E_Grid YTD
MWh]]/Modelling[[#This Row],[YTD DC Capcity]]/(24*CH638)</f>
        <v>0.17397877035614112</v>
      </c>
      <c r="BY638" s="4">
        <f>Modelling_old[[#This Row],[DC Capcity]]+Modelling_new[[#This Row],[Comisined DC ]]</f>
        <v>24.303100000000001</v>
      </c>
      <c r="BZ638" s="4">
        <v>0</v>
      </c>
      <c r="CA638">
        <f>AVERAGEIFS(Modelling[[Comisined DC ]],Modelling[Date],"&lt;="&amp;Modelling[[#This Row],[Date]],Modelling[Month Year],Modelling[[#This Row],[Month Year]])</f>
        <v>24.303100000000004</v>
      </c>
      <c r="CB638">
        <f>AVERAGEIFS(Modelling[[Comisined DC ]],Modelling[Date],"&lt;="&amp;Modelling[[#This Row],[Date]],Modelling[Finacial Year],Modelling[[#This Row],[Finacial Year]])</f>
        <v>24.303100000000068</v>
      </c>
      <c r="CG638">
        <f t="shared" si="240"/>
        <v>11</v>
      </c>
      <c r="CH638">
        <f t="shared" si="237"/>
        <v>255</v>
      </c>
    </row>
    <row r="639" spans="1:86" x14ac:dyDescent="0.35">
      <c r="A639" s="27">
        <f t="shared" si="216"/>
        <v>45638</v>
      </c>
      <c r="B639" s="5">
        <f>MONTH(Modelling_old[[#This Row],[Date]])</f>
        <v>12</v>
      </c>
      <c r="C639" s="25">
        <f t="shared" si="217"/>
        <v>2025</v>
      </c>
      <c r="D639" s="3">
        <f t="shared" si="218"/>
        <v>2024</v>
      </c>
      <c r="E639" s="3" t="s">
        <v>627</v>
      </c>
      <c r="F639" s="3" t="s">
        <v>627</v>
      </c>
      <c r="G639" s="102">
        <f>DATE(Modelling_old[[#This Row],[Calendor Year]],Modelling_old[[#This Row],[Start Month]],1)</f>
        <v>45627</v>
      </c>
      <c r="H639" s="5">
        <f t="shared" si="219"/>
        <v>31</v>
      </c>
      <c r="I639" s="5">
        <f t="shared" si="220"/>
        <v>12</v>
      </c>
      <c r="J639" s="4">
        <f>_xlfn.XLOOKUP(Modelling_old[[#This Row],[Month]],$C$1:$C$14,$N$1:$N$14)/Modelling_old[[#This Row],[Total Days]]</f>
        <v>52.20322580645162</v>
      </c>
      <c r="K639" s="4">
        <f>SUM($J$628:J639)</f>
        <v>626.43870967741941</v>
      </c>
      <c r="L639" s="4">
        <f>SUM($J$384:J639)</f>
        <v>11377.138709677427</v>
      </c>
      <c r="M639" s="4">
        <f t="shared" si="221"/>
        <v>6.4806451612903224</v>
      </c>
      <c r="N639" s="4">
        <f>SUM($M$628:M639)</f>
        <v>77.767741935483897</v>
      </c>
      <c r="O639" s="4">
        <f>SUM($M$384:M639)</f>
        <v>1426.0677419354811</v>
      </c>
      <c r="P639" s="323">
        <f t="shared" si="222"/>
        <v>0.7002678729073224</v>
      </c>
      <c r="Q639" s="337">
        <f t="shared" si="223"/>
        <v>0.70026787290732218</v>
      </c>
      <c r="R639" s="337">
        <f t="shared" si="224"/>
        <v>0.69355036021747019</v>
      </c>
      <c r="S639" s="323">
        <f t="shared" si="225"/>
        <v>0.18909115009016275</v>
      </c>
      <c r="T639" s="9">
        <f>Modelling_old[[#This Row],[Target E_Grid MTD
MWh]]/Modelling_old[[#This Row],[DC Capcity]]/(24*CG639)</f>
        <v>0.18909115009016272</v>
      </c>
      <c r="U639" s="338">
        <f>Modelling_old[[#This Row],[Target E_Grid YTD
MWh]]/Modelling_old[[#This Row],[DC Capcity]]/(24*CH639)</f>
        <v>0.16097815691957476</v>
      </c>
      <c r="V639" s="134">
        <v>11.5031</v>
      </c>
      <c r="Y639" s="27">
        <f t="shared" si="238"/>
        <v>45638</v>
      </c>
      <c r="Z639" s="5">
        <f>MONTH(Modelling_new[[#This Row],[Date]])</f>
        <v>12</v>
      </c>
      <c r="AA639" s="25">
        <f>YEAR(Y639)+IF(MONTH(Modelling_new[[#This Row],[Date]])&gt;=4,1,0)</f>
        <v>2025</v>
      </c>
      <c r="AB639" s="3">
        <f t="shared" si="226"/>
        <v>2024</v>
      </c>
      <c r="AC639" s="3" t="s">
        <v>627</v>
      </c>
      <c r="AD639" s="3" t="s">
        <v>627</v>
      </c>
      <c r="AE639" s="102">
        <f>DATE(Modelling_old[[#This Row],[Calendor Year]],Modelling_old[[#This Row],[Start Month]],1)</f>
        <v>45627</v>
      </c>
      <c r="AF639" s="5">
        <f t="shared" si="227"/>
        <v>31</v>
      </c>
      <c r="AG639" s="5">
        <f t="shared" si="228"/>
        <v>12</v>
      </c>
      <c r="AH639" s="4">
        <f>_xlfn.XLOOKUP(Modelling_new[[#This Row],[Month]],$AA$1:$AA$14,$AL$1:$AL$14)/Modelling_new[[#This Row],[Total Days]]</f>
        <v>60.105797566052928</v>
      </c>
      <c r="AI639" s="4">
        <f>SUM($AH$628:AH639)</f>
        <v>721.26957079263536</v>
      </c>
      <c r="AJ639" s="4">
        <f>SUM($AH$384:AH639)</f>
        <v>14611.897851210228</v>
      </c>
      <c r="AK639" s="4">
        <f t="shared" si="229"/>
        <v>6.4806451612903224</v>
      </c>
      <c r="AL639" s="4">
        <f>SUM($AK$628:AK639)</f>
        <v>77.767741935483897</v>
      </c>
      <c r="AM639" s="4">
        <f>SUM($AK$384:AK639)</f>
        <v>1426.0677419354811</v>
      </c>
      <c r="AN639" s="323">
        <f t="shared" si="230"/>
        <v>0.80627505984076986</v>
      </c>
      <c r="AO639" s="323">
        <f t="shared" si="231"/>
        <v>0.80627505984076986</v>
      </c>
      <c r="AP639" s="323">
        <f t="shared" si="232"/>
        <v>0.89074127307137863</v>
      </c>
      <c r="AQ639" s="323">
        <f t="shared" si="233"/>
        <v>0.21771594021775628</v>
      </c>
      <c r="AR639" s="323">
        <f>Modelling_new[[#This Row],[Target E_Grid MTD
MWh]]/Modelling_new[[#This Row],[MTD DC Capcity]]/(24*CG639)</f>
        <v>0.19565689311866194</v>
      </c>
      <c r="AS639" s="323">
        <f>Modelling_new[[#This Row],[Target E_Grid YTD
MWh]]/Modelling_new[[#This Row],[YTD DC Capcity]]/(24*CH639)</f>
        <v>0.18579988926201088</v>
      </c>
      <c r="AT639" s="5">
        <v>12.8</v>
      </c>
      <c r="AU639" s="9">
        <f>Modelling_new[[#This Row],[Comisined DC ]]/$AO$1</f>
        <v>1</v>
      </c>
      <c r="AV639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39" s="5">
        <f>AVERAGEIFS(Modelling_new[[Comisined DC ]],Modelling_new[Date],"&lt;="&amp;Modelling_new[[#This Row],[Date]],Modelling_new[[Comisined DC ]],"&gt;"&amp;0,Modelling_new[Finacial Year],Modelling_new[[#This Row],[Finacial Year]])</f>
        <v>12.800000000000047</v>
      </c>
      <c r="BD639" s="27">
        <f t="shared" si="239"/>
        <v>45638</v>
      </c>
      <c r="BE639" s="5">
        <f>MONTH(Modelling[[#This Row],[Date]])</f>
        <v>12</v>
      </c>
      <c r="BF639" s="25">
        <f>YEAR(BD639)+IF(MONTH(Modelling[[#This Row],[Date]])&gt;=4,1,0)</f>
        <v>2025</v>
      </c>
      <c r="BG639" s="3">
        <f t="shared" si="234"/>
        <v>2024</v>
      </c>
      <c r="BH639" s="3" t="s">
        <v>627</v>
      </c>
      <c r="BI639" s="3" t="s">
        <v>627</v>
      </c>
      <c r="BJ639" s="102">
        <f>DATE(Modelling_old[[#This Row],[Calendor Year]],Modelling_old[[#This Row],[Start Month]],1)</f>
        <v>45627</v>
      </c>
      <c r="BK639" s="5">
        <f t="shared" si="235"/>
        <v>31</v>
      </c>
      <c r="BL639" s="5">
        <f t="shared" si="236"/>
        <v>12</v>
      </c>
      <c r="BM639" s="4">
        <f>Modelling_old[[#This Row],[Target E_Grid daily
MWh]]+Modelling_new[[#This Row],[Target E_Grid daily
MWh]]</f>
        <v>112.30902337250456</v>
      </c>
      <c r="BN639" s="4">
        <f>Modelling_old[[#This Row],[Target E_Grid MTD
MWh]]+Modelling_new[[#This Row],[Target E_Grid MTD
MWh]]</f>
        <v>1347.7082804700549</v>
      </c>
      <c r="BO639" s="4">
        <f>Modelling_old[[#This Row],[Target E_Grid YTD
MWh]]+Modelling_new[[#This Row],[Target E_Grid YTD
MWh]]</f>
        <v>25989.036560887653</v>
      </c>
      <c r="BP639" s="4">
        <f>AVERAGE(Modelling_old[[#This Row],[Target POA Daily (KWh/m2)]],Modelling_new[[#This Row],[Target POA Daily (KWh/m2)]])</f>
        <v>6.4806451612903224</v>
      </c>
      <c r="BQ639" s="4">
        <f>SUM($BP$628:BP639)</f>
        <v>77.767741935483897</v>
      </c>
      <c r="BR639" s="4">
        <f>SUM($BP$384:BP639)</f>
        <v>1426.0677419354811</v>
      </c>
      <c r="BS639" s="323">
        <f>BM639/Modelling[[#This Row],[Comisined DC ]]/BP639</f>
        <v>0.71307421726835596</v>
      </c>
      <c r="BT639" s="337">
        <f>BN639/BQ639/Modelling[[#This Row],[Comisined DC ]]</f>
        <v>0.71307421726835574</v>
      </c>
      <c r="BU639" s="337">
        <f>BO639/BR639/Modelling[[#This Row],[Comisined DC ]]</f>
        <v>0.74987409371170566</v>
      </c>
      <c r="BV639" s="323">
        <f>BM639/(24*Modelling[[#This Row],[Comisined DC ]])</f>
        <v>0.1925492073242106</v>
      </c>
      <c r="BW639" s="323">
        <f>Modelling[[#This Row],[Target E_Grid MTD
MWh]]/Modelling[[#This Row],[MTD DC Capcity]]/(24*CG639)</f>
        <v>0.19254920732421066</v>
      </c>
      <c r="BX639" s="338">
        <f>Modelling[[#This Row],[Target E_Grid YTD
MWh]]/Modelling[[#This Row],[YTD DC Capcity]]/(24*CH639)</f>
        <v>0.17405131112554761</v>
      </c>
      <c r="BY639" s="4">
        <f>Modelling_old[[#This Row],[DC Capcity]]+Modelling_new[[#This Row],[Comisined DC ]]</f>
        <v>24.303100000000001</v>
      </c>
      <c r="BZ639" s="4">
        <v>0</v>
      </c>
      <c r="CA639">
        <f>AVERAGEIFS(Modelling[[Comisined DC ]],Modelling[Date],"&lt;="&amp;Modelling[[#This Row],[Date]],Modelling[Month Year],Modelling[[#This Row],[Month Year]])</f>
        <v>24.303100000000001</v>
      </c>
      <c r="CB639">
        <f>AVERAGEIFS(Modelling[[Comisined DC ]],Modelling[Date],"&lt;="&amp;Modelling[[#This Row],[Date]],Modelling[Finacial Year],Modelling[[#This Row],[Finacial Year]])</f>
        <v>24.303100000000068</v>
      </c>
      <c r="CG639">
        <f t="shared" si="240"/>
        <v>12</v>
      </c>
      <c r="CH639">
        <f t="shared" si="237"/>
        <v>256</v>
      </c>
    </row>
    <row r="640" spans="1:86" x14ac:dyDescent="0.35">
      <c r="A640" s="27">
        <f t="shared" ref="A640:A703" si="241">A639+1</f>
        <v>45639</v>
      </c>
      <c r="B640" s="5">
        <f>MONTH(Modelling_old[[#This Row],[Date]])</f>
        <v>12</v>
      </c>
      <c r="C640" s="25">
        <f t="shared" ref="C640:C658" si="242">YEAR(A640)+(MONTH(A640)&gt;=B640)</f>
        <v>2025</v>
      </c>
      <c r="D640" s="3">
        <f t="shared" ref="D640:D703" si="243">YEAR(A640)</f>
        <v>2024</v>
      </c>
      <c r="E640" s="3" t="s">
        <v>627</v>
      </c>
      <c r="F640" s="3" t="s">
        <v>627</v>
      </c>
      <c r="G640" s="102">
        <f>DATE(Modelling_old[[#This Row],[Calendor Year]],Modelling_old[[#This Row],[Start Month]],1)</f>
        <v>45627</v>
      </c>
      <c r="H640" s="5">
        <f t="shared" ref="H640:H703" si="244">DAY(EOMONTH(G640,0))</f>
        <v>31</v>
      </c>
      <c r="I640" s="5">
        <f t="shared" ref="I640:I703" si="245">MONTH(A640)</f>
        <v>12</v>
      </c>
      <c r="J640" s="4">
        <f>_xlfn.XLOOKUP(Modelling_old[[#This Row],[Month]],$C$1:$C$14,$N$1:$N$14)/Modelling_old[[#This Row],[Total Days]]</f>
        <v>52.20322580645162</v>
      </c>
      <c r="K640" s="4">
        <f>SUM($J$628:J640)</f>
        <v>678.64193548387107</v>
      </c>
      <c r="L640" s="4">
        <f>SUM($J$384:J640)</f>
        <v>11429.341935483879</v>
      </c>
      <c r="M640" s="4">
        <f t="shared" ref="M640:M703" si="246">VLOOKUP(I640,$C$2:$M$13,11,0)</f>
        <v>6.4806451612903224</v>
      </c>
      <c r="N640" s="4">
        <f>SUM($M$628:M640)</f>
        <v>84.248387096774223</v>
      </c>
      <c r="O640" s="4">
        <f>SUM($M$384:M640)</f>
        <v>1432.5483870967714</v>
      </c>
      <c r="P640" s="323">
        <f t="shared" ref="P640:P703" si="247">J640/$Q$1/M640</f>
        <v>0.7002678729073224</v>
      </c>
      <c r="Q640" s="337">
        <f t="shared" ref="Q640:Q703" si="248">K640/N640/$Q$1</f>
        <v>0.70026787290732218</v>
      </c>
      <c r="R640" s="337">
        <f t="shared" ref="R640:R703" si="249">L640/O640/$Q$1</f>
        <v>0.69358074928949154</v>
      </c>
      <c r="S640" s="323">
        <f t="shared" ref="S640:S703" si="250">J640/(24*$Q$1)</f>
        <v>0.18909115009016275</v>
      </c>
      <c r="T640" s="9">
        <f>Modelling_old[[#This Row],[Target E_Grid MTD
MWh]]/Modelling_old[[#This Row],[DC Capcity]]/(24*CG640)</f>
        <v>0.18909115009016272</v>
      </c>
      <c r="U640" s="338">
        <f>Modelling_old[[#This Row],[Target E_Grid YTD
MWh]]/Modelling_old[[#This Row],[DC Capcity]]/(24*CH640)</f>
        <v>0.16108754599805952</v>
      </c>
      <c r="V640" s="134">
        <v>11.5031</v>
      </c>
      <c r="Y640" s="27">
        <f t="shared" si="238"/>
        <v>45639</v>
      </c>
      <c r="Z640" s="5">
        <f>MONTH(Modelling_new[[#This Row],[Date]])</f>
        <v>12</v>
      </c>
      <c r="AA640" s="25">
        <f>YEAR(Y640)+IF(MONTH(Modelling_new[[#This Row],[Date]])&gt;=4,1,0)</f>
        <v>2025</v>
      </c>
      <c r="AB640" s="3">
        <f t="shared" ref="AB640:AB703" si="251">YEAR(Y640)</f>
        <v>2024</v>
      </c>
      <c r="AC640" s="3" t="s">
        <v>627</v>
      </c>
      <c r="AD640" s="3" t="s">
        <v>627</v>
      </c>
      <c r="AE640" s="102">
        <f>DATE(Modelling_old[[#This Row],[Calendor Year]],Modelling_old[[#This Row],[Start Month]],1)</f>
        <v>45627</v>
      </c>
      <c r="AF640" s="5">
        <f t="shared" ref="AF640:AF703" si="252">DAY(EOMONTH(AE640,0))</f>
        <v>31</v>
      </c>
      <c r="AG640" s="5">
        <f t="shared" ref="AG640:AG703" si="253">MONTH(Y640)</f>
        <v>12</v>
      </c>
      <c r="AH640" s="4">
        <f>_xlfn.XLOOKUP(Modelling_new[[#This Row],[Month]],$AA$1:$AA$14,$AL$1:$AL$14)/Modelling_new[[#This Row],[Total Days]]</f>
        <v>60.105797566052928</v>
      </c>
      <c r="AI640" s="4">
        <f>SUM($AH$628:AH640)</f>
        <v>781.37536835868832</v>
      </c>
      <c r="AJ640" s="4">
        <f>SUM($AH$384:AH640)</f>
        <v>14672.003648776281</v>
      </c>
      <c r="AK640" s="4">
        <f t="shared" ref="AK640:AK703" si="254">VLOOKUP(AG640,$C$2:$M$13,11,0)</f>
        <v>6.4806451612903224</v>
      </c>
      <c r="AL640" s="4">
        <f>SUM($AK$628:AK640)</f>
        <v>84.248387096774223</v>
      </c>
      <c r="AM640" s="4">
        <f>SUM($AK$384:AK640)</f>
        <v>1432.5483870967714</v>
      </c>
      <c r="AN640" s="323">
        <f t="shared" ref="AN640:AN703" si="255">AH640/$Q$1/AK640</f>
        <v>0.80627505984076986</v>
      </c>
      <c r="AO640" s="323">
        <f t="shared" ref="AO640:AO703" si="256">AI640/AL640/$Q$1</f>
        <v>0.80627505984076986</v>
      </c>
      <c r="AP640" s="323">
        <f t="shared" ref="AP640:AP703" si="257">AJ640/AM640/$Q$1</f>
        <v>0.8903591599357974</v>
      </c>
      <c r="AQ640" s="323">
        <f t="shared" ref="AQ640:AQ703" si="258">AH640/(24*$Q$1)</f>
        <v>0.21771594021775628</v>
      </c>
      <c r="AR640" s="323">
        <f>Modelling_new[[#This Row],[Target E_Grid MTD
MWh]]/Modelling_new[[#This Row],[MTD DC Capcity]]/(24*CG640)</f>
        <v>0.19565689311866194</v>
      </c>
      <c r="AS640" s="323">
        <f>Modelling_new[[#This Row],[Target E_Grid YTD
MWh]]/Modelling_new[[#This Row],[YTD DC Capcity]]/(24*CH640)</f>
        <v>0.18583824336262042</v>
      </c>
      <c r="AT640" s="5">
        <v>12.8</v>
      </c>
      <c r="AU640" s="9">
        <f>Modelling_new[[#This Row],[Comisined DC ]]/$AO$1</f>
        <v>1</v>
      </c>
      <c r="AV640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40" s="5">
        <f>AVERAGEIFS(Modelling_new[[Comisined DC ]],Modelling_new[Date],"&lt;="&amp;Modelling_new[[#This Row],[Date]],Modelling_new[[Comisined DC ]],"&gt;"&amp;0,Modelling_new[Finacial Year],Modelling_new[[#This Row],[Finacial Year]])</f>
        <v>12.800000000000047</v>
      </c>
      <c r="BD640" s="27">
        <f t="shared" si="239"/>
        <v>45639</v>
      </c>
      <c r="BE640" s="5">
        <f>MONTH(Modelling[[#This Row],[Date]])</f>
        <v>12</v>
      </c>
      <c r="BF640" s="25">
        <f>YEAR(BD640)+IF(MONTH(Modelling[[#This Row],[Date]])&gt;=4,1,0)</f>
        <v>2025</v>
      </c>
      <c r="BG640" s="3">
        <f t="shared" ref="BG640:BG703" si="259">YEAR(BD640)</f>
        <v>2024</v>
      </c>
      <c r="BH640" s="3" t="s">
        <v>627</v>
      </c>
      <c r="BI640" s="3" t="s">
        <v>627</v>
      </c>
      <c r="BJ640" s="102">
        <f>DATE(Modelling_old[[#This Row],[Calendor Year]],Modelling_old[[#This Row],[Start Month]],1)</f>
        <v>45627</v>
      </c>
      <c r="BK640" s="5">
        <f t="shared" ref="BK640:BK703" si="260">DAY(EOMONTH(BJ640,0))</f>
        <v>31</v>
      </c>
      <c r="BL640" s="5">
        <f t="shared" ref="BL640:BL703" si="261">MONTH(BD640)</f>
        <v>12</v>
      </c>
      <c r="BM640" s="4">
        <f>Modelling_old[[#This Row],[Target E_Grid daily
MWh]]+Modelling_new[[#This Row],[Target E_Grid daily
MWh]]</f>
        <v>112.30902337250456</v>
      </c>
      <c r="BN640" s="4">
        <f>Modelling_old[[#This Row],[Target E_Grid MTD
MWh]]+Modelling_new[[#This Row],[Target E_Grid MTD
MWh]]</f>
        <v>1460.0173038425594</v>
      </c>
      <c r="BO640" s="4">
        <f>Modelling_old[[#This Row],[Target E_Grid YTD
MWh]]+Modelling_new[[#This Row],[Target E_Grid YTD
MWh]]</f>
        <v>26101.345584260162</v>
      </c>
      <c r="BP640" s="4">
        <f>AVERAGE(Modelling_old[[#This Row],[Target POA Daily (KWh/m2)]],Modelling_new[[#This Row],[Target POA Daily (KWh/m2)]])</f>
        <v>6.4806451612903224</v>
      </c>
      <c r="BQ640" s="4">
        <f>SUM($BP$628:BP640)</f>
        <v>84.248387096774223</v>
      </c>
      <c r="BR640" s="4">
        <f>SUM($BP$384:BP640)</f>
        <v>1432.5483870967714</v>
      </c>
      <c r="BS640" s="323">
        <f>BM640/Modelling[[#This Row],[Comisined DC ]]/BP640</f>
        <v>0.71307421726835596</v>
      </c>
      <c r="BT640" s="337">
        <f>BN640/BQ640/Modelling[[#This Row],[Comisined DC ]]</f>
        <v>0.71307421726835574</v>
      </c>
      <c r="BU640" s="337">
        <f>BO640/BR640/Modelling[[#This Row],[Comisined DC ]]</f>
        <v>0.74970761630448057</v>
      </c>
      <c r="BV640" s="323">
        <f>BM640/(24*Modelling[[#This Row],[Comisined DC ]])</f>
        <v>0.1925492073242106</v>
      </c>
      <c r="BW640" s="323">
        <f>Modelling[[#This Row],[Target E_Grid MTD
MWh]]/Modelling[[#This Row],[MTD DC Capcity]]/(24*CG640)</f>
        <v>0.19254920732421066</v>
      </c>
      <c r="BX640" s="338">
        <f>Modelling[[#This Row],[Target E_Grid YTD
MWh]]/Modelling[[#This Row],[YTD DC Capcity]]/(24*CH640)</f>
        <v>0.17412328737534791</v>
      </c>
      <c r="BY640" s="4">
        <f>Modelling_old[[#This Row],[DC Capcity]]+Modelling_new[[#This Row],[Comisined DC ]]</f>
        <v>24.303100000000001</v>
      </c>
      <c r="BZ640" s="4">
        <v>0</v>
      </c>
      <c r="CA640">
        <f>AVERAGEIFS(Modelling[[Comisined DC ]],Modelling[Date],"&lt;="&amp;Modelling[[#This Row],[Date]],Modelling[Month Year],Modelling[[#This Row],[Month Year]])</f>
        <v>24.303099999999997</v>
      </c>
      <c r="CB640">
        <f>AVERAGEIFS(Modelling[[Comisined DC ]],Modelling[Date],"&lt;="&amp;Modelling[[#This Row],[Date]],Modelling[Finacial Year],Modelling[[#This Row],[Finacial Year]])</f>
        <v>24.303100000000068</v>
      </c>
      <c r="CG640">
        <f t="shared" si="240"/>
        <v>13</v>
      </c>
      <c r="CH640">
        <f t="shared" si="237"/>
        <v>257</v>
      </c>
    </row>
    <row r="641" spans="1:86" x14ac:dyDescent="0.35">
      <c r="A641" s="27">
        <f t="shared" si="241"/>
        <v>45640</v>
      </c>
      <c r="B641" s="5">
        <f>MONTH(Modelling_old[[#This Row],[Date]])</f>
        <v>12</v>
      </c>
      <c r="C641" s="25">
        <f t="shared" si="242"/>
        <v>2025</v>
      </c>
      <c r="D641" s="3">
        <f t="shared" si="243"/>
        <v>2024</v>
      </c>
      <c r="E641" s="3" t="s">
        <v>627</v>
      </c>
      <c r="F641" s="3" t="s">
        <v>627</v>
      </c>
      <c r="G641" s="102">
        <f>DATE(Modelling_old[[#This Row],[Calendor Year]],Modelling_old[[#This Row],[Start Month]],1)</f>
        <v>45627</v>
      </c>
      <c r="H641" s="5">
        <f t="shared" si="244"/>
        <v>31</v>
      </c>
      <c r="I641" s="5">
        <f t="shared" si="245"/>
        <v>12</v>
      </c>
      <c r="J641" s="4">
        <f>_xlfn.XLOOKUP(Modelling_old[[#This Row],[Month]],$C$1:$C$14,$N$1:$N$14)/Modelling_old[[#This Row],[Total Days]]</f>
        <v>52.20322580645162</v>
      </c>
      <c r="K641" s="4">
        <f>SUM($J$628:J641)</f>
        <v>730.84516129032272</v>
      </c>
      <c r="L641" s="4">
        <f>SUM($J$384:J641)</f>
        <v>11481.545161290331</v>
      </c>
      <c r="M641" s="4">
        <f t="shared" si="246"/>
        <v>6.4806451612903224</v>
      </c>
      <c r="N641" s="4">
        <f>SUM($M$628:M641)</f>
        <v>90.729032258064549</v>
      </c>
      <c r="O641" s="4">
        <f>SUM($M$384:M641)</f>
        <v>1439.0290322580618</v>
      </c>
      <c r="P641" s="323">
        <f t="shared" si="247"/>
        <v>0.7002678729073224</v>
      </c>
      <c r="Q641" s="337">
        <f t="shared" si="248"/>
        <v>0.70026787290732218</v>
      </c>
      <c r="R641" s="337">
        <f t="shared" si="249"/>
        <v>0.69361086464807387</v>
      </c>
      <c r="S641" s="323">
        <f t="shared" si="250"/>
        <v>0.18909115009016275</v>
      </c>
      <c r="T641" s="9">
        <f>Modelling_old[[#This Row],[Target E_Grid MTD
MWh]]/Modelling_old[[#This Row],[DC Capcity]]/(24*CG641)</f>
        <v>0.18909115009016272</v>
      </c>
      <c r="U641" s="338">
        <f>Modelling_old[[#This Row],[Target E_Grid YTD
MWh]]/Modelling_old[[#This Row],[DC Capcity]]/(24*CH641)</f>
        <v>0.16119608709919173</v>
      </c>
      <c r="V641" s="134">
        <v>11.5031</v>
      </c>
      <c r="Y641" s="27">
        <f t="shared" si="238"/>
        <v>45640</v>
      </c>
      <c r="Z641" s="5">
        <f>MONTH(Modelling_new[[#This Row],[Date]])</f>
        <v>12</v>
      </c>
      <c r="AA641" s="25">
        <f>YEAR(Y641)+IF(MONTH(Modelling_new[[#This Row],[Date]])&gt;=4,1,0)</f>
        <v>2025</v>
      </c>
      <c r="AB641" s="3">
        <f t="shared" si="251"/>
        <v>2024</v>
      </c>
      <c r="AC641" s="3" t="s">
        <v>627</v>
      </c>
      <c r="AD641" s="3" t="s">
        <v>627</v>
      </c>
      <c r="AE641" s="102">
        <f>DATE(Modelling_old[[#This Row],[Calendor Year]],Modelling_old[[#This Row],[Start Month]],1)</f>
        <v>45627</v>
      </c>
      <c r="AF641" s="5">
        <f t="shared" si="252"/>
        <v>31</v>
      </c>
      <c r="AG641" s="5">
        <f t="shared" si="253"/>
        <v>12</v>
      </c>
      <c r="AH641" s="4">
        <f>_xlfn.XLOOKUP(Modelling_new[[#This Row],[Month]],$AA$1:$AA$14,$AL$1:$AL$14)/Modelling_new[[#This Row],[Total Days]]</f>
        <v>60.105797566052928</v>
      </c>
      <c r="AI641" s="4">
        <f>SUM($AH$628:AH641)</f>
        <v>841.48116592474128</v>
      </c>
      <c r="AJ641" s="4">
        <f>SUM($AH$384:AH641)</f>
        <v>14732.109446342334</v>
      </c>
      <c r="AK641" s="4">
        <f t="shared" si="254"/>
        <v>6.4806451612903224</v>
      </c>
      <c r="AL641" s="4">
        <f>SUM($AK$628:AK641)</f>
        <v>90.729032258064549</v>
      </c>
      <c r="AM641" s="4">
        <f>SUM($AK$384:AK641)</f>
        <v>1439.0290322580618</v>
      </c>
      <c r="AN641" s="323">
        <f t="shared" si="255"/>
        <v>0.80627505984076986</v>
      </c>
      <c r="AO641" s="323">
        <f t="shared" si="256"/>
        <v>0.80627505984076986</v>
      </c>
      <c r="AP641" s="323">
        <f t="shared" si="257"/>
        <v>0.88998048848149924</v>
      </c>
      <c r="AQ641" s="323">
        <f t="shared" si="258"/>
        <v>0.21771594021775628</v>
      </c>
      <c r="AR641" s="323">
        <f>Modelling_new[[#This Row],[Target E_Grid MTD
MWh]]/Modelling_new[[#This Row],[MTD DC Capcity]]/(24*CG641)</f>
        <v>0.19565689311866194</v>
      </c>
      <c r="AS641" s="323">
        <f>Modelling_new[[#This Row],[Target E_Grid YTD
MWh]]/Modelling_new[[#This Row],[YTD DC Capcity]]/(24*CH641)</f>
        <v>0.18587630014462056</v>
      </c>
      <c r="AT641" s="5">
        <v>12.8</v>
      </c>
      <c r="AU641" s="9">
        <f>Modelling_new[[#This Row],[Comisined DC ]]/$AO$1</f>
        <v>1</v>
      </c>
      <c r="AV641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41" s="5">
        <f>AVERAGEIFS(Modelling_new[[Comisined DC ]],Modelling_new[Date],"&lt;="&amp;Modelling_new[[#This Row],[Date]],Modelling_new[[Comisined DC ]],"&gt;"&amp;0,Modelling_new[Finacial Year],Modelling_new[[#This Row],[Finacial Year]])</f>
        <v>12.800000000000049</v>
      </c>
      <c r="BD641" s="27">
        <f t="shared" si="239"/>
        <v>45640</v>
      </c>
      <c r="BE641" s="5">
        <f>MONTH(Modelling[[#This Row],[Date]])</f>
        <v>12</v>
      </c>
      <c r="BF641" s="25">
        <f>YEAR(BD641)+IF(MONTH(Modelling[[#This Row],[Date]])&gt;=4,1,0)</f>
        <v>2025</v>
      </c>
      <c r="BG641" s="3">
        <f t="shared" si="259"/>
        <v>2024</v>
      </c>
      <c r="BH641" s="3" t="s">
        <v>627</v>
      </c>
      <c r="BI641" s="3" t="s">
        <v>627</v>
      </c>
      <c r="BJ641" s="102">
        <f>DATE(Modelling_old[[#This Row],[Calendor Year]],Modelling_old[[#This Row],[Start Month]],1)</f>
        <v>45627</v>
      </c>
      <c r="BK641" s="5">
        <f t="shared" si="260"/>
        <v>31</v>
      </c>
      <c r="BL641" s="5">
        <f t="shared" si="261"/>
        <v>12</v>
      </c>
      <c r="BM641" s="4">
        <f>Modelling_old[[#This Row],[Target E_Grid daily
MWh]]+Modelling_new[[#This Row],[Target E_Grid daily
MWh]]</f>
        <v>112.30902337250456</v>
      </c>
      <c r="BN641" s="4">
        <f>Modelling_old[[#This Row],[Target E_Grid MTD
MWh]]+Modelling_new[[#This Row],[Target E_Grid MTD
MWh]]</f>
        <v>1572.3263272150639</v>
      </c>
      <c r="BO641" s="4">
        <f>Modelling_old[[#This Row],[Target E_Grid YTD
MWh]]+Modelling_new[[#This Row],[Target E_Grid YTD
MWh]]</f>
        <v>26213.654607632663</v>
      </c>
      <c r="BP641" s="4">
        <f>AVERAGE(Modelling_old[[#This Row],[Target POA Daily (KWh/m2)]],Modelling_new[[#This Row],[Target POA Daily (KWh/m2)]])</f>
        <v>6.4806451612903224</v>
      </c>
      <c r="BQ641" s="4">
        <f>SUM($BP$628:BP641)</f>
        <v>90.729032258064549</v>
      </c>
      <c r="BR641" s="4">
        <f>SUM($BP$384:BP641)</f>
        <v>1439.0290322580618</v>
      </c>
      <c r="BS641" s="323">
        <f>BM641/Modelling[[#This Row],[Comisined DC ]]/BP641</f>
        <v>0.71307421726835596</v>
      </c>
      <c r="BT641" s="337">
        <f>BN641/BQ641/Modelling[[#This Row],[Comisined DC ]]</f>
        <v>0.71307421726835574</v>
      </c>
      <c r="BU641" s="337">
        <f>BO641/BR641/Modelling[[#This Row],[Comisined DC ]]</f>
        <v>0.74954263835415191</v>
      </c>
      <c r="BV641" s="323">
        <f>BM641/(24*Modelling[[#This Row],[Comisined DC ]])</f>
        <v>0.1925492073242106</v>
      </c>
      <c r="BW641" s="323">
        <f>Modelling[[#This Row],[Target E_Grid MTD
MWh]]/Modelling[[#This Row],[MTD DC Capcity]]/(24*CG641)</f>
        <v>0.19254920732421063</v>
      </c>
      <c r="BX641" s="338">
        <f>Modelling[[#This Row],[Target E_Grid YTD
MWh]]/Modelling[[#This Row],[YTD DC Capcity]]/(24*CH641)</f>
        <v>0.17419470566972328</v>
      </c>
      <c r="BY641" s="4">
        <f>Modelling_old[[#This Row],[DC Capcity]]+Modelling_new[[#This Row],[Comisined DC ]]</f>
        <v>24.303100000000001</v>
      </c>
      <c r="BZ641" s="4">
        <v>0</v>
      </c>
      <c r="CA641">
        <f>AVERAGEIFS(Modelling[[Comisined DC ]],Modelling[Date],"&lt;="&amp;Modelling[[#This Row],[Date]],Modelling[Month Year],Modelling[[#This Row],[Month Year]])</f>
        <v>24.303099999999997</v>
      </c>
      <c r="CB641">
        <f>AVERAGEIFS(Modelling[[Comisined DC ]],Modelling[Date],"&lt;="&amp;Modelling[[#This Row],[Date]],Modelling[Finacial Year],Modelling[[#This Row],[Finacial Year]])</f>
        <v>24.303100000000068</v>
      </c>
      <c r="CG641">
        <f t="shared" si="240"/>
        <v>14</v>
      </c>
      <c r="CH641">
        <f t="shared" si="237"/>
        <v>258</v>
      </c>
    </row>
    <row r="642" spans="1:86" x14ac:dyDescent="0.35">
      <c r="A642" s="27">
        <f t="shared" si="241"/>
        <v>45641</v>
      </c>
      <c r="B642" s="5">
        <f>MONTH(Modelling_old[[#This Row],[Date]])</f>
        <v>12</v>
      </c>
      <c r="C642" s="25">
        <f t="shared" si="242"/>
        <v>2025</v>
      </c>
      <c r="D642" s="3">
        <f t="shared" si="243"/>
        <v>2024</v>
      </c>
      <c r="E642" s="3" t="s">
        <v>627</v>
      </c>
      <c r="F642" s="3" t="s">
        <v>627</v>
      </c>
      <c r="G642" s="102">
        <f>DATE(Modelling_old[[#This Row],[Calendor Year]],Modelling_old[[#This Row],[Start Month]],1)</f>
        <v>45627</v>
      </c>
      <c r="H642" s="5">
        <f t="shared" si="244"/>
        <v>31</v>
      </c>
      <c r="I642" s="5">
        <f t="shared" si="245"/>
        <v>12</v>
      </c>
      <c r="J642" s="4">
        <f>_xlfn.XLOOKUP(Modelling_old[[#This Row],[Month]],$C$1:$C$14,$N$1:$N$14)/Modelling_old[[#This Row],[Total Days]]</f>
        <v>52.20322580645162</v>
      </c>
      <c r="K642" s="4">
        <f>SUM($J$628:J642)</f>
        <v>783.04838709677438</v>
      </c>
      <c r="L642" s="4">
        <f>SUM($J$384:J642)</f>
        <v>11533.748387096783</v>
      </c>
      <c r="M642" s="4">
        <f t="shared" si="246"/>
        <v>6.4806451612903224</v>
      </c>
      <c r="N642" s="4">
        <f>SUM($M$628:M642)</f>
        <v>97.209677419354875</v>
      </c>
      <c r="O642" s="4">
        <f>SUM($M$384:M642)</f>
        <v>1445.5096774193521</v>
      </c>
      <c r="P642" s="323">
        <f t="shared" si="247"/>
        <v>0.7002678729073224</v>
      </c>
      <c r="Q642" s="337">
        <f t="shared" si="248"/>
        <v>0.70026787290732218</v>
      </c>
      <c r="R642" s="337">
        <f t="shared" si="249"/>
        <v>0.6936407099746309</v>
      </c>
      <c r="S642" s="323">
        <f t="shared" si="250"/>
        <v>0.18909115009016275</v>
      </c>
      <c r="T642" s="9">
        <f>Modelling_old[[#This Row],[Target E_Grid MTD
MWh]]/Modelling_old[[#This Row],[DC Capcity]]/(24*CG642)</f>
        <v>0.18909115009016275</v>
      </c>
      <c r="U642" s="338">
        <f>Modelling_old[[#This Row],[Target E_Grid YTD
MWh]]/Modelling_old[[#This Row],[DC Capcity]]/(24*CH642)</f>
        <v>0.16130379004510281</v>
      </c>
      <c r="V642" s="134">
        <v>11.5031</v>
      </c>
      <c r="Y642" s="27">
        <f t="shared" si="238"/>
        <v>45641</v>
      </c>
      <c r="Z642" s="5">
        <f>MONTH(Modelling_new[[#This Row],[Date]])</f>
        <v>12</v>
      </c>
      <c r="AA642" s="25">
        <f>YEAR(Y642)+IF(MONTH(Modelling_new[[#This Row],[Date]])&gt;=4,1,0)</f>
        <v>2025</v>
      </c>
      <c r="AB642" s="3">
        <f t="shared" si="251"/>
        <v>2024</v>
      </c>
      <c r="AC642" s="3" t="s">
        <v>627</v>
      </c>
      <c r="AD642" s="3" t="s">
        <v>627</v>
      </c>
      <c r="AE642" s="102">
        <f>DATE(Modelling_old[[#This Row],[Calendor Year]],Modelling_old[[#This Row],[Start Month]],1)</f>
        <v>45627</v>
      </c>
      <c r="AF642" s="5">
        <f t="shared" si="252"/>
        <v>31</v>
      </c>
      <c r="AG642" s="5">
        <f t="shared" si="253"/>
        <v>12</v>
      </c>
      <c r="AH642" s="4">
        <f>_xlfn.XLOOKUP(Modelling_new[[#This Row],[Month]],$AA$1:$AA$14,$AL$1:$AL$14)/Modelling_new[[#This Row],[Total Days]]</f>
        <v>60.105797566052928</v>
      </c>
      <c r="AI642" s="4">
        <f>SUM($AH$628:AH642)</f>
        <v>901.58696349079423</v>
      </c>
      <c r="AJ642" s="4">
        <f>SUM($AH$384:AH642)</f>
        <v>14792.215243908387</v>
      </c>
      <c r="AK642" s="4">
        <f t="shared" si="254"/>
        <v>6.4806451612903224</v>
      </c>
      <c r="AL642" s="4">
        <f>SUM($AK$628:AK642)</f>
        <v>97.209677419354875</v>
      </c>
      <c r="AM642" s="4">
        <f>SUM($AK$384:AK642)</f>
        <v>1445.5096774193521</v>
      </c>
      <c r="AN642" s="323">
        <f t="shared" si="255"/>
        <v>0.80627505984076986</v>
      </c>
      <c r="AO642" s="323">
        <f t="shared" si="256"/>
        <v>0.80627505984076986</v>
      </c>
      <c r="AP642" s="323">
        <f t="shared" si="257"/>
        <v>0.88960521241827517</v>
      </c>
      <c r="AQ642" s="323">
        <f t="shared" si="258"/>
        <v>0.21771594021775628</v>
      </c>
      <c r="AR642" s="323">
        <f>Modelling_new[[#This Row],[Target E_Grid MTD
MWh]]/Modelling_new[[#This Row],[MTD DC Capcity]]/(24*CG642)</f>
        <v>0.19565689311866188</v>
      </c>
      <c r="AS642" s="323">
        <f>Modelling_new[[#This Row],[Target E_Grid YTD
MWh]]/Modelling_new[[#This Row],[YTD DC Capcity]]/(24*CH642)</f>
        <v>0.18591406305185626</v>
      </c>
      <c r="AT642" s="5">
        <v>12.8</v>
      </c>
      <c r="AU642" s="9">
        <f>Modelling_new[[#This Row],[Comisined DC ]]/$AO$1</f>
        <v>1</v>
      </c>
      <c r="AV642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42" s="5">
        <f>AVERAGEIFS(Modelling_new[[Comisined DC ]],Modelling_new[Date],"&lt;="&amp;Modelling_new[[#This Row],[Date]],Modelling_new[[Comisined DC ]],"&gt;"&amp;0,Modelling_new[Finacial Year],Modelling_new[[#This Row],[Finacial Year]])</f>
        <v>12.800000000000049</v>
      </c>
      <c r="BD642" s="27">
        <f t="shared" si="239"/>
        <v>45641</v>
      </c>
      <c r="BE642" s="5">
        <f>MONTH(Modelling[[#This Row],[Date]])</f>
        <v>12</v>
      </c>
      <c r="BF642" s="25">
        <f>YEAR(BD642)+IF(MONTH(Modelling[[#This Row],[Date]])&gt;=4,1,0)</f>
        <v>2025</v>
      </c>
      <c r="BG642" s="3">
        <f t="shared" si="259"/>
        <v>2024</v>
      </c>
      <c r="BH642" s="3" t="s">
        <v>627</v>
      </c>
      <c r="BI642" s="3" t="s">
        <v>627</v>
      </c>
      <c r="BJ642" s="102">
        <f>DATE(Modelling_old[[#This Row],[Calendor Year]],Modelling_old[[#This Row],[Start Month]],1)</f>
        <v>45627</v>
      </c>
      <c r="BK642" s="5">
        <f t="shared" si="260"/>
        <v>31</v>
      </c>
      <c r="BL642" s="5">
        <f t="shared" si="261"/>
        <v>12</v>
      </c>
      <c r="BM642" s="4">
        <f>Modelling_old[[#This Row],[Target E_Grid daily
MWh]]+Modelling_new[[#This Row],[Target E_Grid daily
MWh]]</f>
        <v>112.30902337250456</v>
      </c>
      <c r="BN642" s="4">
        <f>Modelling_old[[#This Row],[Target E_Grid MTD
MWh]]+Modelling_new[[#This Row],[Target E_Grid MTD
MWh]]</f>
        <v>1684.6353505875686</v>
      </c>
      <c r="BO642" s="4">
        <f>Modelling_old[[#This Row],[Target E_Grid YTD
MWh]]+Modelling_new[[#This Row],[Target E_Grid YTD
MWh]]</f>
        <v>26325.963631005172</v>
      </c>
      <c r="BP642" s="4">
        <f>AVERAGE(Modelling_old[[#This Row],[Target POA Daily (KWh/m2)]],Modelling_new[[#This Row],[Target POA Daily (KWh/m2)]])</f>
        <v>6.4806451612903224</v>
      </c>
      <c r="BQ642" s="4">
        <f>SUM($BP$628:BP642)</f>
        <v>97.209677419354875</v>
      </c>
      <c r="BR642" s="4">
        <f>SUM($BP$384:BP642)</f>
        <v>1445.5096774193521</v>
      </c>
      <c r="BS642" s="323">
        <f>BM642/Modelling[[#This Row],[Comisined DC ]]/BP642</f>
        <v>0.71307421726835596</v>
      </c>
      <c r="BT642" s="337">
        <f>BN642/BQ642/Modelling[[#This Row],[Comisined DC ]]</f>
        <v>0.71307421726835574</v>
      </c>
      <c r="BU642" s="337">
        <f>BO642/BR642/Modelling[[#This Row],[Comisined DC ]]</f>
        <v>0.74937913969320125</v>
      </c>
      <c r="BV642" s="323">
        <f>BM642/(24*Modelling[[#This Row],[Comisined DC ]])</f>
        <v>0.1925492073242106</v>
      </c>
      <c r="BW642" s="323">
        <f>Modelling[[#This Row],[Target E_Grid MTD
MWh]]/Modelling[[#This Row],[MTD DC Capcity]]/(24*CG642)</f>
        <v>0.19254920732421069</v>
      </c>
      <c r="BX642" s="338">
        <f>Modelling[[#This Row],[Target E_Grid YTD
MWh]]/Modelling[[#This Row],[YTD DC Capcity]]/(24*CH642)</f>
        <v>0.17426557247147811</v>
      </c>
      <c r="BY642" s="4">
        <f>Modelling_old[[#This Row],[DC Capcity]]+Modelling_new[[#This Row],[Comisined DC ]]</f>
        <v>24.303100000000001</v>
      </c>
      <c r="BZ642" s="4">
        <v>0</v>
      </c>
      <c r="CA642">
        <f>AVERAGEIFS(Modelling[[Comisined DC ]],Modelling[Date],"&lt;="&amp;Modelling[[#This Row],[Date]],Modelling[Month Year],Modelling[[#This Row],[Month Year]])</f>
        <v>24.303099999999993</v>
      </c>
      <c r="CB642">
        <f>AVERAGEIFS(Modelling[[Comisined DC ]],Modelling[Date],"&lt;="&amp;Modelling[[#This Row],[Date]],Modelling[Finacial Year],Modelling[[#This Row],[Finacial Year]])</f>
        <v>24.303100000000068</v>
      </c>
      <c r="CG642">
        <f t="shared" si="240"/>
        <v>15</v>
      </c>
      <c r="CH642">
        <f t="shared" ref="CH642:CH705" si="262">CH641+1</f>
        <v>259</v>
      </c>
    </row>
    <row r="643" spans="1:86" x14ac:dyDescent="0.35">
      <c r="A643" s="27">
        <f t="shared" si="241"/>
        <v>45642</v>
      </c>
      <c r="B643" s="5">
        <f>MONTH(Modelling_old[[#This Row],[Date]])</f>
        <v>12</v>
      </c>
      <c r="C643" s="25">
        <f t="shared" si="242"/>
        <v>2025</v>
      </c>
      <c r="D643" s="3">
        <f t="shared" si="243"/>
        <v>2024</v>
      </c>
      <c r="E643" s="3" t="s">
        <v>627</v>
      </c>
      <c r="F643" s="3" t="s">
        <v>627</v>
      </c>
      <c r="G643" s="102">
        <f>DATE(Modelling_old[[#This Row],[Calendor Year]],Modelling_old[[#This Row],[Start Month]],1)</f>
        <v>45627</v>
      </c>
      <c r="H643" s="5">
        <f t="shared" si="244"/>
        <v>31</v>
      </c>
      <c r="I643" s="5">
        <f t="shared" si="245"/>
        <v>12</v>
      </c>
      <c r="J643" s="4">
        <f>_xlfn.XLOOKUP(Modelling_old[[#This Row],[Month]],$C$1:$C$14,$N$1:$N$14)/Modelling_old[[#This Row],[Total Days]]</f>
        <v>52.20322580645162</v>
      </c>
      <c r="K643" s="4">
        <f>SUM($J$628:J643)</f>
        <v>835.25161290322603</v>
      </c>
      <c r="L643" s="4">
        <f>SUM($J$384:J643)</f>
        <v>11585.951612903234</v>
      </c>
      <c r="M643" s="4">
        <f t="shared" si="246"/>
        <v>6.4806451612903224</v>
      </c>
      <c r="N643" s="4">
        <f>SUM($M$628:M643)</f>
        <v>103.6903225806452</v>
      </c>
      <c r="O643" s="4">
        <f>SUM($M$384:M643)</f>
        <v>1451.9903225806424</v>
      </c>
      <c r="P643" s="323">
        <f t="shared" si="247"/>
        <v>0.7002678729073224</v>
      </c>
      <c r="Q643" s="337">
        <f t="shared" si="248"/>
        <v>0.70026787290732218</v>
      </c>
      <c r="R643" s="337">
        <f t="shared" si="249"/>
        <v>0.69367028888485149</v>
      </c>
      <c r="S643" s="323">
        <f t="shared" si="250"/>
        <v>0.18909115009016275</v>
      </c>
      <c r="T643" s="9">
        <f>Modelling_old[[#This Row],[Target E_Grid MTD
MWh]]/Modelling_old[[#This Row],[DC Capcity]]/(24*CG643)</f>
        <v>0.18909115009016275</v>
      </c>
      <c r="U643" s="338">
        <f>Modelling_old[[#This Row],[Target E_Grid YTD
MWh]]/Modelling_old[[#This Row],[DC Capcity]]/(24*CH643)</f>
        <v>0.16141066450681457</v>
      </c>
      <c r="V643" s="134">
        <v>11.5031</v>
      </c>
      <c r="Y643" s="27">
        <f t="shared" si="238"/>
        <v>45642</v>
      </c>
      <c r="Z643" s="5">
        <f>MONTH(Modelling_new[[#This Row],[Date]])</f>
        <v>12</v>
      </c>
      <c r="AA643" s="25">
        <f>YEAR(Y643)+IF(MONTH(Modelling_new[[#This Row],[Date]])&gt;=4,1,0)</f>
        <v>2025</v>
      </c>
      <c r="AB643" s="3">
        <f t="shared" si="251"/>
        <v>2024</v>
      </c>
      <c r="AC643" s="3" t="s">
        <v>627</v>
      </c>
      <c r="AD643" s="3" t="s">
        <v>627</v>
      </c>
      <c r="AE643" s="102">
        <f>DATE(Modelling_old[[#This Row],[Calendor Year]],Modelling_old[[#This Row],[Start Month]],1)</f>
        <v>45627</v>
      </c>
      <c r="AF643" s="5">
        <f t="shared" si="252"/>
        <v>31</v>
      </c>
      <c r="AG643" s="5">
        <f t="shared" si="253"/>
        <v>12</v>
      </c>
      <c r="AH643" s="4">
        <f>_xlfn.XLOOKUP(Modelling_new[[#This Row],[Month]],$AA$1:$AA$14,$AL$1:$AL$14)/Modelling_new[[#This Row],[Total Days]]</f>
        <v>60.105797566052928</v>
      </c>
      <c r="AI643" s="4">
        <f>SUM($AH$628:AH643)</f>
        <v>961.69276105684719</v>
      </c>
      <c r="AJ643" s="4">
        <f>SUM($AH$384:AH643)</f>
        <v>14852.321041474441</v>
      </c>
      <c r="AK643" s="4">
        <f t="shared" si="254"/>
        <v>6.4806451612903224</v>
      </c>
      <c r="AL643" s="4">
        <f>SUM($AK$628:AK643)</f>
        <v>103.6903225806452</v>
      </c>
      <c r="AM643" s="4">
        <f>SUM($AK$384:AK643)</f>
        <v>1451.9903225806424</v>
      </c>
      <c r="AN643" s="323">
        <f t="shared" si="255"/>
        <v>0.80627505984076986</v>
      </c>
      <c r="AO643" s="323">
        <f t="shared" si="256"/>
        <v>0.80627505984076986</v>
      </c>
      <c r="AP643" s="323">
        <f t="shared" si="257"/>
        <v>0.88923328628234111</v>
      </c>
      <c r="AQ643" s="323">
        <f t="shared" si="258"/>
        <v>0.21771594021775628</v>
      </c>
      <c r="AR643" s="323">
        <f>Modelling_new[[#This Row],[Target E_Grid MTD
MWh]]/Modelling_new[[#This Row],[MTD DC Capcity]]/(24*CG643)</f>
        <v>0.19565689311866188</v>
      </c>
      <c r="AS643" s="323">
        <f>Modelling_new[[#This Row],[Target E_Grid YTD
MWh]]/Modelling_new[[#This Row],[YTD DC Capcity]]/(24*CH643)</f>
        <v>0.18595153547519011</v>
      </c>
      <c r="AT643" s="5">
        <v>12.8</v>
      </c>
      <c r="AU643" s="9">
        <f>Modelling_new[[#This Row],[Comisined DC ]]/$AO$1</f>
        <v>1</v>
      </c>
      <c r="AV643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43" s="5">
        <f>AVERAGEIFS(Modelling_new[[Comisined DC ]],Modelling_new[Date],"&lt;="&amp;Modelling_new[[#This Row],[Date]],Modelling_new[[Comisined DC ]],"&gt;"&amp;0,Modelling_new[Finacial Year],Modelling_new[[#This Row],[Finacial Year]])</f>
        <v>12.800000000000049</v>
      </c>
      <c r="BD643" s="27">
        <f t="shared" si="239"/>
        <v>45642</v>
      </c>
      <c r="BE643" s="5">
        <f>MONTH(Modelling[[#This Row],[Date]])</f>
        <v>12</v>
      </c>
      <c r="BF643" s="25">
        <f>YEAR(BD643)+IF(MONTH(Modelling[[#This Row],[Date]])&gt;=4,1,0)</f>
        <v>2025</v>
      </c>
      <c r="BG643" s="3">
        <f t="shared" si="259"/>
        <v>2024</v>
      </c>
      <c r="BH643" s="3" t="s">
        <v>627</v>
      </c>
      <c r="BI643" s="3" t="s">
        <v>627</v>
      </c>
      <c r="BJ643" s="102">
        <f>DATE(Modelling_old[[#This Row],[Calendor Year]],Modelling_old[[#This Row],[Start Month]],1)</f>
        <v>45627</v>
      </c>
      <c r="BK643" s="5">
        <f t="shared" si="260"/>
        <v>31</v>
      </c>
      <c r="BL643" s="5">
        <f t="shared" si="261"/>
        <v>12</v>
      </c>
      <c r="BM643" s="4">
        <f>Modelling_old[[#This Row],[Target E_Grid daily
MWh]]+Modelling_new[[#This Row],[Target E_Grid daily
MWh]]</f>
        <v>112.30902337250456</v>
      </c>
      <c r="BN643" s="4">
        <f>Modelling_old[[#This Row],[Target E_Grid MTD
MWh]]+Modelling_new[[#This Row],[Target E_Grid MTD
MWh]]</f>
        <v>1796.9443739600733</v>
      </c>
      <c r="BO643" s="4">
        <f>Modelling_old[[#This Row],[Target E_Grid YTD
MWh]]+Modelling_new[[#This Row],[Target E_Grid YTD
MWh]]</f>
        <v>26438.272654377673</v>
      </c>
      <c r="BP643" s="4">
        <f>AVERAGE(Modelling_old[[#This Row],[Target POA Daily (KWh/m2)]],Modelling_new[[#This Row],[Target POA Daily (KWh/m2)]])</f>
        <v>6.4806451612903224</v>
      </c>
      <c r="BQ643" s="4">
        <f>SUM($BP$628:BP643)</f>
        <v>103.6903225806452</v>
      </c>
      <c r="BR643" s="4">
        <f>SUM($BP$384:BP643)</f>
        <v>1451.9903225806424</v>
      </c>
      <c r="BS643" s="323">
        <f>BM643/Modelling[[#This Row],[Comisined DC ]]/BP643</f>
        <v>0.71307421726835596</v>
      </c>
      <c r="BT643" s="337">
        <f>BN643/BQ643/Modelling[[#This Row],[Comisined DC ]]</f>
        <v>0.71307421726835585</v>
      </c>
      <c r="BU643" s="337">
        <f>BO643/BR643/Modelling[[#This Row],[Comisined DC ]]</f>
        <v>0.74921710051416213</v>
      </c>
      <c r="BV643" s="323">
        <f>BM643/(24*Modelling[[#This Row],[Comisined DC ]])</f>
        <v>0.1925492073242106</v>
      </c>
      <c r="BW643" s="323">
        <f>Modelling[[#This Row],[Target E_Grid MTD
MWh]]/Modelling[[#This Row],[MTD DC Capcity]]/(24*CG643)</f>
        <v>0.19254920732421074</v>
      </c>
      <c r="BX643" s="338">
        <f>Modelling[[#This Row],[Target E_Grid YTD
MWh]]/Modelling[[#This Row],[YTD DC Capcity]]/(24*CH643)</f>
        <v>0.17433589414398859</v>
      </c>
      <c r="BY643" s="4">
        <f>Modelling_old[[#This Row],[DC Capcity]]+Modelling_new[[#This Row],[Comisined DC ]]</f>
        <v>24.303100000000001</v>
      </c>
      <c r="BZ643" s="4">
        <v>0</v>
      </c>
      <c r="CA643">
        <f>AVERAGEIFS(Modelling[[Comisined DC ]],Modelling[Date],"&lt;="&amp;Modelling[[#This Row],[Date]],Modelling[Month Year],Modelling[[#This Row],[Month Year]])</f>
        <v>24.303099999999993</v>
      </c>
      <c r="CB643">
        <f>AVERAGEIFS(Modelling[[Comisined DC ]],Modelling[Date],"&lt;="&amp;Modelling[[#This Row],[Date]],Modelling[Finacial Year],Modelling[[#This Row],[Finacial Year]])</f>
        <v>24.303100000000068</v>
      </c>
      <c r="CG643">
        <f t="shared" si="240"/>
        <v>16</v>
      </c>
      <c r="CH643">
        <f t="shared" si="262"/>
        <v>260</v>
      </c>
    </row>
    <row r="644" spans="1:86" x14ac:dyDescent="0.35">
      <c r="A644" s="27">
        <f t="shared" si="241"/>
        <v>45643</v>
      </c>
      <c r="B644" s="5">
        <f>MONTH(Modelling_old[[#This Row],[Date]])</f>
        <v>12</v>
      </c>
      <c r="C644" s="25">
        <f t="shared" si="242"/>
        <v>2025</v>
      </c>
      <c r="D644" s="3">
        <f t="shared" si="243"/>
        <v>2024</v>
      </c>
      <c r="E644" s="3" t="s">
        <v>627</v>
      </c>
      <c r="F644" s="3" t="s">
        <v>627</v>
      </c>
      <c r="G644" s="102">
        <f>DATE(Modelling_old[[#This Row],[Calendor Year]],Modelling_old[[#This Row],[Start Month]],1)</f>
        <v>45627</v>
      </c>
      <c r="H644" s="5">
        <f t="shared" si="244"/>
        <v>31</v>
      </c>
      <c r="I644" s="5">
        <f t="shared" si="245"/>
        <v>12</v>
      </c>
      <c r="J644" s="4">
        <f>_xlfn.XLOOKUP(Modelling_old[[#This Row],[Month]],$C$1:$C$14,$N$1:$N$14)/Modelling_old[[#This Row],[Total Days]]</f>
        <v>52.20322580645162</v>
      </c>
      <c r="K644" s="4">
        <f>SUM($J$628:J644)</f>
        <v>887.45483870967769</v>
      </c>
      <c r="L644" s="4">
        <f>SUM($J$384:J644)</f>
        <v>11638.154838709686</v>
      </c>
      <c r="M644" s="4">
        <f t="shared" si="246"/>
        <v>6.4806451612903224</v>
      </c>
      <c r="N644" s="4">
        <f>SUM($M$628:M644)</f>
        <v>110.17096774193553</v>
      </c>
      <c r="O644" s="4">
        <f>SUM($M$384:M644)</f>
        <v>1458.4709677419328</v>
      </c>
      <c r="P644" s="323">
        <f t="shared" si="247"/>
        <v>0.7002678729073224</v>
      </c>
      <c r="Q644" s="337">
        <f t="shared" si="248"/>
        <v>0.70026787290732229</v>
      </c>
      <c r="R644" s="337">
        <f t="shared" si="249"/>
        <v>0.69369960493016003</v>
      </c>
      <c r="S644" s="323">
        <f t="shared" si="250"/>
        <v>0.18909115009016275</v>
      </c>
      <c r="T644" s="9">
        <f>Modelling_old[[#This Row],[Target E_Grid MTD
MWh]]/Modelling_old[[#This Row],[DC Capcity]]/(24*CG644)</f>
        <v>0.18909115009016275</v>
      </c>
      <c r="U644" s="338">
        <f>Modelling_old[[#This Row],[Target E_Grid YTD
MWh]]/Modelling_old[[#This Row],[DC Capcity]]/(24*CH644)</f>
        <v>0.16151672000713393</v>
      </c>
      <c r="V644" s="134">
        <v>11.5031</v>
      </c>
      <c r="Y644" s="27">
        <f t="shared" si="238"/>
        <v>45643</v>
      </c>
      <c r="Z644" s="5">
        <f>MONTH(Modelling_new[[#This Row],[Date]])</f>
        <v>12</v>
      </c>
      <c r="AA644" s="25">
        <f>YEAR(Y644)+IF(MONTH(Modelling_new[[#This Row],[Date]])&gt;=4,1,0)</f>
        <v>2025</v>
      </c>
      <c r="AB644" s="3">
        <f t="shared" si="251"/>
        <v>2024</v>
      </c>
      <c r="AC644" s="3" t="s">
        <v>627</v>
      </c>
      <c r="AD644" s="3" t="s">
        <v>627</v>
      </c>
      <c r="AE644" s="102">
        <f>DATE(Modelling_old[[#This Row],[Calendor Year]],Modelling_old[[#This Row],[Start Month]],1)</f>
        <v>45627</v>
      </c>
      <c r="AF644" s="5">
        <f t="shared" si="252"/>
        <v>31</v>
      </c>
      <c r="AG644" s="5">
        <f t="shared" si="253"/>
        <v>12</v>
      </c>
      <c r="AH644" s="4">
        <f>_xlfn.XLOOKUP(Modelling_new[[#This Row],[Month]],$AA$1:$AA$14,$AL$1:$AL$14)/Modelling_new[[#This Row],[Total Days]]</f>
        <v>60.105797566052928</v>
      </c>
      <c r="AI644" s="4">
        <f>SUM($AH$628:AH644)</f>
        <v>1021.7985586229001</v>
      </c>
      <c r="AJ644" s="4">
        <f>SUM($AH$384:AH644)</f>
        <v>14912.426839040494</v>
      </c>
      <c r="AK644" s="4">
        <f t="shared" si="254"/>
        <v>6.4806451612903224</v>
      </c>
      <c r="AL644" s="4">
        <f>SUM($AK$628:AK644)</f>
        <v>110.17096774193553</v>
      </c>
      <c r="AM644" s="4">
        <f>SUM($AK$384:AK644)</f>
        <v>1458.4709677419328</v>
      </c>
      <c r="AN644" s="323">
        <f t="shared" si="255"/>
        <v>0.80627505984076986</v>
      </c>
      <c r="AO644" s="323">
        <f t="shared" si="256"/>
        <v>0.80627505984076986</v>
      </c>
      <c r="AP644" s="323">
        <f t="shared" si="257"/>
        <v>0.88886466541797793</v>
      </c>
      <c r="AQ644" s="323">
        <f t="shared" si="258"/>
        <v>0.21771594021775628</v>
      </c>
      <c r="AR644" s="323">
        <f>Modelling_new[[#This Row],[Target E_Grid MTD
MWh]]/Modelling_new[[#This Row],[MTD DC Capcity]]/(24*CG644)</f>
        <v>0.19565689311866188</v>
      </c>
      <c r="AS644" s="323">
        <f>Modelling_new[[#This Row],[Target E_Grid YTD
MWh]]/Modelling_new[[#This Row],[YTD DC Capcity]]/(24*CH644)</f>
        <v>0.18598872075351761</v>
      </c>
      <c r="AT644" s="5">
        <v>12.8</v>
      </c>
      <c r="AU644" s="9">
        <f>Modelling_new[[#This Row],[Comisined DC ]]/$AO$1</f>
        <v>1</v>
      </c>
      <c r="AV644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44" s="5">
        <f>AVERAGEIFS(Modelling_new[[Comisined DC ]],Modelling_new[Date],"&lt;="&amp;Modelling_new[[#This Row],[Date]],Modelling_new[[Comisined DC ]],"&gt;"&amp;0,Modelling_new[Finacial Year],Modelling_new[[#This Row],[Finacial Year]])</f>
        <v>12.800000000000049</v>
      </c>
      <c r="BD644" s="27">
        <f t="shared" si="239"/>
        <v>45643</v>
      </c>
      <c r="BE644" s="5">
        <f>MONTH(Modelling[[#This Row],[Date]])</f>
        <v>12</v>
      </c>
      <c r="BF644" s="25">
        <f>YEAR(BD644)+IF(MONTH(Modelling[[#This Row],[Date]])&gt;=4,1,0)</f>
        <v>2025</v>
      </c>
      <c r="BG644" s="3">
        <f t="shared" si="259"/>
        <v>2024</v>
      </c>
      <c r="BH644" s="3" t="s">
        <v>627</v>
      </c>
      <c r="BI644" s="3" t="s">
        <v>627</v>
      </c>
      <c r="BJ644" s="102">
        <f>DATE(Modelling_old[[#This Row],[Calendor Year]],Modelling_old[[#This Row],[Start Month]],1)</f>
        <v>45627</v>
      </c>
      <c r="BK644" s="5">
        <f t="shared" si="260"/>
        <v>31</v>
      </c>
      <c r="BL644" s="5">
        <f t="shared" si="261"/>
        <v>12</v>
      </c>
      <c r="BM644" s="4">
        <f>Modelling_old[[#This Row],[Target E_Grid daily
MWh]]+Modelling_new[[#This Row],[Target E_Grid daily
MWh]]</f>
        <v>112.30902337250456</v>
      </c>
      <c r="BN644" s="4">
        <f>Modelling_old[[#This Row],[Target E_Grid MTD
MWh]]+Modelling_new[[#This Row],[Target E_Grid MTD
MWh]]</f>
        <v>1909.2533973325778</v>
      </c>
      <c r="BO644" s="4">
        <f>Modelling_old[[#This Row],[Target E_Grid YTD
MWh]]+Modelling_new[[#This Row],[Target E_Grid YTD
MWh]]</f>
        <v>26550.581677750182</v>
      </c>
      <c r="BP644" s="4">
        <f>AVERAGE(Modelling_old[[#This Row],[Target POA Daily (KWh/m2)]],Modelling_new[[#This Row],[Target POA Daily (KWh/m2)]])</f>
        <v>6.4806451612903224</v>
      </c>
      <c r="BQ644" s="4">
        <f>SUM($BP$628:BP644)</f>
        <v>110.17096774193553</v>
      </c>
      <c r="BR644" s="4">
        <f>SUM($BP$384:BP644)</f>
        <v>1458.4709677419328</v>
      </c>
      <c r="BS644" s="323">
        <f>BM644/Modelling[[#This Row],[Comisined DC ]]/BP644</f>
        <v>0.71307421726835596</v>
      </c>
      <c r="BT644" s="337">
        <f>BN644/BQ644/Modelling[[#This Row],[Comisined DC ]]</f>
        <v>0.71307421726835574</v>
      </c>
      <c r="BU644" s="337">
        <f>BO644/BR644/Modelling[[#This Row],[Comisined DC ]]</f>
        <v>0.74905650136162316</v>
      </c>
      <c r="BV644" s="323">
        <f>BM644/(24*Modelling[[#This Row],[Comisined DC ]])</f>
        <v>0.1925492073242106</v>
      </c>
      <c r="BW644" s="323">
        <f>Modelling[[#This Row],[Target E_Grid MTD
MWh]]/Modelling[[#This Row],[MTD DC Capcity]]/(24*CG644)</f>
        <v>0.19254920732421069</v>
      </c>
      <c r="BX644" s="338">
        <f>Modelling[[#This Row],[Target E_Grid YTD
MWh]]/Modelling[[#This Row],[YTD DC Capcity]]/(24*CH644)</f>
        <v>0.17440567695310824</v>
      </c>
      <c r="BY644" s="4">
        <f>Modelling_old[[#This Row],[DC Capcity]]+Modelling_new[[#This Row],[Comisined DC ]]</f>
        <v>24.303100000000001</v>
      </c>
      <c r="BZ644" s="4">
        <v>0</v>
      </c>
      <c r="CA644">
        <f>AVERAGEIFS(Modelling[[Comisined DC ]],Modelling[Date],"&lt;="&amp;Modelling[[#This Row],[Date]],Modelling[Month Year],Modelling[[#This Row],[Month Year]])</f>
        <v>24.303099999999993</v>
      </c>
      <c r="CB644">
        <f>AVERAGEIFS(Modelling[[Comisined DC ]],Modelling[Date],"&lt;="&amp;Modelling[[#This Row],[Date]],Modelling[Finacial Year],Modelling[[#This Row],[Finacial Year]])</f>
        <v>24.303100000000068</v>
      </c>
      <c r="CG644">
        <f t="shared" si="240"/>
        <v>17</v>
      </c>
      <c r="CH644">
        <f t="shared" si="262"/>
        <v>261</v>
      </c>
    </row>
    <row r="645" spans="1:86" x14ac:dyDescent="0.35">
      <c r="A645" s="27">
        <f t="shared" si="241"/>
        <v>45644</v>
      </c>
      <c r="B645" s="5">
        <f>MONTH(Modelling_old[[#This Row],[Date]])</f>
        <v>12</v>
      </c>
      <c r="C645" s="25">
        <f t="shared" si="242"/>
        <v>2025</v>
      </c>
      <c r="D645" s="3">
        <f t="shared" si="243"/>
        <v>2024</v>
      </c>
      <c r="E645" s="3" t="s">
        <v>627</v>
      </c>
      <c r="F645" s="3" t="s">
        <v>627</v>
      </c>
      <c r="G645" s="102">
        <f>DATE(Modelling_old[[#This Row],[Calendor Year]],Modelling_old[[#This Row],[Start Month]],1)</f>
        <v>45627</v>
      </c>
      <c r="H645" s="5">
        <f t="shared" si="244"/>
        <v>31</v>
      </c>
      <c r="I645" s="5">
        <f t="shared" si="245"/>
        <v>12</v>
      </c>
      <c r="J645" s="4">
        <f>_xlfn.XLOOKUP(Modelling_old[[#This Row],[Month]],$C$1:$C$14,$N$1:$N$14)/Modelling_old[[#This Row],[Total Days]]</f>
        <v>52.20322580645162</v>
      </c>
      <c r="K645" s="4">
        <f>SUM($J$628:J645)</f>
        <v>939.65806451612934</v>
      </c>
      <c r="L645" s="4">
        <f>SUM($J$384:J645)</f>
        <v>11690.358064516138</v>
      </c>
      <c r="M645" s="4">
        <f t="shared" si="246"/>
        <v>6.4806451612903224</v>
      </c>
      <c r="N645" s="4">
        <f>SUM($M$628:M645)</f>
        <v>116.65161290322585</v>
      </c>
      <c r="O645" s="4">
        <f>SUM($M$384:M645)</f>
        <v>1464.9516129032231</v>
      </c>
      <c r="P645" s="323">
        <f t="shared" si="247"/>
        <v>0.7002678729073224</v>
      </c>
      <c r="Q645" s="337">
        <f t="shared" si="248"/>
        <v>0.70026787290732229</v>
      </c>
      <c r="R645" s="337">
        <f t="shared" si="249"/>
        <v>0.6937286615991376</v>
      </c>
      <c r="S645" s="323">
        <f t="shared" si="250"/>
        <v>0.18909115009016275</v>
      </c>
      <c r="T645" s="9">
        <f>Modelling_old[[#This Row],[Target E_Grid MTD
MWh]]/Modelling_old[[#This Row],[DC Capcity]]/(24*CG645)</f>
        <v>0.18909115009016275</v>
      </c>
      <c r="U645" s="338">
        <f>Modelling_old[[#This Row],[Target E_Grid YTD
MWh]]/Modelling_old[[#This Row],[DC Capcity]]/(24*CH645)</f>
        <v>0.16162196592348138</v>
      </c>
      <c r="V645" s="134">
        <v>11.5031</v>
      </c>
      <c r="Y645" s="27">
        <f t="shared" si="238"/>
        <v>45644</v>
      </c>
      <c r="Z645" s="5">
        <f>MONTH(Modelling_new[[#This Row],[Date]])</f>
        <v>12</v>
      </c>
      <c r="AA645" s="25">
        <f>YEAR(Y645)+IF(MONTH(Modelling_new[[#This Row],[Date]])&gt;=4,1,0)</f>
        <v>2025</v>
      </c>
      <c r="AB645" s="3">
        <f t="shared" si="251"/>
        <v>2024</v>
      </c>
      <c r="AC645" s="3" t="s">
        <v>627</v>
      </c>
      <c r="AD645" s="3" t="s">
        <v>627</v>
      </c>
      <c r="AE645" s="102">
        <f>DATE(Modelling_old[[#This Row],[Calendor Year]],Modelling_old[[#This Row],[Start Month]],1)</f>
        <v>45627</v>
      </c>
      <c r="AF645" s="5">
        <f t="shared" si="252"/>
        <v>31</v>
      </c>
      <c r="AG645" s="5">
        <f t="shared" si="253"/>
        <v>12</v>
      </c>
      <c r="AH645" s="4">
        <f>_xlfn.XLOOKUP(Modelling_new[[#This Row],[Month]],$AA$1:$AA$14,$AL$1:$AL$14)/Modelling_new[[#This Row],[Total Days]]</f>
        <v>60.105797566052928</v>
      </c>
      <c r="AI645" s="4">
        <f>SUM($AH$628:AH645)</f>
        <v>1081.904356188953</v>
      </c>
      <c r="AJ645" s="4">
        <f>SUM($AH$384:AH645)</f>
        <v>14972.532636606547</v>
      </c>
      <c r="AK645" s="4">
        <f t="shared" si="254"/>
        <v>6.4806451612903224</v>
      </c>
      <c r="AL645" s="4">
        <f>SUM($AK$628:AK645)</f>
        <v>116.65161290322585</v>
      </c>
      <c r="AM645" s="4">
        <f>SUM($AK$384:AK645)</f>
        <v>1464.9516129032231</v>
      </c>
      <c r="AN645" s="323">
        <f t="shared" si="255"/>
        <v>0.80627505984076986</v>
      </c>
      <c r="AO645" s="323">
        <f t="shared" si="256"/>
        <v>0.80627505984076964</v>
      </c>
      <c r="AP645" s="323">
        <f t="shared" si="257"/>
        <v>0.88849930595965687</v>
      </c>
      <c r="AQ645" s="323">
        <f t="shared" si="258"/>
        <v>0.21771594021775628</v>
      </c>
      <c r="AR645" s="323">
        <f>Modelling_new[[#This Row],[Target E_Grid MTD
MWh]]/Modelling_new[[#This Row],[MTD DC Capcity]]/(24*CG645)</f>
        <v>0.19565689311866186</v>
      </c>
      <c r="AS645" s="323">
        <f>Modelling_new[[#This Row],[Target E_Grid YTD
MWh]]/Modelling_new[[#This Row],[YTD DC Capcity]]/(24*CH645)</f>
        <v>0.1860256221747586</v>
      </c>
      <c r="AT645" s="5">
        <v>12.8</v>
      </c>
      <c r="AU645" s="9">
        <f>Modelling_new[[#This Row],[Comisined DC ]]/$AO$1</f>
        <v>1</v>
      </c>
      <c r="AV64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45" s="5">
        <f>AVERAGEIFS(Modelling_new[[Comisined DC ]],Modelling_new[Date],"&lt;="&amp;Modelling_new[[#This Row],[Date]],Modelling_new[[Comisined DC ]],"&gt;"&amp;0,Modelling_new[Finacial Year],Modelling_new[[#This Row],[Finacial Year]])</f>
        <v>12.80000000000005</v>
      </c>
      <c r="BD645" s="27">
        <f t="shared" si="239"/>
        <v>45644</v>
      </c>
      <c r="BE645" s="5">
        <f>MONTH(Modelling[[#This Row],[Date]])</f>
        <v>12</v>
      </c>
      <c r="BF645" s="25">
        <f>YEAR(BD645)+IF(MONTH(Modelling[[#This Row],[Date]])&gt;=4,1,0)</f>
        <v>2025</v>
      </c>
      <c r="BG645" s="3">
        <f t="shared" si="259"/>
        <v>2024</v>
      </c>
      <c r="BH645" s="3" t="s">
        <v>627</v>
      </c>
      <c r="BI645" s="3" t="s">
        <v>627</v>
      </c>
      <c r="BJ645" s="102">
        <f>DATE(Modelling_old[[#This Row],[Calendor Year]],Modelling_old[[#This Row],[Start Month]],1)</f>
        <v>45627</v>
      </c>
      <c r="BK645" s="5">
        <f t="shared" si="260"/>
        <v>31</v>
      </c>
      <c r="BL645" s="5">
        <f t="shared" si="261"/>
        <v>12</v>
      </c>
      <c r="BM645" s="4">
        <f>Modelling_old[[#This Row],[Target E_Grid daily
MWh]]+Modelling_new[[#This Row],[Target E_Grid daily
MWh]]</f>
        <v>112.30902337250456</v>
      </c>
      <c r="BN645" s="4">
        <f>Modelling_old[[#This Row],[Target E_Grid MTD
MWh]]+Modelling_new[[#This Row],[Target E_Grid MTD
MWh]]</f>
        <v>2021.5624207050823</v>
      </c>
      <c r="BO645" s="4">
        <f>Modelling_old[[#This Row],[Target E_Grid YTD
MWh]]+Modelling_new[[#This Row],[Target E_Grid YTD
MWh]]</f>
        <v>26662.890701122684</v>
      </c>
      <c r="BP645" s="4">
        <f>AVERAGE(Modelling_old[[#This Row],[Target POA Daily (KWh/m2)]],Modelling_new[[#This Row],[Target POA Daily (KWh/m2)]])</f>
        <v>6.4806451612903224</v>
      </c>
      <c r="BQ645" s="4">
        <f>SUM($BP$628:BP645)</f>
        <v>116.65161290322585</v>
      </c>
      <c r="BR645" s="4">
        <f>SUM($BP$384:BP645)</f>
        <v>1464.9516129032231</v>
      </c>
      <c r="BS645" s="323">
        <f>BM645/Modelling[[#This Row],[Comisined DC ]]/BP645</f>
        <v>0.71307421726835596</v>
      </c>
      <c r="BT645" s="337">
        <f>BN645/BQ645/Modelling[[#This Row],[Comisined DC ]]</f>
        <v>0.71307421726835574</v>
      </c>
      <c r="BU645" s="337">
        <f>BO645/BR645/Modelling[[#This Row],[Comisined DC ]]</f>
        <v>0.74889732312443957</v>
      </c>
      <c r="BV645" s="323">
        <f>BM645/(24*Modelling[[#This Row],[Comisined DC ]])</f>
        <v>0.1925492073242106</v>
      </c>
      <c r="BW645" s="323">
        <f>Modelling[[#This Row],[Target E_Grid MTD
MWh]]/Modelling[[#This Row],[MTD DC Capcity]]/(24*CG645)</f>
        <v>0.19254920732421074</v>
      </c>
      <c r="BX645" s="338">
        <f>Modelling[[#This Row],[Target E_Grid YTD
MWh]]/Modelling[[#This Row],[YTD DC Capcity]]/(24*CH645)</f>
        <v>0.17447492706902848</v>
      </c>
      <c r="BY645" s="4">
        <f>Modelling_old[[#This Row],[DC Capcity]]+Modelling_new[[#This Row],[Comisined DC ]]</f>
        <v>24.303100000000001</v>
      </c>
      <c r="BZ645" s="4">
        <v>0</v>
      </c>
      <c r="CA645">
        <f>AVERAGEIFS(Modelling[[Comisined DC ]],Modelling[Date],"&lt;="&amp;Modelling[[#This Row],[Date]],Modelling[Month Year],Modelling[[#This Row],[Month Year]])</f>
        <v>24.30309999999999</v>
      </c>
      <c r="CB645">
        <f>AVERAGEIFS(Modelling[[Comisined DC ]],Modelling[Date],"&lt;="&amp;Modelling[[#This Row],[Date]],Modelling[Finacial Year],Modelling[[#This Row],[Finacial Year]])</f>
        <v>24.303100000000068</v>
      </c>
      <c r="CG645">
        <f t="shared" si="240"/>
        <v>18</v>
      </c>
      <c r="CH645">
        <f t="shared" si="262"/>
        <v>262</v>
      </c>
    </row>
    <row r="646" spans="1:86" x14ac:dyDescent="0.35">
      <c r="A646" s="27">
        <f t="shared" si="241"/>
        <v>45645</v>
      </c>
      <c r="B646" s="5">
        <f>MONTH(Modelling_old[[#This Row],[Date]])</f>
        <v>12</v>
      </c>
      <c r="C646" s="25">
        <f t="shared" si="242"/>
        <v>2025</v>
      </c>
      <c r="D646" s="3">
        <f t="shared" si="243"/>
        <v>2024</v>
      </c>
      <c r="E646" s="3" t="s">
        <v>627</v>
      </c>
      <c r="F646" s="3" t="s">
        <v>627</v>
      </c>
      <c r="G646" s="102">
        <f>DATE(Modelling_old[[#This Row],[Calendor Year]],Modelling_old[[#This Row],[Start Month]],1)</f>
        <v>45627</v>
      </c>
      <c r="H646" s="5">
        <f t="shared" si="244"/>
        <v>31</v>
      </c>
      <c r="I646" s="5">
        <f t="shared" si="245"/>
        <v>12</v>
      </c>
      <c r="J646" s="4">
        <f>_xlfn.XLOOKUP(Modelling_old[[#This Row],[Month]],$C$1:$C$14,$N$1:$N$14)/Modelling_old[[#This Row],[Total Days]]</f>
        <v>52.20322580645162</v>
      </c>
      <c r="K646" s="4">
        <f>SUM($J$628:J646)</f>
        <v>991.861290322581</v>
      </c>
      <c r="L646" s="4">
        <f>SUM($J$384:J646)</f>
        <v>11742.56129032259</v>
      </c>
      <c r="M646" s="4">
        <f t="shared" si="246"/>
        <v>6.4806451612903224</v>
      </c>
      <c r="N646" s="4">
        <f>SUM($M$628:M646)</f>
        <v>123.13225806451618</v>
      </c>
      <c r="O646" s="4">
        <f>SUM($M$384:M646)</f>
        <v>1471.4322580645135</v>
      </c>
      <c r="P646" s="323">
        <f t="shared" si="247"/>
        <v>0.7002678729073224</v>
      </c>
      <c r="Q646" s="337">
        <f t="shared" si="248"/>
        <v>0.70026787290732229</v>
      </c>
      <c r="R646" s="337">
        <f t="shared" si="249"/>
        <v>0.69375746231890623</v>
      </c>
      <c r="S646" s="323">
        <f t="shared" si="250"/>
        <v>0.18909115009016275</v>
      </c>
      <c r="T646" s="9">
        <f>Modelling_old[[#This Row],[Target E_Grid MTD
MWh]]/Modelling_old[[#This Row],[DC Capcity]]/(24*CG646)</f>
        <v>0.18909115009016275</v>
      </c>
      <c r="U646" s="338">
        <f>Modelling_old[[#This Row],[Target E_Grid YTD
MWh]]/Modelling_old[[#This Row],[DC Capcity]]/(24*CH646)</f>
        <v>0.16172641149065506</v>
      </c>
      <c r="V646" s="134">
        <v>11.5031</v>
      </c>
      <c r="Y646" s="27">
        <f t="shared" si="238"/>
        <v>45645</v>
      </c>
      <c r="Z646" s="5">
        <f>MONTH(Modelling_new[[#This Row],[Date]])</f>
        <v>12</v>
      </c>
      <c r="AA646" s="25">
        <f>YEAR(Y646)+IF(MONTH(Modelling_new[[#This Row],[Date]])&gt;=4,1,0)</f>
        <v>2025</v>
      </c>
      <c r="AB646" s="3">
        <f t="shared" si="251"/>
        <v>2024</v>
      </c>
      <c r="AC646" s="3" t="s">
        <v>627</v>
      </c>
      <c r="AD646" s="3" t="s">
        <v>627</v>
      </c>
      <c r="AE646" s="102">
        <f>DATE(Modelling_old[[#This Row],[Calendor Year]],Modelling_old[[#This Row],[Start Month]],1)</f>
        <v>45627</v>
      </c>
      <c r="AF646" s="5">
        <f t="shared" si="252"/>
        <v>31</v>
      </c>
      <c r="AG646" s="5">
        <f t="shared" si="253"/>
        <v>12</v>
      </c>
      <c r="AH646" s="4">
        <f>_xlfn.XLOOKUP(Modelling_new[[#This Row],[Month]],$AA$1:$AA$14,$AL$1:$AL$14)/Modelling_new[[#This Row],[Total Days]]</f>
        <v>60.105797566052928</v>
      </c>
      <c r="AI646" s="4">
        <f>SUM($AH$628:AH646)</f>
        <v>1142.0101537550058</v>
      </c>
      <c r="AJ646" s="4">
        <f>SUM($AH$384:AH646)</f>
        <v>15032.638434172601</v>
      </c>
      <c r="AK646" s="4">
        <f t="shared" si="254"/>
        <v>6.4806451612903224</v>
      </c>
      <c r="AL646" s="4">
        <f>SUM($AK$628:AK646)</f>
        <v>123.13225806451618</v>
      </c>
      <c r="AM646" s="4">
        <f>SUM($AK$384:AK646)</f>
        <v>1471.4322580645135</v>
      </c>
      <c r="AN646" s="323">
        <f t="shared" si="255"/>
        <v>0.80627505984076986</v>
      </c>
      <c r="AO646" s="323">
        <f t="shared" si="256"/>
        <v>0.80627505984076964</v>
      </c>
      <c r="AP646" s="323">
        <f t="shared" si="257"/>
        <v>0.88813716481463956</v>
      </c>
      <c r="AQ646" s="323">
        <f t="shared" si="258"/>
        <v>0.21771594021775628</v>
      </c>
      <c r="AR646" s="323">
        <f>Modelling_new[[#This Row],[Target E_Grid MTD
MWh]]/Modelling_new[[#This Row],[MTD DC Capcity]]/(24*CG646)</f>
        <v>0.19565689311866183</v>
      </c>
      <c r="AS646" s="323">
        <f>Modelling_new[[#This Row],[Target E_Grid YTD
MWh]]/Modelling_new[[#This Row],[YTD DC Capcity]]/(24*CH646)</f>
        <v>0.18606224297682664</v>
      </c>
      <c r="AT646" s="5">
        <v>12.8</v>
      </c>
      <c r="AU646" s="9">
        <f>Modelling_new[[#This Row],[Comisined DC ]]/$AO$1</f>
        <v>1</v>
      </c>
      <c r="AV64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46" s="5">
        <f>AVERAGEIFS(Modelling_new[[Comisined DC ]],Modelling_new[Date],"&lt;="&amp;Modelling_new[[#This Row],[Date]],Modelling_new[[Comisined DC ]],"&gt;"&amp;0,Modelling_new[Finacial Year],Modelling_new[[#This Row],[Finacial Year]])</f>
        <v>12.80000000000005</v>
      </c>
      <c r="BD646" s="27">
        <f t="shared" si="239"/>
        <v>45645</v>
      </c>
      <c r="BE646" s="5">
        <f>MONTH(Modelling[[#This Row],[Date]])</f>
        <v>12</v>
      </c>
      <c r="BF646" s="25">
        <f>YEAR(BD646)+IF(MONTH(Modelling[[#This Row],[Date]])&gt;=4,1,0)</f>
        <v>2025</v>
      </c>
      <c r="BG646" s="3">
        <f t="shared" si="259"/>
        <v>2024</v>
      </c>
      <c r="BH646" s="3" t="s">
        <v>627</v>
      </c>
      <c r="BI646" s="3" t="s">
        <v>627</v>
      </c>
      <c r="BJ646" s="102">
        <f>DATE(Modelling_old[[#This Row],[Calendor Year]],Modelling_old[[#This Row],[Start Month]],1)</f>
        <v>45627</v>
      </c>
      <c r="BK646" s="5">
        <f t="shared" si="260"/>
        <v>31</v>
      </c>
      <c r="BL646" s="5">
        <f t="shared" si="261"/>
        <v>12</v>
      </c>
      <c r="BM646" s="4">
        <f>Modelling_old[[#This Row],[Target E_Grid daily
MWh]]+Modelling_new[[#This Row],[Target E_Grid daily
MWh]]</f>
        <v>112.30902337250456</v>
      </c>
      <c r="BN646" s="4">
        <f>Modelling_old[[#This Row],[Target E_Grid MTD
MWh]]+Modelling_new[[#This Row],[Target E_Grid MTD
MWh]]</f>
        <v>2133.8714440775866</v>
      </c>
      <c r="BO646" s="4">
        <f>Modelling_old[[#This Row],[Target E_Grid YTD
MWh]]+Modelling_new[[#This Row],[Target E_Grid YTD
MWh]]</f>
        <v>26775.199724495193</v>
      </c>
      <c r="BP646" s="4">
        <f>AVERAGE(Modelling_old[[#This Row],[Target POA Daily (KWh/m2)]],Modelling_new[[#This Row],[Target POA Daily (KWh/m2)]])</f>
        <v>6.4806451612903224</v>
      </c>
      <c r="BQ646" s="4">
        <f>SUM($BP$628:BP646)</f>
        <v>123.13225806451618</v>
      </c>
      <c r="BR646" s="4">
        <f>SUM($BP$384:BP646)</f>
        <v>1471.4322580645135</v>
      </c>
      <c r="BS646" s="323">
        <f>BM646/Modelling[[#This Row],[Comisined DC ]]/BP646</f>
        <v>0.71307421726835596</v>
      </c>
      <c r="BT646" s="337">
        <f>BN646/BQ646/Modelling[[#This Row],[Comisined DC ]]</f>
        <v>0.71307421726835563</v>
      </c>
      <c r="BU646" s="337">
        <f>BO646/BR646/Modelling[[#This Row],[Comisined DC ]]</f>
        <v>0.74873954702815237</v>
      </c>
      <c r="BV646" s="323">
        <f>BM646/(24*Modelling[[#This Row],[Comisined DC ]])</f>
        <v>0.1925492073242106</v>
      </c>
      <c r="BW646" s="323">
        <f>Modelling[[#This Row],[Target E_Grid MTD
MWh]]/Modelling[[#This Row],[MTD DC Capcity]]/(24*CG646)</f>
        <v>0.19254920732421071</v>
      </c>
      <c r="BX646" s="338">
        <f>Modelling[[#This Row],[Target E_Grid YTD
MWh]]/Modelling[[#This Row],[YTD DC Capcity]]/(24*CH646)</f>
        <v>0.17454365056809759</v>
      </c>
      <c r="BY646" s="4">
        <f>Modelling_old[[#This Row],[DC Capcity]]+Modelling_new[[#This Row],[Comisined DC ]]</f>
        <v>24.303100000000001</v>
      </c>
      <c r="BZ646" s="4">
        <v>0</v>
      </c>
      <c r="CA646">
        <f>AVERAGEIFS(Modelling[[Comisined DC ]],Modelling[Date],"&lt;="&amp;Modelling[[#This Row],[Date]],Modelling[Month Year],Modelling[[#This Row],[Month Year]])</f>
        <v>24.30309999999999</v>
      </c>
      <c r="CB646">
        <f>AVERAGEIFS(Modelling[[Comisined DC ]],Modelling[Date],"&lt;="&amp;Modelling[[#This Row],[Date]],Modelling[Finacial Year],Modelling[[#This Row],[Finacial Year]])</f>
        <v>24.303100000000068</v>
      </c>
      <c r="CG646">
        <f t="shared" si="240"/>
        <v>19</v>
      </c>
      <c r="CH646">
        <f t="shared" si="262"/>
        <v>263</v>
      </c>
    </row>
    <row r="647" spans="1:86" x14ac:dyDescent="0.35">
      <c r="A647" s="27">
        <f t="shared" si="241"/>
        <v>45646</v>
      </c>
      <c r="B647" s="5">
        <f>MONTH(Modelling_old[[#This Row],[Date]])</f>
        <v>12</v>
      </c>
      <c r="C647" s="25">
        <f t="shared" si="242"/>
        <v>2025</v>
      </c>
      <c r="D647" s="3">
        <f t="shared" si="243"/>
        <v>2024</v>
      </c>
      <c r="E647" s="3" t="s">
        <v>627</v>
      </c>
      <c r="F647" s="3" t="s">
        <v>627</v>
      </c>
      <c r="G647" s="102">
        <f>DATE(Modelling_old[[#This Row],[Calendor Year]],Modelling_old[[#This Row],[Start Month]],1)</f>
        <v>45627</v>
      </c>
      <c r="H647" s="5">
        <f t="shared" si="244"/>
        <v>31</v>
      </c>
      <c r="I647" s="5">
        <f t="shared" si="245"/>
        <v>12</v>
      </c>
      <c r="J647" s="4">
        <f>_xlfn.XLOOKUP(Modelling_old[[#This Row],[Month]],$C$1:$C$14,$N$1:$N$14)/Modelling_old[[#This Row],[Total Days]]</f>
        <v>52.20322580645162</v>
      </c>
      <c r="K647" s="4">
        <f>SUM($J$628:J647)</f>
        <v>1044.0645161290327</v>
      </c>
      <c r="L647" s="4">
        <f>SUM($J$384:J647)</f>
        <v>11794.764516129042</v>
      </c>
      <c r="M647" s="4">
        <f t="shared" si="246"/>
        <v>6.4806451612903224</v>
      </c>
      <c r="N647" s="4">
        <f>SUM($M$628:M647)</f>
        <v>129.61290322580649</v>
      </c>
      <c r="O647" s="4">
        <f>SUM($M$384:M647)</f>
        <v>1477.9129032258038</v>
      </c>
      <c r="P647" s="323">
        <f t="shared" si="247"/>
        <v>0.7002678729073224</v>
      </c>
      <c r="Q647" s="337">
        <f t="shared" si="248"/>
        <v>0.70026787290732229</v>
      </c>
      <c r="R647" s="337">
        <f t="shared" si="249"/>
        <v>0.69378601045647625</v>
      </c>
      <c r="S647" s="323">
        <f t="shared" si="250"/>
        <v>0.18909115009016275</v>
      </c>
      <c r="T647" s="9">
        <f>Modelling_old[[#This Row],[Target E_Grid MTD
MWh]]/Modelling_old[[#This Row],[DC Capcity]]/(24*CG647)</f>
        <v>0.18909115009016278</v>
      </c>
      <c r="U647" s="338">
        <f>Modelling_old[[#This Row],[Target E_Grid YTD
MWh]]/Modelling_old[[#This Row],[DC Capcity]]/(24*CH647)</f>
        <v>0.16183006580353201</v>
      </c>
      <c r="V647" s="134">
        <v>11.5031</v>
      </c>
      <c r="Y647" s="27">
        <f t="shared" si="238"/>
        <v>45646</v>
      </c>
      <c r="Z647" s="5">
        <f>MONTH(Modelling_new[[#This Row],[Date]])</f>
        <v>12</v>
      </c>
      <c r="AA647" s="25">
        <f>YEAR(Y647)+IF(MONTH(Modelling_new[[#This Row],[Date]])&gt;=4,1,0)</f>
        <v>2025</v>
      </c>
      <c r="AB647" s="3">
        <f t="shared" si="251"/>
        <v>2024</v>
      </c>
      <c r="AC647" s="3" t="s">
        <v>627</v>
      </c>
      <c r="AD647" s="3" t="s">
        <v>627</v>
      </c>
      <c r="AE647" s="102">
        <f>DATE(Modelling_old[[#This Row],[Calendor Year]],Modelling_old[[#This Row],[Start Month]],1)</f>
        <v>45627</v>
      </c>
      <c r="AF647" s="5">
        <f t="shared" si="252"/>
        <v>31</v>
      </c>
      <c r="AG647" s="5">
        <f t="shared" si="253"/>
        <v>12</v>
      </c>
      <c r="AH647" s="4">
        <f>_xlfn.XLOOKUP(Modelling_new[[#This Row],[Month]],$AA$1:$AA$14,$AL$1:$AL$14)/Modelling_new[[#This Row],[Total Days]]</f>
        <v>60.105797566052928</v>
      </c>
      <c r="AI647" s="4">
        <f>SUM($AH$628:AH647)</f>
        <v>1202.1159513210587</v>
      </c>
      <c r="AJ647" s="4">
        <f>SUM($AH$384:AH647)</f>
        <v>15092.744231738654</v>
      </c>
      <c r="AK647" s="4">
        <f t="shared" si="254"/>
        <v>6.4806451612903224</v>
      </c>
      <c r="AL647" s="4">
        <f>SUM($AK$628:AK647)</f>
        <v>129.61290322580649</v>
      </c>
      <c r="AM647" s="4">
        <f>SUM($AK$384:AK647)</f>
        <v>1477.9129032258038</v>
      </c>
      <c r="AN647" s="323">
        <f t="shared" si="255"/>
        <v>0.80627505984076986</v>
      </c>
      <c r="AO647" s="323">
        <f t="shared" si="256"/>
        <v>0.80627505984076964</v>
      </c>
      <c r="AP647" s="323">
        <f t="shared" si="257"/>
        <v>0.88777819964603311</v>
      </c>
      <c r="AQ647" s="323">
        <f t="shared" si="258"/>
        <v>0.21771594021775628</v>
      </c>
      <c r="AR647" s="323">
        <f>Modelling_new[[#This Row],[Target E_Grid MTD
MWh]]/Modelling_new[[#This Row],[MTD DC Capcity]]/(24*CG647)</f>
        <v>0.19565689311866186</v>
      </c>
      <c r="AS647" s="323">
        <f>Modelling_new[[#This Row],[Target E_Grid YTD
MWh]]/Modelling_new[[#This Row],[YTD DC Capcity]]/(24*CH647)</f>
        <v>0.18609858634857604</v>
      </c>
      <c r="AT647" s="5">
        <v>12.8</v>
      </c>
      <c r="AU647" s="9">
        <f>Modelling_new[[#This Row],[Comisined DC ]]/$AO$1</f>
        <v>1</v>
      </c>
      <c r="AV647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47" s="5">
        <f>AVERAGEIFS(Modelling_new[[Comisined DC ]],Modelling_new[Date],"&lt;="&amp;Modelling_new[[#This Row],[Date]],Modelling_new[[Comisined DC ]],"&gt;"&amp;0,Modelling_new[Finacial Year],Modelling_new[[#This Row],[Finacial Year]])</f>
        <v>12.80000000000005</v>
      </c>
      <c r="BD647" s="27">
        <f t="shared" si="239"/>
        <v>45646</v>
      </c>
      <c r="BE647" s="5">
        <f>MONTH(Modelling[[#This Row],[Date]])</f>
        <v>12</v>
      </c>
      <c r="BF647" s="25">
        <f>YEAR(BD647)+IF(MONTH(Modelling[[#This Row],[Date]])&gt;=4,1,0)</f>
        <v>2025</v>
      </c>
      <c r="BG647" s="3">
        <f t="shared" si="259"/>
        <v>2024</v>
      </c>
      <c r="BH647" s="3" t="s">
        <v>627</v>
      </c>
      <c r="BI647" s="3" t="s">
        <v>627</v>
      </c>
      <c r="BJ647" s="102">
        <f>DATE(Modelling_old[[#This Row],[Calendor Year]],Modelling_old[[#This Row],[Start Month]],1)</f>
        <v>45627</v>
      </c>
      <c r="BK647" s="5">
        <f t="shared" si="260"/>
        <v>31</v>
      </c>
      <c r="BL647" s="5">
        <f t="shared" si="261"/>
        <v>12</v>
      </c>
      <c r="BM647" s="4">
        <f>Modelling_old[[#This Row],[Target E_Grid daily
MWh]]+Modelling_new[[#This Row],[Target E_Grid daily
MWh]]</f>
        <v>112.30902337250456</v>
      </c>
      <c r="BN647" s="4">
        <f>Modelling_old[[#This Row],[Target E_Grid MTD
MWh]]+Modelling_new[[#This Row],[Target E_Grid MTD
MWh]]</f>
        <v>2246.1804674500913</v>
      </c>
      <c r="BO647" s="4">
        <f>Modelling_old[[#This Row],[Target E_Grid YTD
MWh]]+Modelling_new[[#This Row],[Target E_Grid YTD
MWh]]</f>
        <v>26887.508747867694</v>
      </c>
      <c r="BP647" s="4">
        <f>AVERAGE(Modelling_old[[#This Row],[Target POA Daily (KWh/m2)]],Modelling_new[[#This Row],[Target POA Daily (KWh/m2)]])</f>
        <v>6.4806451612903224</v>
      </c>
      <c r="BQ647" s="4">
        <f>SUM($BP$628:BP647)</f>
        <v>129.61290322580649</v>
      </c>
      <c r="BR647" s="4">
        <f>SUM($BP$384:BP647)</f>
        <v>1477.9129032258038</v>
      </c>
      <c r="BS647" s="323">
        <f>BM647/Modelling[[#This Row],[Comisined DC ]]/BP647</f>
        <v>0.71307421726835596</v>
      </c>
      <c r="BT647" s="337">
        <f>BN647/BQ647/Modelling[[#This Row],[Comisined DC ]]</f>
        <v>0.71307421726835574</v>
      </c>
      <c r="BU647" s="337">
        <f>BO647/BR647/Modelling[[#This Row],[Comisined DC ]]</f>
        <v>0.74858315462760605</v>
      </c>
      <c r="BV647" s="323">
        <f>BM647/(24*Modelling[[#This Row],[Comisined DC ]])</f>
        <v>0.1925492073242106</v>
      </c>
      <c r="BW647" s="323">
        <f>Modelling[[#This Row],[Target E_Grid MTD
MWh]]/Modelling[[#This Row],[MTD DC Capcity]]/(24*CG647)</f>
        <v>0.19254920732421071</v>
      </c>
      <c r="BX647" s="338">
        <f>Modelling[[#This Row],[Target E_Grid YTD
MWh]]/Modelling[[#This Row],[YTD DC Capcity]]/(24*CH647)</f>
        <v>0.17461185343459804</v>
      </c>
      <c r="BY647" s="4">
        <f>Modelling_old[[#This Row],[DC Capcity]]+Modelling_new[[#This Row],[Comisined DC ]]</f>
        <v>24.303100000000001</v>
      </c>
      <c r="BZ647" s="4">
        <v>0</v>
      </c>
      <c r="CA647">
        <f>AVERAGEIFS(Modelling[[Comisined DC ]],Modelling[Date],"&lt;="&amp;Modelling[[#This Row],[Date]],Modelling[Month Year],Modelling[[#This Row],[Month Year]])</f>
        <v>24.30309999999999</v>
      </c>
      <c r="CB647">
        <f>AVERAGEIFS(Modelling[[Comisined DC ]],Modelling[Date],"&lt;="&amp;Modelling[[#This Row],[Date]],Modelling[Finacial Year],Modelling[[#This Row],[Finacial Year]])</f>
        <v>24.303100000000068</v>
      </c>
      <c r="CG647">
        <f t="shared" si="240"/>
        <v>20</v>
      </c>
      <c r="CH647">
        <f t="shared" si="262"/>
        <v>264</v>
      </c>
    </row>
    <row r="648" spans="1:86" x14ac:dyDescent="0.35">
      <c r="A648" s="27">
        <f t="shared" si="241"/>
        <v>45647</v>
      </c>
      <c r="B648" s="5">
        <f>MONTH(Modelling_old[[#This Row],[Date]])</f>
        <v>12</v>
      </c>
      <c r="C648" s="25">
        <f t="shared" si="242"/>
        <v>2025</v>
      </c>
      <c r="D648" s="3">
        <f t="shared" si="243"/>
        <v>2024</v>
      </c>
      <c r="E648" s="3" t="s">
        <v>627</v>
      </c>
      <c r="F648" s="3" t="s">
        <v>627</v>
      </c>
      <c r="G648" s="102">
        <f>DATE(Modelling_old[[#This Row],[Calendor Year]],Modelling_old[[#This Row],[Start Month]],1)</f>
        <v>45627</v>
      </c>
      <c r="H648" s="5">
        <f t="shared" si="244"/>
        <v>31</v>
      </c>
      <c r="I648" s="5">
        <f t="shared" si="245"/>
        <v>12</v>
      </c>
      <c r="J648" s="4">
        <f>_xlfn.XLOOKUP(Modelling_old[[#This Row],[Month]],$C$1:$C$14,$N$1:$N$14)/Modelling_old[[#This Row],[Total Days]]</f>
        <v>52.20322580645162</v>
      </c>
      <c r="K648" s="4">
        <f>SUM($J$628:J648)</f>
        <v>1096.2677419354843</v>
      </c>
      <c r="L648" s="4">
        <f>SUM($J$384:J648)</f>
        <v>11846.967741935494</v>
      </c>
      <c r="M648" s="4">
        <f t="shared" si="246"/>
        <v>6.4806451612903224</v>
      </c>
      <c r="N648" s="4">
        <f>SUM($M$628:M648)</f>
        <v>136.0935483870968</v>
      </c>
      <c r="O648" s="4">
        <f>SUM($M$384:M648)</f>
        <v>1484.3935483870941</v>
      </c>
      <c r="P648" s="323">
        <f t="shared" si="247"/>
        <v>0.7002678729073224</v>
      </c>
      <c r="Q648" s="337">
        <f t="shared" si="248"/>
        <v>0.7002678729073224</v>
      </c>
      <c r="R648" s="337">
        <f t="shared" si="249"/>
        <v>0.69381430932005861</v>
      </c>
      <c r="S648" s="323">
        <f t="shared" si="250"/>
        <v>0.18909115009016275</v>
      </c>
      <c r="T648" s="9">
        <f>Modelling_old[[#This Row],[Target E_Grid MTD
MWh]]/Modelling_old[[#This Row],[DC Capcity]]/(24*CG648)</f>
        <v>0.18909115009016275</v>
      </c>
      <c r="U648" s="338">
        <f>Modelling_old[[#This Row],[Target E_Grid YTD
MWh]]/Modelling_old[[#This Row],[DC Capcity]]/(24*CH648)</f>
        <v>0.16193293781970797</v>
      </c>
      <c r="V648" s="134">
        <v>11.5031</v>
      </c>
      <c r="Y648" s="27">
        <f t="shared" si="238"/>
        <v>45647</v>
      </c>
      <c r="Z648" s="5">
        <f>MONTH(Modelling_new[[#This Row],[Date]])</f>
        <v>12</v>
      </c>
      <c r="AA648" s="25">
        <f>YEAR(Y648)+IF(MONTH(Modelling_new[[#This Row],[Date]])&gt;=4,1,0)</f>
        <v>2025</v>
      </c>
      <c r="AB648" s="3">
        <f t="shared" si="251"/>
        <v>2024</v>
      </c>
      <c r="AC648" s="3" t="s">
        <v>627</v>
      </c>
      <c r="AD648" s="3" t="s">
        <v>627</v>
      </c>
      <c r="AE648" s="102">
        <f>DATE(Modelling_old[[#This Row],[Calendor Year]],Modelling_old[[#This Row],[Start Month]],1)</f>
        <v>45627</v>
      </c>
      <c r="AF648" s="5">
        <f t="shared" si="252"/>
        <v>31</v>
      </c>
      <c r="AG648" s="5">
        <f t="shared" si="253"/>
        <v>12</v>
      </c>
      <c r="AH648" s="4">
        <f>_xlfn.XLOOKUP(Modelling_new[[#This Row],[Month]],$AA$1:$AA$14,$AL$1:$AL$14)/Modelling_new[[#This Row],[Total Days]]</f>
        <v>60.105797566052928</v>
      </c>
      <c r="AI648" s="4">
        <f>SUM($AH$628:AH648)</f>
        <v>1262.2217488871115</v>
      </c>
      <c r="AJ648" s="4">
        <f>SUM($AH$384:AH648)</f>
        <v>15152.850029304707</v>
      </c>
      <c r="AK648" s="4">
        <f t="shared" si="254"/>
        <v>6.4806451612903224</v>
      </c>
      <c r="AL648" s="4">
        <f>SUM($AK$628:AK648)</f>
        <v>136.0935483870968</v>
      </c>
      <c r="AM648" s="4">
        <f>SUM($AK$384:AK648)</f>
        <v>1484.3935483870941</v>
      </c>
      <c r="AN648" s="323">
        <f t="shared" si="255"/>
        <v>0.80627505984076986</v>
      </c>
      <c r="AO648" s="323">
        <f t="shared" si="256"/>
        <v>0.80627505984076964</v>
      </c>
      <c r="AP648" s="323">
        <f t="shared" si="257"/>
        <v>0.88742236885629222</v>
      </c>
      <c r="AQ648" s="323">
        <f t="shared" si="258"/>
        <v>0.21771594021775628</v>
      </c>
      <c r="AR648" s="323">
        <f>Modelling_new[[#This Row],[Target E_Grid MTD
MWh]]/Modelling_new[[#This Row],[MTD DC Capcity]]/(24*CG648)</f>
        <v>0.19565689311866183</v>
      </c>
      <c r="AS648" s="323">
        <f>Modelling_new[[#This Row],[Target E_Grid YTD
MWh]]/Modelling_new[[#This Row],[YTD DC Capcity]]/(24*CH648)</f>
        <v>0.1861346554307273</v>
      </c>
      <c r="AT648" s="5">
        <v>12.8</v>
      </c>
      <c r="AU648" s="9">
        <f>Modelling_new[[#This Row],[Comisined DC ]]/$AO$1</f>
        <v>1</v>
      </c>
      <c r="AV648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48" s="5">
        <f>AVERAGEIFS(Modelling_new[[Comisined DC ]],Modelling_new[Date],"&lt;="&amp;Modelling_new[[#This Row],[Date]],Modelling_new[[Comisined DC ]],"&gt;"&amp;0,Modelling_new[Finacial Year],Modelling_new[[#This Row],[Finacial Year]])</f>
        <v>12.800000000000052</v>
      </c>
      <c r="BD648" s="27">
        <f t="shared" si="239"/>
        <v>45647</v>
      </c>
      <c r="BE648" s="5">
        <f>MONTH(Modelling[[#This Row],[Date]])</f>
        <v>12</v>
      </c>
      <c r="BF648" s="25">
        <f>YEAR(BD648)+IF(MONTH(Modelling[[#This Row],[Date]])&gt;=4,1,0)</f>
        <v>2025</v>
      </c>
      <c r="BG648" s="3">
        <f t="shared" si="259"/>
        <v>2024</v>
      </c>
      <c r="BH648" s="3" t="s">
        <v>627</v>
      </c>
      <c r="BI648" s="3" t="s">
        <v>627</v>
      </c>
      <c r="BJ648" s="102">
        <f>DATE(Modelling_old[[#This Row],[Calendor Year]],Modelling_old[[#This Row],[Start Month]],1)</f>
        <v>45627</v>
      </c>
      <c r="BK648" s="5">
        <f t="shared" si="260"/>
        <v>31</v>
      </c>
      <c r="BL648" s="5">
        <f t="shared" si="261"/>
        <v>12</v>
      </c>
      <c r="BM648" s="4">
        <f>Modelling_old[[#This Row],[Target E_Grid daily
MWh]]+Modelling_new[[#This Row],[Target E_Grid daily
MWh]]</f>
        <v>112.30902337250456</v>
      </c>
      <c r="BN648" s="4">
        <f>Modelling_old[[#This Row],[Target E_Grid MTD
MWh]]+Modelling_new[[#This Row],[Target E_Grid MTD
MWh]]</f>
        <v>2358.4894908225961</v>
      </c>
      <c r="BO648" s="4">
        <f>Modelling_old[[#This Row],[Target E_Grid YTD
MWh]]+Modelling_new[[#This Row],[Target E_Grid YTD
MWh]]</f>
        <v>26999.817771240203</v>
      </c>
      <c r="BP648" s="4">
        <f>AVERAGE(Modelling_old[[#This Row],[Target POA Daily (KWh/m2)]],Modelling_new[[#This Row],[Target POA Daily (KWh/m2)]])</f>
        <v>6.4806451612903224</v>
      </c>
      <c r="BQ648" s="4">
        <f>SUM($BP$628:BP648)</f>
        <v>136.0935483870968</v>
      </c>
      <c r="BR648" s="4">
        <f>SUM($BP$384:BP648)</f>
        <v>1484.3935483870941</v>
      </c>
      <c r="BS648" s="323">
        <f>BM648/Modelling[[#This Row],[Comisined DC ]]/BP648</f>
        <v>0.71307421726835596</v>
      </c>
      <c r="BT648" s="337">
        <f>BN648/BQ648/Modelling[[#This Row],[Comisined DC ]]</f>
        <v>0.71307421726835585</v>
      </c>
      <c r="BU648" s="337">
        <f>BO648/BR648/Modelling[[#This Row],[Comisined DC ]]</f>
        <v>0.74842812779976142</v>
      </c>
      <c r="BV648" s="323">
        <f>BM648/(24*Modelling[[#This Row],[Comisined DC ]])</f>
        <v>0.1925492073242106</v>
      </c>
      <c r="BW648" s="323">
        <f>Modelling[[#This Row],[Target E_Grid MTD
MWh]]/Modelling[[#This Row],[MTD DC Capcity]]/(24*CG648)</f>
        <v>0.19254920732421074</v>
      </c>
      <c r="BX648" s="338">
        <f>Modelling[[#This Row],[Target E_Grid YTD
MWh]]/Modelling[[#This Row],[YTD DC Capcity]]/(24*CH648)</f>
        <v>0.17467954156248339</v>
      </c>
      <c r="BY648" s="4">
        <f>Modelling_old[[#This Row],[DC Capcity]]+Modelling_new[[#This Row],[Comisined DC ]]</f>
        <v>24.303100000000001</v>
      </c>
      <c r="BZ648" s="4">
        <v>0</v>
      </c>
      <c r="CA648">
        <f>AVERAGEIFS(Modelling[[Comisined DC ]],Modelling[Date],"&lt;="&amp;Modelling[[#This Row],[Date]],Modelling[Month Year],Modelling[[#This Row],[Month Year]])</f>
        <v>24.30309999999999</v>
      </c>
      <c r="CB648">
        <f>AVERAGEIFS(Modelling[[Comisined DC ]],Modelling[Date],"&lt;="&amp;Modelling[[#This Row],[Date]],Modelling[Finacial Year],Modelling[[#This Row],[Finacial Year]])</f>
        <v>24.303100000000068</v>
      </c>
      <c r="CG648">
        <f t="shared" si="240"/>
        <v>21</v>
      </c>
      <c r="CH648">
        <f t="shared" si="262"/>
        <v>265</v>
      </c>
    </row>
    <row r="649" spans="1:86" x14ac:dyDescent="0.35">
      <c r="A649" s="27">
        <f t="shared" si="241"/>
        <v>45648</v>
      </c>
      <c r="B649" s="5">
        <f>MONTH(Modelling_old[[#This Row],[Date]])</f>
        <v>12</v>
      </c>
      <c r="C649" s="25">
        <f t="shared" si="242"/>
        <v>2025</v>
      </c>
      <c r="D649" s="3">
        <f t="shared" si="243"/>
        <v>2024</v>
      </c>
      <c r="E649" s="3" t="s">
        <v>627</v>
      </c>
      <c r="F649" s="3" t="s">
        <v>627</v>
      </c>
      <c r="G649" s="102">
        <f>DATE(Modelling_old[[#This Row],[Calendor Year]],Modelling_old[[#This Row],[Start Month]],1)</f>
        <v>45627</v>
      </c>
      <c r="H649" s="5">
        <f t="shared" si="244"/>
        <v>31</v>
      </c>
      <c r="I649" s="5">
        <f t="shared" si="245"/>
        <v>12</v>
      </c>
      <c r="J649" s="4">
        <f>_xlfn.XLOOKUP(Modelling_old[[#This Row],[Month]],$C$1:$C$14,$N$1:$N$14)/Modelling_old[[#This Row],[Total Days]]</f>
        <v>52.20322580645162</v>
      </c>
      <c r="K649" s="4">
        <f>SUM($J$628:J649)</f>
        <v>1148.470967741936</v>
      </c>
      <c r="L649" s="4">
        <f>SUM($J$384:J649)</f>
        <v>11899.170967741946</v>
      </c>
      <c r="M649" s="4">
        <f t="shared" si="246"/>
        <v>6.4806451612903224</v>
      </c>
      <c r="N649" s="4">
        <f>SUM($M$628:M649)</f>
        <v>142.57419354838711</v>
      </c>
      <c r="O649" s="4">
        <f>SUM($M$384:M649)</f>
        <v>1490.8741935483845</v>
      </c>
      <c r="P649" s="323">
        <f t="shared" si="247"/>
        <v>0.7002678729073224</v>
      </c>
      <c r="Q649" s="337">
        <f t="shared" si="248"/>
        <v>0.7002678729073224</v>
      </c>
      <c r="R649" s="337">
        <f t="shared" si="249"/>
        <v>0.69384236216034245</v>
      </c>
      <c r="S649" s="323">
        <f t="shared" si="250"/>
        <v>0.18909115009016275</v>
      </c>
      <c r="T649" s="9">
        <f>Modelling_old[[#This Row],[Target E_Grid MTD
MWh]]/Modelling_old[[#This Row],[DC Capcity]]/(24*CG649)</f>
        <v>0.18909115009016278</v>
      </c>
      <c r="U649" s="338">
        <f>Modelling_old[[#This Row],[Target E_Grid YTD
MWh]]/Modelling_old[[#This Row],[DC Capcity]]/(24*CH649)</f>
        <v>0.16203503636207811</v>
      </c>
      <c r="V649" s="134">
        <v>11.5031</v>
      </c>
      <c r="Y649" s="27">
        <f t="shared" si="238"/>
        <v>45648</v>
      </c>
      <c r="Z649" s="5">
        <f>MONTH(Modelling_new[[#This Row],[Date]])</f>
        <v>12</v>
      </c>
      <c r="AA649" s="25">
        <f>YEAR(Y649)+IF(MONTH(Modelling_new[[#This Row],[Date]])&gt;=4,1,0)</f>
        <v>2025</v>
      </c>
      <c r="AB649" s="3">
        <f t="shared" si="251"/>
        <v>2024</v>
      </c>
      <c r="AC649" s="3" t="s">
        <v>627</v>
      </c>
      <c r="AD649" s="3" t="s">
        <v>627</v>
      </c>
      <c r="AE649" s="102">
        <f>DATE(Modelling_old[[#This Row],[Calendor Year]],Modelling_old[[#This Row],[Start Month]],1)</f>
        <v>45627</v>
      </c>
      <c r="AF649" s="5">
        <f t="shared" si="252"/>
        <v>31</v>
      </c>
      <c r="AG649" s="5">
        <f t="shared" si="253"/>
        <v>12</v>
      </c>
      <c r="AH649" s="4">
        <f>_xlfn.XLOOKUP(Modelling_new[[#This Row],[Month]],$AA$1:$AA$14,$AL$1:$AL$14)/Modelling_new[[#This Row],[Total Days]]</f>
        <v>60.105797566052928</v>
      </c>
      <c r="AI649" s="4">
        <f>SUM($AH$628:AH649)</f>
        <v>1322.3275464531644</v>
      </c>
      <c r="AJ649" s="4">
        <f>SUM($AH$384:AH649)</f>
        <v>15212.955826870761</v>
      </c>
      <c r="AK649" s="4">
        <f t="shared" si="254"/>
        <v>6.4806451612903224</v>
      </c>
      <c r="AL649" s="4">
        <f>SUM($AK$628:AK649)</f>
        <v>142.57419354838711</v>
      </c>
      <c r="AM649" s="4">
        <f>SUM($AK$384:AK649)</f>
        <v>1490.8741935483845</v>
      </c>
      <c r="AN649" s="323">
        <f t="shared" si="255"/>
        <v>0.80627505984076986</v>
      </c>
      <c r="AO649" s="323">
        <f t="shared" si="256"/>
        <v>0.80627505984076964</v>
      </c>
      <c r="AP649" s="323">
        <f t="shared" si="257"/>
        <v>0.88706963157114838</v>
      </c>
      <c r="AQ649" s="323">
        <f t="shared" si="258"/>
        <v>0.21771594021775628</v>
      </c>
      <c r="AR649" s="323">
        <f>Modelling_new[[#This Row],[Target E_Grid MTD
MWh]]/Modelling_new[[#This Row],[MTD DC Capcity]]/(24*CG649)</f>
        <v>0.1956568931186618</v>
      </c>
      <c r="AS649" s="323">
        <f>Modelling_new[[#This Row],[Target E_Grid YTD
MWh]]/Modelling_new[[#This Row],[YTD DC Capcity]]/(24*CH649)</f>
        <v>0.18617045331677212</v>
      </c>
      <c r="AT649" s="5">
        <v>12.8</v>
      </c>
      <c r="AU649" s="9">
        <f>Modelling_new[[#This Row],[Comisined DC ]]/$AO$1</f>
        <v>1</v>
      </c>
      <c r="AV64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49" s="5">
        <f>AVERAGEIFS(Modelling_new[[Comisined DC ]],Modelling_new[Date],"&lt;="&amp;Modelling_new[[#This Row],[Date]],Modelling_new[[Comisined DC ]],"&gt;"&amp;0,Modelling_new[Finacial Year],Modelling_new[[#This Row],[Finacial Year]])</f>
        <v>12.800000000000052</v>
      </c>
      <c r="BD649" s="27">
        <f t="shared" si="239"/>
        <v>45648</v>
      </c>
      <c r="BE649" s="5">
        <f>MONTH(Modelling[[#This Row],[Date]])</f>
        <v>12</v>
      </c>
      <c r="BF649" s="25">
        <f>YEAR(BD649)+IF(MONTH(Modelling[[#This Row],[Date]])&gt;=4,1,0)</f>
        <v>2025</v>
      </c>
      <c r="BG649" s="3">
        <f t="shared" si="259"/>
        <v>2024</v>
      </c>
      <c r="BH649" s="3" t="s">
        <v>627</v>
      </c>
      <c r="BI649" s="3" t="s">
        <v>627</v>
      </c>
      <c r="BJ649" s="102">
        <f>DATE(Modelling_old[[#This Row],[Calendor Year]],Modelling_old[[#This Row],[Start Month]],1)</f>
        <v>45627</v>
      </c>
      <c r="BK649" s="5">
        <f t="shared" si="260"/>
        <v>31</v>
      </c>
      <c r="BL649" s="5">
        <f t="shared" si="261"/>
        <v>12</v>
      </c>
      <c r="BM649" s="4">
        <f>Modelling_old[[#This Row],[Target E_Grid daily
MWh]]+Modelling_new[[#This Row],[Target E_Grid daily
MWh]]</f>
        <v>112.30902337250456</v>
      </c>
      <c r="BN649" s="4">
        <f>Modelling_old[[#This Row],[Target E_Grid MTD
MWh]]+Modelling_new[[#This Row],[Target E_Grid MTD
MWh]]</f>
        <v>2470.7985141951003</v>
      </c>
      <c r="BO649" s="4">
        <f>Modelling_old[[#This Row],[Target E_Grid YTD
MWh]]+Modelling_new[[#This Row],[Target E_Grid YTD
MWh]]</f>
        <v>27112.126794612705</v>
      </c>
      <c r="BP649" s="4">
        <f>AVERAGE(Modelling_old[[#This Row],[Target POA Daily (KWh/m2)]],Modelling_new[[#This Row],[Target POA Daily (KWh/m2)]])</f>
        <v>6.4806451612903224</v>
      </c>
      <c r="BQ649" s="4">
        <f>SUM($BP$628:BP649)</f>
        <v>142.57419354838711</v>
      </c>
      <c r="BR649" s="4">
        <f>SUM($BP$384:BP649)</f>
        <v>1490.8741935483845</v>
      </c>
      <c r="BS649" s="323">
        <f>BM649/Modelling[[#This Row],[Comisined DC ]]/BP649</f>
        <v>0.71307421726835596</v>
      </c>
      <c r="BT649" s="337">
        <f>BN649/BQ649/Modelling[[#This Row],[Comisined DC ]]</f>
        <v>0.71307421726835585</v>
      </c>
      <c r="BU649" s="337">
        <f>BO649/BR649/Modelling[[#This Row],[Comisined DC ]]</f>
        <v>0.74827444873669247</v>
      </c>
      <c r="BV649" s="323">
        <f>BM649/(24*Modelling[[#This Row],[Comisined DC ]])</f>
        <v>0.1925492073242106</v>
      </c>
      <c r="BW649" s="323">
        <f>Modelling[[#This Row],[Target E_Grid MTD
MWh]]/Modelling[[#This Row],[MTD DC Capcity]]/(24*CG649)</f>
        <v>0.19254920732421074</v>
      </c>
      <c r="BX649" s="338">
        <f>Modelling[[#This Row],[Target E_Grid YTD
MWh]]/Modelling[[#This Row],[YTD DC Capcity]]/(24*CH649)</f>
        <v>0.17474672075707631</v>
      </c>
      <c r="BY649" s="4">
        <f>Modelling_old[[#This Row],[DC Capcity]]+Modelling_new[[#This Row],[Comisined DC ]]</f>
        <v>24.303100000000001</v>
      </c>
      <c r="BZ649" s="4">
        <v>0</v>
      </c>
      <c r="CA649">
        <f>AVERAGEIFS(Modelling[[Comisined DC ]],Modelling[Date],"&lt;="&amp;Modelling[[#This Row],[Date]],Modelling[Month Year],Modelling[[#This Row],[Month Year]])</f>
        <v>24.303099999999986</v>
      </c>
      <c r="CB649">
        <f>AVERAGEIFS(Modelling[[Comisined DC ]],Modelling[Date],"&lt;="&amp;Modelling[[#This Row],[Date]],Modelling[Finacial Year],Modelling[[#This Row],[Finacial Year]])</f>
        <v>24.303100000000068</v>
      </c>
      <c r="CG649">
        <f t="shared" si="240"/>
        <v>22</v>
      </c>
      <c r="CH649">
        <f t="shared" si="262"/>
        <v>266</v>
      </c>
    </row>
    <row r="650" spans="1:86" x14ac:dyDescent="0.35">
      <c r="A650" s="27">
        <f t="shared" si="241"/>
        <v>45649</v>
      </c>
      <c r="B650" s="5">
        <f>MONTH(Modelling_old[[#This Row],[Date]])</f>
        <v>12</v>
      </c>
      <c r="C650" s="25">
        <f t="shared" si="242"/>
        <v>2025</v>
      </c>
      <c r="D650" s="3">
        <f t="shared" si="243"/>
        <v>2024</v>
      </c>
      <c r="E650" s="3" t="s">
        <v>627</v>
      </c>
      <c r="F650" s="3" t="s">
        <v>627</v>
      </c>
      <c r="G650" s="102">
        <f>DATE(Modelling_old[[#This Row],[Calendor Year]],Modelling_old[[#This Row],[Start Month]],1)</f>
        <v>45627</v>
      </c>
      <c r="H650" s="5">
        <f t="shared" si="244"/>
        <v>31</v>
      </c>
      <c r="I650" s="5">
        <f t="shared" si="245"/>
        <v>12</v>
      </c>
      <c r="J650" s="4">
        <f>_xlfn.XLOOKUP(Modelling_old[[#This Row],[Month]],$C$1:$C$14,$N$1:$N$14)/Modelling_old[[#This Row],[Total Days]]</f>
        <v>52.20322580645162</v>
      </c>
      <c r="K650" s="4">
        <f>SUM($J$628:J650)</f>
        <v>1200.6741935483876</v>
      </c>
      <c r="L650" s="4">
        <f>SUM($J$384:J650)</f>
        <v>11951.374193548398</v>
      </c>
      <c r="M650" s="4">
        <f t="shared" si="246"/>
        <v>6.4806451612903224</v>
      </c>
      <c r="N650" s="4">
        <f>SUM($M$628:M650)</f>
        <v>149.05483870967743</v>
      </c>
      <c r="O650" s="4">
        <f>SUM($M$384:M650)</f>
        <v>1497.3548387096748</v>
      </c>
      <c r="P650" s="323">
        <f t="shared" si="247"/>
        <v>0.7002678729073224</v>
      </c>
      <c r="Q650" s="337">
        <f t="shared" si="248"/>
        <v>0.70026787290732262</v>
      </c>
      <c r="R650" s="337">
        <f t="shared" si="249"/>
        <v>0.6938701721717403</v>
      </c>
      <c r="S650" s="323">
        <f t="shared" si="250"/>
        <v>0.18909115009016275</v>
      </c>
      <c r="T650" s="9">
        <f>Modelling_old[[#This Row],[Target E_Grid MTD
MWh]]/Modelling_old[[#This Row],[DC Capcity]]/(24*CG650)</f>
        <v>0.18909115009016278</v>
      </c>
      <c r="U650" s="338">
        <f>Modelling_old[[#This Row],[Target E_Grid YTD
MWh]]/Modelling_old[[#This Row],[DC Capcity]]/(24*CH650)</f>
        <v>0.16213637012135931</v>
      </c>
      <c r="V650" s="134">
        <v>11.5031</v>
      </c>
      <c r="Y650" s="27">
        <f t="shared" si="238"/>
        <v>45649</v>
      </c>
      <c r="Z650" s="5">
        <f>MONTH(Modelling_new[[#This Row],[Date]])</f>
        <v>12</v>
      </c>
      <c r="AA650" s="25">
        <f>YEAR(Y650)+IF(MONTH(Modelling_new[[#This Row],[Date]])&gt;=4,1,0)</f>
        <v>2025</v>
      </c>
      <c r="AB650" s="3">
        <f t="shared" si="251"/>
        <v>2024</v>
      </c>
      <c r="AC650" s="3" t="s">
        <v>627</v>
      </c>
      <c r="AD650" s="3" t="s">
        <v>627</v>
      </c>
      <c r="AE650" s="102">
        <f>DATE(Modelling_old[[#This Row],[Calendor Year]],Modelling_old[[#This Row],[Start Month]],1)</f>
        <v>45627</v>
      </c>
      <c r="AF650" s="5">
        <f t="shared" si="252"/>
        <v>31</v>
      </c>
      <c r="AG650" s="5">
        <f t="shared" si="253"/>
        <v>12</v>
      </c>
      <c r="AH650" s="4">
        <f>_xlfn.XLOOKUP(Modelling_new[[#This Row],[Month]],$AA$1:$AA$14,$AL$1:$AL$14)/Modelling_new[[#This Row],[Total Days]]</f>
        <v>60.105797566052928</v>
      </c>
      <c r="AI650" s="4">
        <f>SUM($AH$628:AH650)</f>
        <v>1382.4333440192172</v>
      </c>
      <c r="AJ650" s="4">
        <f>SUM($AH$384:AH650)</f>
        <v>15273.061624436814</v>
      </c>
      <c r="AK650" s="4">
        <f t="shared" si="254"/>
        <v>6.4806451612903224</v>
      </c>
      <c r="AL650" s="4">
        <f>SUM($AK$628:AK650)</f>
        <v>149.05483870967743</v>
      </c>
      <c r="AM650" s="4">
        <f>SUM($AK$384:AK650)</f>
        <v>1497.3548387096748</v>
      </c>
      <c r="AN650" s="323">
        <f t="shared" si="255"/>
        <v>0.80627505984076986</v>
      </c>
      <c r="AO650" s="323">
        <f t="shared" si="256"/>
        <v>0.80627505984076964</v>
      </c>
      <c r="AP650" s="323">
        <f t="shared" si="257"/>
        <v>0.88671994762395911</v>
      </c>
      <c r="AQ650" s="323">
        <f t="shared" si="258"/>
        <v>0.21771594021775628</v>
      </c>
      <c r="AR650" s="323">
        <f>Modelling_new[[#This Row],[Target E_Grid MTD
MWh]]/Modelling_new[[#This Row],[MTD DC Capcity]]/(24*CG650)</f>
        <v>0.1956568931186618</v>
      </c>
      <c r="AS650" s="323">
        <f>Modelling_new[[#This Row],[Target E_Grid YTD
MWh]]/Modelling_new[[#This Row],[YTD DC Capcity]]/(24*CH650)</f>
        <v>0.18620598305385788</v>
      </c>
      <c r="AT650" s="5">
        <v>12.8</v>
      </c>
      <c r="AU650" s="9">
        <f>Modelling_new[[#This Row],[Comisined DC ]]/$AO$1</f>
        <v>1</v>
      </c>
      <c r="AV65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50" s="5">
        <f>AVERAGEIFS(Modelling_new[[Comisined DC ]],Modelling_new[Date],"&lt;="&amp;Modelling_new[[#This Row],[Date]],Modelling_new[[Comisined DC ]],"&gt;"&amp;0,Modelling_new[Finacial Year],Modelling_new[[#This Row],[Finacial Year]])</f>
        <v>12.800000000000052</v>
      </c>
      <c r="BD650" s="27">
        <f t="shared" si="239"/>
        <v>45649</v>
      </c>
      <c r="BE650" s="5">
        <f>MONTH(Modelling[[#This Row],[Date]])</f>
        <v>12</v>
      </c>
      <c r="BF650" s="25">
        <f>YEAR(BD650)+IF(MONTH(Modelling[[#This Row],[Date]])&gt;=4,1,0)</f>
        <v>2025</v>
      </c>
      <c r="BG650" s="3">
        <f t="shared" si="259"/>
        <v>2024</v>
      </c>
      <c r="BH650" s="3" t="s">
        <v>627</v>
      </c>
      <c r="BI650" s="3" t="s">
        <v>627</v>
      </c>
      <c r="BJ650" s="102">
        <f>DATE(Modelling_old[[#This Row],[Calendor Year]],Modelling_old[[#This Row],[Start Month]],1)</f>
        <v>45627</v>
      </c>
      <c r="BK650" s="5">
        <f t="shared" si="260"/>
        <v>31</v>
      </c>
      <c r="BL650" s="5">
        <f t="shared" si="261"/>
        <v>12</v>
      </c>
      <c r="BM650" s="4">
        <f>Modelling_old[[#This Row],[Target E_Grid daily
MWh]]+Modelling_new[[#This Row],[Target E_Grid daily
MWh]]</f>
        <v>112.30902337250456</v>
      </c>
      <c r="BN650" s="4">
        <f>Modelling_old[[#This Row],[Target E_Grid MTD
MWh]]+Modelling_new[[#This Row],[Target E_Grid MTD
MWh]]</f>
        <v>2583.1075375676046</v>
      </c>
      <c r="BO650" s="4">
        <f>Modelling_old[[#This Row],[Target E_Grid YTD
MWh]]+Modelling_new[[#This Row],[Target E_Grid YTD
MWh]]</f>
        <v>27224.435817985213</v>
      </c>
      <c r="BP650" s="4">
        <f>AVERAGE(Modelling_old[[#This Row],[Target POA Daily (KWh/m2)]],Modelling_new[[#This Row],[Target POA Daily (KWh/m2)]])</f>
        <v>6.4806451612903224</v>
      </c>
      <c r="BQ650" s="4">
        <f>SUM($BP$628:BP650)</f>
        <v>149.05483870967743</v>
      </c>
      <c r="BR650" s="4">
        <f>SUM($BP$384:BP650)</f>
        <v>1497.3548387096748</v>
      </c>
      <c r="BS650" s="323">
        <f>BM650/Modelling[[#This Row],[Comisined DC ]]/BP650</f>
        <v>0.71307421726835596</v>
      </c>
      <c r="BT650" s="337">
        <f>BN650/BQ650/Modelling[[#This Row],[Comisined DC ]]</f>
        <v>0.71307421726835585</v>
      </c>
      <c r="BU650" s="337">
        <f>BO650/BR650/Modelling[[#This Row],[Comisined DC ]]</f>
        <v>0.74812209993876955</v>
      </c>
      <c r="BV650" s="323">
        <f>BM650/(24*Modelling[[#This Row],[Comisined DC ]])</f>
        <v>0.1925492073242106</v>
      </c>
      <c r="BW650" s="323">
        <f>Modelling[[#This Row],[Target E_Grid MTD
MWh]]/Modelling[[#This Row],[MTD DC Capcity]]/(24*CG650)</f>
        <v>0.19254920732421071</v>
      </c>
      <c r="BX650" s="338">
        <f>Modelling[[#This Row],[Target E_Grid YTD
MWh]]/Modelling[[#This Row],[YTD DC Capcity]]/(24*CH650)</f>
        <v>0.17481339673672855</v>
      </c>
      <c r="BY650" s="4">
        <f>Modelling_old[[#This Row],[DC Capcity]]+Modelling_new[[#This Row],[Comisined DC ]]</f>
        <v>24.303100000000001</v>
      </c>
      <c r="BZ650" s="4">
        <v>0</v>
      </c>
      <c r="CA650">
        <f>AVERAGEIFS(Modelling[[Comisined DC ]],Modelling[Date],"&lt;="&amp;Modelling[[#This Row],[Date]],Modelling[Month Year],Modelling[[#This Row],[Month Year]])</f>
        <v>24.303099999999986</v>
      </c>
      <c r="CB650">
        <f>AVERAGEIFS(Modelling[[Comisined DC ]],Modelling[Date],"&lt;="&amp;Modelling[[#This Row],[Date]],Modelling[Finacial Year],Modelling[[#This Row],[Finacial Year]])</f>
        <v>24.303100000000068</v>
      </c>
      <c r="CG650">
        <f t="shared" si="240"/>
        <v>23</v>
      </c>
      <c r="CH650">
        <f t="shared" si="262"/>
        <v>267</v>
      </c>
    </row>
    <row r="651" spans="1:86" x14ac:dyDescent="0.35">
      <c r="A651" s="27">
        <f t="shared" si="241"/>
        <v>45650</v>
      </c>
      <c r="B651" s="5">
        <f>MONTH(Modelling_old[[#This Row],[Date]])</f>
        <v>12</v>
      </c>
      <c r="C651" s="25">
        <f t="shared" si="242"/>
        <v>2025</v>
      </c>
      <c r="D651" s="3">
        <f t="shared" si="243"/>
        <v>2024</v>
      </c>
      <c r="E651" s="3" t="s">
        <v>627</v>
      </c>
      <c r="F651" s="3" t="s">
        <v>627</v>
      </c>
      <c r="G651" s="102">
        <f>DATE(Modelling_old[[#This Row],[Calendor Year]],Modelling_old[[#This Row],[Start Month]],1)</f>
        <v>45627</v>
      </c>
      <c r="H651" s="5">
        <f t="shared" si="244"/>
        <v>31</v>
      </c>
      <c r="I651" s="5">
        <f t="shared" si="245"/>
        <v>12</v>
      </c>
      <c r="J651" s="4">
        <f>_xlfn.XLOOKUP(Modelling_old[[#This Row],[Month]],$C$1:$C$14,$N$1:$N$14)/Modelling_old[[#This Row],[Total Days]]</f>
        <v>52.20322580645162</v>
      </c>
      <c r="K651" s="4">
        <f>SUM($J$628:J651)</f>
        <v>1252.8774193548393</v>
      </c>
      <c r="L651" s="4">
        <f>SUM($J$384:J651)</f>
        <v>12003.57741935485</v>
      </c>
      <c r="M651" s="4">
        <f t="shared" si="246"/>
        <v>6.4806451612903224</v>
      </c>
      <c r="N651" s="4">
        <f>SUM($M$628:M651)</f>
        <v>155.53548387096774</v>
      </c>
      <c r="O651" s="4">
        <f>SUM($M$384:M651)</f>
        <v>1503.8354838709652</v>
      </c>
      <c r="P651" s="323">
        <f t="shared" si="247"/>
        <v>0.7002678729073224</v>
      </c>
      <c r="Q651" s="337">
        <f t="shared" si="248"/>
        <v>0.70026787290732262</v>
      </c>
      <c r="R651" s="337">
        <f t="shared" si="249"/>
        <v>0.69389774249360081</v>
      </c>
      <c r="S651" s="323">
        <f t="shared" si="250"/>
        <v>0.18909115009016275</v>
      </c>
      <c r="T651" s="9">
        <f>Modelling_old[[#This Row],[Target E_Grid MTD
MWh]]/Modelling_old[[#This Row],[DC Capcity]]/(24*CG651)</f>
        <v>0.18909115009016278</v>
      </c>
      <c r="U651" s="338">
        <f>Modelling_old[[#This Row],[Target E_Grid YTD
MWh]]/Modelling_old[[#This Row],[DC Capcity]]/(24*CH651)</f>
        <v>0.16223694765855637</v>
      </c>
      <c r="V651" s="134">
        <v>11.5031</v>
      </c>
      <c r="Y651" s="27">
        <f t="shared" si="238"/>
        <v>45650</v>
      </c>
      <c r="Z651" s="5">
        <f>MONTH(Modelling_new[[#This Row],[Date]])</f>
        <v>12</v>
      </c>
      <c r="AA651" s="25">
        <f>YEAR(Y651)+IF(MONTH(Modelling_new[[#This Row],[Date]])&gt;=4,1,0)</f>
        <v>2025</v>
      </c>
      <c r="AB651" s="3">
        <f t="shared" si="251"/>
        <v>2024</v>
      </c>
      <c r="AC651" s="3" t="s">
        <v>627</v>
      </c>
      <c r="AD651" s="3" t="s">
        <v>627</v>
      </c>
      <c r="AE651" s="102">
        <f>DATE(Modelling_old[[#This Row],[Calendor Year]],Modelling_old[[#This Row],[Start Month]],1)</f>
        <v>45627</v>
      </c>
      <c r="AF651" s="5">
        <f t="shared" si="252"/>
        <v>31</v>
      </c>
      <c r="AG651" s="5">
        <f t="shared" si="253"/>
        <v>12</v>
      </c>
      <c r="AH651" s="4">
        <f>_xlfn.XLOOKUP(Modelling_new[[#This Row],[Month]],$AA$1:$AA$14,$AL$1:$AL$14)/Modelling_new[[#This Row],[Total Days]]</f>
        <v>60.105797566052928</v>
      </c>
      <c r="AI651" s="4">
        <f>SUM($AH$628:AH651)</f>
        <v>1442.53914158527</v>
      </c>
      <c r="AJ651" s="4">
        <f>SUM($AH$384:AH651)</f>
        <v>15333.167422002867</v>
      </c>
      <c r="AK651" s="4">
        <f t="shared" si="254"/>
        <v>6.4806451612903224</v>
      </c>
      <c r="AL651" s="4">
        <f>SUM($AK$628:AK651)</f>
        <v>155.53548387096774</v>
      </c>
      <c r="AM651" s="4">
        <f>SUM($AK$384:AK651)</f>
        <v>1503.8354838709652</v>
      </c>
      <c r="AN651" s="323">
        <f t="shared" si="255"/>
        <v>0.80627505984076986</v>
      </c>
      <c r="AO651" s="323">
        <f t="shared" si="256"/>
        <v>0.80627505984076964</v>
      </c>
      <c r="AP651" s="323">
        <f t="shared" si="257"/>
        <v>0.88637327754045991</v>
      </c>
      <c r="AQ651" s="323">
        <f t="shared" si="258"/>
        <v>0.21771594021775628</v>
      </c>
      <c r="AR651" s="323">
        <f>Modelling_new[[#This Row],[Target E_Grid MTD
MWh]]/Modelling_new[[#This Row],[MTD DC Capcity]]/(24*CG651)</f>
        <v>0.19565689311866177</v>
      </c>
      <c r="AS651" s="323">
        <f>Modelling_new[[#This Row],[Target E_Grid YTD
MWh]]/Modelling_new[[#This Row],[YTD DC Capcity]]/(24*CH651)</f>
        <v>0.18624124764365191</v>
      </c>
      <c r="AT651" s="5">
        <v>12.8</v>
      </c>
      <c r="AU651" s="9">
        <f>Modelling_new[[#This Row],[Comisined DC ]]/$AO$1</f>
        <v>1</v>
      </c>
      <c r="AV65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51" s="5">
        <f>AVERAGEIFS(Modelling_new[[Comisined DC ]],Modelling_new[Date],"&lt;="&amp;Modelling_new[[#This Row],[Date]],Modelling_new[[Comisined DC ]],"&gt;"&amp;0,Modelling_new[Finacial Year],Modelling_new[[#This Row],[Finacial Year]])</f>
        <v>12.800000000000052</v>
      </c>
      <c r="BD651" s="27">
        <f t="shared" si="239"/>
        <v>45650</v>
      </c>
      <c r="BE651" s="5">
        <f>MONTH(Modelling[[#This Row],[Date]])</f>
        <v>12</v>
      </c>
      <c r="BF651" s="25">
        <f>YEAR(BD651)+IF(MONTH(Modelling[[#This Row],[Date]])&gt;=4,1,0)</f>
        <v>2025</v>
      </c>
      <c r="BG651" s="3">
        <f t="shared" si="259"/>
        <v>2024</v>
      </c>
      <c r="BH651" s="3" t="s">
        <v>627</v>
      </c>
      <c r="BI651" s="3" t="s">
        <v>627</v>
      </c>
      <c r="BJ651" s="102">
        <f>DATE(Modelling_old[[#This Row],[Calendor Year]],Modelling_old[[#This Row],[Start Month]],1)</f>
        <v>45627</v>
      </c>
      <c r="BK651" s="5">
        <f t="shared" si="260"/>
        <v>31</v>
      </c>
      <c r="BL651" s="5">
        <f t="shared" si="261"/>
        <v>12</v>
      </c>
      <c r="BM651" s="4">
        <f>Modelling_old[[#This Row],[Target E_Grid daily
MWh]]+Modelling_new[[#This Row],[Target E_Grid daily
MWh]]</f>
        <v>112.30902337250456</v>
      </c>
      <c r="BN651" s="4">
        <f>Modelling_old[[#This Row],[Target E_Grid MTD
MWh]]+Modelling_new[[#This Row],[Target E_Grid MTD
MWh]]</f>
        <v>2695.4165609401093</v>
      </c>
      <c r="BO651" s="4">
        <f>Modelling_old[[#This Row],[Target E_Grid YTD
MWh]]+Modelling_new[[#This Row],[Target E_Grid YTD
MWh]]</f>
        <v>27336.744841357715</v>
      </c>
      <c r="BP651" s="4">
        <f>AVERAGE(Modelling_old[[#This Row],[Target POA Daily (KWh/m2)]],Modelling_new[[#This Row],[Target POA Daily (KWh/m2)]])</f>
        <v>6.4806451612903224</v>
      </c>
      <c r="BQ651" s="4">
        <f>SUM($BP$628:BP651)</f>
        <v>155.53548387096774</v>
      </c>
      <c r="BR651" s="4">
        <f>SUM($BP$384:BP651)</f>
        <v>1503.8354838709652</v>
      </c>
      <c r="BS651" s="323">
        <f>BM651/Modelling[[#This Row],[Comisined DC ]]/BP651</f>
        <v>0.71307421726835596</v>
      </c>
      <c r="BT651" s="337">
        <f>BN651/BQ651/Modelling[[#This Row],[Comisined DC ]]</f>
        <v>0.71307421726835585</v>
      </c>
      <c r="BU651" s="337">
        <f>BO651/BR651/Modelling[[#This Row],[Comisined DC ]]</f>
        <v>0.74797106420801462</v>
      </c>
      <c r="BV651" s="323">
        <f>BM651/(24*Modelling[[#This Row],[Comisined DC ]])</f>
        <v>0.1925492073242106</v>
      </c>
      <c r="BW651" s="323">
        <f>Modelling[[#This Row],[Target E_Grid MTD
MWh]]/Modelling[[#This Row],[MTD DC Capcity]]/(24*CG651)</f>
        <v>0.19254920732421071</v>
      </c>
      <c r="BX651" s="338">
        <f>Modelling[[#This Row],[Target E_Grid YTD
MWh]]/Modelling[[#This Row],[YTD DC Capcity]]/(24*CH651)</f>
        <v>0.17487957513444299</v>
      </c>
      <c r="BY651" s="4">
        <f>Modelling_old[[#This Row],[DC Capcity]]+Modelling_new[[#This Row],[Comisined DC ]]</f>
        <v>24.303100000000001</v>
      </c>
      <c r="BZ651" s="4">
        <v>0</v>
      </c>
      <c r="CA651">
        <f>AVERAGEIFS(Modelling[[Comisined DC ]],Modelling[Date],"&lt;="&amp;Modelling[[#This Row],[Date]],Modelling[Month Year],Modelling[[#This Row],[Month Year]])</f>
        <v>24.303099999999986</v>
      </c>
      <c r="CB651">
        <f>AVERAGEIFS(Modelling[[Comisined DC ]],Modelling[Date],"&lt;="&amp;Modelling[[#This Row],[Date]],Modelling[Finacial Year],Modelling[[#This Row],[Finacial Year]])</f>
        <v>24.303100000000068</v>
      </c>
      <c r="CG651">
        <f t="shared" si="240"/>
        <v>24</v>
      </c>
      <c r="CH651">
        <f t="shared" si="262"/>
        <v>268</v>
      </c>
    </row>
    <row r="652" spans="1:86" x14ac:dyDescent="0.35">
      <c r="A652" s="27">
        <f t="shared" si="241"/>
        <v>45651</v>
      </c>
      <c r="B652" s="5">
        <f>MONTH(Modelling_old[[#This Row],[Date]])</f>
        <v>12</v>
      </c>
      <c r="C652" s="25">
        <f t="shared" si="242"/>
        <v>2025</v>
      </c>
      <c r="D652" s="3">
        <f t="shared" si="243"/>
        <v>2024</v>
      </c>
      <c r="E652" s="3" t="s">
        <v>627</v>
      </c>
      <c r="F652" s="3" t="s">
        <v>627</v>
      </c>
      <c r="G652" s="102">
        <f>DATE(Modelling_old[[#This Row],[Calendor Year]],Modelling_old[[#This Row],[Start Month]],1)</f>
        <v>45627</v>
      </c>
      <c r="H652" s="5">
        <f t="shared" si="244"/>
        <v>31</v>
      </c>
      <c r="I652" s="5">
        <f t="shared" si="245"/>
        <v>12</v>
      </c>
      <c r="J652" s="4">
        <f>_xlfn.XLOOKUP(Modelling_old[[#This Row],[Month]],$C$1:$C$14,$N$1:$N$14)/Modelling_old[[#This Row],[Total Days]]</f>
        <v>52.20322580645162</v>
      </c>
      <c r="K652" s="4">
        <f>SUM($J$628:J652)</f>
        <v>1305.0806451612909</v>
      </c>
      <c r="L652" s="4">
        <f>SUM($J$384:J652)</f>
        <v>12055.780645161301</v>
      </c>
      <c r="M652" s="4">
        <f t="shared" si="246"/>
        <v>6.4806451612903224</v>
      </c>
      <c r="N652" s="4">
        <f>SUM($M$628:M652)</f>
        <v>162.01612903225805</v>
      </c>
      <c r="O652" s="4">
        <f>SUM($M$384:M652)</f>
        <v>1510.3161290322555</v>
      </c>
      <c r="P652" s="323">
        <f t="shared" si="247"/>
        <v>0.7002678729073224</v>
      </c>
      <c r="Q652" s="337">
        <f t="shared" si="248"/>
        <v>0.70026787290732273</v>
      </c>
      <c r="R652" s="337">
        <f t="shared" si="249"/>
        <v>0.69392507621138932</v>
      </c>
      <c r="S652" s="323">
        <f t="shared" si="250"/>
        <v>0.18909115009016275</v>
      </c>
      <c r="T652" s="9">
        <f>Modelling_old[[#This Row],[Target E_Grid MTD
MWh]]/Modelling_old[[#This Row],[DC Capcity]]/(24*CG652)</f>
        <v>0.18909115009016278</v>
      </c>
      <c r="U652" s="338">
        <f>Modelling_old[[#This Row],[Target E_Grid YTD
MWh]]/Modelling_old[[#This Row],[DC Capcity]]/(24*CH652)</f>
        <v>0.16233677740737273</v>
      </c>
      <c r="V652" s="134">
        <v>11.5031</v>
      </c>
      <c r="Y652" s="27">
        <f t="shared" si="238"/>
        <v>45651</v>
      </c>
      <c r="Z652" s="5">
        <f>MONTH(Modelling_new[[#This Row],[Date]])</f>
        <v>12</v>
      </c>
      <c r="AA652" s="25">
        <f>YEAR(Y652)+IF(MONTH(Modelling_new[[#This Row],[Date]])&gt;=4,1,0)</f>
        <v>2025</v>
      </c>
      <c r="AB652" s="3">
        <f t="shared" si="251"/>
        <v>2024</v>
      </c>
      <c r="AC652" s="3" t="s">
        <v>627</v>
      </c>
      <c r="AD652" s="3" t="s">
        <v>627</v>
      </c>
      <c r="AE652" s="102">
        <f>DATE(Modelling_old[[#This Row],[Calendor Year]],Modelling_old[[#This Row],[Start Month]],1)</f>
        <v>45627</v>
      </c>
      <c r="AF652" s="5">
        <f t="shared" si="252"/>
        <v>31</v>
      </c>
      <c r="AG652" s="5">
        <f t="shared" si="253"/>
        <v>12</v>
      </c>
      <c r="AH652" s="4">
        <f>_xlfn.XLOOKUP(Modelling_new[[#This Row],[Month]],$AA$1:$AA$14,$AL$1:$AL$14)/Modelling_new[[#This Row],[Total Days]]</f>
        <v>60.105797566052928</v>
      </c>
      <c r="AI652" s="4">
        <f>SUM($AH$628:AH652)</f>
        <v>1502.6449391513229</v>
      </c>
      <c r="AJ652" s="4">
        <f>SUM($AH$384:AH652)</f>
        <v>15393.27321956892</v>
      </c>
      <c r="AK652" s="4">
        <f t="shared" si="254"/>
        <v>6.4806451612903224</v>
      </c>
      <c r="AL652" s="4">
        <f>SUM($AK$628:AK652)</f>
        <v>162.01612903225805</v>
      </c>
      <c r="AM652" s="4">
        <f>SUM($AK$384:AK652)</f>
        <v>1510.3161290322555</v>
      </c>
      <c r="AN652" s="323">
        <f t="shared" si="255"/>
        <v>0.80627505984076986</v>
      </c>
      <c r="AO652" s="323">
        <f t="shared" si="256"/>
        <v>0.80627505984076964</v>
      </c>
      <c r="AP652" s="323">
        <f t="shared" si="257"/>
        <v>0.88602958252390995</v>
      </c>
      <c r="AQ652" s="323">
        <f t="shared" si="258"/>
        <v>0.21771594021775628</v>
      </c>
      <c r="AR652" s="323">
        <f>Modelling_new[[#This Row],[Target E_Grid MTD
MWh]]/Modelling_new[[#This Row],[MTD DC Capcity]]/(24*CG652)</f>
        <v>0.19565689311866177</v>
      </c>
      <c r="AS652" s="323">
        <f>Modelling_new[[#This Row],[Target E_Grid YTD
MWh]]/Modelling_new[[#This Row],[YTD DC Capcity]]/(24*CH652)</f>
        <v>0.18627625004318724</v>
      </c>
      <c r="AT652" s="5">
        <v>12.8</v>
      </c>
      <c r="AU652" s="9">
        <f>Modelling_new[[#This Row],[Comisined DC ]]/$AO$1</f>
        <v>1</v>
      </c>
      <c r="AV65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52" s="5">
        <f>AVERAGEIFS(Modelling_new[[Comisined DC ]],Modelling_new[Date],"&lt;="&amp;Modelling_new[[#This Row],[Date]],Modelling_new[[Comisined DC ]],"&gt;"&amp;0,Modelling_new[Finacial Year],Modelling_new[[#This Row],[Finacial Year]])</f>
        <v>12.800000000000054</v>
      </c>
      <c r="BD652" s="27">
        <f t="shared" si="239"/>
        <v>45651</v>
      </c>
      <c r="BE652" s="5">
        <f>MONTH(Modelling[[#This Row],[Date]])</f>
        <v>12</v>
      </c>
      <c r="BF652" s="25">
        <f>YEAR(BD652)+IF(MONTH(Modelling[[#This Row],[Date]])&gt;=4,1,0)</f>
        <v>2025</v>
      </c>
      <c r="BG652" s="3">
        <f t="shared" si="259"/>
        <v>2024</v>
      </c>
      <c r="BH652" s="3" t="s">
        <v>627</v>
      </c>
      <c r="BI652" s="3" t="s">
        <v>627</v>
      </c>
      <c r="BJ652" s="102">
        <f>DATE(Modelling_old[[#This Row],[Calendor Year]],Modelling_old[[#This Row],[Start Month]],1)</f>
        <v>45627</v>
      </c>
      <c r="BK652" s="5">
        <f t="shared" si="260"/>
        <v>31</v>
      </c>
      <c r="BL652" s="5">
        <f t="shared" si="261"/>
        <v>12</v>
      </c>
      <c r="BM652" s="4">
        <f>Modelling_old[[#This Row],[Target E_Grid daily
MWh]]+Modelling_new[[#This Row],[Target E_Grid daily
MWh]]</f>
        <v>112.30902337250456</v>
      </c>
      <c r="BN652" s="4">
        <f>Modelling_old[[#This Row],[Target E_Grid MTD
MWh]]+Modelling_new[[#This Row],[Target E_Grid MTD
MWh]]</f>
        <v>2807.725584312614</v>
      </c>
      <c r="BO652" s="4">
        <f>Modelling_old[[#This Row],[Target E_Grid YTD
MWh]]+Modelling_new[[#This Row],[Target E_Grid YTD
MWh]]</f>
        <v>27449.053864730224</v>
      </c>
      <c r="BP652" s="4">
        <f>AVERAGE(Modelling_old[[#This Row],[Target POA Daily (KWh/m2)]],Modelling_new[[#This Row],[Target POA Daily (KWh/m2)]])</f>
        <v>6.4806451612903224</v>
      </c>
      <c r="BQ652" s="4">
        <f>SUM($BP$628:BP652)</f>
        <v>162.01612903225805</v>
      </c>
      <c r="BR652" s="4">
        <f>SUM($BP$384:BP652)</f>
        <v>1510.3161290322555</v>
      </c>
      <c r="BS652" s="323">
        <f>BM652/Modelling[[#This Row],[Comisined DC ]]/BP652</f>
        <v>0.71307421726835596</v>
      </c>
      <c r="BT652" s="337">
        <f>BN652/BQ652/Modelling[[#This Row],[Comisined DC ]]</f>
        <v>0.71307421726835596</v>
      </c>
      <c r="BU652" s="337">
        <f>BO652/BR652/Modelling[[#This Row],[Comisined DC ]]</f>
        <v>0.74782132464163098</v>
      </c>
      <c r="BV652" s="323">
        <f>BM652/(24*Modelling[[#This Row],[Comisined DC ]])</f>
        <v>0.1925492073242106</v>
      </c>
      <c r="BW652" s="323">
        <f>Modelling[[#This Row],[Target E_Grid MTD
MWh]]/Modelling[[#This Row],[MTD DC Capcity]]/(24*CG652)</f>
        <v>0.19254920732421074</v>
      </c>
      <c r="BX652" s="338">
        <f>Modelling[[#This Row],[Target E_Grid YTD
MWh]]/Modelling[[#This Row],[YTD DC Capcity]]/(24*CH652)</f>
        <v>0.17494526149946074</v>
      </c>
      <c r="BY652" s="4">
        <f>Modelling_old[[#This Row],[DC Capcity]]+Modelling_new[[#This Row],[Comisined DC ]]</f>
        <v>24.303100000000001</v>
      </c>
      <c r="BZ652" s="4">
        <v>0</v>
      </c>
      <c r="CA652">
        <f>AVERAGEIFS(Modelling[[Comisined DC ]],Modelling[Date],"&lt;="&amp;Modelling[[#This Row],[Date]],Modelling[Month Year],Modelling[[#This Row],[Month Year]])</f>
        <v>24.303099999999986</v>
      </c>
      <c r="CB652">
        <f>AVERAGEIFS(Modelling[[Comisined DC ]],Modelling[Date],"&lt;="&amp;Modelling[[#This Row],[Date]],Modelling[Finacial Year],Modelling[[#This Row],[Finacial Year]])</f>
        <v>24.303100000000068</v>
      </c>
      <c r="CG652">
        <f t="shared" si="240"/>
        <v>25</v>
      </c>
      <c r="CH652">
        <f t="shared" si="262"/>
        <v>269</v>
      </c>
    </row>
    <row r="653" spans="1:86" x14ac:dyDescent="0.35">
      <c r="A653" s="27">
        <f t="shared" si="241"/>
        <v>45652</v>
      </c>
      <c r="B653" s="5">
        <f>MONTH(Modelling_old[[#This Row],[Date]])</f>
        <v>12</v>
      </c>
      <c r="C653" s="25">
        <f t="shared" si="242"/>
        <v>2025</v>
      </c>
      <c r="D653" s="3">
        <f t="shared" si="243"/>
        <v>2024</v>
      </c>
      <c r="E653" s="3" t="s">
        <v>627</v>
      </c>
      <c r="F653" s="3" t="s">
        <v>627</v>
      </c>
      <c r="G653" s="102">
        <f>DATE(Modelling_old[[#This Row],[Calendor Year]],Modelling_old[[#This Row],[Start Month]],1)</f>
        <v>45627</v>
      </c>
      <c r="H653" s="5">
        <f t="shared" si="244"/>
        <v>31</v>
      </c>
      <c r="I653" s="5">
        <f t="shared" si="245"/>
        <v>12</v>
      </c>
      <c r="J653" s="4">
        <f>_xlfn.XLOOKUP(Modelling_old[[#This Row],[Month]],$C$1:$C$14,$N$1:$N$14)/Modelling_old[[#This Row],[Total Days]]</f>
        <v>52.20322580645162</v>
      </c>
      <c r="K653" s="4">
        <f>SUM($J$628:J653)</f>
        <v>1357.2838709677426</v>
      </c>
      <c r="L653" s="4">
        <f>SUM($J$384:J653)</f>
        <v>12107.983870967753</v>
      </c>
      <c r="M653" s="4">
        <f t="shared" si="246"/>
        <v>6.4806451612903224</v>
      </c>
      <c r="N653" s="4">
        <f>SUM($M$628:M653)</f>
        <v>168.49677419354836</v>
      </c>
      <c r="O653" s="4">
        <f>SUM($M$384:M653)</f>
        <v>1516.7967741935458</v>
      </c>
      <c r="P653" s="323">
        <f t="shared" si="247"/>
        <v>0.7002678729073224</v>
      </c>
      <c r="Q653" s="337">
        <f t="shared" si="248"/>
        <v>0.70026787290732273</v>
      </c>
      <c r="R653" s="337">
        <f t="shared" si="249"/>
        <v>0.6939521763578399</v>
      </c>
      <c r="S653" s="323">
        <f t="shared" si="250"/>
        <v>0.18909115009016275</v>
      </c>
      <c r="T653" s="9">
        <f>Modelling_old[[#This Row],[Target E_Grid MTD
MWh]]/Modelling_old[[#This Row],[DC Capcity]]/(24*CG653)</f>
        <v>0.18909115009016281</v>
      </c>
      <c r="U653" s="338">
        <f>Modelling_old[[#This Row],[Target E_Grid YTD
MWh]]/Modelling_old[[#This Row],[DC Capcity]]/(24*CH653)</f>
        <v>0.16243586767656829</v>
      </c>
      <c r="V653" s="134">
        <v>11.5031</v>
      </c>
      <c r="Y653" s="27">
        <f t="shared" si="238"/>
        <v>45652</v>
      </c>
      <c r="Z653" s="5">
        <f>MONTH(Modelling_new[[#This Row],[Date]])</f>
        <v>12</v>
      </c>
      <c r="AA653" s="25">
        <f>YEAR(Y653)+IF(MONTH(Modelling_new[[#This Row],[Date]])&gt;=4,1,0)</f>
        <v>2025</v>
      </c>
      <c r="AB653" s="3">
        <f t="shared" si="251"/>
        <v>2024</v>
      </c>
      <c r="AC653" s="3" t="s">
        <v>627</v>
      </c>
      <c r="AD653" s="3" t="s">
        <v>627</v>
      </c>
      <c r="AE653" s="102">
        <f>DATE(Modelling_old[[#This Row],[Calendor Year]],Modelling_old[[#This Row],[Start Month]],1)</f>
        <v>45627</v>
      </c>
      <c r="AF653" s="5">
        <f t="shared" si="252"/>
        <v>31</v>
      </c>
      <c r="AG653" s="5">
        <f t="shared" si="253"/>
        <v>12</v>
      </c>
      <c r="AH653" s="4">
        <f>_xlfn.XLOOKUP(Modelling_new[[#This Row],[Month]],$AA$1:$AA$14,$AL$1:$AL$14)/Modelling_new[[#This Row],[Total Days]]</f>
        <v>60.105797566052928</v>
      </c>
      <c r="AI653" s="4">
        <f>SUM($AH$628:AH653)</f>
        <v>1562.7507367173757</v>
      </c>
      <c r="AJ653" s="4">
        <f>SUM($AH$384:AH653)</f>
        <v>15453.379017134974</v>
      </c>
      <c r="AK653" s="4">
        <f t="shared" si="254"/>
        <v>6.4806451612903224</v>
      </c>
      <c r="AL653" s="4">
        <f>SUM($AK$628:AK653)</f>
        <v>168.49677419354836</v>
      </c>
      <c r="AM653" s="4">
        <f>SUM($AK$384:AK653)</f>
        <v>1516.7967741935458</v>
      </c>
      <c r="AN653" s="323">
        <f t="shared" si="255"/>
        <v>0.80627505984076986</v>
      </c>
      <c r="AO653" s="323">
        <f t="shared" si="256"/>
        <v>0.80627505984076986</v>
      </c>
      <c r="AP653" s="323">
        <f t="shared" si="257"/>
        <v>0.88568882444061803</v>
      </c>
      <c r="AQ653" s="323">
        <f t="shared" si="258"/>
        <v>0.21771594021775628</v>
      </c>
      <c r="AR653" s="323">
        <f>Modelling_new[[#This Row],[Target E_Grid MTD
MWh]]/Modelling_new[[#This Row],[MTD DC Capcity]]/(24*CG653)</f>
        <v>0.19565689311866175</v>
      </c>
      <c r="AS653" s="323">
        <f>Modelling_new[[#This Row],[Target E_Grid YTD
MWh]]/Modelling_new[[#This Row],[YTD DC Capcity]]/(24*CH653)</f>
        <v>0.186310993165689</v>
      </c>
      <c r="AT653" s="5">
        <v>12.8</v>
      </c>
      <c r="AU653" s="9">
        <f>Modelling_new[[#This Row],[Comisined DC ]]/$AO$1</f>
        <v>1</v>
      </c>
      <c r="AV653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53" s="5">
        <f>AVERAGEIFS(Modelling_new[[Comisined DC ]],Modelling_new[Date],"&lt;="&amp;Modelling_new[[#This Row],[Date]],Modelling_new[[Comisined DC ]],"&gt;"&amp;0,Modelling_new[Finacial Year],Modelling_new[[#This Row],[Finacial Year]])</f>
        <v>12.800000000000054</v>
      </c>
      <c r="BD653" s="27">
        <f t="shared" si="239"/>
        <v>45652</v>
      </c>
      <c r="BE653" s="5">
        <f>MONTH(Modelling[[#This Row],[Date]])</f>
        <v>12</v>
      </c>
      <c r="BF653" s="25">
        <f>YEAR(BD653)+IF(MONTH(Modelling[[#This Row],[Date]])&gt;=4,1,0)</f>
        <v>2025</v>
      </c>
      <c r="BG653" s="3">
        <f t="shared" si="259"/>
        <v>2024</v>
      </c>
      <c r="BH653" s="3" t="s">
        <v>627</v>
      </c>
      <c r="BI653" s="3" t="s">
        <v>627</v>
      </c>
      <c r="BJ653" s="102">
        <f>DATE(Modelling_old[[#This Row],[Calendor Year]],Modelling_old[[#This Row],[Start Month]],1)</f>
        <v>45627</v>
      </c>
      <c r="BK653" s="5">
        <f t="shared" si="260"/>
        <v>31</v>
      </c>
      <c r="BL653" s="5">
        <f t="shared" si="261"/>
        <v>12</v>
      </c>
      <c r="BM653" s="4">
        <f>Modelling_old[[#This Row],[Target E_Grid daily
MWh]]+Modelling_new[[#This Row],[Target E_Grid daily
MWh]]</f>
        <v>112.30902337250456</v>
      </c>
      <c r="BN653" s="4">
        <f>Modelling_old[[#This Row],[Target E_Grid MTD
MWh]]+Modelling_new[[#This Row],[Target E_Grid MTD
MWh]]</f>
        <v>2920.0346076851183</v>
      </c>
      <c r="BO653" s="4">
        <f>Modelling_old[[#This Row],[Target E_Grid YTD
MWh]]+Modelling_new[[#This Row],[Target E_Grid YTD
MWh]]</f>
        <v>27561.362888102725</v>
      </c>
      <c r="BP653" s="4">
        <f>AVERAGE(Modelling_old[[#This Row],[Target POA Daily (KWh/m2)]],Modelling_new[[#This Row],[Target POA Daily (KWh/m2)]])</f>
        <v>6.4806451612903224</v>
      </c>
      <c r="BQ653" s="4">
        <f>SUM($BP$628:BP653)</f>
        <v>168.49677419354836</v>
      </c>
      <c r="BR653" s="4">
        <f>SUM($BP$384:BP653)</f>
        <v>1516.7967741935458</v>
      </c>
      <c r="BS653" s="323">
        <f>BM653/Modelling[[#This Row],[Comisined DC ]]/BP653</f>
        <v>0.71307421726835596</v>
      </c>
      <c r="BT653" s="337">
        <f>BN653/BQ653/Modelling[[#This Row],[Comisined DC ]]</f>
        <v>0.71307421726835596</v>
      </c>
      <c r="BU653" s="337">
        <f>BO653/BR653/Modelling[[#This Row],[Comisined DC ]]</f>
        <v>0.7476728646256956</v>
      </c>
      <c r="BV653" s="323">
        <f>BM653/(24*Modelling[[#This Row],[Comisined DC ]])</f>
        <v>0.1925492073242106</v>
      </c>
      <c r="BW653" s="323">
        <f>Modelling[[#This Row],[Target E_Grid MTD
MWh]]/Modelling[[#This Row],[MTD DC Capcity]]/(24*CG653)</f>
        <v>0.19254920732421071</v>
      </c>
      <c r="BX653" s="338">
        <f>Modelling[[#This Row],[Target E_Grid YTD
MWh]]/Modelling[[#This Row],[YTD DC Capcity]]/(24*CH653)</f>
        <v>0.17501046129881162</v>
      </c>
      <c r="BY653" s="4">
        <f>Modelling_old[[#This Row],[DC Capcity]]+Modelling_new[[#This Row],[Comisined DC ]]</f>
        <v>24.303100000000001</v>
      </c>
      <c r="BZ653" s="4">
        <v>0</v>
      </c>
      <c r="CA653">
        <f>AVERAGEIFS(Modelling[[Comisined DC ]],Modelling[Date],"&lt;="&amp;Modelling[[#This Row],[Date]],Modelling[Month Year],Modelling[[#This Row],[Month Year]])</f>
        <v>24.303099999999986</v>
      </c>
      <c r="CB653">
        <f>AVERAGEIFS(Modelling[[Comisined DC ]],Modelling[Date],"&lt;="&amp;Modelling[[#This Row],[Date]],Modelling[Finacial Year],Modelling[[#This Row],[Finacial Year]])</f>
        <v>24.303100000000068</v>
      </c>
      <c r="CG653">
        <f t="shared" si="240"/>
        <v>26</v>
      </c>
      <c r="CH653">
        <f t="shared" si="262"/>
        <v>270</v>
      </c>
    </row>
    <row r="654" spans="1:86" x14ac:dyDescent="0.35">
      <c r="A654" s="27">
        <f t="shared" si="241"/>
        <v>45653</v>
      </c>
      <c r="B654" s="5">
        <f>MONTH(Modelling_old[[#This Row],[Date]])</f>
        <v>12</v>
      </c>
      <c r="C654" s="25">
        <f t="shared" si="242"/>
        <v>2025</v>
      </c>
      <c r="D654" s="3">
        <f t="shared" si="243"/>
        <v>2024</v>
      </c>
      <c r="E654" s="3" t="s">
        <v>627</v>
      </c>
      <c r="F654" s="3" t="s">
        <v>627</v>
      </c>
      <c r="G654" s="102">
        <f>DATE(Modelling_old[[#This Row],[Calendor Year]],Modelling_old[[#This Row],[Start Month]],1)</f>
        <v>45627</v>
      </c>
      <c r="H654" s="5">
        <f t="shared" si="244"/>
        <v>31</v>
      </c>
      <c r="I654" s="5">
        <f t="shared" si="245"/>
        <v>12</v>
      </c>
      <c r="J654" s="4">
        <f>_xlfn.XLOOKUP(Modelling_old[[#This Row],[Month]],$C$1:$C$14,$N$1:$N$14)/Modelling_old[[#This Row],[Total Days]]</f>
        <v>52.20322580645162</v>
      </c>
      <c r="K654" s="4">
        <f>SUM($J$628:J654)</f>
        <v>1409.4870967741942</v>
      </c>
      <c r="L654" s="4">
        <f>SUM($J$384:J654)</f>
        <v>12160.187096774205</v>
      </c>
      <c r="M654" s="4">
        <f t="shared" si="246"/>
        <v>6.4806451612903224</v>
      </c>
      <c r="N654" s="4">
        <f>SUM($M$628:M654)</f>
        <v>174.97741935483867</v>
      </c>
      <c r="O654" s="4">
        <f>SUM($M$384:M654)</f>
        <v>1523.2774193548362</v>
      </c>
      <c r="P654" s="323">
        <f t="shared" si="247"/>
        <v>0.7002678729073224</v>
      </c>
      <c r="Q654" s="337">
        <f t="shared" si="248"/>
        <v>0.70026787290732273</v>
      </c>
      <c r="R654" s="337">
        <f t="shared" si="249"/>
        <v>0.69397904591407678</v>
      </c>
      <c r="S654" s="323">
        <f t="shared" si="250"/>
        <v>0.18909115009016275</v>
      </c>
      <c r="T654" s="9">
        <f>Modelling_old[[#This Row],[Target E_Grid MTD
MWh]]/Modelling_old[[#This Row],[DC Capcity]]/(24*CG654)</f>
        <v>0.18909115009016278</v>
      </c>
      <c r="U654" s="338">
        <f>Modelling_old[[#This Row],[Target E_Grid YTD
MWh]]/Modelling_old[[#This Row],[DC Capcity]]/(24*CH654)</f>
        <v>0.16253422665226419</v>
      </c>
      <c r="V654" s="134">
        <v>11.5031</v>
      </c>
      <c r="Y654" s="27">
        <f t="shared" si="238"/>
        <v>45653</v>
      </c>
      <c r="Z654" s="5">
        <f>MONTH(Modelling_new[[#This Row],[Date]])</f>
        <v>12</v>
      </c>
      <c r="AA654" s="25">
        <f>YEAR(Y654)+IF(MONTH(Modelling_new[[#This Row],[Date]])&gt;=4,1,0)</f>
        <v>2025</v>
      </c>
      <c r="AB654" s="3">
        <f t="shared" si="251"/>
        <v>2024</v>
      </c>
      <c r="AC654" s="3" t="s">
        <v>627</v>
      </c>
      <c r="AD654" s="3" t="s">
        <v>627</v>
      </c>
      <c r="AE654" s="102">
        <f>DATE(Modelling_old[[#This Row],[Calendor Year]],Modelling_old[[#This Row],[Start Month]],1)</f>
        <v>45627</v>
      </c>
      <c r="AF654" s="5">
        <f t="shared" si="252"/>
        <v>31</v>
      </c>
      <c r="AG654" s="5">
        <f t="shared" si="253"/>
        <v>12</v>
      </c>
      <c r="AH654" s="4">
        <f>_xlfn.XLOOKUP(Modelling_new[[#This Row],[Month]],$AA$1:$AA$14,$AL$1:$AL$14)/Modelling_new[[#This Row],[Total Days]]</f>
        <v>60.105797566052928</v>
      </c>
      <c r="AI654" s="4">
        <f>SUM($AH$628:AH654)</f>
        <v>1622.8565342834286</v>
      </c>
      <c r="AJ654" s="4">
        <f>SUM($AH$384:AH654)</f>
        <v>15513.484814701027</v>
      </c>
      <c r="AK654" s="4">
        <f t="shared" si="254"/>
        <v>6.4806451612903224</v>
      </c>
      <c r="AL654" s="4">
        <f>SUM($AK$628:AK654)</f>
        <v>174.97741935483867</v>
      </c>
      <c r="AM654" s="4">
        <f>SUM($AK$384:AK654)</f>
        <v>1523.2774193548362</v>
      </c>
      <c r="AN654" s="323">
        <f t="shared" si="255"/>
        <v>0.80627505984076986</v>
      </c>
      <c r="AO654" s="323">
        <f t="shared" si="256"/>
        <v>0.80627505984076986</v>
      </c>
      <c r="AP654" s="323">
        <f t="shared" si="257"/>
        <v>0.8853509658058385</v>
      </c>
      <c r="AQ654" s="323">
        <f t="shared" si="258"/>
        <v>0.21771594021775628</v>
      </c>
      <c r="AR654" s="323">
        <f>Modelling_new[[#This Row],[Target E_Grid MTD
MWh]]/Modelling_new[[#This Row],[MTD DC Capcity]]/(24*CG654)</f>
        <v>0.19565689311866177</v>
      </c>
      <c r="AS654" s="323">
        <f>Modelling_new[[#This Row],[Target E_Grid YTD
MWh]]/Modelling_new[[#This Row],[YTD DC Capcity]]/(24*CH654)</f>
        <v>0.18634547988138264</v>
      </c>
      <c r="AT654" s="5">
        <v>12.8</v>
      </c>
      <c r="AU654" s="9">
        <f>Modelling_new[[#This Row],[Comisined DC ]]/$AO$1</f>
        <v>1</v>
      </c>
      <c r="AV654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54" s="5">
        <f>AVERAGEIFS(Modelling_new[[Comisined DC ]],Modelling_new[Date],"&lt;="&amp;Modelling_new[[#This Row],[Date]],Modelling_new[[Comisined DC ]],"&gt;"&amp;0,Modelling_new[Finacial Year],Modelling_new[[#This Row],[Finacial Year]])</f>
        <v>12.800000000000054</v>
      </c>
      <c r="BD654" s="27">
        <f t="shared" si="239"/>
        <v>45653</v>
      </c>
      <c r="BE654" s="5">
        <f>MONTH(Modelling[[#This Row],[Date]])</f>
        <v>12</v>
      </c>
      <c r="BF654" s="25">
        <f>YEAR(BD654)+IF(MONTH(Modelling[[#This Row],[Date]])&gt;=4,1,0)</f>
        <v>2025</v>
      </c>
      <c r="BG654" s="3">
        <f t="shared" si="259"/>
        <v>2024</v>
      </c>
      <c r="BH654" s="3" t="s">
        <v>627</v>
      </c>
      <c r="BI654" s="3" t="s">
        <v>627</v>
      </c>
      <c r="BJ654" s="102">
        <f>DATE(Modelling_old[[#This Row],[Calendor Year]],Modelling_old[[#This Row],[Start Month]],1)</f>
        <v>45627</v>
      </c>
      <c r="BK654" s="5">
        <f t="shared" si="260"/>
        <v>31</v>
      </c>
      <c r="BL654" s="5">
        <f t="shared" si="261"/>
        <v>12</v>
      </c>
      <c r="BM654" s="4">
        <f>Modelling_old[[#This Row],[Target E_Grid daily
MWh]]+Modelling_new[[#This Row],[Target E_Grid daily
MWh]]</f>
        <v>112.30902337250456</v>
      </c>
      <c r="BN654" s="4">
        <f>Modelling_old[[#This Row],[Target E_Grid MTD
MWh]]+Modelling_new[[#This Row],[Target E_Grid MTD
MWh]]</f>
        <v>3032.3436310576226</v>
      </c>
      <c r="BO654" s="4">
        <f>Modelling_old[[#This Row],[Target E_Grid YTD
MWh]]+Modelling_new[[#This Row],[Target E_Grid YTD
MWh]]</f>
        <v>27673.671911475234</v>
      </c>
      <c r="BP654" s="4">
        <f>AVERAGE(Modelling_old[[#This Row],[Target POA Daily (KWh/m2)]],Modelling_new[[#This Row],[Target POA Daily (KWh/m2)]])</f>
        <v>6.4806451612903224</v>
      </c>
      <c r="BQ654" s="4">
        <f>SUM($BP$628:BP654)</f>
        <v>174.97741935483867</v>
      </c>
      <c r="BR654" s="4">
        <f>SUM($BP$384:BP654)</f>
        <v>1523.2774193548362</v>
      </c>
      <c r="BS654" s="323">
        <f>BM654/Modelling[[#This Row],[Comisined DC ]]/BP654</f>
        <v>0.71307421726835596</v>
      </c>
      <c r="BT654" s="337">
        <f>BN654/BQ654/Modelling[[#This Row],[Comisined DC ]]</f>
        <v>0.71307421726835596</v>
      </c>
      <c r="BU654" s="337">
        <f>BO654/BR654/Modelling[[#This Row],[Comisined DC ]]</f>
        <v>0.74752566782901597</v>
      </c>
      <c r="BV654" s="323">
        <f>BM654/(24*Modelling[[#This Row],[Comisined DC ]])</f>
        <v>0.1925492073242106</v>
      </c>
      <c r="BW654" s="323">
        <f>Modelling[[#This Row],[Target E_Grid MTD
MWh]]/Modelling[[#This Row],[MTD DC Capcity]]/(24*CG654)</f>
        <v>0.19254920732421071</v>
      </c>
      <c r="BX654" s="338">
        <f>Modelling[[#This Row],[Target E_Grid YTD
MWh]]/Modelling[[#This Row],[YTD DC Capcity]]/(24*CH654)</f>
        <v>0.17507517991883159</v>
      </c>
      <c r="BY654" s="4">
        <f>Modelling_old[[#This Row],[DC Capcity]]+Modelling_new[[#This Row],[Comisined DC ]]</f>
        <v>24.303100000000001</v>
      </c>
      <c r="BZ654" s="4">
        <v>0</v>
      </c>
      <c r="CA654">
        <f>AVERAGEIFS(Modelling[[Comisined DC ]],Modelling[Date],"&lt;="&amp;Modelling[[#This Row],[Date]],Modelling[Month Year],Modelling[[#This Row],[Month Year]])</f>
        <v>24.303099999999986</v>
      </c>
      <c r="CB654">
        <f>AVERAGEIFS(Modelling[[Comisined DC ]],Modelling[Date],"&lt;="&amp;Modelling[[#This Row],[Date]],Modelling[Finacial Year],Modelling[[#This Row],[Finacial Year]])</f>
        <v>24.303100000000068</v>
      </c>
      <c r="CG654">
        <f t="shared" si="240"/>
        <v>27</v>
      </c>
      <c r="CH654">
        <f t="shared" si="262"/>
        <v>271</v>
      </c>
    </row>
    <row r="655" spans="1:86" x14ac:dyDescent="0.35">
      <c r="A655" s="27">
        <f t="shared" si="241"/>
        <v>45654</v>
      </c>
      <c r="B655" s="5">
        <f>MONTH(Modelling_old[[#This Row],[Date]])</f>
        <v>12</v>
      </c>
      <c r="C655" s="25">
        <f t="shared" si="242"/>
        <v>2025</v>
      </c>
      <c r="D655" s="3">
        <f t="shared" si="243"/>
        <v>2024</v>
      </c>
      <c r="E655" s="3" t="s">
        <v>627</v>
      </c>
      <c r="F655" s="3" t="s">
        <v>627</v>
      </c>
      <c r="G655" s="102">
        <f>DATE(Modelling_old[[#This Row],[Calendor Year]],Modelling_old[[#This Row],[Start Month]],1)</f>
        <v>45627</v>
      </c>
      <c r="H655" s="5">
        <f t="shared" si="244"/>
        <v>31</v>
      </c>
      <c r="I655" s="5">
        <f t="shared" si="245"/>
        <v>12</v>
      </c>
      <c r="J655" s="4">
        <f>_xlfn.XLOOKUP(Modelling_old[[#This Row],[Month]],$C$1:$C$14,$N$1:$N$14)/Modelling_old[[#This Row],[Total Days]]</f>
        <v>52.20322580645162</v>
      </c>
      <c r="K655" s="4">
        <f>SUM($J$628:J655)</f>
        <v>1461.6903225806459</v>
      </c>
      <c r="L655" s="4">
        <f>SUM($J$384:J655)</f>
        <v>12212.390322580657</v>
      </c>
      <c r="M655" s="4">
        <f t="shared" si="246"/>
        <v>6.4806451612903224</v>
      </c>
      <c r="N655" s="4">
        <f>SUM($M$628:M655)</f>
        <v>181.45806451612899</v>
      </c>
      <c r="O655" s="4">
        <f>SUM($M$384:M655)</f>
        <v>1529.7580645161265</v>
      </c>
      <c r="P655" s="323">
        <f t="shared" si="247"/>
        <v>0.7002678729073224</v>
      </c>
      <c r="Q655" s="337">
        <f t="shared" si="248"/>
        <v>0.70026787290732273</v>
      </c>
      <c r="R655" s="337">
        <f t="shared" si="249"/>
        <v>0.69400568781070693</v>
      </c>
      <c r="S655" s="323">
        <f t="shared" si="250"/>
        <v>0.18909115009016275</v>
      </c>
      <c r="T655" s="9">
        <f>Modelling_old[[#This Row],[Target E_Grid MTD
MWh]]/Modelling_old[[#This Row],[DC Capcity]]/(24*CG655)</f>
        <v>0.18909115009016281</v>
      </c>
      <c r="U655" s="338">
        <f>Modelling_old[[#This Row],[Target E_Grid YTD
MWh]]/Modelling_old[[#This Row],[DC Capcity]]/(24*CH655)</f>
        <v>0.16263186240019764</v>
      </c>
      <c r="V655" s="134">
        <v>11.5031</v>
      </c>
      <c r="Y655" s="27">
        <f t="shared" si="238"/>
        <v>45654</v>
      </c>
      <c r="Z655" s="5">
        <f>MONTH(Modelling_new[[#This Row],[Date]])</f>
        <v>12</v>
      </c>
      <c r="AA655" s="25">
        <f>YEAR(Y655)+IF(MONTH(Modelling_new[[#This Row],[Date]])&gt;=4,1,0)</f>
        <v>2025</v>
      </c>
      <c r="AB655" s="3">
        <f t="shared" si="251"/>
        <v>2024</v>
      </c>
      <c r="AC655" s="3" t="s">
        <v>627</v>
      </c>
      <c r="AD655" s="3" t="s">
        <v>627</v>
      </c>
      <c r="AE655" s="102">
        <f>DATE(Modelling_old[[#This Row],[Calendor Year]],Modelling_old[[#This Row],[Start Month]],1)</f>
        <v>45627</v>
      </c>
      <c r="AF655" s="5">
        <f t="shared" si="252"/>
        <v>31</v>
      </c>
      <c r="AG655" s="5">
        <f t="shared" si="253"/>
        <v>12</v>
      </c>
      <c r="AH655" s="4">
        <f>_xlfn.XLOOKUP(Modelling_new[[#This Row],[Month]],$AA$1:$AA$14,$AL$1:$AL$14)/Modelling_new[[#This Row],[Total Days]]</f>
        <v>60.105797566052928</v>
      </c>
      <c r="AI655" s="4">
        <f>SUM($AH$628:AH655)</f>
        <v>1682.9623318494814</v>
      </c>
      <c r="AJ655" s="4">
        <f>SUM($AH$384:AH655)</f>
        <v>15573.59061226708</v>
      </c>
      <c r="AK655" s="4">
        <f t="shared" si="254"/>
        <v>6.4806451612903224</v>
      </c>
      <c r="AL655" s="4">
        <f>SUM($AK$628:AK655)</f>
        <v>181.45806451612899</v>
      </c>
      <c r="AM655" s="4">
        <f>SUM($AK$384:AK655)</f>
        <v>1529.7580645161265</v>
      </c>
      <c r="AN655" s="323">
        <f t="shared" si="255"/>
        <v>0.80627505984076986</v>
      </c>
      <c r="AO655" s="323">
        <f t="shared" si="256"/>
        <v>0.80627505984076986</v>
      </c>
      <c r="AP655" s="323">
        <f t="shared" si="257"/>
        <v>0.8850159697700245</v>
      </c>
      <c r="AQ655" s="323">
        <f t="shared" si="258"/>
        <v>0.21771594021775628</v>
      </c>
      <c r="AR655" s="323">
        <f>Modelling_new[[#This Row],[Target E_Grid MTD
MWh]]/Modelling_new[[#This Row],[MTD DC Capcity]]/(24*CG655)</f>
        <v>0.19565689311866172</v>
      </c>
      <c r="AS655" s="323">
        <f>Modelling_new[[#This Row],[Target E_Grid YTD
MWh]]/Modelling_new[[#This Row],[YTD DC Capcity]]/(24*CH655)</f>
        <v>0.1863797130182844</v>
      </c>
      <c r="AT655" s="5">
        <v>12.8</v>
      </c>
      <c r="AU655" s="9">
        <f>Modelling_new[[#This Row],[Comisined DC ]]/$AO$1</f>
        <v>1</v>
      </c>
      <c r="AV655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655" s="5">
        <f>AVERAGEIFS(Modelling_new[[Comisined DC ]],Modelling_new[Date],"&lt;="&amp;Modelling_new[[#This Row],[Date]],Modelling_new[[Comisined DC ]],"&gt;"&amp;0,Modelling_new[Finacial Year],Modelling_new[[#This Row],[Finacial Year]])</f>
        <v>12.800000000000054</v>
      </c>
      <c r="BD655" s="27">
        <f t="shared" si="239"/>
        <v>45654</v>
      </c>
      <c r="BE655" s="5">
        <f>MONTH(Modelling[[#This Row],[Date]])</f>
        <v>12</v>
      </c>
      <c r="BF655" s="25">
        <f>YEAR(BD655)+IF(MONTH(Modelling[[#This Row],[Date]])&gt;=4,1,0)</f>
        <v>2025</v>
      </c>
      <c r="BG655" s="3">
        <f t="shared" si="259"/>
        <v>2024</v>
      </c>
      <c r="BH655" s="3" t="s">
        <v>627</v>
      </c>
      <c r="BI655" s="3" t="s">
        <v>627</v>
      </c>
      <c r="BJ655" s="102">
        <f>DATE(Modelling_old[[#This Row],[Calendor Year]],Modelling_old[[#This Row],[Start Month]],1)</f>
        <v>45627</v>
      </c>
      <c r="BK655" s="5">
        <f t="shared" si="260"/>
        <v>31</v>
      </c>
      <c r="BL655" s="5">
        <f t="shared" si="261"/>
        <v>12</v>
      </c>
      <c r="BM655" s="4">
        <f>Modelling_old[[#This Row],[Target E_Grid daily
MWh]]+Modelling_new[[#This Row],[Target E_Grid daily
MWh]]</f>
        <v>112.30902337250456</v>
      </c>
      <c r="BN655" s="4">
        <f>Modelling_old[[#This Row],[Target E_Grid MTD
MWh]]+Modelling_new[[#This Row],[Target E_Grid MTD
MWh]]</f>
        <v>3144.6526544301273</v>
      </c>
      <c r="BO655" s="4">
        <f>Modelling_old[[#This Row],[Target E_Grid YTD
MWh]]+Modelling_new[[#This Row],[Target E_Grid YTD
MWh]]</f>
        <v>27785.980934847736</v>
      </c>
      <c r="BP655" s="4">
        <f>AVERAGE(Modelling_old[[#This Row],[Target POA Daily (KWh/m2)]],Modelling_new[[#This Row],[Target POA Daily (KWh/m2)]])</f>
        <v>6.4806451612903224</v>
      </c>
      <c r="BQ655" s="4">
        <f>SUM($BP$628:BP655)</f>
        <v>181.45806451612899</v>
      </c>
      <c r="BR655" s="4">
        <f>SUM($BP$384:BP655)</f>
        <v>1529.7580645161265</v>
      </c>
      <c r="BS655" s="323">
        <f>BM655/Modelling[[#This Row],[Comisined DC ]]/BP655</f>
        <v>0.71307421726835596</v>
      </c>
      <c r="BT655" s="337">
        <f>BN655/BQ655/Modelling[[#This Row],[Comisined DC ]]</f>
        <v>0.71307421726835596</v>
      </c>
      <c r="BU655" s="337">
        <f>BO655/BR655/Modelling[[#This Row],[Comisined DC ]]</f>
        <v>0.74737971819713989</v>
      </c>
      <c r="BV655" s="323">
        <f>BM655/(24*Modelling[[#This Row],[Comisined DC ]])</f>
        <v>0.1925492073242106</v>
      </c>
      <c r="BW655" s="323">
        <f>Modelling[[#This Row],[Target E_Grid MTD
MWh]]/Modelling[[#This Row],[MTD DC Capcity]]/(24*CG655)</f>
        <v>0.19254920732421071</v>
      </c>
      <c r="BX655" s="338">
        <f>Modelling[[#This Row],[Target E_Grid YTD
MWh]]/Modelling[[#This Row],[YTD DC Capcity]]/(24*CH655)</f>
        <v>0.17513942266664548</v>
      </c>
      <c r="BY655" s="4">
        <f>Modelling_old[[#This Row],[DC Capcity]]+Modelling_new[[#This Row],[Comisined DC ]]</f>
        <v>24.303100000000001</v>
      </c>
      <c r="BZ655" s="4">
        <v>0</v>
      </c>
      <c r="CA655">
        <f>AVERAGEIFS(Modelling[[Comisined DC ]],Modelling[Date],"&lt;="&amp;Modelling[[#This Row],[Date]],Modelling[Month Year],Modelling[[#This Row],[Month Year]])</f>
        <v>24.303099999999983</v>
      </c>
      <c r="CB655">
        <f>AVERAGEIFS(Modelling[[Comisined DC ]],Modelling[Date],"&lt;="&amp;Modelling[[#This Row],[Date]],Modelling[Finacial Year],Modelling[[#This Row],[Finacial Year]])</f>
        <v>24.303100000000068</v>
      </c>
      <c r="CG655">
        <f t="shared" si="240"/>
        <v>28</v>
      </c>
      <c r="CH655">
        <f t="shared" si="262"/>
        <v>272</v>
      </c>
    </row>
    <row r="656" spans="1:86" x14ac:dyDescent="0.35">
      <c r="A656" s="27">
        <f t="shared" si="241"/>
        <v>45655</v>
      </c>
      <c r="B656" s="5">
        <f>MONTH(Modelling_old[[#This Row],[Date]])</f>
        <v>12</v>
      </c>
      <c r="C656" s="25">
        <f t="shared" si="242"/>
        <v>2025</v>
      </c>
      <c r="D656" s="3">
        <f t="shared" si="243"/>
        <v>2024</v>
      </c>
      <c r="E656" s="3" t="s">
        <v>627</v>
      </c>
      <c r="F656" s="3" t="s">
        <v>627</v>
      </c>
      <c r="G656" s="102">
        <f>DATE(Modelling_old[[#This Row],[Calendor Year]],Modelling_old[[#This Row],[Start Month]],1)</f>
        <v>45627</v>
      </c>
      <c r="H656" s="5">
        <f t="shared" si="244"/>
        <v>31</v>
      </c>
      <c r="I656" s="5">
        <f t="shared" si="245"/>
        <v>12</v>
      </c>
      <c r="J656" s="4">
        <f>_xlfn.XLOOKUP(Modelling_old[[#This Row],[Month]],$C$1:$C$14,$N$1:$N$14)/Modelling_old[[#This Row],[Total Days]]</f>
        <v>52.20322580645162</v>
      </c>
      <c r="K656" s="4">
        <f>SUM($J$628:J656)</f>
        <v>1513.8935483870976</v>
      </c>
      <c r="L656" s="4">
        <f>SUM($J$384:J656)</f>
        <v>12264.593548387109</v>
      </c>
      <c r="M656" s="4">
        <f t="shared" si="246"/>
        <v>6.4806451612903224</v>
      </c>
      <c r="N656" s="4">
        <f>SUM($M$628:M656)</f>
        <v>187.9387096774193</v>
      </c>
      <c r="O656" s="4">
        <f>SUM($M$384:M656)</f>
        <v>1536.2387096774169</v>
      </c>
      <c r="P656" s="323">
        <f t="shared" si="247"/>
        <v>0.7002678729073224</v>
      </c>
      <c r="Q656" s="337">
        <f t="shared" si="248"/>
        <v>0.70026787290732295</v>
      </c>
      <c r="R656" s="337">
        <f t="shared" si="249"/>
        <v>0.69403210492888645</v>
      </c>
      <c r="S656" s="323">
        <f t="shared" si="250"/>
        <v>0.18909115009016275</v>
      </c>
      <c r="T656" s="9">
        <f>Modelling_old[[#This Row],[Target E_Grid MTD
MWh]]/Modelling_old[[#This Row],[DC Capcity]]/(24*CG656)</f>
        <v>0.18909115009016281</v>
      </c>
      <c r="U656" s="338">
        <f>Modelling_old[[#This Row],[Target E_Grid YTD
MWh]]/Modelling_old[[#This Row],[DC Capcity]]/(24*CH656)</f>
        <v>0.16272878286792644</v>
      </c>
      <c r="V656" s="134">
        <v>11.5031</v>
      </c>
      <c r="Y656" s="27">
        <f t="shared" si="238"/>
        <v>45655</v>
      </c>
      <c r="Z656" s="5">
        <f>MONTH(Modelling_new[[#This Row],[Date]])</f>
        <v>12</v>
      </c>
      <c r="AA656" s="25">
        <f>YEAR(Y656)+IF(MONTH(Modelling_new[[#This Row],[Date]])&gt;=4,1,0)</f>
        <v>2025</v>
      </c>
      <c r="AB656" s="3">
        <f t="shared" si="251"/>
        <v>2024</v>
      </c>
      <c r="AC656" s="3" t="s">
        <v>627</v>
      </c>
      <c r="AD656" s="3" t="s">
        <v>627</v>
      </c>
      <c r="AE656" s="102">
        <f>DATE(Modelling_old[[#This Row],[Calendor Year]],Modelling_old[[#This Row],[Start Month]],1)</f>
        <v>45627</v>
      </c>
      <c r="AF656" s="5">
        <f t="shared" si="252"/>
        <v>31</v>
      </c>
      <c r="AG656" s="5">
        <f t="shared" si="253"/>
        <v>12</v>
      </c>
      <c r="AH656" s="4">
        <f>_xlfn.XLOOKUP(Modelling_new[[#This Row],[Month]],$AA$1:$AA$14,$AL$1:$AL$14)/Modelling_new[[#This Row],[Total Days]]</f>
        <v>60.105797566052928</v>
      </c>
      <c r="AI656" s="4">
        <f>SUM($AH$628:AH656)</f>
        <v>1743.0681294155343</v>
      </c>
      <c r="AJ656" s="4">
        <f>SUM($AH$384:AH656)</f>
        <v>15633.696409833134</v>
      </c>
      <c r="AK656" s="4">
        <f t="shared" si="254"/>
        <v>6.4806451612903224</v>
      </c>
      <c r="AL656" s="4">
        <f>SUM($AK$628:AK656)</f>
        <v>187.9387096774193</v>
      </c>
      <c r="AM656" s="4">
        <f>SUM($AK$384:AK656)</f>
        <v>1536.2387096774169</v>
      </c>
      <c r="AN656" s="323">
        <f t="shared" si="255"/>
        <v>0.80627505984076986</v>
      </c>
      <c r="AO656" s="323">
        <f t="shared" si="256"/>
        <v>0.80627505984076986</v>
      </c>
      <c r="AP656" s="323">
        <f t="shared" si="257"/>
        <v>0.88468380010543146</v>
      </c>
      <c r="AQ656" s="323">
        <f t="shared" si="258"/>
        <v>0.21771594021775628</v>
      </c>
      <c r="AR656" s="323">
        <f>Modelling_new[[#This Row],[Target E_Grid MTD
MWh]]/Modelling_new[[#This Row],[MTD DC Capcity]]/(24*CG656)</f>
        <v>0.19565689311866169</v>
      </c>
      <c r="AS656" s="323">
        <f>Modelling_new[[#This Row],[Target E_Grid YTD
MWh]]/Modelling_new[[#This Row],[YTD DC Capcity]]/(24*CH656)</f>
        <v>0.18641369536297439</v>
      </c>
      <c r="AT656" s="5">
        <v>12.8</v>
      </c>
      <c r="AU656" s="9">
        <f>Modelling_new[[#This Row],[Comisined DC ]]/$AO$1</f>
        <v>1</v>
      </c>
      <c r="AV656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656" s="5">
        <f>AVERAGEIFS(Modelling_new[[Comisined DC ]],Modelling_new[Date],"&lt;="&amp;Modelling_new[[#This Row],[Date]],Modelling_new[[Comisined DC ]],"&gt;"&amp;0,Modelling_new[Finacial Year],Modelling_new[[#This Row],[Finacial Year]])</f>
        <v>12.800000000000056</v>
      </c>
      <c r="BD656" s="27">
        <f t="shared" si="239"/>
        <v>45655</v>
      </c>
      <c r="BE656" s="5">
        <f>MONTH(Modelling[[#This Row],[Date]])</f>
        <v>12</v>
      </c>
      <c r="BF656" s="25">
        <f>YEAR(BD656)+IF(MONTH(Modelling[[#This Row],[Date]])&gt;=4,1,0)</f>
        <v>2025</v>
      </c>
      <c r="BG656" s="3">
        <f t="shared" si="259"/>
        <v>2024</v>
      </c>
      <c r="BH656" s="3" t="s">
        <v>627</v>
      </c>
      <c r="BI656" s="3" t="s">
        <v>627</v>
      </c>
      <c r="BJ656" s="102">
        <f>DATE(Modelling_old[[#This Row],[Calendor Year]],Modelling_old[[#This Row],[Start Month]],1)</f>
        <v>45627</v>
      </c>
      <c r="BK656" s="5">
        <f t="shared" si="260"/>
        <v>31</v>
      </c>
      <c r="BL656" s="5">
        <f t="shared" si="261"/>
        <v>12</v>
      </c>
      <c r="BM656" s="4">
        <f>Modelling_old[[#This Row],[Target E_Grid daily
MWh]]+Modelling_new[[#This Row],[Target E_Grid daily
MWh]]</f>
        <v>112.30902337250456</v>
      </c>
      <c r="BN656" s="4">
        <f>Modelling_old[[#This Row],[Target E_Grid MTD
MWh]]+Modelling_new[[#This Row],[Target E_Grid MTD
MWh]]</f>
        <v>3256.961677802632</v>
      </c>
      <c r="BO656" s="4">
        <f>Modelling_old[[#This Row],[Target E_Grid YTD
MWh]]+Modelling_new[[#This Row],[Target E_Grid YTD
MWh]]</f>
        <v>27898.289958220244</v>
      </c>
      <c r="BP656" s="4">
        <f>AVERAGE(Modelling_old[[#This Row],[Target POA Daily (KWh/m2)]],Modelling_new[[#This Row],[Target POA Daily (KWh/m2)]])</f>
        <v>6.4806451612903224</v>
      </c>
      <c r="BQ656" s="4">
        <f>SUM($BP$628:BP656)</f>
        <v>187.9387096774193</v>
      </c>
      <c r="BR656" s="4">
        <f>SUM($BP$384:BP656)</f>
        <v>1536.2387096774169</v>
      </c>
      <c r="BS656" s="323">
        <f>BM656/Modelling[[#This Row],[Comisined DC ]]/BP656</f>
        <v>0.71307421726835596</v>
      </c>
      <c r="BT656" s="337">
        <f>BN656/BQ656/Modelling[[#This Row],[Comisined DC ]]</f>
        <v>0.71307421726835618</v>
      </c>
      <c r="BU656" s="337">
        <f>BO656/BR656/Modelling[[#This Row],[Comisined DC ]]</f>
        <v>0.74723499994651965</v>
      </c>
      <c r="BV656" s="323">
        <f>BM656/(24*Modelling[[#This Row],[Comisined DC ]])</f>
        <v>0.1925492073242106</v>
      </c>
      <c r="BW656" s="323">
        <f>Modelling[[#This Row],[Target E_Grid MTD
MWh]]/Modelling[[#This Row],[MTD DC Capcity]]/(24*CG656)</f>
        <v>0.19254920732421074</v>
      </c>
      <c r="BX656" s="338">
        <f>Modelling[[#This Row],[Target E_Grid YTD
MWh]]/Modelling[[#This Row],[YTD DC Capcity]]/(24*CH656)</f>
        <v>0.17520319477161825</v>
      </c>
      <c r="BY656" s="4">
        <f>Modelling_old[[#This Row],[DC Capcity]]+Modelling_new[[#This Row],[Comisined DC ]]</f>
        <v>24.303100000000001</v>
      </c>
      <c r="BZ656" s="4">
        <v>0</v>
      </c>
      <c r="CA656">
        <f>AVERAGEIFS(Modelling[[Comisined DC ]],Modelling[Date],"&lt;="&amp;Modelling[[#This Row],[Date]],Modelling[Month Year],Modelling[[#This Row],[Month Year]])</f>
        <v>24.303099999999983</v>
      </c>
      <c r="CB656">
        <f>AVERAGEIFS(Modelling[[Comisined DC ]],Modelling[Date],"&lt;="&amp;Modelling[[#This Row],[Date]],Modelling[Finacial Year],Modelling[[#This Row],[Finacial Year]])</f>
        <v>24.303100000000068</v>
      </c>
      <c r="CG656">
        <f t="shared" si="240"/>
        <v>29</v>
      </c>
      <c r="CH656">
        <f t="shared" si="262"/>
        <v>273</v>
      </c>
    </row>
    <row r="657" spans="1:86" x14ac:dyDescent="0.35">
      <c r="A657" s="27">
        <f t="shared" si="241"/>
        <v>45656</v>
      </c>
      <c r="B657" s="5">
        <f>MONTH(Modelling_old[[#This Row],[Date]])</f>
        <v>12</v>
      </c>
      <c r="C657" s="25">
        <f t="shared" si="242"/>
        <v>2025</v>
      </c>
      <c r="D657" s="3">
        <f t="shared" si="243"/>
        <v>2024</v>
      </c>
      <c r="E657" s="3" t="s">
        <v>627</v>
      </c>
      <c r="F657" s="3" t="s">
        <v>627</v>
      </c>
      <c r="G657" s="102">
        <f>DATE(Modelling_old[[#This Row],[Calendor Year]],Modelling_old[[#This Row],[Start Month]],1)</f>
        <v>45627</v>
      </c>
      <c r="H657" s="5">
        <f t="shared" si="244"/>
        <v>31</v>
      </c>
      <c r="I657" s="5">
        <f t="shared" si="245"/>
        <v>12</v>
      </c>
      <c r="J657" s="4">
        <f>_xlfn.XLOOKUP(Modelling_old[[#This Row],[Month]],$C$1:$C$14,$N$1:$N$14)/Modelling_old[[#This Row],[Total Days]]</f>
        <v>52.20322580645162</v>
      </c>
      <c r="K657" s="4">
        <f>SUM($J$628:J657)</f>
        <v>1566.0967741935492</v>
      </c>
      <c r="L657" s="4">
        <f>SUM($J$384:J657)</f>
        <v>12316.796774193561</v>
      </c>
      <c r="M657" s="4">
        <f t="shared" si="246"/>
        <v>6.4806451612903224</v>
      </c>
      <c r="N657" s="4">
        <f>SUM($M$628:M657)</f>
        <v>194.41935483870961</v>
      </c>
      <c r="O657" s="4">
        <f>SUM($M$384:M657)</f>
        <v>1542.7193548387072</v>
      </c>
      <c r="P657" s="323">
        <f t="shared" si="247"/>
        <v>0.7002678729073224</v>
      </c>
      <c r="Q657" s="337">
        <f t="shared" si="248"/>
        <v>0.70026787290732295</v>
      </c>
      <c r="R657" s="337">
        <f t="shared" si="249"/>
        <v>0.69405830010135883</v>
      </c>
      <c r="S657" s="323">
        <f t="shared" si="250"/>
        <v>0.18909115009016275</v>
      </c>
      <c r="T657" s="9">
        <f>Modelling_old[[#This Row],[Target E_Grid MTD
MWh]]/Modelling_old[[#This Row],[DC Capcity]]/(24*CG657)</f>
        <v>0.18909115009016281</v>
      </c>
      <c r="U657" s="338">
        <f>Modelling_old[[#This Row],[Target E_Grid YTD
MWh]]/Modelling_old[[#This Row],[DC Capcity]]/(24*CH657)</f>
        <v>0.16282499588698574</v>
      </c>
      <c r="V657" s="134">
        <v>11.5031</v>
      </c>
      <c r="Y657" s="27">
        <f t="shared" si="238"/>
        <v>45656</v>
      </c>
      <c r="Z657" s="5">
        <f>MONTH(Modelling_new[[#This Row],[Date]])</f>
        <v>12</v>
      </c>
      <c r="AA657" s="25">
        <f>YEAR(Y657)+IF(MONTH(Modelling_new[[#This Row],[Date]])&gt;=4,1,0)</f>
        <v>2025</v>
      </c>
      <c r="AB657" s="3">
        <f t="shared" si="251"/>
        <v>2024</v>
      </c>
      <c r="AC657" s="3" t="s">
        <v>627</v>
      </c>
      <c r="AD657" s="3" t="s">
        <v>627</v>
      </c>
      <c r="AE657" s="102">
        <f>DATE(Modelling_old[[#This Row],[Calendor Year]],Modelling_old[[#This Row],[Start Month]],1)</f>
        <v>45627</v>
      </c>
      <c r="AF657" s="5">
        <f t="shared" si="252"/>
        <v>31</v>
      </c>
      <c r="AG657" s="5">
        <f t="shared" si="253"/>
        <v>12</v>
      </c>
      <c r="AH657" s="4">
        <f>_xlfn.XLOOKUP(Modelling_new[[#This Row],[Month]],$AA$1:$AA$14,$AL$1:$AL$14)/Modelling_new[[#This Row],[Total Days]]</f>
        <v>60.105797566052928</v>
      </c>
      <c r="AI657" s="4">
        <f>SUM($AH$628:AH657)</f>
        <v>1803.1739269815871</v>
      </c>
      <c r="AJ657" s="4">
        <f>SUM($AH$384:AH657)</f>
        <v>15693.802207399187</v>
      </c>
      <c r="AK657" s="4">
        <f t="shared" si="254"/>
        <v>6.4806451612903224</v>
      </c>
      <c r="AL657" s="4">
        <f>SUM($AK$628:AK657)</f>
        <v>194.41935483870961</v>
      </c>
      <c r="AM657" s="4">
        <f>SUM($AK$384:AK657)</f>
        <v>1542.7193548387072</v>
      </c>
      <c r="AN657" s="323">
        <f t="shared" si="255"/>
        <v>0.80627505984076986</v>
      </c>
      <c r="AO657" s="323">
        <f t="shared" si="256"/>
        <v>0.80627505984076986</v>
      </c>
      <c r="AP657" s="323">
        <f t="shared" si="257"/>
        <v>0.88435442119305474</v>
      </c>
      <c r="AQ657" s="323">
        <f t="shared" si="258"/>
        <v>0.21771594021775628</v>
      </c>
      <c r="AR657" s="323">
        <f>Modelling_new[[#This Row],[Target E_Grid MTD
MWh]]/Modelling_new[[#This Row],[MTD DC Capcity]]/(24*CG657)</f>
        <v>0.19565689311866169</v>
      </c>
      <c r="AS657" s="323">
        <f>Modelling_new[[#This Row],[Target E_Grid YTD
MWh]]/Modelling_new[[#This Row],[YTD DC Capcity]]/(24*CH657)</f>
        <v>0.18644742966135283</v>
      </c>
      <c r="AT657" s="5">
        <v>12.8</v>
      </c>
      <c r="AU657" s="9">
        <f>Modelling_new[[#This Row],[Comisined DC ]]/$AO$1</f>
        <v>1</v>
      </c>
      <c r="AV657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657" s="5">
        <f>AVERAGEIFS(Modelling_new[[Comisined DC ]],Modelling_new[Date],"&lt;="&amp;Modelling_new[[#This Row],[Date]],Modelling_new[[Comisined DC ]],"&gt;"&amp;0,Modelling_new[Finacial Year],Modelling_new[[#This Row],[Finacial Year]])</f>
        <v>12.800000000000056</v>
      </c>
      <c r="BD657" s="27">
        <f t="shared" si="239"/>
        <v>45656</v>
      </c>
      <c r="BE657" s="5">
        <f>MONTH(Modelling[[#This Row],[Date]])</f>
        <v>12</v>
      </c>
      <c r="BF657" s="25">
        <f>YEAR(BD657)+IF(MONTH(Modelling[[#This Row],[Date]])&gt;=4,1,0)</f>
        <v>2025</v>
      </c>
      <c r="BG657" s="3">
        <f t="shared" si="259"/>
        <v>2024</v>
      </c>
      <c r="BH657" s="3" t="s">
        <v>627</v>
      </c>
      <c r="BI657" s="3" t="s">
        <v>627</v>
      </c>
      <c r="BJ657" s="102">
        <f>DATE(Modelling_old[[#This Row],[Calendor Year]],Modelling_old[[#This Row],[Start Month]],1)</f>
        <v>45627</v>
      </c>
      <c r="BK657" s="5">
        <f t="shared" si="260"/>
        <v>31</v>
      </c>
      <c r="BL657" s="5">
        <f t="shared" si="261"/>
        <v>12</v>
      </c>
      <c r="BM657" s="4">
        <f>Modelling_old[[#This Row],[Target E_Grid daily
MWh]]+Modelling_new[[#This Row],[Target E_Grid daily
MWh]]</f>
        <v>112.30902337250456</v>
      </c>
      <c r="BN657" s="4">
        <f>Modelling_old[[#This Row],[Target E_Grid MTD
MWh]]+Modelling_new[[#This Row],[Target E_Grid MTD
MWh]]</f>
        <v>3369.2707011751363</v>
      </c>
      <c r="BO657" s="4">
        <f>Modelling_old[[#This Row],[Target E_Grid YTD
MWh]]+Modelling_new[[#This Row],[Target E_Grid YTD
MWh]]</f>
        <v>28010.598981592746</v>
      </c>
      <c r="BP657" s="4">
        <f>AVERAGE(Modelling_old[[#This Row],[Target POA Daily (KWh/m2)]],Modelling_new[[#This Row],[Target POA Daily (KWh/m2)]])</f>
        <v>6.4806451612903224</v>
      </c>
      <c r="BQ657" s="4">
        <f>SUM($BP$628:BP657)</f>
        <v>194.41935483870961</v>
      </c>
      <c r="BR657" s="4">
        <f>SUM($BP$384:BP657)</f>
        <v>1542.7193548387072</v>
      </c>
      <c r="BS657" s="323">
        <f>BM657/Modelling[[#This Row],[Comisined DC ]]/BP657</f>
        <v>0.71307421726835596</v>
      </c>
      <c r="BT657" s="337">
        <f>BN657/BQ657/Modelling[[#This Row],[Comisined DC ]]</f>
        <v>0.71307421726835596</v>
      </c>
      <c r="BU657" s="337">
        <f>BO657/BR657/Modelling[[#This Row],[Comisined DC ]]</f>
        <v>0.74709149755882032</v>
      </c>
      <c r="BV657" s="323">
        <f>BM657/(24*Modelling[[#This Row],[Comisined DC ]])</f>
        <v>0.1925492073242106</v>
      </c>
      <c r="BW657" s="323">
        <f>Modelling[[#This Row],[Target E_Grid MTD
MWh]]/Modelling[[#This Row],[MTD DC Capcity]]/(24*CG657)</f>
        <v>0.19254920732421074</v>
      </c>
      <c r="BX657" s="338">
        <f>Modelling[[#This Row],[Target E_Grid YTD
MWh]]/Modelling[[#This Row],[YTD DC Capcity]]/(24*CH657)</f>
        <v>0.17526650138677369</v>
      </c>
      <c r="BY657" s="4">
        <f>Modelling_old[[#This Row],[DC Capcity]]+Modelling_new[[#This Row],[Comisined DC ]]</f>
        <v>24.303100000000001</v>
      </c>
      <c r="BZ657" s="4">
        <v>0</v>
      </c>
      <c r="CA657">
        <f>AVERAGEIFS(Modelling[[Comisined DC ]],Modelling[Date],"&lt;="&amp;Modelling[[#This Row],[Date]],Modelling[Month Year],Modelling[[#This Row],[Month Year]])</f>
        <v>24.303099999999983</v>
      </c>
      <c r="CB657">
        <f>AVERAGEIFS(Modelling[[Comisined DC ]],Modelling[Date],"&lt;="&amp;Modelling[[#This Row],[Date]],Modelling[Finacial Year],Modelling[[#This Row],[Finacial Year]])</f>
        <v>24.303100000000068</v>
      </c>
      <c r="CG657">
        <f t="shared" si="240"/>
        <v>30</v>
      </c>
      <c r="CH657">
        <f t="shared" si="262"/>
        <v>274</v>
      </c>
    </row>
    <row r="658" spans="1:86" x14ac:dyDescent="0.35">
      <c r="A658" s="27">
        <f t="shared" si="241"/>
        <v>45657</v>
      </c>
      <c r="B658" s="5">
        <f>MONTH(Modelling_old[[#This Row],[Date]])</f>
        <v>12</v>
      </c>
      <c r="C658" s="25">
        <f t="shared" si="242"/>
        <v>2025</v>
      </c>
      <c r="D658" s="3">
        <f t="shared" si="243"/>
        <v>2024</v>
      </c>
      <c r="E658" s="3" t="s">
        <v>627</v>
      </c>
      <c r="F658" s="3" t="s">
        <v>627</v>
      </c>
      <c r="G658" s="102">
        <f>DATE(Modelling_old[[#This Row],[Calendor Year]],Modelling_old[[#This Row],[Start Month]],1)</f>
        <v>45627</v>
      </c>
      <c r="H658" s="5">
        <f t="shared" si="244"/>
        <v>31</v>
      </c>
      <c r="I658" s="5">
        <f t="shared" si="245"/>
        <v>12</v>
      </c>
      <c r="J658" s="4">
        <f>_xlfn.XLOOKUP(Modelling_old[[#This Row],[Month]],$C$1:$C$14,$N$1:$N$14)/Modelling_old[[#This Row],[Total Days]]</f>
        <v>52.20322580645162</v>
      </c>
      <c r="K658" s="4">
        <f>SUM($J$628:J658)</f>
        <v>1618.3000000000009</v>
      </c>
      <c r="L658" s="4">
        <f>SUM($J$384:J658)</f>
        <v>12369.000000000013</v>
      </c>
      <c r="M658" s="4">
        <f t="shared" si="246"/>
        <v>6.4806451612903224</v>
      </c>
      <c r="N658" s="4">
        <f>SUM($M$628:M658)</f>
        <v>200.89999999999992</v>
      </c>
      <c r="O658" s="4">
        <f>SUM($M$384:M658)</f>
        <v>1549.1999999999975</v>
      </c>
      <c r="P658" s="323">
        <f t="shared" si="247"/>
        <v>0.7002678729073224</v>
      </c>
      <c r="Q658" s="337">
        <f t="shared" si="248"/>
        <v>0.70026787290732295</v>
      </c>
      <c r="R658" s="337">
        <f t="shared" si="249"/>
        <v>0.69408427611346735</v>
      </c>
      <c r="S658" s="323">
        <f t="shared" si="250"/>
        <v>0.18909115009016275</v>
      </c>
      <c r="T658" s="9">
        <f>Modelling_old[[#This Row],[Target E_Grid MTD
MWh]]/Modelling_old[[#This Row],[DC Capcity]]/(24*CG658)</f>
        <v>0.18909115009016281</v>
      </c>
      <c r="U658" s="338">
        <f>Modelling_old[[#This Row],[Target E_Grid YTD
MWh]]/Modelling_old[[#This Row],[DC Capcity]]/(24*CH658)</f>
        <v>0.16292050917499726</v>
      </c>
      <c r="V658" s="134">
        <v>11.5031</v>
      </c>
      <c r="Y658" s="27">
        <f t="shared" si="238"/>
        <v>45657</v>
      </c>
      <c r="Z658" s="5">
        <f>MONTH(Modelling_new[[#This Row],[Date]])</f>
        <v>12</v>
      </c>
      <c r="AA658" s="25">
        <f>YEAR(Y658)+IF(MONTH(Modelling_new[[#This Row],[Date]])&gt;=4,1,0)</f>
        <v>2025</v>
      </c>
      <c r="AB658" s="3">
        <f t="shared" si="251"/>
        <v>2024</v>
      </c>
      <c r="AC658" s="3" t="s">
        <v>627</v>
      </c>
      <c r="AD658" s="3" t="s">
        <v>627</v>
      </c>
      <c r="AE658" s="102">
        <f>DATE(Modelling_old[[#This Row],[Calendor Year]],Modelling_old[[#This Row],[Start Month]],1)</f>
        <v>45627</v>
      </c>
      <c r="AF658" s="5">
        <f t="shared" si="252"/>
        <v>31</v>
      </c>
      <c r="AG658" s="5">
        <f t="shared" si="253"/>
        <v>12</v>
      </c>
      <c r="AH658" s="4">
        <f>_xlfn.XLOOKUP(Modelling_new[[#This Row],[Month]],$AA$1:$AA$14,$AL$1:$AL$14)/Modelling_new[[#This Row],[Total Days]]</f>
        <v>60.105797566052928</v>
      </c>
      <c r="AI658" s="4">
        <f>SUM($AH$628:AH658)</f>
        <v>1863.2797245476399</v>
      </c>
      <c r="AJ658" s="4">
        <f>SUM($AH$384:AH658)</f>
        <v>15753.90800496524</v>
      </c>
      <c r="AK658" s="4">
        <f t="shared" si="254"/>
        <v>6.4806451612903224</v>
      </c>
      <c r="AL658" s="4">
        <f>SUM($AK$628:AK658)</f>
        <v>200.89999999999992</v>
      </c>
      <c r="AM658" s="4">
        <f>SUM($AK$384:AK658)</f>
        <v>1549.1999999999975</v>
      </c>
      <c r="AN658" s="323">
        <f t="shared" si="255"/>
        <v>0.80627505984076986</v>
      </c>
      <c r="AO658" s="323">
        <f t="shared" si="256"/>
        <v>0.80627505984076986</v>
      </c>
      <c r="AP658" s="323">
        <f t="shared" si="257"/>
        <v>0.8840277980098995</v>
      </c>
      <c r="AQ658" s="323">
        <f t="shared" si="258"/>
        <v>0.21771594021775628</v>
      </c>
      <c r="AR658" s="323">
        <f>Modelling_new[[#This Row],[Target E_Grid MTD
MWh]]/Modelling_new[[#This Row],[MTD DC Capcity]]/(24*CG658)</f>
        <v>0.19565689311866169</v>
      </c>
      <c r="AS658" s="323">
        <f>Modelling_new[[#This Row],[Target E_Grid YTD
MWh]]/Modelling_new[[#This Row],[YTD DC Capcity]]/(24*CH658)</f>
        <v>0.18648091861937938</v>
      </c>
      <c r="AT658" s="5">
        <v>12.8</v>
      </c>
      <c r="AU658" s="9">
        <f>Modelling_new[[#This Row],[Comisined DC ]]/$AO$1</f>
        <v>1</v>
      </c>
      <c r="AV658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658" s="5">
        <f>AVERAGEIFS(Modelling_new[[Comisined DC ]],Modelling_new[Date],"&lt;="&amp;Modelling_new[[#This Row],[Date]],Modelling_new[[Comisined DC ]],"&gt;"&amp;0,Modelling_new[Finacial Year],Modelling_new[[#This Row],[Finacial Year]])</f>
        <v>12.800000000000056</v>
      </c>
      <c r="BD658" s="27">
        <f t="shared" si="239"/>
        <v>45657</v>
      </c>
      <c r="BE658" s="5">
        <f>MONTH(Modelling[[#This Row],[Date]])</f>
        <v>12</v>
      </c>
      <c r="BF658" s="25">
        <f>YEAR(BD658)+IF(MONTH(Modelling[[#This Row],[Date]])&gt;=4,1,0)</f>
        <v>2025</v>
      </c>
      <c r="BG658" s="3">
        <f t="shared" si="259"/>
        <v>2024</v>
      </c>
      <c r="BH658" s="3" t="s">
        <v>627</v>
      </c>
      <c r="BI658" s="3" t="s">
        <v>627</v>
      </c>
      <c r="BJ658" s="102">
        <f>DATE(Modelling_old[[#This Row],[Calendor Year]],Modelling_old[[#This Row],[Start Month]],1)</f>
        <v>45627</v>
      </c>
      <c r="BK658" s="5">
        <f t="shared" si="260"/>
        <v>31</v>
      </c>
      <c r="BL658" s="5">
        <f t="shared" si="261"/>
        <v>12</v>
      </c>
      <c r="BM658" s="4">
        <f>Modelling_old[[#This Row],[Target E_Grid daily
MWh]]+Modelling_new[[#This Row],[Target E_Grid daily
MWh]]</f>
        <v>112.30902337250456</v>
      </c>
      <c r="BN658" s="4">
        <f>Modelling_old[[#This Row],[Target E_Grid MTD
MWh]]+Modelling_new[[#This Row],[Target E_Grid MTD
MWh]]</f>
        <v>3481.5797245476406</v>
      </c>
      <c r="BO658" s="4">
        <f>Modelling_old[[#This Row],[Target E_Grid YTD
MWh]]+Modelling_new[[#This Row],[Target E_Grid YTD
MWh]]</f>
        <v>28122.908004965255</v>
      </c>
      <c r="BP658" s="4">
        <f>AVERAGE(Modelling_old[[#This Row],[Target POA Daily (KWh/m2)]],Modelling_new[[#This Row],[Target POA Daily (KWh/m2)]])</f>
        <v>6.4806451612903224</v>
      </c>
      <c r="BQ658" s="4">
        <f>SUM($BP$628:BP658)</f>
        <v>200.89999999999992</v>
      </c>
      <c r="BR658" s="4">
        <f>SUM($BP$384:BP658)</f>
        <v>1549.1999999999975</v>
      </c>
      <c r="BS658" s="323">
        <f>BM658/Modelling[[#This Row],[Comisined DC ]]/BP658</f>
        <v>0.71307421726835596</v>
      </c>
      <c r="BT658" s="337">
        <f>BN658/BQ658/Modelling[[#This Row],[Comisined DC ]]</f>
        <v>0.71307421726835596</v>
      </c>
      <c r="BU658" s="337">
        <f>BO658/BR658/Modelling[[#This Row],[Comisined DC ]]</f>
        <v>0.74694919577537433</v>
      </c>
      <c r="BV658" s="323">
        <f>BM658/(24*Modelling[[#This Row],[Comisined DC ]])</f>
        <v>0.1925492073242106</v>
      </c>
      <c r="BW658" s="323">
        <f>Modelling[[#This Row],[Target E_Grid MTD
MWh]]/Modelling[[#This Row],[MTD DC Capcity]]/(24*CG658)</f>
        <v>0.19254920732421071</v>
      </c>
      <c r="BX658" s="338">
        <f>Modelling[[#This Row],[Target E_Grid YTD
MWh]]/Modelling[[#This Row],[YTD DC Capcity]]/(24*CH658)</f>
        <v>0.17532934759018259</v>
      </c>
      <c r="BY658" s="4">
        <f>Modelling_old[[#This Row],[DC Capcity]]+Modelling_new[[#This Row],[Comisined DC ]]</f>
        <v>24.303100000000001</v>
      </c>
      <c r="BZ658" s="4">
        <v>0</v>
      </c>
      <c r="CA658">
        <f>AVERAGEIFS(Modelling[[Comisined DC ]],Modelling[Date],"&lt;="&amp;Modelling[[#This Row],[Date]],Modelling[Month Year],Modelling[[#This Row],[Month Year]])</f>
        <v>24.303099999999983</v>
      </c>
      <c r="CB658">
        <f>AVERAGEIFS(Modelling[[Comisined DC ]],Modelling[Date],"&lt;="&amp;Modelling[[#This Row],[Date]],Modelling[Finacial Year],Modelling[[#This Row],[Finacial Year]])</f>
        <v>24.303100000000068</v>
      </c>
      <c r="CG658">
        <f t="shared" si="240"/>
        <v>31</v>
      </c>
      <c r="CH658">
        <f t="shared" si="262"/>
        <v>275</v>
      </c>
    </row>
    <row r="659" spans="1:86" x14ac:dyDescent="0.35">
      <c r="A659" s="27">
        <f t="shared" si="241"/>
        <v>45658</v>
      </c>
      <c r="B659" s="5">
        <f>MONTH(Modelling_old[[#This Row],[Date]])</f>
        <v>1</v>
      </c>
      <c r="C659" s="25">
        <v>2025</v>
      </c>
      <c r="D659" s="3">
        <f t="shared" si="243"/>
        <v>2025</v>
      </c>
      <c r="E659" s="3" t="s">
        <v>627</v>
      </c>
      <c r="F659" s="3" t="s">
        <v>627</v>
      </c>
      <c r="G659" s="102">
        <f>DATE(Modelling_old[[#This Row],[Calendor Year]],Modelling_old[[#This Row],[Start Month]],1)</f>
        <v>45658</v>
      </c>
      <c r="H659" s="5">
        <f t="shared" si="244"/>
        <v>31</v>
      </c>
      <c r="I659" s="5">
        <f t="shared" si="245"/>
        <v>1</v>
      </c>
      <c r="J659" s="4">
        <f>_xlfn.XLOOKUP(Modelling_old[[#This Row],[Month]],$C$1:$C$14,$N$1:$N$14)/Modelling_old[[#This Row],[Total Days]]</f>
        <v>54.258064516129032</v>
      </c>
      <c r="K659" s="4">
        <f>SUM($J$659:J659)</f>
        <v>54.258064516129032</v>
      </c>
      <c r="L659" s="4">
        <f>SUM($J$384:J659)</f>
        <v>12423.258064516142</v>
      </c>
      <c r="M659" s="4">
        <f t="shared" si="246"/>
        <v>6.790322580645161</v>
      </c>
      <c r="N659" s="4">
        <f>SUM($M$659:M659)</f>
        <v>6.790322580645161</v>
      </c>
      <c r="O659" s="4">
        <f>SUM($M$384:M659)</f>
        <v>1555.9903225806427</v>
      </c>
      <c r="P659" s="323">
        <f t="shared" si="247"/>
        <v>0.6946387332416083</v>
      </c>
      <c r="Q659" s="337">
        <f t="shared" si="248"/>
        <v>0.6946387332416083</v>
      </c>
      <c r="R659" s="337">
        <f t="shared" si="249"/>
        <v>0.69408669575753756</v>
      </c>
      <c r="S659" s="323">
        <f t="shared" si="250"/>
        <v>0.19653421148838515</v>
      </c>
      <c r="T659" s="9">
        <f>Modelling_old[[#This Row],[Target E_Grid MTD
MWh]]/Modelling_old[[#This Row],[DC Capcity]]/(24*CG659)</f>
        <v>0.19653421148838512</v>
      </c>
      <c r="U659" s="338">
        <f>Modelling_old[[#This Row],[Target E_Grid YTD
MWh]]/Modelling_old[[#This Row],[DC Capcity]]/(24*CH659)</f>
        <v>0.16304229795149505</v>
      </c>
      <c r="V659" s="134">
        <v>11.5031</v>
      </c>
      <c r="Y659" s="27">
        <f t="shared" si="238"/>
        <v>45658</v>
      </c>
      <c r="Z659" s="5">
        <f>MONTH(Modelling_new[[#This Row],[Date]])</f>
        <v>1</v>
      </c>
      <c r="AA659" s="25">
        <f>YEAR(Y659)+IF(MONTH(Modelling_new[[#This Row],[Date]])&gt;=4,1,0)</f>
        <v>2025</v>
      </c>
      <c r="AB659" s="3">
        <f t="shared" si="251"/>
        <v>2025</v>
      </c>
      <c r="AC659" s="3" t="s">
        <v>627</v>
      </c>
      <c r="AD659" s="3" t="s">
        <v>627</v>
      </c>
      <c r="AE659" s="102">
        <f>DATE(Modelling_old[[#This Row],[Calendor Year]],Modelling_old[[#This Row],[Start Month]],1)</f>
        <v>45658</v>
      </c>
      <c r="AF659" s="5">
        <f t="shared" si="252"/>
        <v>31</v>
      </c>
      <c r="AG659" s="5">
        <f t="shared" si="253"/>
        <v>1</v>
      </c>
      <c r="AH659" s="4">
        <f>_xlfn.XLOOKUP(Modelling_new[[#This Row],[Month]],$AA$1:$AA$14,$AL$1:$AL$14)/Modelling_new[[#This Row],[Total Days]]</f>
        <v>61.45538357437777</v>
      </c>
      <c r="AI659" s="4">
        <f>SUM($AH$659:AH659)</f>
        <v>61.45538357437777</v>
      </c>
      <c r="AJ659" s="4">
        <f>SUM($AH$384:AH659)</f>
        <v>15815.363388539618</v>
      </c>
      <c r="AK659" s="4">
        <f t="shared" si="254"/>
        <v>6.790322580645161</v>
      </c>
      <c r="AL659" s="4">
        <f>SUM($AK$659:AK659)</f>
        <v>6.790322580645161</v>
      </c>
      <c r="AM659" s="4">
        <f>SUM($AK$384:AK659)</f>
        <v>1555.9903225806427</v>
      </c>
      <c r="AN659" s="323">
        <f t="shared" si="255"/>
        <v>0.78678239221549962</v>
      </c>
      <c r="AO659" s="323">
        <f t="shared" si="256"/>
        <v>0.78678239221549973</v>
      </c>
      <c r="AP659" s="323">
        <f t="shared" si="257"/>
        <v>0.88360342025815697</v>
      </c>
      <c r="AQ659" s="323">
        <f t="shared" si="258"/>
        <v>0.22260442682978857</v>
      </c>
      <c r="AR659" s="323">
        <f>Modelling_new[[#This Row],[Target E_Grid MTD
MWh]]/Modelling_new[[#This Row],[MTD DC Capcity]]/(24*CG659)</f>
        <v>0.20005007673951095</v>
      </c>
      <c r="AS659" s="323">
        <f>Modelling_new[[#This Row],[Target E_Grid YTD
MWh]]/Modelling_new[[#This Row],[YTD DC Capcity]]/(24*CH659)</f>
        <v>0.18653008223575665</v>
      </c>
      <c r="AT659" s="5">
        <v>12.8</v>
      </c>
      <c r="AU659" s="9">
        <f>Modelling_new[[#This Row],[Comisined DC ]]/$AO$1</f>
        <v>1</v>
      </c>
      <c r="AV659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59" s="5">
        <f>AVERAGEIFS(Modelling_new[[Comisined DC ]],Modelling_new[Date],"&lt;="&amp;Modelling_new[[#This Row],[Date]],Modelling_new[[Comisined DC ]],"&gt;"&amp;0,Modelling_new[Finacial Year],Modelling_new[[#This Row],[Finacial Year]])</f>
        <v>12.800000000000058</v>
      </c>
      <c r="BD659" s="27">
        <f t="shared" si="239"/>
        <v>45658</v>
      </c>
      <c r="BE659" s="5">
        <f>MONTH(Modelling[[#This Row],[Date]])</f>
        <v>1</v>
      </c>
      <c r="BF659" s="25">
        <f>YEAR(BD659)+IF(MONTH(Modelling[[#This Row],[Date]])&gt;=4,1,0)</f>
        <v>2025</v>
      </c>
      <c r="BG659" s="3">
        <f t="shared" si="259"/>
        <v>2025</v>
      </c>
      <c r="BH659" s="3" t="s">
        <v>627</v>
      </c>
      <c r="BI659" s="3" t="s">
        <v>627</v>
      </c>
      <c r="BJ659" s="102">
        <f>DATE(Modelling_old[[#This Row],[Calendor Year]],Modelling_old[[#This Row],[Start Month]],1)</f>
        <v>45658</v>
      </c>
      <c r="BK659" s="5">
        <f t="shared" si="260"/>
        <v>31</v>
      </c>
      <c r="BL659" s="5">
        <f t="shared" si="261"/>
        <v>1</v>
      </c>
      <c r="BM659" s="4">
        <f>Modelling_old[[#This Row],[Target E_Grid daily
MWh]]+Modelling_new[[#This Row],[Target E_Grid daily
MWh]]</f>
        <v>115.7134480905068</v>
      </c>
      <c r="BN659" s="4">
        <f>Modelling_old[[#This Row],[Target E_Grid MTD
MWh]]+Modelling_new[[#This Row],[Target E_Grid MTD
MWh]]</f>
        <v>115.7134480905068</v>
      </c>
      <c r="BO659" s="4">
        <f>Modelling_old[[#This Row],[Target E_Grid YTD
MWh]]+Modelling_new[[#This Row],[Target E_Grid YTD
MWh]]</f>
        <v>28238.621453055759</v>
      </c>
      <c r="BP659" s="4">
        <f>AVERAGE(Modelling_old[[#This Row],[Target POA Daily (KWh/m2)]],Modelling_new[[#This Row],[Target POA Daily (KWh/m2)]])</f>
        <v>6.790322580645161</v>
      </c>
      <c r="BQ659" s="4">
        <f>SUM($BP$659:BP659)</f>
        <v>6.790322580645161</v>
      </c>
      <c r="BR659" s="4">
        <f>SUM($BP$384:BP659)</f>
        <v>1555.9903225806427</v>
      </c>
      <c r="BS659" s="323">
        <f>BM659/Modelling[[#This Row],[Comisined DC ]]/BP659</f>
        <v>0.70118360819178038</v>
      </c>
      <c r="BT659" s="337">
        <f>BN659/BQ659/Modelling[[#This Row],[Comisined DC ]]</f>
        <v>0.70118360819178038</v>
      </c>
      <c r="BU659" s="337">
        <f>BO659/BR659/Modelling[[#This Row],[Comisined DC ]]</f>
        <v>0.74674947531550029</v>
      </c>
      <c r="BV659" s="323">
        <f>BM659/(24*Modelling[[#This Row],[Comisined DC ]])</f>
        <v>0.19838595366178732</v>
      </c>
      <c r="BW659" s="323">
        <f>Modelling[[#This Row],[Target E_Grid MTD
MWh]]/Modelling[[#This Row],[MTD DC Capcity]]/(24*CG659)</f>
        <v>0.19838595366178732</v>
      </c>
      <c r="BX659" s="338">
        <f>Modelling[[#This Row],[Target E_Grid YTD
MWh]]/Modelling[[#This Row],[YTD DC Capcity]]/(24*CH659)</f>
        <v>0.17541288601797822</v>
      </c>
      <c r="BY659" s="4">
        <f>Modelling_old[[#This Row],[DC Capcity]]+Modelling_new[[#This Row],[Comisined DC ]]</f>
        <v>24.303100000000001</v>
      </c>
      <c r="BZ659" s="4">
        <v>0</v>
      </c>
      <c r="CA659">
        <f>AVERAGEIFS(Modelling[[Comisined DC ]],Modelling[Date],"&lt;="&amp;Modelling[[#This Row],[Date]],Modelling[Month Year],Modelling[[#This Row],[Month Year]])</f>
        <v>24.303100000000001</v>
      </c>
      <c r="CB659">
        <f>AVERAGEIFS(Modelling[[Comisined DC ]],Modelling[Date],"&lt;="&amp;Modelling[[#This Row],[Date]],Modelling[Finacial Year],Modelling[[#This Row],[Finacial Year]])</f>
        <v>24.303100000000068</v>
      </c>
      <c r="CG659">
        <v>1</v>
      </c>
      <c r="CH659">
        <f t="shared" si="262"/>
        <v>276</v>
      </c>
    </row>
    <row r="660" spans="1:86" x14ac:dyDescent="0.35">
      <c r="A660" s="27">
        <f t="shared" si="241"/>
        <v>45659</v>
      </c>
      <c r="B660" s="5">
        <f>MONTH(Modelling_old[[#This Row],[Date]])</f>
        <v>1</v>
      </c>
      <c r="C660" s="25">
        <v>2025</v>
      </c>
      <c r="D660" s="3">
        <f t="shared" si="243"/>
        <v>2025</v>
      </c>
      <c r="E660" s="3" t="s">
        <v>627</v>
      </c>
      <c r="F660" s="3" t="s">
        <v>627</v>
      </c>
      <c r="G660" s="102">
        <f>DATE(Modelling_old[[#This Row],[Calendor Year]],Modelling_old[[#This Row],[Start Month]],1)</f>
        <v>45658</v>
      </c>
      <c r="H660" s="5">
        <f t="shared" si="244"/>
        <v>31</v>
      </c>
      <c r="I660" s="5">
        <f t="shared" si="245"/>
        <v>1</v>
      </c>
      <c r="J660" s="4">
        <f>_xlfn.XLOOKUP(Modelling_old[[#This Row],[Month]],$C$1:$C$14,$N$1:$N$14)/Modelling_old[[#This Row],[Total Days]]</f>
        <v>54.258064516129032</v>
      </c>
      <c r="K660" s="4">
        <f>SUM($J$659:J660)</f>
        <v>108.51612903225806</v>
      </c>
      <c r="L660" s="4">
        <f>SUM($J$384:J660)</f>
        <v>12477.51612903227</v>
      </c>
      <c r="M660" s="4">
        <f t="shared" si="246"/>
        <v>6.790322580645161</v>
      </c>
      <c r="N660" s="4">
        <f>SUM($M$659:M660)</f>
        <v>13.580645161290322</v>
      </c>
      <c r="O660" s="4">
        <f>SUM($M$384:M660)</f>
        <v>1562.7806451612878</v>
      </c>
      <c r="P660" s="323">
        <f t="shared" si="247"/>
        <v>0.6946387332416083</v>
      </c>
      <c r="Q660" s="337">
        <f t="shared" si="248"/>
        <v>0.6946387332416083</v>
      </c>
      <c r="R660" s="337">
        <f t="shared" si="249"/>
        <v>0.69408909437477473</v>
      </c>
      <c r="S660" s="323">
        <f t="shared" si="250"/>
        <v>0.19653421148838515</v>
      </c>
      <c r="T660" s="9">
        <f>Modelling_old[[#This Row],[Target E_Grid MTD
MWh]]/Modelling_old[[#This Row],[DC Capcity]]/(24*CG660)</f>
        <v>0.19653421148838512</v>
      </c>
      <c r="U660" s="338">
        <f>Modelling_old[[#This Row],[Target E_Grid YTD
MWh]]/Modelling_old[[#This Row],[DC Capcity]]/(24*CH660)</f>
        <v>0.16316320738664628</v>
      </c>
      <c r="V660" s="134">
        <v>11.5031</v>
      </c>
      <c r="Y660" s="27">
        <f t="shared" ref="Y660:Y723" si="263">Y659+1</f>
        <v>45659</v>
      </c>
      <c r="Z660" s="5">
        <f>MONTH(Modelling_new[[#This Row],[Date]])</f>
        <v>1</v>
      </c>
      <c r="AA660" s="25">
        <f>YEAR(Y660)+IF(MONTH(Modelling_new[[#This Row],[Date]])&gt;=4,1,0)</f>
        <v>2025</v>
      </c>
      <c r="AB660" s="3">
        <f t="shared" si="251"/>
        <v>2025</v>
      </c>
      <c r="AC660" s="3" t="s">
        <v>627</v>
      </c>
      <c r="AD660" s="3" t="s">
        <v>627</v>
      </c>
      <c r="AE660" s="102">
        <f>DATE(Modelling_old[[#This Row],[Calendor Year]],Modelling_old[[#This Row],[Start Month]],1)</f>
        <v>45658</v>
      </c>
      <c r="AF660" s="5">
        <f t="shared" si="252"/>
        <v>31</v>
      </c>
      <c r="AG660" s="5">
        <f t="shared" si="253"/>
        <v>1</v>
      </c>
      <c r="AH660" s="4">
        <f>_xlfn.XLOOKUP(Modelling_new[[#This Row],[Month]],$AA$1:$AA$14,$AL$1:$AL$14)/Modelling_new[[#This Row],[Total Days]]</f>
        <v>61.45538357437777</v>
      </c>
      <c r="AI660" s="4">
        <f>SUM($AH$659:AH660)</f>
        <v>122.91076714875554</v>
      </c>
      <c r="AJ660" s="4">
        <f>SUM($AH$384:AH660)</f>
        <v>15876.818772113995</v>
      </c>
      <c r="AK660" s="4">
        <f t="shared" si="254"/>
        <v>6.790322580645161</v>
      </c>
      <c r="AL660" s="4">
        <f>SUM($AK$659:AK660)</f>
        <v>13.580645161290322</v>
      </c>
      <c r="AM660" s="4">
        <f>SUM($AK$384:AK660)</f>
        <v>1562.7806451612878</v>
      </c>
      <c r="AN660" s="323">
        <f t="shared" si="255"/>
        <v>0.78678239221549962</v>
      </c>
      <c r="AO660" s="323">
        <f t="shared" si="256"/>
        <v>0.78678239221549973</v>
      </c>
      <c r="AP660" s="323">
        <f t="shared" si="257"/>
        <v>0.88318273037116946</v>
      </c>
      <c r="AQ660" s="323">
        <f t="shared" si="258"/>
        <v>0.22260442682978857</v>
      </c>
      <c r="AR660" s="323">
        <f>Modelling_new[[#This Row],[Target E_Grid MTD
MWh]]/Modelling_new[[#This Row],[MTD DC Capcity]]/(24*CG660)</f>
        <v>0.20005007673951095</v>
      </c>
      <c r="AS660" s="323">
        <f>Modelling_new[[#This Row],[Target E_Grid YTD
MWh]]/Modelling_new[[#This Row],[YTD DC Capcity]]/(24*CH660)</f>
        <v>0.18657889088017451</v>
      </c>
      <c r="AT660" s="5">
        <v>12.8</v>
      </c>
      <c r="AU660" s="9">
        <f>Modelling_new[[#This Row],[Comisined DC ]]/$AO$1</f>
        <v>1</v>
      </c>
      <c r="AV660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60" s="5">
        <f>AVERAGEIFS(Modelling_new[[Comisined DC ]],Modelling_new[Date],"&lt;="&amp;Modelling_new[[#This Row],[Date]],Modelling_new[[Comisined DC ]],"&gt;"&amp;0,Modelling_new[Finacial Year],Modelling_new[[#This Row],[Finacial Year]])</f>
        <v>12.800000000000058</v>
      </c>
      <c r="BD660" s="27">
        <f t="shared" ref="BD660:BD723" si="264">BD659+1</f>
        <v>45659</v>
      </c>
      <c r="BE660" s="5">
        <f>MONTH(Modelling[[#This Row],[Date]])</f>
        <v>1</v>
      </c>
      <c r="BF660" s="25">
        <f>YEAR(BD660)+IF(MONTH(Modelling[[#This Row],[Date]])&gt;=4,1,0)</f>
        <v>2025</v>
      </c>
      <c r="BG660" s="3">
        <f t="shared" si="259"/>
        <v>2025</v>
      </c>
      <c r="BH660" s="3" t="s">
        <v>627</v>
      </c>
      <c r="BI660" s="3" t="s">
        <v>627</v>
      </c>
      <c r="BJ660" s="102">
        <f>DATE(Modelling_old[[#This Row],[Calendor Year]],Modelling_old[[#This Row],[Start Month]],1)</f>
        <v>45658</v>
      </c>
      <c r="BK660" s="5">
        <f t="shared" si="260"/>
        <v>31</v>
      </c>
      <c r="BL660" s="5">
        <f t="shared" si="261"/>
        <v>1</v>
      </c>
      <c r="BM660" s="4">
        <f>Modelling_old[[#This Row],[Target E_Grid daily
MWh]]+Modelling_new[[#This Row],[Target E_Grid daily
MWh]]</f>
        <v>115.7134480905068</v>
      </c>
      <c r="BN660" s="4">
        <f>Modelling_old[[#This Row],[Target E_Grid MTD
MWh]]+Modelling_new[[#This Row],[Target E_Grid MTD
MWh]]</f>
        <v>231.4268961810136</v>
      </c>
      <c r="BO660" s="4">
        <f>Modelling_old[[#This Row],[Target E_Grid YTD
MWh]]+Modelling_new[[#This Row],[Target E_Grid YTD
MWh]]</f>
        <v>28354.334901146263</v>
      </c>
      <c r="BP660" s="4">
        <f>AVERAGE(Modelling_old[[#This Row],[Target POA Daily (KWh/m2)]],Modelling_new[[#This Row],[Target POA Daily (KWh/m2)]])</f>
        <v>6.790322580645161</v>
      </c>
      <c r="BQ660" s="4">
        <f>SUM($BP$659:BP660)</f>
        <v>13.580645161290322</v>
      </c>
      <c r="BR660" s="4">
        <f>SUM($BP$384:BP660)</f>
        <v>1562.7806451612878</v>
      </c>
      <c r="BS660" s="323">
        <f>BM660/Modelling[[#This Row],[Comisined DC ]]/BP660</f>
        <v>0.70118360819178038</v>
      </c>
      <c r="BT660" s="337">
        <f>BN660/BQ660/Modelling[[#This Row],[Comisined DC ]]</f>
        <v>0.70118360819178038</v>
      </c>
      <c r="BU660" s="337">
        <f>BO660/BR660/Modelling[[#This Row],[Comisined DC ]]</f>
        <v>0.74655149043681945</v>
      </c>
      <c r="BV660" s="323">
        <f>BM660/(24*Modelling[[#This Row],[Comisined DC ]])</f>
        <v>0.19838595366178732</v>
      </c>
      <c r="BW660" s="323">
        <f>Modelling[[#This Row],[Target E_Grid MTD
MWh]]/Modelling[[#This Row],[MTD DC Capcity]]/(24*CG660)</f>
        <v>0.19838595366178732</v>
      </c>
      <c r="BX660" s="338">
        <f>Modelling[[#This Row],[Target E_Grid YTD
MWh]]/Modelling[[#This Row],[YTD DC Capcity]]/(24*CH660)</f>
        <v>0.17549582128023022</v>
      </c>
      <c r="BY660" s="4">
        <f>Modelling_old[[#This Row],[DC Capcity]]+Modelling_new[[#This Row],[Comisined DC ]]</f>
        <v>24.303100000000001</v>
      </c>
      <c r="BZ660" s="4">
        <v>0</v>
      </c>
      <c r="CA660">
        <f>AVERAGEIFS(Modelling[[Comisined DC ]],Modelling[Date],"&lt;="&amp;Modelling[[#This Row],[Date]],Modelling[Month Year],Modelling[[#This Row],[Month Year]])</f>
        <v>24.303100000000001</v>
      </c>
      <c r="CB660">
        <f>AVERAGEIFS(Modelling[[Comisined DC ]],Modelling[Date],"&lt;="&amp;Modelling[[#This Row],[Date]],Modelling[Finacial Year],Modelling[[#This Row],[Finacial Year]])</f>
        <v>24.303100000000068</v>
      </c>
      <c r="CG660">
        <f t="shared" ref="CG660:CG689" si="265">CG659+1</f>
        <v>2</v>
      </c>
      <c r="CH660">
        <f t="shared" si="262"/>
        <v>277</v>
      </c>
    </row>
    <row r="661" spans="1:86" x14ac:dyDescent="0.35">
      <c r="A661" s="27">
        <f t="shared" si="241"/>
        <v>45660</v>
      </c>
      <c r="B661" s="5">
        <f>MONTH(Modelling_old[[#This Row],[Date]])</f>
        <v>1</v>
      </c>
      <c r="C661" s="25">
        <v>2025</v>
      </c>
      <c r="D661" s="3">
        <f t="shared" si="243"/>
        <v>2025</v>
      </c>
      <c r="E661" s="3" t="s">
        <v>627</v>
      </c>
      <c r="F661" s="3" t="s">
        <v>627</v>
      </c>
      <c r="G661" s="102">
        <f>DATE(Modelling_old[[#This Row],[Calendor Year]],Modelling_old[[#This Row],[Start Month]],1)</f>
        <v>45658</v>
      </c>
      <c r="H661" s="5">
        <f t="shared" si="244"/>
        <v>31</v>
      </c>
      <c r="I661" s="5">
        <f t="shared" si="245"/>
        <v>1</v>
      </c>
      <c r="J661" s="4">
        <f>_xlfn.XLOOKUP(Modelling_old[[#This Row],[Month]],$C$1:$C$14,$N$1:$N$14)/Modelling_old[[#This Row],[Total Days]]</f>
        <v>54.258064516129032</v>
      </c>
      <c r="K661" s="4">
        <f>SUM($J$659:J661)</f>
        <v>162.7741935483871</v>
      </c>
      <c r="L661" s="4">
        <f>SUM($J$384:J661)</f>
        <v>12531.774193548399</v>
      </c>
      <c r="M661" s="4">
        <f t="shared" si="246"/>
        <v>6.790322580645161</v>
      </c>
      <c r="N661" s="4">
        <f>SUM($M$659:M661)</f>
        <v>20.370967741935484</v>
      </c>
      <c r="O661" s="4">
        <f>SUM($M$384:M661)</f>
        <v>1569.5709677419329</v>
      </c>
      <c r="P661" s="323">
        <f t="shared" si="247"/>
        <v>0.6946387332416083</v>
      </c>
      <c r="Q661" s="337">
        <f t="shared" si="248"/>
        <v>0.6946387332416083</v>
      </c>
      <c r="R661" s="337">
        <f t="shared" si="249"/>
        <v>0.69409147223807965</v>
      </c>
      <c r="S661" s="323">
        <f t="shared" si="250"/>
        <v>0.19653421148838515</v>
      </c>
      <c r="T661" s="9">
        <f>Modelling_old[[#This Row],[Target E_Grid MTD
MWh]]/Modelling_old[[#This Row],[DC Capcity]]/(24*CG661)</f>
        <v>0.19653421148838512</v>
      </c>
      <c r="U661" s="338">
        <f>Modelling_old[[#This Row],[Target E_Grid YTD
MWh]]/Modelling_old[[#This Row],[DC Capcity]]/(24*CH661)</f>
        <v>0.16328324696974605</v>
      </c>
      <c r="V661" s="134">
        <v>11.5031</v>
      </c>
      <c r="Y661" s="27">
        <f t="shared" si="263"/>
        <v>45660</v>
      </c>
      <c r="Z661" s="5">
        <f>MONTH(Modelling_new[[#This Row],[Date]])</f>
        <v>1</v>
      </c>
      <c r="AA661" s="25">
        <f>YEAR(Y661)+IF(MONTH(Modelling_new[[#This Row],[Date]])&gt;=4,1,0)</f>
        <v>2025</v>
      </c>
      <c r="AB661" s="3">
        <f t="shared" si="251"/>
        <v>2025</v>
      </c>
      <c r="AC661" s="3" t="s">
        <v>627</v>
      </c>
      <c r="AD661" s="3" t="s">
        <v>627</v>
      </c>
      <c r="AE661" s="102">
        <f>DATE(Modelling_old[[#This Row],[Calendor Year]],Modelling_old[[#This Row],[Start Month]],1)</f>
        <v>45658</v>
      </c>
      <c r="AF661" s="5">
        <f t="shared" si="252"/>
        <v>31</v>
      </c>
      <c r="AG661" s="5">
        <f t="shared" si="253"/>
        <v>1</v>
      </c>
      <c r="AH661" s="4">
        <f>_xlfn.XLOOKUP(Modelling_new[[#This Row],[Month]],$AA$1:$AA$14,$AL$1:$AL$14)/Modelling_new[[#This Row],[Total Days]]</f>
        <v>61.45538357437777</v>
      </c>
      <c r="AI661" s="4">
        <f>SUM($AH$659:AH661)</f>
        <v>184.3661507231333</v>
      </c>
      <c r="AJ661" s="4">
        <f>SUM($AH$384:AH661)</f>
        <v>15938.274155688372</v>
      </c>
      <c r="AK661" s="4">
        <f t="shared" si="254"/>
        <v>6.790322580645161</v>
      </c>
      <c r="AL661" s="4">
        <f>SUM($AK$659:AK661)</f>
        <v>20.370967741935484</v>
      </c>
      <c r="AM661" s="4">
        <f>SUM($AK$384:AK661)</f>
        <v>1569.5709677419329</v>
      </c>
      <c r="AN661" s="323">
        <f t="shared" si="255"/>
        <v>0.78678239221549962</v>
      </c>
      <c r="AO661" s="323">
        <f t="shared" si="256"/>
        <v>0.7867823922154995</v>
      </c>
      <c r="AP661" s="323">
        <f t="shared" si="257"/>
        <v>0.88276568048530024</v>
      </c>
      <c r="AQ661" s="323">
        <f t="shared" si="258"/>
        <v>0.22260442682978857</v>
      </c>
      <c r="AR661" s="323">
        <f>Modelling_new[[#This Row],[Target E_Grid MTD
MWh]]/Modelling_new[[#This Row],[MTD DC Capcity]]/(24*CG661)</f>
        <v>0.20005007673951092</v>
      </c>
      <c r="AS661" s="323">
        <f>Modelling_new[[#This Row],[Target E_Grid YTD
MWh]]/Modelling_new[[#This Row],[YTD DC Capcity]]/(24*CH661)</f>
        <v>0.18662734838326567</v>
      </c>
      <c r="AT661" s="5">
        <v>12.8</v>
      </c>
      <c r="AU661" s="9">
        <f>Modelling_new[[#This Row],[Comisined DC ]]/$AO$1</f>
        <v>1</v>
      </c>
      <c r="AV661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61" s="5">
        <f>AVERAGEIFS(Modelling_new[[Comisined DC ]],Modelling_new[Date],"&lt;="&amp;Modelling_new[[#This Row],[Date]],Modelling_new[[Comisined DC ]],"&gt;"&amp;0,Modelling_new[Finacial Year],Modelling_new[[#This Row],[Finacial Year]])</f>
        <v>12.800000000000058</v>
      </c>
      <c r="BD661" s="27">
        <f t="shared" si="264"/>
        <v>45660</v>
      </c>
      <c r="BE661" s="5">
        <f>MONTH(Modelling[[#This Row],[Date]])</f>
        <v>1</v>
      </c>
      <c r="BF661" s="25">
        <f>YEAR(BD661)+IF(MONTH(Modelling[[#This Row],[Date]])&gt;=4,1,0)</f>
        <v>2025</v>
      </c>
      <c r="BG661" s="3">
        <f t="shared" si="259"/>
        <v>2025</v>
      </c>
      <c r="BH661" s="3" t="s">
        <v>627</v>
      </c>
      <c r="BI661" s="3" t="s">
        <v>627</v>
      </c>
      <c r="BJ661" s="102">
        <f>DATE(Modelling_old[[#This Row],[Calendor Year]],Modelling_old[[#This Row],[Start Month]],1)</f>
        <v>45658</v>
      </c>
      <c r="BK661" s="5">
        <f t="shared" si="260"/>
        <v>31</v>
      </c>
      <c r="BL661" s="5">
        <f t="shared" si="261"/>
        <v>1</v>
      </c>
      <c r="BM661" s="4">
        <f>Modelling_old[[#This Row],[Target E_Grid daily
MWh]]+Modelling_new[[#This Row],[Target E_Grid daily
MWh]]</f>
        <v>115.7134480905068</v>
      </c>
      <c r="BN661" s="4">
        <f>Modelling_old[[#This Row],[Target E_Grid MTD
MWh]]+Modelling_new[[#This Row],[Target E_Grid MTD
MWh]]</f>
        <v>347.14034427152041</v>
      </c>
      <c r="BO661" s="4">
        <f>Modelling_old[[#This Row],[Target E_Grid YTD
MWh]]+Modelling_new[[#This Row],[Target E_Grid YTD
MWh]]</f>
        <v>28470.048349236771</v>
      </c>
      <c r="BP661" s="4">
        <f>AVERAGE(Modelling_old[[#This Row],[Target POA Daily (KWh/m2)]],Modelling_new[[#This Row],[Target POA Daily (KWh/m2)]])</f>
        <v>6.790322580645161</v>
      </c>
      <c r="BQ661" s="4">
        <f>SUM($BP$659:BP661)</f>
        <v>20.370967741935484</v>
      </c>
      <c r="BR661" s="4">
        <f>SUM($BP$384:BP661)</f>
        <v>1569.5709677419329</v>
      </c>
      <c r="BS661" s="323">
        <f>BM661/Modelling[[#This Row],[Comisined DC ]]/BP661</f>
        <v>0.70118360819178038</v>
      </c>
      <c r="BT661" s="337">
        <f>BN661/BQ661/Modelling[[#This Row],[Comisined DC ]]</f>
        <v>0.70118360819178038</v>
      </c>
      <c r="BU661" s="337">
        <f>BO661/BR661/Modelling[[#This Row],[Comisined DC ]]</f>
        <v>0.74635521861376986</v>
      </c>
      <c r="BV661" s="323">
        <f>BM661/(24*Modelling[[#This Row],[Comisined DC ]])</f>
        <v>0.19838595366178732</v>
      </c>
      <c r="BW661" s="323">
        <f>Modelling[[#This Row],[Target E_Grid MTD
MWh]]/Modelling[[#This Row],[MTD DC Capcity]]/(24*CG661)</f>
        <v>0.19838595366178732</v>
      </c>
      <c r="BX661" s="338">
        <f>Modelling[[#This Row],[Target E_Grid YTD
MWh]]/Modelling[[#This Row],[YTD DC Capcity]]/(24*CH661)</f>
        <v>0.17557815988591929</v>
      </c>
      <c r="BY661" s="4">
        <f>Modelling_old[[#This Row],[DC Capcity]]+Modelling_new[[#This Row],[Comisined DC ]]</f>
        <v>24.303100000000001</v>
      </c>
      <c r="BZ661" s="4">
        <v>0</v>
      </c>
      <c r="CA661">
        <f>AVERAGEIFS(Modelling[[Comisined DC ]],Modelling[Date],"&lt;="&amp;Modelling[[#This Row],[Date]],Modelling[Month Year],Modelling[[#This Row],[Month Year]])</f>
        <v>24.303100000000001</v>
      </c>
      <c r="CB661">
        <f>AVERAGEIFS(Modelling[[Comisined DC ]],Modelling[Date],"&lt;="&amp;Modelling[[#This Row],[Date]],Modelling[Finacial Year],Modelling[[#This Row],[Finacial Year]])</f>
        <v>24.303100000000068</v>
      </c>
      <c r="CG661">
        <f t="shared" si="265"/>
        <v>3</v>
      </c>
      <c r="CH661">
        <f t="shared" si="262"/>
        <v>278</v>
      </c>
    </row>
    <row r="662" spans="1:86" x14ac:dyDescent="0.35">
      <c r="A662" s="27">
        <f t="shared" si="241"/>
        <v>45661</v>
      </c>
      <c r="B662" s="5">
        <f>MONTH(Modelling_old[[#This Row],[Date]])</f>
        <v>1</v>
      </c>
      <c r="C662" s="25">
        <v>2025</v>
      </c>
      <c r="D662" s="3">
        <f t="shared" si="243"/>
        <v>2025</v>
      </c>
      <c r="E662" s="3" t="s">
        <v>627</v>
      </c>
      <c r="F662" s="3" t="s">
        <v>627</v>
      </c>
      <c r="G662" s="102">
        <f>DATE(Modelling_old[[#This Row],[Calendor Year]],Modelling_old[[#This Row],[Start Month]],1)</f>
        <v>45658</v>
      </c>
      <c r="H662" s="5">
        <f t="shared" si="244"/>
        <v>31</v>
      </c>
      <c r="I662" s="5">
        <f t="shared" si="245"/>
        <v>1</v>
      </c>
      <c r="J662" s="4">
        <f>_xlfn.XLOOKUP(Modelling_old[[#This Row],[Month]],$C$1:$C$14,$N$1:$N$14)/Modelling_old[[#This Row],[Total Days]]</f>
        <v>54.258064516129032</v>
      </c>
      <c r="K662" s="4">
        <f>SUM($J$659:J662)</f>
        <v>217.03225806451613</v>
      </c>
      <c r="L662" s="4">
        <f>SUM($J$384:J662)</f>
        <v>12586.032258064528</v>
      </c>
      <c r="M662" s="4">
        <f t="shared" si="246"/>
        <v>6.790322580645161</v>
      </c>
      <c r="N662" s="4">
        <f>SUM($M$659:M662)</f>
        <v>27.161290322580644</v>
      </c>
      <c r="O662" s="4">
        <f>SUM($M$384:M662)</f>
        <v>1576.361290322578</v>
      </c>
      <c r="P662" s="323">
        <f t="shared" si="247"/>
        <v>0.6946387332416083</v>
      </c>
      <c r="Q662" s="337">
        <f t="shared" si="248"/>
        <v>0.6946387332416083</v>
      </c>
      <c r="R662" s="337">
        <f t="shared" si="249"/>
        <v>0.69409382961565069</v>
      </c>
      <c r="S662" s="323">
        <f t="shared" si="250"/>
        <v>0.19653421148838515</v>
      </c>
      <c r="T662" s="9">
        <f>Modelling_old[[#This Row],[Target E_Grid MTD
MWh]]/Modelling_old[[#This Row],[DC Capcity]]/(24*CG662)</f>
        <v>0.19653421148838512</v>
      </c>
      <c r="U662" s="338">
        <f>Modelling_old[[#This Row],[Target E_Grid YTD
MWh]]/Modelling_old[[#This Row],[DC Capcity]]/(24*CH662)</f>
        <v>0.16340242605404223</v>
      </c>
      <c r="V662" s="134">
        <v>11.5031</v>
      </c>
      <c r="Y662" s="27">
        <f t="shared" si="263"/>
        <v>45661</v>
      </c>
      <c r="Z662" s="5">
        <f>MONTH(Modelling_new[[#This Row],[Date]])</f>
        <v>1</v>
      </c>
      <c r="AA662" s="25">
        <f>YEAR(Y662)+IF(MONTH(Modelling_new[[#This Row],[Date]])&gt;=4,1,0)</f>
        <v>2025</v>
      </c>
      <c r="AB662" s="3">
        <f t="shared" si="251"/>
        <v>2025</v>
      </c>
      <c r="AC662" s="3" t="s">
        <v>627</v>
      </c>
      <c r="AD662" s="3" t="s">
        <v>627</v>
      </c>
      <c r="AE662" s="102">
        <f>DATE(Modelling_old[[#This Row],[Calendor Year]],Modelling_old[[#This Row],[Start Month]],1)</f>
        <v>45658</v>
      </c>
      <c r="AF662" s="5">
        <f t="shared" si="252"/>
        <v>31</v>
      </c>
      <c r="AG662" s="5">
        <f t="shared" si="253"/>
        <v>1</v>
      </c>
      <c r="AH662" s="4">
        <f>_xlfn.XLOOKUP(Modelling_new[[#This Row],[Month]],$AA$1:$AA$14,$AL$1:$AL$14)/Modelling_new[[#This Row],[Total Days]]</f>
        <v>61.45538357437777</v>
      </c>
      <c r="AI662" s="4">
        <f>SUM($AH$659:AH662)</f>
        <v>245.82153429751108</v>
      </c>
      <c r="AJ662" s="4">
        <f>SUM($AH$384:AH662)</f>
        <v>15999.729539262749</v>
      </c>
      <c r="AK662" s="4">
        <f t="shared" si="254"/>
        <v>6.790322580645161</v>
      </c>
      <c r="AL662" s="4">
        <f>SUM($AK$659:AK662)</f>
        <v>27.161290322580644</v>
      </c>
      <c r="AM662" s="4">
        <f>SUM($AK$384:AK662)</f>
        <v>1576.361290322578</v>
      </c>
      <c r="AN662" s="323">
        <f t="shared" si="255"/>
        <v>0.78678239221549962</v>
      </c>
      <c r="AO662" s="323">
        <f t="shared" si="256"/>
        <v>0.78678239221549973</v>
      </c>
      <c r="AP662" s="323">
        <f t="shared" si="257"/>
        <v>0.88235222356162146</v>
      </c>
      <c r="AQ662" s="323">
        <f t="shared" si="258"/>
        <v>0.22260442682978857</v>
      </c>
      <c r="AR662" s="323">
        <f>Modelling_new[[#This Row],[Target E_Grid MTD
MWh]]/Modelling_new[[#This Row],[MTD DC Capcity]]/(24*CG662)</f>
        <v>0.20005007673951095</v>
      </c>
      <c r="AS662" s="323">
        <f>Modelling_new[[#This Row],[Target E_Grid YTD
MWh]]/Modelling_new[[#This Row],[YTD DC Capcity]]/(24*CH662)</f>
        <v>0.18667545852074324</v>
      </c>
      <c r="AT662" s="5">
        <v>12.8</v>
      </c>
      <c r="AU662" s="9">
        <f>Modelling_new[[#This Row],[Comisined DC ]]/$AO$1</f>
        <v>1</v>
      </c>
      <c r="AV662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62" s="5">
        <f>AVERAGEIFS(Modelling_new[[Comisined DC ]],Modelling_new[Date],"&lt;="&amp;Modelling_new[[#This Row],[Date]],Modelling_new[[Comisined DC ]],"&gt;"&amp;0,Modelling_new[Finacial Year],Modelling_new[[#This Row],[Finacial Year]])</f>
        <v>12.800000000000058</v>
      </c>
      <c r="BD662" s="27">
        <f t="shared" si="264"/>
        <v>45661</v>
      </c>
      <c r="BE662" s="5">
        <f>MONTH(Modelling[[#This Row],[Date]])</f>
        <v>1</v>
      </c>
      <c r="BF662" s="25">
        <f>YEAR(BD662)+IF(MONTH(Modelling[[#This Row],[Date]])&gt;=4,1,0)</f>
        <v>2025</v>
      </c>
      <c r="BG662" s="3">
        <f t="shared" si="259"/>
        <v>2025</v>
      </c>
      <c r="BH662" s="3" t="s">
        <v>627</v>
      </c>
      <c r="BI662" s="3" t="s">
        <v>627</v>
      </c>
      <c r="BJ662" s="102">
        <f>DATE(Modelling_old[[#This Row],[Calendor Year]],Modelling_old[[#This Row],[Start Month]],1)</f>
        <v>45658</v>
      </c>
      <c r="BK662" s="5">
        <f t="shared" si="260"/>
        <v>31</v>
      </c>
      <c r="BL662" s="5">
        <f t="shared" si="261"/>
        <v>1</v>
      </c>
      <c r="BM662" s="4">
        <f>Modelling_old[[#This Row],[Target E_Grid daily
MWh]]+Modelling_new[[#This Row],[Target E_Grid daily
MWh]]</f>
        <v>115.7134480905068</v>
      </c>
      <c r="BN662" s="4">
        <f>Modelling_old[[#This Row],[Target E_Grid MTD
MWh]]+Modelling_new[[#This Row],[Target E_Grid MTD
MWh]]</f>
        <v>462.85379236202721</v>
      </c>
      <c r="BO662" s="4">
        <f>Modelling_old[[#This Row],[Target E_Grid YTD
MWh]]+Modelling_new[[#This Row],[Target E_Grid YTD
MWh]]</f>
        <v>28585.761797327279</v>
      </c>
      <c r="BP662" s="4">
        <f>AVERAGE(Modelling_old[[#This Row],[Target POA Daily (KWh/m2)]],Modelling_new[[#This Row],[Target POA Daily (KWh/m2)]])</f>
        <v>6.790322580645161</v>
      </c>
      <c r="BQ662" s="4">
        <f>SUM($BP$659:BP662)</f>
        <v>27.161290322580644</v>
      </c>
      <c r="BR662" s="4">
        <f>SUM($BP$384:BP662)</f>
        <v>1576.361290322578</v>
      </c>
      <c r="BS662" s="323">
        <f>BM662/Modelling[[#This Row],[Comisined DC ]]/BP662</f>
        <v>0.70118360819178038</v>
      </c>
      <c r="BT662" s="337">
        <f>BN662/BQ662/Modelling[[#This Row],[Comisined DC ]]</f>
        <v>0.70118360819178038</v>
      </c>
      <c r="BU662" s="337">
        <f>BO662/BR662/Modelling[[#This Row],[Comisined DC ]]</f>
        <v>0.74616063770891294</v>
      </c>
      <c r="BV662" s="323">
        <f>BM662/(24*Modelling[[#This Row],[Comisined DC ]])</f>
        <v>0.19838595366178732</v>
      </c>
      <c r="BW662" s="323">
        <f>Modelling[[#This Row],[Target E_Grid MTD
MWh]]/Modelling[[#This Row],[MTD DC Capcity]]/(24*CG662)</f>
        <v>0.19838595366178732</v>
      </c>
      <c r="BX662" s="338">
        <f>Modelling[[#This Row],[Target E_Grid YTD
MWh]]/Modelling[[#This Row],[YTD DC Capcity]]/(24*CH662)</f>
        <v>0.17565990825070735</v>
      </c>
      <c r="BY662" s="4">
        <f>Modelling_old[[#This Row],[DC Capcity]]+Modelling_new[[#This Row],[Comisined DC ]]</f>
        <v>24.303100000000001</v>
      </c>
      <c r="BZ662" s="4">
        <v>0</v>
      </c>
      <c r="CA662">
        <f>AVERAGEIFS(Modelling[[Comisined DC ]],Modelling[Date],"&lt;="&amp;Modelling[[#This Row],[Date]],Modelling[Month Year],Modelling[[#This Row],[Month Year]])</f>
        <v>24.303100000000001</v>
      </c>
      <c r="CB662">
        <f>AVERAGEIFS(Modelling[[Comisined DC ]],Modelling[Date],"&lt;="&amp;Modelling[[#This Row],[Date]],Modelling[Finacial Year],Modelling[[#This Row],[Finacial Year]])</f>
        <v>24.303100000000068</v>
      </c>
      <c r="CG662">
        <f t="shared" si="265"/>
        <v>4</v>
      </c>
      <c r="CH662">
        <f t="shared" si="262"/>
        <v>279</v>
      </c>
    </row>
    <row r="663" spans="1:86" x14ac:dyDescent="0.35">
      <c r="A663" s="27">
        <f t="shared" si="241"/>
        <v>45662</v>
      </c>
      <c r="B663" s="5">
        <f>MONTH(Modelling_old[[#This Row],[Date]])</f>
        <v>1</v>
      </c>
      <c r="C663" s="25">
        <v>2025</v>
      </c>
      <c r="D663" s="3">
        <f t="shared" si="243"/>
        <v>2025</v>
      </c>
      <c r="E663" s="3" t="s">
        <v>627</v>
      </c>
      <c r="F663" s="3" t="s">
        <v>627</v>
      </c>
      <c r="G663" s="102">
        <f>DATE(Modelling_old[[#This Row],[Calendor Year]],Modelling_old[[#This Row],[Start Month]],1)</f>
        <v>45658</v>
      </c>
      <c r="H663" s="5">
        <f t="shared" si="244"/>
        <v>31</v>
      </c>
      <c r="I663" s="5">
        <f t="shared" si="245"/>
        <v>1</v>
      </c>
      <c r="J663" s="4">
        <f>_xlfn.XLOOKUP(Modelling_old[[#This Row],[Month]],$C$1:$C$14,$N$1:$N$14)/Modelling_old[[#This Row],[Total Days]]</f>
        <v>54.258064516129032</v>
      </c>
      <c r="K663" s="4">
        <f>SUM($J$659:J663)</f>
        <v>271.29032258064518</v>
      </c>
      <c r="L663" s="4">
        <f>SUM($J$384:J663)</f>
        <v>12640.290322580657</v>
      </c>
      <c r="M663" s="4">
        <f t="shared" si="246"/>
        <v>6.790322580645161</v>
      </c>
      <c r="N663" s="4">
        <f>SUM($M$659:M663)</f>
        <v>33.951612903225808</v>
      </c>
      <c r="O663" s="4">
        <f>SUM($M$384:M663)</f>
        <v>1583.1516129032232</v>
      </c>
      <c r="P663" s="323">
        <f t="shared" si="247"/>
        <v>0.6946387332416083</v>
      </c>
      <c r="Q663" s="337">
        <f t="shared" si="248"/>
        <v>0.6946387332416083</v>
      </c>
      <c r="R663" s="337">
        <f t="shared" si="249"/>
        <v>0.69409616677108521</v>
      </c>
      <c r="S663" s="323">
        <f t="shared" si="250"/>
        <v>0.19653421148838515</v>
      </c>
      <c r="T663" s="9">
        <f>Modelling_old[[#This Row],[Target E_Grid MTD
MWh]]/Modelling_old[[#This Row],[DC Capcity]]/(24*CG663)</f>
        <v>0.19653421148838515</v>
      </c>
      <c r="U663" s="338">
        <f>Modelling_old[[#This Row],[Target E_Grid YTD
MWh]]/Modelling_old[[#This Row],[DC Capcity]]/(24*CH663)</f>
        <v>0.1635207538591649</v>
      </c>
      <c r="V663" s="134">
        <v>11.5031</v>
      </c>
      <c r="Y663" s="27">
        <f t="shared" si="263"/>
        <v>45662</v>
      </c>
      <c r="Z663" s="5">
        <f>MONTH(Modelling_new[[#This Row],[Date]])</f>
        <v>1</v>
      </c>
      <c r="AA663" s="25">
        <f>YEAR(Y663)+IF(MONTH(Modelling_new[[#This Row],[Date]])&gt;=4,1,0)</f>
        <v>2025</v>
      </c>
      <c r="AB663" s="3">
        <f t="shared" si="251"/>
        <v>2025</v>
      </c>
      <c r="AC663" s="3" t="s">
        <v>627</v>
      </c>
      <c r="AD663" s="3" t="s">
        <v>627</v>
      </c>
      <c r="AE663" s="102">
        <f>DATE(Modelling_old[[#This Row],[Calendor Year]],Modelling_old[[#This Row],[Start Month]],1)</f>
        <v>45658</v>
      </c>
      <c r="AF663" s="5">
        <f t="shared" si="252"/>
        <v>31</v>
      </c>
      <c r="AG663" s="5">
        <f t="shared" si="253"/>
        <v>1</v>
      </c>
      <c r="AH663" s="4">
        <f>_xlfn.XLOOKUP(Modelling_new[[#This Row],[Month]],$AA$1:$AA$14,$AL$1:$AL$14)/Modelling_new[[#This Row],[Total Days]]</f>
        <v>61.45538357437777</v>
      </c>
      <c r="AI663" s="4">
        <f>SUM($AH$659:AH663)</f>
        <v>307.27691787188883</v>
      </c>
      <c r="AJ663" s="4">
        <f>SUM($AH$384:AH663)</f>
        <v>16061.184922837127</v>
      </c>
      <c r="AK663" s="4">
        <f t="shared" si="254"/>
        <v>6.790322580645161</v>
      </c>
      <c r="AL663" s="4">
        <f>SUM($AK$659:AK663)</f>
        <v>33.951612903225808</v>
      </c>
      <c r="AM663" s="4">
        <f>SUM($AK$384:AK663)</f>
        <v>1583.1516129032232</v>
      </c>
      <c r="AN663" s="323">
        <f t="shared" si="255"/>
        <v>0.78678239221549962</v>
      </c>
      <c r="AO663" s="323">
        <f t="shared" si="256"/>
        <v>0.7867823922154995</v>
      </c>
      <c r="AP663" s="323">
        <f t="shared" si="257"/>
        <v>0.88194231336822704</v>
      </c>
      <c r="AQ663" s="323">
        <f t="shared" si="258"/>
        <v>0.22260442682978857</v>
      </c>
      <c r="AR663" s="323">
        <f>Modelling_new[[#This Row],[Target E_Grid MTD
MWh]]/Modelling_new[[#This Row],[MTD DC Capcity]]/(24*CG663)</f>
        <v>0.20005007673951095</v>
      </c>
      <c r="AS663" s="323">
        <f>Modelling_new[[#This Row],[Target E_Grid YTD
MWh]]/Modelling_new[[#This Row],[YTD DC Capcity]]/(24*CH663)</f>
        <v>0.18672322501438166</v>
      </c>
      <c r="AT663" s="5">
        <v>12.8</v>
      </c>
      <c r="AU663" s="9">
        <f>Modelling_new[[#This Row],[Comisined DC ]]/$AO$1</f>
        <v>1</v>
      </c>
      <c r="AV663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63" s="5">
        <f>AVERAGEIFS(Modelling_new[[Comisined DC ]],Modelling_new[Date],"&lt;="&amp;Modelling_new[[#This Row],[Date]],Modelling_new[[Comisined DC ]],"&gt;"&amp;0,Modelling_new[Finacial Year],Modelling_new[[#This Row],[Finacial Year]])</f>
        <v>12.800000000000059</v>
      </c>
      <c r="BD663" s="27">
        <f t="shared" si="264"/>
        <v>45662</v>
      </c>
      <c r="BE663" s="5">
        <f>MONTH(Modelling[[#This Row],[Date]])</f>
        <v>1</v>
      </c>
      <c r="BF663" s="25">
        <f>YEAR(BD663)+IF(MONTH(Modelling[[#This Row],[Date]])&gt;=4,1,0)</f>
        <v>2025</v>
      </c>
      <c r="BG663" s="3">
        <f t="shared" si="259"/>
        <v>2025</v>
      </c>
      <c r="BH663" s="3" t="s">
        <v>627</v>
      </c>
      <c r="BI663" s="3" t="s">
        <v>627</v>
      </c>
      <c r="BJ663" s="102">
        <f>DATE(Modelling_old[[#This Row],[Calendor Year]],Modelling_old[[#This Row],[Start Month]],1)</f>
        <v>45658</v>
      </c>
      <c r="BK663" s="5">
        <f t="shared" si="260"/>
        <v>31</v>
      </c>
      <c r="BL663" s="5">
        <f t="shared" si="261"/>
        <v>1</v>
      </c>
      <c r="BM663" s="4">
        <f>Modelling_old[[#This Row],[Target E_Grid daily
MWh]]+Modelling_new[[#This Row],[Target E_Grid daily
MWh]]</f>
        <v>115.7134480905068</v>
      </c>
      <c r="BN663" s="4">
        <f>Modelling_old[[#This Row],[Target E_Grid MTD
MWh]]+Modelling_new[[#This Row],[Target E_Grid MTD
MWh]]</f>
        <v>578.56724045253395</v>
      </c>
      <c r="BO663" s="4">
        <f>Modelling_old[[#This Row],[Target E_Grid YTD
MWh]]+Modelling_new[[#This Row],[Target E_Grid YTD
MWh]]</f>
        <v>28701.475245417783</v>
      </c>
      <c r="BP663" s="4">
        <f>AVERAGE(Modelling_old[[#This Row],[Target POA Daily (KWh/m2)]],Modelling_new[[#This Row],[Target POA Daily (KWh/m2)]])</f>
        <v>6.790322580645161</v>
      </c>
      <c r="BQ663" s="4">
        <f>SUM($BP$659:BP663)</f>
        <v>33.951612903225808</v>
      </c>
      <c r="BR663" s="4">
        <f>SUM($BP$384:BP663)</f>
        <v>1583.1516129032232</v>
      </c>
      <c r="BS663" s="323">
        <f>BM663/Modelling[[#This Row],[Comisined DC ]]/BP663</f>
        <v>0.70118360819178038</v>
      </c>
      <c r="BT663" s="337">
        <f>BN663/BQ663/Modelling[[#This Row],[Comisined DC ]]</f>
        <v>0.70118360819178016</v>
      </c>
      <c r="BU663" s="337">
        <f>BO663/BR663/Modelling[[#This Row],[Comisined DC ]]</f>
        <v>0.74596772596461036</v>
      </c>
      <c r="BV663" s="323">
        <f>BM663/(24*Modelling[[#This Row],[Comisined DC ]])</f>
        <v>0.19838595366178732</v>
      </c>
      <c r="BW663" s="323">
        <f>Modelling[[#This Row],[Target E_Grid MTD
MWh]]/Modelling[[#This Row],[MTD DC Capcity]]/(24*CG663)</f>
        <v>0.1983859536617873</v>
      </c>
      <c r="BX663" s="338">
        <f>Modelling[[#This Row],[Target E_Grid YTD
MWh]]/Modelling[[#This Row],[YTD DC Capcity]]/(24*CH663)</f>
        <v>0.17574107269860403</v>
      </c>
      <c r="BY663" s="4">
        <f>Modelling_old[[#This Row],[DC Capcity]]+Modelling_new[[#This Row],[Comisined DC ]]</f>
        <v>24.303100000000001</v>
      </c>
      <c r="BZ663" s="4">
        <v>0</v>
      </c>
      <c r="CA663">
        <f>AVERAGEIFS(Modelling[[Comisined DC ]],Modelling[Date],"&lt;="&amp;Modelling[[#This Row],[Date]],Modelling[Month Year],Modelling[[#This Row],[Month Year]])</f>
        <v>24.303100000000001</v>
      </c>
      <c r="CB663">
        <f>AVERAGEIFS(Modelling[[Comisined DC ]],Modelling[Date],"&lt;="&amp;Modelling[[#This Row],[Date]],Modelling[Finacial Year],Modelling[[#This Row],[Finacial Year]])</f>
        <v>24.303100000000068</v>
      </c>
      <c r="CG663">
        <f t="shared" si="265"/>
        <v>5</v>
      </c>
      <c r="CH663">
        <f t="shared" si="262"/>
        <v>280</v>
      </c>
    </row>
    <row r="664" spans="1:86" x14ac:dyDescent="0.35">
      <c r="A664" s="27">
        <f t="shared" si="241"/>
        <v>45663</v>
      </c>
      <c r="B664" s="5">
        <f>MONTH(Modelling_old[[#This Row],[Date]])</f>
        <v>1</v>
      </c>
      <c r="C664" s="25">
        <v>2025</v>
      </c>
      <c r="D664" s="3">
        <f t="shared" si="243"/>
        <v>2025</v>
      </c>
      <c r="E664" s="3" t="s">
        <v>627</v>
      </c>
      <c r="F664" s="3" t="s">
        <v>627</v>
      </c>
      <c r="G664" s="102">
        <f>DATE(Modelling_old[[#This Row],[Calendor Year]],Modelling_old[[#This Row],[Start Month]],1)</f>
        <v>45658</v>
      </c>
      <c r="H664" s="5">
        <f t="shared" si="244"/>
        <v>31</v>
      </c>
      <c r="I664" s="5">
        <f t="shared" si="245"/>
        <v>1</v>
      </c>
      <c r="J664" s="4">
        <f>_xlfn.XLOOKUP(Modelling_old[[#This Row],[Month]],$C$1:$C$14,$N$1:$N$14)/Modelling_old[[#This Row],[Total Days]]</f>
        <v>54.258064516129032</v>
      </c>
      <c r="K664" s="4">
        <f>SUM($J$659:J664)</f>
        <v>325.54838709677421</v>
      </c>
      <c r="L664" s="4">
        <f>SUM($J$384:J664)</f>
        <v>12694.548387096786</v>
      </c>
      <c r="M664" s="4">
        <f t="shared" si="246"/>
        <v>6.790322580645161</v>
      </c>
      <c r="N664" s="4">
        <f>SUM($M$659:M664)</f>
        <v>40.741935483870968</v>
      </c>
      <c r="O664" s="4">
        <f>SUM($M$384:M664)</f>
        <v>1589.9419354838683</v>
      </c>
      <c r="P664" s="323">
        <f t="shared" si="247"/>
        <v>0.6946387332416083</v>
      </c>
      <c r="Q664" s="337">
        <f t="shared" si="248"/>
        <v>0.6946387332416083</v>
      </c>
      <c r="R664" s="337">
        <f t="shared" si="249"/>
        <v>0.69409848396347695</v>
      </c>
      <c r="S664" s="323">
        <f t="shared" si="250"/>
        <v>0.19653421148838515</v>
      </c>
      <c r="T664" s="9">
        <f>Modelling_old[[#This Row],[Target E_Grid MTD
MWh]]/Modelling_old[[#This Row],[DC Capcity]]/(24*CG664)</f>
        <v>0.19653421148838512</v>
      </c>
      <c r="U664" s="338">
        <f>Modelling_old[[#This Row],[Target E_Grid YTD
MWh]]/Modelling_old[[#This Row],[DC Capcity]]/(24*CH664)</f>
        <v>0.16363823947350373</v>
      </c>
      <c r="V664" s="134">
        <v>11.5031</v>
      </c>
      <c r="Y664" s="27">
        <f t="shared" si="263"/>
        <v>45663</v>
      </c>
      <c r="Z664" s="5">
        <f>MONTH(Modelling_new[[#This Row],[Date]])</f>
        <v>1</v>
      </c>
      <c r="AA664" s="25">
        <f>YEAR(Y664)+IF(MONTH(Modelling_new[[#This Row],[Date]])&gt;=4,1,0)</f>
        <v>2025</v>
      </c>
      <c r="AB664" s="3">
        <f t="shared" si="251"/>
        <v>2025</v>
      </c>
      <c r="AC664" s="3" t="s">
        <v>627</v>
      </c>
      <c r="AD664" s="3" t="s">
        <v>627</v>
      </c>
      <c r="AE664" s="102">
        <f>DATE(Modelling_old[[#This Row],[Calendor Year]],Modelling_old[[#This Row],[Start Month]],1)</f>
        <v>45658</v>
      </c>
      <c r="AF664" s="5">
        <f t="shared" si="252"/>
        <v>31</v>
      </c>
      <c r="AG664" s="5">
        <f t="shared" si="253"/>
        <v>1</v>
      </c>
      <c r="AH664" s="4">
        <f>_xlfn.XLOOKUP(Modelling_new[[#This Row],[Month]],$AA$1:$AA$14,$AL$1:$AL$14)/Modelling_new[[#This Row],[Total Days]]</f>
        <v>61.45538357437777</v>
      </c>
      <c r="AI664" s="4">
        <f>SUM($AH$659:AH664)</f>
        <v>368.7323014462666</v>
      </c>
      <c r="AJ664" s="4">
        <f>SUM($AH$384:AH664)</f>
        <v>16122.640306411504</v>
      </c>
      <c r="AK664" s="4">
        <f t="shared" si="254"/>
        <v>6.790322580645161</v>
      </c>
      <c r="AL664" s="4">
        <f>SUM($AK$659:AK664)</f>
        <v>40.741935483870968</v>
      </c>
      <c r="AM664" s="4">
        <f>SUM($AK$384:AK664)</f>
        <v>1589.9419354838683</v>
      </c>
      <c r="AN664" s="323">
        <f t="shared" si="255"/>
        <v>0.78678239221549962</v>
      </c>
      <c r="AO664" s="323">
        <f t="shared" si="256"/>
        <v>0.7867823922154995</v>
      </c>
      <c r="AP664" s="323">
        <f t="shared" si="257"/>
        <v>0.88153590446299912</v>
      </c>
      <c r="AQ664" s="323">
        <f t="shared" si="258"/>
        <v>0.22260442682978857</v>
      </c>
      <c r="AR664" s="323">
        <f>Modelling_new[[#This Row],[Target E_Grid MTD
MWh]]/Modelling_new[[#This Row],[MTD DC Capcity]]/(24*CG664)</f>
        <v>0.20005007673951097</v>
      </c>
      <c r="AS664" s="323">
        <f>Modelling_new[[#This Row],[Target E_Grid YTD
MWh]]/Modelling_new[[#This Row],[YTD DC Capcity]]/(24*CH664)</f>
        <v>0.18677065153297642</v>
      </c>
      <c r="AT664" s="5">
        <v>12.8</v>
      </c>
      <c r="AU664" s="9">
        <f>Modelling_new[[#This Row],[Comisined DC ]]/$AO$1</f>
        <v>1</v>
      </c>
      <c r="AV66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64" s="5">
        <f>AVERAGEIFS(Modelling_new[[Comisined DC ]],Modelling_new[Date],"&lt;="&amp;Modelling_new[[#This Row],[Date]],Modelling_new[[Comisined DC ]],"&gt;"&amp;0,Modelling_new[Finacial Year],Modelling_new[[#This Row],[Finacial Year]])</f>
        <v>12.800000000000059</v>
      </c>
      <c r="BD664" s="27">
        <f t="shared" si="264"/>
        <v>45663</v>
      </c>
      <c r="BE664" s="5">
        <f>MONTH(Modelling[[#This Row],[Date]])</f>
        <v>1</v>
      </c>
      <c r="BF664" s="25">
        <f>YEAR(BD664)+IF(MONTH(Modelling[[#This Row],[Date]])&gt;=4,1,0)</f>
        <v>2025</v>
      </c>
      <c r="BG664" s="3">
        <f t="shared" si="259"/>
        <v>2025</v>
      </c>
      <c r="BH664" s="3" t="s">
        <v>627</v>
      </c>
      <c r="BI664" s="3" t="s">
        <v>627</v>
      </c>
      <c r="BJ664" s="102">
        <f>DATE(Modelling_old[[#This Row],[Calendor Year]],Modelling_old[[#This Row],[Start Month]],1)</f>
        <v>45658</v>
      </c>
      <c r="BK664" s="5">
        <f t="shared" si="260"/>
        <v>31</v>
      </c>
      <c r="BL664" s="5">
        <f t="shared" si="261"/>
        <v>1</v>
      </c>
      <c r="BM664" s="4">
        <f>Modelling_old[[#This Row],[Target E_Grid daily
MWh]]+Modelling_new[[#This Row],[Target E_Grid daily
MWh]]</f>
        <v>115.7134480905068</v>
      </c>
      <c r="BN664" s="4">
        <f>Modelling_old[[#This Row],[Target E_Grid MTD
MWh]]+Modelling_new[[#This Row],[Target E_Grid MTD
MWh]]</f>
        <v>694.28068854304081</v>
      </c>
      <c r="BO664" s="4">
        <f>Modelling_old[[#This Row],[Target E_Grid YTD
MWh]]+Modelling_new[[#This Row],[Target E_Grid YTD
MWh]]</f>
        <v>28817.188693508288</v>
      </c>
      <c r="BP664" s="4">
        <f>AVERAGE(Modelling_old[[#This Row],[Target POA Daily (KWh/m2)]],Modelling_new[[#This Row],[Target POA Daily (KWh/m2)]])</f>
        <v>6.790322580645161</v>
      </c>
      <c r="BQ664" s="4">
        <f>SUM($BP$659:BP664)</f>
        <v>40.741935483870968</v>
      </c>
      <c r="BR664" s="4">
        <f>SUM($BP$384:BP664)</f>
        <v>1589.9419354838683</v>
      </c>
      <c r="BS664" s="323">
        <f>BM664/Modelling[[#This Row],[Comisined DC ]]/BP664</f>
        <v>0.70118360819178038</v>
      </c>
      <c r="BT664" s="337">
        <f>BN664/BQ664/Modelling[[#This Row],[Comisined DC ]]</f>
        <v>0.70118360819178038</v>
      </c>
      <c r="BU664" s="337">
        <f>BO664/BR664/Modelling[[#This Row],[Comisined DC ]]</f>
        <v>0.74577646199491399</v>
      </c>
      <c r="BV664" s="323">
        <f>BM664/(24*Modelling[[#This Row],[Comisined DC ]])</f>
        <v>0.19838595366178732</v>
      </c>
      <c r="BW664" s="323">
        <f>Modelling[[#This Row],[Target E_Grid MTD
MWh]]/Modelling[[#This Row],[MTD DC Capcity]]/(24*CG664)</f>
        <v>0.19838595366178732</v>
      </c>
      <c r="BX664" s="338">
        <f>Modelling[[#This Row],[Target E_Grid YTD
MWh]]/Modelling[[#This Row],[YTD DC Capcity]]/(24*CH664)</f>
        <v>0.17582165946359757</v>
      </c>
      <c r="BY664" s="4">
        <f>Modelling_old[[#This Row],[DC Capcity]]+Modelling_new[[#This Row],[Comisined DC ]]</f>
        <v>24.303100000000001</v>
      </c>
      <c r="BZ664" s="4">
        <v>0</v>
      </c>
      <c r="CA664">
        <f>AVERAGEIFS(Modelling[[Comisined DC ]],Modelling[Date],"&lt;="&amp;Modelling[[#This Row],[Date]],Modelling[Month Year],Modelling[[#This Row],[Month Year]])</f>
        <v>24.303100000000001</v>
      </c>
      <c r="CB664">
        <f>AVERAGEIFS(Modelling[[Comisined DC ]],Modelling[Date],"&lt;="&amp;Modelling[[#This Row],[Date]],Modelling[Finacial Year],Modelling[[#This Row],[Finacial Year]])</f>
        <v>24.303100000000068</v>
      </c>
      <c r="CG664">
        <f t="shared" si="265"/>
        <v>6</v>
      </c>
      <c r="CH664">
        <f t="shared" si="262"/>
        <v>281</v>
      </c>
    </row>
    <row r="665" spans="1:86" x14ac:dyDescent="0.35">
      <c r="A665" s="27">
        <f t="shared" si="241"/>
        <v>45664</v>
      </c>
      <c r="B665" s="5">
        <f>MONTH(Modelling_old[[#This Row],[Date]])</f>
        <v>1</v>
      </c>
      <c r="C665" s="25">
        <v>2025</v>
      </c>
      <c r="D665" s="3">
        <f t="shared" si="243"/>
        <v>2025</v>
      </c>
      <c r="E665" s="3" t="s">
        <v>627</v>
      </c>
      <c r="F665" s="3" t="s">
        <v>627</v>
      </c>
      <c r="G665" s="102">
        <f>DATE(Modelling_old[[#This Row],[Calendor Year]],Modelling_old[[#This Row],[Start Month]],1)</f>
        <v>45658</v>
      </c>
      <c r="H665" s="5">
        <f t="shared" si="244"/>
        <v>31</v>
      </c>
      <c r="I665" s="5">
        <f t="shared" si="245"/>
        <v>1</v>
      </c>
      <c r="J665" s="4">
        <f>_xlfn.XLOOKUP(Modelling_old[[#This Row],[Month]],$C$1:$C$14,$N$1:$N$14)/Modelling_old[[#This Row],[Total Days]]</f>
        <v>54.258064516129032</v>
      </c>
      <c r="K665" s="4">
        <f>SUM($J$659:J665)</f>
        <v>379.80645161290323</v>
      </c>
      <c r="L665" s="4">
        <f>SUM($J$384:J665)</f>
        <v>12748.806451612914</v>
      </c>
      <c r="M665" s="4">
        <f t="shared" si="246"/>
        <v>6.790322580645161</v>
      </c>
      <c r="N665" s="4">
        <f>SUM($M$659:M665)</f>
        <v>47.532258064516128</v>
      </c>
      <c r="O665" s="4">
        <f>SUM($M$384:M665)</f>
        <v>1596.7322580645134</v>
      </c>
      <c r="P665" s="323">
        <f t="shared" si="247"/>
        <v>0.6946387332416083</v>
      </c>
      <c r="Q665" s="337">
        <f t="shared" si="248"/>
        <v>0.6946387332416083</v>
      </c>
      <c r="R665" s="337">
        <f t="shared" si="249"/>
        <v>0.69410078144751286</v>
      </c>
      <c r="S665" s="323">
        <f t="shared" si="250"/>
        <v>0.19653421148838515</v>
      </c>
      <c r="T665" s="9">
        <f>Modelling_old[[#This Row],[Target E_Grid MTD
MWh]]/Modelling_old[[#This Row],[DC Capcity]]/(24*CG665)</f>
        <v>0.19653421148838512</v>
      </c>
      <c r="U665" s="338">
        <f>Modelling_old[[#This Row],[Target E_Grid YTD
MWh]]/Modelling_old[[#This Row],[DC Capcity]]/(24*CH665)</f>
        <v>0.16375489185653525</v>
      </c>
      <c r="V665" s="134">
        <v>11.5031</v>
      </c>
      <c r="Y665" s="27">
        <f t="shared" si="263"/>
        <v>45664</v>
      </c>
      <c r="Z665" s="5">
        <f>MONTH(Modelling_new[[#This Row],[Date]])</f>
        <v>1</v>
      </c>
      <c r="AA665" s="25">
        <f>YEAR(Y665)+IF(MONTH(Modelling_new[[#This Row],[Date]])&gt;=4,1,0)</f>
        <v>2025</v>
      </c>
      <c r="AB665" s="3">
        <f t="shared" si="251"/>
        <v>2025</v>
      </c>
      <c r="AC665" s="3" t="s">
        <v>627</v>
      </c>
      <c r="AD665" s="3" t="s">
        <v>627</v>
      </c>
      <c r="AE665" s="102">
        <f>DATE(Modelling_old[[#This Row],[Calendor Year]],Modelling_old[[#This Row],[Start Month]],1)</f>
        <v>45658</v>
      </c>
      <c r="AF665" s="5">
        <f t="shared" si="252"/>
        <v>31</v>
      </c>
      <c r="AG665" s="5">
        <f t="shared" si="253"/>
        <v>1</v>
      </c>
      <c r="AH665" s="4">
        <f>_xlfn.XLOOKUP(Modelling_new[[#This Row],[Month]],$AA$1:$AA$14,$AL$1:$AL$14)/Modelling_new[[#This Row],[Total Days]]</f>
        <v>61.45538357437777</v>
      </c>
      <c r="AI665" s="4">
        <f>SUM($AH$659:AH665)</f>
        <v>430.18768502064438</v>
      </c>
      <c r="AJ665" s="4">
        <f>SUM($AH$384:AH665)</f>
        <v>16184.095689985881</v>
      </c>
      <c r="AK665" s="4">
        <f t="shared" si="254"/>
        <v>6.790322580645161</v>
      </c>
      <c r="AL665" s="4">
        <f>SUM($AK$659:AK665)</f>
        <v>47.532258064516128</v>
      </c>
      <c r="AM665" s="4">
        <f>SUM($AK$384:AK665)</f>
        <v>1596.7322580645134</v>
      </c>
      <c r="AN665" s="323">
        <f t="shared" si="255"/>
        <v>0.78678239221549962</v>
      </c>
      <c r="AO665" s="323">
        <f t="shared" si="256"/>
        <v>0.7867823922154995</v>
      </c>
      <c r="AP665" s="323">
        <f t="shared" si="257"/>
        <v>0.88113295217681598</v>
      </c>
      <c r="AQ665" s="323">
        <f t="shared" si="258"/>
        <v>0.22260442682978857</v>
      </c>
      <c r="AR665" s="323">
        <f>Modelling_new[[#This Row],[Target E_Grid MTD
MWh]]/Modelling_new[[#This Row],[MTD DC Capcity]]/(24*CG665)</f>
        <v>0.20005007673951097</v>
      </c>
      <c r="AS665" s="323">
        <f>Modelling_new[[#This Row],[Target E_Grid YTD
MWh]]/Modelling_new[[#This Row],[YTD DC Capcity]]/(24*CH665)</f>
        <v>0.18681774169328325</v>
      </c>
      <c r="AT665" s="5">
        <v>12.8</v>
      </c>
      <c r="AU665" s="9">
        <f>Modelling_new[[#This Row],[Comisined DC ]]/$AO$1</f>
        <v>1</v>
      </c>
      <c r="AV66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65" s="5">
        <f>AVERAGEIFS(Modelling_new[[Comisined DC ]],Modelling_new[Date],"&lt;="&amp;Modelling_new[[#This Row],[Date]],Modelling_new[[Comisined DC ]],"&gt;"&amp;0,Modelling_new[Finacial Year],Modelling_new[[#This Row],[Finacial Year]])</f>
        <v>12.800000000000059</v>
      </c>
      <c r="BD665" s="27">
        <f t="shared" si="264"/>
        <v>45664</v>
      </c>
      <c r="BE665" s="5">
        <f>MONTH(Modelling[[#This Row],[Date]])</f>
        <v>1</v>
      </c>
      <c r="BF665" s="25">
        <f>YEAR(BD665)+IF(MONTH(Modelling[[#This Row],[Date]])&gt;=4,1,0)</f>
        <v>2025</v>
      </c>
      <c r="BG665" s="3">
        <f t="shared" si="259"/>
        <v>2025</v>
      </c>
      <c r="BH665" s="3" t="s">
        <v>627</v>
      </c>
      <c r="BI665" s="3" t="s">
        <v>627</v>
      </c>
      <c r="BJ665" s="102">
        <f>DATE(Modelling_old[[#This Row],[Calendor Year]],Modelling_old[[#This Row],[Start Month]],1)</f>
        <v>45658</v>
      </c>
      <c r="BK665" s="5">
        <f t="shared" si="260"/>
        <v>31</v>
      </c>
      <c r="BL665" s="5">
        <f t="shared" si="261"/>
        <v>1</v>
      </c>
      <c r="BM665" s="4">
        <f>Modelling_old[[#This Row],[Target E_Grid daily
MWh]]+Modelling_new[[#This Row],[Target E_Grid daily
MWh]]</f>
        <v>115.7134480905068</v>
      </c>
      <c r="BN665" s="4">
        <f>Modelling_old[[#This Row],[Target E_Grid MTD
MWh]]+Modelling_new[[#This Row],[Target E_Grid MTD
MWh]]</f>
        <v>809.99413663354767</v>
      </c>
      <c r="BO665" s="4">
        <f>Modelling_old[[#This Row],[Target E_Grid YTD
MWh]]+Modelling_new[[#This Row],[Target E_Grid YTD
MWh]]</f>
        <v>28932.902141598795</v>
      </c>
      <c r="BP665" s="4">
        <f>AVERAGE(Modelling_old[[#This Row],[Target POA Daily (KWh/m2)]],Modelling_new[[#This Row],[Target POA Daily (KWh/m2)]])</f>
        <v>6.790322580645161</v>
      </c>
      <c r="BQ665" s="4">
        <f>SUM($BP$659:BP665)</f>
        <v>47.532258064516128</v>
      </c>
      <c r="BR665" s="4">
        <f>SUM($BP$384:BP665)</f>
        <v>1596.7322580645134</v>
      </c>
      <c r="BS665" s="323">
        <f>BM665/Modelling[[#This Row],[Comisined DC ]]/BP665</f>
        <v>0.70118360819178038</v>
      </c>
      <c r="BT665" s="337">
        <f>BN665/BQ665/Modelling[[#This Row],[Comisined DC ]]</f>
        <v>0.70118360819178038</v>
      </c>
      <c r="BU665" s="337">
        <f>BO665/BR665/Modelling[[#This Row],[Comisined DC ]]</f>
        <v>0.7455868247776628</v>
      </c>
      <c r="BV665" s="323">
        <f>BM665/(24*Modelling[[#This Row],[Comisined DC ]])</f>
        <v>0.19838595366178732</v>
      </c>
      <c r="BW665" s="323">
        <f>Modelling[[#This Row],[Target E_Grid MTD
MWh]]/Modelling[[#This Row],[MTD DC Capcity]]/(24*CG665)</f>
        <v>0.19838595366178732</v>
      </c>
      <c r="BX665" s="338">
        <f>Modelling[[#This Row],[Target E_Grid YTD
MWh]]/Modelling[[#This Row],[YTD DC Capcity]]/(24*CH665)</f>
        <v>0.1759016746912507</v>
      </c>
      <c r="BY665" s="4">
        <f>Modelling_old[[#This Row],[DC Capcity]]+Modelling_new[[#This Row],[Comisined DC ]]</f>
        <v>24.303100000000001</v>
      </c>
      <c r="BZ665" s="4">
        <v>0</v>
      </c>
      <c r="CA665">
        <f>AVERAGEIFS(Modelling[[Comisined DC ]],Modelling[Date],"&lt;="&amp;Modelling[[#This Row],[Date]],Modelling[Month Year],Modelling[[#This Row],[Month Year]])</f>
        <v>24.303100000000001</v>
      </c>
      <c r="CB665">
        <f>AVERAGEIFS(Modelling[[Comisined DC ]],Modelling[Date],"&lt;="&amp;Modelling[[#This Row],[Date]],Modelling[Finacial Year],Modelling[[#This Row],[Finacial Year]])</f>
        <v>24.303100000000068</v>
      </c>
      <c r="CG665">
        <f t="shared" si="265"/>
        <v>7</v>
      </c>
      <c r="CH665">
        <f t="shared" si="262"/>
        <v>282</v>
      </c>
    </row>
    <row r="666" spans="1:86" x14ac:dyDescent="0.35">
      <c r="A666" s="27">
        <f t="shared" si="241"/>
        <v>45665</v>
      </c>
      <c r="B666" s="5">
        <f>MONTH(Modelling_old[[#This Row],[Date]])</f>
        <v>1</v>
      </c>
      <c r="C666" s="25">
        <v>2025</v>
      </c>
      <c r="D666" s="3">
        <f t="shared" si="243"/>
        <v>2025</v>
      </c>
      <c r="E666" s="3" t="s">
        <v>627</v>
      </c>
      <c r="F666" s="3" t="s">
        <v>627</v>
      </c>
      <c r="G666" s="102">
        <f>DATE(Modelling_old[[#This Row],[Calendor Year]],Modelling_old[[#This Row],[Start Month]],1)</f>
        <v>45658</v>
      </c>
      <c r="H666" s="5">
        <f t="shared" si="244"/>
        <v>31</v>
      </c>
      <c r="I666" s="5">
        <f t="shared" si="245"/>
        <v>1</v>
      </c>
      <c r="J666" s="4">
        <f>_xlfn.XLOOKUP(Modelling_old[[#This Row],[Month]],$C$1:$C$14,$N$1:$N$14)/Modelling_old[[#This Row],[Total Days]]</f>
        <v>54.258064516129032</v>
      </c>
      <c r="K666" s="4">
        <f>SUM($J$659:J666)</f>
        <v>434.06451612903226</v>
      </c>
      <c r="L666" s="4">
        <f>SUM($J$384:J666)</f>
        <v>12803.064516129043</v>
      </c>
      <c r="M666" s="4">
        <f t="shared" si="246"/>
        <v>6.790322580645161</v>
      </c>
      <c r="N666" s="4">
        <f>SUM($M$659:M666)</f>
        <v>54.322580645161288</v>
      </c>
      <c r="O666" s="4">
        <f>SUM($M$384:M666)</f>
        <v>1603.5225806451585</v>
      </c>
      <c r="P666" s="323">
        <f t="shared" si="247"/>
        <v>0.6946387332416083</v>
      </c>
      <c r="Q666" s="337">
        <f t="shared" si="248"/>
        <v>0.6946387332416083</v>
      </c>
      <c r="R666" s="337">
        <f t="shared" si="249"/>
        <v>0.69410305947356554</v>
      </c>
      <c r="S666" s="323">
        <f t="shared" si="250"/>
        <v>0.19653421148838515</v>
      </c>
      <c r="T666" s="9">
        <f>Modelling_old[[#This Row],[Target E_Grid MTD
MWh]]/Modelling_old[[#This Row],[DC Capcity]]/(24*CG666)</f>
        <v>0.19653421148838512</v>
      </c>
      <c r="U666" s="338">
        <f>Modelling_old[[#This Row],[Target E_Grid YTD
MWh]]/Modelling_old[[#This Row],[DC Capcity]]/(24*CH666)</f>
        <v>0.16387071984110008</v>
      </c>
      <c r="V666" s="134">
        <v>11.5031</v>
      </c>
      <c r="Y666" s="27">
        <f t="shared" si="263"/>
        <v>45665</v>
      </c>
      <c r="Z666" s="5">
        <f>MONTH(Modelling_new[[#This Row],[Date]])</f>
        <v>1</v>
      </c>
      <c r="AA666" s="25">
        <f>YEAR(Y666)+IF(MONTH(Modelling_new[[#This Row],[Date]])&gt;=4,1,0)</f>
        <v>2025</v>
      </c>
      <c r="AB666" s="3">
        <f t="shared" si="251"/>
        <v>2025</v>
      </c>
      <c r="AC666" s="3" t="s">
        <v>627</v>
      </c>
      <c r="AD666" s="3" t="s">
        <v>627</v>
      </c>
      <c r="AE666" s="102">
        <f>DATE(Modelling_old[[#This Row],[Calendor Year]],Modelling_old[[#This Row],[Start Month]],1)</f>
        <v>45658</v>
      </c>
      <c r="AF666" s="5">
        <f t="shared" si="252"/>
        <v>31</v>
      </c>
      <c r="AG666" s="5">
        <f t="shared" si="253"/>
        <v>1</v>
      </c>
      <c r="AH666" s="4">
        <f>_xlfn.XLOOKUP(Modelling_new[[#This Row],[Month]],$AA$1:$AA$14,$AL$1:$AL$14)/Modelling_new[[#This Row],[Total Days]]</f>
        <v>61.45538357437777</v>
      </c>
      <c r="AI666" s="4">
        <f>SUM($AH$659:AH666)</f>
        <v>491.64306859502216</v>
      </c>
      <c r="AJ666" s="4">
        <f>SUM($AH$384:AH666)</f>
        <v>16245.551073560258</v>
      </c>
      <c r="AK666" s="4">
        <f t="shared" si="254"/>
        <v>6.790322580645161</v>
      </c>
      <c r="AL666" s="4">
        <f>SUM($AK$659:AK666)</f>
        <v>54.322580645161288</v>
      </c>
      <c r="AM666" s="4">
        <f>SUM($AK$384:AK666)</f>
        <v>1603.5225806451585</v>
      </c>
      <c r="AN666" s="323">
        <f t="shared" si="255"/>
        <v>0.78678239221549962</v>
      </c>
      <c r="AO666" s="323">
        <f t="shared" si="256"/>
        <v>0.78678239221549973</v>
      </c>
      <c r="AP666" s="323">
        <f t="shared" si="257"/>
        <v>0.88073341259718363</v>
      </c>
      <c r="AQ666" s="323">
        <f t="shared" si="258"/>
        <v>0.22260442682978857</v>
      </c>
      <c r="AR666" s="323">
        <f>Modelling_new[[#This Row],[Target E_Grid MTD
MWh]]/Modelling_new[[#This Row],[MTD DC Capcity]]/(24*CG666)</f>
        <v>0.200050076739511</v>
      </c>
      <c r="AS666" s="323">
        <f>Modelling_new[[#This Row],[Target E_Grid YTD
MWh]]/Modelling_new[[#This Row],[YTD DC Capcity]]/(24*CH666)</f>
        <v>0.18686449906093777</v>
      </c>
      <c r="AT666" s="5">
        <v>12.8</v>
      </c>
      <c r="AU666" s="9">
        <f>Modelling_new[[#This Row],[Comisined DC ]]/$AO$1</f>
        <v>1</v>
      </c>
      <c r="AV666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66" s="5">
        <f>AVERAGEIFS(Modelling_new[[Comisined DC ]],Modelling_new[Date],"&lt;="&amp;Modelling_new[[#This Row],[Date]],Modelling_new[[Comisined DC ]],"&gt;"&amp;0,Modelling_new[Finacial Year],Modelling_new[[#This Row],[Finacial Year]])</f>
        <v>12.800000000000059</v>
      </c>
      <c r="BD666" s="27">
        <f t="shared" si="264"/>
        <v>45665</v>
      </c>
      <c r="BE666" s="5">
        <f>MONTH(Modelling[[#This Row],[Date]])</f>
        <v>1</v>
      </c>
      <c r="BF666" s="25">
        <f>YEAR(BD666)+IF(MONTH(Modelling[[#This Row],[Date]])&gt;=4,1,0)</f>
        <v>2025</v>
      </c>
      <c r="BG666" s="3">
        <f t="shared" si="259"/>
        <v>2025</v>
      </c>
      <c r="BH666" s="3" t="s">
        <v>627</v>
      </c>
      <c r="BI666" s="3" t="s">
        <v>627</v>
      </c>
      <c r="BJ666" s="102">
        <f>DATE(Modelling_old[[#This Row],[Calendor Year]],Modelling_old[[#This Row],[Start Month]],1)</f>
        <v>45658</v>
      </c>
      <c r="BK666" s="5">
        <f t="shared" si="260"/>
        <v>31</v>
      </c>
      <c r="BL666" s="5">
        <f t="shared" si="261"/>
        <v>1</v>
      </c>
      <c r="BM666" s="4">
        <f>Modelling_old[[#This Row],[Target E_Grid daily
MWh]]+Modelling_new[[#This Row],[Target E_Grid daily
MWh]]</f>
        <v>115.7134480905068</v>
      </c>
      <c r="BN666" s="4">
        <f>Modelling_old[[#This Row],[Target E_Grid MTD
MWh]]+Modelling_new[[#This Row],[Target E_Grid MTD
MWh]]</f>
        <v>925.70758472405441</v>
      </c>
      <c r="BO666" s="4">
        <f>Modelling_old[[#This Row],[Target E_Grid YTD
MWh]]+Modelling_new[[#This Row],[Target E_Grid YTD
MWh]]</f>
        <v>29048.615589689303</v>
      </c>
      <c r="BP666" s="4">
        <f>AVERAGE(Modelling_old[[#This Row],[Target POA Daily (KWh/m2)]],Modelling_new[[#This Row],[Target POA Daily (KWh/m2)]])</f>
        <v>6.790322580645161</v>
      </c>
      <c r="BQ666" s="4">
        <f>SUM($BP$659:BP666)</f>
        <v>54.322580645161288</v>
      </c>
      <c r="BR666" s="4">
        <f>SUM($BP$384:BP666)</f>
        <v>1603.5225806451585</v>
      </c>
      <c r="BS666" s="323">
        <f>BM666/Modelling[[#This Row],[Comisined DC ]]/BP666</f>
        <v>0.70118360819178038</v>
      </c>
      <c r="BT666" s="337">
        <f>BN666/BQ666/Modelling[[#This Row],[Comisined DC ]]</f>
        <v>0.70118360819178038</v>
      </c>
      <c r="BU666" s="337">
        <f>BO666/BR666/Modelling[[#This Row],[Comisined DC ]]</f>
        <v>0.74539879364677897</v>
      </c>
      <c r="BV666" s="323">
        <f>BM666/(24*Modelling[[#This Row],[Comisined DC ]])</f>
        <v>0.19838595366178732</v>
      </c>
      <c r="BW666" s="323">
        <f>Modelling[[#This Row],[Target E_Grid MTD
MWh]]/Modelling[[#This Row],[MTD DC Capcity]]/(24*CG666)</f>
        <v>0.19838595366178732</v>
      </c>
      <c r="BX666" s="338">
        <f>Modelling[[#This Row],[Target E_Grid YTD
MWh]]/Modelling[[#This Row],[YTD DC Capcity]]/(24*CH666)</f>
        <v>0.17598112444026323</v>
      </c>
      <c r="BY666" s="4">
        <f>Modelling_old[[#This Row],[DC Capcity]]+Modelling_new[[#This Row],[Comisined DC ]]</f>
        <v>24.303100000000001</v>
      </c>
      <c r="BZ666" s="4">
        <v>0</v>
      </c>
      <c r="CA666">
        <f>AVERAGEIFS(Modelling[[Comisined DC ]],Modelling[Date],"&lt;="&amp;Modelling[[#This Row],[Date]],Modelling[Month Year],Modelling[[#This Row],[Month Year]])</f>
        <v>24.303100000000001</v>
      </c>
      <c r="CB666">
        <f>AVERAGEIFS(Modelling[[Comisined DC ]],Modelling[Date],"&lt;="&amp;Modelling[[#This Row],[Date]],Modelling[Finacial Year],Modelling[[#This Row],[Finacial Year]])</f>
        <v>24.303100000000068</v>
      </c>
      <c r="CG666">
        <f t="shared" si="265"/>
        <v>8</v>
      </c>
      <c r="CH666">
        <f t="shared" si="262"/>
        <v>283</v>
      </c>
    </row>
    <row r="667" spans="1:86" x14ac:dyDescent="0.35">
      <c r="A667" s="27">
        <f t="shared" si="241"/>
        <v>45666</v>
      </c>
      <c r="B667" s="5">
        <f>MONTH(Modelling_old[[#This Row],[Date]])</f>
        <v>1</v>
      </c>
      <c r="C667" s="25">
        <v>2025</v>
      </c>
      <c r="D667" s="3">
        <f t="shared" si="243"/>
        <v>2025</v>
      </c>
      <c r="E667" s="3" t="s">
        <v>627</v>
      </c>
      <c r="F667" s="3" t="s">
        <v>627</v>
      </c>
      <c r="G667" s="102">
        <f>DATE(Modelling_old[[#This Row],[Calendor Year]],Modelling_old[[#This Row],[Start Month]],1)</f>
        <v>45658</v>
      </c>
      <c r="H667" s="5">
        <f t="shared" si="244"/>
        <v>31</v>
      </c>
      <c r="I667" s="5">
        <f t="shared" si="245"/>
        <v>1</v>
      </c>
      <c r="J667" s="4">
        <f>_xlfn.XLOOKUP(Modelling_old[[#This Row],[Month]],$C$1:$C$14,$N$1:$N$14)/Modelling_old[[#This Row],[Total Days]]</f>
        <v>54.258064516129032</v>
      </c>
      <c r="K667" s="4">
        <f>SUM($J$659:J667)</f>
        <v>488.32258064516128</v>
      </c>
      <c r="L667" s="4">
        <f>SUM($J$384:J667)</f>
        <v>12857.322580645172</v>
      </c>
      <c r="M667" s="4">
        <f t="shared" si="246"/>
        <v>6.790322580645161</v>
      </c>
      <c r="N667" s="4">
        <f>SUM($M$659:M667)</f>
        <v>61.112903225806448</v>
      </c>
      <c r="O667" s="4">
        <f>SUM($M$384:M667)</f>
        <v>1610.3129032258037</v>
      </c>
      <c r="P667" s="323">
        <f t="shared" si="247"/>
        <v>0.6946387332416083</v>
      </c>
      <c r="Q667" s="337">
        <f t="shared" si="248"/>
        <v>0.6946387332416083</v>
      </c>
      <c r="R667" s="337">
        <f t="shared" si="249"/>
        <v>0.69410531828778466</v>
      </c>
      <c r="S667" s="323">
        <f t="shared" si="250"/>
        <v>0.19653421148838515</v>
      </c>
      <c r="T667" s="9">
        <f>Modelling_old[[#This Row],[Target E_Grid MTD
MWh]]/Modelling_old[[#This Row],[DC Capcity]]/(24*CG667)</f>
        <v>0.19653421148838512</v>
      </c>
      <c r="U667" s="338">
        <f>Modelling_old[[#This Row],[Target E_Grid YTD
MWh]]/Modelling_old[[#This Row],[DC Capcity]]/(24*CH667)</f>
        <v>0.16398573213563278</v>
      </c>
      <c r="V667" s="134">
        <v>11.5031</v>
      </c>
      <c r="Y667" s="27">
        <f t="shared" si="263"/>
        <v>45666</v>
      </c>
      <c r="Z667" s="5">
        <f>MONTH(Modelling_new[[#This Row],[Date]])</f>
        <v>1</v>
      </c>
      <c r="AA667" s="25">
        <f>YEAR(Y667)+IF(MONTH(Modelling_new[[#This Row],[Date]])&gt;=4,1,0)</f>
        <v>2025</v>
      </c>
      <c r="AB667" s="3">
        <f t="shared" si="251"/>
        <v>2025</v>
      </c>
      <c r="AC667" s="3" t="s">
        <v>627</v>
      </c>
      <c r="AD667" s="3" t="s">
        <v>627</v>
      </c>
      <c r="AE667" s="102">
        <f>DATE(Modelling_old[[#This Row],[Calendor Year]],Modelling_old[[#This Row],[Start Month]],1)</f>
        <v>45658</v>
      </c>
      <c r="AF667" s="5">
        <f t="shared" si="252"/>
        <v>31</v>
      </c>
      <c r="AG667" s="5">
        <f t="shared" si="253"/>
        <v>1</v>
      </c>
      <c r="AH667" s="4">
        <f>_xlfn.XLOOKUP(Modelling_new[[#This Row],[Month]],$AA$1:$AA$14,$AL$1:$AL$14)/Modelling_new[[#This Row],[Total Days]]</f>
        <v>61.45538357437777</v>
      </c>
      <c r="AI667" s="4">
        <f>SUM($AH$659:AH667)</f>
        <v>553.09845216939993</v>
      </c>
      <c r="AJ667" s="4">
        <f>SUM($AH$384:AH667)</f>
        <v>16307.006457134636</v>
      </c>
      <c r="AK667" s="4">
        <f t="shared" si="254"/>
        <v>6.790322580645161</v>
      </c>
      <c r="AL667" s="4">
        <f>SUM($AK$659:AK667)</f>
        <v>61.112903225806448</v>
      </c>
      <c r="AM667" s="4">
        <f>SUM($AK$384:AK667)</f>
        <v>1610.3129032258037</v>
      </c>
      <c r="AN667" s="323">
        <f t="shared" si="255"/>
        <v>0.78678239221549962</v>
      </c>
      <c r="AO667" s="323">
        <f t="shared" si="256"/>
        <v>0.78678239221549973</v>
      </c>
      <c r="AP667" s="323">
        <f t="shared" si="257"/>
        <v>0.88033724255228474</v>
      </c>
      <c r="AQ667" s="323">
        <f t="shared" si="258"/>
        <v>0.22260442682978857</v>
      </c>
      <c r="AR667" s="323">
        <f>Modelling_new[[#This Row],[Target E_Grid MTD
MWh]]/Modelling_new[[#This Row],[MTD DC Capcity]]/(24*CG667)</f>
        <v>0.200050076739511</v>
      </c>
      <c r="AS667" s="323">
        <f>Modelling_new[[#This Row],[Target E_Grid YTD
MWh]]/Modelling_new[[#This Row],[YTD DC Capcity]]/(24*CH667)</f>
        <v>0.18691092715135527</v>
      </c>
      <c r="AT667" s="5">
        <v>12.8</v>
      </c>
      <c r="AU667" s="9">
        <f>Modelling_new[[#This Row],[Comisined DC ]]/$AO$1</f>
        <v>1</v>
      </c>
      <c r="AV667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67" s="5">
        <f>AVERAGEIFS(Modelling_new[[Comisined DC ]],Modelling_new[Date],"&lt;="&amp;Modelling_new[[#This Row],[Date]],Modelling_new[[Comisined DC ]],"&gt;"&amp;0,Modelling_new[Finacial Year],Modelling_new[[#This Row],[Finacial Year]])</f>
        <v>12.800000000000059</v>
      </c>
      <c r="BD667" s="27">
        <f t="shared" si="264"/>
        <v>45666</v>
      </c>
      <c r="BE667" s="5">
        <f>MONTH(Modelling[[#This Row],[Date]])</f>
        <v>1</v>
      </c>
      <c r="BF667" s="25">
        <f>YEAR(BD667)+IF(MONTH(Modelling[[#This Row],[Date]])&gt;=4,1,0)</f>
        <v>2025</v>
      </c>
      <c r="BG667" s="3">
        <f t="shared" si="259"/>
        <v>2025</v>
      </c>
      <c r="BH667" s="3" t="s">
        <v>627</v>
      </c>
      <c r="BI667" s="3" t="s">
        <v>627</v>
      </c>
      <c r="BJ667" s="102">
        <f>DATE(Modelling_old[[#This Row],[Calendor Year]],Modelling_old[[#This Row],[Start Month]],1)</f>
        <v>45658</v>
      </c>
      <c r="BK667" s="5">
        <f t="shared" si="260"/>
        <v>31</v>
      </c>
      <c r="BL667" s="5">
        <f t="shared" si="261"/>
        <v>1</v>
      </c>
      <c r="BM667" s="4">
        <f>Modelling_old[[#This Row],[Target E_Grid daily
MWh]]+Modelling_new[[#This Row],[Target E_Grid daily
MWh]]</f>
        <v>115.7134480905068</v>
      </c>
      <c r="BN667" s="4">
        <f>Modelling_old[[#This Row],[Target E_Grid MTD
MWh]]+Modelling_new[[#This Row],[Target E_Grid MTD
MWh]]</f>
        <v>1041.4210328145612</v>
      </c>
      <c r="BO667" s="4">
        <f>Modelling_old[[#This Row],[Target E_Grid YTD
MWh]]+Modelling_new[[#This Row],[Target E_Grid YTD
MWh]]</f>
        <v>29164.329037779808</v>
      </c>
      <c r="BP667" s="4">
        <f>AVERAGE(Modelling_old[[#This Row],[Target POA Daily (KWh/m2)]],Modelling_new[[#This Row],[Target POA Daily (KWh/m2)]])</f>
        <v>6.790322580645161</v>
      </c>
      <c r="BQ667" s="4">
        <f>SUM($BP$659:BP667)</f>
        <v>61.112903225806448</v>
      </c>
      <c r="BR667" s="4">
        <f>SUM($BP$384:BP667)</f>
        <v>1610.3129032258037</v>
      </c>
      <c r="BS667" s="323">
        <f>BM667/Modelling[[#This Row],[Comisined DC ]]/BP667</f>
        <v>0.70118360819178038</v>
      </c>
      <c r="BT667" s="337">
        <f>BN667/BQ667/Modelling[[#This Row],[Comisined DC ]]</f>
        <v>0.70118360819178038</v>
      </c>
      <c r="BU667" s="337">
        <f>BO667/BR667/Modelling[[#This Row],[Comisined DC ]]</f>
        <v>0.74521234828476213</v>
      </c>
      <c r="BV667" s="323">
        <f>BM667/(24*Modelling[[#This Row],[Comisined DC ]])</f>
        <v>0.19838595366178732</v>
      </c>
      <c r="BW667" s="323">
        <f>Modelling[[#This Row],[Target E_Grid MTD
MWh]]/Modelling[[#This Row],[MTD DC Capcity]]/(24*CG667)</f>
        <v>0.1983859536617873</v>
      </c>
      <c r="BX667" s="338">
        <f>Modelling[[#This Row],[Target E_Grid YTD
MWh]]/Modelling[[#This Row],[YTD DC Capcity]]/(24*CH667)</f>
        <v>0.17606001468400095</v>
      </c>
      <c r="BY667" s="4">
        <f>Modelling_old[[#This Row],[DC Capcity]]+Modelling_new[[#This Row],[Comisined DC ]]</f>
        <v>24.303100000000001</v>
      </c>
      <c r="BZ667" s="4">
        <v>0</v>
      </c>
      <c r="CA667">
        <f>AVERAGEIFS(Modelling[[Comisined DC ]],Modelling[Date],"&lt;="&amp;Modelling[[#This Row],[Date]],Modelling[Month Year],Modelling[[#This Row],[Month Year]])</f>
        <v>24.303100000000001</v>
      </c>
      <c r="CB667">
        <f>AVERAGEIFS(Modelling[[Comisined DC ]],Modelling[Date],"&lt;="&amp;Modelling[[#This Row],[Date]],Modelling[Finacial Year],Modelling[[#This Row],[Finacial Year]])</f>
        <v>24.303100000000068</v>
      </c>
      <c r="CG667">
        <f t="shared" si="265"/>
        <v>9</v>
      </c>
      <c r="CH667">
        <f t="shared" si="262"/>
        <v>284</v>
      </c>
    </row>
    <row r="668" spans="1:86" x14ac:dyDescent="0.35">
      <c r="A668" s="27">
        <f t="shared" si="241"/>
        <v>45667</v>
      </c>
      <c r="B668" s="5">
        <f>MONTH(Modelling_old[[#This Row],[Date]])</f>
        <v>1</v>
      </c>
      <c r="C668" s="25">
        <v>2025</v>
      </c>
      <c r="D668" s="3">
        <f t="shared" si="243"/>
        <v>2025</v>
      </c>
      <c r="E668" s="3" t="s">
        <v>627</v>
      </c>
      <c r="F668" s="3" t="s">
        <v>627</v>
      </c>
      <c r="G668" s="102">
        <f>DATE(Modelling_old[[#This Row],[Calendor Year]],Modelling_old[[#This Row],[Start Month]],1)</f>
        <v>45658</v>
      </c>
      <c r="H668" s="5">
        <f t="shared" si="244"/>
        <v>31</v>
      </c>
      <c r="I668" s="5">
        <f t="shared" si="245"/>
        <v>1</v>
      </c>
      <c r="J668" s="4">
        <f>_xlfn.XLOOKUP(Modelling_old[[#This Row],[Month]],$C$1:$C$14,$N$1:$N$14)/Modelling_old[[#This Row],[Total Days]]</f>
        <v>54.258064516129032</v>
      </c>
      <c r="K668" s="4">
        <f>SUM($J$659:J668)</f>
        <v>542.58064516129036</v>
      </c>
      <c r="L668" s="4">
        <f>SUM($J$384:J668)</f>
        <v>12911.580645161301</v>
      </c>
      <c r="M668" s="4">
        <f t="shared" si="246"/>
        <v>6.790322580645161</v>
      </c>
      <c r="N668" s="4">
        <f>SUM($M$659:M668)</f>
        <v>67.903225806451616</v>
      </c>
      <c r="O668" s="4">
        <f>SUM($M$384:M668)</f>
        <v>1617.1032258064488</v>
      </c>
      <c r="P668" s="323">
        <f t="shared" si="247"/>
        <v>0.6946387332416083</v>
      </c>
      <c r="Q668" s="337">
        <f t="shared" si="248"/>
        <v>0.6946387332416083</v>
      </c>
      <c r="R668" s="337">
        <f t="shared" si="249"/>
        <v>0.69410755813218539</v>
      </c>
      <c r="S668" s="323">
        <f t="shared" si="250"/>
        <v>0.19653421148838515</v>
      </c>
      <c r="T668" s="9">
        <f>Modelling_old[[#This Row],[Target E_Grid MTD
MWh]]/Modelling_old[[#This Row],[DC Capcity]]/(24*CG668)</f>
        <v>0.19653421148838515</v>
      </c>
      <c r="U668" s="338">
        <f>Modelling_old[[#This Row],[Target E_Grid YTD
MWh]]/Modelling_old[[#This Row],[DC Capcity]]/(24*CH668)</f>
        <v>0.16409993732634418</v>
      </c>
      <c r="V668" s="134">
        <v>11.5031</v>
      </c>
      <c r="Y668" s="27">
        <f t="shared" si="263"/>
        <v>45667</v>
      </c>
      <c r="Z668" s="5">
        <f>MONTH(Modelling_new[[#This Row],[Date]])</f>
        <v>1</v>
      </c>
      <c r="AA668" s="25">
        <f>YEAR(Y668)+IF(MONTH(Modelling_new[[#This Row],[Date]])&gt;=4,1,0)</f>
        <v>2025</v>
      </c>
      <c r="AB668" s="3">
        <f t="shared" si="251"/>
        <v>2025</v>
      </c>
      <c r="AC668" s="3" t="s">
        <v>627</v>
      </c>
      <c r="AD668" s="3" t="s">
        <v>627</v>
      </c>
      <c r="AE668" s="102">
        <f>DATE(Modelling_old[[#This Row],[Calendor Year]],Modelling_old[[#This Row],[Start Month]],1)</f>
        <v>45658</v>
      </c>
      <c r="AF668" s="5">
        <f t="shared" si="252"/>
        <v>31</v>
      </c>
      <c r="AG668" s="5">
        <f t="shared" si="253"/>
        <v>1</v>
      </c>
      <c r="AH668" s="4">
        <f>_xlfn.XLOOKUP(Modelling_new[[#This Row],[Month]],$AA$1:$AA$14,$AL$1:$AL$14)/Modelling_new[[#This Row],[Total Days]]</f>
        <v>61.45538357437777</v>
      </c>
      <c r="AI668" s="4">
        <f>SUM($AH$659:AH668)</f>
        <v>614.55383574377765</v>
      </c>
      <c r="AJ668" s="4">
        <f>SUM($AH$384:AH668)</f>
        <v>16368.461840709013</v>
      </c>
      <c r="AK668" s="4">
        <f t="shared" si="254"/>
        <v>6.790322580645161</v>
      </c>
      <c r="AL668" s="4">
        <f>SUM($AK$659:AK668)</f>
        <v>67.903225806451616</v>
      </c>
      <c r="AM668" s="4">
        <f>SUM($AK$384:AK668)</f>
        <v>1617.1032258064488</v>
      </c>
      <c r="AN668" s="323">
        <f t="shared" si="255"/>
        <v>0.78678239221549962</v>
      </c>
      <c r="AO668" s="323">
        <f t="shared" si="256"/>
        <v>0.7867823922154995</v>
      </c>
      <c r="AP668" s="323">
        <f t="shared" si="257"/>
        <v>0.87994439959542636</v>
      </c>
      <c r="AQ668" s="323">
        <f t="shared" si="258"/>
        <v>0.22260442682978857</v>
      </c>
      <c r="AR668" s="323">
        <f>Modelling_new[[#This Row],[Target E_Grid MTD
MWh]]/Modelling_new[[#This Row],[MTD DC Capcity]]/(24*CG668)</f>
        <v>0.20005007673951097</v>
      </c>
      <c r="AS668" s="323">
        <f>Modelling_new[[#This Row],[Target E_Grid YTD
MWh]]/Modelling_new[[#This Row],[YTD DC Capcity]]/(24*CH668)</f>
        <v>0.18695702943061193</v>
      </c>
      <c r="AT668" s="5">
        <v>12.8</v>
      </c>
      <c r="AU668" s="9">
        <f>Modelling_new[[#This Row],[Comisined DC ]]/$AO$1</f>
        <v>1</v>
      </c>
      <c r="AV668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68" s="5">
        <f>AVERAGEIFS(Modelling_new[[Comisined DC ]],Modelling_new[Date],"&lt;="&amp;Modelling_new[[#This Row],[Date]],Modelling_new[[Comisined DC ]],"&gt;"&amp;0,Modelling_new[Finacial Year],Modelling_new[[#This Row],[Finacial Year]])</f>
        <v>12.800000000000061</v>
      </c>
      <c r="BD668" s="27">
        <f t="shared" si="264"/>
        <v>45667</v>
      </c>
      <c r="BE668" s="5">
        <f>MONTH(Modelling[[#This Row],[Date]])</f>
        <v>1</v>
      </c>
      <c r="BF668" s="25">
        <f>YEAR(BD668)+IF(MONTH(Modelling[[#This Row],[Date]])&gt;=4,1,0)</f>
        <v>2025</v>
      </c>
      <c r="BG668" s="3">
        <f t="shared" si="259"/>
        <v>2025</v>
      </c>
      <c r="BH668" s="3" t="s">
        <v>627</v>
      </c>
      <c r="BI668" s="3" t="s">
        <v>627</v>
      </c>
      <c r="BJ668" s="102">
        <f>DATE(Modelling_old[[#This Row],[Calendor Year]],Modelling_old[[#This Row],[Start Month]],1)</f>
        <v>45658</v>
      </c>
      <c r="BK668" s="5">
        <f t="shared" si="260"/>
        <v>31</v>
      </c>
      <c r="BL668" s="5">
        <f t="shared" si="261"/>
        <v>1</v>
      </c>
      <c r="BM668" s="4">
        <f>Modelling_old[[#This Row],[Target E_Grid daily
MWh]]+Modelling_new[[#This Row],[Target E_Grid daily
MWh]]</f>
        <v>115.7134480905068</v>
      </c>
      <c r="BN668" s="4">
        <f>Modelling_old[[#This Row],[Target E_Grid MTD
MWh]]+Modelling_new[[#This Row],[Target E_Grid MTD
MWh]]</f>
        <v>1157.1344809050679</v>
      </c>
      <c r="BO668" s="4">
        <f>Modelling_old[[#This Row],[Target E_Grid YTD
MWh]]+Modelling_new[[#This Row],[Target E_Grid YTD
MWh]]</f>
        <v>29280.042485870312</v>
      </c>
      <c r="BP668" s="4">
        <f>AVERAGE(Modelling_old[[#This Row],[Target POA Daily (KWh/m2)]],Modelling_new[[#This Row],[Target POA Daily (KWh/m2)]])</f>
        <v>6.790322580645161</v>
      </c>
      <c r="BQ668" s="4">
        <f>SUM($BP$659:BP668)</f>
        <v>67.903225806451616</v>
      </c>
      <c r="BR668" s="4">
        <f>SUM($BP$384:BP668)</f>
        <v>1617.1032258064488</v>
      </c>
      <c r="BS668" s="323">
        <f>BM668/Modelling[[#This Row],[Comisined DC ]]/BP668</f>
        <v>0.70118360819178038</v>
      </c>
      <c r="BT668" s="337">
        <f>BN668/BQ668/Modelling[[#This Row],[Comisined DC ]]</f>
        <v>0.70118360819178016</v>
      </c>
      <c r="BU668" s="337">
        <f>BO668/BR668/Modelling[[#This Row],[Comisined DC ]]</f>
        <v>0.74502746871536918</v>
      </c>
      <c r="BV668" s="323">
        <f>BM668/(24*Modelling[[#This Row],[Comisined DC ]])</f>
        <v>0.19838595366178732</v>
      </c>
      <c r="BW668" s="323">
        <f>Modelling[[#This Row],[Target E_Grid MTD
MWh]]/Modelling[[#This Row],[MTD DC Capcity]]/(24*CG668)</f>
        <v>0.1983859536617873</v>
      </c>
      <c r="BX668" s="338">
        <f>Modelling[[#This Row],[Target E_Grid YTD
MWh]]/Modelling[[#This Row],[YTD DC Capcity]]/(24*CH668)</f>
        <v>0.17613835131199312</v>
      </c>
      <c r="BY668" s="4">
        <f>Modelling_old[[#This Row],[DC Capcity]]+Modelling_new[[#This Row],[Comisined DC ]]</f>
        <v>24.303100000000001</v>
      </c>
      <c r="BZ668" s="4">
        <v>0</v>
      </c>
      <c r="CA668">
        <f>AVERAGEIFS(Modelling[[Comisined DC ]],Modelling[Date],"&lt;="&amp;Modelling[[#This Row],[Date]],Modelling[Month Year],Modelling[[#This Row],[Month Year]])</f>
        <v>24.303100000000001</v>
      </c>
      <c r="CB668">
        <f>AVERAGEIFS(Modelling[[Comisined DC ]],Modelling[Date],"&lt;="&amp;Modelling[[#This Row],[Date]],Modelling[Finacial Year],Modelling[[#This Row],[Finacial Year]])</f>
        <v>24.303100000000072</v>
      </c>
      <c r="CG668">
        <f t="shared" si="265"/>
        <v>10</v>
      </c>
      <c r="CH668">
        <f t="shared" si="262"/>
        <v>285</v>
      </c>
    </row>
    <row r="669" spans="1:86" x14ac:dyDescent="0.35">
      <c r="A669" s="27">
        <f t="shared" si="241"/>
        <v>45668</v>
      </c>
      <c r="B669" s="5">
        <f>MONTH(Modelling_old[[#This Row],[Date]])</f>
        <v>1</v>
      </c>
      <c r="C669" s="25">
        <v>2025</v>
      </c>
      <c r="D669" s="3">
        <f t="shared" si="243"/>
        <v>2025</v>
      </c>
      <c r="E669" s="3" t="s">
        <v>627</v>
      </c>
      <c r="F669" s="3" t="s">
        <v>627</v>
      </c>
      <c r="G669" s="102">
        <f>DATE(Modelling_old[[#This Row],[Calendor Year]],Modelling_old[[#This Row],[Start Month]],1)</f>
        <v>45658</v>
      </c>
      <c r="H669" s="5">
        <f t="shared" si="244"/>
        <v>31</v>
      </c>
      <c r="I669" s="5">
        <f t="shared" si="245"/>
        <v>1</v>
      </c>
      <c r="J669" s="4">
        <f>_xlfn.XLOOKUP(Modelling_old[[#This Row],[Month]],$C$1:$C$14,$N$1:$N$14)/Modelling_old[[#This Row],[Total Days]]</f>
        <v>54.258064516129032</v>
      </c>
      <c r="K669" s="4">
        <f>SUM($J$659:J669)</f>
        <v>596.83870967741939</v>
      </c>
      <c r="L669" s="4">
        <f>SUM($J$384:J669)</f>
        <v>12965.83870967743</v>
      </c>
      <c r="M669" s="4">
        <f t="shared" si="246"/>
        <v>6.790322580645161</v>
      </c>
      <c r="N669" s="4">
        <f>SUM($M$659:M669)</f>
        <v>74.693548387096783</v>
      </c>
      <c r="O669" s="4">
        <f>SUM($M$384:M669)</f>
        <v>1623.8935483870939</v>
      </c>
      <c r="P669" s="323">
        <f t="shared" si="247"/>
        <v>0.6946387332416083</v>
      </c>
      <c r="Q669" s="337">
        <f t="shared" si="248"/>
        <v>0.69463873324160819</v>
      </c>
      <c r="R669" s="337">
        <f t="shared" si="249"/>
        <v>0.69410977924473516</v>
      </c>
      <c r="S669" s="323">
        <f t="shared" si="250"/>
        <v>0.19653421148838515</v>
      </c>
      <c r="T669" s="9">
        <f>Modelling_old[[#This Row],[Target E_Grid MTD
MWh]]/Modelling_old[[#This Row],[DC Capcity]]/(24*CG669)</f>
        <v>0.19653421148838515</v>
      </c>
      <c r="U669" s="338">
        <f>Modelling_old[[#This Row],[Target E_Grid YTD
MWh]]/Modelling_old[[#This Row],[DC Capcity]]/(24*CH669)</f>
        <v>0.16421334387935829</v>
      </c>
      <c r="V669" s="134">
        <v>11.5031</v>
      </c>
      <c r="Y669" s="27">
        <f t="shared" si="263"/>
        <v>45668</v>
      </c>
      <c r="Z669" s="5">
        <f>MONTH(Modelling_new[[#This Row],[Date]])</f>
        <v>1</v>
      </c>
      <c r="AA669" s="25">
        <f>YEAR(Y669)+IF(MONTH(Modelling_new[[#This Row],[Date]])&gt;=4,1,0)</f>
        <v>2025</v>
      </c>
      <c r="AB669" s="3">
        <f t="shared" si="251"/>
        <v>2025</v>
      </c>
      <c r="AC669" s="3" t="s">
        <v>627</v>
      </c>
      <c r="AD669" s="3" t="s">
        <v>627</v>
      </c>
      <c r="AE669" s="102">
        <f>DATE(Modelling_old[[#This Row],[Calendor Year]],Modelling_old[[#This Row],[Start Month]],1)</f>
        <v>45658</v>
      </c>
      <c r="AF669" s="5">
        <f t="shared" si="252"/>
        <v>31</v>
      </c>
      <c r="AG669" s="5">
        <f t="shared" si="253"/>
        <v>1</v>
      </c>
      <c r="AH669" s="4">
        <f>_xlfn.XLOOKUP(Modelling_new[[#This Row],[Month]],$AA$1:$AA$14,$AL$1:$AL$14)/Modelling_new[[#This Row],[Total Days]]</f>
        <v>61.45538357437777</v>
      </c>
      <c r="AI669" s="4">
        <f>SUM($AH$659:AH669)</f>
        <v>676.00921931815537</v>
      </c>
      <c r="AJ669" s="4">
        <f>SUM($AH$384:AH669)</f>
        <v>16429.917224283392</v>
      </c>
      <c r="AK669" s="4">
        <f t="shared" si="254"/>
        <v>6.790322580645161</v>
      </c>
      <c r="AL669" s="4">
        <f>SUM($AK$659:AK669)</f>
        <v>74.693548387096783</v>
      </c>
      <c r="AM669" s="4">
        <f>SUM($AK$384:AK669)</f>
        <v>1623.8935483870939</v>
      </c>
      <c r="AN669" s="323">
        <f t="shared" si="255"/>
        <v>0.78678239221549962</v>
      </c>
      <c r="AO669" s="323">
        <f t="shared" si="256"/>
        <v>0.78678239221549939</v>
      </c>
      <c r="AP669" s="323">
        <f t="shared" si="257"/>
        <v>0.87955484198988121</v>
      </c>
      <c r="AQ669" s="323">
        <f t="shared" si="258"/>
        <v>0.22260442682978857</v>
      </c>
      <c r="AR669" s="323">
        <f>Modelling_new[[#This Row],[Target E_Grid MTD
MWh]]/Modelling_new[[#This Row],[MTD DC Capcity]]/(24*CG669)</f>
        <v>0.20005007673951097</v>
      </c>
      <c r="AS669" s="323">
        <f>Modelling_new[[#This Row],[Target E_Grid YTD
MWh]]/Modelling_new[[#This Row],[YTD DC Capcity]]/(24*CH669)</f>
        <v>0.18700280931630736</v>
      </c>
      <c r="AT669" s="5">
        <v>12.8</v>
      </c>
      <c r="AU669" s="9">
        <f>Modelling_new[[#This Row],[Comisined DC ]]/$AO$1</f>
        <v>1</v>
      </c>
      <c r="AV669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69" s="5">
        <f>AVERAGEIFS(Modelling_new[[Comisined DC ]],Modelling_new[Date],"&lt;="&amp;Modelling_new[[#This Row],[Date]],Modelling_new[[Comisined DC ]],"&gt;"&amp;0,Modelling_new[Finacial Year],Modelling_new[[#This Row],[Finacial Year]])</f>
        <v>12.800000000000061</v>
      </c>
      <c r="BD669" s="27">
        <f t="shared" si="264"/>
        <v>45668</v>
      </c>
      <c r="BE669" s="5">
        <f>MONTH(Modelling[[#This Row],[Date]])</f>
        <v>1</v>
      </c>
      <c r="BF669" s="25">
        <f>YEAR(BD669)+IF(MONTH(Modelling[[#This Row],[Date]])&gt;=4,1,0)</f>
        <v>2025</v>
      </c>
      <c r="BG669" s="3">
        <f t="shared" si="259"/>
        <v>2025</v>
      </c>
      <c r="BH669" s="3" t="s">
        <v>627</v>
      </c>
      <c r="BI669" s="3" t="s">
        <v>627</v>
      </c>
      <c r="BJ669" s="102">
        <f>DATE(Modelling_old[[#This Row],[Calendor Year]],Modelling_old[[#This Row],[Start Month]],1)</f>
        <v>45658</v>
      </c>
      <c r="BK669" s="5">
        <f t="shared" si="260"/>
        <v>31</v>
      </c>
      <c r="BL669" s="5">
        <f t="shared" si="261"/>
        <v>1</v>
      </c>
      <c r="BM669" s="4">
        <f>Modelling_old[[#This Row],[Target E_Grid daily
MWh]]+Modelling_new[[#This Row],[Target E_Grid daily
MWh]]</f>
        <v>115.7134480905068</v>
      </c>
      <c r="BN669" s="4">
        <f>Modelling_old[[#This Row],[Target E_Grid MTD
MWh]]+Modelling_new[[#This Row],[Target E_Grid MTD
MWh]]</f>
        <v>1272.8479289955749</v>
      </c>
      <c r="BO669" s="4">
        <f>Modelling_old[[#This Row],[Target E_Grid YTD
MWh]]+Modelling_new[[#This Row],[Target E_Grid YTD
MWh]]</f>
        <v>29395.75593396082</v>
      </c>
      <c r="BP669" s="4">
        <f>AVERAGE(Modelling_old[[#This Row],[Target POA Daily (KWh/m2)]],Modelling_new[[#This Row],[Target POA Daily (KWh/m2)]])</f>
        <v>6.790322580645161</v>
      </c>
      <c r="BQ669" s="4">
        <f>SUM($BP$659:BP669)</f>
        <v>74.693548387096783</v>
      </c>
      <c r="BR669" s="4">
        <f>SUM($BP$384:BP669)</f>
        <v>1623.8935483870939</v>
      </c>
      <c r="BS669" s="323">
        <f>BM669/Modelling[[#This Row],[Comisined DC ]]/BP669</f>
        <v>0.70118360819178038</v>
      </c>
      <c r="BT669" s="337">
        <f>BN669/BQ669/Modelling[[#This Row],[Comisined DC ]]</f>
        <v>0.70118360819178038</v>
      </c>
      <c r="BU669" s="337">
        <f>BO669/BR669/Modelling[[#This Row],[Comisined DC ]]</f>
        <v>0.7448441352964813</v>
      </c>
      <c r="BV669" s="323">
        <f>BM669/(24*Modelling[[#This Row],[Comisined DC ]])</f>
        <v>0.19838595366178732</v>
      </c>
      <c r="BW669" s="323">
        <f>Modelling[[#This Row],[Target E_Grid MTD
MWh]]/Modelling[[#This Row],[MTD DC Capcity]]/(24*CG669)</f>
        <v>0.1983859536617873</v>
      </c>
      <c r="BX669" s="338">
        <f>Modelling[[#This Row],[Target E_Grid YTD
MWh]]/Modelling[[#This Row],[YTD DC Capcity]]/(24*CH669)</f>
        <v>0.17621614013139802</v>
      </c>
      <c r="BY669" s="4">
        <f>Modelling_old[[#This Row],[DC Capcity]]+Modelling_new[[#This Row],[Comisined DC ]]</f>
        <v>24.303100000000001</v>
      </c>
      <c r="BZ669" s="4">
        <v>0</v>
      </c>
      <c r="CA669">
        <f>AVERAGEIFS(Modelling[[Comisined DC ]],Modelling[Date],"&lt;="&amp;Modelling[[#This Row],[Date]],Modelling[Month Year],Modelling[[#This Row],[Month Year]])</f>
        <v>24.303100000000004</v>
      </c>
      <c r="CB669">
        <f>AVERAGEIFS(Modelling[[Comisined DC ]],Modelling[Date],"&lt;="&amp;Modelling[[#This Row],[Date]],Modelling[Finacial Year],Modelling[[#This Row],[Finacial Year]])</f>
        <v>24.303100000000072</v>
      </c>
      <c r="CG669">
        <f t="shared" si="265"/>
        <v>11</v>
      </c>
      <c r="CH669">
        <f t="shared" si="262"/>
        <v>286</v>
      </c>
    </row>
    <row r="670" spans="1:86" x14ac:dyDescent="0.35">
      <c r="A670" s="27">
        <f t="shared" si="241"/>
        <v>45669</v>
      </c>
      <c r="B670" s="5">
        <f>MONTH(Modelling_old[[#This Row],[Date]])</f>
        <v>1</v>
      </c>
      <c r="C670" s="25">
        <v>2025</v>
      </c>
      <c r="D670" s="3">
        <f t="shared" si="243"/>
        <v>2025</v>
      </c>
      <c r="E670" s="3" t="s">
        <v>627</v>
      </c>
      <c r="F670" s="3" t="s">
        <v>627</v>
      </c>
      <c r="G670" s="102">
        <f>DATE(Modelling_old[[#This Row],[Calendor Year]],Modelling_old[[#This Row],[Start Month]],1)</f>
        <v>45658</v>
      </c>
      <c r="H670" s="5">
        <f t="shared" si="244"/>
        <v>31</v>
      </c>
      <c r="I670" s="5">
        <f t="shared" si="245"/>
        <v>1</v>
      </c>
      <c r="J670" s="4">
        <f>_xlfn.XLOOKUP(Modelling_old[[#This Row],[Month]],$C$1:$C$14,$N$1:$N$14)/Modelling_old[[#This Row],[Total Days]]</f>
        <v>54.258064516129032</v>
      </c>
      <c r="K670" s="4">
        <f>SUM($J$659:J670)</f>
        <v>651.09677419354841</v>
      </c>
      <c r="L670" s="4">
        <f>SUM($J$384:J670)</f>
        <v>13020.096774193558</v>
      </c>
      <c r="M670" s="4">
        <f t="shared" si="246"/>
        <v>6.790322580645161</v>
      </c>
      <c r="N670" s="4">
        <f>SUM($M$659:M670)</f>
        <v>81.48387096774195</v>
      </c>
      <c r="O670" s="4">
        <f>SUM($M$384:M670)</f>
        <v>1630.683870967739</v>
      </c>
      <c r="P670" s="323">
        <f t="shared" si="247"/>
        <v>0.6946387332416083</v>
      </c>
      <c r="Q670" s="337">
        <f t="shared" si="248"/>
        <v>0.69463873324160819</v>
      </c>
      <c r="R670" s="337">
        <f t="shared" si="249"/>
        <v>0.69411198185943757</v>
      </c>
      <c r="S670" s="323">
        <f t="shared" si="250"/>
        <v>0.19653421148838515</v>
      </c>
      <c r="T670" s="9">
        <f>Modelling_old[[#This Row],[Target E_Grid MTD
MWh]]/Modelling_old[[#This Row],[DC Capcity]]/(24*CG670)</f>
        <v>0.19653421148838512</v>
      </c>
      <c r="U670" s="338">
        <f>Modelling_old[[#This Row],[Target E_Grid YTD
MWh]]/Modelling_old[[#This Row],[DC Capcity]]/(24*CH670)</f>
        <v>0.1643259601428044</v>
      </c>
      <c r="V670" s="134">
        <v>11.5031</v>
      </c>
      <c r="Y670" s="27">
        <f t="shared" si="263"/>
        <v>45669</v>
      </c>
      <c r="Z670" s="5">
        <f>MONTH(Modelling_new[[#This Row],[Date]])</f>
        <v>1</v>
      </c>
      <c r="AA670" s="25">
        <f>YEAR(Y670)+IF(MONTH(Modelling_new[[#This Row],[Date]])&gt;=4,1,0)</f>
        <v>2025</v>
      </c>
      <c r="AB670" s="3">
        <f t="shared" si="251"/>
        <v>2025</v>
      </c>
      <c r="AC670" s="3" t="s">
        <v>627</v>
      </c>
      <c r="AD670" s="3" t="s">
        <v>627</v>
      </c>
      <c r="AE670" s="102">
        <f>DATE(Modelling_old[[#This Row],[Calendor Year]],Modelling_old[[#This Row],[Start Month]],1)</f>
        <v>45658</v>
      </c>
      <c r="AF670" s="5">
        <f t="shared" si="252"/>
        <v>31</v>
      </c>
      <c r="AG670" s="5">
        <f t="shared" si="253"/>
        <v>1</v>
      </c>
      <c r="AH670" s="4">
        <f>_xlfn.XLOOKUP(Modelling_new[[#This Row],[Month]],$AA$1:$AA$14,$AL$1:$AL$14)/Modelling_new[[#This Row],[Total Days]]</f>
        <v>61.45538357437777</v>
      </c>
      <c r="AI670" s="4">
        <f>SUM($AH$659:AH670)</f>
        <v>737.46460289253309</v>
      </c>
      <c r="AJ670" s="4">
        <f>SUM($AH$384:AH670)</f>
        <v>16491.372607857771</v>
      </c>
      <c r="AK670" s="4">
        <f t="shared" si="254"/>
        <v>6.790322580645161</v>
      </c>
      <c r="AL670" s="4">
        <f>SUM($AK$659:AK670)</f>
        <v>81.48387096774195</v>
      </c>
      <c r="AM670" s="4">
        <f>SUM($AK$384:AK670)</f>
        <v>1630.683870967739</v>
      </c>
      <c r="AN670" s="323">
        <f t="shared" si="255"/>
        <v>0.78678239221549962</v>
      </c>
      <c r="AO670" s="323">
        <f t="shared" si="256"/>
        <v>0.78678239221549939</v>
      </c>
      <c r="AP670" s="323">
        <f t="shared" si="257"/>
        <v>0.87916852869410378</v>
      </c>
      <c r="AQ670" s="323">
        <f t="shared" si="258"/>
        <v>0.22260442682978857</v>
      </c>
      <c r="AR670" s="323">
        <f>Modelling_new[[#This Row],[Target E_Grid MTD
MWh]]/Modelling_new[[#This Row],[MTD DC Capcity]]/(24*CG670)</f>
        <v>0.20005007673951095</v>
      </c>
      <c r="AS670" s="323">
        <f>Modelling_new[[#This Row],[Target E_Grid YTD
MWh]]/Modelling_new[[#This Row],[YTD DC Capcity]]/(24*CH670)</f>
        <v>0.18704827017840917</v>
      </c>
      <c r="AT670" s="5">
        <v>12.8</v>
      </c>
      <c r="AU670" s="9">
        <f>Modelling_new[[#This Row],[Comisined DC ]]/$AO$1</f>
        <v>1</v>
      </c>
      <c r="AV670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70" s="5">
        <f>AVERAGEIFS(Modelling_new[[Comisined DC ]],Modelling_new[Date],"&lt;="&amp;Modelling_new[[#This Row],[Date]],Modelling_new[[Comisined DC ]],"&gt;"&amp;0,Modelling_new[Finacial Year],Modelling_new[[#This Row],[Finacial Year]])</f>
        <v>12.800000000000061</v>
      </c>
      <c r="BD670" s="27">
        <f t="shared" si="264"/>
        <v>45669</v>
      </c>
      <c r="BE670" s="5">
        <f>MONTH(Modelling[[#This Row],[Date]])</f>
        <v>1</v>
      </c>
      <c r="BF670" s="25">
        <f>YEAR(BD670)+IF(MONTH(Modelling[[#This Row],[Date]])&gt;=4,1,0)</f>
        <v>2025</v>
      </c>
      <c r="BG670" s="3">
        <f t="shared" si="259"/>
        <v>2025</v>
      </c>
      <c r="BH670" s="3" t="s">
        <v>627</v>
      </c>
      <c r="BI670" s="3" t="s">
        <v>627</v>
      </c>
      <c r="BJ670" s="102">
        <f>DATE(Modelling_old[[#This Row],[Calendor Year]],Modelling_old[[#This Row],[Start Month]],1)</f>
        <v>45658</v>
      </c>
      <c r="BK670" s="5">
        <f t="shared" si="260"/>
        <v>31</v>
      </c>
      <c r="BL670" s="5">
        <f t="shared" si="261"/>
        <v>1</v>
      </c>
      <c r="BM670" s="4">
        <f>Modelling_old[[#This Row],[Target E_Grid daily
MWh]]+Modelling_new[[#This Row],[Target E_Grid daily
MWh]]</f>
        <v>115.7134480905068</v>
      </c>
      <c r="BN670" s="4">
        <f>Modelling_old[[#This Row],[Target E_Grid MTD
MWh]]+Modelling_new[[#This Row],[Target E_Grid MTD
MWh]]</f>
        <v>1388.5613770860814</v>
      </c>
      <c r="BO670" s="4">
        <f>Modelling_old[[#This Row],[Target E_Grid YTD
MWh]]+Modelling_new[[#This Row],[Target E_Grid YTD
MWh]]</f>
        <v>29511.469382051328</v>
      </c>
      <c r="BP670" s="4">
        <f>AVERAGE(Modelling_old[[#This Row],[Target POA Daily (KWh/m2)]],Modelling_new[[#This Row],[Target POA Daily (KWh/m2)]])</f>
        <v>6.790322580645161</v>
      </c>
      <c r="BQ670" s="4">
        <f>SUM($BP$659:BP670)</f>
        <v>81.48387096774195</v>
      </c>
      <c r="BR670" s="4">
        <f>SUM($BP$384:BP670)</f>
        <v>1630.683870967739</v>
      </c>
      <c r="BS670" s="323">
        <f>BM670/Modelling[[#This Row],[Comisined DC ]]/BP670</f>
        <v>0.70118360819178038</v>
      </c>
      <c r="BT670" s="337">
        <f>BN670/BQ670/Modelling[[#This Row],[Comisined DC ]]</f>
        <v>0.70118360819178005</v>
      </c>
      <c r="BU670" s="337">
        <f>BO670/BR670/Modelling[[#This Row],[Comisined DC ]]</f>
        <v>0.74466232871314519</v>
      </c>
      <c r="BV670" s="323">
        <f>BM670/(24*Modelling[[#This Row],[Comisined DC ]])</f>
        <v>0.19838595366178732</v>
      </c>
      <c r="BW670" s="323">
        <f>Modelling[[#This Row],[Target E_Grid MTD
MWh]]/Modelling[[#This Row],[MTD DC Capcity]]/(24*CG670)</f>
        <v>0.19838595366178727</v>
      </c>
      <c r="BX670" s="338">
        <f>Modelling[[#This Row],[Target E_Grid YTD
MWh]]/Modelling[[#This Row],[YTD DC Capcity]]/(24*CH670)</f>
        <v>0.17629338686843771</v>
      </c>
      <c r="BY670" s="4">
        <f>Modelling_old[[#This Row],[DC Capcity]]+Modelling_new[[#This Row],[Comisined DC ]]</f>
        <v>24.303100000000001</v>
      </c>
      <c r="BZ670" s="4">
        <v>0</v>
      </c>
      <c r="CA670">
        <f>AVERAGEIFS(Modelling[[Comisined DC ]],Modelling[Date],"&lt;="&amp;Modelling[[#This Row],[Date]],Modelling[Month Year],Modelling[[#This Row],[Month Year]])</f>
        <v>24.303100000000001</v>
      </c>
      <c r="CB670">
        <f>AVERAGEIFS(Modelling[[Comisined DC ]],Modelling[Date],"&lt;="&amp;Modelling[[#This Row],[Date]],Modelling[Finacial Year],Modelling[[#This Row],[Finacial Year]])</f>
        <v>24.303100000000072</v>
      </c>
      <c r="CG670">
        <f t="shared" si="265"/>
        <v>12</v>
      </c>
      <c r="CH670">
        <f t="shared" si="262"/>
        <v>287</v>
      </c>
    </row>
    <row r="671" spans="1:86" x14ac:dyDescent="0.35">
      <c r="A671" s="27">
        <f t="shared" si="241"/>
        <v>45670</v>
      </c>
      <c r="B671" s="5">
        <f>MONTH(Modelling_old[[#This Row],[Date]])</f>
        <v>1</v>
      </c>
      <c r="C671" s="25">
        <v>2025</v>
      </c>
      <c r="D671" s="3">
        <f t="shared" si="243"/>
        <v>2025</v>
      </c>
      <c r="E671" s="3" t="s">
        <v>627</v>
      </c>
      <c r="F671" s="3" t="s">
        <v>627</v>
      </c>
      <c r="G671" s="102">
        <f>DATE(Modelling_old[[#This Row],[Calendor Year]],Modelling_old[[#This Row],[Start Month]],1)</f>
        <v>45658</v>
      </c>
      <c r="H671" s="5">
        <f t="shared" si="244"/>
        <v>31</v>
      </c>
      <c r="I671" s="5">
        <f t="shared" si="245"/>
        <v>1</v>
      </c>
      <c r="J671" s="4">
        <f>_xlfn.XLOOKUP(Modelling_old[[#This Row],[Month]],$C$1:$C$14,$N$1:$N$14)/Modelling_old[[#This Row],[Total Days]]</f>
        <v>54.258064516129032</v>
      </c>
      <c r="K671" s="4">
        <f>SUM($J$659:J671)</f>
        <v>705.35483870967744</v>
      </c>
      <c r="L671" s="4">
        <f>SUM($J$384:J671)</f>
        <v>13074.354838709687</v>
      </c>
      <c r="M671" s="4">
        <f t="shared" si="246"/>
        <v>6.790322580645161</v>
      </c>
      <c r="N671" s="4">
        <f>SUM($M$659:M671)</f>
        <v>88.274193548387117</v>
      </c>
      <c r="O671" s="4">
        <f>SUM($M$384:M671)</f>
        <v>1637.4741935483842</v>
      </c>
      <c r="P671" s="323">
        <f t="shared" si="247"/>
        <v>0.6946387332416083</v>
      </c>
      <c r="Q671" s="337">
        <f t="shared" si="248"/>
        <v>0.69463873324160808</v>
      </c>
      <c r="R671" s="337">
        <f t="shared" si="249"/>
        <v>0.69411416620641464</v>
      </c>
      <c r="S671" s="323">
        <f t="shared" si="250"/>
        <v>0.19653421148838515</v>
      </c>
      <c r="T671" s="9">
        <f>Modelling_old[[#This Row],[Target E_Grid MTD
MWh]]/Modelling_old[[#This Row],[DC Capcity]]/(24*CG671)</f>
        <v>0.19653421148838512</v>
      </c>
      <c r="U671" s="338">
        <f>Modelling_old[[#This Row],[Target E_Grid YTD
MWh]]/Modelling_old[[#This Row],[DC Capcity]]/(24*CH671)</f>
        <v>0.16443779434886543</v>
      </c>
      <c r="V671" s="134">
        <v>11.5031</v>
      </c>
      <c r="Y671" s="27">
        <f t="shared" si="263"/>
        <v>45670</v>
      </c>
      <c r="Z671" s="5">
        <f>MONTH(Modelling_new[[#This Row],[Date]])</f>
        <v>1</v>
      </c>
      <c r="AA671" s="25">
        <f>YEAR(Y671)+IF(MONTH(Modelling_new[[#This Row],[Date]])&gt;=4,1,0)</f>
        <v>2025</v>
      </c>
      <c r="AB671" s="3">
        <f t="shared" si="251"/>
        <v>2025</v>
      </c>
      <c r="AC671" s="3" t="s">
        <v>627</v>
      </c>
      <c r="AD671" s="3" t="s">
        <v>627</v>
      </c>
      <c r="AE671" s="102">
        <f>DATE(Modelling_old[[#This Row],[Calendor Year]],Modelling_old[[#This Row],[Start Month]],1)</f>
        <v>45658</v>
      </c>
      <c r="AF671" s="5">
        <f t="shared" si="252"/>
        <v>31</v>
      </c>
      <c r="AG671" s="5">
        <f t="shared" si="253"/>
        <v>1</v>
      </c>
      <c r="AH671" s="4">
        <f>_xlfn.XLOOKUP(Modelling_new[[#This Row],[Month]],$AA$1:$AA$14,$AL$1:$AL$14)/Modelling_new[[#This Row],[Total Days]]</f>
        <v>61.45538357437777</v>
      </c>
      <c r="AI671" s="4">
        <f>SUM($AH$659:AH671)</f>
        <v>798.91998646691081</v>
      </c>
      <c r="AJ671" s="4">
        <f>SUM($AH$384:AH671)</f>
        <v>16552.82799143215</v>
      </c>
      <c r="AK671" s="4">
        <f t="shared" si="254"/>
        <v>6.790322580645161</v>
      </c>
      <c r="AL671" s="4">
        <f>SUM($AK$659:AK671)</f>
        <v>88.274193548387117</v>
      </c>
      <c r="AM671" s="4">
        <f>SUM($AK$384:AK671)</f>
        <v>1637.4741935483842</v>
      </c>
      <c r="AN671" s="323">
        <f t="shared" si="255"/>
        <v>0.78678239221549962</v>
      </c>
      <c r="AO671" s="323">
        <f t="shared" si="256"/>
        <v>0.78678239221549917</v>
      </c>
      <c r="AP671" s="323">
        <f t="shared" si="257"/>
        <v>0.87878541934731791</v>
      </c>
      <c r="AQ671" s="323">
        <f t="shared" si="258"/>
        <v>0.22260442682978857</v>
      </c>
      <c r="AR671" s="323">
        <f>Modelling_new[[#This Row],[Target E_Grid MTD
MWh]]/Modelling_new[[#This Row],[MTD DC Capcity]]/(24*CG671)</f>
        <v>0.20005007673951092</v>
      </c>
      <c r="AS671" s="323">
        <f>Modelling_new[[#This Row],[Target E_Grid YTD
MWh]]/Modelling_new[[#This Row],[YTD DC Capcity]]/(24*CH671)</f>
        <v>0.18709341534007964</v>
      </c>
      <c r="AT671" s="5">
        <v>12.8</v>
      </c>
      <c r="AU671" s="9">
        <f>Modelling_new[[#This Row],[Comisined DC ]]/$AO$1</f>
        <v>1</v>
      </c>
      <c r="AV671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71" s="5">
        <f>AVERAGEIFS(Modelling_new[[Comisined DC ]],Modelling_new[Date],"&lt;="&amp;Modelling_new[[#This Row],[Date]],Modelling_new[[Comisined DC ]],"&gt;"&amp;0,Modelling_new[Finacial Year],Modelling_new[[#This Row],[Finacial Year]])</f>
        <v>12.800000000000061</v>
      </c>
      <c r="BD671" s="27">
        <f t="shared" si="264"/>
        <v>45670</v>
      </c>
      <c r="BE671" s="5">
        <f>MONTH(Modelling[[#This Row],[Date]])</f>
        <v>1</v>
      </c>
      <c r="BF671" s="25">
        <f>YEAR(BD671)+IF(MONTH(Modelling[[#This Row],[Date]])&gt;=4,1,0)</f>
        <v>2025</v>
      </c>
      <c r="BG671" s="3">
        <f t="shared" si="259"/>
        <v>2025</v>
      </c>
      <c r="BH671" s="3" t="s">
        <v>627</v>
      </c>
      <c r="BI671" s="3" t="s">
        <v>627</v>
      </c>
      <c r="BJ671" s="102">
        <f>DATE(Modelling_old[[#This Row],[Calendor Year]],Modelling_old[[#This Row],[Start Month]],1)</f>
        <v>45658</v>
      </c>
      <c r="BK671" s="5">
        <f t="shared" si="260"/>
        <v>31</v>
      </c>
      <c r="BL671" s="5">
        <f t="shared" si="261"/>
        <v>1</v>
      </c>
      <c r="BM671" s="4">
        <f>Modelling_old[[#This Row],[Target E_Grid daily
MWh]]+Modelling_new[[#This Row],[Target E_Grid daily
MWh]]</f>
        <v>115.7134480905068</v>
      </c>
      <c r="BN671" s="4">
        <f>Modelling_old[[#This Row],[Target E_Grid MTD
MWh]]+Modelling_new[[#This Row],[Target E_Grid MTD
MWh]]</f>
        <v>1504.2748251765884</v>
      </c>
      <c r="BO671" s="4">
        <f>Modelling_old[[#This Row],[Target E_Grid YTD
MWh]]+Modelling_new[[#This Row],[Target E_Grid YTD
MWh]]</f>
        <v>29627.182830141835</v>
      </c>
      <c r="BP671" s="4">
        <f>AVERAGE(Modelling_old[[#This Row],[Target POA Daily (KWh/m2)]],Modelling_new[[#This Row],[Target POA Daily (KWh/m2)]])</f>
        <v>6.790322580645161</v>
      </c>
      <c r="BQ671" s="4">
        <f>SUM($BP$659:BP671)</f>
        <v>88.274193548387117</v>
      </c>
      <c r="BR671" s="4">
        <f>SUM($BP$384:BP671)</f>
        <v>1637.4741935483842</v>
      </c>
      <c r="BS671" s="323">
        <f>BM671/Modelling[[#This Row],[Comisined DC ]]/BP671</f>
        <v>0.70118360819178038</v>
      </c>
      <c r="BT671" s="337">
        <f>BN671/BQ671/Modelling[[#This Row],[Comisined DC ]]</f>
        <v>0.70118360819178016</v>
      </c>
      <c r="BU671" s="337">
        <f>BO671/BR671/Modelling[[#This Row],[Comisined DC ]]</f>
        <v>0.74448202997079138</v>
      </c>
      <c r="BV671" s="323">
        <f>BM671/(24*Modelling[[#This Row],[Comisined DC ]])</f>
        <v>0.19838595366178732</v>
      </c>
      <c r="BW671" s="323">
        <f>Modelling[[#This Row],[Target E_Grid MTD
MWh]]/Modelling[[#This Row],[MTD DC Capcity]]/(24*CG671)</f>
        <v>0.19838595366178735</v>
      </c>
      <c r="BX671" s="338">
        <f>Modelling[[#This Row],[Target E_Grid YTD
MWh]]/Modelling[[#This Row],[YTD DC Capcity]]/(24*CH671)</f>
        <v>0.17637009716980354</v>
      </c>
      <c r="BY671" s="4">
        <f>Modelling_old[[#This Row],[DC Capcity]]+Modelling_new[[#This Row],[Comisined DC ]]</f>
        <v>24.303100000000001</v>
      </c>
      <c r="BZ671" s="4">
        <v>0</v>
      </c>
      <c r="CA671">
        <f>AVERAGEIFS(Modelling[[Comisined DC ]],Modelling[Date],"&lt;="&amp;Modelling[[#This Row],[Date]],Modelling[Month Year],Modelling[[#This Row],[Month Year]])</f>
        <v>24.303099999999997</v>
      </c>
      <c r="CB671">
        <f>AVERAGEIFS(Modelling[[Comisined DC ]],Modelling[Date],"&lt;="&amp;Modelling[[#This Row],[Date]],Modelling[Finacial Year],Modelling[[#This Row],[Finacial Year]])</f>
        <v>24.303100000000072</v>
      </c>
      <c r="CG671">
        <f t="shared" si="265"/>
        <v>13</v>
      </c>
      <c r="CH671">
        <f t="shared" si="262"/>
        <v>288</v>
      </c>
    </row>
    <row r="672" spans="1:86" x14ac:dyDescent="0.35">
      <c r="A672" s="27">
        <f t="shared" si="241"/>
        <v>45671</v>
      </c>
      <c r="B672" s="5">
        <f>MONTH(Modelling_old[[#This Row],[Date]])</f>
        <v>1</v>
      </c>
      <c r="C672" s="25">
        <v>2025</v>
      </c>
      <c r="D672" s="3">
        <f t="shared" si="243"/>
        <v>2025</v>
      </c>
      <c r="E672" s="3" t="s">
        <v>627</v>
      </c>
      <c r="F672" s="3" t="s">
        <v>627</v>
      </c>
      <c r="G672" s="102">
        <f>DATE(Modelling_old[[#This Row],[Calendor Year]],Modelling_old[[#This Row],[Start Month]],1)</f>
        <v>45658</v>
      </c>
      <c r="H672" s="5">
        <f t="shared" si="244"/>
        <v>31</v>
      </c>
      <c r="I672" s="5">
        <f t="shared" si="245"/>
        <v>1</v>
      </c>
      <c r="J672" s="4">
        <f>_xlfn.XLOOKUP(Modelling_old[[#This Row],[Month]],$C$1:$C$14,$N$1:$N$14)/Modelling_old[[#This Row],[Total Days]]</f>
        <v>54.258064516129032</v>
      </c>
      <c r="K672" s="4">
        <f>SUM($J$659:J672)</f>
        <v>759.61290322580646</v>
      </c>
      <c r="L672" s="4">
        <f>SUM($J$384:J672)</f>
        <v>13128.612903225816</v>
      </c>
      <c r="M672" s="4">
        <f t="shared" si="246"/>
        <v>6.790322580645161</v>
      </c>
      <c r="N672" s="4">
        <f>SUM($M$659:M672)</f>
        <v>95.064516129032285</v>
      </c>
      <c r="O672" s="4">
        <f>SUM($M$384:M672)</f>
        <v>1644.2645161290293</v>
      </c>
      <c r="P672" s="323">
        <f t="shared" si="247"/>
        <v>0.6946387332416083</v>
      </c>
      <c r="Q672" s="337">
        <f t="shared" si="248"/>
        <v>0.69463873324160808</v>
      </c>
      <c r="R672" s="337">
        <f t="shared" si="249"/>
        <v>0.69411633251198723</v>
      </c>
      <c r="S672" s="323">
        <f t="shared" si="250"/>
        <v>0.19653421148838515</v>
      </c>
      <c r="T672" s="9">
        <f>Modelling_old[[#This Row],[Target E_Grid MTD
MWh]]/Modelling_old[[#This Row],[DC Capcity]]/(24*CG672)</f>
        <v>0.19653421148838512</v>
      </c>
      <c r="U672" s="338">
        <f>Modelling_old[[#This Row],[Target E_Grid YTD
MWh]]/Modelling_old[[#This Row],[DC Capcity]]/(24*CH672)</f>
        <v>0.1645488546157842</v>
      </c>
      <c r="V672" s="134">
        <v>11.5031</v>
      </c>
      <c r="Y672" s="27">
        <f t="shared" si="263"/>
        <v>45671</v>
      </c>
      <c r="Z672" s="5">
        <f>MONTH(Modelling_new[[#This Row],[Date]])</f>
        <v>1</v>
      </c>
      <c r="AA672" s="25">
        <f>YEAR(Y672)+IF(MONTH(Modelling_new[[#This Row],[Date]])&gt;=4,1,0)</f>
        <v>2025</v>
      </c>
      <c r="AB672" s="3">
        <f t="shared" si="251"/>
        <v>2025</v>
      </c>
      <c r="AC672" s="3" t="s">
        <v>627</v>
      </c>
      <c r="AD672" s="3" t="s">
        <v>627</v>
      </c>
      <c r="AE672" s="102">
        <f>DATE(Modelling_old[[#This Row],[Calendor Year]],Modelling_old[[#This Row],[Start Month]],1)</f>
        <v>45658</v>
      </c>
      <c r="AF672" s="5">
        <f t="shared" si="252"/>
        <v>31</v>
      </c>
      <c r="AG672" s="5">
        <f t="shared" si="253"/>
        <v>1</v>
      </c>
      <c r="AH672" s="4">
        <f>_xlfn.XLOOKUP(Modelling_new[[#This Row],[Month]],$AA$1:$AA$14,$AL$1:$AL$14)/Modelling_new[[#This Row],[Total Days]]</f>
        <v>61.45538357437777</v>
      </c>
      <c r="AI672" s="4">
        <f>SUM($AH$659:AH672)</f>
        <v>860.37537004128853</v>
      </c>
      <c r="AJ672" s="4">
        <f>SUM($AH$384:AH672)</f>
        <v>16614.283375006529</v>
      </c>
      <c r="AK672" s="4">
        <f t="shared" si="254"/>
        <v>6.790322580645161</v>
      </c>
      <c r="AL672" s="4">
        <f>SUM($AK$659:AK672)</f>
        <v>95.064516129032285</v>
      </c>
      <c r="AM672" s="4">
        <f>SUM($AK$384:AK672)</f>
        <v>1644.2645161290293</v>
      </c>
      <c r="AN672" s="323">
        <f t="shared" si="255"/>
        <v>0.78678239221549962</v>
      </c>
      <c r="AO672" s="323">
        <f t="shared" si="256"/>
        <v>0.78678239221549917</v>
      </c>
      <c r="AP672" s="323">
        <f t="shared" si="257"/>
        <v>0.87840547425545912</v>
      </c>
      <c r="AQ672" s="323">
        <f t="shared" si="258"/>
        <v>0.22260442682978857</v>
      </c>
      <c r="AR672" s="323">
        <f>Modelling_new[[#This Row],[Target E_Grid MTD
MWh]]/Modelling_new[[#This Row],[MTD DC Capcity]]/(24*CG672)</f>
        <v>0.20005007673951089</v>
      </c>
      <c r="AS672" s="323">
        <f>Modelling_new[[#This Row],[Target E_Grid YTD
MWh]]/Modelling_new[[#This Row],[YTD DC Capcity]]/(24*CH672)</f>
        <v>0.18713824807848597</v>
      </c>
      <c r="AT672" s="5">
        <v>12.8</v>
      </c>
      <c r="AU672" s="9">
        <f>Modelling_new[[#This Row],[Comisined DC ]]/$AO$1</f>
        <v>1</v>
      </c>
      <c r="AV672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72" s="5">
        <f>AVERAGEIFS(Modelling_new[[Comisined DC ]],Modelling_new[Date],"&lt;="&amp;Modelling_new[[#This Row],[Date]],Modelling_new[[Comisined DC ]],"&gt;"&amp;0,Modelling_new[Finacial Year],Modelling_new[[#This Row],[Finacial Year]])</f>
        <v>12.800000000000063</v>
      </c>
      <c r="BD672" s="27">
        <f t="shared" si="264"/>
        <v>45671</v>
      </c>
      <c r="BE672" s="5">
        <f>MONTH(Modelling[[#This Row],[Date]])</f>
        <v>1</v>
      </c>
      <c r="BF672" s="25">
        <f>YEAR(BD672)+IF(MONTH(Modelling[[#This Row],[Date]])&gt;=4,1,0)</f>
        <v>2025</v>
      </c>
      <c r="BG672" s="3">
        <f t="shared" si="259"/>
        <v>2025</v>
      </c>
      <c r="BH672" s="3" t="s">
        <v>627</v>
      </c>
      <c r="BI672" s="3" t="s">
        <v>627</v>
      </c>
      <c r="BJ672" s="102">
        <f>DATE(Modelling_old[[#This Row],[Calendor Year]],Modelling_old[[#This Row],[Start Month]],1)</f>
        <v>45658</v>
      </c>
      <c r="BK672" s="5">
        <f t="shared" si="260"/>
        <v>31</v>
      </c>
      <c r="BL672" s="5">
        <f t="shared" si="261"/>
        <v>1</v>
      </c>
      <c r="BM672" s="4">
        <f>Modelling_old[[#This Row],[Target E_Grid daily
MWh]]+Modelling_new[[#This Row],[Target E_Grid daily
MWh]]</f>
        <v>115.7134480905068</v>
      </c>
      <c r="BN672" s="4">
        <f>Modelling_old[[#This Row],[Target E_Grid MTD
MWh]]+Modelling_new[[#This Row],[Target E_Grid MTD
MWh]]</f>
        <v>1619.9882732670949</v>
      </c>
      <c r="BO672" s="4">
        <f>Modelling_old[[#This Row],[Target E_Grid YTD
MWh]]+Modelling_new[[#This Row],[Target E_Grid YTD
MWh]]</f>
        <v>29742.896278232343</v>
      </c>
      <c r="BP672" s="4">
        <f>AVERAGE(Modelling_old[[#This Row],[Target POA Daily (KWh/m2)]],Modelling_new[[#This Row],[Target POA Daily (KWh/m2)]])</f>
        <v>6.790322580645161</v>
      </c>
      <c r="BQ672" s="4">
        <f>SUM($BP$659:BP672)</f>
        <v>95.064516129032285</v>
      </c>
      <c r="BR672" s="4">
        <f>SUM($BP$384:BP672)</f>
        <v>1644.2645161290293</v>
      </c>
      <c r="BS672" s="323">
        <f>BM672/Modelling[[#This Row],[Comisined DC ]]/BP672</f>
        <v>0.70118360819178038</v>
      </c>
      <c r="BT672" s="337">
        <f>BN672/BQ672/Modelling[[#This Row],[Comisined DC ]]</f>
        <v>0.70118360819178005</v>
      </c>
      <c r="BU672" s="337">
        <f>BO672/BR672/Modelling[[#This Row],[Comisined DC ]]</f>
        <v>0.74430322038861751</v>
      </c>
      <c r="BV672" s="323">
        <f>BM672/(24*Modelling[[#This Row],[Comisined DC ]])</f>
        <v>0.19838595366178732</v>
      </c>
      <c r="BW672" s="323">
        <f>Modelling[[#This Row],[Target E_Grid MTD
MWh]]/Modelling[[#This Row],[MTD DC Capcity]]/(24*CG672)</f>
        <v>0.1983859536617873</v>
      </c>
      <c r="BX672" s="338">
        <f>Modelling[[#This Row],[Target E_Grid YTD
MWh]]/Modelling[[#This Row],[YTD DC Capcity]]/(24*CH672)</f>
        <v>0.17644627660403184</v>
      </c>
      <c r="BY672" s="4">
        <f>Modelling_old[[#This Row],[DC Capcity]]+Modelling_new[[#This Row],[Comisined DC ]]</f>
        <v>24.303100000000001</v>
      </c>
      <c r="BZ672" s="4">
        <v>0</v>
      </c>
      <c r="CA672">
        <f>AVERAGEIFS(Modelling[[Comisined DC ]],Modelling[Date],"&lt;="&amp;Modelling[[#This Row],[Date]],Modelling[Month Year],Modelling[[#This Row],[Month Year]])</f>
        <v>24.303099999999997</v>
      </c>
      <c r="CB672">
        <f>AVERAGEIFS(Modelling[[Comisined DC ]],Modelling[Date],"&lt;="&amp;Modelling[[#This Row],[Date]],Modelling[Finacial Year],Modelling[[#This Row],[Finacial Year]])</f>
        <v>24.303100000000072</v>
      </c>
      <c r="CG672">
        <f t="shared" si="265"/>
        <v>14</v>
      </c>
      <c r="CH672">
        <f t="shared" si="262"/>
        <v>289</v>
      </c>
    </row>
    <row r="673" spans="1:86" x14ac:dyDescent="0.35">
      <c r="A673" s="27">
        <f t="shared" si="241"/>
        <v>45672</v>
      </c>
      <c r="B673" s="5">
        <f>MONTH(Modelling_old[[#This Row],[Date]])</f>
        <v>1</v>
      </c>
      <c r="C673" s="25">
        <v>2025</v>
      </c>
      <c r="D673" s="3">
        <f t="shared" si="243"/>
        <v>2025</v>
      </c>
      <c r="E673" s="3" t="s">
        <v>627</v>
      </c>
      <c r="F673" s="3" t="s">
        <v>627</v>
      </c>
      <c r="G673" s="102">
        <f>DATE(Modelling_old[[#This Row],[Calendor Year]],Modelling_old[[#This Row],[Start Month]],1)</f>
        <v>45658</v>
      </c>
      <c r="H673" s="5">
        <f t="shared" si="244"/>
        <v>31</v>
      </c>
      <c r="I673" s="5">
        <f t="shared" si="245"/>
        <v>1</v>
      </c>
      <c r="J673" s="4">
        <f>_xlfn.XLOOKUP(Modelling_old[[#This Row],[Month]],$C$1:$C$14,$N$1:$N$14)/Modelling_old[[#This Row],[Total Days]]</f>
        <v>54.258064516129032</v>
      </c>
      <c r="K673" s="4">
        <f>SUM($J$659:J673)</f>
        <v>813.87096774193549</v>
      </c>
      <c r="L673" s="4">
        <f>SUM($J$384:J673)</f>
        <v>13182.870967741945</v>
      </c>
      <c r="M673" s="4">
        <f t="shared" si="246"/>
        <v>6.790322580645161</v>
      </c>
      <c r="N673" s="4">
        <f>SUM($M$659:M673)</f>
        <v>101.85483870967745</v>
      </c>
      <c r="O673" s="4">
        <f>SUM($M$384:M673)</f>
        <v>1651.0548387096744</v>
      </c>
      <c r="P673" s="323">
        <f t="shared" si="247"/>
        <v>0.6946387332416083</v>
      </c>
      <c r="Q673" s="337">
        <f t="shared" si="248"/>
        <v>0.69463873324160808</v>
      </c>
      <c r="R673" s="337">
        <f t="shared" si="249"/>
        <v>0.69411848099875295</v>
      </c>
      <c r="S673" s="323">
        <f t="shared" si="250"/>
        <v>0.19653421148838515</v>
      </c>
      <c r="T673" s="9">
        <f>Modelling_old[[#This Row],[Target E_Grid MTD
MWh]]/Modelling_old[[#This Row],[DC Capcity]]/(24*CG673)</f>
        <v>0.19653421148838512</v>
      </c>
      <c r="U673" s="338">
        <f>Modelling_old[[#This Row],[Target E_Grid YTD
MWh]]/Modelling_old[[#This Row],[DC Capcity]]/(24*CH673)</f>
        <v>0.16465914894982761</v>
      </c>
      <c r="V673" s="134">
        <v>11.5031</v>
      </c>
      <c r="Y673" s="27">
        <f t="shared" si="263"/>
        <v>45672</v>
      </c>
      <c r="Z673" s="5">
        <f>MONTH(Modelling_new[[#This Row],[Date]])</f>
        <v>1</v>
      </c>
      <c r="AA673" s="25">
        <f>YEAR(Y673)+IF(MONTH(Modelling_new[[#This Row],[Date]])&gt;=4,1,0)</f>
        <v>2025</v>
      </c>
      <c r="AB673" s="3">
        <f t="shared" si="251"/>
        <v>2025</v>
      </c>
      <c r="AC673" s="3" t="s">
        <v>627</v>
      </c>
      <c r="AD673" s="3" t="s">
        <v>627</v>
      </c>
      <c r="AE673" s="102">
        <f>DATE(Modelling_old[[#This Row],[Calendor Year]],Modelling_old[[#This Row],[Start Month]],1)</f>
        <v>45658</v>
      </c>
      <c r="AF673" s="5">
        <f t="shared" si="252"/>
        <v>31</v>
      </c>
      <c r="AG673" s="5">
        <f t="shared" si="253"/>
        <v>1</v>
      </c>
      <c r="AH673" s="4">
        <f>_xlfn.XLOOKUP(Modelling_new[[#This Row],[Month]],$AA$1:$AA$14,$AL$1:$AL$14)/Modelling_new[[#This Row],[Total Days]]</f>
        <v>61.45538357437777</v>
      </c>
      <c r="AI673" s="4">
        <f>SUM($AH$659:AH673)</f>
        <v>921.83075361566625</v>
      </c>
      <c r="AJ673" s="4">
        <f>SUM($AH$384:AH673)</f>
        <v>16675.738758580908</v>
      </c>
      <c r="AK673" s="4">
        <f t="shared" si="254"/>
        <v>6.790322580645161</v>
      </c>
      <c r="AL673" s="4">
        <f>SUM($AK$659:AK673)</f>
        <v>101.85483870967745</v>
      </c>
      <c r="AM673" s="4">
        <f>SUM($AK$384:AK673)</f>
        <v>1651.0548387096744</v>
      </c>
      <c r="AN673" s="323">
        <f t="shared" si="255"/>
        <v>0.78678239221549962</v>
      </c>
      <c r="AO673" s="323">
        <f t="shared" si="256"/>
        <v>0.78678239221549906</v>
      </c>
      <c r="AP673" s="323">
        <f t="shared" si="257"/>
        <v>0.87802865437746513</v>
      </c>
      <c r="AQ673" s="323">
        <f t="shared" si="258"/>
        <v>0.22260442682978857</v>
      </c>
      <c r="AR673" s="323">
        <f>Modelling_new[[#This Row],[Target E_Grid MTD
MWh]]/Modelling_new[[#This Row],[MTD DC Capcity]]/(24*CG673)</f>
        <v>0.20005007673951086</v>
      </c>
      <c r="AS673" s="323">
        <f>Modelling_new[[#This Row],[Target E_Grid YTD
MWh]]/Modelling_new[[#This Row],[YTD DC Capcity]]/(24*CH673)</f>
        <v>0.18718277162559296</v>
      </c>
      <c r="AT673" s="5">
        <v>12.8</v>
      </c>
      <c r="AU673" s="9">
        <f>Modelling_new[[#This Row],[Comisined DC ]]/$AO$1</f>
        <v>1</v>
      </c>
      <c r="AV673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73" s="5">
        <f>AVERAGEIFS(Modelling_new[[Comisined DC ]],Modelling_new[Date],"&lt;="&amp;Modelling_new[[#This Row],[Date]],Modelling_new[[Comisined DC ]],"&gt;"&amp;0,Modelling_new[Finacial Year],Modelling_new[[#This Row],[Finacial Year]])</f>
        <v>12.800000000000063</v>
      </c>
      <c r="BD673" s="27">
        <f t="shared" si="264"/>
        <v>45672</v>
      </c>
      <c r="BE673" s="5">
        <f>MONTH(Modelling[[#This Row],[Date]])</f>
        <v>1</v>
      </c>
      <c r="BF673" s="25">
        <f>YEAR(BD673)+IF(MONTH(Modelling[[#This Row],[Date]])&gt;=4,1,0)</f>
        <v>2025</v>
      </c>
      <c r="BG673" s="3">
        <f t="shared" si="259"/>
        <v>2025</v>
      </c>
      <c r="BH673" s="3" t="s">
        <v>627</v>
      </c>
      <c r="BI673" s="3" t="s">
        <v>627</v>
      </c>
      <c r="BJ673" s="102">
        <f>DATE(Modelling_old[[#This Row],[Calendor Year]],Modelling_old[[#This Row],[Start Month]],1)</f>
        <v>45658</v>
      </c>
      <c r="BK673" s="5">
        <f t="shared" si="260"/>
        <v>31</v>
      </c>
      <c r="BL673" s="5">
        <f t="shared" si="261"/>
        <v>1</v>
      </c>
      <c r="BM673" s="4">
        <f>Modelling_old[[#This Row],[Target E_Grid daily
MWh]]+Modelling_new[[#This Row],[Target E_Grid daily
MWh]]</f>
        <v>115.7134480905068</v>
      </c>
      <c r="BN673" s="4">
        <f>Modelling_old[[#This Row],[Target E_Grid MTD
MWh]]+Modelling_new[[#This Row],[Target E_Grid MTD
MWh]]</f>
        <v>1735.7017213576019</v>
      </c>
      <c r="BO673" s="4">
        <f>Modelling_old[[#This Row],[Target E_Grid YTD
MWh]]+Modelling_new[[#This Row],[Target E_Grid YTD
MWh]]</f>
        <v>29858.609726322851</v>
      </c>
      <c r="BP673" s="4">
        <f>AVERAGE(Modelling_old[[#This Row],[Target POA Daily (KWh/m2)]],Modelling_new[[#This Row],[Target POA Daily (KWh/m2)]])</f>
        <v>6.790322580645161</v>
      </c>
      <c r="BQ673" s="4">
        <f>SUM($BP$659:BP673)</f>
        <v>101.85483870967745</v>
      </c>
      <c r="BR673" s="4">
        <f>SUM($BP$384:BP673)</f>
        <v>1651.0548387096744</v>
      </c>
      <c r="BS673" s="323">
        <f>BM673/Modelling[[#This Row],[Comisined DC ]]/BP673</f>
        <v>0.70118360819178038</v>
      </c>
      <c r="BT673" s="337">
        <f>BN673/BQ673/Modelling[[#This Row],[Comisined DC ]]</f>
        <v>0.70118360819178005</v>
      </c>
      <c r="BU673" s="337">
        <f>BO673/BR673/Modelling[[#This Row],[Comisined DC ]]</f>
        <v>0.7441258815931372</v>
      </c>
      <c r="BV673" s="323">
        <f>BM673/(24*Modelling[[#This Row],[Comisined DC ]])</f>
        <v>0.19838595366178732</v>
      </c>
      <c r="BW673" s="323">
        <f>Modelling[[#This Row],[Target E_Grid MTD
MWh]]/Modelling[[#This Row],[MTD DC Capcity]]/(24*CG673)</f>
        <v>0.19838595366178735</v>
      </c>
      <c r="BX673" s="338">
        <f>Modelling[[#This Row],[Target E_Grid YTD
MWh]]/Modelling[[#This Row],[YTD DC Capcity]]/(24*CH673)</f>
        <v>0.17652193066285171</v>
      </c>
      <c r="BY673" s="4">
        <f>Modelling_old[[#This Row],[DC Capcity]]+Modelling_new[[#This Row],[Comisined DC ]]</f>
        <v>24.303100000000001</v>
      </c>
      <c r="BZ673" s="4">
        <v>0</v>
      </c>
      <c r="CA673">
        <f>AVERAGEIFS(Modelling[[Comisined DC ]],Modelling[Date],"&lt;="&amp;Modelling[[#This Row],[Date]],Modelling[Month Year],Modelling[[#This Row],[Month Year]])</f>
        <v>24.303099999999993</v>
      </c>
      <c r="CB673">
        <f>AVERAGEIFS(Modelling[[Comisined DC ]],Modelling[Date],"&lt;="&amp;Modelling[[#This Row],[Date]],Modelling[Finacial Year],Modelling[[#This Row],[Finacial Year]])</f>
        <v>24.303100000000072</v>
      </c>
      <c r="CG673">
        <f t="shared" si="265"/>
        <v>15</v>
      </c>
      <c r="CH673">
        <f t="shared" si="262"/>
        <v>290</v>
      </c>
    </row>
    <row r="674" spans="1:86" x14ac:dyDescent="0.35">
      <c r="A674" s="27">
        <f t="shared" si="241"/>
        <v>45673</v>
      </c>
      <c r="B674" s="5">
        <f>MONTH(Modelling_old[[#This Row],[Date]])</f>
        <v>1</v>
      </c>
      <c r="C674" s="25">
        <v>2025</v>
      </c>
      <c r="D674" s="3">
        <f t="shared" si="243"/>
        <v>2025</v>
      </c>
      <c r="E674" s="3" t="s">
        <v>627</v>
      </c>
      <c r="F674" s="3" t="s">
        <v>627</v>
      </c>
      <c r="G674" s="102">
        <f>DATE(Modelling_old[[#This Row],[Calendor Year]],Modelling_old[[#This Row],[Start Month]],1)</f>
        <v>45658</v>
      </c>
      <c r="H674" s="5">
        <f t="shared" si="244"/>
        <v>31</v>
      </c>
      <c r="I674" s="5">
        <f t="shared" si="245"/>
        <v>1</v>
      </c>
      <c r="J674" s="4">
        <f>_xlfn.XLOOKUP(Modelling_old[[#This Row],[Month]],$C$1:$C$14,$N$1:$N$14)/Modelling_old[[#This Row],[Total Days]]</f>
        <v>54.258064516129032</v>
      </c>
      <c r="K674" s="4">
        <f>SUM($J$659:J674)</f>
        <v>868.12903225806451</v>
      </c>
      <c r="L674" s="4">
        <f>SUM($J$384:J674)</f>
        <v>13237.129032258073</v>
      </c>
      <c r="M674" s="4">
        <f t="shared" si="246"/>
        <v>6.790322580645161</v>
      </c>
      <c r="N674" s="4">
        <f>SUM($M$659:M674)</f>
        <v>108.64516129032262</v>
      </c>
      <c r="O674" s="4">
        <f>SUM($M$384:M674)</f>
        <v>1657.8451612903195</v>
      </c>
      <c r="P674" s="323">
        <f t="shared" si="247"/>
        <v>0.6946387332416083</v>
      </c>
      <c r="Q674" s="337">
        <f t="shared" si="248"/>
        <v>0.69463873324160808</v>
      </c>
      <c r="R674" s="337">
        <f t="shared" si="249"/>
        <v>0.69412061188566254</v>
      </c>
      <c r="S674" s="323">
        <f t="shared" si="250"/>
        <v>0.19653421148838515</v>
      </c>
      <c r="T674" s="9">
        <f>Modelling_old[[#This Row],[Target E_Grid MTD
MWh]]/Modelling_old[[#This Row],[DC Capcity]]/(24*CG674)</f>
        <v>0.19653421148838512</v>
      </c>
      <c r="U674" s="338">
        <f>Modelling_old[[#This Row],[Target E_Grid YTD
MWh]]/Modelling_old[[#This Row],[DC Capcity]]/(24*CH674)</f>
        <v>0.164768685247211</v>
      </c>
      <c r="V674" s="134">
        <v>11.5031</v>
      </c>
      <c r="Y674" s="27">
        <f t="shared" si="263"/>
        <v>45673</v>
      </c>
      <c r="Z674" s="5">
        <f>MONTH(Modelling_new[[#This Row],[Date]])</f>
        <v>1</v>
      </c>
      <c r="AA674" s="25">
        <f>YEAR(Y674)+IF(MONTH(Modelling_new[[#This Row],[Date]])&gt;=4,1,0)</f>
        <v>2025</v>
      </c>
      <c r="AB674" s="3">
        <f t="shared" si="251"/>
        <v>2025</v>
      </c>
      <c r="AC674" s="3" t="s">
        <v>627</v>
      </c>
      <c r="AD674" s="3" t="s">
        <v>627</v>
      </c>
      <c r="AE674" s="102">
        <f>DATE(Modelling_old[[#This Row],[Calendor Year]],Modelling_old[[#This Row],[Start Month]],1)</f>
        <v>45658</v>
      </c>
      <c r="AF674" s="5">
        <f t="shared" si="252"/>
        <v>31</v>
      </c>
      <c r="AG674" s="5">
        <f t="shared" si="253"/>
        <v>1</v>
      </c>
      <c r="AH674" s="4">
        <f>_xlfn.XLOOKUP(Modelling_new[[#This Row],[Month]],$AA$1:$AA$14,$AL$1:$AL$14)/Modelling_new[[#This Row],[Total Days]]</f>
        <v>61.45538357437777</v>
      </c>
      <c r="AI674" s="4">
        <f>SUM($AH$659:AH674)</f>
        <v>983.28613719004397</v>
      </c>
      <c r="AJ674" s="4">
        <f>SUM($AH$384:AH674)</f>
        <v>16737.194142155287</v>
      </c>
      <c r="AK674" s="4">
        <f t="shared" si="254"/>
        <v>6.790322580645161</v>
      </c>
      <c r="AL674" s="4">
        <f>SUM($AK$659:AK674)</f>
        <v>108.64516129032262</v>
      </c>
      <c r="AM674" s="4">
        <f>SUM($AK$384:AK674)</f>
        <v>1657.8451612903195</v>
      </c>
      <c r="AN674" s="323">
        <f t="shared" si="255"/>
        <v>0.78678239221549962</v>
      </c>
      <c r="AO674" s="323">
        <f t="shared" si="256"/>
        <v>0.78678239221549906</v>
      </c>
      <c r="AP674" s="323">
        <f t="shared" si="257"/>
        <v>0.87765492131190215</v>
      </c>
      <c r="AQ674" s="323">
        <f t="shared" si="258"/>
        <v>0.22260442682978857</v>
      </c>
      <c r="AR674" s="323">
        <f>Modelling_new[[#This Row],[Target E_Grid MTD
MWh]]/Modelling_new[[#This Row],[MTD DC Capcity]]/(24*CG674)</f>
        <v>0.20005007673951083</v>
      </c>
      <c r="AS674" s="323">
        <f>Modelling_new[[#This Row],[Target E_Grid YTD
MWh]]/Modelling_new[[#This Row],[YTD DC Capcity]]/(24*CH674)</f>
        <v>0.18722698916893976</v>
      </c>
      <c r="AT674" s="5">
        <v>12.8</v>
      </c>
      <c r="AU674" s="9">
        <f>Modelling_new[[#This Row],[Comisined DC ]]/$AO$1</f>
        <v>1</v>
      </c>
      <c r="AV674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74" s="5">
        <f>AVERAGEIFS(Modelling_new[[Comisined DC ]],Modelling_new[Date],"&lt;="&amp;Modelling_new[[#This Row],[Date]],Modelling_new[[Comisined DC ]],"&gt;"&amp;0,Modelling_new[Finacial Year],Modelling_new[[#This Row],[Finacial Year]])</f>
        <v>12.800000000000063</v>
      </c>
      <c r="BD674" s="27">
        <f t="shared" si="264"/>
        <v>45673</v>
      </c>
      <c r="BE674" s="5">
        <f>MONTH(Modelling[[#This Row],[Date]])</f>
        <v>1</v>
      </c>
      <c r="BF674" s="25">
        <f>YEAR(BD674)+IF(MONTH(Modelling[[#This Row],[Date]])&gt;=4,1,0)</f>
        <v>2025</v>
      </c>
      <c r="BG674" s="3">
        <f t="shared" si="259"/>
        <v>2025</v>
      </c>
      <c r="BH674" s="3" t="s">
        <v>627</v>
      </c>
      <c r="BI674" s="3" t="s">
        <v>627</v>
      </c>
      <c r="BJ674" s="102">
        <f>DATE(Modelling_old[[#This Row],[Calendor Year]],Modelling_old[[#This Row],[Start Month]],1)</f>
        <v>45658</v>
      </c>
      <c r="BK674" s="5">
        <f t="shared" si="260"/>
        <v>31</v>
      </c>
      <c r="BL674" s="5">
        <f t="shared" si="261"/>
        <v>1</v>
      </c>
      <c r="BM674" s="4">
        <f>Modelling_old[[#This Row],[Target E_Grid daily
MWh]]+Modelling_new[[#This Row],[Target E_Grid daily
MWh]]</f>
        <v>115.7134480905068</v>
      </c>
      <c r="BN674" s="4">
        <f>Modelling_old[[#This Row],[Target E_Grid MTD
MWh]]+Modelling_new[[#This Row],[Target E_Grid MTD
MWh]]</f>
        <v>1851.4151694481084</v>
      </c>
      <c r="BO674" s="4">
        <f>Modelling_old[[#This Row],[Target E_Grid YTD
MWh]]+Modelling_new[[#This Row],[Target E_Grid YTD
MWh]]</f>
        <v>29974.323174413359</v>
      </c>
      <c r="BP674" s="4">
        <f>AVERAGE(Modelling_old[[#This Row],[Target POA Daily (KWh/m2)]],Modelling_new[[#This Row],[Target POA Daily (KWh/m2)]])</f>
        <v>6.790322580645161</v>
      </c>
      <c r="BQ674" s="4">
        <f>SUM($BP$659:BP674)</f>
        <v>108.64516129032262</v>
      </c>
      <c r="BR674" s="4">
        <f>SUM($BP$384:BP674)</f>
        <v>1657.8451612903195</v>
      </c>
      <c r="BS674" s="323">
        <f>BM674/Modelling[[#This Row],[Comisined DC ]]/BP674</f>
        <v>0.70118360819178038</v>
      </c>
      <c r="BT674" s="337">
        <f>BN674/BQ674/Modelling[[#This Row],[Comisined DC ]]</f>
        <v>0.70118360819177994</v>
      </c>
      <c r="BU674" s="337">
        <f>BO674/BR674/Modelling[[#This Row],[Comisined DC ]]</f>
        <v>0.74394999551188556</v>
      </c>
      <c r="BV674" s="323">
        <f>BM674/(24*Modelling[[#This Row],[Comisined DC ]])</f>
        <v>0.19838595366178732</v>
      </c>
      <c r="BW674" s="323">
        <f>Modelling[[#This Row],[Target E_Grid MTD
MWh]]/Modelling[[#This Row],[MTD DC Capcity]]/(24*CG674)</f>
        <v>0.19838595366178732</v>
      </c>
      <c r="BX674" s="338">
        <f>Modelling[[#This Row],[Target E_Grid YTD
MWh]]/Modelling[[#This Row],[YTD DC Capcity]]/(24*CH674)</f>
        <v>0.17659706476250439</v>
      </c>
      <c r="BY674" s="4">
        <f>Modelling_old[[#This Row],[DC Capcity]]+Modelling_new[[#This Row],[Comisined DC ]]</f>
        <v>24.303100000000001</v>
      </c>
      <c r="BZ674" s="4">
        <v>0</v>
      </c>
      <c r="CA674">
        <f>AVERAGEIFS(Modelling[[Comisined DC ]],Modelling[Date],"&lt;="&amp;Modelling[[#This Row],[Date]],Modelling[Month Year],Modelling[[#This Row],[Month Year]])</f>
        <v>24.303099999999993</v>
      </c>
      <c r="CB674">
        <f>AVERAGEIFS(Modelling[[Comisined DC ]],Modelling[Date],"&lt;="&amp;Modelling[[#This Row],[Date]],Modelling[Finacial Year],Modelling[[#This Row],[Finacial Year]])</f>
        <v>24.303100000000072</v>
      </c>
      <c r="CG674">
        <f t="shared" si="265"/>
        <v>16</v>
      </c>
      <c r="CH674">
        <f t="shared" si="262"/>
        <v>291</v>
      </c>
    </row>
    <row r="675" spans="1:86" x14ac:dyDescent="0.35">
      <c r="A675" s="27">
        <f t="shared" si="241"/>
        <v>45674</v>
      </c>
      <c r="B675" s="5">
        <f>MONTH(Modelling_old[[#This Row],[Date]])</f>
        <v>1</v>
      </c>
      <c r="C675" s="25">
        <v>2025</v>
      </c>
      <c r="D675" s="3">
        <f t="shared" si="243"/>
        <v>2025</v>
      </c>
      <c r="E675" s="3" t="s">
        <v>627</v>
      </c>
      <c r="F675" s="3" t="s">
        <v>627</v>
      </c>
      <c r="G675" s="102">
        <f>DATE(Modelling_old[[#This Row],[Calendor Year]],Modelling_old[[#This Row],[Start Month]],1)</f>
        <v>45658</v>
      </c>
      <c r="H675" s="5">
        <f t="shared" si="244"/>
        <v>31</v>
      </c>
      <c r="I675" s="5">
        <f t="shared" si="245"/>
        <v>1</v>
      </c>
      <c r="J675" s="4">
        <f>_xlfn.XLOOKUP(Modelling_old[[#This Row],[Month]],$C$1:$C$14,$N$1:$N$14)/Modelling_old[[#This Row],[Total Days]]</f>
        <v>54.258064516129032</v>
      </c>
      <c r="K675" s="4">
        <f>SUM($J$659:J675)</f>
        <v>922.38709677419354</v>
      </c>
      <c r="L675" s="4">
        <f>SUM($J$384:J675)</f>
        <v>13291.387096774202</v>
      </c>
      <c r="M675" s="4">
        <f t="shared" si="246"/>
        <v>6.790322580645161</v>
      </c>
      <c r="N675" s="4">
        <f>SUM($M$659:M675)</f>
        <v>115.43548387096779</v>
      </c>
      <c r="O675" s="4">
        <f>SUM($M$384:M675)</f>
        <v>1664.6354838709647</v>
      </c>
      <c r="P675" s="323">
        <f t="shared" si="247"/>
        <v>0.6946387332416083</v>
      </c>
      <c r="Q675" s="337">
        <f t="shared" si="248"/>
        <v>0.69463873324160796</v>
      </c>
      <c r="R675" s="337">
        <f t="shared" si="249"/>
        <v>0.69412272538809405</v>
      </c>
      <c r="S675" s="323">
        <f t="shared" si="250"/>
        <v>0.19653421148838515</v>
      </c>
      <c r="T675" s="9">
        <f>Modelling_old[[#This Row],[Target E_Grid MTD
MWh]]/Modelling_old[[#This Row],[DC Capcity]]/(24*CG675)</f>
        <v>0.19653421148838512</v>
      </c>
      <c r="U675" s="338">
        <f>Modelling_old[[#This Row],[Target E_Grid YTD
MWh]]/Modelling_old[[#This Row],[DC Capcity]]/(24*CH675)</f>
        <v>0.16487747129598213</v>
      </c>
      <c r="V675" s="134">
        <v>11.5031</v>
      </c>
      <c r="Y675" s="27">
        <f t="shared" si="263"/>
        <v>45674</v>
      </c>
      <c r="Z675" s="5">
        <f>MONTH(Modelling_new[[#This Row],[Date]])</f>
        <v>1</v>
      </c>
      <c r="AA675" s="25">
        <f>YEAR(Y675)+IF(MONTH(Modelling_new[[#This Row],[Date]])&gt;=4,1,0)</f>
        <v>2025</v>
      </c>
      <c r="AB675" s="3">
        <f t="shared" si="251"/>
        <v>2025</v>
      </c>
      <c r="AC675" s="3" t="s">
        <v>627</v>
      </c>
      <c r="AD675" s="3" t="s">
        <v>627</v>
      </c>
      <c r="AE675" s="102">
        <f>DATE(Modelling_old[[#This Row],[Calendor Year]],Modelling_old[[#This Row],[Start Month]],1)</f>
        <v>45658</v>
      </c>
      <c r="AF675" s="5">
        <f t="shared" si="252"/>
        <v>31</v>
      </c>
      <c r="AG675" s="5">
        <f t="shared" si="253"/>
        <v>1</v>
      </c>
      <c r="AH675" s="4">
        <f>_xlfn.XLOOKUP(Modelling_new[[#This Row],[Month]],$AA$1:$AA$14,$AL$1:$AL$14)/Modelling_new[[#This Row],[Total Days]]</f>
        <v>61.45538357437777</v>
      </c>
      <c r="AI675" s="4">
        <f>SUM($AH$659:AH675)</f>
        <v>1044.7415207644217</v>
      </c>
      <c r="AJ675" s="4">
        <f>SUM($AH$384:AH675)</f>
        <v>16798.649525729666</v>
      </c>
      <c r="AK675" s="4">
        <f t="shared" si="254"/>
        <v>6.790322580645161</v>
      </c>
      <c r="AL675" s="4">
        <f>SUM($AK$659:AK675)</f>
        <v>115.43548387096779</v>
      </c>
      <c r="AM675" s="4">
        <f>SUM($AK$384:AK675)</f>
        <v>1664.6354838709647</v>
      </c>
      <c r="AN675" s="323">
        <f t="shared" si="255"/>
        <v>0.78678239221549962</v>
      </c>
      <c r="AO675" s="323">
        <f t="shared" si="256"/>
        <v>0.78678239221549906</v>
      </c>
      <c r="AP675" s="323">
        <f t="shared" si="257"/>
        <v>0.8772842372839198</v>
      </c>
      <c r="AQ675" s="323">
        <f t="shared" si="258"/>
        <v>0.22260442682978857</v>
      </c>
      <c r="AR675" s="323">
        <f>Modelling_new[[#This Row],[Target E_Grid MTD
MWh]]/Modelling_new[[#This Row],[MTD DC Capcity]]/(24*CG675)</f>
        <v>0.20005007673951086</v>
      </c>
      <c r="AS675" s="323">
        <f>Modelling_new[[#This Row],[Target E_Grid YTD
MWh]]/Modelling_new[[#This Row],[YTD DC Capcity]]/(24*CH675)</f>
        <v>0.18727090385240064</v>
      </c>
      <c r="AT675" s="5">
        <v>12.8</v>
      </c>
      <c r="AU675" s="9">
        <f>Modelling_new[[#This Row],[Comisined DC ]]/$AO$1</f>
        <v>1</v>
      </c>
      <c r="AV675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75" s="5">
        <f>AVERAGEIFS(Modelling_new[[Comisined DC ]],Modelling_new[Date],"&lt;="&amp;Modelling_new[[#This Row],[Date]],Modelling_new[[Comisined DC ]],"&gt;"&amp;0,Modelling_new[Finacial Year],Modelling_new[[#This Row],[Finacial Year]])</f>
        <v>12.800000000000063</v>
      </c>
      <c r="BD675" s="27">
        <f t="shared" si="264"/>
        <v>45674</v>
      </c>
      <c r="BE675" s="5">
        <f>MONTH(Modelling[[#This Row],[Date]])</f>
        <v>1</v>
      </c>
      <c r="BF675" s="25">
        <f>YEAR(BD675)+IF(MONTH(Modelling[[#This Row],[Date]])&gt;=4,1,0)</f>
        <v>2025</v>
      </c>
      <c r="BG675" s="3">
        <f t="shared" si="259"/>
        <v>2025</v>
      </c>
      <c r="BH675" s="3" t="s">
        <v>627</v>
      </c>
      <c r="BI675" s="3" t="s">
        <v>627</v>
      </c>
      <c r="BJ675" s="102">
        <f>DATE(Modelling_old[[#This Row],[Calendor Year]],Modelling_old[[#This Row],[Start Month]],1)</f>
        <v>45658</v>
      </c>
      <c r="BK675" s="5">
        <f t="shared" si="260"/>
        <v>31</v>
      </c>
      <c r="BL675" s="5">
        <f t="shared" si="261"/>
        <v>1</v>
      </c>
      <c r="BM675" s="4">
        <f>Modelling_old[[#This Row],[Target E_Grid daily
MWh]]+Modelling_new[[#This Row],[Target E_Grid daily
MWh]]</f>
        <v>115.7134480905068</v>
      </c>
      <c r="BN675" s="4">
        <f>Modelling_old[[#This Row],[Target E_Grid MTD
MWh]]+Modelling_new[[#This Row],[Target E_Grid MTD
MWh]]</f>
        <v>1967.1286175386153</v>
      </c>
      <c r="BO675" s="4">
        <f>Modelling_old[[#This Row],[Target E_Grid YTD
MWh]]+Modelling_new[[#This Row],[Target E_Grid YTD
MWh]]</f>
        <v>30090.036622503867</v>
      </c>
      <c r="BP675" s="4">
        <f>AVERAGE(Modelling_old[[#This Row],[Target POA Daily (KWh/m2)]],Modelling_new[[#This Row],[Target POA Daily (KWh/m2)]])</f>
        <v>6.790322580645161</v>
      </c>
      <c r="BQ675" s="4">
        <f>SUM($BP$659:BP675)</f>
        <v>115.43548387096779</v>
      </c>
      <c r="BR675" s="4">
        <f>SUM($BP$384:BP675)</f>
        <v>1664.6354838709647</v>
      </c>
      <c r="BS675" s="323">
        <f>BM675/Modelling[[#This Row],[Comisined DC ]]/BP675</f>
        <v>0.70118360819178038</v>
      </c>
      <c r="BT675" s="337">
        <f>BN675/BQ675/Modelling[[#This Row],[Comisined DC ]]</f>
        <v>0.70118360819177994</v>
      </c>
      <c r="BU675" s="337">
        <f>BO675/BR675/Modelling[[#This Row],[Comisined DC ]]</f>
        <v>0.74377554436727999</v>
      </c>
      <c r="BV675" s="323">
        <f>BM675/(24*Modelling[[#This Row],[Comisined DC ]])</f>
        <v>0.19838595366178732</v>
      </c>
      <c r="BW675" s="323">
        <f>Modelling[[#This Row],[Target E_Grid MTD
MWh]]/Modelling[[#This Row],[MTD DC Capcity]]/(24*CG675)</f>
        <v>0.19838595366178735</v>
      </c>
      <c r="BX675" s="338">
        <f>Modelling[[#This Row],[Target E_Grid YTD
MWh]]/Modelling[[#This Row],[YTD DC Capcity]]/(24*CH675)</f>
        <v>0.17667168424503621</v>
      </c>
      <c r="BY675" s="4">
        <f>Modelling_old[[#This Row],[DC Capcity]]+Modelling_new[[#This Row],[Comisined DC ]]</f>
        <v>24.303100000000001</v>
      </c>
      <c r="BZ675" s="4">
        <v>0</v>
      </c>
      <c r="CA675">
        <f>AVERAGEIFS(Modelling[[Comisined DC ]],Modelling[Date],"&lt;="&amp;Modelling[[#This Row],[Date]],Modelling[Month Year],Modelling[[#This Row],[Month Year]])</f>
        <v>24.303099999999993</v>
      </c>
      <c r="CB675">
        <f>AVERAGEIFS(Modelling[[Comisined DC ]],Modelling[Date],"&lt;="&amp;Modelling[[#This Row],[Date]],Modelling[Finacial Year],Modelling[[#This Row],[Finacial Year]])</f>
        <v>24.303100000000072</v>
      </c>
      <c r="CG675">
        <f t="shared" si="265"/>
        <v>17</v>
      </c>
      <c r="CH675">
        <f t="shared" si="262"/>
        <v>292</v>
      </c>
    </row>
    <row r="676" spans="1:86" x14ac:dyDescent="0.35">
      <c r="A676" s="27">
        <f t="shared" si="241"/>
        <v>45675</v>
      </c>
      <c r="B676" s="5">
        <f>MONTH(Modelling_old[[#This Row],[Date]])</f>
        <v>1</v>
      </c>
      <c r="C676" s="25">
        <v>2025</v>
      </c>
      <c r="D676" s="3">
        <f t="shared" si="243"/>
        <v>2025</v>
      </c>
      <c r="E676" s="3" t="s">
        <v>627</v>
      </c>
      <c r="F676" s="3" t="s">
        <v>627</v>
      </c>
      <c r="G676" s="102">
        <f>DATE(Modelling_old[[#This Row],[Calendor Year]],Modelling_old[[#This Row],[Start Month]],1)</f>
        <v>45658</v>
      </c>
      <c r="H676" s="5">
        <f t="shared" si="244"/>
        <v>31</v>
      </c>
      <c r="I676" s="5">
        <f t="shared" si="245"/>
        <v>1</v>
      </c>
      <c r="J676" s="4">
        <f>_xlfn.XLOOKUP(Modelling_old[[#This Row],[Month]],$C$1:$C$14,$N$1:$N$14)/Modelling_old[[#This Row],[Total Days]]</f>
        <v>54.258064516129032</v>
      </c>
      <c r="K676" s="4">
        <f>SUM($J$659:J676)</f>
        <v>976.64516129032256</v>
      </c>
      <c r="L676" s="4">
        <f>SUM($J$384:J676)</f>
        <v>13345.645161290331</v>
      </c>
      <c r="M676" s="4">
        <f t="shared" si="246"/>
        <v>6.790322580645161</v>
      </c>
      <c r="N676" s="4">
        <f>SUM($M$659:M676)</f>
        <v>122.22580645161295</v>
      </c>
      <c r="O676" s="4">
        <f>SUM($M$384:M676)</f>
        <v>1671.4258064516098</v>
      </c>
      <c r="P676" s="323">
        <f t="shared" si="247"/>
        <v>0.6946387332416083</v>
      </c>
      <c r="Q676" s="337">
        <f t="shared" si="248"/>
        <v>0.69463873324160796</v>
      </c>
      <c r="R676" s="337">
        <f t="shared" si="249"/>
        <v>0.69412482171792578</v>
      </c>
      <c r="S676" s="323">
        <f t="shared" si="250"/>
        <v>0.19653421148838515</v>
      </c>
      <c r="T676" s="9">
        <f>Modelling_old[[#This Row],[Target E_Grid MTD
MWh]]/Modelling_old[[#This Row],[DC Capcity]]/(24*CG676)</f>
        <v>0.19653421148838512</v>
      </c>
      <c r="U676" s="338">
        <f>Modelling_old[[#This Row],[Target E_Grid YTD
MWh]]/Modelling_old[[#This Row],[DC Capcity]]/(24*CH676)</f>
        <v>0.16498551477786746</v>
      </c>
      <c r="V676" s="134">
        <v>11.5031</v>
      </c>
      <c r="Y676" s="27">
        <f t="shared" si="263"/>
        <v>45675</v>
      </c>
      <c r="Z676" s="5">
        <f>MONTH(Modelling_new[[#This Row],[Date]])</f>
        <v>1</v>
      </c>
      <c r="AA676" s="25">
        <f>YEAR(Y676)+IF(MONTH(Modelling_new[[#This Row],[Date]])&gt;=4,1,0)</f>
        <v>2025</v>
      </c>
      <c r="AB676" s="3">
        <f t="shared" si="251"/>
        <v>2025</v>
      </c>
      <c r="AC676" s="3" t="s">
        <v>627</v>
      </c>
      <c r="AD676" s="3" t="s">
        <v>627</v>
      </c>
      <c r="AE676" s="102">
        <f>DATE(Modelling_old[[#This Row],[Calendor Year]],Modelling_old[[#This Row],[Start Month]],1)</f>
        <v>45658</v>
      </c>
      <c r="AF676" s="5">
        <f t="shared" si="252"/>
        <v>31</v>
      </c>
      <c r="AG676" s="5">
        <f t="shared" si="253"/>
        <v>1</v>
      </c>
      <c r="AH676" s="4">
        <f>_xlfn.XLOOKUP(Modelling_new[[#This Row],[Month]],$AA$1:$AA$14,$AL$1:$AL$14)/Modelling_new[[#This Row],[Total Days]]</f>
        <v>61.45538357437777</v>
      </c>
      <c r="AI676" s="4">
        <f>SUM($AH$659:AH676)</f>
        <v>1106.1969043387994</v>
      </c>
      <c r="AJ676" s="4">
        <f>SUM($AH$384:AH676)</f>
        <v>16860.104909304046</v>
      </c>
      <c r="AK676" s="4">
        <f t="shared" si="254"/>
        <v>6.790322580645161</v>
      </c>
      <c r="AL676" s="4">
        <f>SUM($AK$659:AK676)</f>
        <v>122.22580645161295</v>
      </c>
      <c r="AM676" s="4">
        <f>SUM($AK$384:AK676)</f>
        <v>1671.4258064516098</v>
      </c>
      <c r="AN676" s="323">
        <f t="shared" si="255"/>
        <v>0.78678239221549962</v>
      </c>
      <c r="AO676" s="323">
        <f t="shared" si="256"/>
        <v>0.78678239221549895</v>
      </c>
      <c r="AP676" s="323">
        <f t="shared" si="257"/>
        <v>0.87691656513252314</v>
      </c>
      <c r="AQ676" s="323">
        <f t="shared" si="258"/>
        <v>0.22260442682978857</v>
      </c>
      <c r="AR676" s="323">
        <f>Modelling_new[[#This Row],[Target E_Grid MTD
MWh]]/Modelling_new[[#This Row],[MTD DC Capcity]]/(24*CG676)</f>
        <v>0.20005007673951081</v>
      </c>
      <c r="AS676" s="323">
        <f>Modelling_new[[#This Row],[Target E_Grid YTD
MWh]]/Modelling_new[[#This Row],[YTD DC Capcity]]/(24*CH676)</f>
        <v>0.18731451877693001</v>
      </c>
      <c r="AT676" s="5">
        <v>12.8</v>
      </c>
      <c r="AU676" s="9">
        <f>Modelling_new[[#This Row],[Comisined DC ]]/$AO$1</f>
        <v>1</v>
      </c>
      <c r="AV67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76" s="5">
        <f>AVERAGEIFS(Modelling_new[[Comisined DC ]],Modelling_new[Date],"&lt;="&amp;Modelling_new[[#This Row],[Date]],Modelling_new[[Comisined DC ]],"&gt;"&amp;0,Modelling_new[Finacial Year],Modelling_new[[#This Row],[Finacial Year]])</f>
        <v>12.800000000000065</v>
      </c>
      <c r="BD676" s="27">
        <f t="shared" si="264"/>
        <v>45675</v>
      </c>
      <c r="BE676" s="5">
        <f>MONTH(Modelling[[#This Row],[Date]])</f>
        <v>1</v>
      </c>
      <c r="BF676" s="25">
        <f>YEAR(BD676)+IF(MONTH(Modelling[[#This Row],[Date]])&gt;=4,1,0)</f>
        <v>2025</v>
      </c>
      <c r="BG676" s="3">
        <f t="shared" si="259"/>
        <v>2025</v>
      </c>
      <c r="BH676" s="3" t="s">
        <v>627</v>
      </c>
      <c r="BI676" s="3" t="s">
        <v>627</v>
      </c>
      <c r="BJ676" s="102">
        <f>DATE(Modelling_old[[#This Row],[Calendor Year]],Modelling_old[[#This Row],[Start Month]],1)</f>
        <v>45658</v>
      </c>
      <c r="BK676" s="5">
        <f t="shared" si="260"/>
        <v>31</v>
      </c>
      <c r="BL676" s="5">
        <f t="shared" si="261"/>
        <v>1</v>
      </c>
      <c r="BM676" s="4">
        <f>Modelling_old[[#This Row],[Target E_Grid daily
MWh]]+Modelling_new[[#This Row],[Target E_Grid daily
MWh]]</f>
        <v>115.7134480905068</v>
      </c>
      <c r="BN676" s="4">
        <f>Modelling_old[[#This Row],[Target E_Grid MTD
MWh]]+Modelling_new[[#This Row],[Target E_Grid MTD
MWh]]</f>
        <v>2082.8420656291219</v>
      </c>
      <c r="BO676" s="4">
        <f>Modelling_old[[#This Row],[Target E_Grid YTD
MWh]]+Modelling_new[[#This Row],[Target E_Grid YTD
MWh]]</f>
        <v>30205.750070594375</v>
      </c>
      <c r="BP676" s="4">
        <f>AVERAGE(Modelling_old[[#This Row],[Target POA Daily (KWh/m2)]],Modelling_new[[#This Row],[Target POA Daily (KWh/m2)]])</f>
        <v>6.790322580645161</v>
      </c>
      <c r="BQ676" s="4">
        <f>SUM($BP$659:BP676)</f>
        <v>122.22580645161295</v>
      </c>
      <c r="BR676" s="4">
        <f>SUM($BP$384:BP676)</f>
        <v>1671.4258064516098</v>
      </c>
      <c r="BS676" s="323">
        <f>BM676/Modelling[[#This Row],[Comisined DC ]]/BP676</f>
        <v>0.70118360819178038</v>
      </c>
      <c r="BT676" s="337">
        <f>BN676/BQ676/Modelling[[#This Row],[Comisined DC ]]</f>
        <v>0.70118360819177994</v>
      </c>
      <c r="BU676" s="337">
        <f>BO676/BR676/Modelling[[#This Row],[Comisined DC ]]</f>
        <v>0.74360251067063032</v>
      </c>
      <c r="BV676" s="323">
        <f>BM676/(24*Modelling[[#This Row],[Comisined DC ]])</f>
        <v>0.19838595366178732</v>
      </c>
      <c r="BW676" s="323">
        <f>Modelling[[#This Row],[Target E_Grid MTD
MWh]]/Modelling[[#This Row],[MTD DC Capcity]]/(24*CG676)</f>
        <v>0.19838595366178732</v>
      </c>
      <c r="BX676" s="338">
        <f>Modelling[[#This Row],[Target E_Grid YTD
MWh]]/Modelling[[#This Row],[YTD DC Capcity]]/(24*CH676)</f>
        <v>0.17674579437956436</v>
      </c>
      <c r="BY676" s="4">
        <f>Modelling_old[[#This Row],[DC Capcity]]+Modelling_new[[#This Row],[Comisined DC ]]</f>
        <v>24.303100000000001</v>
      </c>
      <c r="BZ676" s="4">
        <v>0</v>
      </c>
      <c r="CA676">
        <f>AVERAGEIFS(Modelling[[Comisined DC ]],Modelling[Date],"&lt;="&amp;Modelling[[#This Row],[Date]],Modelling[Month Year],Modelling[[#This Row],[Month Year]])</f>
        <v>24.30309999999999</v>
      </c>
      <c r="CB676">
        <f>AVERAGEIFS(Modelling[[Comisined DC ]],Modelling[Date],"&lt;="&amp;Modelling[[#This Row],[Date]],Modelling[Finacial Year],Modelling[[#This Row],[Finacial Year]])</f>
        <v>24.303100000000072</v>
      </c>
      <c r="CG676">
        <f t="shared" si="265"/>
        <v>18</v>
      </c>
      <c r="CH676">
        <f t="shared" si="262"/>
        <v>293</v>
      </c>
    </row>
    <row r="677" spans="1:86" x14ac:dyDescent="0.35">
      <c r="A677" s="27">
        <f t="shared" si="241"/>
        <v>45676</v>
      </c>
      <c r="B677" s="5">
        <f>MONTH(Modelling_old[[#This Row],[Date]])</f>
        <v>1</v>
      </c>
      <c r="C677" s="25">
        <v>2025</v>
      </c>
      <c r="D677" s="3">
        <f t="shared" si="243"/>
        <v>2025</v>
      </c>
      <c r="E677" s="3" t="s">
        <v>627</v>
      </c>
      <c r="F677" s="3" t="s">
        <v>627</v>
      </c>
      <c r="G677" s="102">
        <f>DATE(Modelling_old[[#This Row],[Calendor Year]],Modelling_old[[#This Row],[Start Month]],1)</f>
        <v>45658</v>
      </c>
      <c r="H677" s="5">
        <f t="shared" si="244"/>
        <v>31</v>
      </c>
      <c r="I677" s="5">
        <f t="shared" si="245"/>
        <v>1</v>
      </c>
      <c r="J677" s="4">
        <f>_xlfn.XLOOKUP(Modelling_old[[#This Row],[Month]],$C$1:$C$14,$N$1:$N$14)/Modelling_old[[#This Row],[Total Days]]</f>
        <v>54.258064516129032</v>
      </c>
      <c r="K677" s="4">
        <f>SUM($J$659:J677)</f>
        <v>1030.9032258064517</v>
      </c>
      <c r="L677" s="4">
        <f>SUM($J$384:J677)</f>
        <v>13399.90322580646</v>
      </c>
      <c r="M677" s="4">
        <f t="shared" si="246"/>
        <v>6.790322580645161</v>
      </c>
      <c r="N677" s="4">
        <f>SUM($M$659:M677)</f>
        <v>129.01612903225811</v>
      </c>
      <c r="O677" s="4">
        <f>SUM($M$384:M677)</f>
        <v>1678.2161290322549</v>
      </c>
      <c r="P677" s="323">
        <f t="shared" si="247"/>
        <v>0.6946387332416083</v>
      </c>
      <c r="Q677" s="337">
        <f t="shared" si="248"/>
        <v>0.69463873324160808</v>
      </c>
      <c r="R677" s="337">
        <f t="shared" si="249"/>
        <v>0.69412690108360664</v>
      </c>
      <c r="S677" s="323">
        <f t="shared" si="250"/>
        <v>0.19653421148838515</v>
      </c>
      <c r="T677" s="9">
        <f>Modelling_old[[#This Row],[Target E_Grid MTD
MWh]]/Modelling_old[[#This Row],[DC Capcity]]/(24*CG677)</f>
        <v>0.19653421148838515</v>
      </c>
      <c r="U677" s="338">
        <f>Modelling_old[[#This Row],[Target E_Grid YTD
MWh]]/Modelling_old[[#This Row],[DC Capcity]]/(24*CH677)</f>
        <v>0.1650928232700801</v>
      </c>
      <c r="V677" s="134">
        <v>11.5031</v>
      </c>
      <c r="Y677" s="27">
        <f t="shared" si="263"/>
        <v>45676</v>
      </c>
      <c r="Z677" s="5">
        <f>MONTH(Modelling_new[[#This Row],[Date]])</f>
        <v>1</v>
      </c>
      <c r="AA677" s="25">
        <f>YEAR(Y677)+IF(MONTH(Modelling_new[[#This Row],[Date]])&gt;=4,1,0)</f>
        <v>2025</v>
      </c>
      <c r="AB677" s="3">
        <f t="shared" si="251"/>
        <v>2025</v>
      </c>
      <c r="AC677" s="3" t="s">
        <v>627</v>
      </c>
      <c r="AD677" s="3" t="s">
        <v>627</v>
      </c>
      <c r="AE677" s="102">
        <f>DATE(Modelling_old[[#This Row],[Calendor Year]],Modelling_old[[#This Row],[Start Month]],1)</f>
        <v>45658</v>
      </c>
      <c r="AF677" s="5">
        <f t="shared" si="252"/>
        <v>31</v>
      </c>
      <c r="AG677" s="5">
        <f t="shared" si="253"/>
        <v>1</v>
      </c>
      <c r="AH677" s="4">
        <f>_xlfn.XLOOKUP(Modelling_new[[#This Row],[Month]],$AA$1:$AA$14,$AL$1:$AL$14)/Modelling_new[[#This Row],[Total Days]]</f>
        <v>61.45538357437777</v>
      </c>
      <c r="AI677" s="4">
        <f>SUM($AH$659:AH677)</f>
        <v>1167.6522879131771</v>
      </c>
      <c r="AJ677" s="4">
        <f>SUM($AH$384:AH677)</f>
        <v>16921.560292878425</v>
      </c>
      <c r="AK677" s="4">
        <f t="shared" si="254"/>
        <v>6.790322580645161</v>
      </c>
      <c r="AL677" s="4">
        <f>SUM($AK$659:AK677)</f>
        <v>129.01612903225811</v>
      </c>
      <c r="AM677" s="4">
        <f>SUM($AK$384:AK677)</f>
        <v>1678.2161290322549</v>
      </c>
      <c r="AN677" s="323">
        <f t="shared" si="255"/>
        <v>0.78678239221549962</v>
      </c>
      <c r="AO677" s="323">
        <f t="shared" si="256"/>
        <v>0.78678239221549906</v>
      </c>
      <c r="AP677" s="323">
        <f t="shared" si="257"/>
        <v>0.87655186829815357</v>
      </c>
      <c r="AQ677" s="323">
        <f t="shared" si="258"/>
        <v>0.22260442682978857</v>
      </c>
      <c r="AR677" s="323">
        <f>Modelling_new[[#This Row],[Target E_Grid MTD
MWh]]/Modelling_new[[#This Row],[MTD DC Capcity]]/(24*CG677)</f>
        <v>0.20005007673951083</v>
      </c>
      <c r="AS677" s="323">
        <f>Modelling_new[[#This Row],[Target E_Grid YTD
MWh]]/Modelling_new[[#This Row],[YTD DC Capcity]]/(24*CH677)</f>
        <v>0.18735783700129255</v>
      </c>
      <c r="AT677" s="5">
        <v>12.8</v>
      </c>
      <c r="AU677" s="9">
        <f>Modelling_new[[#This Row],[Comisined DC ]]/$AO$1</f>
        <v>1</v>
      </c>
      <c r="AV677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77" s="5">
        <f>AVERAGEIFS(Modelling_new[[Comisined DC ]],Modelling_new[Date],"&lt;="&amp;Modelling_new[[#This Row],[Date]],Modelling_new[[Comisined DC ]],"&gt;"&amp;0,Modelling_new[Finacial Year],Modelling_new[[#This Row],[Finacial Year]])</f>
        <v>12.800000000000065</v>
      </c>
      <c r="BD677" s="27">
        <f t="shared" si="264"/>
        <v>45676</v>
      </c>
      <c r="BE677" s="5">
        <f>MONTH(Modelling[[#This Row],[Date]])</f>
        <v>1</v>
      </c>
      <c r="BF677" s="25">
        <f>YEAR(BD677)+IF(MONTH(Modelling[[#This Row],[Date]])&gt;=4,1,0)</f>
        <v>2025</v>
      </c>
      <c r="BG677" s="3">
        <f t="shared" si="259"/>
        <v>2025</v>
      </c>
      <c r="BH677" s="3" t="s">
        <v>627</v>
      </c>
      <c r="BI677" s="3" t="s">
        <v>627</v>
      </c>
      <c r="BJ677" s="102">
        <f>DATE(Modelling_old[[#This Row],[Calendor Year]],Modelling_old[[#This Row],[Start Month]],1)</f>
        <v>45658</v>
      </c>
      <c r="BK677" s="5">
        <f t="shared" si="260"/>
        <v>31</v>
      </c>
      <c r="BL677" s="5">
        <f t="shared" si="261"/>
        <v>1</v>
      </c>
      <c r="BM677" s="4">
        <f>Modelling_old[[#This Row],[Target E_Grid daily
MWh]]+Modelling_new[[#This Row],[Target E_Grid daily
MWh]]</f>
        <v>115.7134480905068</v>
      </c>
      <c r="BN677" s="4">
        <f>Modelling_old[[#This Row],[Target E_Grid MTD
MWh]]+Modelling_new[[#This Row],[Target E_Grid MTD
MWh]]</f>
        <v>2198.5555137196288</v>
      </c>
      <c r="BO677" s="4">
        <f>Modelling_old[[#This Row],[Target E_Grid YTD
MWh]]+Modelling_new[[#This Row],[Target E_Grid YTD
MWh]]</f>
        <v>30321.463518684883</v>
      </c>
      <c r="BP677" s="4">
        <f>AVERAGE(Modelling_old[[#This Row],[Target POA Daily (KWh/m2)]],Modelling_new[[#This Row],[Target POA Daily (KWh/m2)]])</f>
        <v>6.790322580645161</v>
      </c>
      <c r="BQ677" s="4">
        <f>SUM($BP$659:BP677)</f>
        <v>129.01612903225811</v>
      </c>
      <c r="BR677" s="4">
        <f>SUM($BP$384:BP677)</f>
        <v>1678.2161290322549</v>
      </c>
      <c r="BS677" s="323">
        <f>BM677/Modelling[[#This Row],[Comisined DC ]]/BP677</f>
        <v>0.70118360819178038</v>
      </c>
      <c r="BT677" s="337">
        <f>BN677/BQ677/Modelling[[#This Row],[Comisined DC ]]</f>
        <v>0.70118360819178005</v>
      </c>
      <c r="BU677" s="337">
        <f>BO677/BR677/Modelling[[#This Row],[Comisined DC ]]</f>
        <v>0.74343087721629442</v>
      </c>
      <c r="BV677" s="323">
        <f>BM677/(24*Modelling[[#This Row],[Comisined DC ]])</f>
        <v>0.19838595366178732</v>
      </c>
      <c r="BW677" s="323">
        <f>Modelling[[#This Row],[Target E_Grid MTD
MWh]]/Modelling[[#This Row],[MTD DC Capcity]]/(24*CG677)</f>
        <v>0.19838595366178735</v>
      </c>
      <c r="BX677" s="338">
        <f>Modelling[[#This Row],[Target E_Grid YTD
MWh]]/Modelling[[#This Row],[YTD DC Capcity]]/(24*CH677)</f>
        <v>0.17681940036351751</v>
      </c>
      <c r="BY677" s="4">
        <f>Modelling_old[[#This Row],[DC Capcity]]+Modelling_new[[#This Row],[Comisined DC ]]</f>
        <v>24.303100000000001</v>
      </c>
      <c r="BZ677" s="4">
        <v>0</v>
      </c>
      <c r="CA677">
        <f>AVERAGEIFS(Modelling[[Comisined DC ]],Modelling[Date],"&lt;="&amp;Modelling[[#This Row],[Date]],Modelling[Month Year],Modelling[[#This Row],[Month Year]])</f>
        <v>24.30309999999999</v>
      </c>
      <c r="CB677">
        <f>AVERAGEIFS(Modelling[[Comisined DC ]],Modelling[Date],"&lt;="&amp;Modelling[[#This Row],[Date]],Modelling[Finacial Year],Modelling[[#This Row],[Finacial Year]])</f>
        <v>24.303100000000072</v>
      </c>
      <c r="CG677">
        <f t="shared" si="265"/>
        <v>19</v>
      </c>
      <c r="CH677">
        <f t="shared" si="262"/>
        <v>294</v>
      </c>
    </row>
    <row r="678" spans="1:86" x14ac:dyDescent="0.35">
      <c r="A678" s="27">
        <f t="shared" si="241"/>
        <v>45677</v>
      </c>
      <c r="B678" s="5">
        <f>MONTH(Modelling_old[[#This Row],[Date]])</f>
        <v>1</v>
      </c>
      <c r="C678" s="25">
        <v>2025</v>
      </c>
      <c r="D678" s="3">
        <f t="shared" si="243"/>
        <v>2025</v>
      </c>
      <c r="E678" s="3" t="s">
        <v>627</v>
      </c>
      <c r="F678" s="3" t="s">
        <v>627</v>
      </c>
      <c r="G678" s="102">
        <f>DATE(Modelling_old[[#This Row],[Calendor Year]],Modelling_old[[#This Row],[Start Month]],1)</f>
        <v>45658</v>
      </c>
      <c r="H678" s="5">
        <f t="shared" si="244"/>
        <v>31</v>
      </c>
      <c r="I678" s="5">
        <f t="shared" si="245"/>
        <v>1</v>
      </c>
      <c r="J678" s="4">
        <f>_xlfn.XLOOKUP(Modelling_old[[#This Row],[Month]],$C$1:$C$14,$N$1:$N$14)/Modelling_old[[#This Row],[Total Days]]</f>
        <v>54.258064516129032</v>
      </c>
      <c r="K678" s="4">
        <f>SUM($J$659:J678)</f>
        <v>1085.1612903225807</v>
      </c>
      <c r="L678" s="4">
        <f>SUM($J$384:J678)</f>
        <v>13454.161290322589</v>
      </c>
      <c r="M678" s="4">
        <f t="shared" si="246"/>
        <v>6.790322580645161</v>
      </c>
      <c r="N678" s="4">
        <f>SUM($M$659:M678)</f>
        <v>135.80645161290326</v>
      </c>
      <c r="O678" s="4">
        <f>SUM($M$384:M678)</f>
        <v>1685.0064516129</v>
      </c>
      <c r="P678" s="323">
        <f t="shared" si="247"/>
        <v>0.6946387332416083</v>
      </c>
      <c r="Q678" s="337">
        <f t="shared" si="248"/>
        <v>0.69463873324160808</v>
      </c>
      <c r="R678" s="337">
        <f t="shared" si="249"/>
        <v>0.69412896369022559</v>
      </c>
      <c r="S678" s="323">
        <f t="shared" si="250"/>
        <v>0.19653421148838515</v>
      </c>
      <c r="T678" s="9">
        <f>Modelling_old[[#This Row],[Target E_Grid MTD
MWh]]/Modelling_old[[#This Row],[DC Capcity]]/(24*CG678)</f>
        <v>0.19653421148838515</v>
      </c>
      <c r="U678" s="338">
        <f>Modelling_old[[#This Row],[Target E_Grid YTD
MWh]]/Modelling_old[[#This Row],[DC Capcity]]/(24*CH678)</f>
        <v>0.16519940424709131</v>
      </c>
      <c r="V678" s="134">
        <v>11.5031</v>
      </c>
      <c r="Y678" s="27">
        <f t="shared" si="263"/>
        <v>45677</v>
      </c>
      <c r="Z678" s="5">
        <f>MONTH(Modelling_new[[#This Row],[Date]])</f>
        <v>1</v>
      </c>
      <c r="AA678" s="25">
        <f>YEAR(Y678)+IF(MONTH(Modelling_new[[#This Row],[Date]])&gt;=4,1,0)</f>
        <v>2025</v>
      </c>
      <c r="AB678" s="3">
        <f t="shared" si="251"/>
        <v>2025</v>
      </c>
      <c r="AC678" s="3" t="s">
        <v>627</v>
      </c>
      <c r="AD678" s="3" t="s">
        <v>627</v>
      </c>
      <c r="AE678" s="102">
        <f>DATE(Modelling_old[[#This Row],[Calendor Year]],Modelling_old[[#This Row],[Start Month]],1)</f>
        <v>45658</v>
      </c>
      <c r="AF678" s="5">
        <f t="shared" si="252"/>
        <v>31</v>
      </c>
      <c r="AG678" s="5">
        <f t="shared" si="253"/>
        <v>1</v>
      </c>
      <c r="AH678" s="4">
        <f>_xlfn.XLOOKUP(Modelling_new[[#This Row],[Month]],$AA$1:$AA$14,$AL$1:$AL$14)/Modelling_new[[#This Row],[Total Days]]</f>
        <v>61.45538357437777</v>
      </c>
      <c r="AI678" s="4">
        <f>SUM($AH$659:AH678)</f>
        <v>1229.1076714875549</v>
      </c>
      <c r="AJ678" s="4">
        <f>SUM($AH$384:AH678)</f>
        <v>16983.015676452804</v>
      </c>
      <c r="AK678" s="4">
        <f t="shared" si="254"/>
        <v>6.790322580645161</v>
      </c>
      <c r="AL678" s="4">
        <f>SUM($AK$659:AK678)</f>
        <v>135.80645161290326</v>
      </c>
      <c r="AM678" s="4">
        <f>SUM($AK$384:AK678)</f>
        <v>1685.0064516129</v>
      </c>
      <c r="AN678" s="323">
        <f t="shared" si="255"/>
        <v>0.78678239221549962</v>
      </c>
      <c r="AO678" s="323">
        <f t="shared" si="256"/>
        <v>0.78678239221549906</v>
      </c>
      <c r="AP678" s="323">
        <f t="shared" si="257"/>
        <v>0.87619011081057063</v>
      </c>
      <c r="AQ678" s="323">
        <f t="shared" si="258"/>
        <v>0.22260442682978857</v>
      </c>
      <c r="AR678" s="323">
        <f>Modelling_new[[#This Row],[Target E_Grid MTD
MWh]]/Modelling_new[[#This Row],[MTD DC Capcity]]/(24*CG678)</f>
        <v>0.20005007673951083</v>
      </c>
      <c r="AS678" s="323">
        <f>Modelling_new[[#This Row],[Target E_Grid YTD
MWh]]/Modelling_new[[#This Row],[YTD DC Capcity]]/(24*CH678)</f>
        <v>0.18740086154277805</v>
      </c>
      <c r="AT678" s="5">
        <v>12.8</v>
      </c>
      <c r="AU678" s="9">
        <f>Modelling_new[[#This Row],[Comisined DC ]]/$AO$1</f>
        <v>1</v>
      </c>
      <c r="AV678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78" s="5">
        <f>AVERAGEIFS(Modelling_new[[Comisined DC ]],Modelling_new[Date],"&lt;="&amp;Modelling_new[[#This Row],[Date]],Modelling_new[[Comisined DC ]],"&gt;"&amp;0,Modelling_new[Finacial Year],Modelling_new[[#This Row],[Finacial Year]])</f>
        <v>12.800000000000065</v>
      </c>
      <c r="BD678" s="27">
        <f t="shared" si="264"/>
        <v>45677</v>
      </c>
      <c r="BE678" s="5">
        <f>MONTH(Modelling[[#This Row],[Date]])</f>
        <v>1</v>
      </c>
      <c r="BF678" s="25">
        <f>YEAR(BD678)+IF(MONTH(Modelling[[#This Row],[Date]])&gt;=4,1,0)</f>
        <v>2025</v>
      </c>
      <c r="BG678" s="3">
        <f t="shared" si="259"/>
        <v>2025</v>
      </c>
      <c r="BH678" s="3" t="s">
        <v>627</v>
      </c>
      <c r="BI678" s="3" t="s">
        <v>627</v>
      </c>
      <c r="BJ678" s="102">
        <f>DATE(Modelling_old[[#This Row],[Calendor Year]],Modelling_old[[#This Row],[Start Month]],1)</f>
        <v>45658</v>
      </c>
      <c r="BK678" s="5">
        <f t="shared" si="260"/>
        <v>31</v>
      </c>
      <c r="BL678" s="5">
        <f t="shared" si="261"/>
        <v>1</v>
      </c>
      <c r="BM678" s="4">
        <f>Modelling_old[[#This Row],[Target E_Grid daily
MWh]]+Modelling_new[[#This Row],[Target E_Grid daily
MWh]]</f>
        <v>115.7134480905068</v>
      </c>
      <c r="BN678" s="4">
        <f>Modelling_old[[#This Row],[Target E_Grid MTD
MWh]]+Modelling_new[[#This Row],[Target E_Grid MTD
MWh]]</f>
        <v>2314.2689618101358</v>
      </c>
      <c r="BO678" s="4">
        <f>Modelling_old[[#This Row],[Target E_Grid YTD
MWh]]+Modelling_new[[#This Row],[Target E_Grid YTD
MWh]]</f>
        <v>30437.176966775391</v>
      </c>
      <c r="BP678" s="4">
        <f>AVERAGE(Modelling_old[[#This Row],[Target POA Daily (KWh/m2)]],Modelling_new[[#This Row],[Target POA Daily (KWh/m2)]])</f>
        <v>6.790322580645161</v>
      </c>
      <c r="BQ678" s="4">
        <f>SUM($BP$659:BP678)</f>
        <v>135.80645161290326</v>
      </c>
      <c r="BR678" s="4">
        <f>SUM($BP$384:BP678)</f>
        <v>1685.0064516129</v>
      </c>
      <c r="BS678" s="323">
        <f>BM678/Modelling[[#This Row],[Comisined DC ]]/BP678</f>
        <v>0.70118360819178038</v>
      </c>
      <c r="BT678" s="337">
        <f>BN678/BQ678/Modelling[[#This Row],[Comisined DC ]]</f>
        <v>0.70118360819178005</v>
      </c>
      <c r="BU678" s="337">
        <f>BO678/BR678/Modelling[[#This Row],[Comisined DC ]]</f>
        <v>0.74326062707597418</v>
      </c>
      <c r="BV678" s="323">
        <f>BM678/(24*Modelling[[#This Row],[Comisined DC ]])</f>
        <v>0.19838595366178732</v>
      </c>
      <c r="BW678" s="323">
        <f>Modelling[[#This Row],[Target E_Grid MTD
MWh]]/Modelling[[#This Row],[MTD DC Capcity]]/(24*CG678)</f>
        <v>0.19838595366178738</v>
      </c>
      <c r="BX678" s="338">
        <f>Modelling[[#This Row],[Target E_Grid YTD
MWh]]/Modelling[[#This Row],[YTD DC Capcity]]/(24*CH678)</f>
        <v>0.17689250732385062</v>
      </c>
      <c r="BY678" s="4">
        <f>Modelling_old[[#This Row],[DC Capcity]]+Modelling_new[[#This Row],[Comisined DC ]]</f>
        <v>24.303100000000001</v>
      </c>
      <c r="BZ678" s="4">
        <v>0</v>
      </c>
      <c r="CA678">
        <f>AVERAGEIFS(Modelling[[Comisined DC ]],Modelling[Date],"&lt;="&amp;Modelling[[#This Row],[Date]],Modelling[Month Year],Modelling[[#This Row],[Month Year]])</f>
        <v>24.30309999999999</v>
      </c>
      <c r="CB678">
        <f>AVERAGEIFS(Modelling[[Comisined DC ]],Modelling[Date],"&lt;="&amp;Modelling[[#This Row],[Date]],Modelling[Finacial Year],Modelling[[#This Row],[Finacial Year]])</f>
        <v>24.303100000000072</v>
      </c>
      <c r="CG678">
        <f t="shared" si="265"/>
        <v>20</v>
      </c>
      <c r="CH678">
        <f t="shared" si="262"/>
        <v>295</v>
      </c>
    </row>
    <row r="679" spans="1:86" x14ac:dyDescent="0.35">
      <c r="A679" s="27">
        <f t="shared" si="241"/>
        <v>45678</v>
      </c>
      <c r="B679" s="5">
        <f>MONTH(Modelling_old[[#This Row],[Date]])</f>
        <v>1</v>
      </c>
      <c r="C679" s="25">
        <v>2025</v>
      </c>
      <c r="D679" s="3">
        <f t="shared" si="243"/>
        <v>2025</v>
      </c>
      <c r="E679" s="3" t="s">
        <v>627</v>
      </c>
      <c r="F679" s="3" t="s">
        <v>627</v>
      </c>
      <c r="G679" s="102">
        <f>DATE(Modelling_old[[#This Row],[Calendor Year]],Modelling_old[[#This Row],[Start Month]],1)</f>
        <v>45658</v>
      </c>
      <c r="H679" s="5">
        <f t="shared" si="244"/>
        <v>31</v>
      </c>
      <c r="I679" s="5">
        <f t="shared" si="245"/>
        <v>1</v>
      </c>
      <c r="J679" s="4">
        <f>_xlfn.XLOOKUP(Modelling_old[[#This Row],[Month]],$C$1:$C$14,$N$1:$N$14)/Modelling_old[[#This Row],[Total Days]]</f>
        <v>54.258064516129032</v>
      </c>
      <c r="K679" s="4">
        <f>SUM($J$659:J679)</f>
        <v>1139.4193548387098</v>
      </c>
      <c r="L679" s="4">
        <f>SUM($J$384:J679)</f>
        <v>13508.419354838717</v>
      </c>
      <c r="M679" s="4">
        <f t="shared" si="246"/>
        <v>6.790322580645161</v>
      </c>
      <c r="N679" s="4">
        <f>SUM($M$659:M679)</f>
        <v>142.59677419354841</v>
      </c>
      <c r="O679" s="4">
        <f>SUM($M$384:M679)</f>
        <v>1691.7967741935452</v>
      </c>
      <c r="P679" s="323">
        <f t="shared" si="247"/>
        <v>0.6946387332416083</v>
      </c>
      <c r="Q679" s="337">
        <f t="shared" si="248"/>
        <v>0.69463873324160819</v>
      </c>
      <c r="R679" s="337">
        <f t="shared" si="249"/>
        <v>0.69413100973957875</v>
      </c>
      <c r="S679" s="323">
        <f t="shared" si="250"/>
        <v>0.19653421148838515</v>
      </c>
      <c r="T679" s="9">
        <f>Modelling_old[[#This Row],[Target E_Grid MTD
MWh]]/Modelling_old[[#This Row],[DC Capcity]]/(24*CG679)</f>
        <v>0.19653421148838515</v>
      </c>
      <c r="U679" s="338">
        <f>Modelling_old[[#This Row],[Target E_Grid YTD
MWh]]/Modelling_old[[#This Row],[DC Capcity]]/(24*CH679)</f>
        <v>0.16530526508236593</v>
      </c>
      <c r="V679" s="134">
        <v>11.5031</v>
      </c>
      <c r="Y679" s="27">
        <f t="shared" si="263"/>
        <v>45678</v>
      </c>
      <c r="Z679" s="5">
        <f>MONTH(Modelling_new[[#This Row],[Date]])</f>
        <v>1</v>
      </c>
      <c r="AA679" s="25">
        <f>YEAR(Y679)+IF(MONTH(Modelling_new[[#This Row],[Date]])&gt;=4,1,0)</f>
        <v>2025</v>
      </c>
      <c r="AB679" s="3">
        <f t="shared" si="251"/>
        <v>2025</v>
      </c>
      <c r="AC679" s="3" t="s">
        <v>627</v>
      </c>
      <c r="AD679" s="3" t="s">
        <v>627</v>
      </c>
      <c r="AE679" s="102">
        <f>DATE(Modelling_old[[#This Row],[Calendor Year]],Modelling_old[[#This Row],[Start Month]],1)</f>
        <v>45658</v>
      </c>
      <c r="AF679" s="5">
        <f t="shared" si="252"/>
        <v>31</v>
      </c>
      <c r="AG679" s="5">
        <f t="shared" si="253"/>
        <v>1</v>
      </c>
      <c r="AH679" s="4">
        <f>_xlfn.XLOOKUP(Modelling_new[[#This Row],[Month]],$AA$1:$AA$14,$AL$1:$AL$14)/Modelling_new[[#This Row],[Total Days]]</f>
        <v>61.45538357437777</v>
      </c>
      <c r="AI679" s="4">
        <f>SUM($AH$659:AH679)</f>
        <v>1290.5630550619326</v>
      </c>
      <c r="AJ679" s="4">
        <f>SUM($AH$384:AH679)</f>
        <v>17044.471060027183</v>
      </c>
      <c r="AK679" s="4">
        <f t="shared" si="254"/>
        <v>6.790322580645161</v>
      </c>
      <c r="AL679" s="4">
        <f>SUM($AK$659:AK679)</f>
        <v>142.59677419354841</v>
      </c>
      <c r="AM679" s="4">
        <f>SUM($AK$384:AK679)</f>
        <v>1691.7967741935452</v>
      </c>
      <c r="AN679" s="323">
        <f t="shared" si="255"/>
        <v>0.78678239221549962</v>
      </c>
      <c r="AO679" s="323">
        <f t="shared" si="256"/>
        <v>0.78678239221549906</v>
      </c>
      <c r="AP679" s="323">
        <f t="shared" si="257"/>
        <v>0.87583125727702527</v>
      </c>
      <c r="AQ679" s="323">
        <f t="shared" si="258"/>
        <v>0.22260442682978857</v>
      </c>
      <c r="AR679" s="323">
        <f>Modelling_new[[#This Row],[Target E_Grid MTD
MWh]]/Modelling_new[[#This Row],[MTD DC Capcity]]/(24*CG679)</f>
        <v>0.20005007673951086</v>
      </c>
      <c r="AS679" s="323">
        <f>Modelling_new[[#This Row],[Target E_Grid YTD
MWh]]/Modelling_new[[#This Row],[YTD DC Capcity]]/(24*CH679)</f>
        <v>0.18744359537790217</v>
      </c>
      <c r="AT679" s="5">
        <v>12.8</v>
      </c>
      <c r="AU679" s="9">
        <f>Modelling_new[[#This Row],[Comisined DC ]]/$AO$1</f>
        <v>1</v>
      </c>
      <c r="AV679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79" s="5">
        <f>AVERAGEIFS(Modelling_new[[Comisined DC ]],Modelling_new[Date],"&lt;="&amp;Modelling_new[[#This Row],[Date]],Modelling_new[[Comisined DC ]],"&gt;"&amp;0,Modelling_new[Finacial Year],Modelling_new[[#This Row],[Finacial Year]])</f>
        <v>12.800000000000065</v>
      </c>
      <c r="BD679" s="27">
        <f t="shared" si="264"/>
        <v>45678</v>
      </c>
      <c r="BE679" s="5">
        <f>MONTH(Modelling[[#This Row],[Date]])</f>
        <v>1</v>
      </c>
      <c r="BF679" s="25">
        <f>YEAR(BD679)+IF(MONTH(Modelling[[#This Row],[Date]])&gt;=4,1,0)</f>
        <v>2025</v>
      </c>
      <c r="BG679" s="3">
        <f t="shared" si="259"/>
        <v>2025</v>
      </c>
      <c r="BH679" s="3" t="s">
        <v>627</v>
      </c>
      <c r="BI679" s="3" t="s">
        <v>627</v>
      </c>
      <c r="BJ679" s="102">
        <f>DATE(Modelling_old[[#This Row],[Calendor Year]],Modelling_old[[#This Row],[Start Month]],1)</f>
        <v>45658</v>
      </c>
      <c r="BK679" s="5">
        <f t="shared" si="260"/>
        <v>31</v>
      </c>
      <c r="BL679" s="5">
        <f t="shared" si="261"/>
        <v>1</v>
      </c>
      <c r="BM679" s="4">
        <f>Modelling_old[[#This Row],[Target E_Grid daily
MWh]]+Modelling_new[[#This Row],[Target E_Grid daily
MWh]]</f>
        <v>115.7134480905068</v>
      </c>
      <c r="BN679" s="4">
        <f>Modelling_old[[#This Row],[Target E_Grid MTD
MWh]]+Modelling_new[[#This Row],[Target E_Grid MTD
MWh]]</f>
        <v>2429.9824099006423</v>
      </c>
      <c r="BO679" s="4">
        <f>Modelling_old[[#This Row],[Target E_Grid YTD
MWh]]+Modelling_new[[#This Row],[Target E_Grid YTD
MWh]]</f>
        <v>30552.890414865898</v>
      </c>
      <c r="BP679" s="4">
        <f>AVERAGE(Modelling_old[[#This Row],[Target POA Daily (KWh/m2)]],Modelling_new[[#This Row],[Target POA Daily (KWh/m2)]])</f>
        <v>6.790322580645161</v>
      </c>
      <c r="BQ679" s="4">
        <f>SUM($BP$659:BP679)</f>
        <v>142.59677419354841</v>
      </c>
      <c r="BR679" s="4">
        <f>SUM($BP$384:BP679)</f>
        <v>1691.7967741935452</v>
      </c>
      <c r="BS679" s="323">
        <f>BM679/Modelling[[#This Row],[Comisined DC ]]/BP679</f>
        <v>0.70118360819178038</v>
      </c>
      <c r="BT679" s="337">
        <f>BN679/BQ679/Modelling[[#This Row],[Comisined DC ]]</f>
        <v>0.70118360819178005</v>
      </c>
      <c r="BU679" s="337">
        <f>BO679/BR679/Modelling[[#This Row],[Comisined DC ]]</f>
        <v>0.74309174359315056</v>
      </c>
      <c r="BV679" s="323">
        <f>BM679/(24*Modelling[[#This Row],[Comisined DC ]])</f>
        <v>0.19838595366178732</v>
      </c>
      <c r="BW679" s="323">
        <f>Modelling[[#This Row],[Target E_Grid MTD
MWh]]/Modelling[[#This Row],[MTD DC Capcity]]/(24*CG679)</f>
        <v>0.19838595366178738</v>
      </c>
      <c r="BX679" s="338">
        <f>Modelling[[#This Row],[Target E_Grid YTD
MWh]]/Modelling[[#This Row],[YTD DC Capcity]]/(24*CH679)</f>
        <v>0.17696512031823555</v>
      </c>
      <c r="BY679" s="4">
        <f>Modelling_old[[#This Row],[DC Capcity]]+Modelling_new[[#This Row],[Comisined DC ]]</f>
        <v>24.303100000000001</v>
      </c>
      <c r="BZ679" s="4">
        <v>0</v>
      </c>
      <c r="CA679">
        <f>AVERAGEIFS(Modelling[[Comisined DC ]],Modelling[Date],"&lt;="&amp;Modelling[[#This Row],[Date]],Modelling[Month Year],Modelling[[#This Row],[Month Year]])</f>
        <v>24.30309999999999</v>
      </c>
      <c r="CB679">
        <f>AVERAGEIFS(Modelling[[Comisined DC ]],Modelling[Date],"&lt;="&amp;Modelling[[#This Row],[Date]],Modelling[Finacial Year],Modelling[[#This Row],[Finacial Year]])</f>
        <v>24.303100000000072</v>
      </c>
      <c r="CG679">
        <f t="shared" si="265"/>
        <v>21</v>
      </c>
      <c r="CH679">
        <f t="shared" si="262"/>
        <v>296</v>
      </c>
    </row>
    <row r="680" spans="1:86" x14ac:dyDescent="0.35">
      <c r="A680" s="27">
        <f t="shared" si="241"/>
        <v>45679</v>
      </c>
      <c r="B680" s="5">
        <f>MONTH(Modelling_old[[#This Row],[Date]])</f>
        <v>1</v>
      </c>
      <c r="C680" s="25">
        <v>2025</v>
      </c>
      <c r="D680" s="3">
        <f t="shared" si="243"/>
        <v>2025</v>
      </c>
      <c r="E680" s="3" t="s">
        <v>627</v>
      </c>
      <c r="F680" s="3" t="s">
        <v>627</v>
      </c>
      <c r="G680" s="102">
        <f>DATE(Modelling_old[[#This Row],[Calendor Year]],Modelling_old[[#This Row],[Start Month]],1)</f>
        <v>45658</v>
      </c>
      <c r="H680" s="5">
        <f t="shared" si="244"/>
        <v>31</v>
      </c>
      <c r="I680" s="5">
        <f t="shared" si="245"/>
        <v>1</v>
      </c>
      <c r="J680" s="4">
        <f>_xlfn.XLOOKUP(Modelling_old[[#This Row],[Month]],$C$1:$C$14,$N$1:$N$14)/Modelling_old[[#This Row],[Total Days]]</f>
        <v>54.258064516129032</v>
      </c>
      <c r="K680" s="4">
        <f>SUM($J$659:J680)</f>
        <v>1193.6774193548388</v>
      </c>
      <c r="L680" s="4">
        <f>SUM($J$384:J680)</f>
        <v>13562.677419354846</v>
      </c>
      <c r="M680" s="4">
        <f t="shared" si="246"/>
        <v>6.790322580645161</v>
      </c>
      <c r="N680" s="4">
        <f>SUM($M$659:M680)</f>
        <v>149.38709677419357</v>
      </c>
      <c r="O680" s="4">
        <f>SUM($M$384:M680)</f>
        <v>1698.5870967741903</v>
      </c>
      <c r="P680" s="323">
        <f t="shared" si="247"/>
        <v>0.6946387332416083</v>
      </c>
      <c r="Q680" s="337">
        <f t="shared" si="248"/>
        <v>0.69463873324160819</v>
      </c>
      <c r="R680" s="337">
        <f t="shared" si="249"/>
        <v>0.69413303943023585</v>
      </c>
      <c r="S680" s="323">
        <f t="shared" si="250"/>
        <v>0.19653421148838515</v>
      </c>
      <c r="T680" s="9">
        <f>Modelling_old[[#This Row],[Target E_Grid MTD
MWh]]/Modelling_old[[#This Row],[DC Capcity]]/(24*CG680)</f>
        <v>0.19653421148838515</v>
      </c>
      <c r="U680" s="338">
        <f>Modelling_old[[#This Row],[Target E_Grid YTD
MWh]]/Modelling_old[[#This Row],[DC Capcity]]/(24*CH680)</f>
        <v>0.16541041305006296</v>
      </c>
      <c r="V680" s="134">
        <v>11.5031</v>
      </c>
      <c r="Y680" s="27">
        <f t="shared" si="263"/>
        <v>45679</v>
      </c>
      <c r="Z680" s="5">
        <f>MONTH(Modelling_new[[#This Row],[Date]])</f>
        <v>1</v>
      </c>
      <c r="AA680" s="25">
        <f>YEAR(Y680)+IF(MONTH(Modelling_new[[#This Row],[Date]])&gt;=4,1,0)</f>
        <v>2025</v>
      </c>
      <c r="AB680" s="3">
        <f t="shared" si="251"/>
        <v>2025</v>
      </c>
      <c r="AC680" s="3" t="s">
        <v>627</v>
      </c>
      <c r="AD680" s="3" t="s">
        <v>627</v>
      </c>
      <c r="AE680" s="102">
        <f>DATE(Modelling_old[[#This Row],[Calendor Year]],Modelling_old[[#This Row],[Start Month]],1)</f>
        <v>45658</v>
      </c>
      <c r="AF680" s="5">
        <f t="shared" si="252"/>
        <v>31</v>
      </c>
      <c r="AG680" s="5">
        <f t="shared" si="253"/>
        <v>1</v>
      </c>
      <c r="AH680" s="4">
        <f>_xlfn.XLOOKUP(Modelling_new[[#This Row],[Month]],$AA$1:$AA$14,$AL$1:$AL$14)/Modelling_new[[#This Row],[Total Days]]</f>
        <v>61.45538357437777</v>
      </c>
      <c r="AI680" s="4">
        <f>SUM($AH$659:AH680)</f>
        <v>1352.0184386363103</v>
      </c>
      <c r="AJ680" s="4">
        <f>SUM($AH$384:AH680)</f>
        <v>17105.926443601562</v>
      </c>
      <c r="AK680" s="4">
        <f t="shared" si="254"/>
        <v>6.790322580645161</v>
      </c>
      <c r="AL680" s="4">
        <f>SUM($AK$659:AK680)</f>
        <v>149.38709677419357</v>
      </c>
      <c r="AM680" s="4">
        <f>SUM($AK$384:AK680)</f>
        <v>1698.5870967741903</v>
      </c>
      <c r="AN680" s="323">
        <f t="shared" si="255"/>
        <v>0.78678239221549962</v>
      </c>
      <c r="AO680" s="323">
        <f t="shared" si="256"/>
        <v>0.78678239221549906</v>
      </c>
      <c r="AP680" s="323">
        <f t="shared" si="257"/>
        <v>0.87547527287071703</v>
      </c>
      <c r="AQ680" s="323">
        <f t="shared" si="258"/>
        <v>0.22260442682978857</v>
      </c>
      <c r="AR680" s="323">
        <f>Modelling_new[[#This Row],[Target E_Grid MTD
MWh]]/Modelling_new[[#This Row],[MTD DC Capcity]]/(24*CG680)</f>
        <v>0.20005007673951081</v>
      </c>
      <c r="AS680" s="323">
        <f>Modelling_new[[#This Row],[Target E_Grid YTD
MWh]]/Modelling_new[[#This Row],[YTD DC Capcity]]/(24*CH680)</f>
        <v>0.18748604144309278</v>
      </c>
      <c r="AT680" s="5">
        <v>12.8</v>
      </c>
      <c r="AU680" s="9">
        <f>Modelling_new[[#This Row],[Comisined DC ]]/$AO$1</f>
        <v>1</v>
      </c>
      <c r="AV68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80" s="5">
        <f>AVERAGEIFS(Modelling_new[[Comisined DC ]],Modelling_new[Date],"&lt;="&amp;Modelling_new[[#This Row],[Date]],Modelling_new[[Comisined DC ]],"&gt;"&amp;0,Modelling_new[Finacial Year],Modelling_new[[#This Row],[Finacial Year]])</f>
        <v>12.800000000000065</v>
      </c>
      <c r="BD680" s="27">
        <f t="shared" si="264"/>
        <v>45679</v>
      </c>
      <c r="BE680" s="5">
        <f>MONTH(Modelling[[#This Row],[Date]])</f>
        <v>1</v>
      </c>
      <c r="BF680" s="25">
        <f>YEAR(BD680)+IF(MONTH(Modelling[[#This Row],[Date]])&gt;=4,1,0)</f>
        <v>2025</v>
      </c>
      <c r="BG680" s="3">
        <f t="shared" si="259"/>
        <v>2025</v>
      </c>
      <c r="BH680" s="3" t="s">
        <v>627</v>
      </c>
      <c r="BI680" s="3" t="s">
        <v>627</v>
      </c>
      <c r="BJ680" s="102">
        <f>DATE(Modelling_old[[#This Row],[Calendor Year]],Modelling_old[[#This Row],[Start Month]],1)</f>
        <v>45658</v>
      </c>
      <c r="BK680" s="5">
        <f t="shared" si="260"/>
        <v>31</v>
      </c>
      <c r="BL680" s="5">
        <f t="shared" si="261"/>
        <v>1</v>
      </c>
      <c r="BM680" s="4">
        <f>Modelling_old[[#This Row],[Target E_Grid daily
MWh]]+Modelling_new[[#This Row],[Target E_Grid daily
MWh]]</f>
        <v>115.7134480905068</v>
      </c>
      <c r="BN680" s="4">
        <f>Modelling_old[[#This Row],[Target E_Grid MTD
MWh]]+Modelling_new[[#This Row],[Target E_Grid MTD
MWh]]</f>
        <v>2545.6958579911488</v>
      </c>
      <c r="BO680" s="4">
        <f>Modelling_old[[#This Row],[Target E_Grid YTD
MWh]]+Modelling_new[[#This Row],[Target E_Grid YTD
MWh]]</f>
        <v>30668.603862956406</v>
      </c>
      <c r="BP680" s="4">
        <f>AVERAGE(Modelling_old[[#This Row],[Target POA Daily (KWh/m2)]],Modelling_new[[#This Row],[Target POA Daily (KWh/m2)]])</f>
        <v>6.790322580645161</v>
      </c>
      <c r="BQ680" s="4">
        <f>SUM($BP$659:BP680)</f>
        <v>149.38709677419357</v>
      </c>
      <c r="BR680" s="4">
        <f>SUM($BP$384:BP680)</f>
        <v>1698.5870967741903</v>
      </c>
      <c r="BS680" s="323">
        <f>BM680/Modelling[[#This Row],[Comisined DC ]]/BP680</f>
        <v>0.70118360819178038</v>
      </c>
      <c r="BT680" s="337">
        <f>BN680/BQ680/Modelling[[#This Row],[Comisined DC ]]</f>
        <v>0.70118360819178005</v>
      </c>
      <c r="BU680" s="337">
        <f>BO680/BR680/Modelling[[#This Row],[Comisined DC ]]</f>
        <v>0.742924210377651</v>
      </c>
      <c r="BV680" s="323">
        <f>BM680/(24*Modelling[[#This Row],[Comisined DC ]])</f>
        <v>0.19838595366178732</v>
      </c>
      <c r="BW680" s="323">
        <f>Modelling[[#This Row],[Target E_Grid MTD
MWh]]/Modelling[[#This Row],[MTD DC Capcity]]/(24*CG680)</f>
        <v>0.19838595366178735</v>
      </c>
      <c r="BX680" s="338">
        <f>Modelling[[#This Row],[Target E_Grid YTD
MWh]]/Modelling[[#This Row],[YTD DC Capcity]]/(24*CH680)</f>
        <v>0.17703724433622731</v>
      </c>
      <c r="BY680" s="4">
        <f>Modelling_old[[#This Row],[DC Capcity]]+Modelling_new[[#This Row],[Comisined DC ]]</f>
        <v>24.303100000000001</v>
      </c>
      <c r="BZ680" s="4">
        <v>0</v>
      </c>
      <c r="CA680">
        <f>AVERAGEIFS(Modelling[[Comisined DC ]],Modelling[Date],"&lt;="&amp;Modelling[[#This Row],[Date]],Modelling[Month Year],Modelling[[#This Row],[Month Year]])</f>
        <v>24.303099999999986</v>
      </c>
      <c r="CB680">
        <f>AVERAGEIFS(Modelling[[Comisined DC ]],Modelling[Date],"&lt;="&amp;Modelling[[#This Row],[Date]],Modelling[Finacial Year],Modelling[[#This Row],[Finacial Year]])</f>
        <v>24.303100000000072</v>
      </c>
      <c r="CG680">
        <f t="shared" si="265"/>
        <v>22</v>
      </c>
      <c r="CH680">
        <f t="shared" si="262"/>
        <v>297</v>
      </c>
    </row>
    <row r="681" spans="1:86" x14ac:dyDescent="0.35">
      <c r="A681" s="27">
        <f t="shared" si="241"/>
        <v>45680</v>
      </c>
      <c r="B681" s="5">
        <f>MONTH(Modelling_old[[#This Row],[Date]])</f>
        <v>1</v>
      </c>
      <c r="C681" s="25">
        <v>2025</v>
      </c>
      <c r="D681" s="3">
        <f t="shared" si="243"/>
        <v>2025</v>
      </c>
      <c r="E681" s="3" t="s">
        <v>627</v>
      </c>
      <c r="F681" s="3" t="s">
        <v>627</v>
      </c>
      <c r="G681" s="102">
        <f>DATE(Modelling_old[[#This Row],[Calendor Year]],Modelling_old[[#This Row],[Start Month]],1)</f>
        <v>45658</v>
      </c>
      <c r="H681" s="5">
        <f t="shared" si="244"/>
        <v>31</v>
      </c>
      <c r="I681" s="5">
        <f t="shared" si="245"/>
        <v>1</v>
      </c>
      <c r="J681" s="4">
        <f>_xlfn.XLOOKUP(Modelling_old[[#This Row],[Month]],$C$1:$C$14,$N$1:$N$14)/Modelling_old[[#This Row],[Total Days]]</f>
        <v>54.258064516129032</v>
      </c>
      <c r="K681" s="4">
        <f>SUM($J$659:J681)</f>
        <v>1247.9354838709678</v>
      </c>
      <c r="L681" s="4">
        <f>SUM($J$384:J681)</f>
        <v>13616.935483870975</v>
      </c>
      <c r="M681" s="4">
        <f t="shared" si="246"/>
        <v>6.790322580645161</v>
      </c>
      <c r="N681" s="4">
        <f>SUM($M$659:M681)</f>
        <v>156.17741935483872</v>
      </c>
      <c r="O681" s="4">
        <f>SUM($M$384:M681)</f>
        <v>1705.3774193548354</v>
      </c>
      <c r="P681" s="323">
        <f t="shared" si="247"/>
        <v>0.6946387332416083</v>
      </c>
      <c r="Q681" s="337">
        <f t="shared" si="248"/>
        <v>0.6946387332416083</v>
      </c>
      <c r="R681" s="337">
        <f t="shared" si="249"/>
        <v>0.69413505295760358</v>
      </c>
      <c r="S681" s="323">
        <f t="shared" si="250"/>
        <v>0.19653421148838515</v>
      </c>
      <c r="T681" s="9">
        <f>Modelling_old[[#This Row],[Target E_Grid MTD
MWh]]/Modelling_old[[#This Row],[DC Capcity]]/(24*CG681)</f>
        <v>0.19653421148838515</v>
      </c>
      <c r="U681" s="338">
        <f>Modelling_old[[#This Row],[Target E_Grid YTD
MWh]]/Modelling_old[[#This Row],[DC Capcity]]/(24*CH681)</f>
        <v>0.16551485532670163</v>
      </c>
      <c r="V681" s="134">
        <v>11.5031</v>
      </c>
      <c r="Y681" s="27">
        <f t="shared" si="263"/>
        <v>45680</v>
      </c>
      <c r="Z681" s="5">
        <f>MONTH(Modelling_new[[#This Row],[Date]])</f>
        <v>1</v>
      </c>
      <c r="AA681" s="25">
        <f>YEAR(Y681)+IF(MONTH(Modelling_new[[#This Row],[Date]])&gt;=4,1,0)</f>
        <v>2025</v>
      </c>
      <c r="AB681" s="3">
        <f t="shared" si="251"/>
        <v>2025</v>
      </c>
      <c r="AC681" s="3" t="s">
        <v>627</v>
      </c>
      <c r="AD681" s="3" t="s">
        <v>627</v>
      </c>
      <c r="AE681" s="102">
        <f>DATE(Modelling_old[[#This Row],[Calendor Year]],Modelling_old[[#This Row],[Start Month]],1)</f>
        <v>45658</v>
      </c>
      <c r="AF681" s="5">
        <f t="shared" si="252"/>
        <v>31</v>
      </c>
      <c r="AG681" s="5">
        <f t="shared" si="253"/>
        <v>1</v>
      </c>
      <c r="AH681" s="4">
        <f>_xlfn.XLOOKUP(Modelling_new[[#This Row],[Month]],$AA$1:$AA$14,$AL$1:$AL$14)/Modelling_new[[#This Row],[Total Days]]</f>
        <v>61.45538357437777</v>
      </c>
      <c r="AI681" s="4">
        <f>SUM($AH$659:AH681)</f>
        <v>1413.473822210688</v>
      </c>
      <c r="AJ681" s="4">
        <f>SUM($AH$384:AH681)</f>
        <v>17167.381827175941</v>
      </c>
      <c r="AK681" s="4">
        <f t="shared" si="254"/>
        <v>6.790322580645161</v>
      </c>
      <c r="AL681" s="4">
        <f>SUM($AK$659:AK681)</f>
        <v>156.17741935483872</v>
      </c>
      <c r="AM681" s="4">
        <f>SUM($AK$384:AK681)</f>
        <v>1705.3774193548354</v>
      </c>
      <c r="AN681" s="323">
        <f t="shared" si="255"/>
        <v>0.78678239221549962</v>
      </c>
      <c r="AO681" s="323">
        <f t="shared" si="256"/>
        <v>0.78678239221549917</v>
      </c>
      <c r="AP681" s="323">
        <f t="shared" si="257"/>
        <v>0.87512212331952666</v>
      </c>
      <c r="AQ681" s="323">
        <f t="shared" si="258"/>
        <v>0.22260442682978857</v>
      </c>
      <c r="AR681" s="323">
        <f>Modelling_new[[#This Row],[Target E_Grid MTD
MWh]]/Modelling_new[[#This Row],[MTD DC Capcity]]/(24*CG681)</f>
        <v>0.20005007673951081</v>
      </c>
      <c r="AS681" s="323">
        <f>Modelling_new[[#This Row],[Target E_Grid YTD
MWh]]/Modelling_new[[#This Row],[YTD DC Capcity]]/(24*CH681)</f>
        <v>0.18752820263536263</v>
      </c>
      <c r="AT681" s="5">
        <v>12.8</v>
      </c>
      <c r="AU681" s="9">
        <f>Modelling_new[[#This Row],[Comisined DC ]]/$AO$1</f>
        <v>1</v>
      </c>
      <c r="AV68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81" s="5">
        <f>AVERAGEIFS(Modelling_new[[Comisined DC ]],Modelling_new[Date],"&lt;="&amp;Modelling_new[[#This Row],[Date]],Modelling_new[[Comisined DC ]],"&gt;"&amp;0,Modelling_new[Finacial Year],Modelling_new[[#This Row],[Finacial Year]])</f>
        <v>12.800000000000066</v>
      </c>
      <c r="BD681" s="27">
        <f t="shared" si="264"/>
        <v>45680</v>
      </c>
      <c r="BE681" s="5">
        <f>MONTH(Modelling[[#This Row],[Date]])</f>
        <v>1</v>
      </c>
      <c r="BF681" s="25">
        <f>YEAR(BD681)+IF(MONTH(Modelling[[#This Row],[Date]])&gt;=4,1,0)</f>
        <v>2025</v>
      </c>
      <c r="BG681" s="3">
        <f t="shared" si="259"/>
        <v>2025</v>
      </c>
      <c r="BH681" s="3" t="s">
        <v>627</v>
      </c>
      <c r="BI681" s="3" t="s">
        <v>627</v>
      </c>
      <c r="BJ681" s="102">
        <f>DATE(Modelling_old[[#This Row],[Calendor Year]],Modelling_old[[#This Row],[Start Month]],1)</f>
        <v>45658</v>
      </c>
      <c r="BK681" s="5">
        <f t="shared" si="260"/>
        <v>31</v>
      </c>
      <c r="BL681" s="5">
        <f t="shared" si="261"/>
        <v>1</v>
      </c>
      <c r="BM681" s="4">
        <f>Modelling_old[[#This Row],[Target E_Grid daily
MWh]]+Modelling_new[[#This Row],[Target E_Grid daily
MWh]]</f>
        <v>115.7134480905068</v>
      </c>
      <c r="BN681" s="4">
        <f>Modelling_old[[#This Row],[Target E_Grid MTD
MWh]]+Modelling_new[[#This Row],[Target E_Grid MTD
MWh]]</f>
        <v>2661.4093060816558</v>
      </c>
      <c r="BO681" s="4">
        <f>Modelling_old[[#This Row],[Target E_Grid YTD
MWh]]+Modelling_new[[#This Row],[Target E_Grid YTD
MWh]]</f>
        <v>30784.317311046914</v>
      </c>
      <c r="BP681" s="4">
        <f>AVERAGE(Modelling_old[[#This Row],[Target POA Daily (KWh/m2)]],Modelling_new[[#This Row],[Target POA Daily (KWh/m2)]])</f>
        <v>6.790322580645161</v>
      </c>
      <c r="BQ681" s="4">
        <f>SUM($BP$659:BP681)</f>
        <v>156.17741935483872</v>
      </c>
      <c r="BR681" s="4">
        <f>SUM($BP$384:BP681)</f>
        <v>1705.3774193548354</v>
      </c>
      <c r="BS681" s="323">
        <f>BM681/Modelling[[#This Row],[Comisined DC ]]/BP681</f>
        <v>0.70118360819178038</v>
      </c>
      <c r="BT681" s="337">
        <f>BN681/BQ681/Modelling[[#This Row],[Comisined DC ]]</f>
        <v>0.70118360819178016</v>
      </c>
      <c r="BU681" s="337">
        <f>BO681/BR681/Modelling[[#This Row],[Comisined DC ]]</f>
        <v>0.74275801130034669</v>
      </c>
      <c r="BV681" s="323">
        <f>BM681/(24*Modelling[[#This Row],[Comisined DC ]])</f>
        <v>0.19838595366178732</v>
      </c>
      <c r="BW681" s="323">
        <f>Modelling[[#This Row],[Target E_Grid MTD
MWh]]/Modelling[[#This Row],[MTD DC Capcity]]/(24*CG681)</f>
        <v>0.19838595366178738</v>
      </c>
      <c r="BX681" s="338">
        <f>Modelling[[#This Row],[Target E_Grid YTD
MWh]]/Modelling[[#This Row],[YTD DC Capcity]]/(24*CH681)</f>
        <v>0.17710888430040703</v>
      </c>
      <c r="BY681" s="4">
        <f>Modelling_old[[#This Row],[DC Capcity]]+Modelling_new[[#This Row],[Comisined DC ]]</f>
        <v>24.303100000000001</v>
      </c>
      <c r="BZ681" s="4">
        <v>0</v>
      </c>
      <c r="CA681">
        <f>AVERAGEIFS(Modelling[[Comisined DC ]],Modelling[Date],"&lt;="&amp;Modelling[[#This Row],[Date]],Modelling[Month Year],Modelling[[#This Row],[Month Year]])</f>
        <v>24.303099999999986</v>
      </c>
      <c r="CB681">
        <f>AVERAGEIFS(Modelling[[Comisined DC ]],Modelling[Date],"&lt;="&amp;Modelling[[#This Row],[Date]],Modelling[Finacial Year],Modelling[[#This Row],[Finacial Year]])</f>
        <v>24.303100000000072</v>
      </c>
      <c r="CG681">
        <f t="shared" si="265"/>
        <v>23</v>
      </c>
      <c r="CH681">
        <f t="shared" si="262"/>
        <v>298</v>
      </c>
    </row>
    <row r="682" spans="1:86" x14ac:dyDescent="0.35">
      <c r="A682" s="27">
        <f t="shared" si="241"/>
        <v>45681</v>
      </c>
      <c r="B682" s="5">
        <f>MONTH(Modelling_old[[#This Row],[Date]])</f>
        <v>1</v>
      </c>
      <c r="C682" s="25">
        <v>2025</v>
      </c>
      <c r="D682" s="3">
        <f t="shared" si="243"/>
        <v>2025</v>
      </c>
      <c r="E682" s="3" t="s">
        <v>627</v>
      </c>
      <c r="F682" s="3" t="s">
        <v>627</v>
      </c>
      <c r="G682" s="102">
        <f>DATE(Modelling_old[[#This Row],[Calendor Year]],Modelling_old[[#This Row],[Start Month]],1)</f>
        <v>45658</v>
      </c>
      <c r="H682" s="5">
        <f t="shared" si="244"/>
        <v>31</v>
      </c>
      <c r="I682" s="5">
        <f t="shared" si="245"/>
        <v>1</v>
      </c>
      <c r="J682" s="4">
        <f>_xlfn.XLOOKUP(Modelling_old[[#This Row],[Month]],$C$1:$C$14,$N$1:$N$14)/Modelling_old[[#This Row],[Total Days]]</f>
        <v>54.258064516129032</v>
      </c>
      <c r="K682" s="4">
        <f>SUM($J$659:J682)</f>
        <v>1302.1935483870968</v>
      </c>
      <c r="L682" s="4">
        <f>SUM($J$384:J682)</f>
        <v>13671.193548387104</v>
      </c>
      <c r="M682" s="4">
        <f t="shared" si="246"/>
        <v>6.790322580645161</v>
      </c>
      <c r="N682" s="4">
        <f>SUM($M$659:M682)</f>
        <v>162.96774193548387</v>
      </c>
      <c r="O682" s="4">
        <f>SUM($M$384:M682)</f>
        <v>1712.1677419354805</v>
      </c>
      <c r="P682" s="323">
        <f t="shared" si="247"/>
        <v>0.6946387332416083</v>
      </c>
      <c r="Q682" s="337">
        <f t="shared" si="248"/>
        <v>0.6946387332416083</v>
      </c>
      <c r="R682" s="337">
        <f t="shared" si="249"/>
        <v>0.69413705051398911</v>
      </c>
      <c r="S682" s="323">
        <f t="shared" si="250"/>
        <v>0.19653421148838515</v>
      </c>
      <c r="T682" s="9">
        <f>Modelling_old[[#This Row],[Target E_Grid MTD
MWh]]/Modelling_old[[#This Row],[DC Capcity]]/(24*CG682)</f>
        <v>0.19653421148838512</v>
      </c>
      <c r="U682" s="338">
        <f>Modelling_old[[#This Row],[Target E_Grid YTD
MWh]]/Modelling_old[[#This Row],[DC Capcity]]/(24*CH682)</f>
        <v>0.16561859899279421</v>
      </c>
      <c r="V682" s="134">
        <v>11.5031</v>
      </c>
      <c r="Y682" s="27">
        <f t="shared" si="263"/>
        <v>45681</v>
      </c>
      <c r="Z682" s="5">
        <f>MONTH(Modelling_new[[#This Row],[Date]])</f>
        <v>1</v>
      </c>
      <c r="AA682" s="25">
        <f>YEAR(Y682)+IF(MONTH(Modelling_new[[#This Row],[Date]])&gt;=4,1,0)</f>
        <v>2025</v>
      </c>
      <c r="AB682" s="3">
        <f t="shared" si="251"/>
        <v>2025</v>
      </c>
      <c r="AC682" s="3" t="s">
        <v>627</v>
      </c>
      <c r="AD682" s="3" t="s">
        <v>627</v>
      </c>
      <c r="AE682" s="102">
        <f>DATE(Modelling_old[[#This Row],[Calendor Year]],Modelling_old[[#This Row],[Start Month]],1)</f>
        <v>45658</v>
      </c>
      <c r="AF682" s="5">
        <f t="shared" si="252"/>
        <v>31</v>
      </c>
      <c r="AG682" s="5">
        <f t="shared" si="253"/>
        <v>1</v>
      </c>
      <c r="AH682" s="4">
        <f>_xlfn.XLOOKUP(Modelling_new[[#This Row],[Month]],$AA$1:$AA$14,$AL$1:$AL$14)/Modelling_new[[#This Row],[Total Days]]</f>
        <v>61.45538357437777</v>
      </c>
      <c r="AI682" s="4">
        <f>SUM($AH$659:AH682)</f>
        <v>1474.9292057850657</v>
      </c>
      <c r="AJ682" s="4">
        <f>SUM($AH$384:AH682)</f>
        <v>17228.83721075032</v>
      </c>
      <c r="AK682" s="4">
        <f t="shared" si="254"/>
        <v>6.790322580645161</v>
      </c>
      <c r="AL682" s="4">
        <f>SUM($AK$659:AK682)</f>
        <v>162.96774193548387</v>
      </c>
      <c r="AM682" s="4">
        <f>SUM($AK$384:AK682)</f>
        <v>1712.1677419354805</v>
      </c>
      <c r="AN682" s="323">
        <f t="shared" si="255"/>
        <v>0.78678239221549962</v>
      </c>
      <c r="AO682" s="323">
        <f t="shared" si="256"/>
        <v>0.78678239221549917</v>
      </c>
      <c r="AP682" s="323">
        <f t="shared" si="257"/>
        <v>0.87477177489501678</v>
      </c>
      <c r="AQ682" s="323">
        <f t="shared" si="258"/>
        <v>0.22260442682978857</v>
      </c>
      <c r="AR682" s="323">
        <f>Modelling_new[[#This Row],[Target E_Grid MTD
MWh]]/Modelling_new[[#This Row],[MTD DC Capcity]]/(24*CG682)</f>
        <v>0.20005007673951081</v>
      </c>
      <c r="AS682" s="323">
        <f>Modelling_new[[#This Row],[Target E_Grid YTD
MWh]]/Modelling_new[[#This Row],[YTD DC Capcity]]/(24*CH682)</f>
        <v>0.18757008181296847</v>
      </c>
      <c r="AT682" s="5">
        <v>12.8</v>
      </c>
      <c r="AU682" s="9">
        <f>Modelling_new[[#This Row],[Comisined DC ]]/$AO$1</f>
        <v>1</v>
      </c>
      <c r="AV68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82" s="5">
        <f>AVERAGEIFS(Modelling_new[[Comisined DC ]],Modelling_new[Date],"&lt;="&amp;Modelling_new[[#This Row],[Date]],Modelling_new[[Comisined DC ]],"&gt;"&amp;0,Modelling_new[Finacial Year],Modelling_new[[#This Row],[Finacial Year]])</f>
        <v>12.800000000000066</v>
      </c>
      <c r="BD682" s="27">
        <f t="shared" si="264"/>
        <v>45681</v>
      </c>
      <c r="BE682" s="5">
        <f>MONTH(Modelling[[#This Row],[Date]])</f>
        <v>1</v>
      </c>
      <c r="BF682" s="25">
        <f>YEAR(BD682)+IF(MONTH(Modelling[[#This Row],[Date]])&gt;=4,1,0)</f>
        <v>2025</v>
      </c>
      <c r="BG682" s="3">
        <f t="shared" si="259"/>
        <v>2025</v>
      </c>
      <c r="BH682" s="3" t="s">
        <v>627</v>
      </c>
      <c r="BI682" s="3" t="s">
        <v>627</v>
      </c>
      <c r="BJ682" s="102">
        <f>DATE(Modelling_old[[#This Row],[Calendor Year]],Modelling_old[[#This Row],[Start Month]],1)</f>
        <v>45658</v>
      </c>
      <c r="BK682" s="5">
        <f t="shared" si="260"/>
        <v>31</v>
      </c>
      <c r="BL682" s="5">
        <f t="shared" si="261"/>
        <v>1</v>
      </c>
      <c r="BM682" s="4">
        <f>Modelling_old[[#This Row],[Target E_Grid daily
MWh]]+Modelling_new[[#This Row],[Target E_Grid daily
MWh]]</f>
        <v>115.7134480905068</v>
      </c>
      <c r="BN682" s="4">
        <f>Modelling_old[[#This Row],[Target E_Grid MTD
MWh]]+Modelling_new[[#This Row],[Target E_Grid MTD
MWh]]</f>
        <v>2777.1227541721628</v>
      </c>
      <c r="BO682" s="4">
        <f>Modelling_old[[#This Row],[Target E_Grid YTD
MWh]]+Modelling_new[[#This Row],[Target E_Grid YTD
MWh]]</f>
        <v>30900.030759137422</v>
      </c>
      <c r="BP682" s="4">
        <f>AVERAGE(Modelling_old[[#This Row],[Target POA Daily (KWh/m2)]],Modelling_new[[#This Row],[Target POA Daily (KWh/m2)]])</f>
        <v>6.790322580645161</v>
      </c>
      <c r="BQ682" s="4">
        <f>SUM($BP$659:BP682)</f>
        <v>162.96774193548387</v>
      </c>
      <c r="BR682" s="4">
        <f>SUM($BP$384:BP682)</f>
        <v>1712.1677419354805</v>
      </c>
      <c r="BS682" s="323">
        <f>BM682/Modelling[[#This Row],[Comisined DC ]]/BP682</f>
        <v>0.70118360819178038</v>
      </c>
      <c r="BT682" s="337">
        <f>BN682/BQ682/Modelling[[#This Row],[Comisined DC ]]</f>
        <v>0.70118360819178016</v>
      </c>
      <c r="BU682" s="337">
        <f>BO682/BR682/Modelling[[#This Row],[Comisined DC ]]</f>
        <v>0.74259313048797615</v>
      </c>
      <c r="BV682" s="323">
        <f>BM682/(24*Modelling[[#This Row],[Comisined DC ]])</f>
        <v>0.19838595366178732</v>
      </c>
      <c r="BW682" s="323">
        <f>Modelling[[#This Row],[Target E_Grid MTD
MWh]]/Modelling[[#This Row],[MTD DC Capcity]]/(24*CG682)</f>
        <v>0.19838595366178741</v>
      </c>
      <c r="BX682" s="338">
        <f>Modelling[[#This Row],[Target E_Grid YTD
MWh]]/Modelling[[#This Row],[YTD DC Capcity]]/(24*CH682)</f>
        <v>0.17718004506750198</v>
      </c>
      <c r="BY682" s="4">
        <f>Modelling_old[[#This Row],[DC Capcity]]+Modelling_new[[#This Row],[Comisined DC ]]</f>
        <v>24.303100000000001</v>
      </c>
      <c r="BZ682" s="4">
        <v>0</v>
      </c>
      <c r="CA682">
        <f>AVERAGEIFS(Modelling[[Comisined DC ]],Modelling[Date],"&lt;="&amp;Modelling[[#This Row],[Date]],Modelling[Month Year],Modelling[[#This Row],[Month Year]])</f>
        <v>24.303099999999986</v>
      </c>
      <c r="CB682">
        <f>AVERAGEIFS(Modelling[[Comisined DC ]],Modelling[Date],"&lt;="&amp;Modelling[[#This Row],[Date]],Modelling[Finacial Year],Modelling[[#This Row],[Finacial Year]])</f>
        <v>24.303100000000072</v>
      </c>
      <c r="CG682">
        <f t="shared" si="265"/>
        <v>24</v>
      </c>
      <c r="CH682">
        <f t="shared" si="262"/>
        <v>299</v>
      </c>
    </row>
    <row r="683" spans="1:86" x14ac:dyDescent="0.35">
      <c r="A683" s="27">
        <f t="shared" si="241"/>
        <v>45682</v>
      </c>
      <c r="B683" s="5">
        <f>MONTH(Modelling_old[[#This Row],[Date]])</f>
        <v>1</v>
      </c>
      <c r="C683" s="25">
        <v>2025</v>
      </c>
      <c r="D683" s="3">
        <f t="shared" si="243"/>
        <v>2025</v>
      </c>
      <c r="E683" s="3" t="s">
        <v>627</v>
      </c>
      <c r="F683" s="3" t="s">
        <v>627</v>
      </c>
      <c r="G683" s="102">
        <f>DATE(Modelling_old[[#This Row],[Calendor Year]],Modelling_old[[#This Row],[Start Month]],1)</f>
        <v>45658</v>
      </c>
      <c r="H683" s="5">
        <f t="shared" si="244"/>
        <v>31</v>
      </c>
      <c r="I683" s="5">
        <f t="shared" si="245"/>
        <v>1</v>
      </c>
      <c r="J683" s="4">
        <f>_xlfn.XLOOKUP(Modelling_old[[#This Row],[Month]],$C$1:$C$14,$N$1:$N$14)/Modelling_old[[#This Row],[Total Days]]</f>
        <v>54.258064516129032</v>
      </c>
      <c r="K683" s="4">
        <f>SUM($J$659:J683)</f>
        <v>1356.4516129032259</v>
      </c>
      <c r="L683" s="4">
        <f>SUM($J$384:J683)</f>
        <v>13725.451612903233</v>
      </c>
      <c r="M683" s="4">
        <f t="shared" si="246"/>
        <v>6.790322580645161</v>
      </c>
      <c r="N683" s="4">
        <f>SUM($M$659:M683)</f>
        <v>169.75806451612902</v>
      </c>
      <c r="O683" s="4">
        <f>SUM($M$384:M683)</f>
        <v>1718.9580645161257</v>
      </c>
      <c r="P683" s="323">
        <f t="shared" si="247"/>
        <v>0.6946387332416083</v>
      </c>
      <c r="Q683" s="337">
        <f t="shared" si="248"/>
        <v>0.6946387332416083</v>
      </c>
      <c r="R683" s="337">
        <f t="shared" si="249"/>
        <v>0.6941390322886607</v>
      </c>
      <c r="S683" s="323">
        <f t="shared" si="250"/>
        <v>0.19653421148838515</v>
      </c>
      <c r="T683" s="9">
        <f>Modelling_old[[#This Row],[Target E_Grid MTD
MWh]]/Modelling_old[[#This Row],[DC Capcity]]/(24*CG683)</f>
        <v>0.19653421148838512</v>
      </c>
      <c r="U683" s="338">
        <f>Modelling_old[[#This Row],[Target E_Grid YTD
MWh]]/Modelling_old[[#This Row],[DC Capcity]]/(24*CH683)</f>
        <v>0.16572165103444619</v>
      </c>
      <c r="V683" s="134">
        <v>11.5031</v>
      </c>
      <c r="Y683" s="27">
        <f t="shared" si="263"/>
        <v>45682</v>
      </c>
      <c r="Z683" s="5">
        <f>MONTH(Modelling_new[[#This Row],[Date]])</f>
        <v>1</v>
      </c>
      <c r="AA683" s="25">
        <f>YEAR(Y683)+IF(MONTH(Modelling_new[[#This Row],[Date]])&gt;=4,1,0)</f>
        <v>2025</v>
      </c>
      <c r="AB683" s="3">
        <f t="shared" si="251"/>
        <v>2025</v>
      </c>
      <c r="AC683" s="3" t="s">
        <v>627</v>
      </c>
      <c r="AD683" s="3" t="s">
        <v>627</v>
      </c>
      <c r="AE683" s="102">
        <f>DATE(Modelling_old[[#This Row],[Calendor Year]],Modelling_old[[#This Row],[Start Month]],1)</f>
        <v>45658</v>
      </c>
      <c r="AF683" s="5">
        <f t="shared" si="252"/>
        <v>31</v>
      </c>
      <c r="AG683" s="5">
        <f t="shared" si="253"/>
        <v>1</v>
      </c>
      <c r="AH683" s="4">
        <f>_xlfn.XLOOKUP(Modelling_new[[#This Row],[Month]],$AA$1:$AA$14,$AL$1:$AL$14)/Modelling_new[[#This Row],[Total Days]]</f>
        <v>61.45538357437777</v>
      </c>
      <c r="AI683" s="4">
        <f>SUM($AH$659:AH683)</f>
        <v>1536.3845893594435</v>
      </c>
      <c r="AJ683" s="4">
        <f>SUM($AH$384:AH683)</f>
        <v>17290.292594324699</v>
      </c>
      <c r="AK683" s="4">
        <f t="shared" si="254"/>
        <v>6.790322580645161</v>
      </c>
      <c r="AL683" s="4">
        <f>SUM($AK$659:AK683)</f>
        <v>169.75806451612902</v>
      </c>
      <c r="AM683" s="4">
        <f>SUM($AK$384:AK683)</f>
        <v>1718.9580645161257</v>
      </c>
      <c r="AN683" s="323">
        <f t="shared" si="255"/>
        <v>0.78678239221549962</v>
      </c>
      <c r="AO683" s="323">
        <f t="shared" si="256"/>
        <v>0.78678239221549917</v>
      </c>
      <c r="AP683" s="323">
        <f t="shared" si="257"/>
        <v>0.87442419440169405</v>
      </c>
      <c r="AQ683" s="323">
        <f t="shared" si="258"/>
        <v>0.22260442682978857</v>
      </c>
      <c r="AR683" s="323">
        <f>Modelling_new[[#This Row],[Target E_Grid MTD
MWh]]/Modelling_new[[#This Row],[MTD DC Capcity]]/(24*CG683)</f>
        <v>0.20005007673951081</v>
      </c>
      <c r="AS683" s="323">
        <f>Modelling_new[[#This Row],[Target E_Grid YTD
MWh]]/Modelling_new[[#This Row],[YTD DC Capcity]]/(24*CH683)</f>
        <v>0.18761168179605694</v>
      </c>
      <c r="AT683" s="5">
        <v>12.8</v>
      </c>
      <c r="AU683" s="9">
        <f>Modelling_new[[#This Row],[Comisined DC ]]/$AO$1</f>
        <v>1</v>
      </c>
      <c r="AV683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83" s="5">
        <f>AVERAGEIFS(Modelling_new[[Comisined DC ]],Modelling_new[Date],"&lt;="&amp;Modelling_new[[#This Row],[Date]],Modelling_new[[Comisined DC ]],"&gt;"&amp;0,Modelling_new[Finacial Year],Modelling_new[[#This Row],[Finacial Year]])</f>
        <v>12.800000000000066</v>
      </c>
      <c r="BD683" s="27">
        <f t="shared" si="264"/>
        <v>45682</v>
      </c>
      <c r="BE683" s="5">
        <f>MONTH(Modelling[[#This Row],[Date]])</f>
        <v>1</v>
      </c>
      <c r="BF683" s="25">
        <f>YEAR(BD683)+IF(MONTH(Modelling[[#This Row],[Date]])&gt;=4,1,0)</f>
        <v>2025</v>
      </c>
      <c r="BG683" s="3">
        <f t="shared" si="259"/>
        <v>2025</v>
      </c>
      <c r="BH683" s="3" t="s">
        <v>627</v>
      </c>
      <c r="BI683" s="3" t="s">
        <v>627</v>
      </c>
      <c r="BJ683" s="102">
        <f>DATE(Modelling_old[[#This Row],[Calendor Year]],Modelling_old[[#This Row],[Start Month]],1)</f>
        <v>45658</v>
      </c>
      <c r="BK683" s="5">
        <f t="shared" si="260"/>
        <v>31</v>
      </c>
      <c r="BL683" s="5">
        <f t="shared" si="261"/>
        <v>1</v>
      </c>
      <c r="BM683" s="4">
        <f>Modelling_old[[#This Row],[Target E_Grid daily
MWh]]+Modelling_new[[#This Row],[Target E_Grid daily
MWh]]</f>
        <v>115.7134480905068</v>
      </c>
      <c r="BN683" s="4">
        <f>Modelling_old[[#This Row],[Target E_Grid MTD
MWh]]+Modelling_new[[#This Row],[Target E_Grid MTD
MWh]]</f>
        <v>2892.8362022626693</v>
      </c>
      <c r="BO683" s="4">
        <f>Modelling_old[[#This Row],[Target E_Grid YTD
MWh]]+Modelling_new[[#This Row],[Target E_Grid YTD
MWh]]</f>
        <v>31015.74420722793</v>
      </c>
      <c r="BP683" s="4">
        <f>AVERAGE(Modelling_old[[#This Row],[Target POA Daily (KWh/m2)]],Modelling_new[[#This Row],[Target POA Daily (KWh/m2)]])</f>
        <v>6.790322580645161</v>
      </c>
      <c r="BQ683" s="4">
        <f>SUM($BP$659:BP683)</f>
        <v>169.75806451612902</v>
      </c>
      <c r="BR683" s="4">
        <f>SUM($BP$384:BP683)</f>
        <v>1718.9580645161257</v>
      </c>
      <c r="BS683" s="323">
        <f>BM683/Modelling[[#This Row],[Comisined DC ]]/BP683</f>
        <v>0.70118360819178038</v>
      </c>
      <c r="BT683" s="337">
        <f>BN683/BQ683/Modelling[[#This Row],[Comisined DC ]]</f>
        <v>0.70118360819178016</v>
      </c>
      <c r="BU683" s="337">
        <f>BO683/BR683/Modelling[[#This Row],[Comisined DC ]]</f>
        <v>0.74242955231809182</v>
      </c>
      <c r="BV683" s="323">
        <f>BM683/(24*Modelling[[#This Row],[Comisined DC ]])</f>
        <v>0.19838595366178732</v>
      </c>
      <c r="BW683" s="323">
        <f>Modelling[[#This Row],[Target E_Grid MTD
MWh]]/Modelling[[#This Row],[MTD DC Capcity]]/(24*CG683)</f>
        <v>0.19838595366178738</v>
      </c>
      <c r="BX683" s="338">
        <f>Modelling[[#This Row],[Target E_Grid YTD
MWh]]/Modelling[[#This Row],[YTD DC Capcity]]/(24*CH683)</f>
        <v>0.17725073142948292</v>
      </c>
      <c r="BY683" s="4">
        <f>Modelling_old[[#This Row],[DC Capcity]]+Modelling_new[[#This Row],[Comisined DC ]]</f>
        <v>24.303100000000001</v>
      </c>
      <c r="BZ683" s="4">
        <v>0</v>
      </c>
      <c r="CA683">
        <f>AVERAGEIFS(Modelling[[Comisined DC ]],Modelling[Date],"&lt;="&amp;Modelling[[#This Row],[Date]],Modelling[Month Year],Modelling[[#This Row],[Month Year]])</f>
        <v>24.303099999999986</v>
      </c>
      <c r="CB683">
        <f>AVERAGEIFS(Modelling[[Comisined DC ]],Modelling[Date],"&lt;="&amp;Modelling[[#This Row],[Date]],Modelling[Finacial Year],Modelling[[#This Row],[Finacial Year]])</f>
        <v>24.303100000000072</v>
      </c>
      <c r="CG683">
        <f t="shared" si="265"/>
        <v>25</v>
      </c>
      <c r="CH683">
        <f t="shared" si="262"/>
        <v>300</v>
      </c>
    </row>
    <row r="684" spans="1:86" x14ac:dyDescent="0.35">
      <c r="A684" s="27">
        <f t="shared" si="241"/>
        <v>45683</v>
      </c>
      <c r="B684" s="5">
        <f>MONTH(Modelling_old[[#This Row],[Date]])</f>
        <v>1</v>
      </c>
      <c r="C684" s="25">
        <v>2025</v>
      </c>
      <c r="D684" s="3">
        <f t="shared" si="243"/>
        <v>2025</v>
      </c>
      <c r="E684" s="3" t="s">
        <v>627</v>
      </c>
      <c r="F684" s="3" t="s">
        <v>627</v>
      </c>
      <c r="G684" s="102">
        <f>DATE(Modelling_old[[#This Row],[Calendor Year]],Modelling_old[[#This Row],[Start Month]],1)</f>
        <v>45658</v>
      </c>
      <c r="H684" s="5">
        <f t="shared" si="244"/>
        <v>31</v>
      </c>
      <c r="I684" s="5">
        <f t="shared" si="245"/>
        <v>1</v>
      </c>
      <c r="J684" s="4">
        <f>_xlfn.XLOOKUP(Modelling_old[[#This Row],[Month]],$C$1:$C$14,$N$1:$N$14)/Modelling_old[[#This Row],[Total Days]]</f>
        <v>54.258064516129032</v>
      </c>
      <c r="K684" s="4">
        <f>SUM($J$659:J684)</f>
        <v>1410.7096774193549</v>
      </c>
      <c r="L684" s="4">
        <f>SUM($J$384:J684)</f>
        <v>13779.709677419361</v>
      </c>
      <c r="M684" s="4">
        <f t="shared" si="246"/>
        <v>6.790322580645161</v>
      </c>
      <c r="N684" s="4">
        <f>SUM($M$659:M684)</f>
        <v>176.54838709677418</v>
      </c>
      <c r="O684" s="4">
        <f>SUM($M$384:M684)</f>
        <v>1725.7483870967708</v>
      </c>
      <c r="P684" s="323">
        <f t="shared" si="247"/>
        <v>0.6946387332416083</v>
      </c>
      <c r="Q684" s="337">
        <f t="shared" si="248"/>
        <v>0.6946387332416083</v>
      </c>
      <c r="R684" s="337">
        <f t="shared" si="249"/>
        <v>0.69414099846790767</v>
      </c>
      <c r="S684" s="323">
        <f t="shared" si="250"/>
        <v>0.19653421148838515</v>
      </c>
      <c r="T684" s="9">
        <f>Modelling_old[[#This Row],[Target E_Grid MTD
MWh]]/Modelling_old[[#This Row],[DC Capcity]]/(24*CG684)</f>
        <v>0.19653421148838512</v>
      </c>
      <c r="U684" s="338">
        <f>Modelling_old[[#This Row],[Target E_Grid YTD
MWh]]/Modelling_old[[#This Row],[DC Capcity]]/(24*CH684)</f>
        <v>0.16582401834492438</v>
      </c>
      <c r="V684" s="134">
        <v>11.5031</v>
      </c>
      <c r="Y684" s="27">
        <f t="shared" si="263"/>
        <v>45683</v>
      </c>
      <c r="Z684" s="5">
        <f>MONTH(Modelling_new[[#This Row],[Date]])</f>
        <v>1</v>
      </c>
      <c r="AA684" s="25">
        <f>YEAR(Y684)+IF(MONTH(Modelling_new[[#This Row],[Date]])&gt;=4,1,0)</f>
        <v>2025</v>
      </c>
      <c r="AB684" s="3">
        <f t="shared" si="251"/>
        <v>2025</v>
      </c>
      <c r="AC684" s="3" t="s">
        <v>627</v>
      </c>
      <c r="AD684" s="3" t="s">
        <v>627</v>
      </c>
      <c r="AE684" s="102">
        <f>DATE(Modelling_old[[#This Row],[Calendor Year]],Modelling_old[[#This Row],[Start Month]],1)</f>
        <v>45658</v>
      </c>
      <c r="AF684" s="5">
        <f t="shared" si="252"/>
        <v>31</v>
      </c>
      <c r="AG684" s="5">
        <f t="shared" si="253"/>
        <v>1</v>
      </c>
      <c r="AH684" s="4">
        <f>_xlfn.XLOOKUP(Modelling_new[[#This Row],[Month]],$AA$1:$AA$14,$AL$1:$AL$14)/Modelling_new[[#This Row],[Total Days]]</f>
        <v>61.45538357437777</v>
      </c>
      <c r="AI684" s="4">
        <f>SUM($AH$659:AH684)</f>
        <v>1597.8399729338212</v>
      </c>
      <c r="AJ684" s="4">
        <f>SUM($AH$384:AH684)</f>
        <v>17351.747977899078</v>
      </c>
      <c r="AK684" s="4">
        <f t="shared" si="254"/>
        <v>6.790322580645161</v>
      </c>
      <c r="AL684" s="4">
        <f>SUM($AK$659:AK684)</f>
        <v>176.54838709677418</v>
      </c>
      <c r="AM684" s="4">
        <f>SUM($AK$384:AK684)</f>
        <v>1725.7483870967708</v>
      </c>
      <c r="AN684" s="323">
        <f t="shared" si="255"/>
        <v>0.78678239221549962</v>
      </c>
      <c r="AO684" s="323">
        <f t="shared" si="256"/>
        <v>0.78678239221549917</v>
      </c>
      <c r="AP684" s="323">
        <f t="shared" si="257"/>
        <v>0.87407934916652374</v>
      </c>
      <c r="AQ684" s="323">
        <f t="shared" si="258"/>
        <v>0.22260442682978857</v>
      </c>
      <c r="AR684" s="323">
        <f>Modelling_new[[#This Row],[Target E_Grid MTD
MWh]]/Modelling_new[[#This Row],[MTD DC Capcity]]/(24*CG684)</f>
        <v>0.20005007673951081</v>
      </c>
      <c r="AS684" s="323">
        <f>Modelling_new[[#This Row],[Target E_Grid YTD
MWh]]/Modelling_new[[#This Row],[YTD DC Capcity]]/(24*CH684)</f>
        <v>0.18765300536729768</v>
      </c>
      <c r="AT684" s="5">
        <v>12.8</v>
      </c>
      <c r="AU684" s="9">
        <f>Modelling_new[[#This Row],[Comisined DC ]]/$AO$1</f>
        <v>1</v>
      </c>
      <c r="AV684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84" s="5">
        <f>AVERAGEIFS(Modelling_new[[Comisined DC ]],Modelling_new[Date],"&lt;="&amp;Modelling_new[[#This Row],[Date]],Modelling_new[[Comisined DC ]],"&gt;"&amp;0,Modelling_new[Finacial Year],Modelling_new[[#This Row],[Finacial Year]])</f>
        <v>12.800000000000066</v>
      </c>
      <c r="BD684" s="27">
        <f t="shared" si="264"/>
        <v>45683</v>
      </c>
      <c r="BE684" s="5">
        <f>MONTH(Modelling[[#This Row],[Date]])</f>
        <v>1</v>
      </c>
      <c r="BF684" s="25">
        <f>YEAR(BD684)+IF(MONTH(Modelling[[#This Row],[Date]])&gt;=4,1,0)</f>
        <v>2025</v>
      </c>
      <c r="BG684" s="3">
        <f t="shared" si="259"/>
        <v>2025</v>
      </c>
      <c r="BH684" s="3" t="s">
        <v>627</v>
      </c>
      <c r="BI684" s="3" t="s">
        <v>627</v>
      </c>
      <c r="BJ684" s="102">
        <f>DATE(Modelling_old[[#This Row],[Calendor Year]],Modelling_old[[#This Row],[Start Month]],1)</f>
        <v>45658</v>
      </c>
      <c r="BK684" s="5">
        <f t="shared" si="260"/>
        <v>31</v>
      </c>
      <c r="BL684" s="5">
        <f t="shared" si="261"/>
        <v>1</v>
      </c>
      <c r="BM684" s="4">
        <f>Modelling_old[[#This Row],[Target E_Grid daily
MWh]]+Modelling_new[[#This Row],[Target E_Grid daily
MWh]]</f>
        <v>115.7134480905068</v>
      </c>
      <c r="BN684" s="4">
        <f>Modelling_old[[#This Row],[Target E_Grid MTD
MWh]]+Modelling_new[[#This Row],[Target E_Grid MTD
MWh]]</f>
        <v>3008.5496503531758</v>
      </c>
      <c r="BO684" s="4">
        <f>Modelling_old[[#This Row],[Target E_Grid YTD
MWh]]+Modelling_new[[#This Row],[Target E_Grid YTD
MWh]]</f>
        <v>31131.457655318438</v>
      </c>
      <c r="BP684" s="4">
        <f>AVERAGE(Modelling_old[[#This Row],[Target POA Daily (KWh/m2)]],Modelling_new[[#This Row],[Target POA Daily (KWh/m2)]])</f>
        <v>6.790322580645161</v>
      </c>
      <c r="BQ684" s="4">
        <f>SUM($BP$659:BP684)</f>
        <v>176.54838709677418</v>
      </c>
      <c r="BR684" s="4">
        <f>SUM($BP$384:BP684)</f>
        <v>1725.7483870967708</v>
      </c>
      <c r="BS684" s="323">
        <f>BM684/Modelling[[#This Row],[Comisined DC ]]/BP684</f>
        <v>0.70118360819178038</v>
      </c>
      <c r="BT684" s="337">
        <f>BN684/BQ684/Modelling[[#This Row],[Comisined DC ]]</f>
        <v>0.70118360819178016</v>
      </c>
      <c r="BU684" s="337">
        <f>BO684/BR684/Modelling[[#This Row],[Comisined DC ]]</f>
        <v>0.74226726141412513</v>
      </c>
      <c r="BV684" s="323">
        <f>BM684/(24*Modelling[[#This Row],[Comisined DC ]])</f>
        <v>0.19838595366178732</v>
      </c>
      <c r="BW684" s="323">
        <f>Modelling[[#This Row],[Target E_Grid MTD
MWh]]/Modelling[[#This Row],[MTD DC Capcity]]/(24*CG684)</f>
        <v>0.19838595366178735</v>
      </c>
      <c r="BX684" s="338">
        <f>Modelling[[#This Row],[Target E_Grid YTD
MWh]]/Modelling[[#This Row],[YTD DC Capcity]]/(24*CH684)</f>
        <v>0.17732094811464008</v>
      </c>
      <c r="BY684" s="4">
        <f>Modelling_old[[#This Row],[DC Capcity]]+Modelling_new[[#This Row],[Comisined DC ]]</f>
        <v>24.303100000000001</v>
      </c>
      <c r="BZ684" s="4">
        <v>0</v>
      </c>
      <c r="CA684">
        <f>AVERAGEIFS(Modelling[[Comisined DC ]],Modelling[Date],"&lt;="&amp;Modelling[[#This Row],[Date]],Modelling[Month Year],Modelling[[#This Row],[Month Year]])</f>
        <v>24.303099999999986</v>
      </c>
      <c r="CB684">
        <f>AVERAGEIFS(Modelling[[Comisined DC ]],Modelling[Date],"&lt;="&amp;Modelling[[#This Row],[Date]],Modelling[Finacial Year],Modelling[[#This Row],[Finacial Year]])</f>
        <v>24.303100000000072</v>
      </c>
      <c r="CG684">
        <f t="shared" si="265"/>
        <v>26</v>
      </c>
      <c r="CH684">
        <f t="shared" si="262"/>
        <v>301</v>
      </c>
    </row>
    <row r="685" spans="1:86" x14ac:dyDescent="0.35">
      <c r="A685" s="27">
        <f t="shared" si="241"/>
        <v>45684</v>
      </c>
      <c r="B685" s="5">
        <f>MONTH(Modelling_old[[#This Row],[Date]])</f>
        <v>1</v>
      </c>
      <c r="C685" s="25">
        <v>2025</v>
      </c>
      <c r="D685" s="3">
        <f t="shared" si="243"/>
        <v>2025</v>
      </c>
      <c r="E685" s="3" t="s">
        <v>627</v>
      </c>
      <c r="F685" s="3" t="s">
        <v>627</v>
      </c>
      <c r="G685" s="102">
        <f>DATE(Modelling_old[[#This Row],[Calendor Year]],Modelling_old[[#This Row],[Start Month]],1)</f>
        <v>45658</v>
      </c>
      <c r="H685" s="5">
        <f t="shared" si="244"/>
        <v>31</v>
      </c>
      <c r="I685" s="5">
        <f t="shared" si="245"/>
        <v>1</v>
      </c>
      <c r="J685" s="4">
        <f>_xlfn.XLOOKUP(Modelling_old[[#This Row],[Month]],$C$1:$C$14,$N$1:$N$14)/Modelling_old[[#This Row],[Total Days]]</f>
        <v>54.258064516129032</v>
      </c>
      <c r="K685" s="4">
        <f>SUM($J$659:J685)</f>
        <v>1464.9677419354839</v>
      </c>
      <c r="L685" s="4">
        <f>SUM($J$384:J685)</f>
        <v>13833.96774193549</v>
      </c>
      <c r="M685" s="4">
        <f t="shared" si="246"/>
        <v>6.790322580645161</v>
      </c>
      <c r="N685" s="4">
        <f>SUM($M$659:M685)</f>
        <v>183.33870967741933</v>
      </c>
      <c r="O685" s="4">
        <f>SUM($M$384:M685)</f>
        <v>1732.5387096774159</v>
      </c>
      <c r="P685" s="323">
        <f t="shared" si="247"/>
        <v>0.6946387332416083</v>
      </c>
      <c r="Q685" s="337">
        <f t="shared" si="248"/>
        <v>0.6946387332416083</v>
      </c>
      <c r="R685" s="337">
        <f t="shared" si="249"/>
        <v>0.69414294923509923</v>
      </c>
      <c r="S685" s="323">
        <f t="shared" si="250"/>
        <v>0.19653421148838515</v>
      </c>
      <c r="T685" s="9">
        <f>Modelling_old[[#This Row],[Target E_Grid MTD
MWh]]/Modelling_old[[#This Row],[DC Capcity]]/(24*CG685)</f>
        <v>0.19653421148838512</v>
      </c>
      <c r="U685" s="338">
        <f>Modelling_old[[#This Row],[Target E_Grid YTD
MWh]]/Modelling_old[[#This Row],[DC Capcity]]/(24*CH685)</f>
        <v>0.16592570772619414</v>
      </c>
      <c r="V685" s="134">
        <v>11.5031</v>
      </c>
      <c r="Y685" s="27">
        <f t="shared" si="263"/>
        <v>45684</v>
      </c>
      <c r="Z685" s="5">
        <f>MONTH(Modelling_new[[#This Row],[Date]])</f>
        <v>1</v>
      </c>
      <c r="AA685" s="25">
        <f>YEAR(Y685)+IF(MONTH(Modelling_new[[#This Row],[Date]])&gt;=4,1,0)</f>
        <v>2025</v>
      </c>
      <c r="AB685" s="3">
        <f t="shared" si="251"/>
        <v>2025</v>
      </c>
      <c r="AC685" s="3" t="s">
        <v>627</v>
      </c>
      <c r="AD685" s="3" t="s">
        <v>627</v>
      </c>
      <c r="AE685" s="102">
        <f>DATE(Modelling_old[[#This Row],[Calendor Year]],Modelling_old[[#This Row],[Start Month]],1)</f>
        <v>45658</v>
      </c>
      <c r="AF685" s="5">
        <f t="shared" si="252"/>
        <v>31</v>
      </c>
      <c r="AG685" s="5">
        <f t="shared" si="253"/>
        <v>1</v>
      </c>
      <c r="AH685" s="4">
        <f>_xlfn.XLOOKUP(Modelling_new[[#This Row],[Month]],$AA$1:$AA$14,$AL$1:$AL$14)/Modelling_new[[#This Row],[Total Days]]</f>
        <v>61.45538357437777</v>
      </c>
      <c r="AI685" s="4">
        <f>SUM($AH$659:AH685)</f>
        <v>1659.2953565081989</v>
      </c>
      <c r="AJ685" s="4">
        <f>SUM($AH$384:AH685)</f>
        <v>17413.203361473457</v>
      </c>
      <c r="AK685" s="4">
        <f t="shared" si="254"/>
        <v>6.790322580645161</v>
      </c>
      <c r="AL685" s="4">
        <f>SUM($AK$659:AK685)</f>
        <v>183.33870967741933</v>
      </c>
      <c r="AM685" s="4">
        <f>SUM($AK$384:AK685)</f>
        <v>1732.5387096774159</v>
      </c>
      <c r="AN685" s="323">
        <f t="shared" si="255"/>
        <v>0.78678239221549962</v>
      </c>
      <c r="AO685" s="323">
        <f t="shared" si="256"/>
        <v>0.78678239221549917</v>
      </c>
      <c r="AP685" s="323">
        <f t="shared" si="257"/>
        <v>0.87373720702869162</v>
      </c>
      <c r="AQ685" s="323">
        <f t="shared" si="258"/>
        <v>0.22260442682978857</v>
      </c>
      <c r="AR685" s="323">
        <f>Modelling_new[[#This Row],[Target E_Grid MTD
MWh]]/Modelling_new[[#This Row],[MTD DC Capcity]]/(24*CG685)</f>
        <v>0.20005007673951078</v>
      </c>
      <c r="AS685" s="323">
        <f>Modelling_new[[#This Row],[Target E_Grid YTD
MWh]]/Modelling_new[[#This Row],[YTD DC Capcity]]/(24*CH685)</f>
        <v>0.18769405527250366</v>
      </c>
      <c r="AT685" s="5">
        <v>12.8</v>
      </c>
      <c r="AU685" s="9">
        <f>Modelling_new[[#This Row],[Comisined DC ]]/$AO$1</f>
        <v>1</v>
      </c>
      <c r="AV68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685" s="5">
        <f>AVERAGEIFS(Modelling_new[[Comisined DC ]],Modelling_new[Date],"&lt;="&amp;Modelling_new[[#This Row],[Date]],Modelling_new[[Comisined DC ]],"&gt;"&amp;0,Modelling_new[Finacial Year],Modelling_new[[#This Row],[Finacial Year]])</f>
        <v>12.800000000000068</v>
      </c>
      <c r="BD685" s="27">
        <f t="shared" si="264"/>
        <v>45684</v>
      </c>
      <c r="BE685" s="5">
        <f>MONTH(Modelling[[#This Row],[Date]])</f>
        <v>1</v>
      </c>
      <c r="BF685" s="25">
        <f>YEAR(BD685)+IF(MONTH(Modelling[[#This Row],[Date]])&gt;=4,1,0)</f>
        <v>2025</v>
      </c>
      <c r="BG685" s="3">
        <f t="shared" si="259"/>
        <v>2025</v>
      </c>
      <c r="BH685" s="3" t="s">
        <v>627</v>
      </c>
      <c r="BI685" s="3" t="s">
        <v>627</v>
      </c>
      <c r="BJ685" s="102">
        <f>DATE(Modelling_old[[#This Row],[Calendor Year]],Modelling_old[[#This Row],[Start Month]],1)</f>
        <v>45658</v>
      </c>
      <c r="BK685" s="5">
        <f t="shared" si="260"/>
        <v>31</v>
      </c>
      <c r="BL685" s="5">
        <f t="shared" si="261"/>
        <v>1</v>
      </c>
      <c r="BM685" s="4">
        <f>Modelling_old[[#This Row],[Target E_Grid daily
MWh]]+Modelling_new[[#This Row],[Target E_Grid daily
MWh]]</f>
        <v>115.7134480905068</v>
      </c>
      <c r="BN685" s="4">
        <f>Modelling_old[[#This Row],[Target E_Grid MTD
MWh]]+Modelling_new[[#This Row],[Target E_Grid MTD
MWh]]</f>
        <v>3124.2630984436828</v>
      </c>
      <c r="BO685" s="4">
        <f>Modelling_old[[#This Row],[Target E_Grid YTD
MWh]]+Modelling_new[[#This Row],[Target E_Grid YTD
MWh]]</f>
        <v>31247.171103408946</v>
      </c>
      <c r="BP685" s="4">
        <f>AVERAGE(Modelling_old[[#This Row],[Target POA Daily (KWh/m2)]],Modelling_new[[#This Row],[Target POA Daily (KWh/m2)]])</f>
        <v>6.790322580645161</v>
      </c>
      <c r="BQ685" s="4">
        <f>SUM($BP$659:BP685)</f>
        <v>183.33870967741933</v>
      </c>
      <c r="BR685" s="4">
        <f>SUM($BP$384:BP685)</f>
        <v>1732.5387096774159</v>
      </c>
      <c r="BS685" s="323">
        <f>BM685/Modelling[[#This Row],[Comisined DC ]]/BP685</f>
        <v>0.70118360819178038</v>
      </c>
      <c r="BT685" s="337">
        <f>BN685/BQ685/Modelling[[#This Row],[Comisined DC ]]</f>
        <v>0.70118360819178016</v>
      </c>
      <c r="BU685" s="337">
        <f>BO685/BR685/Modelling[[#This Row],[Comisined DC ]]</f>
        <v>0.74210624264056901</v>
      </c>
      <c r="BV685" s="323">
        <f>BM685/(24*Modelling[[#This Row],[Comisined DC ]])</f>
        <v>0.19838595366178732</v>
      </c>
      <c r="BW685" s="323">
        <f>Modelling[[#This Row],[Target E_Grid MTD
MWh]]/Modelling[[#This Row],[MTD DC Capcity]]/(24*CG685)</f>
        <v>0.19838595366178735</v>
      </c>
      <c r="BX685" s="338">
        <f>Modelling[[#This Row],[Target E_Grid YTD
MWh]]/Modelling[[#This Row],[YTD DC Capcity]]/(24*CH685)</f>
        <v>0.17739069978863725</v>
      </c>
      <c r="BY685" s="4">
        <f>Modelling_old[[#This Row],[DC Capcity]]+Modelling_new[[#This Row],[Comisined DC ]]</f>
        <v>24.303100000000001</v>
      </c>
      <c r="BZ685" s="4">
        <v>0</v>
      </c>
      <c r="CA685">
        <f>AVERAGEIFS(Modelling[[Comisined DC ]],Modelling[Date],"&lt;="&amp;Modelling[[#This Row],[Date]],Modelling[Month Year],Modelling[[#This Row],[Month Year]])</f>
        <v>24.303099999999986</v>
      </c>
      <c r="CB685">
        <f>AVERAGEIFS(Modelling[[Comisined DC ]],Modelling[Date],"&lt;="&amp;Modelling[[#This Row],[Date]],Modelling[Finacial Year],Modelling[[#This Row],[Finacial Year]])</f>
        <v>24.303100000000072</v>
      </c>
      <c r="CG685">
        <f t="shared" si="265"/>
        <v>27</v>
      </c>
      <c r="CH685">
        <f t="shared" si="262"/>
        <v>302</v>
      </c>
    </row>
    <row r="686" spans="1:86" x14ac:dyDescent="0.35">
      <c r="A686" s="27">
        <f t="shared" si="241"/>
        <v>45685</v>
      </c>
      <c r="B686" s="5">
        <f>MONTH(Modelling_old[[#This Row],[Date]])</f>
        <v>1</v>
      </c>
      <c r="C686" s="25">
        <v>2025</v>
      </c>
      <c r="D686" s="3">
        <f t="shared" si="243"/>
        <v>2025</v>
      </c>
      <c r="E686" s="3" t="s">
        <v>627</v>
      </c>
      <c r="F686" s="3" t="s">
        <v>627</v>
      </c>
      <c r="G686" s="102">
        <f>DATE(Modelling_old[[#This Row],[Calendor Year]],Modelling_old[[#This Row],[Start Month]],1)</f>
        <v>45658</v>
      </c>
      <c r="H686" s="5">
        <f t="shared" si="244"/>
        <v>31</v>
      </c>
      <c r="I686" s="5">
        <f t="shared" si="245"/>
        <v>1</v>
      </c>
      <c r="J686" s="4">
        <f>_xlfn.XLOOKUP(Modelling_old[[#This Row],[Month]],$C$1:$C$14,$N$1:$N$14)/Modelling_old[[#This Row],[Total Days]]</f>
        <v>54.258064516129032</v>
      </c>
      <c r="K686" s="4">
        <f>SUM($J$659:J686)</f>
        <v>1519.2258064516129</v>
      </c>
      <c r="L686" s="4">
        <f>SUM($J$384:J686)</f>
        <v>13888.225806451619</v>
      </c>
      <c r="M686" s="4">
        <f t="shared" si="246"/>
        <v>6.790322580645161</v>
      </c>
      <c r="N686" s="4">
        <f>SUM($M$659:M686)</f>
        <v>190.12903225806448</v>
      </c>
      <c r="O686" s="4">
        <f>SUM($M$384:M686)</f>
        <v>1739.329032258061</v>
      </c>
      <c r="P686" s="323">
        <f t="shared" si="247"/>
        <v>0.6946387332416083</v>
      </c>
      <c r="Q686" s="337">
        <f t="shared" si="248"/>
        <v>0.69463873324160841</v>
      </c>
      <c r="R686" s="337">
        <f t="shared" si="249"/>
        <v>0.69414488477074099</v>
      </c>
      <c r="S686" s="323">
        <f t="shared" si="250"/>
        <v>0.19653421148838515</v>
      </c>
      <c r="T686" s="9">
        <f>Modelling_old[[#This Row],[Target E_Grid MTD
MWh]]/Modelling_old[[#This Row],[DC Capcity]]/(24*CG686)</f>
        <v>0.19653421148838512</v>
      </c>
      <c r="U686" s="338">
        <f>Modelling_old[[#This Row],[Target E_Grid YTD
MWh]]/Modelling_old[[#This Row],[DC Capcity]]/(24*CH686)</f>
        <v>0.16602672589042577</v>
      </c>
      <c r="V686" s="134">
        <v>11.5031</v>
      </c>
      <c r="Y686" s="27">
        <f t="shared" si="263"/>
        <v>45685</v>
      </c>
      <c r="Z686" s="5">
        <f>MONTH(Modelling_new[[#This Row],[Date]])</f>
        <v>1</v>
      </c>
      <c r="AA686" s="25">
        <f>YEAR(Y686)+IF(MONTH(Modelling_new[[#This Row],[Date]])&gt;=4,1,0)</f>
        <v>2025</v>
      </c>
      <c r="AB686" s="3">
        <f t="shared" si="251"/>
        <v>2025</v>
      </c>
      <c r="AC686" s="3" t="s">
        <v>627</v>
      </c>
      <c r="AD686" s="3" t="s">
        <v>627</v>
      </c>
      <c r="AE686" s="102">
        <f>DATE(Modelling_old[[#This Row],[Calendor Year]],Modelling_old[[#This Row],[Start Month]],1)</f>
        <v>45658</v>
      </c>
      <c r="AF686" s="5">
        <f t="shared" si="252"/>
        <v>31</v>
      </c>
      <c r="AG686" s="5">
        <f t="shared" si="253"/>
        <v>1</v>
      </c>
      <c r="AH686" s="4">
        <f>_xlfn.XLOOKUP(Modelling_new[[#This Row],[Month]],$AA$1:$AA$14,$AL$1:$AL$14)/Modelling_new[[#This Row],[Total Days]]</f>
        <v>61.45538357437777</v>
      </c>
      <c r="AI686" s="4">
        <f>SUM($AH$659:AH686)</f>
        <v>1720.7507400825766</v>
      </c>
      <c r="AJ686" s="4">
        <f>SUM($AH$384:AH686)</f>
        <v>17474.658745047836</v>
      </c>
      <c r="AK686" s="4">
        <f t="shared" si="254"/>
        <v>6.790322580645161</v>
      </c>
      <c r="AL686" s="4">
        <f>SUM($AK$659:AK686)</f>
        <v>190.12903225806448</v>
      </c>
      <c r="AM686" s="4">
        <f>SUM($AK$384:AK686)</f>
        <v>1739.329032258061</v>
      </c>
      <c r="AN686" s="323">
        <f t="shared" si="255"/>
        <v>0.78678239221549962</v>
      </c>
      <c r="AO686" s="323">
        <f t="shared" si="256"/>
        <v>0.78678239221549939</v>
      </c>
      <c r="AP686" s="323">
        <f t="shared" si="257"/>
        <v>0.87339773632960527</v>
      </c>
      <c r="AQ686" s="323">
        <f t="shared" si="258"/>
        <v>0.22260442682978857</v>
      </c>
      <c r="AR686" s="323">
        <f>Modelling_new[[#This Row],[Target E_Grid MTD
MWh]]/Modelling_new[[#This Row],[MTD DC Capcity]]/(24*CG686)</f>
        <v>0.20005007673951075</v>
      </c>
      <c r="AS686" s="323">
        <f>Modelling_new[[#This Row],[Target E_Grid YTD
MWh]]/Modelling_new[[#This Row],[YTD DC Capcity]]/(24*CH686)</f>
        <v>0.18773483422123968</v>
      </c>
      <c r="AT686" s="5">
        <v>12.8</v>
      </c>
      <c r="AU686" s="9">
        <f>Modelling_new[[#This Row],[Comisined DC ]]/$AO$1</f>
        <v>1</v>
      </c>
      <c r="AV686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686" s="5">
        <f>AVERAGEIFS(Modelling_new[[Comisined DC ]],Modelling_new[Date],"&lt;="&amp;Modelling_new[[#This Row],[Date]],Modelling_new[[Comisined DC ]],"&gt;"&amp;0,Modelling_new[Finacial Year],Modelling_new[[#This Row],[Finacial Year]])</f>
        <v>12.800000000000068</v>
      </c>
      <c r="BD686" s="27">
        <f t="shared" si="264"/>
        <v>45685</v>
      </c>
      <c r="BE686" s="5">
        <f>MONTH(Modelling[[#This Row],[Date]])</f>
        <v>1</v>
      </c>
      <c r="BF686" s="25">
        <f>YEAR(BD686)+IF(MONTH(Modelling[[#This Row],[Date]])&gt;=4,1,0)</f>
        <v>2025</v>
      </c>
      <c r="BG686" s="3">
        <f t="shared" si="259"/>
        <v>2025</v>
      </c>
      <c r="BH686" s="3" t="s">
        <v>627</v>
      </c>
      <c r="BI686" s="3" t="s">
        <v>627</v>
      </c>
      <c r="BJ686" s="102">
        <f>DATE(Modelling_old[[#This Row],[Calendor Year]],Modelling_old[[#This Row],[Start Month]],1)</f>
        <v>45658</v>
      </c>
      <c r="BK686" s="5">
        <f t="shared" si="260"/>
        <v>31</v>
      </c>
      <c r="BL686" s="5">
        <f t="shared" si="261"/>
        <v>1</v>
      </c>
      <c r="BM686" s="4">
        <f>Modelling_old[[#This Row],[Target E_Grid daily
MWh]]+Modelling_new[[#This Row],[Target E_Grid daily
MWh]]</f>
        <v>115.7134480905068</v>
      </c>
      <c r="BN686" s="4">
        <f>Modelling_old[[#This Row],[Target E_Grid MTD
MWh]]+Modelling_new[[#This Row],[Target E_Grid MTD
MWh]]</f>
        <v>3239.9765465341898</v>
      </c>
      <c r="BO686" s="4">
        <f>Modelling_old[[#This Row],[Target E_Grid YTD
MWh]]+Modelling_new[[#This Row],[Target E_Grid YTD
MWh]]</f>
        <v>31362.884551499454</v>
      </c>
      <c r="BP686" s="4">
        <f>AVERAGE(Modelling_old[[#This Row],[Target POA Daily (KWh/m2)]],Modelling_new[[#This Row],[Target POA Daily (KWh/m2)]])</f>
        <v>6.790322580645161</v>
      </c>
      <c r="BQ686" s="4">
        <f>SUM($BP$659:BP686)</f>
        <v>190.12903225806448</v>
      </c>
      <c r="BR686" s="4">
        <f>SUM($BP$384:BP686)</f>
        <v>1739.329032258061</v>
      </c>
      <c r="BS686" s="323">
        <f>BM686/Modelling[[#This Row],[Comisined DC ]]/BP686</f>
        <v>0.70118360819178038</v>
      </c>
      <c r="BT686" s="337">
        <f>BN686/BQ686/Modelling[[#This Row],[Comisined DC ]]</f>
        <v>0.70118360819178038</v>
      </c>
      <c r="BU686" s="337">
        <f>BO686/BR686/Modelling[[#This Row],[Comisined DC ]]</f>
        <v>0.74194648109827099</v>
      </c>
      <c r="BV686" s="323">
        <f>BM686/(24*Modelling[[#This Row],[Comisined DC ]])</f>
        <v>0.19838595366178732</v>
      </c>
      <c r="BW686" s="323">
        <f>Modelling[[#This Row],[Target E_Grid MTD
MWh]]/Modelling[[#This Row],[MTD DC Capcity]]/(24*CG686)</f>
        <v>0.19838595366178741</v>
      </c>
      <c r="BX686" s="338">
        <f>Modelling[[#This Row],[Target E_Grid YTD
MWh]]/Modelling[[#This Row],[YTD DC Capcity]]/(24*CH686)</f>
        <v>0.17745999105554536</v>
      </c>
      <c r="BY686" s="4">
        <f>Modelling_old[[#This Row],[DC Capcity]]+Modelling_new[[#This Row],[Comisined DC ]]</f>
        <v>24.303100000000001</v>
      </c>
      <c r="BZ686" s="4">
        <v>0</v>
      </c>
      <c r="CA686">
        <f>AVERAGEIFS(Modelling[[Comisined DC ]],Modelling[Date],"&lt;="&amp;Modelling[[#This Row],[Date]],Modelling[Month Year],Modelling[[#This Row],[Month Year]])</f>
        <v>24.303099999999983</v>
      </c>
      <c r="CB686">
        <f>AVERAGEIFS(Modelling[[Comisined DC ]],Modelling[Date],"&lt;="&amp;Modelling[[#This Row],[Date]],Modelling[Finacial Year],Modelling[[#This Row],[Finacial Year]])</f>
        <v>24.303100000000072</v>
      </c>
      <c r="CG686">
        <f t="shared" si="265"/>
        <v>28</v>
      </c>
      <c r="CH686">
        <f t="shared" si="262"/>
        <v>303</v>
      </c>
    </row>
    <row r="687" spans="1:86" x14ac:dyDescent="0.35">
      <c r="A687" s="27">
        <f t="shared" si="241"/>
        <v>45686</v>
      </c>
      <c r="B687" s="5">
        <f>MONTH(Modelling_old[[#This Row],[Date]])</f>
        <v>1</v>
      </c>
      <c r="C687" s="25">
        <v>2025</v>
      </c>
      <c r="D687" s="3">
        <f t="shared" si="243"/>
        <v>2025</v>
      </c>
      <c r="E687" s="3" t="s">
        <v>627</v>
      </c>
      <c r="F687" s="3" t="s">
        <v>627</v>
      </c>
      <c r="G687" s="102">
        <f>DATE(Modelling_old[[#This Row],[Calendor Year]],Modelling_old[[#This Row],[Start Month]],1)</f>
        <v>45658</v>
      </c>
      <c r="H687" s="5">
        <f t="shared" si="244"/>
        <v>31</v>
      </c>
      <c r="I687" s="5">
        <f t="shared" si="245"/>
        <v>1</v>
      </c>
      <c r="J687" s="4">
        <f>_xlfn.XLOOKUP(Modelling_old[[#This Row],[Month]],$C$1:$C$14,$N$1:$N$14)/Modelling_old[[#This Row],[Total Days]]</f>
        <v>54.258064516129032</v>
      </c>
      <c r="K687" s="4">
        <f>SUM($J$659:J687)</f>
        <v>1573.483870967742</v>
      </c>
      <c r="L687" s="4">
        <f>SUM($J$384:J687)</f>
        <v>13942.483870967748</v>
      </c>
      <c r="M687" s="4">
        <f t="shared" si="246"/>
        <v>6.790322580645161</v>
      </c>
      <c r="N687" s="4">
        <f>SUM($M$659:M687)</f>
        <v>196.91935483870964</v>
      </c>
      <c r="O687" s="4">
        <f>SUM($M$384:M687)</f>
        <v>1746.1193548387062</v>
      </c>
      <c r="P687" s="323">
        <f t="shared" si="247"/>
        <v>0.6946387332416083</v>
      </c>
      <c r="Q687" s="337">
        <f t="shared" si="248"/>
        <v>0.69463873324160841</v>
      </c>
      <c r="R687" s="337">
        <f t="shared" si="249"/>
        <v>0.69414680525253047</v>
      </c>
      <c r="S687" s="323">
        <f t="shared" si="250"/>
        <v>0.19653421148838515</v>
      </c>
      <c r="T687" s="9">
        <f>Modelling_old[[#This Row],[Target E_Grid MTD
MWh]]/Modelling_old[[#This Row],[DC Capcity]]/(24*CG687)</f>
        <v>0.19653421148838512</v>
      </c>
      <c r="U687" s="338">
        <f>Modelling_old[[#This Row],[Target E_Grid YTD
MWh]]/Modelling_old[[#This Row],[DC Capcity]]/(24*CH687)</f>
        <v>0.16612707946147171</v>
      </c>
      <c r="V687" s="134">
        <v>11.5031</v>
      </c>
      <c r="Y687" s="27">
        <f t="shared" si="263"/>
        <v>45686</v>
      </c>
      <c r="Z687" s="5">
        <f>MONTH(Modelling_new[[#This Row],[Date]])</f>
        <v>1</v>
      </c>
      <c r="AA687" s="25">
        <f>YEAR(Y687)+IF(MONTH(Modelling_new[[#This Row],[Date]])&gt;=4,1,0)</f>
        <v>2025</v>
      </c>
      <c r="AB687" s="3">
        <f t="shared" si="251"/>
        <v>2025</v>
      </c>
      <c r="AC687" s="3" t="s">
        <v>627</v>
      </c>
      <c r="AD687" s="3" t="s">
        <v>627</v>
      </c>
      <c r="AE687" s="102">
        <f>DATE(Modelling_old[[#This Row],[Calendor Year]],Modelling_old[[#This Row],[Start Month]],1)</f>
        <v>45658</v>
      </c>
      <c r="AF687" s="5">
        <f t="shared" si="252"/>
        <v>31</v>
      </c>
      <c r="AG687" s="5">
        <f t="shared" si="253"/>
        <v>1</v>
      </c>
      <c r="AH687" s="4">
        <f>_xlfn.XLOOKUP(Modelling_new[[#This Row],[Month]],$AA$1:$AA$14,$AL$1:$AL$14)/Modelling_new[[#This Row],[Total Days]]</f>
        <v>61.45538357437777</v>
      </c>
      <c r="AI687" s="4">
        <f>SUM($AH$659:AH687)</f>
        <v>1782.2061236569543</v>
      </c>
      <c r="AJ687" s="4">
        <f>SUM($AH$384:AH687)</f>
        <v>17536.114128622216</v>
      </c>
      <c r="AK687" s="4">
        <f t="shared" si="254"/>
        <v>6.790322580645161</v>
      </c>
      <c r="AL687" s="4">
        <f>SUM($AK$659:AK687)</f>
        <v>196.91935483870964</v>
      </c>
      <c r="AM687" s="4">
        <f>SUM($AK$384:AK687)</f>
        <v>1746.1193548387062</v>
      </c>
      <c r="AN687" s="323">
        <f t="shared" si="255"/>
        <v>0.78678239221549962</v>
      </c>
      <c r="AO687" s="323">
        <f t="shared" si="256"/>
        <v>0.78678239221549939</v>
      </c>
      <c r="AP687" s="323">
        <f t="shared" si="257"/>
        <v>0.87306090590312946</v>
      </c>
      <c r="AQ687" s="323">
        <f t="shared" si="258"/>
        <v>0.22260442682978857</v>
      </c>
      <c r="AR687" s="323">
        <f>Modelling_new[[#This Row],[Target E_Grid MTD
MWh]]/Modelling_new[[#This Row],[MTD DC Capcity]]/(24*CG687)</f>
        <v>0.20005007673951075</v>
      </c>
      <c r="AS687" s="323">
        <f>Modelling_new[[#This Row],[Target E_Grid YTD
MWh]]/Modelling_new[[#This Row],[YTD DC Capcity]]/(24*CH687)</f>
        <v>0.18777534488741821</v>
      </c>
      <c r="AT687" s="5">
        <v>12.8</v>
      </c>
      <c r="AU687" s="9">
        <f>Modelling_new[[#This Row],[Comisined DC ]]/$AO$1</f>
        <v>1</v>
      </c>
      <c r="AV687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687" s="5">
        <f>AVERAGEIFS(Modelling_new[[Comisined DC ]],Modelling_new[Date],"&lt;="&amp;Modelling_new[[#This Row],[Date]],Modelling_new[[Comisined DC ]],"&gt;"&amp;0,Modelling_new[Finacial Year],Modelling_new[[#This Row],[Finacial Year]])</f>
        <v>12.800000000000068</v>
      </c>
      <c r="BD687" s="27">
        <f t="shared" si="264"/>
        <v>45686</v>
      </c>
      <c r="BE687" s="5">
        <f>MONTH(Modelling[[#This Row],[Date]])</f>
        <v>1</v>
      </c>
      <c r="BF687" s="25">
        <f>YEAR(BD687)+IF(MONTH(Modelling[[#This Row],[Date]])&gt;=4,1,0)</f>
        <v>2025</v>
      </c>
      <c r="BG687" s="3">
        <f t="shared" si="259"/>
        <v>2025</v>
      </c>
      <c r="BH687" s="3" t="s">
        <v>627</v>
      </c>
      <c r="BI687" s="3" t="s">
        <v>627</v>
      </c>
      <c r="BJ687" s="102">
        <f>DATE(Modelling_old[[#This Row],[Calendor Year]],Modelling_old[[#This Row],[Start Month]],1)</f>
        <v>45658</v>
      </c>
      <c r="BK687" s="5">
        <f t="shared" si="260"/>
        <v>31</v>
      </c>
      <c r="BL687" s="5">
        <f t="shared" si="261"/>
        <v>1</v>
      </c>
      <c r="BM687" s="4">
        <f>Modelling_old[[#This Row],[Target E_Grid daily
MWh]]+Modelling_new[[#This Row],[Target E_Grid daily
MWh]]</f>
        <v>115.7134480905068</v>
      </c>
      <c r="BN687" s="4">
        <f>Modelling_old[[#This Row],[Target E_Grid MTD
MWh]]+Modelling_new[[#This Row],[Target E_Grid MTD
MWh]]</f>
        <v>3355.6899946246963</v>
      </c>
      <c r="BO687" s="4">
        <f>Modelling_old[[#This Row],[Target E_Grid YTD
MWh]]+Modelling_new[[#This Row],[Target E_Grid YTD
MWh]]</f>
        <v>31478.597999589962</v>
      </c>
      <c r="BP687" s="4">
        <f>AVERAGE(Modelling_old[[#This Row],[Target POA Daily (KWh/m2)]],Modelling_new[[#This Row],[Target POA Daily (KWh/m2)]])</f>
        <v>6.790322580645161</v>
      </c>
      <c r="BQ687" s="4">
        <f>SUM($BP$659:BP687)</f>
        <v>196.91935483870964</v>
      </c>
      <c r="BR687" s="4">
        <f>SUM($BP$384:BP687)</f>
        <v>1746.1193548387062</v>
      </c>
      <c r="BS687" s="323">
        <f>BM687/Modelling[[#This Row],[Comisined DC ]]/BP687</f>
        <v>0.70118360819178038</v>
      </c>
      <c r="BT687" s="337">
        <f>BN687/BQ687/Modelling[[#This Row],[Comisined DC ]]</f>
        <v>0.70118360819178038</v>
      </c>
      <c r="BU687" s="337">
        <f>BO687/BR687/Modelling[[#This Row],[Comisined DC ]]</f>
        <v>0.74178796211983944</v>
      </c>
      <c r="BV687" s="323">
        <f>BM687/(24*Modelling[[#This Row],[Comisined DC ]])</f>
        <v>0.19838595366178732</v>
      </c>
      <c r="BW687" s="323">
        <f>Modelling[[#This Row],[Target E_Grid MTD
MWh]]/Modelling[[#This Row],[MTD DC Capcity]]/(24*CG687)</f>
        <v>0.19838595366178738</v>
      </c>
      <c r="BX687" s="338">
        <f>Modelling[[#This Row],[Target E_Grid YTD
MWh]]/Modelling[[#This Row],[YTD DC Capcity]]/(24*CH687)</f>
        <v>0.17752882645885537</v>
      </c>
      <c r="BY687" s="4">
        <f>Modelling_old[[#This Row],[DC Capcity]]+Modelling_new[[#This Row],[Comisined DC ]]</f>
        <v>24.303100000000001</v>
      </c>
      <c r="BZ687" s="4">
        <v>0</v>
      </c>
      <c r="CA687">
        <f>AVERAGEIFS(Modelling[[Comisined DC ]],Modelling[Date],"&lt;="&amp;Modelling[[#This Row],[Date]],Modelling[Month Year],Modelling[[#This Row],[Month Year]])</f>
        <v>24.303099999999983</v>
      </c>
      <c r="CB687">
        <f>AVERAGEIFS(Modelling[[Comisined DC ]],Modelling[Date],"&lt;="&amp;Modelling[[#This Row],[Date]],Modelling[Finacial Year],Modelling[[#This Row],[Finacial Year]])</f>
        <v>24.303100000000072</v>
      </c>
      <c r="CG687">
        <f t="shared" si="265"/>
        <v>29</v>
      </c>
      <c r="CH687">
        <f t="shared" si="262"/>
        <v>304</v>
      </c>
    </row>
    <row r="688" spans="1:86" x14ac:dyDescent="0.35">
      <c r="A688" s="27">
        <f t="shared" si="241"/>
        <v>45687</v>
      </c>
      <c r="B688" s="5">
        <f>MONTH(Modelling_old[[#This Row],[Date]])</f>
        <v>1</v>
      </c>
      <c r="C688" s="25">
        <v>2025</v>
      </c>
      <c r="D688" s="3">
        <f t="shared" si="243"/>
        <v>2025</v>
      </c>
      <c r="E688" s="3" t="s">
        <v>627</v>
      </c>
      <c r="F688" s="3" t="s">
        <v>627</v>
      </c>
      <c r="G688" s="102">
        <f>DATE(Modelling_old[[#This Row],[Calendor Year]],Modelling_old[[#This Row],[Start Month]],1)</f>
        <v>45658</v>
      </c>
      <c r="H688" s="5">
        <f t="shared" si="244"/>
        <v>31</v>
      </c>
      <c r="I688" s="5">
        <f t="shared" si="245"/>
        <v>1</v>
      </c>
      <c r="J688" s="4">
        <f>_xlfn.XLOOKUP(Modelling_old[[#This Row],[Month]],$C$1:$C$14,$N$1:$N$14)/Modelling_old[[#This Row],[Total Days]]</f>
        <v>54.258064516129032</v>
      </c>
      <c r="K688" s="4">
        <f>SUM($J$659:J688)</f>
        <v>1627.741935483871</v>
      </c>
      <c r="L688" s="4">
        <f>SUM($J$384:J688)</f>
        <v>13996.741935483877</v>
      </c>
      <c r="M688" s="4">
        <f t="shared" si="246"/>
        <v>6.790322580645161</v>
      </c>
      <c r="N688" s="4">
        <f>SUM($M$659:M688)</f>
        <v>203.70967741935479</v>
      </c>
      <c r="O688" s="4">
        <f>SUM($M$384:M688)</f>
        <v>1752.9096774193513</v>
      </c>
      <c r="P688" s="323">
        <f t="shared" si="247"/>
        <v>0.6946387332416083</v>
      </c>
      <c r="Q688" s="337">
        <f t="shared" si="248"/>
        <v>0.69463873324160841</v>
      </c>
      <c r="R688" s="337">
        <f t="shared" si="249"/>
        <v>0.69414871085541197</v>
      </c>
      <c r="S688" s="323">
        <f t="shared" si="250"/>
        <v>0.19653421148838515</v>
      </c>
      <c r="T688" s="9">
        <f>Modelling_old[[#This Row],[Target E_Grid MTD
MWh]]/Modelling_old[[#This Row],[DC Capcity]]/(24*CG688)</f>
        <v>0.19653421148838512</v>
      </c>
      <c r="U688" s="338">
        <f>Modelling_old[[#This Row],[Target E_Grid YTD
MWh]]/Modelling_old[[#This Row],[DC Capcity]]/(24*CH688)</f>
        <v>0.16622677497631402</v>
      </c>
      <c r="V688" s="134">
        <v>11.5031</v>
      </c>
      <c r="Y688" s="27">
        <f t="shared" si="263"/>
        <v>45687</v>
      </c>
      <c r="Z688" s="5">
        <f>MONTH(Modelling_new[[#This Row],[Date]])</f>
        <v>1</v>
      </c>
      <c r="AA688" s="25">
        <f>YEAR(Y688)+IF(MONTH(Modelling_new[[#This Row],[Date]])&gt;=4,1,0)</f>
        <v>2025</v>
      </c>
      <c r="AB688" s="3">
        <f t="shared" si="251"/>
        <v>2025</v>
      </c>
      <c r="AC688" s="3" t="s">
        <v>627</v>
      </c>
      <c r="AD688" s="3" t="s">
        <v>627</v>
      </c>
      <c r="AE688" s="102">
        <f>DATE(Modelling_old[[#This Row],[Calendor Year]],Modelling_old[[#This Row],[Start Month]],1)</f>
        <v>45658</v>
      </c>
      <c r="AF688" s="5">
        <f t="shared" si="252"/>
        <v>31</v>
      </c>
      <c r="AG688" s="5">
        <f t="shared" si="253"/>
        <v>1</v>
      </c>
      <c r="AH688" s="4">
        <f>_xlfn.XLOOKUP(Modelling_new[[#This Row],[Month]],$AA$1:$AA$14,$AL$1:$AL$14)/Modelling_new[[#This Row],[Total Days]]</f>
        <v>61.45538357437777</v>
      </c>
      <c r="AI688" s="4">
        <f>SUM($AH$659:AH688)</f>
        <v>1843.6615072313321</v>
      </c>
      <c r="AJ688" s="4">
        <f>SUM($AH$384:AH688)</f>
        <v>17597.569512196595</v>
      </c>
      <c r="AK688" s="4">
        <f t="shared" si="254"/>
        <v>6.790322580645161</v>
      </c>
      <c r="AL688" s="4">
        <f>SUM($AK$659:AK688)</f>
        <v>203.70967741935479</v>
      </c>
      <c r="AM688" s="4">
        <f>SUM($AK$384:AK688)</f>
        <v>1752.9096774193513</v>
      </c>
      <c r="AN688" s="323">
        <f t="shared" si="255"/>
        <v>0.78678239221549962</v>
      </c>
      <c r="AO688" s="323">
        <f t="shared" si="256"/>
        <v>0.78678239221549939</v>
      </c>
      <c r="AP688" s="323">
        <f t="shared" si="257"/>
        <v>0.87272668506604678</v>
      </c>
      <c r="AQ688" s="323">
        <f t="shared" si="258"/>
        <v>0.22260442682978857</v>
      </c>
      <c r="AR688" s="323">
        <f>Modelling_new[[#This Row],[Target E_Grid MTD
MWh]]/Modelling_new[[#This Row],[MTD DC Capcity]]/(24*CG688)</f>
        <v>0.20005007673951075</v>
      </c>
      <c r="AS688" s="323">
        <f>Modelling_new[[#This Row],[Target E_Grid YTD
MWh]]/Modelling_new[[#This Row],[YTD DC Capcity]]/(24*CH688)</f>
        <v>0.18781558990988412</v>
      </c>
      <c r="AT688" s="5">
        <v>12.8</v>
      </c>
      <c r="AU688" s="9">
        <f>Modelling_new[[#This Row],[Comisined DC ]]/$AO$1</f>
        <v>1</v>
      </c>
      <c r="AV688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688" s="5">
        <f>AVERAGEIFS(Modelling_new[[Comisined DC ]],Modelling_new[Date],"&lt;="&amp;Modelling_new[[#This Row],[Date]],Modelling_new[[Comisined DC ]],"&gt;"&amp;0,Modelling_new[Finacial Year],Modelling_new[[#This Row],[Finacial Year]])</f>
        <v>12.800000000000068</v>
      </c>
      <c r="BD688" s="27">
        <f t="shared" si="264"/>
        <v>45687</v>
      </c>
      <c r="BE688" s="5">
        <f>MONTH(Modelling[[#This Row],[Date]])</f>
        <v>1</v>
      </c>
      <c r="BF688" s="25">
        <f>YEAR(BD688)+IF(MONTH(Modelling[[#This Row],[Date]])&gt;=4,1,0)</f>
        <v>2025</v>
      </c>
      <c r="BG688" s="3">
        <f t="shared" si="259"/>
        <v>2025</v>
      </c>
      <c r="BH688" s="3" t="s">
        <v>627</v>
      </c>
      <c r="BI688" s="3" t="s">
        <v>627</v>
      </c>
      <c r="BJ688" s="102">
        <f>DATE(Modelling_old[[#This Row],[Calendor Year]],Modelling_old[[#This Row],[Start Month]],1)</f>
        <v>45658</v>
      </c>
      <c r="BK688" s="5">
        <f t="shared" si="260"/>
        <v>31</v>
      </c>
      <c r="BL688" s="5">
        <f t="shared" si="261"/>
        <v>1</v>
      </c>
      <c r="BM688" s="4">
        <f>Modelling_old[[#This Row],[Target E_Grid daily
MWh]]+Modelling_new[[#This Row],[Target E_Grid daily
MWh]]</f>
        <v>115.7134480905068</v>
      </c>
      <c r="BN688" s="4">
        <f>Modelling_old[[#This Row],[Target E_Grid MTD
MWh]]+Modelling_new[[#This Row],[Target E_Grid MTD
MWh]]</f>
        <v>3471.4034427152028</v>
      </c>
      <c r="BO688" s="4">
        <f>Modelling_old[[#This Row],[Target E_Grid YTD
MWh]]+Modelling_new[[#This Row],[Target E_Grid YTD
MWh]]</f>
        <v>31594.311447680469</v>
      </c>
      <c r="BP688" s="4">
        <f>AVERAGE(Modelling_old[[#This Row],[Target POA Daily (KWh/m2)]],Modelling_new[[#This Row],[Target POA Daily (KWh/m2)]])</f>
        <v>6.790322580645161</v>
      </c>
      <c r="BQ688" s="4">
        <f>SUM($BP$659:BP688)</f>
        <v>203.70967741935479</v>
      </c>
      <c r="BR688" s="4">
        <f>SUM($BP$384:BP688)</f>
        <v>1752.9096774193513</v>
      </c>
      <c r="BS688" s="323">
        <f>BM688/Modelling[[#This Row],[Comisined DC ]]/BP688</f>
        <v>0.70118360819178038</v>
      </c>
      <c r="BT688" s="337">
        <f>BN688/BQ688/Modelling[[#This Row],[Comisined DC ]]</f>
        <v>0.70118360819178016</v>
      </c>
      <c r="BU688" s="337">
        <f>BO688/BR688/Modelling[[#This Row],[Comisined DC ]]</f>
        <v>0.74163067126515259</v>
      </c>
      <c r="BV688" s="323">
        <f>BM688/(24*Modelling[[#This Row],[Comisined DC ]])</f>
        <v>0.19838595366178732</v>
      </c>
      <c r="BW688" s="323">
        <f>Modelling[[#This Row],[Target E_Grid MTD
MWh]]/Modelling[[#This Row],[MTD DC Capcity]]/(24*CG688)</f>
        <v>0.19838595366178741</v>
      </c>
      <c r="BX688" s="338">
        <f>Modelling[[#This Row],[Target E_Grid YTD
MWh]]/Modelling[[#This Row],[YTD DC Capcity]]/(24*CH688)</f>
        <v>0.17759721048247154</v>
      </c>
      <c r="BY688" s="4">
        <f>Modelling_old[[#This Row],[DC Capcity]]+Modelling_new[[#This Row],[Comisined DC ]]</f>
        <v>24.303100000000001</v>
      </c>
      <c r="BZ688" s="4">
        <v>0</v>
      </c>
      <c r="CA688">
        <f>AVERAGEIFS(Modelling[[Comisined DC ]],Modelling[Date],"&lt;="&amp;Modelling[[#This Row],[Date]],Modelling[Month Year],Modelling[[#This Row],[Month Year]])</f>
        <v>24.303099999999983</v>
      </c>
      <c r="CB688">
        <f>AVERAGEIFS(Modelling[[Comisined DC ]],Modelling[Date],"&lt;="&amp;Modelling[[#This Row],[Date]],Modelling[Finacial Year],Modelling[[#This Row],[Finacial Year]])</f>
        <v>24.303100000000072</v>
      </c>
      <c r="CG688">
        <f t="shared" si="265"/>
        <v>30</v>
      </c>
      <c r="CH688">
        <f t="shared" si="262"/>
        <v>305</v>
      </c>
    </row>
    <row r="689" spans="1:86" x14ac:dyDescent="0.35">
      <c r="A689" s="27">
        <f t="shared" si="241"/>
        <v>45688</v>
      </c>
      <c r="B689" s="5">
        <f>MONTH(Modelling_old[[#This Row],[Date]])</f>
        <v>1</v>
      </c>
      <c r="C689" s="25">
        <v>2025</v>
      </c>
      <c r="D689" s="3">
        <f t="shared" si="243"/>
        <v>2025</v>
      </c>
      <c r="E689" s="3" t="s">
        <v>627</v>
      </c>
      <c r="F689" s="3" t="s">
        <v>627</v>
      </c>
      <c r="G689" s="102">
        <f>DATE(Modelling_old[[#This Row],[Calendor Year]],Modelling_old[[#This Row],[Start Month]],1)</f>
        <v>45658</v>
      </c>
      <c r="H689" s="5">
        <f t="shared" si="244"/>
        <v>31</v>
      </c>
      <c r="I689" s="5">
        <f t="shared" si="245"/>
        <v>1</v>
      </c>
      <c r="J689" s="4">
        <f>_xlfn.XLOOKUP(Modelling_old[[#This Row],[Month]],$C$1:$C$14,$N$1:$N$14)/Modelling_old[[#This Row],[Total Days]]</f>
        <v>54.258064516129032</v>
      </c>
      <c r="K689" s="4">
        <f>SUM($J$659:J689)</f>
        <v>1682</v>
      </c>
      <c r="L689" s="4">
        <f>SUM($J$384:J689)</f>
        <v>14051.000000000005</v>
      </c>
      <c r="M689" s="4">
        <f t="shared" si="246"/>
        <v>6.790322580645161</v>
      </c>
      <c r="N689" s="4">
        <f>SUM($M$659:M689)</f>
        <v>210.49999999999994</v>
      </c>
      <c r="O689" s="4">
        <f>SUM($M$384:M689)</f>
        <v>1759.6999999999964</v>
      </c>
      <c r="P689" s="323">
        <f t="shared" si="247"/>
        <v>0.6946387332416083</v>
      </c>
      <c r="Q689" s="337">
        <f t="shared" si="248"/>
        <v>0.69463873324160841</v>
      </c>
      <c r="R689" s="337">
        <f t="shared" si="249"/>
        <v>0.69415060175162946</v>
      </c>
      <c r="S689" s="323">
        <f t="shared" si="250"/>
        <v>0.19653421148838515</v>
      </c>
      <c r="T689" s="9">
        <f>Modelling_old[[#This Row],[Target E_Grid MTD
MWh]]/Modelling_old[[#This Row],[DC Capcity]]/(24*CG689)</f>
        <v>0.19653421148838512</v>
      </c>
      <c r="U689" s="338">
        <f>Modelling_old[[#This Row],[Target E_Grid YTD
MWh]]/Modelling_old[[#This Row],[DC Capcity]]/(24*CH689)</f>
        <v>0.16632581888648421</v>
      </c>
      <c r="V689" s="134">
        <v>11.5031</v>
      </c>
      <c r="Y689" s="27">
        <f t="shared" si="263"/>
        <v>45688</v>
      </c>
      <c r="Z689" s="5">
        <f>MONTH(Modelling_new[[#This Row],[Date]])</f>
        <v>1</v>
      </c>
      <c r="AA689" s="25">
        <f>YEAR(Y689)+IF(MONTH(Modelling_new[[#This Row],[Date]])&gt;=4,1,0)</f>
        <v>2025</v>
      </c>
      <c r="AB689" s="3">
        <f t="shared" si="251"/>
        <v>2025</v>
      </c>
      <c r="AC689" s="3" t="s">
        <v>627</v>
      </c>
      <c r="AD689" s="3" t="s">
        <v>627</v>
      </c>
      <c r="AE689" s="102">
        <f>DATE(Modelling_old[[#This Row],[Calendor Year]],Modelling_old[[#This Row],[Start Month]],1)</f>
        <v>45658</v>
      </c>
      <c r="AF689" s="5">
        <f t="shared" si="252"/>
        <v>31</v>
      </c>
      <c r="AG689" s="5">
        <f t="shared" si="253"/>
        <v>1</v>
      </c>
      <c r="AH689" s="4">
        <f>_xlfn.XLOOKUP(Modelling_new[[#This Row],[Month]],$AA$1:$AA$14,$AL$1:$AL$14)/Modelling_new[[#This Row],[Total Days]]</f>
        <v>61.45538357437777</v>
      </c>
      <c r="AI689" s="4">
        <f>SUM($AH$659:AH689)</f>
        <v>1905.1168908057098</v>
      </c>
      <c r="AJ689" s="4">
        <f>SUM($AH$384:AH689)</f>
        <v>17659.024895770974</v>
      </c>
      <c r="AK689" s="4">
        <f t="shared" si="254"/>
        <v>6.790322580645161</v>
      </c>
      <c r="AL689" s="4">
        <f>SUM($AK$659:AK689)</f>
        <v>210.49999999999994</v>
      </c>
      <c r="AM689" s="4">
        <f>SUM($AK$384:AK689)</f>
        <v>1759.6999999999964</v>
      </c>
      <c r="AN689" s="323">
        <f t="shared" si="255"/>
        <v>0.78678239221549962</v>
      </c>
      <c r="AO689" s="323">
        <f t="shared" si="256"/>
        <v>0.78678239221549939</v>
      </c>
      <c r="AP689" s="323">
        <f t="shared" si="257"/>
        <v>0.87239504360874109</v>
      </c>
      <c r="AQ689" s="323">
        <f t="shared" si="258"/>
        <v>0.22260442682978857</v>
      </c>
      <c r="AR689" s="323">
        <f>Modelling_new[[#This Row],[Target E_Grid MTD
MWh]]/Modelling_new[[#This Row],[MTD DC Capcity]]/(24*CG689)</f>
        <v>0.20005007673951078</v>
      </c>
      <c r="AS689" s="323">
        <f>Modelling_new[[#This Row],[Target E_Grid YTD
MWh]]/Modelling_new[[#This Row],[YTD DC Capcity]]/(24*CH689)</f>
        <v>0.18785557189298746</v>
      </c>
      <c r="AT689" s="5">
        <v>12.8</v>
      </c>
      <c r="AU689" s="9">
        <f>Modelling_new[[#This Row],[Comisined DC ]]/$AO$1</f>
        <v>1</v>
      </c>
      <c r="AV689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689" s="5">
        <f>AVERAGEIFS(Modelling_new[[Comisined DC ]],Modelling_new[Date],"&lt;="&amp;Modelling_new[[#This Row],[Date]],Modelling_new[[Comisined DC ]],"&gt;"&amp;0,Modelling_new[Finacial Year],Modelling_new[[#This Row],[Finacial Year]])</f>
        <v>12.800000000000068</v>
      </c>
      <c r="BD689" s="27">
        <f t="shared" si="264"/>
        <v>45688</v>
      </c>
      <c r="BE689" s="5">
        <f>MONTH(Modelling[[#This Row],[Date]])</f>
        <v>1</v>
      </c>
      <c r="BF689" s="25">
        <f>YEAR(BD689)+IF(MONTH(Modelling[[#This Row],[Date]])&gt;=4,1,0)</f>
        <v>2025</v>
      </c>
      <c r="BG689" s="3">
        <f t="shared" si="259"/>
        <v>2025</v>
      </c>
      <c r="BH689" s="3" t="s">
        <v>627</v>
      </c>
      <c r="BI689" s="3" t="s">
        <v>627</v>
      </c>
      <c r="BJ689" s="102">
        <f>DATE(Modelling_old[[#This Row],[Calendor Year]],Modelling_old[[#This Row],[Start Month]],1)</f>
        <v>45658</v>
      </c>
      <c r="BK689" s="5">
        <f t="shared" si="260"/>
        <v>31</v>
      </c>
      <c r="BL689" s="5">
        <f t="shared" si="261"/>
        <v>1</v>
      </c>
      <c r="BM689" s="4">
        <f>Modelling_old[[#This Row],[Target E_Grid daily
MWh]]+Modelling_new[[#This Row],[Target E_Grid daily
MWh]]</f>
        <v>115.7134480905068</v>
      </c>
      <c r="BN689" s="4">
        <f>Modelling_old[[#This Row],[Target E_Grid MTD
MWh]]+Modelling_new[[#This Row],[Target E_Grid MTD
MWh]]</f>
        <v>3587.1168908057098</v>
      </c>
      <c r="BO689" s="4">
        <f>Modelling_old[[#This Row],[Target E_Grid YTD
MWh]]+Modelling_new[[#This Row],[Target E_Grid YTD
MWh]]</f>
        <v>31710.024895770977</v>
      </c>
      <c r="BP689" s="4">
        <f>AVERAGE(Modelling_old[[#This Row],[Target POA Daily (KWh/m2)]],Modelling_new[[#This Row],[Target POA Daily (KWh/m2)]])</f>
        <v>6.790322580645161</v>
      </c>
      <c r="BQ689" s="4">
        <f>SUM($BP$659:BP689)</f>
        <v>210.49999999999994</v>
      </c>
      <c r="BR689" s="4">
        <f>SUM($BP$384:BP689)</f>
        <v>1759.6999999999964</v>
      </c>
      <c r="BS689" s="323">
        <f>BM689/Modelling[[#This Row],[Comisined DC ]]/BP689</f>
        <v>0.70118360819178038</v>
      </c>
      <c r="BT689" s="337">
        <f>BN689/BQ689/Modelling[[#This Row],[Comisined DC ]]</f>
        <v>0.70118360819178038</v>
      </c>
      <c r="BU689" s="337">
        <f>BO689/BR689/Modelling[[#This Row],[Comisined DC ]]</f>
        <v>0.74147459431697516</v>
      </c>
      <c r="BV689" s="323">
        <f>BM689/(24*Modelling[[#This Row],[Comisined DC ]])</f>
        <v>0.19838595366178732</v>
      </c>
      <c r="BW689" s="323">
        <f>Modelling[[#This Row],[Target E_Grid MTD
MWh]]/Modelling[[#This Row],[MTD DC Capcity]]/(24*CG689)</f>
        <v>0.19838595366178741</v>
      </c>
      <c r="BX689" s="338">
        <f>Modelling[[#This Row],[Target E_Grid YTD
MWh]]/Modelling[[#This Row],[YTD DC Capcity]]/(24*CH689)</f>
        <v>0.177665147551685</v>
      </c>
      <c r="BY689" s="4">
        <f>Modelling_old[[#This Row],[DC Capcity]]+Modelling_new[[#This Row],[Comisined DC ]]</f>
        <v>24.303100000000001</v>
      </c>
      <c r="BZ689" s="4">
        <v>0</v>
      </c>
      <c r="CA689">
        <f>AVERAGEIFS(Modelling[[Comisined DC ]],Modelling[Date],"&lt;="&amp;Modelling[[#This Row],[Date]],Modelling[Month Year],Modelling[[#This Row],[Month Year]])</f>
        <v>24.303099999999983</v>
      </c>
      <c r="CB689">
        <f>AVERAGEIFS(Modelling[[Comisined DC ]],Modelling[Date],"&lt;="&amp;Modelling[[#This Row],[Date]],Modelling[Finacial Year],Modelling[[#This Row],[Finacial Year]])</f>
        <v>24.303100000000072</v>
      </c>
      <c r="CG689">
        <f t="shared" si="265"/>
        <v>31</v>
      </c>
      <c r="CH689">
        <f t="shared" si="262"/>
        <v>306</v>
      </c>
    </row>
    <row r="690" spans="1:86" x14ac:dyDescent="0.35">
      <c r="A690" s="27">
        <f t="shared" si="241"/>
        <v>45689</v>
      </c>
      <c r="B690" s="5">
        <f>MONTH(Modelling_old[[#This Row],[Date]])</f>
        <v>2</v>
      </c>
      <c r="C690" s="25">
        <v>2025</v>
      </c>
      <c r="D690" s="3">
        <f t="shared" si="243"/>
        <v>2025</v>
      </c>
      <c r="E690" s="3" t="s">
        <v>627</v>
      </c>
      <c r="F690" s="3" t="s">
        <v>627</v>
      </c>
      <c r="G690" s="102">
        <f>DATE(Modelling_old[[#This Row],[Calendor Year]],Modelling_old[[#This Row],[Start Month]],1)</f>
        <v>45689</v>
      </c>
      <c r="H690" s="5">
        <f t="shared" si="244"/>
        <v>28</v>
      </c>
      <c r="I690" s="5">
        <f t="shared" si="245"/>
        <v>2</v>
      </c>
      <c r="J690" s="4">
        <f>_xlfn.XLOOKUP(Modelling_old[[#This Row],[Month]],$C$1:$C$14,$N$1:$N$14)/Modelling_old[[#This Row],[Total Days]]</f>
        <v>53.846428571428575</v>
      </c>
      <c r="K690" s="4">
        <f>SUM($J$690:J690)</f>
        <v>53.846428571428575</v>
      </c>
      <c r="L690" s="4">
        <f>SUM($J$384:J690)</f>
        <v>14104.846428571434</v>
      </c>
      <c r="M690" s="4">
        <f t="shared" si="246"/>
        <v>6.8928571428571432</v>
      </c>
      <c r="N690" s="4">
        <f>SUM($M$690:M690)</f>
        <v>6.8928571428571432</v>
      </c>
      <c r="O690" s="4">
        <f>SUM($M$384:M690)</f>
        <v>1766.5928571428535</v>
      </c>
      <c r="P690" s="323">
        <f t="shared" si="247"/>
        <v>0.67911407346242281</v>
      </c>
      <c r="Q690" s="337">
        <f t="shared" si="248"/>
        <v>0.67911407346242281</v>
      </c>
      <c r="R690" s="337">
        <f t="shared" si="249"/>
        <v>0.69409193252232582</v>
      </c>
      <c r="S690" s="323">
        <f t="shared" si="250"/>
        <v>0.19504317883667802</v>
      </c>
      <c r="T690" s="9">
        <f>Modelling_old[[#This Row],[Target E_Grid MTD
MWh]]/Modelling_old[[#This Row],[DC Capcity]]/(24*CG690)</f>
        <v>0.19504317883667799</v>
      </c>
      <c r="U690" s="338">
        <f>Modelling_old[[#This Row],[Target E_Grid YTD
MWh]]/Modelling_old[[#This Row],[DC Capcity]]/(24*CH690)</f>
        <v>0.16641936077557279</v>
      </c>
      <c r="V690" s="134">
        <v>11.5031</v>
      </c>
      <c r="Y690" s="27">
        <f t="shared" si="263"/>
        <v>45689</v>
      </c>
      <c r="Z690" s="5">
        <f>MONTH(Modelling_new[[#This Row],[Date]])</f>
        <v>2</v>
      </c>
      <c r="AA690" s="25">
        <f>YEAR(Y690)+IF(MONTH(Modelling_new[[#This Row],[Date]])&gt;=4,1,0)</f>
        <v>2025</v>
      </c>
      <c r="AB690" s="3">
        <f t="shared" si="251"/>
        <v>2025</v>
      </c>
      <c r="AC690" s="3" t="s">
        <v>627</v>
      </c>
      <c r="AD690" s="3" t="s">
        <v>627</v>
      </c>
      <c r="AE690" s="102">
        <f>DATE(Modelling_old[[#This Row],[Calendor Year]],Modelling_old[[#This Row],[Start Month]],1)</f>
        <v>45689</v>
      </c>
      <c r="AF690" s="5">
        <f t="shared" si="252"/>
        <v>28</v>
      </c>
      <c r="AG690" s="5">
        <f t="shared" si="253"/>
        <v>2</v>
      </c>
      <c r="AH690" s="4">
        <f>_xlfn.XLOOKUP(Modelling_new[[#This Row],[Month]],$AA$1:$AA$14,$AL$1:$AL$14)/Modelling_new[[#This Row],[Total Days]]</f>
        <v>68.489902174240342</v>
      </c>
      <c r="AI690" s="4">
        <f>SUM($AH$690:AH690)</f>
        <v>68.489902174240342</v>
      </c>
      <c r="AJ690" s="4">
        <f>SUM($AH$384:AH690)</f>
        <v>17727.514797945216</v>
      </c>
      <c r="AK690" s="4">
        <f t="shared" si="254"/>
        <v>6.8928571428571432</v>
      </c>
      <c r="AL690" s="4">
        <f>SUM($AK$690:AK690)</f>
        <v>6.8928571428571432</v>
      </c>
      <c r="AM690" s="4">
        <f>SUM($AK$384:AK690)</f>
        <v>1766.5928571428535</v>
      </c>
      <c r="AN690" s="323">
        <f t="shared" si="255"/>
        <v>0.86379835563079765</v>
      </c>
      <c r="AO690" s="323">
        <f t="shared" si="256"/>
        <v>0.86379835563079777</v>
      </c>
      <c r="AP690" s="323">
        <f t="shared" si="257"/>
        <v>0.87236150122126133</v>
      </c>
      <c r="AQ690" s="323">
        <f t="shared" si="258"/>
        <v>0.24808494439991666</v>
      </c>
      <c r="AR690" s="323">
        <f>Modelling_new[[#This Row],[Target E_Grid MTD
MWh]]/Modelling_new[[#This Row],[MTD DC Capcity]]/(24*CG690)</f>
        <v>0.22294890030677195</v>
      </c>
      <c r="AS690" s="323">
        <f>Modelling_new[[#This Row],[Target E_Grid YTD
MWh]]/Modelling_new[[#This Row],[YTD DC Capcity]]/(24*CH690)</f>
        <v>0.18796988240899329</v>
      </c>
      <c r="AT690" s="5">
        <v>12.8</v>
      </c>
      <c r="AU690" s="9">
        <f>Modelling_new[[#This Row],[Comisined DC ]]/$AO$1</f>
        <v>1</v>
      </c>
      <c r="AV690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90" s="5">
        <f>AVERAGEIFS(Modelling_new[[Comisined DC ]],Modelling_new[Date],"&lt;="&amp;Modelling_new[[#This Row],[Date]],Modelling_new[[Comisined DC ]],"&gt;"&amp;0,Modelling_new[Finacial Year],Modelling_new[[#This Row],[Finacial Year]])</f>
        <v>12.80000000000007</v>
      </c>
      <c r="BD690" s="27">
        <f t="shared" si="264"/>
        <v>45689</v>
      </c>
      <c r="BE690" s="5">
        <f>MONTH(Modelling[[#This Row],[Date]])</f>
        <v>2</v>
      </c>
      <c r="BF690" s="25">
        <f>YEAR(BD690)+IF(MONTH(Modelling[[#This Row],[Date]])&gt;=4,1,0)</f>
        <v>2025</v>
      </c>
      <c r="BG690" s="3">
        <f t="shared" si="259"/>
        <v>2025</v>
      </c>
      <c r="BH690" s="3" t="s">
        <v>627</v>
      </c>
      <c r="BI690" s="3" t="s">
        <v>627</v>
      </c>
      <c r="BJ690" s="102">
        <f>DATE(Modelling_old[[#This Row],[Calendor Year]],Modelling_old[[#This Row],[Start Month]],1)</f>
        <v>45689</v>
      </c>
      <c r="BK690" s="5">
        <f t="shared" si="260"/>
        <v>28</v>
      </c>
      <c r="BL690" s="5">
        <f t="shared" si="261"/>
        <v>2</v>
      </c>
      <c r="BM690" s="4">
        <f>Modelling_old[[#This Row],[Target E_Grid daily
MWh]]+Modelling_new[[#This Row],[Target E_Grid daily
MWh]]</f>
        <v>122.33633074566892</v>
      </c>
      <c r="BN690" s="4">
        <f>Modelling_old[[#This Row],[Target E_Grid MTD
MWh]]+Modelling_new[[#This Row],[Target E_Grid MTD
MWh]]</f>
        <v>122.33633074566892</v>
      </c>
      <c r="BO690" s="4">
        <f>Modelling_old[[#This Row],[Target E_Grid YTD
MWh]]+Modelling_new[[#This Row],[Target E_Grid YTD
MWh]]</f>
        <v>31832.361226516652</v>
      </c>
      <c r="BP690" s="4">
        <f>AVERAGE(Modelling_old[[#This Row],[Target POA Daily (KWh/m2)]],Modelling_new[[#This Row],[Target POA Daily (KWh/m2)]])</f>
        <v>6.8928571428571432</v>
      </c>
      <c r="BQ690" s="4">
        <f>SUM($BP$690:BP690)</f>
        <v>6.8928571428571432</v>
      </c>
      <c r="BR690" s="4">
        <f>SUM($BP$384:BP690)</f>
        <v>1766.5928571428535</v>
      </c>
      <c r="BS690" s="323">
        <f>BM690/Modelling[[#This Row],[Comisined DC ]]/BP690</f>
        <v>0.73028856249211938</v>
      </c>
      <c r="BT690" s="337">
        <f>BN690/BQ690/Modelling[[#This Row],[Comisined DC ]]</f>
        <v>0.73028856249211938</v>
      </c>
      <c r="BU690" s="337">
        <f>BO690/BR690/Modelling[[#This Row],[Comisined DC ]]</f>
        <v>0.74143094887877914</v>
      </c>
      <c r="BV690" s="323">
        <f>BM690/(24*Modelling[[#This Row],[Comisined DC ]])</f>
        <v>0.20974061393002832</v>
      </c>
      <c r="BW690" s="323">
        <f>Modelling[[#This Row],[Target E_Grid MTD
MWh]]/Modelling[[#This Row],[MTD DC Capcity]]/(24*CG690)</f>
        <v>0.20974061393002832</v>
      </c>
      <c r="BX690" s="338">
        <f>Modelling[[#This Row],[Target E_Grid YTD
MWh]]/Modelling[[#This Row],[YTD DC Capcity]]/(24*CH690)</f>
        <v>0.17776962789819431</v>
      </c>
      <c r="BY690" s="4">
        <f>Modelling_old[[#This Row],[DC Capcity]]+Modelling_new[[#This Row],[Comisined DC ]]</f>
        <v>24.303100000000001</v>
      </c>
      <c r="BZ690" s="4">
        <v>0</v>
      </c>
      <c r="CA690">
        <f>AVERAGEIFS(Modelling[[Comisined DC ]],Modelling[Date],"&lt;="&amp;Modelling[[#This Row],[Date]],Modelling[Month Year],Modelling[[#This Row],[Month Year]])</f>
        <v>24.303100000000001</v>
      </c>
      <c r="CB690">
        <f>AVERAGEIFS(Modelling[[Comisined DC ]],Modelling[Date],"&lt;="&amp;Modelling[[#This Row],[Date]],Modelling[Finacial Year],Modelling[[#This Row],[Finacial Year]])</f>
        <v>24.303100000000072</v>
      </c>
      <c r="CG690">
        <v>1</v>
      </c>
      <c r="CH690">
        <f t="shared" si="262"/>
        <v>307</v>
      </c>
    </row>
    <row r="691" spans="1:86" x14ac:dyDescent="0.35">
      <c r="A691" s="27">
        <f t="shared" si="241"/>
        <v>45690</v>
      </c>
      <c r="B691" s="5">
        <f>MONTH(Modelling_old[[#This Row],[Date]])</f>
        <v>2</v>
      </c>
      <c r="C691" s="25">
        <v>2025</v>
      </c>
      <c r="D691" s="3">
        <f t="shared" si="243"/>
        <v>2025</v>
      </c>
      <c r="E691" s="3" t="s">
        <v>627</v>
      </c>
      <c r="F691" s="3" t="s">
        <v>627</v>
      </c>
      <c r="G691" s="102">
        <f>DATE(Modelling_old[[#This Row],[Calendor Year]],Modelling_old[[#This Row],[Start Month]],1)</f>
        <v>45689</v>
      </c>
      <c r="H691" s="5">
        <f t="shared" si="244"/>
        <v>28</v>
      </c>
      <c r="I691" s="5">
        <f t="shared" si="245"/>
        <v>2</v>
      </c>
      <c r="J691" s="4">
        <f>_xlfn.XLOOKUP(Modelling_old[[#This Row],[Month]],$C$1:$C$14,$N$1:$N$14)/Modelling_old[[#This Row],[Total Days]]</f>
        <v>53.846428571428575</v>
      </c>
      <c r="K691" s="4">
        <f>SUM($J$690:J691)</f>
        <v>107.69285714285715</v>
      </c>
      <c r="L691" s="4">
        <f>SUM($J$384:J691)</f>
        <v>14158.692857142863</v>
      </c>
      <c r="M691" s="4">
        <f t="shared" si="246"/>
        <v>6.8928571428571432</v>
      </c>
      <c r="N691" s="4">
        <f>SUM($M$690:M691)</f>
        <v>13.785714285714286</v>
      </c>
      <c r="O691" s="4">
        <f>SUM($M$384:M691)</f>
        <v>1773.4857142857106</v>
      </c>
      <c r="P691" s="323">
        <f t="shared" si="247"/>
        <v>0.67911407346242281</v>
      </c>
      <c r="Q691" s="337">
        <f t="shared" si="248"/>
        <v>0.67911407346242281</v>
      </c>
      <c r="R691" s="337">
        <f t="shared" si="249"/>
        <v>0.69403371934249913</v>
      </c>
      <c r="S691" s="323">
        <f t="shared" si="250"/>
        <v>0.19504317883667802</v>
      </c>
      <c r="T691" s="9">
        <f>Modelling_old[[#This Row],[Target E_Grid MTD
MWh]]/Modelling_old[[#This Row],[DC Capcity]]/(24*CG691)</f>
        <v>0.19504317883667799</v>
      </c>
      <c r="U691" s="338">
        <f>Modelling_old[[#This Row],[Target E_Grid YTD
MWh]]/Modelling_old[[#This Row],[DC Capcity]]/(24*CH691)</f>
        <v>0.16651229524979716</v>
      </c>
      <c r="V691" s="134">
        <v>11.5031</v>
      </c>
      <c r="Y691" s="27">
        <f t="shared" si="263"/>
        <v>45690</v>
      </c>
      <c r="Z691" s="5">
        <f>MONTH(Modelling_new[[#This Row],[Date]])</f>
        <v>2</v>
      </c>
      <c r="AA691" s="25">
        <f>YEAR(Y691)+IF(MONTH(Modelling_new[[#This Row],[Date]])&gt;=4,1,0)</f>
        <v>2025</v>
      </c>
      <c r="AB691" s="3">
        <f t="shared" si="251"/>
        <v>2025</v>
      </c>
      <c r="AC691" s="3" t="s">
        <v>627</v>
      </c>
      <c r="AD691" s="3" t="s">
        <v>627</v>
      </c>
      <c r="AE691" s="102">
        <f>DATE(Modelling_old[[#This Row],[Calendor Year]],Modelling_old[[#This Row],[Start Month]],1)</f>
        <v>45689</v>
      </c>
      <c r="AF691" s="5">
        <f t="shared" si="252"/>
        <v>28</v>
      </c>
      <c r="AG691" s="5">
        <f t="shared" si="253"/>
        <v>2</v>
      </c>
      <c r="AH691" s="4">
        <f>_xlfn.XLOOKUP(Modelling_new[[#This Row],[Month]],$AA$1:$AA$14,$AL$1:$AL$14)/Modelling_new[[#This Row],[Total Days]]</f>
        <v>68.489902174240342</v>
      </c>
      <c r="AI691" s="4">
        <f>SUM($AH$690:AH691)</f>
        <v>136.97980434848068</v>
      </c>
      <c r="AJ691" s="4">
        <f>SUM($AH$384:AH691)</f>
        <v>17796.004700119454</v>
      </c>
      <c r="AK691" s="4">
        <f t="shared" si="254"/>
        <v>6.8928571428571432</v>
      </c>
      <c r="AL691" s="4">
        <f>SUM($AK$690:AK691)</f>
        <v>13.785714285714286</v>
      </c>
      <c r="AM691" s="4">
        <f>SUM($AK$384:AK691)</f>
        <v>1773.4857142857106</v>
      </c>
      <c r="AN691" s="323">
        <f t="shared" si="255"/>
        <v>0.86379835563079765</v>
      </c>
      <c r="AO691" s="323">
        <f t="shared" si="256"/>
        <v>0.86379835563079777</v>
      </c>
      <c r="AP691" s="323">
        <f t="shared" si="257"/>
        <v>0.8723282195665103</v>
      </c>
      <c r="AQ691" s="323">
        <f t="shared" si="258"/>
        <v>0.24808494439991666</v>
      </c>
      <c r="AR691" s="323">
        <f>Modelling_new[[#This Row],[Target E_Grid MTD
MWh]]/Modelling_new[[#This Row],[MTD DC Capcity]]/(24*CG691)</f>
        <v>0.22294890030677195</v>
      </c>
      <c r="AS691" s="323">
        <f>Modelling_new[[#This Row],[Target E_Grid YTD
MWh]]/Modelling_new[[#This Row],[YTD DC Capcity]]/(24*CH691)</f>
        <v>0.1880834506489211</v>
      </c>
      <c r="AT691" s="5">
        <v>12.8</v>
      </c>
      <c r="AU691" s="9">
        <f>Modelling_new[[#This Row],[Comisined DC ]]/$AO$1</f>
        <v>1</v>
      </c>
      <c r="AV691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91" s="5">
        <f>AVERAGEIFS(Modelling_new[[Comisined DC ]],Modelling_new[Date],"&lt;="&amp;Modelling_new[[#This Row],[Date]],Modelling_new[[Comisined DC ]],"&gt;"&amp;0,Modelling_new[Finacial Year],Modelling_new[[#This Row],[Finacial Year]])</f>
        <v>12.80000000000007</v>
      </c>
      <c r="BD691" s="27">
        <f t="shared" si="264"/>
        <v>45690</v>
      </c>
      <c r="BE691" s="5">
        <f>MONTH(Modelling[[#This Row],[Date]])</f>
        <v>2</v>
      </c>
      <c r="BF691" s="25">
        <f>YEAR(BD691)+IF(MONTH(Modelling[[#This Row],[Date]])&gt;=4,1,0)</f>
        <v>2025</v>
      </c>
      <c r="BG691" s="3">
        <f t="shared" si="259"/>
        <v>2025</v>
      </c>
      <c r="BH691" s="3" t="s">
        <v>627</v>
      </c>
      <c r="BI691" s="3" t="s">
        <v>627</v>
      </c>
      <c r="BJ691" s="102">
        <f>DATE(Modelling_old[[#This Row],[Calendor Year]],Modelling_old[[#This Row],[Start Month]],1)</f>
        <v>45689</v>
      </c>
      <c r="BK691" s="5">
        <f t="shared" si="260"/>
        <v>28</v>
      </c>
      <c r="BL691" s="5">
        <f t="shared" si="261"/>
        <v>2</v>
      </c>
      <c r="BM691" s="4">
        <f>Modelling_old[[#This Row],[Target E_Grid daily
MWh]]+Modelling_new[[#This Row],[Target E_Grid daily
MWh]]</f>
        <v>122.33633074566892</v>
      </c>
      <c r="BN691" s="4">
        <f>Modelling_old[[#This Row],[Target E_Grid MTD
MWh]]+Modelling_new[[#This Row],[Target E_Grid MTD
MWh]]</f>
        <v>244.67266149133783</v>
      </c>
      <c r="BO691" s="4">
        <f>Modelling_old[[#This Row],[Target E_Grid YTD
MWh]]+Modelling_new[[#This Row],[Target E_Grid YTD
MWh]]</f>
        <v>31954.69755726232</v>
      </c>
      <c r="BP691" s="4">
        <f>AVERAGE(Modelling_old[[#This Row],[Target POA Daily (KWh/m2)]],Modelling_new[[#This Row],[Target POA Daily (KWh/m2)]])</f>
        <v>6.8928571428571432</v>
      </c>
      <c r="BQ691" s="4">
        <f>SUM($BP$690:BP691)</f>
        <v>13.785714285714286</v>
      </c>
      <c r="BR691" s="4">
        <f>SUM($BP$384:BP691)</f>
        <v>1773.4857142857106</v>
      </c>
      <c r="BS691" s="323">
        <f>BM691/Modelling[[#This Row],[Comisined DC ]]/BP691</f>
        <v>0.73028856249211938</v>
      </c>
      <c r="BT691" s="337">
        <f>BN691/BQ691/Modelling[[#This Row],[Comisined DC ]]</f>
        <v>0.73028856249211938</v>
      </c>
      <c r="BU691" s="337">
        <f>BO691/BR691/Modelling[[#This Row],[Comisined DC ]]</f>
        <v>0.7413876427066598</v>
      </c>
      <c r="BV691" s="323">
        <f>BM691/(24*Modelling[[#This Row],[Comisined DC ]])</f>
        <v>0.20974061393002832</v>
      </c>
      <c r="BW691" s="323">
        <f>Modelling[[#This Row],[Target E_Grid MTD
MWh]]/Modelling[[#This Row],[MTD DC Capcity]]/(24*CG691)</f>
        <v>0.20974061393002832</v>
      </c>
      <c r="BX691" s="338">
        <f>Modelling[[#This Row],[Target E_Grid YTD
MWh]]/Modelling[[#This Row],[YTD DC Capcity]]/(24*CH691)</f>
        <v>0.17787342980089504</v>
      </c>
      <c r="BY691" s="4">
        <f>Modelling_old[[#This Row],[DC Capcity]]+Modelling_new[[#This Row],[Comisined DC ]]</f>
        <v>24.303100000000001</v>
      </c>
      <c r="BZ691" s="4">
        <v>0</v>
      </c>
      <c r="CA691">
        <f>AVERAGEIFS(Modelling[[Comisined DC ]],Modelling[Date],"&lt;="&amp;Modelling[[#This Row],[Date]],Modelling[Month Year],Modelling[[#This Row],[Month Year]])</f>
        <v>24.303100000000001</v>
      </c>
      <c r="CB691">
        <f>AVERAGEIFS(Modelling[[Comisined DC ]],Modelling[Date],"&lt;="&amp;Modelling[[#This Row],[Date]],Modelling[Finacial Year],Modelling[[#This Row],[Finacial Year]])</f>
        <v>24.303100000000072</v>
      </c>
      <c r="CG691">
        <f t="shared" ref="CG691:CG748" si="266">CG690+1</f>
        <v>2</v>
      </c>
      <c r="CH691">
        <f t="shared" si="262"/>
        <v>308</v>
      </c>
    </row>
    <row r="692" spans="1:86" x14ac:dyDescent="0.35">
      <c r="A692" s="27">
        <f t="shared" si="241"/>
        <v>45691</v>
      </c>
      <c r="B692" s="5">
        <f>MONTH(Modelling_old[[#This Row],[Date]])</f>
        <v>2</v>
      </c>
      <c r="C692" s="25">
        <v>2025</v>
      </c>
      <c r="D692" s="3">
        <f t="shared" si="243"/>
        <v>2025</v>
      </c>
      <c r="E692" s="3" t="s">
        <v>627</v>
      </c>
      <c r="F692" s="3" t="s">
        <v>627</v>
      </c>
      <c r="G692" s="102">
        <f>DATE(Modelling_old[[#This Row],[Calendor Year]],Modelling_old[[#This Row],[Start Month]],1)</f>
        <v>45689</v>
      </c>
      <c r="H692" s="5">
        <f t="shared" si="244"/>
        <v>28</v>
      </c>
      <c r="I692" s="5">
        <f t="shared" si="245"/>
        <v>2</v>
      </c>
      <c r="J692" s="4">
        <f>_xlfn.XLOOKUP(Modelling_old[[#This Row],[Month]],$C$1:$C$14,$N$1:$N$14)/Modelling_old[[#This Row],[Total Days]]</f>
        <v>53.846428571428575</v>
      </c>
      <c r="K692" s="4">
        <f>SUM($J$690:J692)</f>
        <v>161.53928571428571</v>
      </c>
      <c r="L692" s="4">
        <f>SUM($J$384:J692)</f>
        <v>14212.539285714292</v>
      </c>
      <c r="M692" s="4">
        <f t="shared" si="246"/>
        <v>6.8928571428571432</v>
      </c>
      <c r="N692" s="4">
        <f>SUM($M$690:M692)</f>
        <v>20.678571428571431</v>
      </c>
      <c r="O692" s="4">
        <f>SUM($M$384:M692)</f>
        <v>1780.3785714285677</v>
      </c>
      <c r="P692" s="323">
        <f t="shared" si="247"/>
        <v>0.67911407346242281</v>
      </c>
      <c r="Q692" s="337">
        <f t="shared" si="248"/>
        <v>0.6791140734624227</v>
      </c>
      <c r="R692" s="337">
        <f t="shared" si="249"/>
        <v>0.69397595691526948</v>
      </c>
      <c r="S692" s="323">
        <f t="shared" si="250"/>
        <v>0.19504317883667802</v>
      </c>
      <c r="T692" s="9">
        <f>Modelling_old[[#This Row],[Target E_Grid MTD
MWh]]/Modelling_old[[#This Row],[DC Capcity]]/(24*CG692)</f>
        <v>0.19504317883667799</v>
      </c>
      <c r="U692" s="338">
        <f>Modelling_old[[#This Row],[Target E_Grid YTD
MWh]]/Modelling_old[[#This Row],[DC Capcity]]/(24*CH692)</f>
        <v>0.16660462820638899</v>
      </c>
      <c r="V692" s="134">
        <v>11.5031</v>
      </c>
      <c r="Y692" s="27">
        <f t="shared" si="263"/>
        <v>45691</v>
      </c>
      <c r="Z692" s="5">
        <f>MONTH(Modelling_new[[#This Row],[Date]])</f>
        <v>2</v>
      </c>
      <c r="AA692" s="25">
        <f>YEAR(Y692)+IF(MONTH(Modelling_new[[#This Row],[Date]])&gt;=4,1,0)</f>
        <v>2025</v>
      </c>
      <c r="AB692" s="3">
        <f t="shared" si="251"/>
        <v>2025</v>
      </c>
      <c r="AC692" s="3" t="s">
        <v>627</v>
      </c>
      <c r="AD692" s="3" t="s">
        <v>627</v>
      </c>
      <c r="AE692" s="102">
        <f>DATE(Modelling_old[[#This Row],[Calendor Year]],Modelling_old[[#This Row],[Start Month]],1)</f>
        <v>45689</v>
      </c>
      <c r="AF692" s="5">
        <f t="shared" si="252"/>
        <v>28</v>
      </c>
      <c r="AG692" s="5">
        <f t="shared" si="253"/>
        <v>2</v>
      </c>
      <c r="AH692" s="4">
        <f>_xlfn.XLOOKUP(Modelling_new[[#This Row],[Month]],$AA$1:$AA$14,$AL$1:$AL$14)/Modelling_new[[#This Row],[Total Days]]</f>
        <v>68.489902174240342</v>
      </c>
      <c r="AI692" s="4">
        <f>SUM($AH$690:AH692)</f>
        <v>205.46970652272103</v>
      </c>
      <c r="AJ692" s="4">
        <f>SUM($AH$384:AH692)</f>
        <v>17864.494602293693</v>
      </c>
      <c r="AK692" s="4">
        <f t="shared" si="254"/>
        <v>6.8928571428571432</v>
      </c>
      <c r="AL692" s="4">
        <f>SUM($AK$690:AK692)</f>
        <v>20.678571428571431</v>
      </c>
      <c r="AM692" s="4">
        <f>SUM($AK$384:AK692)</f>
        <v>1780.3785714285677</v>
      </c>
      <c r="AN692" s="323">
        <f t="shared" si="255"/>
        <v>0.86379835563079765</v>
      </c>
      <c r="AO692" s="323">
        <f t="shared" si="256"/>
        <v>0.86379835563079777</v>
      </c>
      <c r="AP692" s="323">
        <f t="shared" si="257"/>
        <v>0.87229519561615465</v>
      </c>
      <c r="AQ692" s="323">
        <f t="shared" si="258"/>
        <v>0.24808494439991666</v>
      </c>
      <c r="AR692" s="323">
        <f>Modelling_new[[#This Row],[Target E_Grid MTD
MWh]]/Modelling_new[[#This Row],[MTD DC Capcity]]/(24*CG692)</f>
        <v>0.22294890030677189</v>
      </c>
      <c r="AS692" s="323">
        <f>Modelling_new[[#This Row],[Target E_Grid YTD
MWh]]/Modelling_new[[#This Row],[YTD DC Capcity]]/(24*CH692)</f>
        <v>0.18819628381933481</v>
      </c>
      <c r="AT692" s="5">
        <v>12.8</v>
      </c>
      <c r="AU692" s="9">
        <f>Modelling_new[[#This Row],[Comisined DC ]]/$AO$1</f>
        <v>1</v>
      </c>
      <c r="AV692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692" s="5">
        <f>AVERAGEIFS(Modelling_new[[Comisined DC ]],Modelling_new[Date],"&lt;="&amp;Modelling_new[[#This Row],[Date]],Modelling_new[[Comisined DC ]],"&gt;"&amp;0,Modelling_new[Finacial Year],Modelling_new[[#This Row],[Finacial Year]])</f>
        <v>12.80000000000007</v>
      </c>
      <c r="BD692" s="27">
        <f t="shared" si="264"/>
        <v>45691</v>
      </c>
      <c r="BE692" s="5">
        <f>MONTH(Modelling[[#This Row],[Date]])</f>
        <v>2</v>
      </c>
      <c r="BF692" s="25">
        <f>YEAR(BD692)+IF(MONTH(Modelling[[#This Row],[Date]])&gt;=4,1,0)</f>
        <v>2025</v>
      </c>
      <c r="BG692" s="3">
        <f t="shared" si="259"/>
        <v>2025</v>
      </c>
      <c r="BH692" s="3" t="s">
        <v>627</v>
      </c>
      <c r="BI692" s="3" t="s">
        <v>627</v>
      </c>
      <c r="BJ692" s="102">
        <f>DATE(Modelling_old[[#This Row],[Calendor Year]],Modelling_old[[#This Row],[Start Month]],1)</f>
        <v>45689</v>
      </c>
      <c r="BK692" s="5">
        <f t="shared" si="260"/>
        <v>28</v>
      </c>
      <c r="BL692" s="5">
        <f t="shared" si="261"/>
        <v>2</v>
      </c>
      <c r="BM692" s="4">
        <f>Modelling_old[[#This Row],[Target E_Grid daily
MWh]]+Modelling_new[[#This Row],[Target E_Grid daily
MWh]]</f>
        <v>122.33633074566892</v>
      </c>
      <c r="BN692" s="4">
        <f>Modelling_old[[#This Row],[Target E_Grid MTD
MWh]]+Modelling_new[[#This Row],[Target E_Grid MTD
MWh]]</f>
        <v>367.00899223700674</v>
      </c>
      <c r="BO692" s="4">
        <f>Modelling_old[[#This Row],[Target E_Grid YTD
MWh]]+Modelling_new[[#This Row],[Target E_Grid YTD
MWh]]</f>
        <v>32077.033888007987</v>
      </c>
      <c r="BP692" s="4">
        <f>AVERAGE(Modelling_old[[#This Row],[Target POA Daily (KWh/m2)]],Modelling_new[[#This Row],[Target POA Daily (KWh/m2)]])</f>
        <v>6.8928571428571432</v>
      </c>
      <c r="BQ692" s="4">
        <f>SUM($BP$690:BP692)</f>
        <v>20.678571428571431</v>
      </c>
      <c r="BR692" s="4">
        <f>SUM($BP$384:BP692)</f>
        <v>1780.3785714285677</v>
      </c>
      <c r="BS692" s="323">
        <f>BM692/Modelling[[#This Row],[Comisined DC ]]/BP692</f>
        <v>0.73028856249211938</v>
      </c>
      <c r="BT692" s="337">
        <f>BN692/BQ692/Modelling[[#This Row],[Comisined DC ]]</f>
        <v>0.73028856249211926</v>
      </c>
      <c r="BU692" s="337">
        <f>BO692/BR692/Modelling[[#This Row],[Comisined DC ]]</f>
        <v>0.7413446718601423</v>
      </c>
      <c r="BV692" s="323">
        <f>BM692/(24*Modelling[[#This Row],[Comisined DC ]])</f>
        <v>0.20974061393002832</v>
      </c>
      <c r="BW692" s="323">
        <f>Modelling[[#This Row],[Target E_Grid MTD
MWh]]/Modelling[[#This Row],[MTD DC Capcity]]/(24*CG692)</f>
        <v>0.2097406139300283</v>
      </c>
      <c r="BX692" s="338">
        <f>Modelling[[#This Row],[Target E_Grid YTD
MWh]]/Modelling[[#This Row],[YTD DC Capcity]]/(24*CH692)</f>
        <v>0.17797655984662039</v>
      </c>
      <c r="BY692" s="4">
        <f>Modelling_old[[#This Row],[DC Capcity]]+Modelling_new[[#This Row],[Comisined DC ]]</f>
        <v>24.303100000000001</v>
      </c>
      <c r="BZ692" s="4">
        <v>0</v>
      </c>
      <c r="CA692">
        <f>AVERAGEIFS(Modelling[[Comisined DC ]],Modelling[Date],"&lt;="&amp;Modelling[[#This Row],[Date]],Modelling[Month Year],Modelling[[#This Row],[Month Year]])</f>
        <v>24.303100000000001</v>
      </c>
      <c r="CB692">
        <f>AVERAGEIFS(Modelling[[Comisined DC ]],Modelling[Date],"&lt;="&amp;Modelling[[#This Row],[Date]],Modelling[Finacial Year],Modelling[[#This Row],[Finacial Year]])</f>
        <v>24.303100000000072</v>
      </c>
      <c r="CG692">
        <f t="shared" si="266"/>
        <v>3</v>
      </c>
      <c r="CH692">
        <f t="shared" si="262"/>
        <v>309</v>
      </c>
    </row>
    <row r="693" spans="1:86" x14ac:dyDescent="0.35">
      <c r="A693" s="27">
        <f t="shared" si="241"/>
        <v>45692</v>
      </c>
      <c r="B693" s="5">
        <f>MONTH(Modelling_old[[#This Row],[Date]])</f>
        <v>2</v>
      </c>
      <c r="C693" s="25">
        <v>2025</v>
      </c>
      <c r="D693" s="3">
        <f t="shared" si="243"/>
        <v>2025</v>
      </c>
      <c r="E693" s="3" t="s">
        <v>627</v>
      </c>
      <c r="F693" s="3" t="s">
        <v>627</v>
      </c>
      <c r="G693" s="102">
        <f>DATE(Modelling_old[[#This Row],[Calendor Year]],Modelling_old[[#This Row],[Start Month]],1)</f>
        <v>45689</v>
      </c>
      <c r="H693" s="5">
        <f t="shared" si="244"/>
        <v>28</v>
      </c>
      <c r="I693" s="5">
        <f t="shared" si="245"/>
        <v>2</v>
      </c>
      <c r="J693" s="4">
        <f>_xlfn.XLOOKUP(Modelling_old[[#This Row],[Month]],$C$1:$C$14,$N$1:$N$14)/Modelling_old[[#This Row],[Total Days]]</f>
        <v>53.846428571428575</v>
      </c>
      <c r="K693" s="4">
        <f>SUM($J$690:J693)</f>
        <v>215.3857142857143</v>
      </c>
      <c r="L693" s="4">
        <f>SUM($J$384:J693)</f>
        <v>14266.385714285721</v>
      </c>
      <c r="M693" s="4">
        <f t="shared" si="246"/>
        <v>6.8928571428571432</v>
      </c>
      <c r="N693" s="4">
        <f>SUM($M$690:M693)</f>
        <v>27.571428571428573</v>
      </c>
      <c r="O693" s="4">
        <f>SUM($M$384:M693)</f>
        <v>1787.2714285714248</v>
      </c>
      <c r="P693" s="323">
        <f t="shared" si="247"/>
        <v>0.67911407346242281</v>
      </c>
      <c r="Q693" s="337">
        <f t="shared" si="248"/>
        <v>0.67911407346242281</v>
      </c>
      <c r="R693" s="337">
        <f t="shared" si="249"/>
        <v>0.69391864002546944</v>
      </c>
      <c r="S693" s="323">
        <f t="shared" si="250"/>
        <v>0.19504317883667802</v>
      </c>
      <c r="T693" s="9">
        <f>Modelling_old[[#This Row],[Target E_Grid MTD
MWh]]/Modelling_old[[#This Row],[DC Capcity]]/(24*CG693)</f>
        <v>0.19504317883667799</v>
      </c>
      <c r="U693" s="338">
        <f>Modelling_old[[#This Row],[Target E_Grid YTD
MWh]]/Modelling_old[[#This Row],[DC Capcity]]/(24*CH693)</f>
        <v>0.16669636546648672</v>
      </c>
      <c r="V693" s="134">
        <v>11.5031</v>
      </c>
      <c r="Y693" s="27">
        <f t="shared" si="263"/>
        <v>45692</v>
      </c>
      <c r="Z693" s="5">
        <f>MONTH(Modelling_new[[#This Row],[Date]])</f>
        <v>2</v>
      </c>
      <c r="AA693" s="25">
        <f>YEAR(Y693)+IF(MONTH(Modelling_new[[#This Row],[Date]])&gt;=4,1,0)</f>
        <v>2025</v>
      </c>
      <c r="AB693" s="3">
        <f t="shared" si="251"/>
        <v>2025</v>
      </c>
      <c r="AC693" s="3" t="s">
        <v>627</v>
      </c>
      <c r="AD693" s="3" t="s">
        <v>627</v>
      </c>
      <c r="AE693" s="102">
        <f>DATE(Modelling_old[[#This Row],[Calendor Year]],Modelling_old[[#This Row],[Start Month]],1)</f>
        <v>45689</v>
      </c>
      <c r="AF693" s="5">
        <f t="shared" si="252"/>
        <v>28</v>
      </c>
      <c r="AG693" s="5">
        <f t="shared" si="253"/>
        <v>2</v>
      </c>
      <c r="AH693" s="4">
        <f>_xlfn.XLOOKUP(Modelling_new[[#This Row],[Month]],$AA$1:$AA$14,$AL$1:$AL$14)/Modelling_new[[#This Row],[Total Days]]</f>
        <v>68.489902174240342</v>
      </c>
      <c r="AI693" s="4">
        <f>SUM($AH$690:AH693)</f>
        <v>273.95960869696137</v>
      </c>
      <c r="AJ693" s="4">
        <f>SUM($AH$384:AH693)</f>
        <v>17932.984504467931</v>
      </c>
      <c r="AK693" s="4">
        <f t="shared" si="254"/>
        <v>6.8928571428571432</v>
      </c>
      <c r="AL693" s="4">
        <f>SUM($AK$690:AK693)</f>
        <v>27.571428571428573</v>
      </c>
      <c r="AM693" s="4">
        <f>SUM($AK$384:AK693)</f>
        <v>1787.2714285714248</v>
      </c>
      <c r="AN693" s="323">
        <f t="shared" si="255"/>
        <v>0.86379835563079765</v>
      </c>
      <c r="AO693" s="323">
        <f t="shared" si="256"/>
        <v>0.86379835563079777</v>
      </c>
      <c r="AP693" s="323">
        <f t="shared" si="257"/>
        <v>0.87226242638857754</v>
      </c>
      <c r="AQ693" s="323">
        <f t="shared" si="258"/>
        <v>0.24808494439991666</v>
      </c>
      <c r="AR693" s="323">
        <f>Modelling_new[[#This Row],[Target E_Grid MTD
MWh]]/Modelling_new[[#This Row],[MTD DC Capcity]]/(24*CG693)</f>
        <v>0.22294890030677195</v>
      </c>
      <c r="AS693" s="323">
        <f>Modelling_new[[#This Row],[Target E_Grid YTD
MWh]]/Modelling_new[[#This Row],[YTD DC Capcity]]/(24*CH693)</f>
        <v>0.18830838903381042</v>
      </c>
      <c r="AT693" s="5">
        <v>12.8</v>
      </c>
      <c r="AU693" s="9">
        <f>Modelling_new[[#This Row],[Comisined DC ]]/$AO$1</f>
        <v>1</v>
      </c>
      <c r="AV693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93" s="5">
        <f>AVERAGEIFS(Modelling_new[[Comisined DC ]],Modelling_new[Date],"&lt;="&amp;Modelling_new[[#This Row],[Date]],Modelling_new[[Comisined DC ]],"&gt;"&amp;0,Modelling_new[Finacial Year],Modelling_new[[#This Row],[Finacial Year]])</f>
        <v>12.80000000000007</v>
      </c>
      <c r="BD693" s="27">
        <f t="shared" si="264"/>
        <v>45692</v>
      </c>
      <c r="BE693" s="5">
        <f>MONTH(Modelling[[#This Row],[Date]])</f>
        <v>2</v>
      </c>
      <c r="BF693" s="25">
        <f>YEAR(BD693)+IF(MONTH(Modelling[[#This Row],[Date]])&gt;=4,1,0)</f>
        <v>2025</v>
      </c>
      <c r="BG693" s="3">
        <f t="shared" si="259"/>
        <v>2025</v>
      </c>
      <c r="BH693" s="3" t="s">
        <v>627</v>
      </c>
      <c r="BI693" s="3" t="s">
        <v>627</v>
      </c>
      <c r="BJ693" s="102">
        <f>DATE(Modelling_old[[#This Row],[Calendor Year]],Modelling_old[[#This Row],[Start Month]],1)</f>
        <v>45689</v>
      </c>
      <c r="BK693" s="5">
        <f t="shared" si="260"/>
        <v>28</v>
      </c>
      <c r="BL693" s="5">
        <f t="shared" si="261"/>
        <v>2</v>
      </c>
      <c r="BM693" s="4">
        <f>Modelling_old[[#This Row],[Target E_Grid daily
MWh]]+Modelling_new[[#This Row],[Target E_Grid daily
MWh]]</f>
        <v>122.33633074566892</v>
      </c>
      <c r="BN693" s="4">
        <f>Modelling_old[[#This Row],[Target E_Grid MTD
MWh]]+Modelling_new[[#This Row],[Target E_Grid MTD
MWh]]</f>
        <v>489.34532298267567</v>
      </c>
      <c r="BO693" s="4">
        <f>Modelling_old[[#This Row],[Target E_Grid YTD
MWh]]+Modelling_new[[#This Row],[Target E_Grid YTD
MWh]]</f>
        <v>32199.370218753655</v>
      </c>
      <c r="BP693" s="4">
        <f>AVERAGE(Modelling_old[[#This Row],[Target POA Daily (KWh/m2)]],Modelling_new[[#This Row],[Target POA Daily (KWh/m2)]])</f>
        <v>6.8928571428571432</v>
      </c>
      <c r="BQ693" s="4">
        <f>SUM($BP$690:BP693)</f>
        <v>27.571428571428573</v>
      </c>
      <c r="BR693" s="4">
        <f>SUM($BP$384:BP693)</f>
        <v>1787.2714285714248</v>
      </c>
      <c r="BS693" s="323">
        <f>BM693/Modelling[[#This Row],[Comisined DC ]]/BP693</f>
        <v>0.73028856249211938</v>
      </c>
      <c r="BT693" s="337">
        <f>BN693/BQ693/Modelling[[#This Row],[Comisined DC ]]</f>
        <v>0.73028856249211938</v>
      </c>
      <c r="BU693" s="337">
        <f>BO693/BR693/Modelling[[#This Row],[Comisined DC ]]</f>
        <v>0.74130203245953907</v>
      </c>
      <c r="BV693" s="323">
        <f>BM693/(24*Modelling[[#This Row],[Comisined DC ]])</f>
        <v>0.20974061393002832</v>
      </c>
      <c r="BW693" s="323">
        <f>Modelling[[#This Row],[Target E_Grid MTD
MWh]]/Modelling[[#This Row],[MTD DC Capcity]]/(24*CG693)</f>
        <v>0.20974061393002832</v>
      </c>
      <c r="BX693" s="338">
        <f>Modelling[[#This Row],[Target E_Grid YTD
MWh]]/Modelling[[#This Row],[YTD DC Capcity]]/(24*CH693)</f>
        <v>0.178079024537212</v>
      </c>
      <c r="BY693" s="4">
        <f>Modelling_old[[#This Row],[DC Capcity]]+Modelling_new[[#This Row],[Comisined DC ]]</f>
        <v>24.303100000000001</v>
      </c>
      <c r="BZ693" s="4">
        <v>0</v>
      </c>
      <c r="CA693">
        <f>AVERAGEIFS(Modelling[[Comisined DC ]],Modelling[Date],"&lt;="&amp;Modelling[[#This Row],[Date]],Modelling[Month Year],Modelling[[#This Row],[Month Year]])</f>
        <v>24.303100000000001</v>
      </c>
      <c r="CB693">
        <f>AVERAGEIFS(Modelling[[Comisined DC ]],Modelling[Date],"&lt;="&amp;Modelling[[#This Row],[Date]],Modelling[Finacial Year],Modelling[[#This Row],[Finacial Year]])</f>
        <v>24.303100000000072</v>
      </c>
      <c r="CG693">
        <f t="shared" si="266"/>
        <v>4</v>
      </c>
      <c r="CH693">
        <f t="shared" si="262"/>
        <v>310</v>
      </c>
    </row>
    <row r="694" spans="1:86" x14ac:dyDescent="0.35">
      <c r="A694" s="27">
        <f t="shared" si="241"/>
        <v>45693</v>
      </c>
      <c r="B694" s="5">
        <f>MONTH(Modelling_old[[#This Row],[Date]])</f>
        <v>2</v>
      </c>
      <c r="C694" s="25">
        <v>2025</v>
      </c>
      <c r="D694" s="3">
        <f t="shared" si="243"/>
        <v>2025</v>
      </c>
      <c r="E694" s="3" t="s">
        <v>627</v>
      </c>
      <c r="F694" s="3" t="s">
        <v>627</v>
      </c>
      <c r="G694" s="102">
        <f>DATE(Modelling_old[[#This Row],[Calendor Year]],Modelling_old[[#This Row],[Start Month]],1)</f>
        <v>45689</v>
      </c>
      <c r="H694" s="5">
        <f t="shared" si="244"/>
        <v>28</v>
      </c>
      <c r="I694" s="5">
        <f t="shared" si="245"/>
        <v>2</v>
      </c>
      <c r="J694" s="4">
        <f>_xlfn.XLOOKUP(Modelling_old[[#This Row],[Month]],$C$1:$C$14,$N$1:$N$14)/Modelling_old[[#This Row],[Total Days]]</f>
        <v>53.846428571428575</v>
      </c>
      <c r="K694" s="4">
        <f>SUM($J$690:J694)</f>
        <v>269.23214285714289</v>
      </c>
      <c r="L694" s="4">
        <f>SUM($J$384:J694)</f>
        <v>14320.23214285715</v>
      </c>
      <c r="M694" s="4">
        <f t="shared" si="246"/>
        <v>6.8928571428571432</v>
      </c>
      <c r="N694" s="4">
        <f>SUM($M$690:M694)</f>
        <v>34.464285714285715</v>
      </c>
      <c r="O694" s="4">
        <f>SUM($M$384:M694)</f>
        <v>1794.164285714282</v>
      </c>
      <c r="P694" s="323">
        <f t="shared" si="247"/>
        <v>0.67911407346242281</v>
      </c>
      <c r="Q694" s="337">
        <f t="shared" si="248"/>
        <v>0.67911407346242292</v>
      </c>
      <c r="R694" s="337">
        <f t="shared" si="249"/>
        <v>0.69386176353807449</v>
      </c>
      <c r="S694" s="323">
        <f t="shared" si="250"/>
        <v>0.19504317883667802</v>
      </c>
      <c r="T694" s="9">
        <f>Modelling_old[[#This Row],[Target E_Grid MTD
MWh]]/Modelling_old[[#This Row],[DC Capcity]]/(24*CG694)</f>
        <v>0.19504317883667802</v>
      </c>
      <c r="U694" s="338">
        <f>Modelling_old[[#This Row],[Target E_Grid YTD
MWh]]/Modelling_old[[#This Row],[DC Capcity]]/(24*CH694)</f>
        <v>0.16678751277635873</v>
      </c>
      <c r="V694" s="134">
        <v>11.5031</v>
      </c>
      <c r="Y694" s="27">
        <f t="shared" si="263"/>
        <v>45693</v>
      </c>
      <c r="Z694" s="5">
        <f>MONTH(Modelling_new[[#This Row],[Date]])</f>
        <v>2</v>
      </c>
      <c r="AA694" s="25">
        <f>YEAR(Y694)+IF(MONTH(Modelling_new[[#This Row],[Date]])&gt;=4,1,0)</f>
        <v>2025</v>
      </c>
      <c r="AB694" s="3">
        <f t="shared" si="251"/>
        <v>2025</v>
      </c>
      <c r="AC694" s="3" t="s">
        <v>627</v>
      </c>
      <c r="AD694" s="3" t="s">
        <v>627</v>
      </c>
      <c r="AE694" s="102">
        <f>DATE(Modelling_old[[#This Row],[Calendor Year]],Modelling_old[[#This Row],[Start Month]],1)</f>
        <v>45689</v>
      </c>
      <c r="AF694" s="5">
        <f t="shared" si="252"/>
        <v>28</v>
      </c>
      <c r="AG694" s="5">
        <f t="shared" si="253"/>
        <v>2</v>
      </c>
      <c r="AH694" s="4">
        <f>_xlfn.XLOOKUP(Modelling_new[[#This Row],[Month]],$AA$1:$AA$14,$AL$1:$AL$14)/Modelling_new[[#This Row],[Total Days]]</f>
        <v>68.489902174240342</v>
      </c>
      <c r="AI694" s="4">
        <f>SUM($AH$690:AH694)</f>
        <v>342.44951087120171</v>
      </c>
      <c r="AJ694" s="4">
        <f>SUM($AH$384:AH694)</f>
        <v>18001.47440664217</v>
      </c>
      <c r="AK694" s="4">
        <f t="shared" si="254"/>
        <v>6.8928571428571432</v>
      </c>
      <c r="AL694" s="4">
        <f>SUM($AK$690:AK694)</f>
        <v>34.464285714285715</v>
      </c>
      <c r="AM694" s="4">
        <f>SUM($AK$384:AK694)</f>
        <v>1794.164285714282</v>
      </c>
      <c r="AN694" s="323">
        <f t="shared" si="255"/>
        <v>0.86379835563079765</v>
      </c>
      <c r="AO694" s="323">
        <f t="shared" si="256"/>
        <v>0.86379835563079777</v>
      </c>
      <c r="AP694" s="323">
        <f t="shared" si="257"/>
        <v>0.87222990894798147</v>
      </c>
      <c r="AQ694" s="323">
        <f t="shared" si="258"/>
        <v>0.24808494439991666</v>
      </c>
      <c r="AR694" s="323">
        <f>Modelling_new[[#This Row],[Target E_Grid MTD
MWh]]/Modelling_new[[#This Row],[MTD DC Capcity]]/(24*CG694)</f>
        <v>0.22294890030677195</v>
      </c>
      <c r="AS694" s="323">
        <f>Modelling_new[[#This Row],[Target E_Grid YTD
MWh]]/Modelling_new[[#This Row],[YTD DC Capcity]]/(24*CH694)</f>
        <v>0.18841977331443083</v>
      </c>
      <c r="AT694" s="5">
        <v>12.8</v>
      </c>
      <c r="AU694" s="9">
        <f>Modelling_new[[#This Row],[Comisined DC ]]/$AO$1</f>
        <v>1</v>
      </c>
      <c r="AV694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694" s="5">
        <f>AVERAGEIFS(Modelling_new[[Comisined DC ]],Modelling_new[Date],"&lt;="&amp;Modelling_new[[#This Row],[Date]],Modelling_new[[Comisined DC ]],"&gt;"&amp;0,Modelling_new[Finacial Year],Modelling_new[[#This Row],[Finacial Year]])</f>
        <v>12.80000000000007</v>
      </c>
      <c r="BD694" s="27">
        <f t="shared" si="264"/>
        <v>45693</v>
      </c>
      <c r="BE694" s="5">
        <f>MONTH(Modelling[[#This Row],[Date]])</f>
        <v>2</v>
      </c>
      <c r="BF694" s="25">
        <f>YEAR(BD694)+IF(MONTH(Modelling[[#This Row],[Date]])&gt;=4,1,0)</f>
        <v>2025</v>
      </c>
      <c r="BG694" s="3">
        <f t="shared" si="259"/>
        <v>2025</v>
      </c>
      <c r="BH694" s="3" t="s">
        <v>627</v>
      </c>
      <c r="BI694" s="3" t="s">
        <v>627</v>
      </c>
      <c r="BJ694" s="102">
        <f>DATE(Modelling_old[[#This Row],[Calendor Year]],Modelling_old[[#This Row],[Start Month]],1)</f>
        <v>45689</v>
      </c>
      <c r="BK694" s="5">
        <f t="shared" si="260"/>
        <v>28</v>
      </c>
      <c r="BL694" s="5">
        <f t="shared" si="261"/>
        <v>2</v>
      </c>
      <c r="BM694" s="4">
        <f>Modelling_old[[#This Row],[Target E_Grid daily
MWh]]+Modelling_new[[#This Row],[Target E_Grid daily
MWh]]</f>
        <v>122.33633074566892</v>
      </c>
      <c r="BN694" s="4">
        <f>Modelling_old[[#This Row],[Target E_Grid MTD
MWh]]+Modelling_new[[#This Row],[Target E_Grid MTD
MWh]]</f>
        <v>611.6816537283446</v>
      </c>
      <c r="BO694" s="4">
        <f>Modelling_old[[#This Row],[Target E_Grid YTD
MWh]]+Modelling_new[[#This Row],[Target E_Grid YTD
MWh]]</f>
        <v>32321.706549499322</v>
      </c>
      <c r="BP694" s="4">
        <f>AVERAGE(Modelling_old[[#This Row],[Target POA Daily (KWh/m2)]],Modelling_new[[#This Row],[Target POA Daily (KWh/m2)]])</f>
        <v>6.8928571428571432</v>
      </c>
      <c r="BQ694" s="4">
        <f>SUM($BP$690:BP694)</f>
        <v>34.464285714285715</v>
      </c>
      <c r="BR694" s="4">
        <f>SUM($BP$384:BP694)</f>
        <v>1794.164285714282</v>
      </c>
      <c r="BS694" s="323">
        <f>BM694/Modelling[[#This Row],[Comisined DC ]]/BP694</f>
        <v>0.73028856249211938</v>
      </c>
      <c r="BT694" s="337">
        <f>BN694/BQ694/Modelling[[#This Row],[Comisined DC ]]</f>
        <v>0.73028856249211938</v>
      </c>
      <c r="BU694" s="337">
        <f>BO694/BR694/Modelling[[#This Row],[Comisined DC ]]</f>
        <v>0.74125972068478307</v>
      </c>
      <c r="BV694" s="323">
        <f>BM694/(24*Modelling[[#This Row],[Comisined DC ]])</f>
        <v>0.20974061393002832</v>
      </c>
      <c r="BW694" s="323">
        <f>Modelling[[#This Row],[Target E_Grid MTD
MWh]]/Modelling[[#This Row],[MTD DC Capcity]]/(24*CG694)</f>
        <v>0.20974061393002832</v>
      </c>
      <c r="BX694" s="338">
        <f>Modelling[[#This Row],[Target E_Grid YTD
MWh]]/Modelling[[#This Row],[YTD DC Capcity]]/(24*CH694)</f>
        <v>0.17818083029088663</v>
      </c>
      <c r="BY694" s="4">
        <f>Modelling_old[[#This Row],[DC Capcity]]+Modelling_new[[#This Row],[Comisined DC ]]</f>
        <v>24.303100000000001</v>
      </c>
      <c r="BZ694" s="4">
        <v>0</v>
      </c>
      <c r="CA694">
        <f>AVERAGEIFS(Modelling[[Comisined DC ]],Modelling[Date],"&lt;="&amp;Modelling[[#This Row],[Date]],Modelling[Month Year],Modelling[[#This Row],[Month Year]])</f>
        <v>24.303100000000001</v>
      </c>
      <c r="CB694">
        <f>AVERAGEIFS(Modelling[[Comisined DC ]],Modelling[Date],"&lt;="&amp;Modelling[[#This Row],[Date]],Modelling[Finacial Year],Modelling[[#This Row],[Finacial Year]])</f>
        <v>24.303100000000072</v>
      </c>
      <c r="CG694">
        <f t="shared" si="266"/>
        <v>5</v>
      </c>
      <c r="CH694">
        <f t="shared" si="262"/>
        <v>311</v>
      </c>
    </row>
    <row r="695" spans="1:86" x14ac:dyDescent="0.35">
      <c r="A695" s="27">
        <f t="shared" si="241"/>
        <v>45694</v>
      </c>
      <c r="B695" s="5">
        <f>MONTH(Modelling_old[[#This Row],[Date]])</f>
        <v>2</v>
      </c>
      <c r="C695" s="25">
        <v>2025</v>
      </c>
      <c r="D695" s="3">
        <f t="shared" si="243"/>
        <v>2025</v>
      </c>
      <c r="E695" s="3" t="s">
        <v>627</v>
      </c>
      <c r="F695" s="3" t="s">
        <v>627</v>
      </c>
      <c r="G695" s="102">
        <f>DATE(Modelling_old[[#This Row],[Calendor Year]],Modelling_old[[#This Row],[Start Month]],1)</f>
        <v>45689</v>
      </c>
      <c r="H695" s="5">
        <f t="shared" si="244"/>
        <v>28</v>
      </c>
      <c r="I695" s="5">
        <f t="shared" si="245"/>
        <v>2</v>
      </c>
      <c r="J695" s="4">
        <f>_xlfn.XLOOKUP(Modelling_old[[#This Row],[Month]],$C$1:$C$14,$N$1:$N$14)/Modelling_old[[#This Row],[Total Days]]</f>
        <v>53.846428571428575</v>
      </c>
      <c r="K695" s="4">
        <f>SUM($J$690:J695)</f>
        <v>323.07857142857148</v>
      </c>
      <c r="L695" s="4">
        <f>SUM($J$384:J695)</f>
        <v>14374.078571428579</v>
      </c>
      <c r="M695" s="4">
        <f t="shared" si="246"/>
        <v>6.8928571428571432</v>
      </c>
      <c r="N695" s="4">
        <f>SUM($M$690:M695)</f>
        <v>41.357142857142861</v>
      </c>
      <c r="O695" s="4">
        <f>SUM($M$384:M695)</f>
        <v>1801.0571428571391</v>
      </c>
      <c r="P695" s="323">
        <f t="shared" si="247"/>
        <v>0.67911407346242281</v>
      </c>
      <c r="Q695" s="337">
        <f t="shared" si="248"/>
        <v>0.67911407346242281</v>
      </c>
      <c r="R695" s="337">
        <f t="shared" si="249"/>
        <v>0.69380532239666948</v>
      </c>
      <c r="S695" s="323">
        <f t="shared" si="250"/>
        <v>0.19504317883667802</v>
      </c>
      <c r="T695" s="9">
        <f>Modelling_old[[#This Row],[Target E_Grid MTD
MWh]]/Modelling_old[[#This Row],[DC Capcity]]/(24*CG695)</f>
        <v>0.19504317883667802</v>
      </c>
      <c r="U695" s="338">
        <f>Modelling_old[[#This Row],[Target E_Grid YTD
MWh]]/Modelling_old[[#This Row],[DC Capcity]]/(24*CH695)</f>
        <v>0.16687807580860334</v>
      </c>
      <c r="V695" s="134">
        <v>11.5031</v>
      </c>
      <c r="Y695" s="27">
        <f t="shared" si="263"/>
        <v>45694</v>
      </c>
      <c r="Z695" s="5">
        <f>MONTH(Modelling_new[[#This Row],[Date]])</f>
        <v>2</v>
      </c>
      <c r="AA695" s="25">
        <f>YEAR(Y695)+IF(MONTH(Modelling_new[[#This Row],[Date]])&gt;=4,1,0)</f>
        <v>2025</v>
      </c>
      <c r="AB695" s="3">
        <f t="shared" si="251"/>
        <v>2025</v>
      </c>
      <c r="AC695" s="3" t="s">
        <v>627</v>
      </c>
      <c r="AD695" s="3" t="s">
        <v>627</v>
      </c>
      <c r="AE695" s="102">
        <f>DATE(Modelling_old[[#This Row],[Calendor Year]],Modelling_old[[#This Row],[Start Month]],1)</f>
        <v>45689</v>
      </c>
      <c r="AF695" s="5">
        <f t="shared" si="252"/>
        <v>28</v>
      </c>
      <c r="AG695" s="5">
        <f t="shared" si="253"/>
        <v>2</v>
      </c>
      <c r="AH695" s="4">
        <f>_xlfn.XLOOKUP(Modelling_new[[#This Row],[Month]],$AA$1:$AA$14,$AL$1:$AL$14)/Modelling_new[[#This Row],[Total Days]]</f>
        <v>68.489902174240342</v>
      </c>
      <c r="AI695" s="4">
        <f>SUM($AH$690:AH695)</f>
        <v>410.93941304544205</v>
      </c>
      <c r="AJ695" s="4">
        <f>SUM($AH$384:AH695)</f>
        <v>18069.964308816408</v>
      </c>
      <c r="AK695" s="4">
        <f t="shared" si="254"/>
        <v>6.8928571428571432</v>
      </c>
      <c r="AL695" s="4">
        <f>SUM($AK$690:AK695)</f>
        <v>41.357142857142861</v>
      </c>
      <c r="AM695" s="4">
        <f>SUM($AK$384:AK695)</f>
        <v>1801.0571428571391</v>
      </c>
      <c r="AN695" s="323">
        <f t="shared" si="255"/>
        <v>0.86379835563079765</v>
      </c>
      <c r="AO695" s="323">
        <f t="shared" si="256"/>
        <v>0.86379835563079777</v>
      </c>
      <c r="AP695" s="323">
        <f t="shared" si="257"/>
        <v>0.87219764040351111</v>
      </c>
      <c r="AQ695" s="323">
        <f t="shared" si="258"/>
        <v>0.24808494439991666</v>
      </c>
      <c r="AR695" s="323">
        <f>Modelling_new[[#This Row],[Target E_Grid MTD
MWh]]/Modelling_new[[#This Row],[MTD DC Capcity]]/(24*CG695)</f>
        <v>0.22294890030677195</v>
      </c>
      <c r="AS695" s="323">
        <f>Modelling_new[[#This Row],[Target E_Grid YTD
MWh]]/Modelling_new[[#This Row],[YTD DC Capcity]]/(24*CH695)</f>
        <v>0.18853044359325241</v>
      </c>
      <c r="AT695" s="5">
        <v>12.8</v>
      </c>
      <c r="AU695" s="9">
        <f>Modelling_new[[#This Row],[Comisined DC ]]/$AO$1</f>
        <v>1</v>
      </c>
      <c r="AV69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95" s="5">
        <f>AVERAGEIFS(Modelling_new[[Comisined DC ]],Modelling_new[Date],"&lt;="&amp;Modelling_new[[#This Row],[Date]],Modelling_new[[Comisined DC ]],"&gt;"&amp;0,Modelling_new[Finacial Year],Modelling_new[[#This Row],[Finacial Year]])</f>
        <v>12.800000000000072</v>
      </c>
      <c r="BD695" s="27">
        <f t="shared" si="264"/>
        <v>45694</v>
      </c>
      <c r="BE695" s="5">
        <f>MONTH(Modelling[[#This Row],[Date]])</f>
        <v>2</v>
      </c>
      <c r="BF695" s="25">
        <f>YEAR(BD695)+IF(MONTH(Modelling[[#This Row],[Date]])&gt;=4,1,0)</f>
        <v>2025</v>
      </c>
      <c r="BG695" s="3">
        <f t="shared" si="259"/>
        <v>2025</v>
      </c>
      <c r="BH695" s="3" t="s">
        <v>627</v>
      </c>
      <c r="BI695" s="3" t="s">
        <v>627</v>
      </c>
      <c r="BJ695" s="102">
        <f>DATE(Modelling_old[[#This Row],[Calendor Year]],Modelling_old[[#This Row],[Start Month]],1)</f>
        <v>45689</v>
      </c>
      <c r="BK695" s="5">
        <f t="shared" si="260"/>
        <v>28</v>
      </c>
      <c r="BL695" s="5">
        <f t="shared" si="261"/>
        <v>2</v>
      </c>
      <c r="BM695" s="4">
        <f>Modelling_old[[#This Row],[Target E_Grid daily
MWh]]+Modelling_new[[#This Row],[Target E_Grid daily
MWh]]</f>
        <v>122.33633074566892</v>
      </c>
      <c r="BN695" s="4">
        <f>Modelling_old[[#This Row],[Target E_Grid MTD
MWh]]+Modelling_new[[#This Row],[Target E_Grid MTD
MWh]]</f>
        <v>734.01798447401347</v>
      </c>
      <c r="BO695" s="4">
        <f>Modelling_old[[#This Row],[Target E_Grid YTD
MWh]]+Modelling_new[[#This Row],[Target E_Grid YTD
MWh]]</f>
        <v>32444.04288024499</v>
      </c>
      <c r="BP695" s="4">
        <f>AVERAGE(Modelling_old[[#This Row],[Target POA Daily (KWh/m2)]],Modelling_new[[#This Row],[Target POA Daily (KWh/m2)]])</f>
        <v>6.8928571428571432</v>
      </c>
      <c r="BQ695" s="4">
        <f>SUM($BP$690:BP695)</f>
        <v>41.357142857142861</v>
      </c>
      <c r="BR695" s="4">
        <f>SUM($BP$384:BP695)</f>
        <v>1801.0571428571391</v>
      </c>
      <c r="BS695" s="323">
        <f>BM695/Modelling[[#This Row],[Comisined DC ]]/BP695</f>
        <v>0.73028856249211938</v>
      </c>
      <c r="BT695" s="337">
        <f>BN695/BQ695/Modelling[[#This Row],[Comisined DC ]]</f>
        <v>0.73028856249211926</v>
      </c>
      <c r="BU695" s="337">
        <f>BO695/BR695/Modelling[[#This Row],[Comisined DC ]]</f>
        <v>0.74121773277428626</v>
      </c>
      <c r="BV695" s="323">
        <f>BM695/(24*Modelling[[#This Row],[Comisined DC ]])</f>
        <v>0.20974061393002832</v>
      </c>
      <c r="BW695" s="323">
        <f>Modelling[[#This Row],[Target E_Grid MTD
MWh]]/Modelling[[#This Row],[MTD DC Capcity]]/(24*CG695)</f>
        <v>0.2097406139300283</v>
      </c>
      <c r="BX695" s="338">
        <f>Modelling[[#This Row],[Target E_Grid YTD
MWh]]/Modelling[[#This Row],[YTD DC Capcity]]/(24*CH695)</f>
        <v>0.17828198344357621</v>
      </c>
      <c r="BY695" s="4">
        <f>Modelling_old[[#This Row],[DC Capcity]]+Modelling_new[[#This Row],[Comisined DC ]]</f>
        <v>24.303100000000001</v>
      </c>
      <c r="BZ695" s="4">
        <v>0</v>
      </c>
      <c r="CA695">
        <f>AVERAGEIFS(Modelling[[Comisined DC ]],Modelling[Date],"&lt;="&amp;Modelling[[#This Row],[Date]],Modelling[Month Year],Modelling[[#This Row],[Month Year]])</f>
        <v>24.303100000000001</v>
      </c>
      <c r="CB695">
        <f>AVERAGEIFS(Modelling[[Comisined DC ]],Modelling[Date],"&lt;="&amp;Modelling[[#This Row],[Date]],Modelling[Finacial Year],Modelling[[#This Row],[Finacial Year]])</f>
        <v>24.303100000000072</v>
      </c>
      <c r="CG695">
        <f t="shared" si="266"/>
        <v>6</v>
      </c>
      <c r="CH695">
        <f t="shared" si="262"/>
        <v>312</v>
      </c>
    </row>
    <row r="696" spans="1:86" x14ac:dyDescent="0.35">
      <c r="A696" s="27">
        <f t="shared" si="241"/>
        <v>45695</v>
      </c>
      <c r="B696" s="5">
        <f>MONTH(Modelling_old[[#This Row],[Date]])</f>
        <v>2</v>
      </c>
      <c r="C696" s="25">
        <v>2025</v>
      </c>
      <c r="D696" s="3">
        <f t="shared" si="243"/>
        <v>2025</v>
      </c>
      <c r="E696" s="3" t="s">
        <v>627</v>
      </c>
      <c r="F696" s="3" t="s">
        <v>627</v>
      </c>
      <c r="G696" s="102">
        <f>DATE(Modelling_old[[#This Row],[Calendor Year]],Modelling_old[[#This Row],[Start Month]],1)</f>
        <v>45689</v>
      </c>
      <c r="H696" s="5">
        <f t="shared" si="244"/>
        <v>28</v>
      </c>
      <c r="I696" s="5">
        <f t="shared" si="245"/>
        <v>2</v>
      </c>
      <c r="J696" s="4">
        <f>_xlfn.XLOOKUP(Modelling_old[[#This Row],[Month]],$C$1:$C$14,$N$1:$N$14)/Modelling_old[[#This Row],[Total Days]]</f>
        <v>53.846428571428575</v>
      </c>
      <c r="K696" s="4">
        <f>SUM($J$690:J696)</f>
        <v>376.92500000000007</v>
      </c>
      <c r="L696" s="4">
        <f>SUM($J$384:J696)</f>
        <v>14427.925000000008</v>
      </c>
      <c r="M696" s="4">
        <f t="shared" si="246"/>
        <v>6.8928571428571432</v>
      </c>
      <c r="N696" s="4">
        <f>SUM($M$690:M696)</f>
        <v>48.250000000000007</v>
      </c>
      <c r="O696" s="4">
        <f>SUM($M$384:M696)</f>
        <v>1807.9499999999962</v>
      </c>
      <c r="P696" s="323">
        <f t="shared" si="247"/>
        <v>0.67911407346242281</v>
      </c>
      <c r="Q696" s="337">
        <f t="shared" si="248"/>
        <v>0.67911407346242281</v>
      </c>
      <c r="R696" s="337">
        <f t="shared" si="249"/>
        <v>0.69374931162195008</v>
      </c>
      <c r="S696" s="323">
        <f t="shared" si="250"/>
        <v>0.19504317883667802</v>
      </c>
      <c r="T696" s="9">
        <f>Modelling_old[[#This Row],[Target E_Grid MTD
MWh]]/Modelling_old[[#This Row],[DC Capcity]]/(24*CG696)</f>
        <v>0.19504317883667804</v>
      </c>
      <c r="U696" s="338">
        <f>Modelling_old[[#This Row],[Target E_Grid YTD
MWh]]/Modelling_old[[#This Row],[DC Capcity]]/(24*CH696)</f>
        <v>0.16696806016332563</v>
      </c>
      <c r="V696" s="134">
        <v>11.5031</v>
      </c>
      <c r="Y696" s="27">
        <f t="shared" si="263"/>
        <v>45695</v>
      </c>
      <c r="Z696" s="5">
        <f>MONTH(Modelling_new[[#This Row],[Date]])</f>
        <v>2</v>
      </c>
      <c r="AA696" s="25">
        <f>YEAR(Y696)+IF(MONTH(Modelling_new[[#This Row],[Date]])&gt;=4,1,0)</f>
        <v>2025</v>
      </c>
      <c r="AB696" s="3">
        <f t="shared" si="251"/>
        <v>2025</v>
      </c>
      <c r="AC696" s="3" t="s">
        <v>627</v>
      </c>
      <c r="AD696" s="3" t="s">
        <v>627</v>
      </c>
      <c r="AE696" s="102">
        <f>DATE(Modelling_old[[#This Row],[Calendor Year]],Modelling_old[[#This Row],[Start Month]],1)</f>
        <v>45689</v>
      </c>
      <c r="AF696" s="5">
        <f t="shared" si="252"/>
        <v>28</v>
      </c>
      <c r="AG696" s="5">
        <f t="shared" si="253"/>
        <v>2</v>
      </c>
      <c r="AH696" s="4">
        <f>_xlfn.XLOOKUP(Modelling_new[[#This Row],[Month]],$AA$1:$AA$14,$AL$1:$AL$14)/Modelling_new[[#This Row],[Total Days]]</f>
        <v>68.489902174240342</v>
      </c>
      <c r="AI696" s="4">
        <f>SUM($AH$690:AH696)</f>
        <v>479.42931521968239</v>
      </c>
      <c r="AJ696" s="4">
        <f>SUM($AH$384:AH696)</f>
        <v>18138.454210990647</v>
      </c>
      <c r="AK696" s="4">
        <f t="shared" si="254"/>
        <v>6.8928571428571432</v>
      </c>
      <c r="AL696" s="4">
        <f>SUM($AK$690:AK696)</f>
        <v>48.250000000000007</v>
      </c>
      <c r="AM696" s="4">
        <f>SUM($AK$384:AK696)</f>
        <v>1807.9499999999962</v>
      </c>
      <c r="AN696" s="323">
        <f t="shared" si="255"/>
        <v>0.86379835563079765</v>
      </c>
      <c r="AO696" s="323">
        <f t="shared" si="256"/>
        <v>0.86379835563079777</v>
      </c>
      <c r="AP696" s="323">
        <f t="shared" si="257"/>
        <v>0.87216561790839742</v>
      </c>
      <c r="AQ696" s="323">
        <f t="shared" si="258"/>
        <v>0.24808494439991666</v>
      </c>
      <c r="AR696" s="323">
        <f>Modelling_new[[#This Row],[Target E_Grid MTD
MWh]]/Modelling_new[[#This Row],[MTD DC Capcity]]/(24*CG696)</f>
        <v>0.22294890030677195</v>
      </c>
      <c r="AS696" s="323">
        <f>Modelling_new[[#This Row],[Target E_Grid YTD
MWh]]/Modelling_new[[#This Row],[YTD DC Capcity]]/(24*CH696)</f>
        <v>0.18864040671374285</v>
      </c>
      <c r="AT696" s="5">
        <v>12.8</v>
      </c>
      <c r="AU696" s="9">
        <f>Modelling_new[[#This Row],[Comisined DC ]]/$AO$1</f>
        <v>1</v>
      </c>
      <c r="AV696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96" s="5">
        <f>AVERAGEIFS(Modelling_new[[Comisined DC ]],Modelling_new[Date],"&lt;="&amp;Modelling_new[[#This Row],[Date]],Modelling_new[[Comisined DC ]],"&gt;"&amp;0,Modelling_new[Finacial Year],Modelling_new[[#This Row],[Finacial Year]])</f>
        <v>12.800000000000072</v>
      </c>
      <c r="BD696" s="27">
        <f t="shared" si="264"/>
        <v>45695</v>
      </c>
      <c r="BE696" s="5">
        <f>MONTH(Modelling[[#This Row],[Date]])</f>
        <v>2</v>
      </c>
      <c r="BF696" s="25">
        <f>YEAR(BD696)+IF(MONTH(Modelling[[#This Row],[Date]])&gt;=4,1,0)</f>
        <v>2025</v>
      </c>
      <c r="BG696" s="3">
        <f t="shared" si="259"/>
        <v>2025</v>
      </c>
      <c r="BH696" s="3" t="s">
        <v>627</v>
      </c>
      <c r="BI696" s="3" t="s">
        <v>627</v>
      </c>
      <c r="BJ696" s="102">
        <f>DATE(Modelling_old[[#This Row],[Calendor Year]],Modelling_old[[#This Row],[Start Month]],1)</f>
        <v>45689</v>
      </c>
      <c r="BK696" s="5">
        <f t="shared" si="260"/>
        <v>28</v>
      </c>
      <c r="BL696" s="5">
        <f t="shared" si="261"/>
        <v>2</v>
      </c>
      <c r="BM696" s="4">
        <f>Modelling_old[[#This Row],[Target E_Grid daily
MWh]]+Modelling_new[[#This Row],[Target E_Grid daily
MWh]]</f>
        <v>122.33633074566892</v>
      </c>
      <c r="BN696" s="4">
        <f>Modelling_old[[#This Row],[Target E_Grid MTD
MWh]]+Modelling_new[[#This Row],[Target E_Grid MTD
MWh]]</f>
        <v>856.35431521968246</v>
      </c>
      <c r="BO696" s="4">
        <f>Modelling_old[[#This Row],[Target E_Grid YTD
MWh]]+Modelling_new[[#This Row],[Target E_Grid YTD
MWh]]</f>
        <v>32566.379210990657</v>
      </c>
      <c r="BP696" s="4">
        <f>AVERAGE(Modelling_old[[#This Row],[Target POA Daily (KWh/m2)]],Modelling_new[[#This Row],[Target POA Daily (KWh/m2)]])</f>
        <v>6.8928571428571432</v>
      </c>
      <c r="BQ696" s="4">
        <f>SUM($BP$690:BP696)</f>
        <v>48.250000000000007</v>
      </c>
      <c r="BR696" s="4">
        <f>SUM($BP$384:BP696)</f>
        <v>1807.9499999999962</v>
      </c>
      <c r="BS696" s="323">
        <f>BM696/Modelling[[#This Row],[Comisined DC ]]/BP696</f>
        <v>0.73028856249211938</v>
      </c>
      <c r="BT696" s="337">
        <f>BN696/BQ696/Modelling[[#This Row],[Comisined DC ]]</f>
        <v>0.73028856249211926</v>
      </c>
      <c r="BU696" s="337">
        <f>BO696/BR696/Modelling[[#This Row],[Comisined DC ]]</f>
        <v>0.74117606502382583</v>
      </c>
      <c r="BV696" s="323">
        <f>BM696/(24*Modelling[[#This Row],[Comisined DC ]])</f>
        <v>0.20974061393002832</v>
      </c>
      <c r="BW696" s="323">
        <f>Modelling[[#This Row],[Target E_Grid MTD
MWh]]/Modelling[[#This Row],[MTD DC Capcity]]/(24*CG696)</f>
        <v>0.20974061393002832</v>
      </c>
      <c r="BX696" s="338">
        <f>Modelling[[#This Row],[Target E_Grid YTD
MWh]]/Modelling[[#This Row],[YTD DC Capcity]]/(24*CH696)</f>
        <v>0.17838249025024216</v>
      </c>
      <c r="BY696" s="4">
        <f>Modelling_old[[#This Row],[DC Capcity]]+Modelling_new[[#This Row],[Comisined DC ]]</f>
        <v>24.303100000000001</v>
      </c>
      <c r="BZ696" s="4">
        <v>0</v>
      </c>
      <c r="CA696">
        <f>AVERAGEIFS(Modelling[[Comisined DC ]],Modelling[Date],"&lt;="&amp;Modelling[[#This Row],[Date]],Modelling[Month Year],Modelling[[#This Row],[Month Year]])</f>
        <v>24.303100000000001</v>
      </c>
      <c r="CB696">
        <f>AVERAGEIFS(Modelling[[Comisined DC ]],Modelling[Date],"&lt;="&amp;Modelling[[#This Row],[Date]],Modelling[Finacial Year],Modelling[[#This Row],[Finacial Year]])</f>
        <v>24.303100000000072</v>
      </c>
      <c r="CG696">
        <f t="shared" si="266"/>
        <v>7</v>
      </c>
      <c r="CH696">
        <f t="shared" si="262"/>
        <v>313</v>
      </c>
    </row>
    <row r="697" spans="1:86" x14ac:dyDescent="0.35">
      <c r="A697" s="27">
        <f t="shared" si="241"/>
        <v>45696</v>
      </c>
      <c r="B697" s="5">
        <f>MONTH(Modelling_old[[#This Row],[Date]])</f>
        <v>2</v>
      </c>
      <c r="C697" s="25">
        <v>2025</v>
      </c>
      <c r="D697" s="3">
        <f t="shared" si="243"/>
        <v>2025</v>
      </c>
      <c r="E697" s="3" t="s">
        <v>627</v>
      </c>
      <c r="F697" s="3" t="s">
        <v>627</v>
      </c>
      <c r="G697" s="102">
        <f>DATE(Modelling_old[[#This Row],[Calendor Year]],Modelling_old[[#This Row],[Start Month]],1)</f>
        <v>45689</v>
      </c>
      <c r="H697" s="5">
        <f t="shared" si="244"/>
        <v>28</v>
      </c>
      <c r="I697" s="5">
        <f t="shared" si="245"/>
        <v>2</v>
      </c>
      <c r="J697" s="4">
        <f>_xlfn.XLOOKUP(Modelling_old[[#This Row],[Month]],$C$1:$C$14,$N$1:$N$14)/Modelling_old[[#This Row],[Total Days]]</f>
        <v>53.846428571428575</v>
      </c>
      <c r="K697" s="4">
        <f>SUM($J$690:J697)</f>
        <v>430.77142857142866</v>
      </c>
      <c r="L697" s="4">
        <f>SUM($J$384:J697)</f>
        <v>14481.771428571437</v>
      </c>
      <c r="M697" s="4">
        <f t="shared" si="246"/>
        <v>6.8928571428571432</v>
      </c>
      <c r="N697" s="4">
        <f>SUM($M$690:M697)</f>
        <v>55.142857142857153</v>
      </c>
      <c r="O697" s="4">
        <f>SUM($M$384:M697)</f>
        <v>1814.8428571428533</v>
      </c>
      <c r="P697" s="323">
        <f t="shared" si="247"/>
        <v>0.67911407346242281</v>
      </c>
      <c r="Q697" s="337">
        <f t="shared" si="248"/>
        <v>0.67911407346242281</v>
      </c>
      <c r="R697" s="337">
        <f t="shared" si="249"/>
        <v>0.69369372631025872</v>
      </c>
      <c r="S697" s="323">
        <f t="shared" si="250"/>
        <v>0.19504317883667802</v>
      </c>
      <c r="T697" s="9">
        <f>Modelling_old[[#This Row],[Target E_Grid MTD
MWh]]/Modelling_old[[#This Row],[DC Capcity]]/(24*CG697)</f>
        <v>0.19504317883667802</v>
      </c>
      <c r="U697" s="338">
        <f>Modelling_old[[#This Row],[Target E_Grid YTD
MWh]]/Modelling_old[[#This Row],[DC Capcity]]/(24*CH697)</f>
        <v>0.16705747136929172</v>
      </c>
      <c r="V697" s="134">
        <v>11.5031</v>
      </c>
      <c r="Y697" s="27">
        <f t="shared" si="263"/>
        <v>45696</v>
      </c>
      <c r="Z697" s="5">
        <f>MONTH(Modelling_new[[#This Row],[Date]])</f>
        <v>2</v>
      </c>
      <c r="AA697" s="25">
        <f>YEAR(Y697)+IF(MONTH(Modelling_new[[#This Row],[Date]])&gt;=4,1,0)</f>
        <v>2025</v>
      </c>
      <c r="AB697" s="3">
        <f t="shared" si="251"/>
        <v>2025</v>
      </c>
      <c r="AC697" s="3" t="s">
        <v>627</v>
      </c>
      <c r="AD697" s="3" t="s">
        <v>627</v>
      </c>
      <c r="AE697" s="102">
        <f>DATE(Modelling_old[[#This Row],[Calendor Year]],Modelling_old[[#This Row],[Start Month]],1)</f>
        <v>45689</v>
      </c>
      <c r="AF697" s="5">
        <f t="shared" si="252"/>
        <v>28</v>
      </c>
      <c r="AG697" s="5">
        <f t="shared" si="253"/>
        <v>2</v>
      </c>
      <c r="AH697" s="4">
        <f>_xlfn.XLOOKUP(Modelling_new[[#This Row],[Month]],$AA$1:$AA$14,$AL$1:$AL$14)/Modelling_new[[#This Row],[Total Days]]</f>
        <v>68.489902174240342</v>
      </c>
      <c r="AI697" s="4">
        <f>SUM($AH$690:AH697)</f>
        <v>547.91921739392274</v>
      </c>
      <c r="AJ697" s="4">
        <f>SUM($AH$384:AH697)</f>
        <v>18206.944113164885</v>
      </c>
      <c r="AK697" s="4">
        <f t="shared" si="254"/>
        <v>6.8928571428571432</v>
      </c>
      <c r="AL697" s="4">
        <f>SUM($AK$690:AK697)</f>
        <v>55.142857142857153</v>
      </c>
      <c r="AM697" s="4">
        <f>SUM($AK$384:AK697)</f>
        <v>1814.8428571428533</v>
      </c>
      <c r="AN697" s="323">
        <f t="shared" si="255"/>
        <v>0.86379835563079765</v>
      </c>
      <c r="AO697" s="323">
        <f t="shared" si="256"/>
        <v>0.86379835563079754</v>
      </c>
      <c r="AP697" s="323">
        <f t="shared" si="257"/>
        <v>0.87213383865912009</v>
      </c>
      <c r="AQ697" s="323">
        <f t="shared" si="258"/>
        <v>0.24808494439991666</v>
      </c>
      <c r="AR697" s="323">
        <f>Modelling_new[[#This Row],[Target E_Grid MTD
MWh]]/Modelling_new[[#This Row],[MTD DC Capcity]]/(24*CG697)</f>
        <v>0.22294890030677197</v>
      </c>
      <c r="AS697" s="323">
        <f>Modelling_new[[#This Row],[Target E_Grid YTD
MWh]]/Modelling_new[[#This Row],[YTD DC Capcity]]/(24*CH697)</f>
        <v>0.18874966943219196</v>
      </c>
      <c r="AT697" s="5">
        <v>12.8</v>
      </c>
      <c r="AU697" s="9">
        <f>Modelling_new[[#This Row],[Comisined DC ]]/$AO$1</f>
        <v>1</v>
      </c>
      <c r="AV697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97" s="5">
        <f>AVERAGEIFS(Modelling_new[[Comisined DC ]],Modelling_new[Date],"&lt;="&amp;Modelling_new[[#This Row],[Date]],Modelling_new[[Comisined DC ]],"&gt;"&amp;0,Modelling_new[Finacial Year],Modelling_new[[#This Row],[Finacial Year]])</f>
        <v>12.800000000000072</v>
      </c>
      <c r="BD697" s="27">
        <f t="shared" si="264"/>
        <v>45696</v>
      </c>
      <c r="BE697" s="5">
        <f>MONTH(Modelling[[#This Row],[Date]])</f>
        <v>2</v>
      </c>
      <c r="BF697" s="25">
        <f>YEAR(BD697)+IF(MONTH(Modelling[[#This Row],[Date]])&gt;=4,1,0)</f>
        <v>2025</v>
      </c>
      <c r="BG697" s="3">
        <f t="shared" si="259"/>
        <v>2025</v>
      </c>
      <c r="BH697" s="3" t="s">
        <v>627</v>
      </c>
      <c r="BI697" s="3" t="s">
        <v>627</v>
      </c>
      <c r="BJ697" s="102">
        <f>DATE(Modelling_old[[#This Row],[Calendor Year]],Modelling_old[[#This Row],[Start Month]],1)</f>
        <v>45689</v>
      </c>
      <c r="BK697" s="5">
        <f t="shared" si="260"/>
        <v>28</v>
      </c>
      <c r="BL697" s="5">
        <f t="shared" si="261"/>
        <v>2</v>
      </c>
      <c r="BM697" s="4">
        <f>Modelling_old[[#This Row],[Target E_Grid daily
MWh]]+Modelling_new[[#This Row],[Target E_Grid daily
MWh]]</f>
        <v>122.33633074566892</v>
      </c>
      <c r="BN697" s="4">
        <f>Modelling_old[[#This Row],[Target E_Grid MTD
MWh]]+Modelling_new[[#This Row],[Target E_Grid MTD
MWh]]</f>
        <v>978.69064596535145</v>
      </c>
      <c r="BO697" s="4">
        <f>Modelling_old[[#This Row],[Target E_Grid YTD
MWh]]+Modelling_new[[#This Row],[Target E_Grid YTD
MWh]]</f>
        <v>32688.715541736325</v>
      </c>
      <c r="BP697" s="4">
        <f>AVERAGE(Modelling_old[[#This Row],[Target POA Daily (KWh/m2)]],Modelling_new[[#This Row],[Target POA Daily (KWh/m2)]])</f>
        <v>6.8928571428571432</v>
      </c>
      <c r="BQ697" s="4">
        <f>SUM($BP$690:BP697)</f>
        <v>55.142857142857153</v>
      </c>
      <c r="BR697" s="4">
        <f>SUM($BP$384:BP697)</f>
        <v>1814.8428571428533</v>
      </c>
      <c r="BS697" s="323">
        <f>BM697/Modelling[[#This Row],[Comisined DC ]]/BP697</f>
        <v>0.73028856249211938</v>
      </c>
      <c r="BT697" s="337">
        <f>BN697/BQ697/Modelling[[#This Row],[Comisined DC ]]</f>
        <v>0.73028856249211926</v>
      </c>
      <c r="BU697" s="337">
        <f>BO697/BR697/Modelling[[#This Row],[Comisined DC ]]</f>
        <v>0.74113471378545381</v>
      </c>
      <c r="BV697" s="323">
        <f>BM697/(24*Modelling[[#This Row],[Comisined DC ]])</f>
        <v>0.20974061393002832</v>
      </c>
      <c r="BW697" s="323">
        <f>Modelling[[#This Row],[Target E_Grid MTD
MWh]]/Modelling[[#This Row],[MTD DC Capcity]]/(24*CG697)</f>
        <v>0.20974061393002832</v>
      </c>
      <c r="BX697" s="338">
        <f>Modelling[[#This Row],[Target E_Grid YTD
MWh]]/Modelling[[#This Row],[YTD DC Capcity]]/(24*CH697)</f>
        <v>0.17848235688616504</v>
      </c>
      <c r="BY697" s="4">
        <f>Modelling_old[[#This Row],[DC Capcity]]+Modelling_new[[#This Row],[Comisined DC ]]</f>
        <v>24.303100000000001</v>
      </c>
      <c r="BZ697" s="4">
        <v>0</v>
      </c>
      <c r="CA697">
        <f>AVERAGEIFS(Modelling[[Comisined DC ]],Modelling[Date],"&lt;="&amp;Modelling[[#This Row],[Date]],Modelling[Month Year],Modelling[[#This Row],[Month Year]])</f>
        <v>24.303100000000001</v>
      </c>
      <c r="CB697">
        <f>AVERAGEIFS(Modelling[[Comisined DC ]],Modelling[Date],"&lt;="&amp;Modelling[[#This Row],[Date]],Modelling[Finacial Year],Modelling[[#This Row],[Finacial Year]])</f>
        <v>24.303100000000072</v>
      </c>
      <c r="CG697">
        <f t="shared" si="266"/>
        <v>8</v>
      </c>
      <c r="CH697">
        <f t="shared" si="262"/>
        <v>314</v>
      </c>
    </row>
    <row r="698" spans="1:86" x14ac:dyDescent="0.35">
      <c r="A698" s="27">
        <f t="shared" si="241"/>
        <v>45697</v>
      </c>
      <c r="B698" s="5">
        <f>MONTH(Modelling_old[[#This Row],[Date]])</f>
        <v>2</v>
      </c>
      <c r="C698" s="25">
        <v>2025</v>
      </c>
      <c r="D698" s="3">
        <f t="shared" si="243"/>
        <v>2025</v>
      </c>
      <c r="E698" s="3" t="s">
        <v>627</v>
      </c>
      <c r="F698" s="3" t="s">
        <v>627</v>
      </c>
      <c r="G698" s="102">
        <f>DATE(Modelling_old[[#This Row],[Calendor Year]],Modelling_old[[#This Row],[Start Month]],1)</f>
        <v>45689</v>
      </c>
      <c r="H698" s="5">
        <f t="shared" si="244"/>
        <v>28</v>
      </c>
      <c r="I698" s="5">
        <f t="shared" si="245"/>
        <v>2</v>
      </c>
      <c r="J698" s="4">
        <f>_xlfn.XLOOKUP(Modelling_old[[#This Row],[Month]],$C$1:$C$14,$N$1:$N$14)/Modelling_old[[#This Row],[Total Days]]</f>
        <v>53.846428571428575</v>
      </c>
      <c r="K698" s="4">
        <f>SUM($J$690:J698)</f>
        <v>484.61785714285725</v>
      </c>
      <c r="L698" s="4">
        <f>SUM($J$384:J698)</f>
        <v>14535.617857142866</v>
      </c>
      <c r="M698" s="4">
        <f t="shared" si="246"/>
        <v>6.8928571428571432</v>
      </c>
      <c r="N698" s="4">
        <f>SUM($M$690:M698)</f>
        <v>62.035714285714299</v>
      </c>
      <c r="O698" s="4">
        <f>SUM($M$384:M698)</f>
        <v>1821.7357142857104</v>
      </c>
      <c r="P698" s="323">
        <f t="shared" si="247"/>
        <v>0.67911407346242281</v>
      </c>
      <c r="Q698" s="337">
        <f t="shared" si="248"/>
        <v>0.67911407346242281</v>
      </c>
      <c r="R698" s="337">
        <f t="shared" si="249"/>
        <v>0.69363856163215276</v>
      </c>
      <c r="S698" s="323">
        <f t="shared" si="250"/>
        <v>0.19504317883667802</v>
      </c>
      <c r="T698" s="9">
        <f>Modelling_old[[#This Row],[Target E_Grid MTD
MWh]]/Modelling_old[[#This Row],[DC Capcity]]/(24*CG698)</f>
        <v>0.19504317883667802</v>
      </c>
      <c r="U698" s="338">
        <f>Modelling_old[[#This Row],[Target E_Grid YTD
MWh]]/Modelling_old[[#This Row],[DC Capcity]]/(24*CH698)</f>
        <v>0.16714631488506121</v>
      </c>
      <c r="V698" s="134">
        <v>11.5031</v>
      </c>
      <c r="Y698" s="27">
        <f t="shared" si="263"/>
        <v>45697</v>
      </c>
      <c r="Z698" s="5">
        <f>MONTH(Modelling_new[[#This Row],[Date]])</f>
        <v>2</v>
      </c>
      <c r="AA698" s="25">
        <f>YEAR(Y698)+IF(MONTH(Modelling_new[[#This Row],[Date]])&gt;=4,1,0)</f>
        <v>2025</v>
      </c>
      <c r="AB698" s="3">
        <f t="shared" si="251"/>
        <v>2025</v>
      </c>
      <c r="AC698" s="3" t="s">
        <v>627</v>
      </c>
      <c r="AD698" s="3" t="s">
        <v>627</v>
      </c>
      <c r="AE698" s="102">
        <f>DATE(Modelling_old[[#This Row],[Calendor Year]],Modelling_old[[#This Row],[Start Month]],1)</f>
        <v>45689</v>
      </c>
      <c r="AF698" s="5">
        <f t="shared" si="252"/>
        <v>28</v>
      </c>
      <c r="AG698" s="5">
        <f t="shared" si="253"/>
        <v>2</v>
      </c>
      <c r="AH698" s="4">
        <f>_xlfn.XLOOKUP(Modelling_new[[#This Row],[Month]],$AA$1:$AA$14,$AL$1:$AL$14)/Modelling_new[[#This Row],[Total Days]]</f>
        <v>68.489902174240342</v>
      </c>
      <c r="AI698" s="4">
        <f>SUM($AH$690:AH698)</f>
        <v>616.40911956816308</v>
      </c>
      <c r="AJ698" s="4">
        <f>SUM($AH$384:AH698)</f>
        <v>18275.434015339124</v>
      </c>
      <c r="AK698" s="4">
        <f t="shared" si="254"/>
        <v>6.8928571428571432</v>
      </c>
      <c r="AL698" s="4">
        <f>SUM($AK$690:AK698)</f>
        <v>62.035714285714299</v>
      </c>
      <c r="AM698" s="4">
        <f>SUM($AK$384:AK698)</f>
        <v>1821.7357142857104</v>
      </c>
      <c r="AN698" s="323">
        <f t="shared" si="255"/>
        <v>0.86379835563079765</v>
      </c>
      <c r="AO698" s="323">
        <f t="shared" si="256"/>
        <v>0.86379835563079754</v>
      </c>
      <c r="AP698" s="323">
        <f t="shared" si="257"/>
        <v>0.87210229989458876</v>
      </c>
      <c r="AQ698" s="323">
        <f t="shared" si="258"/>
        <v>0.24808494439991666</v>
      </c>
      <c r="AR698" s="323">
        <f>Modelling_new[[#This Row],[Target E_Grid MTD
MWh]]/Modelling_new[[#This Row],[MTD DC Capcity]]/(24*CG698)</f>
        <v>0.22294890030677197</v>
      </c>
      <c r="AS698" s="323">
        <f>Modelling_new[[#This Row],[Target E_Grid YTD
MWh]]/Modelling_new[[#This Row],[YTD DC Capcity]]/(24*CH698)</f>
        <v>0.18885823841909538</v>
      </c>
      <c r="AT698" s="5">
        <v>12.8</v>
      </c>
      <c r="AU698" s="9">
        <f>Modelling_new[[#This Row],[Comisined DC ]]/$AO$1</f>
        <v>1</v>
      </c>
      <c r="AV698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98" s="5">
        <f>AVERAGEIFS(Modelling_new[[Comisined DC ]],Modelling_new[Date],"&lt;="&amp;Modelling_new[[#This Row],[Date]],Modelling_new[[Comisined DC ]],"&gt;"&amp;0,Modelling_new[Finacial Year],Modelling_new[[#This Row],[Finacial Year]])</f>
        <v>12.800000000000072</v>
      </c>
      <c r="BD698" s="27">
        <f t="shared" si="264"/>
        <v>45697</v>
      </c>
      <c r="BE698" s="5">
        <f>MONTH(Modelling[[#This Row],[Date]])</f>
        <v>2</v>
      </c>
      <c r="BF698" s="25">
        <f>YEAR(BD698)+IF(MONTH(Modelling[[#This Row],[Date]])&gt;=4,1,0)</f>
        <v>2025</v>
      </c>
      <c r="BG698" s="3">
        <f t="shared" si="259"/>
        <v>2025</v>
      </c>
      <c r="BH698" s="3" t="s">
        <v>627</v>
      </c>
      <c r="BI698" s="3" t="s">
        <v>627</v>
      </c>
      <c r="BJ698" s="102">
        <f>DATE(Modelling_old[[#This Row],[Calendor Year]],Modelling_old[[#This Row],[Start Month]],1)</f>
        <v>45689</v>
      </c>
      <c r="BK698" s="5">
        <f t="shared" si="260"/>
        <v>28</v>
      </c>
      <c r="BL698" s="5">
        <f t="shared" si="261"/>
        <v>2</v>
      </c>
      <c r="BM698" s="4">
        <f>Modelling_old[[#This Row],[Target E_Grid daily
MWh]]+Modelling_new[[#This Row],[Target E_Grid daily
MWh]]</f>
        <v>122.33633074566892</v>
      </c>
      <c r="BN698" s="4">
        <f>Modelling_old[[#This Row],[Target E_Grid MTD
MWh]]+Modelling_new[[#This Row],[Target E_Grid MTD
MWh]]</f>
        <v>1101.0269767110203</v>
      </c>
      <c r="BO698" s="4">
        <f>Modelling_old[[#This Row],[Target E_Grid YTD
MWh]]+Modelling_new[[#This Row],[Target E_Grid YTD
MWh]]</f>
        <v>32811.051872481992</v>
      </c>
      <c r="BP698" s="4">
        <f>AVERAGE(Modelling_old[[#This Row],[Target POA Daily (KWh/m2)]],Modelling_new[[#This Row],[Target POA Daily (KWh/m2)]])</f>
        <v>6.8928571428571432</v>
      </c>
      <c r="BQ698" s="4">
        <f>SUM($BP$690:BP698)</f>
        <v>62.035714285714299</v>
      </c>
      <c r="BR698" s="4">
        <f>SUM($BP$384:BP698)</f>
        <v>1821.7357142857104</v>
      </c>
      <c r="BS698" s="323">
        <f>BM698/Modelling[[#This Row],[Comisined DC ]]/BP698</f>
        <v>0.73028856249211938</v>
      </c>
      <c r="BT698" s="337">
        <f>BN698/BQ698/Modelling[[#This Row],[Comisined DC ]]</f>
        <v>0.73028856249211926</v>
      </c>
      <c r="BU698" s="337">
        <f>BO698/BR698/Modelling[[#This Row],[Comisined DC ]]</f>
        <v>0.74109367546643279</v>
      </c>
      <c r="BV698" s="323">
        <f>BM698/(24*Modelling[[#This Row],[Comisined DC ]])</f>
        <v>0.20974061393002832</v>
      </c>
      <c r="BW698" s="323">
        <f>Modelling[[#This Row],[Target E_Grid MTD
MWh]]/Modelling[[#This Row],[MTD DC Capcity]]/(24*CG698)</f>
        <v>0.20974061393002832</v>
      </c>
      <c r="BX698" s="338">
        <f>Modelling[[#This Row],[Target E_Grid YTD
MWh]]/Modelling[[#This Row],[YTD DC Capcity]]/(24*CH698)</f>
        <v>0.17858158944820904</v>
      </c>
      <c r="BY698" s="4">
        <f>Modelling_old[[#This Row],[DC Capcity]]+Modelling_new[[#This Row],[Comisined DC ]]</f>
        <v>24.303100000000001</v>
      </c>
      <c r="BZ698" s="4">
        <v>0</v>
      </c>
      <c r="CA698">
        <f>AVERAGEIFS(Modelling[[Comisined DC ]],Modelling[Date],"&lt;="&amp;Modelling[[#This Row],[Date]],Modelling[Month Year],Modelling[[#This Row],[Month Year]])</f>
        <v>24.303100000000001</v>
      </c>
      <c r="CB698">
        <f>AVERAGEIFS(Modelling[[Comisined DC ]],Modelling[Date],"&lt;="&amp;Modelling[[#This Row],[Date]],Modelling[Finacial Year],Modelling[[#This Row],[Finacial Year]])</f>
        <v>24.303100000000072</v>
      </c>
      <c r="CG698">
        <f t="shared" si="266"/>
        <v>9</v>
      </c>
      <c r="CH698">
        <f t="shared" si="262"/>
        <v>315</v>
      </c>
    </row>
    <row r="699" spans="1:86" x14ac:dyDescent="0.35">
      <c r="A699" s="27">
        <f t="shared" si="241"/>
        <v>45698</v>
      </c>
      <c r="B699" s="5">
        <f>MONTH(Modelling_old[[#This Row],[Date]])</f>
        <v>2</v>
      </c>
      <c r="C699" s="25">
        <v>2025</v>
      </c>
      <c r="D699" s="3">
        <f t="shared" si="243"/>
        <v>2025</v>
      </c>
      <c r="E699" s="3" t="s">
        <v>627</v>
      </c>
      <c r="F699" s="3" t="s">
        <v>627</v>
      </c>
      <c r="G699" s="102">
        <f>DATE(Modelling_old[[#This Row],[Calendor Year]],Modelling_old[[#This Row],[Start Month]],1)</f>
        <v>45689</v>
      </c>
      <c r="H699" s="5">
        <f t="shared" si="244"/>
        <v>28</v>
      </c>
      <c r="I699" s="5">
        <f t="shared" si="245"/>
        <v>2</v>
      </c>
      <c r="J699" s="4">
        <f>_xlfn.XLOOKUP(Modelling_old[[#This Row],[Month]],$C$1:$C$14,$N$1:$N$14)/Modelling_old[[#This Row],[Total Days]]</f>
        <v>53.846428571428575</v>
      </c>
      <c r="K699" s="4">
        <f>SUM($J$690:J699)</f>
        <v>538.46428571428578</v>
      </c>
      <c r="L699" s="4">
        <f>SUM($J$384:J699)</f>
        <v>14589.464285714295</v>
      </c>
      <c r="M699" s="4">
        <f t="shared" si="246"/>
        <v>6.8928571428571432</v>
      </c>
      <c r="N699" s="4">
        <f>SUM($M$690:M699)</f>
        <v>68.928571428571445</v>
      </c>
      <c r="O699" s="4">
        <f>SUM($M$384:M699)</f>
        <v>1828.6285714285675</v>
      </c>
      <c r="P699" s="323">
        <f t="shared" si="247"/>
        <v>0.67911407346242281</v>
      </c>
      <c r="Q699" s="337">
        <f t="shared" si="248"/>
        <v>0.6791140734624227</v>
      </c>
      <c r="R699" s="337">
        <f t="shared" si="249"/>
        <v>0.69358381283100679</v>
      </c>
      <c r="S699" s="323">
        <f t="shared" si="250"/>
        <v>0.19504317883667802</v>
      </c>
      <c r="T699" s="9">
        <f>Modelling_old[[#This Row],[Target E_Grid MTD
MWh]]/Modelling_old[[#This Row],[DC Capcity]]/(24*CG699)</f>
        <v>0.19504317883667802</v>
      </c>
      <c r="U699" s="338">
        <f>Modelling_old[[#This Row],[Target E_Grid YTD
MWh]]/Modelling_old[[#This Row],[DC Capcity]]/(24*CH699)</f>
        <v>0.16723459610009797</v>
      </c>
      <c r="V699" s="134">
        <v>11.5031</v>
      </c>
      <c r="Y699" s="27">
        <f t="shared" si="263"/>
        <v>45698</v>
      </c>
      <c r="Z699" s="5">
        <f>MONTH(Modelling_new[[#This Row],[Date]])</f>
        <v>2</v>
      </c>
      <c r="AA699" s="25">
        <f>YEAR(Y699)+IF(MONTH(Modelling_new[[#This Row],[Date]])&gt;=4,1,0)</f>
        <v>2025</v>
      </c>
      <c r="AB699" s="3">
        <f t="shared" si="251"/>
        <v>2025</v>
      </c>
      <c r="AC699" s="3" t="s">
        <v>627</v>
      </c>
      <c r="AD699" s="3" t="s">
        <v>627</v>
      </c>
      <c r="AE699" s="102">
        <f>DATE(Modelling_old[[#This Row],[Calendor Year]],Modelling_old[[#This Row],[Start Month]],1)</f>
        <v>45689</v>
      </c>
      <c r="AF699" s="5">
        <f t="shared" si="252"/>
        <v>28</v>
      </c>
      <c r="AG699" s="5">
        <f t="shared" si="253"/>
        <v>2</v>
      </c>
      <c r="AH699" s="4">
        <f>_xlfn.XLOOKUP(Modelling_new[[#This Row],[Month]],$AA$1:$AA$14,$AL$1:$AL$14)/Modelling_new[[#This Row],[Total Days]]</f>
        <v>68.489902174240342</v>
      </c>
      <c r="AI699" s="4">
        <f>SUM($AH$690:AH699)</f>
        <v>684.89902174240342</v>
      </c>
      <c r="AJ699" s="4">
        <f>SUM($AH$384:AH699)</f>
        <v>18343.923917513363</v>
      </c>
      <c r="AK699" s="4">
        <f t="shared" si="254"/>
        <v>6.8928571428571432</v>
      </c>
      <c r="AL699" s="4">
        <f>SUM($AK$690:AK699)</f>
        <v>68.928571428571445</v>
      </c>
      <c r="AM699" s="4">
        <f>SUM($AK$384:AK699)</f>
        <v>1828.6285714285675</v>
      </c>
      <c r="AN699" s="323">
        <f t="shared" si="255"/>
        <v>0.86379835563079765</v>
      </c>
      <c r="AO699" s="323">
        <f t="shared" si="256"/>
        <v>0.86379835563079754</v>
      </c>
      <c r="AP699" s="323">
        <f t="shared" si="257"/>
        <v>0.87207099889534434</v>
      </c>
      <c r="AQ699" s="323">
        <f t="shared" si="258"/>
        <v>0.24808494439991666</v>
      </c>
      <c r="AR699" s="323">
        <f>Modelling_new[[#This Row],[Target E_Grid MTD
MWh]]/Modelling_new[[#This Row],[MTD DC Capcity]]/(24*CG699)</f>
        <v>0.22294890030677197</v>
      </c>
      <c r="AS699" s="323">
        <f>Modelling_new[[#This Row],[Target E_Grid YTD
MWh]]/Modelling_new[[#This Row],[YTD DC Capcity]]/(24*CH699)</f>
        <v>0.18896612026051204</v>
      </c>
      <c r="AT699" s="5">
        <v>12.8</v>
      </c>
      <c r="AU699" s="9">
        <f>Modelling_new[[#This Row],[Comisined DC ]]/$AO$1</f>
        <v>1</v>
      </c>
      <c r="AV699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699" s="5">
        <f>AVERAGEIFS(Modelling_new[[Comisined DC ]],Modelling_new[Date],"&lt;="&amp;Modelling_new[[#This Row],[Date]],Modelling_new[[Comisined DC ]],"&gt;"&amp;0,Modelling_new[Finacial Year],Modelling_new[[#This Row],[Finacial Year]])</f>
        <v>12.800000000000072</v>
      </c>
      <c r="BD699" s="27">
        <f t="shared" si="264"/>
        <v>45698</v>
      </c>
      <c r="BE699" s="5">
        <f>MONTH(Modelling[[#This Row],[Date]])</f>
        <v>2</v>
      </c>
      <c r="BF699" s="25">
        <f>YEAR(BD699)+IF(MONTH(Modelling[[#This Row],[Date]])&gt;=4,1,0)</f>
        <v>2025</v>
      </c>
      <c r="BG699" s="3">
        <f t="shared" si="259"/>
        <v>2025</v>
      </c>
      <c r="BH699" s="3" t="s">
        <v>627</v>
      </c>
      <c r="BI699" s="3" t="s">
        <v>627</v>
      </c>
      <c r="BJ699" s="102">
        <f>DATE(Modelling_old[[#This Row],[Calendor Year]],Modelling_old[[#This Row],[Start Month]],1)</f>
        <v>45689</v>
      </c>
      <c r="BK699" s="5">
        <f t="shared" si="260"/>
        <v>28</v>
      </c>
      <c r="BL699" s="5">
        <f t="shared" si="261"/>
        <v>2</v>
      </c>
      <c r="BM699" s="4">
        <f>Modelling_old[[#This Row],[Target E_Grid daily
MWh]]+Modelling_new[[#This Row],[Target E_Grid daily
MWh]]</f>
        <v>122.33633074566892</v>
      </c>
      <c r="BN699" s="4">
        <f>Modelling_old[[#This Row],[Target E_Grid MTD
MWh]]+Modelling_new[[#This Row],[Target E_Grid MTD
MWh]]</f>
        <v>1223.3633074566892</v>
      </c>
      <c r="BO699" s="4">
        <f>Modelling_old[[#This Row],[Target E_Grid YTD
MWh]]+Modelling_new[[#This Row],[Target E_Grid YTD
MWh]]</f>
        <v>32933.38820322766</v>
      </c>
      <c r="BP699" s="4">
        <f>AVERAGE(Modelling_old[[#This Row],[Target POA Daily (KWh/m2)]],Modelling_new[[#This Row],[Target POA Daily (KWh/m2)]])</f>
        <v>6.8928571428571432</v>
      </c>
      <c r="BQ699" s="4">
        <f>SUM($BP$690:BP699)</f>
        <v>68.928571428571445</v>
      </c>
      <c r="BR699" s="4">
        <f>SUM($BP$384:BP699)</f>
        <v>1828.6285714285675</v>
      </c>
      <c r="BS699" s="323">
        <f>BM699/Modelling[[#This Row],[Comisined DC ]]/BP699</f>
        <v>0.73028856249211938</v>
      </c>
      <c r="BT699" s="337">
        <f>BN699/BQ699/Modelling[[#This Row],[Comisined DC ]]</f>
        <v>0.73028856249211926</v>
      </c>
      <c r="BU699" s="337">
        <f>BO699/BR699/Modelling[[#This Row],[Comisined DC ]]</f>
        <v>0.74105294652819564</v>
      </c>
      <c r="BV699" s="323">
        <f>BM699/(24*Modelling[[#This Row],[Comisined DC ]])</f>
        <v>0.20974061393002832</v>
      </c>
      <c r="BW699" s="323">
        <f>Modelling[[#This Row],[Target E_Grid MTD
MWh]]/Modelling[[#This Row],[MTD DC Capcity]]/(24*CG699)</f>
        <v>0.20974061393002832</v>
      </c>
      <c r="BX699" s="338">
        <f>Modelling[[#This Row],[Target E_Grid YTD
MWh]]/Modelling[[#This Row],[YTD DC Capcity]]/(24*CH699)</f>
        <v>0.17868019395606291</v>
      </c>
      <c r="BY699" s="4">
        <f>Modelling_old[[#This Row],[DC Capcity]]+Modelling_new[[#This Row],[Comisined DC ]]</f>
        <v>24.303100000000001</v>
      </c>
      <c r="BZ699" s="4">
        <v>0</v>
      </c>
      <c r="CA699">
        <f>AVERAGEIFS(Modelling[[Comisined DC ]],Modelling[Date],"&lt;="&amp;Modelling[[#This Row],[Date]],Modelling[Month Year],Modelling[[#This Row],[Month Year]])</f>
        <v>24.303100000000001</v>
      </c>
      <c r="CB699">
        <f>AVERAGEIFS(Modelling[[Comisined DC ]],Modelling[Date],"&lt;="&amp;Modelling[[#This Row],[Date]],Modelling[Finacial Year],Modelling[[#This Row],[Finacial Year]])</f>
        <v>24.303100000000072</v>
      </c>
      <c r="CG699">
        <f t="shared" si="266"/>
        <v>10</v>
      </c>
      <c r="CH699">
        <f t="shared" si="262"/>
        <v>316</v>
      </c>
    </row>
    <row r="700" spans="1:86" x14ac:dyDescent="0.35">
      <c r="A700" s="27">
        <f t="shared" si="241"/>
        <v>45699</v>
      </c>
      <c r="B700" s="5">
        <f>MONTH(Modelling_old[[#This Row],[Date]])</f>
        <v>2</v>
      </c>
      <c r="C700" s="25">
        <v>2025</v>
      </c>
      <c r="D700" s="3">
        <f t="shared" si="243"/>
        <v>2025</v>
      </c>
      <c r="E700" s="3" t="s">
        <v>627</v>
      </c>
      <c r="F700" s="3" t="s">
        <v>627</v>
      </c>
      <c r="G700" s="102">
        <f>DATE(Modelling_old[[#This Row],[Calendor Year]],Modelling_old[[#This Row],[Start Month]],1)</f>
        <v>45689</v>
      </c>
      <c r="H700" s="5">
        <f t="shared" si="244"/>
        <v>28</v>
      </c>
      <c r="I700" s="5">
        <f t="shared" si="245"/>
        <v>2</v>
      </c>
      <c r="J700" s="4">
        <f>_xlfn.XLOOKUP(Modelling_old[[#This Row],[Month]],$C$1:$C$14,$N$1:$N$14)/Modelling_old[[#This Row],[Total Days]]</f>
        <v>53.846428571428575</v>
      </c>
      <c r="K700" s="4">
        <f>SUM($J$690:J700)</f>
        <v>592.31071428571431</v>
      </c>
      <c r="L700" s="4">
        <f>SUM($J$384:J700)</f>
        <v>14643.310714285724</v>
      </c>
      <c r="M700" s="4">
        <f t="shared" si="246"/>
        <v>6.8928571428571432</v>
      </c>
      <c r="N700" s="4">
        <f>SUM($M$690:M700)</f>
        <v>75.821428571428584</v>
      </c>
      <c r="O700" s="4">
        <f>SUM($M$384:M700)</f>
        <v>1835.5214285714246</v>
      </c>
      <c r="P700" s="323">
        <f t="shared" si="247"/>
        <v>0.67911407346242281</v>
      </c>
      <c r="Q700" s="337">
        <f t="shared" si="248"/>
        <v>0.6791140734624227</v>
      </c>
      <c r="R700" s="337">
        <f t="shared" si="249"/>
        <v>0.69352947522164443</v>
      </c>
      <c r="S700" s="323">
        <f t="shared" si="250"/>
        <v>0.19504317883667802</v>
      </c>
      <c r="T700" s="9">
        <f>Modelling_old[[#This Row],[Target E_Grid MTD
MWh]]/Modelling_old[[#This Row],[DC Capcity]]/(24*CG700)</f>
        <v>0.19504317883667799</v>
      </c>
      <c r="U700" s="338">
        <f>Modelling_old[[#This Row],[Target E_Grid YTD
MWh]]/Modelling_old[[#This Row],[DC Capcity]]/(24*CH700)</f>
        <v>0.16732232033586006</v>
      </c>
      <c r="V700" s="134">
        <v>11.5031</v>
      </c>
      <c r="Y700" s="27">
        <f t="shared" si="263"/>
        <v>45699</v>
      </c>
      <c r="Z700" s="5">
        <f>MONTH(Modelling_new[[#This Row],[Date]])</f>
        <v>2</v>
      </c>
      <c r="AA700" s="25">
        <f>YEAR(Y700)+IF(MONTH(Modelling_new[[#This Row],[Date]])&gt;=4,1,0)</f>
        <v>2025</v>
      </c>
      <c r="AB700" s="3">
        <f t="shared" si="251"/>
        <v>2025</v>
      </c>
      <c r="AC700" s="3" t="s">
        <v>627</v>
      </c>
      <c r="AD700" s="3" t="s">
        <v>627</v>
      </c>
      <c r="AE700" s="102">
        <f>DATE(Modelling_old[[#This Row],[Calendor Year]],Modelling_old[[#This Row],[Start Month]],1)</f>
        <v>45689</v>
      </c>
      <c r="AF700" s="5">
        <f t="shared" si="252"/>
        <v>28</v>
      </c>
      <c r="AG700" s="5">
        <f t="shared" si="253"/>
        <v>2</v>
      </c>
      <c r="AH700" s="4">
        <f>_xlfn.XLOOKUP(Modelling_new[[#This Row],[Month]],$AA$1:$AA$14,$AL$1:$AL$14)/Modelling_new[[#This Row],[Total Days]]</f>
        <v>68.489902174240342</v>
      </c>
      <c r="AI700" s="4">
        <f>SUM($AH$690:AH700)</f>
        <v>753.38892391664376</v>
      </c>
      <c r="AJ700" s="4">
        <f>SUM($AH$384:AH700)</f>
        <v>18412.413819687601</v>
      </c>
      <c r="AK700" s="4">
        <f t="shared" si="254"/>
        <v>6.8928571428571432</v>
      </c>
      <c r="AL700" s="4">
        <f>SUM($AK$690:AK700)</f>
        <v>75.821428571428584</v>
      </c>
      <c r="AM700" s="4">
        <f>SUM($AK$384:AK700)</f>
        <v>1835.5214285714246</v>
      </c>
      <c r="AN700" s="323">
        <f t="shared" si="255"/>
        <v>0.86379835563079765</v>
      </c>
      <c r="AO700" s="323">
        <f t="shared" si="256"/>
        <v>0.86379835563079777</v>
      </c>
      <c r="AP700" s="323">
        <f t="shared" si="257"/>
        <v>0.8720399329827766</v>
      </c>
      <c r="AQ700" s="323">
        <f t="shared" si="258"/>
        <v>0.24808494439991666</v>
      </c>
      <c r="AR700" s="323">
        <f>Modelling_new[[#This Row],[Target E_Grid MTD
MWh]]/Modelling_new[[#This Row],[MTD DC Capcity]]/(24*CG700)</f>
        <v>0.22294890030677197</v>
      </c>
      <c r="AS700" s="323">
        <f>Modelling_new[[#This Row],[Target E_Grid YTD
MWh]]/Modelling_new[[#This Row],[YTD DC Capcity]]/(24*CH700)</f>
        <v>0.18907332145939612</v>
      </c>
      <c r="AT700" s="5">
        <v>12.8</v>
      </c>
      <c r="AU700" s="9">
        <f>Modelling_new[[#This Row],[Comisined DC ]]/$AO$1</f>
        <v>1</v>
      </c>
      <c r="AV700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700" s="5">
        <f>AVERAGEIFS(Modelling_new[[Comisined DC ]],Modelling_new[Date],"&lt;="&amp;Modelling_new[[#This Row],[Date]],Modelling_new[[Comisined DC ]],"&gt;"&amp;0,Modelling_new[Finacial Year],Modelling_new[[#This Row],[Finacial Year]])</f>
        <v>12.800000000000074</v>
      </c>
      <c r="BD700" s="27">
        <f t="shared" si="264"/>
        <v>45699</v>
      </c>
      <c r="BE700" s="5">
        <f>MONTH(Modelling[[#This Row],[Date]])</f>
        <v>2</v>
      </c>
      <c r="BF700" s="25">
        <f>YEAR(BD700)+IF(MONTH(Modelling[[#This Row],[Date]])&gt;=4,1,0)</f>
        <v>2025</v>
      </c>
      <c r="BG700" s="3">
        <f t="shared" si="259"/>
        <v>2025</v>
      </c>
      <c r="BH700" s="3" t="s">
        <v>627</v>
      </c>
      <c r="BI700" s="3" t="s">
        <v>627</v>
      </c>
      <c r="BJ700" s="102">
        <f>DATE(Modelling_old[[#This Row],[Calendor Year]],Modelling_old[[#This Row],[Start Month]],1)</f>
        <v>45689</v>
      </c>
      <c r="BK700" s="5">
        <f t="shared" si="260"/>
        <v>28</v>
      </c>
      <c r="BL700" s="5">
        <f t="shared" si="261"/>
        <v>2</v>
      </c>
      <c r="BM700" s="4">
        <f>Modelling_old[[#This Row],[Target E_Grid daily
MWh]]+Modelling_new[[#This Row],[Target E_Grid daily
MWh]]</f>
        <v>122.33633074566892</v>
      </c>
      <c r="BN700" s="4">
        <f>Modelling_old[[#This Row],[Target E_Grid MTD
MWh]]+Modelling_new[[#This Row],[Target E_Grid MTD
MWh]]</f>
        <v>1345.6996382023581</v>
      </c>
      <c r="BO700" s="4">
        <f>Modelling_old[[#This Row],[Target E_Grid YTD
MWh]]+Modelling_new[[#This Row],[Target E_Grid YTD
MWh]]</f>
        <v>33055.724533973327</v>
      </c>
      <c r="BP700" s="4">
        <f>AVERAGE(Modelling_old[[#This Row],[Target POA Daily (KWh/m2)]],Modelling_new[[#This Row],[Target POA Daily (KWh/m2)]])</f>
        <v>6.8928571428571432</v>
      </c>
      <c r="BQ700" s="4">
        <f>SUM($BP$690:BP700)</f>
        <v>75.821428571428584</v>
      </c>
      <c r="BR700" s="4">
        <f>SUM($BP$384:BP700)</f>
        <v>1835.5214285714246</v>
      </c>
      <c r="BS700" s="323">
        <f>BM700/Modelling[[#This Row],[Comisined DC ]]/BP700</f>
        <v>0.73028856249211938</v>
      </c>
      <c r="BT700" s="337">
        <f>BN700/BQ700/Modelling[[#This Row],[Comisined DC ]]</f>
        <v>0.73028856249211926</v>
      </c>
      <c r="BU700" s="337">
        <f>BO700/BR700/Modelling[[#This Row],[Comisined DC ]]</f>
        <v>0.74101252348532798</v>
      </c>
      <c r="BV700" s="323">
        <f>BM700/(24*Modelling[[#This Row],[Comisined DC ]])</f>
        <v>0.20974061393002832</v>
      </c>
      <c r="BW700" s="323">
        <f>Modelling[[#This Row],[Target E_Grid MTD
MWh]]/Modelling[[#This Row],[MTD DC Capcity]]/(24*CG700)</f>
        <v>0.2097406139300283</v>
      </c>
      <c r="BX700" s="338">
        <f>Modelling[[#This Row],[Target E_Grid YTD
MWh]]/Modelling[[#This Row],[YTD DC Capcity]]/(24*CH700)</f>
        <v>0.17877817635345711</v>
      </c>
      <c r="BY700" s="4">
        <f>Modelling_old[[#This Row],[DC Capcity]]+Modelling_new[[#This Row],[Comisined DC ]]</f>
        <v>24.303100000000001</v>
      </c>
      <c r="BZ700" s="4">
        <v>0</v>
      </c>
      <c r="CA700">
        <f>AVERAGEIFS(Modelling[[Comisined DC ]],Modelling[Date],"&lt;="&amp;Modelling[[#This Row],[Date]],Modelling[Month Year],Modelling[[#This Row],[Month Year]])</f>
        <v>24.303100000000004</v>
      </c>
      <c r="CB700">
        <f>AVERAGEIFS(Modelling[[Comisined DC ]],Modelling[Date],"&lt;="&amp;Modelling[[#This Row],[Date]],Modelling[Finacial Year],Modelling[[#This Row],[Finacial Year]])</f>
        <v>24.303100000000072</v>
      </c>
      <c r="CG700">
        <f t="shared" si="266"/>
        <v>11</v>
      </c>
      <c r="CH700">
        <f t="shared" si="262"/>
        <v>317</v>
      </c>
    </row>
    <row r="701" spans="1:86" x14ac:dyDescent="0.35">
      <c r="A701" s="27">
        <f t="shared" si="241"/>
        <v>45700</v>
      </c>
      <c r="B701" s="5">
        <f>MONTH(Modelling_old[[#This Row],[Date]])</f>
        <v>2</v>
      </c>
      <c r="C701" s="25">
        <v>2025</v>
      </c>
      <c r="D701" s="3">
        <f t="shared" si="243"/>
        <v>2025</v>
      </c>
      <c r="E701" s="3" t="s">
        <v>627</v>
      </c>
      <c r="F701" s="3" t="s">
        <v>627</v>
      </c>
      <c r="G701" s="102">
        <f>DATE(Modelling_old[[#This Row],[Calendor Year]],Modelling_old[[#This Row],[Start Month]],1)</f>
        <v>45689</v>
      </c>
      <c r="H701" s="5">
        <f t="shared" si="244"/>
        <v>28</v>
      </c>
      <c r="I701" s="5">
        <f t="shared" si="245"/>
        <v>2</v>
      </c>
      <c r="J701" s="4">
        <f>_xlfn.XLOOKUP(Modelling_old[[#This Row],[Month]],$C$1:$C$14,$N$1:$N$14)/Modelling_old[[#This Row],[Total Days]]</f>
        <v>53.846428571428575</v>
      </c>
      <c r="K701" s="4">
        <f>SUM($J$690:J701)</f>
        <v>646.15714285714284</v>
      </c>
      <c r="L701" s="4">
        <f>SUM($J$384:J701)</f>
        <v>14697.157142857153</v>
      </c>
      <c r="M701" s="4">
        <f t="shared" si="246"/>
        <v>6.8928571428571432</v>
      </c>
      <c r="N701" s="4">
        <f>SUM($M$690:M701)</f>
        <v>82.714285714285722</v>
      </c>
      <c r="O701" s="4">
        <f>SUM($M$384:M701)</f>
        <v>1842.4142857142817</v>
      </c>
      <c r="P701" s="323">
        <f t="shared" si="247"/>
        <v>0.67911407346242281</v>
      </c>
      <c r="Q701" s="337">
        <f t="shared" si="248"/>
        <v>0.6791140734624227</v>
      </c>
      <c r="R701" s="337">
        <f t="shared" si="249"/>
        <v>0.69347554418900237</v>
      </c>
      <c r="S701" s="323">
        <f t="shared" si="250"/>
        <v>0.19504317883667802</v>
      </c>
      <c r="T701" s="9">
        <f>Modelling_old[[#This Row],[Target E_Grid MTD
MWh]]/Modelling_old[[#This Row],[DC Capcity]]/(24*CG701)</f>
        <v>0.19504317883667799</v>
      </c>
      <c r="U701" s="338">
        <f>Modelling_old[[#This Row],[Target E_Grid YTD
MWh]]/Modelling_old[[#This Row],[DC Capcity]]/(24*CH701)</f>
        <v>0.16740949284686893</v>
      </c>
      <c r="V701" s="134">
        <v>11.5031</v>
      </c>
      <c r="Y701" s="27">
        <f t="shared" si="263"/>
        <v>45700</v>
      </c>
      <c r="Z701" s="5">
        <f>MONTH(Modelling_new[[#This Row],[Date]])</f>
        <v>2</v>
      </c>
      <c r="AA701" s="25">
        <f>YEAR(Y701)+IF(MONTH(Modelling_new[[#This Row],[Date]])&gt;=4,1,0)</f>
        <v>2025</v>
      </c>
      <c r="AB701" s="3">
        <f t="shared" si="251"/>
        <v>2025</v>
      </c>
      <c r="AC701" s="3" t="s">
        <v>627</v>
      </c>
      <c r="AD701" s="3" t="s">
        <v>627</v>
      </c>
      <c r="AE701" s="102">
        <f>DATE(Modelling_old[[#This Row],[Calendor Year]],Modelling_old[[#This Row],[Start Month]],1)</f>
        <v>45689</v>
      </c>
      <c r="AF701" s="5">
        <f t="shared" si="252"/>
        <v>28</v>
      </c>
      <c r="AG701" s="5">
        <f t="shared" si="253"/>
        <v>2</v>
      </c>
      <c r="AH701" s="4">
        <f>_xlfn.XLOOKUP(Modelling_new[[#This Row],[Month]],$AA$1:$AA$14,$AL$1:$AL$14)/Modelling_new[[#This Row],[Total Days]]</f>
        <v>68.489902174240342</v>
      </c>
      <c r="AI701" s="4">
        <f>SUM($AH$690:AH701)</f>
        <v>821.8788260908841</v>
      </c>
      <c r="AJ701" s="4">
        <f>SUM($AH$384:AH701)</f>
        <v>18480.90372186184</v>
      </c>
      <c r="AK701" s="4">
        <f t="shared" si="254"/>
        <v>6.8928571428571432</v>
      </c>
      <c r="AL701" s="4">
        <f>SUM($AK$690:AK701)</f>
        <v>82.714285714285722</v>
      </c>
      <c r="AM701" s="4">
        <f>SUM($AK$384:AK701)</f>
        <v>1842.4142857142817</v>
      </c>
      <c r="AN701" s="323">
        <f t="shared" si="255"/>
        <v>0.86379835563079765</v>
      </c>
      <c r="AO701" s="323">
        <f t="shared" si="256"/>
        <v>0.86379835563079777</v>
      </c>
      <c r="AP701" s="323">
        <f t="shared" si="257"/>
        <v>0.87200909951835992</v>
      </c>
      <c r="AQ701" s="323">
        <f t="shared" si="258"/>
        <v>0.24808494439991666</v>
      </c>
      <c r="AR701" s="323">
        <f>Modelling_new[[#This Row],[Target E_Grid MTD
MWh]]/Modelling_new[[#This Row],[MTD DC Capcity]]/(24*CG701)</f>
        <v>0.22294890030677195</v>
      </c>
      <c r="AS701" s="323">
        <f>Modelling_new[[#This Row],[Target E_Grid YTD
MWh]]/Modelling_new[[#This Row],[YTD DC Capcity]]/(24*CH701)</f>
        <v>0.18917984843690355</v>
      </c>
      <c r="AT701" s="5">
        <v>12.8</v>
      </c>
      <c r="AU701" s="9">
        <f>Modelling_new[[#This Row],[Comisined DC ]]/$AO$1</f>
        <v>1</v>
      </c>
      <c r="AV701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701" s="5">
        <f>AVERAGEIFS(Modelling_new[[Comisined DC ]],Modelling_new[Date],"&lt;="&amp;Modelling_new[[#This Row],[Date]],Modelling_new[[Comisined DC ]],"&gt;"&amp;0,Modelling_new[Finacial Year],Modelling_new[[#This Row],[Finacial Year]])</f>
        <v>12.800000000000074</v>
      </c>
      <c r="BD701" s="27">
        <f t="shared" si="264"/>
        <v>45700</v>
      </c>
      <c r="BE701" s="5">
        <f>MONTH(Modelling[[#This Row],[Date]])</f>
        <v>2</v>
      </c>
      <c r="BF701" s="25">
        <f>YEAR(BD701)+IF(MONTH(Modelling[[#This Row],[Date]])&gt;=4,1,0)</f>
        <v>2025</v>
      </c>
      <c r="BG701" s="3">
        <f t="shared" si="259"/>
        <v>2025</v>
      </c>
      <c r="BH701" s="3" t="s">
        <v>627</v>
      </c>
      <c r="BI701" s="3" t="s">
        <v>627</v>
      </c>
      <c r="BJ701" s="102">
        <f>DATE(Modelling_old[[#This Row],[Calendor Year]],Modelling_old[[#This Row],[Start Month]],1)</f>
        <v>45689</v>
      </c>
      <c r="BK701" s="5">
        <f t="shared" si="260"/>
        <v>28</v>
      </c>
      <c r="BL701" s="5">
        <f t="shared" si="261"/>
        <v>2</v>
      </c>
      <c r="BM701" s="4">
        <f>Modelling_old[[#This Row],[Target E_Grid daily
MWh]]+Modelling_new[[#This Row],[Target E_Grid daily
MWh]]</f>
        <v>122.33633074566892</v>
      </c>
      <c r="BN701" s="4">
        <f>Modelling_old[[#This Row],[Target E_Grid MTD
MWh]]+Modelling_new[[#This Row],[Target E_Grid MTD
MWh]]</f>
        <v>1468.0359689480269</v>
      </c>
      <c r="BO701" s="4">
        <f>Modelling_old[[#This Row],[Target E_Grid YTD
MWh]]+Modelling_new[[#This Row],[Target E_Grid YTD
MWh]]</f>
        <v>33178.060864718995</v>
      </c>
      <c r="BP701" s="4">
        <f>AVERAGE(Modelling_old[[#This Row],[Target POA Daily (KWh/m2)]],Modelling_new[[#This Row],[Target POA Daily (KWh/m2)]])</f>
        <v>6.8928571428571432</v>
      </c>
      <c r="BQ701" s="4">
        <f>SUM($BP$690:BP701)</f>
        <v>82.714285714285722</v>
      </c>
      <c r="BR701" s="4">
        <f>SUM($BP$384:BP701)</f>
        <v>1842.4142857142817</v>
      </c>
      <c r="BS701" s="323">
        <f>BM701/Modelling[[#This Row],[Comisined DC ]]/BP701</f>
        <v>0.73028856249211938</v>
      </c>
      <c r="BT701" s="337">
        <f>BN701/BQ701/Modelling[[#This Row],[Comisined DC ]]</f>
        <v>0.73028856249211926</v>
      </c>
      <c r="BU701" s="337">
        <f>BO701/BR701/Modelling[[#This Row],[Comisined DC ]]</f>
        <v>0.74097240290457422</v>
      </c>
      <c r="BV701" s="323">
        <f>BM701/(24*Modelling[[#This Row],[Comisined DC ]])</f>
        <v>0.20974061393002832</v>
      </c>
      <c r="BW701" s="323">
        <f>Modelling[[#This Row],[Target E_Grid MTD
MWh]]/Modelling[[#This Row],[MTD DC Capcity]]/(24*CG701)</f>
        <v>0.2097406139300283</v>
      </c>
      <c r="BX701" s="338">
        <f>Modelling[[#This Row],[Target E_Grid YTD
MWh]]/Modelling[[#This Row],[YTD DC Capcity]]/(24*CH701)</f>
        <v>0.17887554250935825</v>
      </c>
      <c r="BY701" s="4">
        <f>Modelling_old[[#This Row],[DC Capcity]]+Modelling_new[[#This Row],[Comisined DC ]]</f>
        <v>24.303100000000001</v>
      </c>
      <c r="BZ701" s="4">
        <v>0</v>
      </c>
      <c r="CA701">
        <f>AVERAGEIFS(Modelling[[Comisined DC ]],Modelling[Date],"&lt;="&amp;Modelling[[#This Row],[Date]],Modelling[Month Year],Modelling[[#This Row],[Month Year]])</f>
        <v>24.303100000000001</v>
      </c>
      <c r="CB701">
        <f>AVERAGEIFS(Modelling[[Comisined DC ]],Modelling[Date],"&lt;="&amp;Modelling[[#This Row],[Date]],Modelling[Finacial Year],Modelling[[#This Row],[Finacial Year]])</f>
        <v>24.303100000000072</v>
      </c>
      <c r="CG701">
        <f t="shared" si="266"/>
        <v>12</v>
      </c>
      <c r="CH701">
        <f t="shared" si="262"/>
        <v>318</v>
      </c>
    </row>
    <row r="702" spans="1:86" x14ac:dyDescent="0.35">
      <c r="A702" s="27">
        <f t="shared" si="241"/>
        <v>45701</v>
      </c>
      <c r="B702" s="5">
        <f>MONTH(Modelling_old[[#This Row],[Date]])</f>
        <v>2</v>
      </c>
      <c r="C702" s="25">
        <v>2025</v>
      </c>
      <c r="D702" s="3">
        <f t="shared" si="243"/>
        <v>2025</v>
      </c>
      <c r="E702" s="3" t="s">
        <v>627</v>
      </c>
      <c r="F702" s="3" t="s">
        <v>627</v>
      </c>
      <c r="G702" s="102">
        <f>DATE(Modelling_old[[#This Row],[Calendor Year]],Modelling_old[[#This Row],[Start Month]],1)</f>
        <v>45689</v>
      </c>
      <c r="H702" s="5">
        <f t="shared" si="244"/>
        <v>28</v>
      </c>
      <c r="I702" s="5">
        <f t="shared" si="245"/>
        <v>2</v>
      </c>
      <c r="J702" s="4">
        <f>_xlfn.XLOOKUP(Modelling_old[[#This Row],[Month]],$C$1:$C$14,$N$1:$N$14)/Modelling_old[[#This Row],[Total Days]]</f>
        <v>53.846428571428575</v>
      </c>
      <c r="K702" s="4">
        <f>SUM($J$690:J702)</f>
        <v>700.00357142857138</v>
      </c>
      <c r="L702" s="4">
        <f>SUM($J$384:J702)</f>
        <v>14751.003571428582</v>
      </c>
      <c r="M702" s="4">
        <f t="shared" si="246"/>
        <v>6.8928571428571432</v>
      </c>
      <c r="N702" s="4">
        <f>SUM($M$690:M702)</f>
        <v>89.607142857142861</v>
      </c>
      <c r="O702" s="4">
        <f>SUM($M$384:M702)</f>
        <v>1849.3071428571388</v>
      </c>
      <c r="P702" s="323">
        <f t="shared" si="247"/>
        <v>0.67911407346242281</v>
      </c>
      <c r="Q702" s="337">
        <f t="shared" si="248"/>
        <v>0.6791140734624227</v>
      </c>
      <c r="R702" s="337">
        <f t="shared" si="249"/>
        <v>0.69342201518682334</v>
      </c>
      <c r="S702" s="323">
        <f t="shared" si="250"/>
        <v>0.19504317883667802</v>
      </c>
      <c r="T702" s="9">
        <f>Modelling_old[[#This Row],[Target E_Grid MTD
MWh]]/Modelling_old[[#This Row],[DC Capcity]]/(24*CG702)</f>
        <v>0.19504317883667796</v>
      </c>
      <c r="U702" s="338">
        <f>Modelling_old[[#This Row],[Target E_Grid YTD
MWh]]/Modelling_old[[#This Row],[DC Capcity]]/(24*CH702)</f>
        <v>0.1674961188217586</v>
      </c>
      <c r="V702" s="134">
        <v>11.5031</v>
      </c>
      <c r="Y702" s="27">
        <f t="shared" si="263"/>
        <v>45701</v>
      </c>
      <c r="Z702" s="5">
        <f>MONTH(Modelling_new[[#This Row],[Date]])</f>
        <v>2</v>
      </c>
      <c r="AA702" s="25">
        <f>YEAR(Y702)+IF(MONTH(Modelling_new[[#This Row],[Date]])&gt;=4,1,0)</f>
        <v>2025</v>
      </c>
      <c r="AB702" s="3">
        <f t="shared" si="251"/>
        <v>2025</v>
      </c>
      <c r="AC702" s="3" t="s">
        <v>627</v>
      </c>
      <c r="AD702" s="3" t="s">
        <v>627</v>
      </c>
      <c r="AE702" s="102">
        <f>DATE(Modelling_old[[#This Row],[Calendor Year]],Modelling_old[[#This Row],[Start Month]],1)</f>
        <v>45689</v>
      </c>
      <c r="AF702" s="5">
        <f t="shared" si="252"/>
        <v>28</v>
      </c>
      <c r="AG702" s="5">
        <f t="shared" si="253"/>
        <v>2</v>
      </c>
      <c r="AH702" s="4">
        <f>_xlfn.XLOOKUP(Modelling_new[[#This Row],[Month]],$AA$1:$AA$14,$AL$1:$AL$14)/Modelling_new[[#This Row],[Total Days]]</f>
        <v>68.489902174240342</v>
      </c>
      <c r="AI702" s="4">
        <f>SUM($AH$690:AH702)</f>
        <v>890.36872826512445</v>
      </c>
      <c r="AJ702" s="4">
        <f>SUM($AH$384:AH702)</f>
        <v>18549.393624036078</v>
      </c>
      <c r="AK702" s="4">
        <f t="shared" si="254"/>
        <v>6.8928571428571432</v>
      </c>
      <c r="AL702" s="4">
        <f>SUM($AK$690:AK702)</f>
        <v>89.607142857142861</v>
      </c>
      <c r="AM702" s="4">
        <f>SUM($AK$384:AK702)</f>
        <v>1849.3071428571388</v>
      </c>
      <c r="AN702" s="323">
        <f t="shared" si="255"/>
        <v>0.86379835563079765</v>
      </c>
      <c r="AO702" s="323">
        <f t="shared" si="256"/>
        <v>0.86379835563079777</v>
      </c>
      <c r="AP702" s="323">
        <f t="shared" si="257"/>
        <v>0.87197849590290732</v>
      </c>
      <c r="AQ702" s="323">
        <f t="shared" si="258"/>
        <v>0.24808494439991666</v>
      </c>
      <c r="AR702" s="323">
        <f>Modelling_new[[#This Row],[Target E_Grid MTD
MWh]]/Modelling_new[[#This Row],[MTD DC Capcity]]/(24*CG702)</f>
        <v>0.22294890030677195</v>
      </c>
      <c r="AS702" s="323">
        <f>Modelling_new[[#This Row],[Target E_Grid YTD
MWh]]/Modelling_new[[#This Row],[YTD DC Capcity]]/(24*CH702)</f>
        <v>0.18928570753367427</v>
      </c>
      <c r="AT702" s="5">
        <v>12.8</v>
      </c>
      <c r="AU702" s="9">
        <f>Modelling_new[[#This Row],[Comisined DC ]]/$AO$1</f>
        <v>1</v>
      </c>
      <c r="AV702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702" s="5">
        <f>AVERAGEIFS(Modelling_new[[Comisined DC ]],Modelling_new[Date],"&lt;="&amp;Modelling_new[[#This Row],[Date]],Modelling_new[[Comisined DC ]],"&gt;"&amp;0,Modelling_new[Finacial Year],Modelling_new[[#This Row],[Finacial Year]])</f>
        <v>12.800000000000074</v>
      </c>
      <c r="BD702" s="27">
        <f t="shared" si="264"/>
        <v>45701</v>
      </c>
      <c r="BE702" s="5">
        <f>MONTH(Modelling[[#This Row],[Date]])</f>
        <v>2</v>
      </c>
      <c r="BF702" s="25">
        <f>YEAR(BD702)+IF(MONTH(Modelling[[#This Row],[Date]])&gt;=4,1,0)</f>
        <v>2025</v>
      </c>
      <c r="BG702" s="3">
        <f t="shared" si="259"/>
        <v>2025</v>
      </c>
      <c r="BH702" s="3" t="s">
        <v>627</v>
      </c>
      <c r="BI702" s="3" t="s">
        <v>627</v>
      </c>
      <c r="BJ702" s="102">
        <f>DATE(Modelling_old[[#This Row],[Calendor Year]],Modelling_old[[#This Row],[Start Month]],1)</f>
        <v>45689</v>
      </c>
      <c r="BK702" s="5">
        <f t="shared" si="260"/>
        <v>28</v>
      </c>
      <c r="BL702" s="5">
        <f t="shared" si="261"/>
        <v>2</v>
      </c>
      <c r="BM702" s="4">
        <f>Modelling_old[[#This Row],[Target E_Grid daily
MWh]]+Modelling_new[[#This Row],[Target E_Grid daily
MWh]]</f>
        <v>122.33633074566892</v>
      </c>
      <c r="BN702" s="4">
        <f>Modelling_old[[#This Row],[Target E_Grid MTD
MWh]]+Modelling_new[[#This Row],[Target E_Grid MTD
MWh]]</f>
        <v>1590.3722996936958</v>
      </c>
      <c r="BO702" s="4">
        <f>Modelling_old[[#This Row],[Target E_Grid YTD
MWh]]+Modelling_new[[#This Row],[Target E_Grid YTD
MWh]]</f>
        <v>33300.397195464662</v>
      </c>
      <c r="BP702" s="4">
        <f>AVERAGE(Modelling_old[[#This Row],[Target POA Daily (KWh/m2)]],Modelling_new[[#This Row],[Target POA Daily (KWh/m2)]])</f>
        <v>6.8928571428571432</v>
      </c>
      <c r="BQ702" s="4">
        <f>SUM($BP$690:BP702)</f>
        <v>89.607142857142861</v>
      </c>
      <c r="BR702" s="4">
        <f>SUM($BP$384:BP702)</f>
        <v>1849.3071428571388</v>
      </c>
      <c r="BS702" s="323">
        <f>BM702/Modelling[[#This Row],[Comisined DC ]]/BP702</f>
        <v>0.73028856249211938</v>
      </c>
      <c r="BT702" s="337">
        <f>BN702/BQ702/Modelling[[#This Row],[Comisined DC ]]</f>
        <v>0.73028856249211926</v>
      </c>
      <c r="BU702" s="337">
        <f>BO702/BR702/Modelling[[#This Row],[Comisined DC ]]</f>
        <v>0.74093258140386542</v>
      </c>
      <c r="BV702" s="323">
        <f>BM702/(24*Modelling[[#This Row],[Comisined DC ]])</f>
        <v>0.20974061393002832</v>
      </c>
      <c r="BW702" s="323">
        <f>Modelling[[#This Row],[Target E_Grid MTD
MWh]]/Modelling[[#This Row],[MTD DC Capcity]]/(24*CG702)</f>
        <v>0.20974061393002835</v>
      </c>
      <c r="BX702" s="338">
        <f>Modelling[[#This Row],[Target E_Grid YTD
MWh]]/Modelling[[#This Row],[YTD DC Capcity]]/(24*CH702)</f>
        <v>0.1789722982191409</v>
      </c>
      <c r="BY702" s="4">
        <f>Modelling_old[[#This Row],[DC Capcity]]+Modelling_new[[#This Row],[Comisined DC ]]</f>
        <v>24.303100000000001</v>
      </c>
      <c r="BZ702" s="4">
        <v>0</v>
      </c>
      <c r="CA702">
        <f>AVERAGEIFS(Modelling[[Comisined DC ]],Modelling[Date],"&lt;="&amp;Modelling[[#This Row],[Date]],Modelling[Month Year],Modelling[[#This Row],[Month Year]])</f>
        <v>24.303099999999997</v>
      </c>
      <c r="CB702">
        <f>AVERAGEIFS(Modelling[[Comisined DC ]],Modelling[Date],"&lt;="&amp;Modelling[[#This Row],[Date]],Modelling[Finacial Year],Modelling[[#This Row],[Finacial Year]])</f>
        <v>24.303100000000072</v>
      </c>
      <c r="CG702">
        <f t="shared" si="266"/>
        <v>13</v>
      </c>
      <c r="CH702">
        <f t="shared" si="262"/>
        <v>319</v>
      </c>
    </row>
    <row r="703" spans="1:86" x14ac:dyDescent="0.35">
      <c r="A703" s="27">
        <f t="shared" si="241"/>
        <v>45702</v>
      </c>
      <c r="B703" s="5">
        <f>MONTH(Modelling_old[[#This Row],[Date]])</f>
        <v>2</v>
      </c>
      <c r="C703" s="25">
        <v>2025</v>
      </c>
      <c r="D703" s="3">
        <f t="shared" si="243"/>
        <v>2025</v>
      </c>
      <c r="E703" s="3" t="s">
        <v>627</v>
      </c>
      <c r="F703" s="3" t="s">
        <v>627</v>
      </c>
      <c r="G703" s="102">
        <f>DATE(Modelling_old[[#This Row],[Calendor Year]],Modelling_old[[#This Row],[Start Month]],1)</f>
        <v>45689</v>
      </c>
      <c r="H703" s="5">
        <f t="shared" si="244"/>
        <v>28</v>
      </c>
      <c r="I703" s="5">
        <f t="shared" si="245"/>
        <v>2</v>
      </c>
      <c r="J703" s="4">
        <f>_xlfn.XLOOKUP(Modelling_old[[#This Row],[Month]],$C$1:$C$14,$N$1:$N$14)/Modelling_old[[#This Row],[Total Days]]</f>
        <v>53.846428571428575</v>
      </c>
      <c r="K703" s="4">
        <f>SUM($J$690:J703)</f>
        <v>753.84999999999991</v>
      </c>
      <c r="L703" s="4">
        <f>SUM($J$384:J703)</f>
        <v>14804.850000000011</v>
      </c>
      <c r="M703" s="4">
        <f t="shared" si="246"/>
        <v>6.8928571428571432</v>
      </c>
      <c r="N703" s="4">
        <f>SUM($M$690:M703)</f>
        <v>96.5</v>
      </c>
      <c r="O703" s="4">
        <f>SUM($M$384:M703)</f>
        <v>1856.199999999996</v>
      </c>
      <c r="P703" s="323">
        <f t="shared" si="247"/>
        <v>0.67911407346242281</v>
      </c>
      <c r="Q703" s="337">
        <f t="shared" si="248"/>
        <v>0.6791140734624227</v>
      </c>
      <c r="R703" s="337">
        <f t="shared" si="249"/>
        <v>0.69336888373637917</v>
      </c>
      <c r="S703" s="323">
        <f t="shared" si="250"/>
        <v>0.19504317883667802</v>
      </c>
      <c r="T703" s="9">
        <f>Modelling_old[[#This Row],[Target E_Grid MTD
MWh]]/Modelling_old[[#This Row],[DC Capcity]]/(24*CG703)</f>
        <v>0.19504317883667793</v>
      </c>
      <c r="U703" s="338">
        <f>Modelling_old[[#This Row],[Target E_Grid YTD
MWh]]/Modelling_old[[#This Row],[DC Capcity]]/(24*CH703)</f>
        <v>0.16758220338430524</v>
      </c>
      <c r="V703" s="134">
        <v>11.5031</v>
      </c>
      <c r="Y703" s="27">
        <f t="shared" si="263"/>
        <v>45702</v>
      </c>
      <c r="Z703" s="5">
        <f>MONTH(Modelling_new[[#This Row],[Date]])</f>
        <v>2</v>
      </c>
      <c r="AA703" s="25">
        <f>YEAR(Y703)+IF(MONTH(Modelling_new[[#This Row],[Date]])&gt;=4,1,0)</f>
        <v>2025</v>
      </c>
      <c r="AB703" s="3">
        <f t="shared" si="251"/>
        <v>2025</v>
      </c>
      <c r="AC703" s="3" t="s">
        <v>627</v>
      </c>
      <c r="AD703" s="3" t="s">
        <v>627</v>
      </c>
      <c r="AE703" s="102">
        <f>DATE(Modelling_old[[#This Row],[Calendor Year]],Modelling_old[[#This Row],[Start Month]],1)</f>
        <v>45689</v>
      </c>
      <c r="AF703" s="5">
        <f t="shared" si="252"/>
        <v>28</v>
      </c>
      <c r="AG703" s="5">
        <f t="shared" si="253"/>
        <v>2</v>
      </c>
      <c r="AH703" s="4">
        <f>_xlfn.XLOOKUP(Modelling_new[[#This Row],[Month]],$AA$1:$AA$14,$AL$1:$AL$14)/Modelling_new[[#This Row],[Total Days]]</f>
        <v>68.489902174240342</v>
      </c>
      <c r="AI703" s="4">
        <f>SUM($AH$690:AH703)</f>
        <v>958.85863043936479</v>
      </c>
      <c r="AJ703" s="4">
        <f>SUM($AH$384:AH703)</f>
        <v>18617.883526210317</v>
      </c>
      <c r="AK703" s="4">
        <f t="shared" si="254"/>
        <v>6.8928571428571432</v>
      </c>
      <c r="AL703" s="4">
        <f>SUM($AK$690:AK703)</f>
        <v>96.5</v>
      </c>
      <c r="AM703" s="4">
        <f>SUM($AK$384:AK703)</f>
        <v>1856.199999999996</v>
      </c>
      <c r="AN703" s="323">
        <f t="shared" si="255"/>
        <v>0.86379835563079765</v>
      </c>
      <c r="AO703" s="323">
        <f t="shared" si="256"/>
        <v>0.86379835563079777</v>
      </c>
      <c r="AP703" s="323">
        <f t="shared" si="257"/>
        <v>0.87194811957583895</v>
      </c>
      <c r="AQ703" s="323">
        <f t="shared" si="258"/>
        <v>0.24808494439991666</v>
      </c>
      <c r="AR703" s="323">
        <f>Modelling_new[[#This Row],[Target E_Grid MTD
MWh]]/Modelling_new[[#This Row],[MTD DC Capcity]]/(24*CG703)</f>
        <v>0.22294890030677195</v>
      </c>
      <c r="AS703" s="323">
        <f>Modelling_new[[#This Row],[Target E_Grid YTD
MWh]]/Modelling_new[[#This Row],[YTD DC Capcity]]/(24*CH703)</f>
        <v>0.18939090501109018</v>
      </c>
      <c r="AT703" s="5">
        <v>12.8</v>
      </c>
      <c r="AU703" s="9">
        <f>Modelling_new[[#This Row],[Comisined DC ]]/$AO$1</f>
        <v>1</v>
      </c>
      <c r="AV703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703" s="5">
        <f>AVERAGEIFS(Modelling_new[[Comisined DC ]],Modelling_new[Date],"&lt;="&amp;Modelling_new[[#This Row],[Date]],Modelling_new[[Comisined DC ]],"&gt;"&amp;0,Modelling_new[Finacial Year],Modelling_new[[#This Row],[Finacial Year]])</f>
        <v>12.800000000000074</v>
      </c>
      <c r="BD703" s="27">
        <f t="shared" si="264"/>
        <v>45702</v>
      </c>
      <c r="BE703" s="5">
        <f>MONTH(Modelling[[#This Row],[Date]])</f>
        <v>2</v>
      </c>
      <c r="BF703" s="25">
        <f>YEAR(BD703)+IF(MONTH(Modelling[[#This Row],[Date]])&gt;=4,1,0)</f>
        <v>2025</v>
      </c>
      <c r="BG703" s="3">
        <f t="shared" si="259"/>
        <v>2025</v>
      </c>
      <c r="BH703" s="3" t="s">
        <v>627</v>
      </c>
      <c r="BI703" s="3" t="s">
        <v>627</v>
      </c>
      <c r="BJ703" s="102">
        <f>DATE(Modelling_old[[#This Row],[Calendor Year]],Modelling_old[[#This Row],[Start Month]],1)</f>
        <v>45689</v>
      </c>
      <c r="BK703" s="5">
        <f t="shared" si="260"/>
        <v>28</v>
      </c>
      <c r="BL703" s="5">
        <f t="shared" si="261"/>
        <v>2</v>
      </c>
      <c r="BM703" s="4">
        <f>Modelling_old[[#This Row],[Target E_Grid daily
MWh]]+Modelling_new[[#This Row],[Target E_Grid daily
MWh]]</f>
        <v>122.33633074566892</v>
      </c>
      <c r="BN703" s="4">
        <f>Modelling_old[[#This Row],[Target E_Grid MTD
MWh]]+Modelling_new[[#This Row],[Target E_Grid MTD
MWh]]</f>
        <v>1712.7086304393647</v>
      </c>
      <c r="BO703" s="4">
        <f>Modelling_old[[#This Row],[Target E_Grid YTD
MWh]]+Modelling_new[[#This Row],[Target E_Grid YTD
MWh]]</f>
        <v>33422.73352621033</v>
      </c>
      <c r="BP703" s="4">
        <f>AVERAGE(Modelling_old[[#This Row],[Target POA Daily (KWh/m2)]],Modelling_new[[#This Row],[Target POA Daily (KWh/m2)]])</f>
        <v>6.8928571428571432</v>
      </c>
      <c r="BQ703" s="4">
        <f>SUM($BP$690:BP703)</f>
        <v>96.5</v>
      </c>
      <c r="BR703" s="4">
        <f>SUM($BP$384:BP703)</f>
        <v>1856.199999999996</v>
      </c>
      <c r="BS703" s="323">
        <f>BM703/Modelling[[#This Row],[Comisined DC ]]/BP703</f>
        <v>0.73028856249211938</v>
      </c>
      <c r="BT703" s="337">
        <f>BN703/BQ703/Modelling[[#This Row],[Comisined DC ]]</f>
        <v>0.73028856249211926</v>
      </c>
      <c r="BU703" s="337">
        <f>BO703/BR703/Modelling[[#This Row],[Comisined DC ]]</f>
        <v>0.74089305565136865</v>
      </c>
      <c r="BV703" s="323">
        <f>BM703/(24*Modelling[[#This Row],[Comisined DC ]])</f>
        <v>0.20974061393002832</v>
      </c>
      <c r="BW703" s="323">
        <f>Modelling[[#This Row],[Target E_Grid MTD
MWh]]/Modelling[[#This Row],[MTD DC Capcity]]/(24*CG703)</f>
        <v>0.20974061393002832</v>
      </c>
      <c r="BX703" s="338">
        <f>Modelling[[#This Row],[Target E_Grid YTD
MWh]]/Modelling[[#This Row],[YTD DC Capcity]]/(24*CH703)</f>
        <v>0.17906844920573742</v>
      </c>
      <c r="BY703" s="4">
        <f>Modelling_old[[#This Row],[DC Capcity]]+Modelling_new[[#This Row],[Comisined DC ]]</f>
        <v>24.303100000000001</v>
      </c>
      <c r="BZ703" s="4">
        <v>0</v>
      </c>
      <c r="CA703">
        <f>AVERAGEIFS(Modelling[[Comisined DC ]],Modelling[Date],"&lt;="&amp;Modelling[[#This Row],[Date]],Modelling[Month Year],Modelling[[#This Row],[Month Year]])</f>
        <v>24.303099999999997</v>
      </c>
      <c r="CB703">
        <f>AVERAGEIFS(Modelling[[Comisined DC ]],Modelling[Date],"&lt;="&amp;Modelling[[#This Row],[Date]],Modelling[Finacial Year],Modelling[[#This Row],[Finacial Year]])</f>
        <v>24.303100000000072</v>
      </c>
      <c r="CG703">
        <f t="shared" si="266"/>
        <v>14</v>
      </c>
      <c r="CH703">
        <f t="shared" si="262"/>
        <v>320</v>
      </c>
    </row>
    <row r="704" spans="1:86" x14ac:dyDescent="0.35">
      <c r="A704" s="27">
        <f t="shared" ref="A704:A748" si="267">A703+1</f>
        <v>45703</v>
      </c>
      <c r="B704" s="5">
        <f>MONTH(Modelling_old[[#This Row],[Date]])</f>
        <v>2</v>
      </c>
      <c r="C704" s="25">
        <v>2025</v>
      </c>
      <c r="D704" s="3">
        <f t="shared" ref="D704:D712" si="268">YEAR(A704)</f>
        <v>2025</v>
      </c>
      <c r="E704" s="3" t="s">
        <v>627</v>
      </c>
      <c r="F704" s="3" t="s">
        <v>627</v>
      </c>
      <c r="G704" s="102">
        <f>DATE(Modelling_old[[#This Row],[Calendor Year]],Modelling_old[[#This Row],[Start Month]],1)</f>
        <v>45689</v>
      </c>
      <c r="H704" s="5">
        <f t="shared" ref="H704:H712" si="269">DAY(EOMONTH(G704,0))</f>
        <v>28</v>
      </c>
      <c r="I704" s="5">
        <f t="shared" ref="I704:I712" si="270">MONTH(A704)</f>
        <v>2</v>
      </c>
      <c r="J704" s="4">
        <f>_xlfn.XLOOKUP(Modelling_old[[#This Row],[Month]],$C$1:$C$14,$N$1:$N$14)/Modelling_old[[#This Row],[Total Days]]</f>
        <v>53.846428571428575</v>
      </c>
      <c r="K704" s="4">
        <f>SUM($J$690:J704)</f>
        <v>807.69642857142844</v>
      </c>
      <c r="L704" s="4">
        <f>SUM($J$384:J704)</f>
        <v>14858.69642857144</v>
      </c>
      <c r="M704" s="4">
        <f t="shared" ref="M704:M712" si="271">VLOOKUP(I704,$C$2:$M$13,11,0)</f>
        <v>6.8928571428571432</v>
      </c>
      <c r="N704" s="4">
        <f>SUM($M$690:M704)</f>
        <v>103.39285714285714</v>
      </c>
      <c r="O704" s="4">
        <f>SUM($M$384:M704)</f>
        <v>1863.0928571428531</v>
      </c>
      <c r="P704" s="323">
        <f t="shared" ref="P704:P712" si="272">J704/$Q$1/M704</f>
        <v>0.67911407346242281</v>
      </c>
      <c r="Q704" s="337">
        <f t="shared" ref="Q704:Q712" si="273">K704/N704/$Q$1</f>
        <v>0.6791140734624227</v>
      </c>
      <c r="R704" s="337">
        <f t="shared" ref="R704:R712" si="274">L704/O704/$Q$1</f>
        <v>0.6933161454252208</v>
      </c>
      <c r="S704" s="323">
        <f t="shared" ref="S704:S712" si="275">J704/(24*$Q$1)</f>
        <v>0.19504317883667802</v>
      </c>
      <c r="T704" s="9">
        <f>Modelling_old[[#This Row],[Target E_Grid MTD
MWh]]/Modelling_old[[#This Row],[DC Capcity]]/(24*CG704)</f>
        <v>0.19504317883667796</v>
      </c>
      <c r="U704" s="338">
        <f>Modelling_old[[#This Row],[Target E_Grid YTD
MWh]]/Modelling_old[[#This Row],[DC Capcity]]/(24*CH704)</f>
        <v>0.16766775159443725</v>
      </c>
      <c r="V704" s="134">
        <v>11.5031</v>
      </c>
      <c r="Y704" s="27">
        <f t="shared" si="263"/>
        <v>45703</v>
      </c>
      <c r="Z704" s="5">
        <f>MONTH(Modelling_new[[#This Row],[Date]])</f>
        <v>2</v>
      </c>
      <c r="AA704" s="25">
        <f>YEAR(Y704)+IF(MONTH(Modelling_new[[#This Row],[Date]])&gt;=4,1,0)</f>
        <v>2025</v>
      </c>
      <c r="AB704" s="3">
        <f t="shared" ref="AB704:AB748" si="276">YEAR(Y704)</f>
        <v>2025</v>
      </c>
      <c r="AC704" s="3" t="s">
        <v>627</v>
      </c>
      <c r="AD704" s="3" t="s">
        <v>627</v>
      </c>
      <c r="AE704" s="102">
        <f>DATE(Modelling_old[[#This Row],[Calendor Year]],Modelling_old[[#This Row],[Start Month]],1)</f>
        <v>45689</v>
      </c>
      <c r="AF704" s="5">
        <f t="shared" ref="AF704:AF748" si="277">DAY(EOMONTH(AE704,0))</f>
        <v>28</v>
      </c>
      <c r="AG704" s="5">
        <f t="shared" ref="AG704:AG748" si="278">MONTH(Y704)</f>
        <v>2</v>
      </c>
      <c r="AH704" s="4">
        <f>_xlfn.XLOOKUP(Modelling_new[[#This Row],[Month]],$AA$1:$AA$14,$AL$1:$AL$14)/Modelling_new[[#This Row],[Total Days]]</f>
        <v>68.489902174240342</v>
      </c>
      <c r="AI704" s="4">
        <f>SUM($AH$690:AH704)</f>
        <v>1027.3485326136051</v>
      </c>
      <c r="AJ704" s="4">
        <f>SUM($AH$384:AH704)</f>
        <v>18686.373428384555</v>
      </c>
      <c r="AK704" s="4">
        <f t="shared" ref="AK704:AK748" si="279">VLOOKUP(AG704,$C$2:$M$13,11,0)</f>
        <v>6.8928571428571432</v>
      </c>
      <c r="AL704" s="4">
        <f>SUM($AK$690:AK704)</f>
        <v>103.39285714285714</v>
      </c>
      <c r="AM704" s="4">
        <f>SUM($AK$384:AK704)</f>
        <v>1863.0928571428531</v>
      </c>
      <c r="AN704" s="323">
        <f t="shared" ref="AN704:AN748" si="280">AH704/$Q$1/AK704</f>
        <v>0.86379835563079765</v>
      </c>
      <c r="AO704" s="323">
        <f t="shared" ref="AO704:AO748" si="281">AI704/AL704/$Q$1</f>
        <v>0.86379835563079788</v>
      </c>
      <c r="AP704" s="323">
        <f t="shared" ref="AP704:AP748" si="282">AJ704/AM704/$Q$1</f>
        <v>0.87191796801446841</v>
      </c>
      <c r="AQ704" s="323">
        <f t="shared" ref="AQ704:AQ748" si="283">AH704/(24*$Q$1)</f>
        <v>0.24808494439991666</v>
      </c>
      <c r="AR704" s="323">
        <f>Modelling_new[[#This Row],[Target E_Grid MTD
MWh]]/Modelling_new[[#This Row],[MTD DC Capcity]]/(24*CG704)</f>
        <v>0.22294890030677192</v>
      </c>
      <c r="AS704" s="323">
        <f>Modelling_new[[#This Row],[Target E_Grid YTD
MWh]]/Modelling_new[[#This Row],[YTD DC Capcity]]/(24*CH704)</f>
        <v>0.18949544705250973</v>
      </c>
      <c r="AT704" s="5">
        <v>12.8</v>
      </c>
      <c r="AU704" s="9">
        <f>Modelling_new[[#This Row],[Comisined DC ]]/$AO$1</f>
        <v>1</v>
      </c>
      <c r="AV704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704" s="5">
        <f>AVERAGEIFS(Modelling_new[[Comisined DC ]],Modelling_new[Date],"&lt;="&amp;Modelling_new[[#This Row],[Date]],Modelling_new[[Comisined DC ]],"&gt;"&amp;0,Modelling_new[Finacial Year],Modelling_new[[#This Row],[Finacial Year]])</f>
        <v>12.800000000000074</v>
      </c>
      <c r="BD704" s="27">
        <f t="shared" si="264"/>
        <v>45703</v>
      </c>
      <c r="BE704" s="5">
        <f>MONTH(Modelling[[#This Row],[Date]])</f>
        <v>2</v>
      </c>
      <c r="BF704" s="25">
        <f>YEAR(BD704)+IF(MONTH(Modelling[[#This Row],[Date]])&gt;=4,1,0)</f>
        <v>2025</v>
      </c>
      <c r="BG704" s="3">
        <f t="shared" ref="BG704:BG748" si="284">YEAR(BD704)</f>
        <v>2025</v>
      </c>
      <c r="BH704" s="3" t="s">
        <v>627</v>
      </c>
      <c r="BI704" s="3" t="s">
        <v>627</v>
      </c>
      <c r="BJ704" s="102">
        <f>DATE(Modelling_old[[#This Row],[Calendor Year]],Modelling_old[[#This Row],[Start Month]],1)</f>
        <v>45689</v>
      </c>
      <c r="BK704" s="5">
        <f t="shared" ref="BK704:BK748" si="285">DAY(EOMONTH(BJ704,0))</f>
        <v>28</v>
      </c>
      <c r="BL704" s="5">
        <f t="shared" ref="BL704:BL748" si="286">MONTH(BD704)</f>
        <v>2</v>
      </c>
      <c r="BM704" s="4">
        <f>Modelling_old[[#This Row],[Target E_Grid daily
MWh]]+Modelling_new[[#This Row],[Target E_Grid daily
MWh]]</f>
        <v>122.33633074566892</v>
      </c>
      <c r="BN704" s="4">
        <f>Modelling_old[[#This Row],[Target E_Grid MTD
MWh]]+Modelling_new[[#This Row],[Target E_Grid MTD
MWh]]</f>
        <v>1835.0449611850336</v>
      </c>
      <c r="BO704" s="4">
        <f>Modelling_old[[#This Row],[Target E_Grid YTD
MWh]]+Modelling_new[[#This Row],[Target E_Grid YTD
MWh]]</f>
        <v>33545.069856955997</v>
      </c>
      <c r="BP704" s="4">
        <f>AVERAGE(Modelling_old[[#This Row],[Target POA Daily (KWh/m2)]],Modelling_new[[#This Row],[Target POA Daily (KWh/m2)]])</f>
        <v>6.8928571428571432</v>
      </c>
      <c r="BQ704" s="4">
        <f>SUM($BP$690:BP704)</f>
        <v>103.39285714285714</v>
      </c>
      <c r="BR704" s="4">
        <f>SUM($BP$384:BP704)</f>
        <v>1863.0928571428531</v>
      </c>
      <c r="BS704" s="323">
        <f>BM704/Modelling[[#This Row],[Comisined DC ]]/BP704</f>
        <v>0.73028856249211938</v>
      </c>
      <c r="BT704" s="337">
        <f>BN704/BQ704/Modelling[[#This Row],[Comisined DC ]]</f>
        <v>0.73028856249211938</v>
      </c>
      <c r="BU704" s="337">
        <f>BO704/BR704/Modelling[[#This Row],[Comisined DC ]]</f>
        <v>0.74085382236455799</v>
      </c>
      <c r="BV704" s="323">
        <f>BM704/(24*Modelling[[#This Row],[Comisined DC ]])</f>
        <v>0.20974061393002832</v>
      </c>
      <c r="BW704" s="323">
        <f>Modelling[[#This Row],[Target E_Grid MTD
MWh]]/Modelling[[#This Row],[MTD DC Capcity]]/(24*CG704)</f>
        <v>0.20974061393002835</v>
      </c>
      <c r="BX704" s="338">
        <f>Modelling[[#This Row],[Target E_Grid YTD
MWh]]/Modelling[[#This Row],[YTD DC Capcity]]/(24*CH704)</f>
        <v>0.17916400112076636</v>
      </c>
      <c r="BY704" s="4">
        <f>Modelling_old[[#This Row],[DC Capcity]]+Modelling_new[[#This Row],[Comisined DC ]]</f>
        <v>24.303100000000001</v>
      </c>
      <c r="BZ704" s="4">
        <v>0</v>
      </c>
      <c r="CA704">
        <f>AVERAGEIFS(Modelling[[Comisined DC ]],Modelling[Date],"&lt;="&amp;Modelling[[#This Row],[Date]],Modelling[Month Year],Modelling[[#This Row],[Month Year]])</f>
        <v>24.303099999999993</v>
      </c>
      <c r="CB704">
        <f>AVERAGEIFS(Modelling[[Comisined DC ]],Modelling[Date],"&lt;="&amp;Modelling[[#This Row],[Date]],Modelling[Finacial Year],Modelling[[#This Row],[Finacial Year]])</f>
        <v>24.303100000000072</v>
      </c>
      <c r="CG704">
        <f t="shared" si="266"/>
        <v>15</v>
      </c>
      <c r="CH704">
        <f t="shared" si="262"/>
        <v>321</v>
      </c>
    </row>
    <row r="705" spans="1:86" x14ac:dyDescent="0.35">
      <c r="A705" s="27">
        <f t="shared" si="267"/>
        <v>45704</v>
      </c>
      <c r="B705" s="5">
        <f>MONTH(Modelling_old[[#This Row],[Date]])</f>
        <v>2</v>
      </c>
      <c r="C705" s="25">
        <v>2025</v>
      </c>
      <c r="D705" s="3">
        <f t="shared" si="268"/>
        <v>2025</v>
      </c>
      <c r="E705" s="3" t="s">
        <v>627</v>
      </c>
      <c r="F705" s="3" t="s">
        <v>627</v>
      </c>
      <c r="G705" s="102">
        <f>DATE(Modelling_old[[#This Row],[Calendor Year]],Modelling_old[[#This Row],[Start Month]],1)</f>
        <v>45689</v>
      </c>
      <c r="H705" s="5">
        <f t="shared" si="269"/>
        <v>28</v>
      </c>
      <c r="I705" s="5">
        <f t="shared" si="270"/>
        <v>2</v>
      </c>
      <c r="J705" s="4">
        <f>_xlfn.XLOOKUP(Modelling_old[[#This Row],[Month]],$C$1:$C$14,$N$1:$N$14)/Modelling_old[[#This Row],[Total Days]]</f>
        <v>53.846428571428575</v>
      </c>
      <c r="K705" s="4">
        <f>SUM($J$690:J705)</f>
        <v>861.54285714285697</v>
      </c>
      <c r="L705" s="4">
        <f>SUM($J$384:J705)</f>
        <v>14912.542857142869</v>
      </c>
      <c r="M705" s="4">
        <f t="shared" si="271"/>
        <v>6.8928571428571432</v>
      </c>
      <c r="N705" s="4">
        <f>SUM($M$690:M705)</f>
        <v>110.28571428571428</v>
      </c>
      <c r="O705" s="4">
        <f>SUM($M$384:M705)</f>
        <v>1869.9857142857102</v>
      </c>
      <c r="P705" s="323">
        <f t="shared" si="272"/>
        <v>0.67911407346242281</v>
      </c>
      <c r="Q705" s="337">
        <f t="shared" si="273"/>
        <v>0.6791140734624227</v>
      </c>
      <c r="R705" s="337">
        <f t="shared" si="274"/>
        <v>0.69326379590595755</v>
      </c>
      <c r="S705" s="323">
        <f t="shared" si="275"/>
        <v>0.19504317883667802</v>
      </c>
      <c r="T705" s="9">
        <f>Modelling_old[[#This Row],[Target E_Grid MTD
MWh]]/Modelling_old[[#This Row],[DC Capcity]]/(24*CG705)</f>
        <v>0.19504317883667796</v>
      </c>
      <c r="U705" s="338">
        <f>Modelling_old[[#This Row],[Target E_Grid YTD
MWh]]/Modelling_old[[#This Row],[DC Capcity]]/(24*CH705)</f>
        <v>0.16775276844922682</v>
      </c>
      <c r="V705" s="134">
        <v>11.5031</v>
      </c>
      <c r="Y705" s="27">
        <f t="shared" si="263"/>
        <v>45704</v>
      </c>
      <c r="Z705" s="5">
        <f>MONTH(Modelling_new[[#This Row],[Date]])</f>
        <v>2</v>
      </c>
      <c r="AA705" s="25">
        <f>YEAR(Y705)+IF(MONTH(Modelling_new[[#This Row],[Date]])&gt;=4,1,0)</f>
        <v>2025</v>
      </c>
      <c r="AB705" s="3">
        <f t="shared" si="276"/>
        <v>2025</v>
      </c>
      <c r="AC705" s="3" t="s">
        <v>627</v>
      </c>
      <c r="AD705" s="3" t="s">
        <v>627</v>
      </c>
      <c r="AE705" s="102">
        <f>DATE(Modelling_old[[#This Row],[Calendor Year]],Modelling_old[[#This Row],[Start Month]],1)</f>
        <v>45689</v>
      </c>
      <c r="AF705" s="5">
        <f t="shared" si="277"/>
        <v>28</v>
      </c>
      <c r="AG705" s="5">
        <f t="shared" si="278"/>
        <v>2</v>
      </c>
      <c r="AH705" s="4">
        <f>_xlfn.XLOOKUP(Modelling_new[[#This Row],[Month]],$AA$1:$AA$14,$AL$1:$AL$14)/Modelling_new[[#This Row],[Total Days]]</f>
        <v>68.489902174240342</v>
      </c>
      <c r="AI705" s="4">
        <f>SUM($AH$690:AH705)</f>
        <v>1095.8384347878455</v>
      </c>
      <c r="AJ705" s="4">
        <f>SUM($AH$384:AH705)</f>
        <v>18754.863330558794</v>
      </c>
      <c r="AK705" s="4">
        <f t="shared" si="279"/>
        <v>6.8928571428571432</v>
      </c>
      <c r="AL705" s="4">
        <f>SUM($AK$690:AK705)</f>
        <v>110.28571428571428</v>
      </c>
      <c r="AM705" s="4">
        <f>SUM($AK$384:AK705)</f>
        <v>1869.9857142857102</v>
      </c>
      <c r="AN705" s="323">
        <f t="shared" si="280"/>
        <v>0.86379835563079765</v>
      </c>
      <c r="AO705" s="323">
        <f t="shared" si="281"/>
        <v>0.86379835563079788</v>
      </c>
      <c r="AP705" s="323">
        <f t="shared" si="282"/>
        <v>0.871888038733304</v>
      </c>
      <c r="AQ705" s="323">
        <f t="shared" si="283"/>
        <v>0.24808494439991666</v>
      </c>
      <c r="AR705" s="323">
        <f>Modelling_new[[#This Row],[Target E_Grid MTD
MWh]]/Modelling_new[[#This Row],[MTD DC Capcity]]/(24*CG705)</f>
        <v>0.22294890030677192</v>
      </c>
      <c r="AS705" s="323">
        <f>Modelling_new[[#This Row],[Target E_Grid YTD
MWh]]/Modelling_new[[#This Row],[YTD DC Capcity]]/(24*CH705)</f>
        <v>0.18959933976447946</v>
      </c>
      <c r="AT705" s="5">
        <v>12.8</v>
      </c>
      <c r="AU705" s="9">
        <f>Modelling_new[[#This Row],[Comisined DC ]]/$AO$1</f>
        <v>1</v>
      </c>
      <c r="AV705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705" s="5">
        <f>AVERAGEIFS(Modelling_new[[Comisined DC ]],Modelling_new[Date],"&lt;="&amp;Modelling_new[[#This Row],[Date]],Modelling_new[[Comisined DC ]],"&gt;"&amp;0,Modelling_new[Finacial Year],Modelling_new[[#This Row],[Finacial Year]])</f>
        <v>12.800000000000075</v>
      </c>
      <c r="BD705" s="27">
        <f t="shared" si="264"/>
        <v>45704</v>
      </c>
      <c r="BE705" s="5">
        <f>MONTH(Modelling[[#This Row],[Date]])</f>
        <v>2</v>
      </c>
      <c r="BF705" s="25">
        <f>YEAR(BD705)+IF(MONTH(Modelling[[#This Row],[Date]])&gt;=4,1,0)</f>
        <v>2025</v>
      </c>
      <c r="BG705" s="3">
        <f t="shared" si="284"/>
        <v>2025</v>
      </c>
      <c r="BH705" s="3" t="s">
        <v>627</v>
      </c>
      <c r="BI705" s="3" t="s">
        <v>627</v>
      </c>
      <c r="BJ705" s="102">
        <f>DATE(Modelling_old[[#This Row],[Calendor Year]],Modelling_old[[#This Row],[Start Month]],1)</f>
        <v>45689</v>
      </c>
      <c r="BK705" s="5">
        <f t="shared" si="285"/>
        <v>28</v>
      </c>
      <c r="BL705" s="5">
        <f t="shared" si="286"/>
        <v>2</v>
      </c>
      <c r="BM705" s="4">
        <f>Modelling_old[[#This Row],[Target E_Grid daily
MWh]]+Modelling_new[[#This Row],[Target E_Grid daily
MWh]]</f>
        <v>122.33633074566892</v>
      </c>
      <c r="BN705" s="4">
        <f>Modelling_old[[#This Row],[Target E_Grid MTD
MWh]]+Modelling_new[[#This Row],[Target E_Grid MTD
MWh]]</f>
        <v>1957.3812919307024</v>
      </c>
      <c r="BO705" s="4">
        <f>Modelling_old[[#This Row],[Target E_Grid YTD
MWh]]+Modelling_new[[#This Row],[Target E_Grid YTD
MWh]]</f>
        <v>33667.406187701665</v>
      </c>
      <c r="BP705" s="4">
        <f>AVERAGE(Modelling_old[[#This Row],[Target POA Daily (KWh/m2)]],Modelling_new[[#This Row],[Target POA Daily (KWh/m2)]])</f>
        <v>6.8928571428571432</v>
      </c>
      <c r="BQ705" s="4">
        <f>SUM($BP$690:BP705)</f>
        <v>110.28571428571428</v>
      </c>
      <c r="BR705" s="4">
        <f>SUM($BP$384:BP705)</f>
        <v>1869.9857142857102</v>
      </c>
      <c r="BS705" s="323">
        <f>BM705/Modelling[[#This Row],[Comisined DC ]]/BP705</f>
        <v>0.73028856249211938</v>
      </c>
      <c r="BT705" s="337">
        <f>BN705/BQ705/Modelling[[#This Row],[Comisined DC ]]</f>
        <v>0.73028856249211938</v>
      </c>
      <c r="BU705" s="337">
        <f>BO705/BR705/Modelling[[#This Row],[Comisined DC ]]</f>
        <v>0.74081487830930581</v>
      </c>
      <c r="BV705" s="323">
        <f>BM705/(24*Modelling[[#This Row],[Comisined DC ]])</f>
        <v>0.20974061393002832</v>
      </c>
      <c r="BW705" s="323">
        <f>Modelling[[#This Row],[Target E_Grid MTD
MWh]]/Modelling[[#This Row],[MTD DC Capcity]]/(24*CG705)</f>
        <v>0.20974061393002838</v>
      </c>
      <c r="BX705" s="338">
        <f>Modelling[[#This Row],[Target E_Grid YTD
MWh]]/Modelling[[#This Row],[YTD DC Capcity]]/(24*CH705)</f>
        <v>0.17925895954563983</v>
      </c>
      <c r="BY705" s="4">
        <f>Modelling_old[[#This Row],[DC Capcity]]+Modelling_new[[#This Row],[Comisined DC ]]</f>
        <v>24.303100000000001</v>
      </c>
      <c r="BZ705" s="4">
        <v>0</v>
      </c>
      <c r="CA705">
        <f>AVERAGEIFS(Modelling[[Comisined DC ]],Modelling[Date],"&lt;="&amp;Modelling[[#This Row],[Date]],Modelling[Month Year],Modelling[[#This Row],[Month Year]])</f>
        <v>24.303099999999993</v>
      </c>
      <c r="CB705">
        <f>AVERAGEIFS(Modelling[[Comisined DC ]],Modelling[Date],"&lt;="&amp;Modelling[[#This Row],[Date]],Modelling[Finacial Year],Modelling[[#This Row],[Finacial Year]])</f>
        <v>24.303100000000072</v>
      </c>
      <c r="CG705">
        <f t="shared" si="266"/>
        <v>16</v>
      </c>
      <c r="CH705">
        <f t="shared" si="262"/>
        <v>322</v>
      </c>
    </row>
    <row r="706" spans="1:86" x14ac:dyDescent="0.35">
      <c r="A706" s="27">
        <f t="shared" si="267"/>
        <v>45705</v>
      </c>
      <c r="B706" s="5">
        <f>MONTH(Modelling_old[[#This Row],[Date]])</f>
        <v>2</v>
      </c>
      <c r="C706" s="25">
        <v>2025</v>
      </c>
      <c r="D706" s="3">
        <f t="shared" si="268"/>
        <v>2025</v>
      </c>
      <c r="E706" s="3" t="s">
        <v>627</v>
      </c>
      <c r="F706" s="3" t="s">
        <v>627</v>
      </c>
      <c r="G706" s="102">
        <f>DATE(Modelling_old[[#This Row],[Calendor Year]],Modelling_old[[#This Row],[Start Month]],1)</f>
        <v>45689</v>
      </c>
      <c r="H706" s="5">
        <f t="shared" si="269"/>
        <v>28</v>
      </c>
      <c r="I706" s="5">
        <f t="shared" si="270"/>
        <v>2</v>
      </c>
      <c r="J706" s="4">
        <f>_xlfn.XLOOKUP(Modelling_old[[#This Row],[Month]],$C$1:$C$14,$N$1:$N$14)/Modelling_old[[#This Row],[Total Days]]</f>
        <v>53.846428571428575</v>
      </c>
      <c r="K706" s="4">
        <f>SUM($J$690:J706)</f>
        <v>915.38928571428551</v>
      </c>
      <c r="L706" s="4">
        <f>SUM($J$384:J706)</f>
        <v>14966.389285714298</v>
      </c>
      <c r="M706" s="4">
        <f t="shared" si="271"/>
        <v>6.8928571428571432</v>
      </c>
      <c r="N706" s="4">
        <f>SUM($M$690:M706)</f>
        <v>117.17857142857142</v>
      </c>
      <c r="O706" s="4">
        <f>SUM($M$384:M706)</f>
        <v>1876.8785714285673</v>
      </c>
      <c r="P706" s="323">
        <f t="shared" si="272"/>
        <v>0.67911407346242281</v>
      </c>
      <c r="Q706" s="337">
        <f t="shared" si="273"/>
        <v>0.6791140734624227</v>
      </c>
      <c r="R706" s="337">
        <f t="shared" si="274"/>
        <v>0.69321183089506178</v>
      </c>
      <c r="S706" s="323">
        <f t="shared" si="275"/>
        <v>0.19504317883667802</v>
      </c>
      <c r="T706" s="9">
        <f>Modelling_old[[#This Row],[Target E_Grid MTD
MWh]]/Modelling_old[[#This Row],[DC Capcity]]/(24*CG706)</f>
        <v>0.19504317883667793</v>
      </c>
      <c r="U706" s="338">
        <f>Modelling_old[[#This Row],[Target E_Grid YTD
MWh]]/Modelling_old[[#This Row],[DC Capcity]]/(24*CH706)</f>
        <v>0.16783725888386289</v>
      </c>
      <c r="V706" s="134">
        <v>11.5031</v>
      </c>
      <c r="Y706" s="27">
        <f t="shared" si="263"/>
        <v>45705</v>
      </c>
      <c r="Z706" s="5">
        <f>MONTH(Modelling_new[[#This Row],[Date]])</f>
        <v>2</v>
      </c>
      <c r="AA706" s="25">
        <f>YEAR(Y706)+IF(MONTH(Modelling_new[[#This Row],[Date]])&gt;=4,1,0)</f>
        <v>2025</v>
      </c>
      <c r="AB706" s="3">
        <f t="shared" si="276"/>
        <v>2025</v>
      </c>
      <c r="AC706" s="3" t="s">
        <v>627</v>
      </c>
      <c r="AD706" s="3" t="s">
        <v>627</v>
      </c>
      <c r="AE706" s="102">
        <f>DATE(Modelling_old[[#This Row],[Calendor Year]],Modelling_old[[#This Row],[Start Month]],1)</f>
        <v>45689</v>
      </c>
      <c r="AF706" s="5">
        <f t="shared" si="277"/>
        <v>28</v>
      </c>
      <c r="AG706" s="5">
        <f t="shared" si="278"/>
        <v>2</v>
      </c>
      <c r="AH706" s="4">
        <f>_xlfn.XLOOKUP(Modelling_new[[#This Row],[Month]],$AA$1:$AA$14,$AL$1:$AL$14)/Modelling_new[[#This Row],[Total Days]]</f>
        <v>68.489902174240342</v>
      </c>
      <c r="AI706" s="4">
        <f>SUM($AH$690:AH706)</f>
        <v>1164.3283369620858</v>
      </c>
      <c r="AJ706" s="4">
        <f>SUM($AH$384:AH706)</f>
        <v>18823.353232733032</v>
      </c>
      <c r="AK706" s="4">
        <f t="shared" si="279"/>
        <v>6.8928571428571432</v>
      </c>
      <c r="AL706" s="4">
        <f>SUM($AK$690:AK706)</f>
        <v>117.17857142857142</v>
      </c>
      <c r="AM706" s="4">
        <f>SUM($AK$384:AK706)</f>
        <v>1876.8785714285673</v>
      </c>
      <c r="AN706" s="323">
        <f t="shared" si="280"/>
        <v>0.86379835563079765</v>
      </c>
      <c r="AO706" s="323">
        <f t="shared" si="281"/>
        <v>0.86379835563079788</v>
      </c>
      <c r="AP706" s="323">
        <f t="shared" si="282"/>
        <v>0.87185832928336648</v>
      </c>
      <c r="AQ706" s="323">
        <f t="shared" si="283"/>
        <v>0.24808494439991666</v>
      </c>
      <c r="AR706" s="323">
        <f>Modelling_new[[#This Row],[Target E_Grid MTD
MWh]]/Modelling_new[[#This Row],[MTD DC Capcity]]/(24*CG706)</f>
        <v>0.22294890030677192</v>
      </c>
      <c r="AS706" s="323">
        <f>Modelling_new[[#This Row],[Target E_Grid YTD
MWh]]/Modelling_new[[#This Row],[YTD DC Capcity]]/(24*CH706)</f>
        <v>0.18970258917792304</v>
      </c>
      <c r="AT706" s="5">
        <v>12.8</v>
      </c>
      <c r="AU706" s="9">
        <f>Modelling_new[[#This Row],[Comisined DC ]]/$AO$1</f>
        <v>1</v>
      </c>
      <c r="AV706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706" s="5">
        <f>AVERAGEIFS(Modelling_new[[Comisined DC ]],Modelling_new[Date],"&lt;="&amp;Modelling_new[[#This Row],[Date]],Modelling_new[[Comisined DC ]],"&gt;"&amp;0,Modelling_new[Finacial Year],Modelling_new[[#This Row],[Finacial Year]])</f>
        <v>12.800000000000075</v>
      </c>
      <c r="BD706" s="27">
        <f t="shared" si="264"/>
        <v>45705</v>
      </c>
      <c r="BE706" s="5">
        <f>MONTH(Modelling[[#This Row],[Date]])</f>
        <v>2</v>
      </c>
      <c r="BF706" s="25">
        <f>YEAR(BD706)+IF(MONTH(Modelling[[#This Row],[Date]])&gt;=4,1,0)</f>
        <v>2025</v>
      </c>
      <c r="BG706" s="3">
        <f t="shared" si="284"/>
        <v>2025</v>
      </c>
      <c r="BH706" s="3" t="s">
        <v>627</v>
      </c>
      <c r="BI706" s="3" t="s">
        <v>627</v>
      </c>
      <c r="BJ706" s="102">
        <f>DATE(Modelling_old[[#This Row],[Calendor Year]],Modelling_old[[#This Row],[Start Month]],1)</f>
        <v>45689</v>
      </c>
      <c r="BK706" s="5">
        <f t="shared" si="285"/>
        <v>28</v>
      </c>
      <c r="BL706" s="5">
        <f t="shared" si="286"/>
        <v>2</v>
      </c>
      <c r="BM706" s="4">
        <f>Modelling_old[[#This Row],[Target E_Grid daily
MWh]]+Modelling_new[[#This Row],[Target E_Grid daily
MWh]]</f>
        <v>122.33633074566892</v>
      </c>
      <c r="BN706" s="4">
        <f>Modelling_old[[#This Row],[Target E_Grid MTD
MWh]]+Modelling_new[[#This Row],[Target E_Grid MTD
MWh]]</f>
        <v>2079.7176226763713</v>
      </c>
      <c r="BO706" s="4">
        <f>Modelling_old[[#This Row],[Target E_Grid YTD
MWh]]+Modelling_new[[#This Row],[Target E_Grid YTD
MWh]]</f>
        <v>33789.742518447332</v>
      </c>
      <c r="BP706" s="4">
        <f>AVERAGE(Modelling_old[[#This Row],[Target POA Daily (KWh/m2)]],Modelling_new[[#This Row],[Target POA Daily (KWh/m2)]])</f>
        <v>6.8928571428571432</v>
      </c>
      <c r="BQ706" s="4">
        <f>SUM($BP$690:BP706)</f>
        <v>117.17857142857142</v>
      </c>
      <c r="BR706" s="4">
        <f>SUM($BP$384:BP706)</f>
        <v>1876.8785714285673</v>
      </c>
      <c r="BS706" s="323">
        <f>BM706/Modelling[[#This Row],[Comisined DC ]]/BP706</f>
        <v>0.73028856249211938</v>
      </c>
      <c r="BT706" s="337">
        <f>BN706/BQ706/Modelling[[#This Row],[Comisined DC ]]</f>
        <v>0.73028856249211938</v>
      </c>
      <c r="BU706" s="337">
        <f>BO706/BR706/Modelling[[#This Row],[Comisined DC ]]</f>
        <v>0.74077622029899381</v>
      </c>
      <c r="BV706" s="323">
        <f>BM706/(24*Modelling[[#This Row],[Comisined DC ]])</f>
        <v>0.20974061393002832</v>
      </c>
      <c r="BW706" s="323">
        <f>Modelling[[#This Row],[Target E_Grid MTD
MWh]]/Modelling[[#This Row],[MTD DC Capcity]]/(24*CG706)</f>
        <v>0.20974061393002835</v>
      </c>
      <c r="BX706" s="338">
        <f>Modelling[[#This Row],[Target E_Grid YTD
MWh]]/Modelling[[#This Row],[YTD DC Capcity]]/(24*CH706)</f>
        <v>0.1793533299926503</v>
      </c>
      <c r="BY706" s="4">
        <f>Modelling_old[[#This Row],[DC Capcity]]+Modelling_new[[#This Row],[Comisined DC ]]</f>
        <v>24.303100000000001</v>
      </c>
      <c r="BZ706" s="4">
        <v>0</v>
      </c>
      <c r="CA706">
        <f>AVERAGEIFS(Modelling[[Comisined DC ]],Modelling[Date],"&lt;="&amp;Modelling[[#This Row],[Date]],Modelling[Month Year],Modelling[[#This Row],[Month Year]])</f>
        <v>24.303099999999993</v>
      </c>
      <c r="CB706">
        <f>AVERAGEIFS(Modelling[[Comisined DC ]],Modelling[Date],"&lt;="&amp;Modelling[[#This Row],[Date]],Modelling[Finacial Year],Modelling[[#This Row],[Finacial Year]])</f>
        <v>24.303100000000072</v>
      </c>
      <c r="CG706">
        <f t="shared" si="266"/>
        <v>17</v>
      </c>
      <c r="CH706">
        <f t="shared" ref="CH706:CH748" si="287">CH705+1</f>
        <v>323</v>
      </c>
    </row>
    <row r="707" spans="1:86" x14ac:dyDescent="0.35">
      <c r="A707" s="27">
        <f t="shared" si="267"/>
        <v>45706</v>
      </c>
      <c r="B707" s="5">
        <f>MONTH(Modelling_old[[#This Row],[Date]])</f>
        <v>2</v>
      </c>
      <c r="C707" s="25">
        <v>2025</v>
      </c>
      <c r="D707" s="3">
        <f t="shared" si="268"/>
        <v>2025</v>
      </c>
      <c r="E707" s="3" t="s">
        <v>627</v>
      </c>
      <c r="F707" s="3" t="s">
        <v>627</v>
      </c>
      <c r="G707" s="102">
        <f>DATE(Modelling_old[[#This Row],[Calendor Year]],Modelling_old[[#This Row],[Start Month]],1)</f>
        <v>45689</v>
      </c>
      <c r="H707" s="5">
        <f t="shared" si="269"/>
        <v>28</v>
      </c>
      <c r="I707" s="5">
        <f t="shared" si="270"/>
        <v>2</v>
      </c>
      <c r="J707" s="4">
        <f>_xlfn.XLOOKUP(Modelling_old[[#This Row],[Month]],$C$1:$C$14,$N$1:$N$14)/Modelling_old[[#This Row],[Total Days]]</f>
        <v>53.846428571428575</v>
      </c>
      <c r="K707" s="4">
        <f>SUM($J$690:J707)</f>
        <v>969.23571428571404</v>
      </c>
      <c r="L707" s="4">
        <f>SUM($J$384:J707)</f>
        <v>15020.235714285727</v>
      </c>
      <c r="M707" s="4">
        <f t="shared" si="271"/>
        <v>6.8928571428571432</v>
      </c>
      <c r="N707" s="4">
        <f>SUM($M$690:M707)</f>
        <v>124.07142857142856</v>
      </c>
      <c r="O707" s="4">
        <f>SUM($M$384:M707)</f>
        <v>1883.7714285714244</v>
      </c>
      <c r="P707" s="323">
        <f t="shared" si="272"/>
        <v>0.67911407346242281</v>
      </c>
      <c r="Q707" s="337">
        <f t="shared" si="273"/>
        <v>0.6791140734624227</v>
      </c>
      <c r="R707" s="337">
        <f t="shared" si="274"/>
        <v>0.69316024617170102</v>
      </c>
      <c r="S707" s="323">
        <f t="shared" si="275"/>
        <v>0.19504317883667802</v>
      </c>
      <c r="T707" s="9">
        <f>Modelling_old[[#This Row],[Target E_Grid MTD
MWh]]/Modelling_old[[#This Row],[DC Capcity]]/(24*CG707)</f>
        <v>0.19504317883667793</v>
      </c>
      <c r="U707" s="338">
        <f>Modelling_old[[#This Row],[Target E_Grid YTD
MWh]]/Modelling_old[[#This Row],[DC Capcity]]/(24*CH707)</f>
        <v>0.16792122777260615</v>
      </c>
      <c r="V707" s="134">
        <v>11.5031</v>
      </c>
      <c r="Y707" s="27">
        <f t="shared" si="263"/>
        <v>45706</v>
      </c>
      <c r="Z707" s="5">
        <f>MONTH(Modelling_new[[#This Row],[Date]])</f>
        <v>2</v>
      </c>
      <c r="AA707" s="25">
        <f>YEAR(Y707)+IF(MONTH(Modelling_new[[#This Row],[Date]])&gt;=4,1,0)</f>
        <v>2025</v>
      </c>
      <c r="AB707" s="3">
        <f t="shared" si="276"/>
        <v>2025</v>
      </c>
      <c r="AC707" s="3" t="s">
        <v>627</v>
      </c>
      <c r="AD707" s="3" t="s">
        <v>627</v>
      </c>
      <c r="AE707" s="102">
        <f>DATE(Modelling_old[[#This Row],[Calendor Year]],Modelling_old[[#This Row],[Start Month]],1)</f>
        <v>45689</v>
      </c>
      <c r="AF707" s="5">
        <f t="shared" si="277"/>
        <v>28</v>
      </c>
      <c r="AG707" s="5">
        <f t="shared" si="278"/>
        <v>2</v>
      </c>
      <c r="AH707" s="4">
        <f>_xlfn.XLOOKUP(Modelling_new[[#This Row],[Month]],$AA$1:$AA$14,$AL$1:$AL$14)/Modelling_new[[#This Row],[Total Days]]</f>
        <v>68.489902174240342</v>
      </c>
      <c r="AI707" s="4">
        <f>SUM($AH$690:AH707)</f>
        <v>1232.8182391363262</v>
      </c>
      <c r="AJ707" s="4">
        <f>SUM($AH$384:AH707)</f>
        <v>18891.843134907271</v>
      </c>
      <c r="AK707" s="4">
        <f t="shared" si="279"/>
        <v>6.8928571428571432</v>
      </c>
      <c r="AL707" s="4">
        <f>SUM($AK$690:AK707)</f>
        <v>124.07142857142856</v>
      </c>
      <c r="AM707" s="4">
        <f>SUM($AK$384:AK707)</f>
        <v>1883.7714285714244</v>
      </c>
      <c r="AN707" s="323">
        <f t="shared" si="280"/>
        <v>0.86379835563079765</v>
      </c>
      <c r="AO707" s="323">
        <f t="shared" si="281"/>
        <v>0.86379835563079788</v>
      </c>
      <c r="AP707" s="323">
        <f t="shared" si="282"/>
        <v>0.87182883725152027</v>
      </c>
      <c r="AQ707" s="323">
        <f t="shared" si="283"/>
        <v>0.24808494439991666</v>
      </c>
      <c r="AR707" s="323">
        <f>Modelling_new[[#This Row],[Target E_Grid MTD
MWh]]/Modelling_new[[#This Row],[MTD DC Capcity]]/(24*CG707)</f>
        <v>0.22294890030677189</v>
      </c>
      <c r="AS707" s="323">
        <f>Modelling_new[[#This Row],[Target E_Grid YTD
MWh]]/Modelling_new[[#This Row],[YTD DC Capcity]]/(24*CH707)</f>
        <v>0.18980520124930836</v>
      </c>
      <c r="AT707" s="5">
        <v>12.8</v>
      </c>
      <c r="AU707" s="9">
        <f>Modelling_new[[#This Row],[Comisined DC ]]/$AO$1</f>
        <v>1</v>
      </c>
      <c r="AV707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07" s="5">
        <f>AVERAGEIFS(Modelling_new[[Comisined DC ]],Modelling_new[Date],"&lt;="&amp;Modelling_new[[#This Row],[Date]],Modelling_new[[Comisined DC ]],"&gt;"&amp;0,Modelling_new[Finacial Year],Modelling_new[[#This Row],[Finacial Year]])</f>
        <v>12.800000000000075</v>
      </c>
      <c r="BD707" s="27">
        <f t="shared" si="264"/>
        <v>45706</v>
      </c>
      <c r="BE707" s="5">
        <f>MONTH(Modelling[[#This Row],[Date]])</f>
        <v>2</v>
      </c>
      <c r="BF707" s="25">
        <f>YEAR(BD707)+IF(MONTH(Modelling[[#This Row],[Date]])&gt;=4,1,0)</f>
        <v>2025</v>
      </c>
      <c r="BG707" s="3">
        <f t="shared" si="284"/>
        <v>2025</v>
      </c>
      <c r="BH707" s="3" t="s">
        <v>627</v>
      </c>
      <c r="BI707" s="3" t="s">
        <v>627</v>
      </c>
      <c r="BJ707" s="102">
        <f>DATE(Modelling_old[[#This Row],[Calendor Year]],Modelling_old[[#This Row],[Start Month]],1)</f>
        <v>45689</v>
      </c>
      <c r="BK707" s="5">
        <f t="shared" si="285"/>
        <v>28</v>
      </c>
      <c r="BL707" s="5">
        <f t="shared" si="286"/>
        <v>2</v>
      </c>
      <c r="BM707" s="4">
        <f>Modelling_old[[#This Row],[Target E_Grid daily
MWh]]+Modelling_new[[#This Row],[Target E_Grid daily
MWh]]</f>
        <v>122.33633074566892</v>
      </c>
      <c r="BN707" s="4">
        <f>Modelling_old[[#This Row],[Target E_Grid MTD
MWh]]+Modelling_new[[#This Row],[Target E_Grid MTD
MWh]]</f>
        <v>2202.0539534220402</v>
      </c>
      <c r="BO707" s="4">
        <f>Modelling_old[[#This Row],[Target E_Grid YTD
MWh]]+Modelling_new[[#This Row],[Target E_Grid YTD
MWh]]</f>
        <v>33912.078849193</v>
      </c>
      <c r="BP707" s="4">
        <f>AVERAGE(Modelling_old[[#This Row],[Target POA Daily (KWh/m2)]],Modelling_new[[#This Row],[Target POA Daily (KWh/m2)]])</f>
        <v>6.8928571428571432</v>
      </c>
      <c r="BQ707" s="4">
        <f>SUM($BP$690:BP707)</f>
        <v>124.07142857142856</v>
      </c>
      <c r="BR707" s="4">
        <f>SUM($BP$384:BP707)</f>
        <v>1883.7714285714244</v>
      </c>
      <c r="BS707" s="323">
        <f>BM707/Modelling[[#This Row],[Comisined DC ]]/BP707</f>
        <v>0.73028856249211938</v>
      </c>
      <c r="BT707" s="337">
        <f>BN707/BQ707/Modelling[[#This Row],[Comisined DC ]]</f>
        <v>0.73028856249211938</v>
      </c>
      <c r="BU707" s="337">
        <f>BO707/BR707/Modelling[[#This Row],[Comisined DC ]]</f>
        <v>0.74073784519364427</v>
      </c>
      <c r="BV707" s="323">
        <f>BM707/(24*Modelling[[#This Row],[Comisined DC ]])</f>
        <v>0.20974061393002832</v>
      </c>
      <c r="BW707" s="323">
        <f>Modelling[[#This Row],[Target E_Grid MTD
MWh]]/Modelling[[#This Row],[MTD DC Capcity]]/(24*CG707)</f>
        <v>0.20974061393002841</v>
      </c>
      <c r="BX707" s="338">
        <f>Modelling[[#This Row],[Target E_Grid YTD
MWh]]/Modelling[[#This Row],[YTD DC Capcity]]/(24*CH707)</f>
        <v>0.17944711790603726</v>
      </c>
      <c r="BY707" s="4">
        <f>Modelling_old[[#This Row],[DC Capcity]]+Modelling_new[[#This Row],[Comisined DC ]]</f>
        <v>24.303100000000001</v>
      </c>
      <c r="BZ707" s="4">
        <v>0</v>
      </c>
      <c r="CA707">
        <f>AVERAGEIFS(Modelling[[Comisined DC ]],Modelling[Date],"&lt;="&amp;Modelling[[#This Row],[Date]],Modelling[Month Year],Modelling[[#This Row],[Month Year]])</f>
        <v>24.30309999999999</v>
      </c>
      <c r="CB707">
        <f>AVERAGEIFS(Modelling[[Comisined DC ]],Modelling[Date],"&lt;="&amp;Modelling[[#This Row],[Date]],Modelling[Finacial Year],Modelling[[#This Row],[Finacial Year]])</f>
        <v>24.303100000000072</v>
      </c>
      <c r="CG707">
        <f t="shared" si="266"/>
        <v>18</v>
      </c>
      <c r="CH707">
        <f t="shared" si="287"/>
        <v>324</v>
      </c>
    </row>
    <row r="708" spans="1:86" x14ac:dyDescent="0.35">
      <c r="A708" s="27">
        <f t="shared" si="267"/>
        <v>45707</v>
      </c>
      <c r="B708" s="5">
        <f>MONTH(Modelling_old[[#This Row],[Date]])</f>
        <v>2</v>
      </c>
      <c r="C708" s="25">
        <v>2025</v>
      </c>
      <c r="D708" s="3">
        <f t="shared" si="268"/>
        <v>2025</v>
      </c>
      <c r="E708" s="3" t="s">
        <v>627</v>
      </c>
      <c r="F708" s="3" t="s">
        <v>627</v>
      </c>
      <c r="G708" s="102">
        <f>DATE(Modelling_old[[#This Row],[Calendor Year]],Modelling_old[[#This Row],[Start Month]],1)</f>
        <v>45689</v>
      </c>
      <c r="H708" s="5">
        <f t="shared" si="269"/>
        <v>28</v>
      </c>
      <c r="I708" s="5">
        <f t="shared" si="270"/>
        <v>2</v>
      </c>
      <c r="J708" s="4">
        <f>_xlfn.XLOOKUP(Modelling_old[[#This Row],[Month]],$C$1:$C$14,$N$1:$N$14)/Modelling_old[[#This Row],[Total Days]]</f>
        <v>53.846428571428575</v>
      </c>
      <c r="K708" s="4">
        <f>SUM($J$690:J708)</f>
        <v>1023.0821428571426</v>
      </c>
      <c r="L708" s="4">
        <f>SUM($J$384:J708)</f>
        <v>15074.082142857156</v>
      </c>
      <c r="M708" s="4">
        <f t="shared" si="271"/>
        <v>6.8928571428571432</v>
      </c>
      <c r="N708" s="4">
        <f>SUM($M$690:M708)</f>
        <v>130.96428571428569</v>
      </c>
      <c r="O708" s="4">
        <f>SUM($M$384:M708)</f>
        <v>1890.6642857142815</v>
      </c>
      <c r="P708" s="323">
        <f t="shared" si="272"/>
        <v>0.67911407346242281</v>
      </c>
      <c r="Q708" s="337">
        <f t="shared" si="273"/>
        <v>0.6791140734624227</v>
      </c>
      <c r="R708" s="337">
        <f t="shared" si="274"/>
        <v>0.69310903757659481</v>
      </c>
      <c r="S708" s="323">
        <f t="shared" si="275"/>
        <v>0.19504317883667802</v>
      </c>
      <c r="T708" s="9">
        <f>Modelling_old[[#This Row],[Target E_Grid MTD
MWh]]/Modelling_old[[#This Row],[DC Capcity]]/(24*CG708)</f>
        <v>0.19504317883667793</v>
      </c>
      <c r="U708" s="338">
        <f>Modelling_old[[#This Row],[Target E_Grid YTD
MWh]]/Modelling_old[[#This Row],[DC Capcity]]/(24*CH708)</f>
        <v>0.16800467992972637</v>
      </c>
      <c r="V708" s="134">
        <v>11.5031</v>
      </c>
      <c r="Y708" s="27">
        <f t="shared" si="263"/>
        <v>45707</v>
      </c>
      <c r="Z708" s="5">
        <f>MONTH(Modelling_new[[#This Row],[Date]])</f>
        <v>2</v>
      </c>
      <c r="AA708" s="25">
        <f>YEAR(Y708)+IF(MONTH(Modelling_new[[#This Row],[Date]])&gt;=4,1,0)</f>
        <v>2025</v>
      </c>
      <c r="AB708" s="3">
        <f t="shared" si="276"/>
        <v>2025</v>
      </c>
      <c r="AC708" s="3" t="s">
        <v>627</v>
      </c>
      <c r="AD708" s="3" t="s">
        <v>627</v>
      </c>
      <c r="AE708" s="102">
        <f>DATE(Modelling_old[[#This Row],[Calendor Year]],Modelling_old[[#This Row],[Start Month]],1)</f>
        <v>45689</v>
      </c>
      <c r="AF708" s="5">
        <f t="shared" si="277"/>
        <v>28</v>
      </c>
      <c r="AG708" s="5">
        <f t="shared" si="278"/>
        <v>2</v>
      </c>
      <c r="AH708" s="4">
        <f>_xlfn.XLOOKUP(Modelling_new[[#This Row],[Month]],$AA$1:$AA$14,$AL$1:$AL$14)/Modelling_new[[#This Row],[Total Days]]</f>
        <v>68.489902174240342</v>
      </c>
      <c r="AI708" s="4">
        <f>SUM($AH$690:AH708)</f>
        <v>1301.3081413105665</v>
      </c>
      <c r="AJ708" s="4">
        <f>SUM($AH$384:AH708)</f>
        <v>18960.333037081509</v>
      </c>
      <c r="AK708" s="4">
        <f t="shared" si="279"/>
        <v>6.8928571428571432</v>
      </c>
      <c r="AL708" s="4">
        <f>SUM($AK$690:AK708)</f>
        <v>130.96428571428569</v>
      </c>
      <c r="AM708" s="4">
        <f>SUM($AK$384:AK708)</f>
        <v>1890.6642857142815</v>
      </c>
      <c r="AN708" s="323">
        <f t="shared" si="280"/>
        <v>0.86379835563079765</v>
      </c>
      <c r="AO708" s="323">
        <f t="shared" si="281"/>
        <v>0.86379835563079788</v>
      </c>
      <c r="AP708" s="323">
        <f t="shared" si="282"/>
        <v>0.87179956025982042</v>
      </c>
      <c r="AQ708" s="323">
        <f t="shared" si="283"/>
        <v>0.24808494439991666</v>
      </c>
      <c r="AR708" s="323">
        <f>Modelling_new[[#This Row],[Target E_Grid MTD
MWh]]/Modelling_new[[#This Row],[MTD DC Capcity]]/(24*CG708)</f>
        <v>0.22294890030677189</v>
      </c>
      <c r="AS708" s="323">
        <f>Modelling_new[[#This Row],[Target E_Grid YTD
MWh]]/Modelling_new[[#This Row],[YTD DC Capcity]]/(24*CH708)</f>
        <v>0.18990718186179287</v>
      </c>
      <c r="AT708" s="5">
        <v>12.8</v>
      </c>
      <c r="AU708" s="9">
        <f>Modelling_new[[#This Row],[Comisined DC ]]/$AO$1</f>
        <v>1</v>
      </c>
      <c r="AV708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08" s="5">
        <f>AVERAGEIFS(Modelling_new[[Comisined DC ]],Modelling_new[Date],"&lt;="&amp;Modelling_new[[#This Row],[Date]],Modelling_new[[Comisined DC ]],"&gt;"&amp;0,Modelling_new[Finacial Year],Modelling_new[[#This Row],[Finacial Year]])</f>
        <v>12.800000000000075</v>
      </c>
      <c r="BD708" s="27">
        <f t="shared" si="264"/>
        <v>45707</v>
      </c>
      <c r="BE708" s="5">
        <f>MONTH(Modelling[[#This Row],[Date]])</f>
        <v>2</v>
      </c>
      <c r="BF708" s="25">
        <f>YEAR(BD708)+IF(MONTH(Modelling[[#This Row],[Date]])&gt;=4,1,0)</f>
        <v>2025</v>
      </c>
      <c r="BG708" s="3">
        <f t="shared" si="284"/>
        <v>2025</v>
      </c>
      <c r="BH708" s="3" t="s">
        <v>627</v>
      </c>
      <c r="BI708" s="3" t="s">
        <v>627</v>
      </c>
      <c r="BJ708" s="102">
        <f>DATE(Modelling_old[[#This Row],[Calendor Year]],Modelling_old[[#This Row],[Start Month]],1)</f>
        <v>45689</v>
      </c>
      <c r="BK708" s="5">
        <f t="shared" si="285"/>
        <v>28</v>
      </c>
      <c r="BL708" s="5">
        <f t="shared" si="286"/>
        <v>2</v>
      </c>
      <c r="BM708" s="4">
        <f>Modelling_old[[#This Row],[Target E_Grid daily
MWh]]+Modelling_new[[#This Row],[Target E_Grid daily
MWh]]</f>
        <v>122.33633074566892</v>
      </c>
      <c r="BN708" s="4">
        <f>Modelling_old[[#This Row],[Target E_Grid MTD
MWh]]+Modelling_new[[#This Row],[Target E_Grid MTD
MWh]]</f>
        <v>2324.3902841677091</v>
      </c>
      <c r="BO708" s="4">
        <f>Modelling_old[[#This Row],[Target E_Grid YTD
MWh]]+Modelling_new[[#This Row],[Target E_Grid YTD
MWh]]</f>
        <v>34034.415179938667</v>
      </c>
      <c r="BP708" s="4">
        <f>AVERAGE(Modelling_old[[#This Row],[Target POA Daily (KWh/m2)]],Modelling_new[[#This Row],[Target POA Daily (KWh/m2)]])</f>
        <v>6.8928571428571432</v>
      </c>
      <c r="BQ708" s="4">
        <f>SUM($BP$690:BP708)</f>
        <v>130.96428571428569</v>
      </c>
      <c r="BR708" s="4">
        <f>SUM($BP$384:BP708)</f>
        <v>1890.6642857142815</v>
      </c>
      <c r="BS708" s="323">
        <f>BM708/Modelling[[#This Row],[Comisined DC ]]/BP708</f>
        <v>0.73028856249211938</v>
      </c>
      <c r="BT708" s="337">
        <f>BN708/BQ708/Modelling[[#This Row],[Comisined DC ]]</f>
        <v>0.73028856249211938</v>
      </c>
      <c r="BU708" s="337">
        <f>BO708/BR708/Modelling[[#This Row],[Comisined DC ]]</f>
        <v>0.74069974989906917</v>
      </c>
      <c r="BV708" s="323">
        <f>BM708/(24*Modelling[[#This Row],[Comisined DC ]])</f>
        <v>0.20974061393002832</v>
      </c>
      <c r="BW708" s="323">
        <f>Modelling[[#This Row],[Target E_Grid MTD
MWh]]/Modelling[[#This Row],[MTD DC Capcity]]/(24*CG708)</f>
        <v>0.20974061393002838</v>
      </c>
      <c r="BX708" s="338">
        <f>Modelling[[#This Row],[Target E_Grid YTD
MWh]]/Modelling[[#This Row],[YTD DC Capcity]]/(24*CH708)</f>
        <v>0.17954032866303415</v>
      </c>
      <c r="BY708" s="4">
        <f>Modelling_old[[#This Row],[DC Capcity]]+Modelling_new[[#This Row],[Comisined DC ]]</f>
        <v>24.303100000000001</v>
      </c>
      <c r="BZ708" s="4">
        <v>0</v>
      </c>
      <c r="CA708">
        <f>AVERAGEIFS(Modelling[[Comisined DC ]],Modelling[Date],"&lt;="&amp;Modelling[[#This Row],[Date]],Modelling[Month Year],Modelling[[#This Row],[Month Year]])</f>
        <v>24.30309999999999</v>
      </c>
      <c r="CB708">
        <f>AVERAGEIFS(Modelling[[Comisined DC ]],Modelling[Date],"&lt;="&amp;Modelling[[#This Row],[Date]],Modelling[Finacial Year],Modelling[[#This Row],[Finacial Year]])</f>
        <v>24.303100000000072</v>
      </c>
      <c r="CG708">
        <f t="shared" si="266"/>
        <v>19</v>
      </c>
      <c r="CH708">
        <f t="shared" si="287"/>
        <v>325</v>
      </c>
    </row>
    <row r="709" spans="1:86" x14ac:dyDescent="0.35">
      <c r="A709" s="27">
        <f t="shared" si="267"/>
        <v>45708</v>
      </c>
      <c r="B709" s="5">
        <f>MONTH(Modelling_old[[#This Row],[Date]])</f>
        <v>2</v>
      </c>
      <c r="C709" s="25">
        <v>2025</v>
      </c>
      <c r="D709" s="3">
        <f t="shared" si="268"/>
        <v>2025</v>
      </c>
      <c r="E709" s="3" t="s">
        <v>627</v>
      </c>
      <c r="F709" s="3" t="s">
        <v>627</v>
      </c>
      <c r="G709" s="102">
        <f>DATE(Modelling_old[[#This Row],[Calendor Year]],Modelling_old[[#This Row],[Start Month]],1)</f>
        <v>45689</v>
      </c>
      <c r="H709" s="5">
        <f t="shared" si="269"/>
        <v>28</v>
      </c>
      <c r="I709" s="5">
        <f t="shared" si="270"/>
        <v>2</v>
      </c>
      <c r="J709" s="4">
        <f>_xlfn.XLOOKUP(Modelling_old[[#This Row],[Month]],$C$1:$C$14,$N$1:$N$14)/Modelling_old[[#This Row],[Total Days]]</f>
        <v>53.846428571428575</v>
      </c>
      <c r="K709" s="4">
        <f>SUM($J$690:J709)</f>
        <v>1076.9285714285711</v>
      </c>
      <c r="L709" s="4">
        <f>SUM($J$384:J709)</f>
        <v>15127.928571428585</v>
      </c>
      <c r="M709" s="4">
        <f t="shared" si="271"/>
        <v>6.8928571428571432</v>
      </c>
      <c r="N709" s="4">
        <f>SUM($M$690:M709)</f>
        <v>137.85714285714283</v>
      </c>
      <c r="O709" s="4">
        <f>SUM($M$384:M709)</f>
        <v>1897.5571428571386</v>
      </c>
      <c r="P709" s="323">
        <f t="shared" si="272"/>
        <v>0.67911407346242281</v>
      </c>
      <c r="Q709" s="337">
        <f t="shared" si="273"/>
        <v>0.6791140734624227</v>
      </c>
      <c r="R709" s="337">
        <f t="shared" si="274"/>
        <v>0.69305820101089699</v>
      </c>
      <c r="S709" s="323">
        <f t="shared" si="275"/>
        <v>0.19504317883667802</v>
      </c>
      <c r="T709" s="9">
        <f>Modelling_old[[#This Row],[Target E_Grid MTD
MWh]]/Modelling_old[[#This Row],[DC Capcity]]/(24*CG709)</f>
        <v>0.19504317883667793</v>
      </c>
      <c r="U709" s="338">
        <f>Modelling_old[[#This Row],[Target E_Grid YTD
MWh]]/Modelling_old[[#This Row],[DC Capcity]]/(24*CH709)</f>
        <v>0.16808762011042255</v>
      </c>
      <c r="V709" s="134">
        <v>11.5031</v>
      </c>
      <c r="Y709" s="27">
        <f t="shared" si="263"/>
        <v>45708</v>
      </c>
      <c r="Z709" s="5">
        <f>MONTH(Modelling_new[[#This Row],[Date]])</f>
        <v>2</v>
      </c>
      <c r="AA709" s="25">
        <f>YEAR(Y709)+IF(MONTH(Modelling_new[[#This Row],[Date]])&gt;=4,1,0)</f>
        <v>2025</v>
      </c>
      <c r="AB709" s="3">
        <f t="shared" si="276"/>
        <v>2025</v>
      </c>
      <c r="AC709" s="3" t="s">
        <v>627</v>
      </c>
      <c r="AD709" s="3" t="s">
        <v>627</v>
      </c>
      <c r="AE709" s="102">
        <f>DATE(Modelling_old[[#This Row],[Calendor Year]],Modelling_old[[#This Row],[Start Month]],1)</f>
        <v>45689</v>
      </c>
      <c r="AF709" s="5">
        <f t="shared" si="277"/>
        <v>28</v>
      </c>
      <c r="AG709" s="5">
        <f t="shared" si="278"/>
        <v>2</v>
      </c>
      <c r="AH709" s="4">
        <f>_xlfn.XLOOKUP(Modelling_new[[#This Row],[Month]],$AA$1:$AA$14,$AL$1:$AL$14)/Modelling_new[[#This Row],[Total Days]]</f>
        <v>68.489902174240342</v>
      </c>
      <c r="AI709" s="4">
        <f>SUM($AH$690:AH709)</f>
        <v>1369.7980434848068</v>
      </c>
      <c r="AJ709" s="4">
        <f>SUM($AH$384:AH709)</f>
        <v>19028.822939255748</v>
      </c>
      <c r="AK709" s="4">
        <f t="shared" si="279"/>
        <v>6.8928571428571432</v>
      </c>
      <c r="AL709" s="4">
        <f>SUM($AK$690:AK709)</f>
        <v>137.85714285714283</v>
      </c>
      <c r="AM709" s="4">
        <f>SUM($AK$384:AK709)</f>
        <v>1897.5571428571386</v>
      </c>
      <c r="AN709" s="323">
        <f t="shared" si="280"/>
        <v>0.86379835563079765</v>
      </c>
      <c r="AO709" s="323">
        <f t="shared" si="281"/>
        <v>0.86379835563079788</v>
      </c>
      <c r="AP709" s="323">
        <f t="shared" si="282"/>
        <v>0.87177049596487344</v>
      </c>
      <c r="AQ709" s="323">
        <f t="shared" si="283"/>
        <v>0.24808494439991666</v>
      </c>
      <c r="AR709" s="323">
        <f>Modelling_new[[#This Row],[Target E_Grid MTD
MWh]]/Modelling_new[[#This Row],[MTD DC Capcity]]/(24*CG709)</f>
        <v>0.22294890030677192</v>
      </c>
      <c r="AS709" s="323">
        <f>Modelling_new[[#This Row],[Target E_Grid YTD
MWh]]/Modelling_new[[#This Row],[YTD DC Capcity]]/(24*CH709)</f>
        <v>0.19000853682634797</v>
      </c>
      <c r="AT709" s="5">
        <v>12.8</v>
      </c>
      <c r="AU709" s="9">
        <f>Modelling_new[[#This Row],[Comisined DC ]]/$AO$1</f>
        <v>1</v>
      </c>
      <c r="AV709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709" s="5">
        <f>AVERAGEIFS(Modelling_new[[Comisined DC ]],Modelling_new[Date],"&lt;="&amp;Modelling_new[[#This Row],[Date]],Modelling_new[[Comisined DC ]],"&gt;"&amp;0,Modelling_new[Finacial Year],Modelling_new[[#This Row],[Finacial Year]])</f>
        <v>12.800000000000075</v>
      </c>
      <c r="BD709" s="27">
        <f t="shared" si="264"/>
        <v>45708</v>
      </c>
      <c r="BE709" s="5">
        <f>MONTH(Modelling[[#This Row],[Date]])</f>
        <v>2</v>
      </c>
      <c r="BF709" s="25">
        <f>YEAR(BD709)+IF(MONTH(Modelling[[#This Row],[Date]])&gt;=4,1,0)</f>
        <v>2025</v>
      </c>
      <c r="BG709" s="3">
        <f t="shared" si="284"/>
        <v>2025</v>
      </c>
      <c r="BH709" s="3" t="s">
        <v>627</v>
      </c>
      <c r="BI709" s="3" t="s">
        <v>627</v>
      </c>
      <c r="BJ709" s="102">
        <f>DATE(Modelling_old[[#This Row],[Calendor Year]],Modelling_old[[#This Row],[Start Month]],1)</f>
        <v>45689</v>
      </c>
      <c r="BK709" s="5">
        <f t="shared" si="285"/>
        <v>28</v>
      </c>
      <c r="BL709" s="5">
        <f t="shared" si="286"/>
        <v>2</v>
      </c>
      <c r="BM709" s="4">
        <f>Modelling_old[[#This Row],[Target E_Grid daily
MWh]]+Modelling_new[[#This Row],[Target E_Grid daily
MWh]]</f>
        <v>122.33633074566892</v>
      </c>
      <c r="BN709" s="4">
        <f>Modelling_old[[#This Row],[Target E_Grid MTD
MWh]]+Modelling_new[[#This Row],[Target E_Grid MTD
MWh]]</f>
        <v>2446.7266149133779</v>
      </c>
      <c r="BO709" s="4">
        <f>Modelling_old[[#This Row],[Target E_Grid YTD
MWh]]+Modelling_new[[#This Row],[Target E_Grid YTD
MWh]]</f>
        <v>34156.751510684335</v>
      </c>
      <c r="BP709" s="4">
        <f>AVERAGE(Modelling_old[[#This Row],[Target POA Daily (KWh/m2)]],Modelling_new[[#This Row],[Target POA Daily (KWh/m2)]])</f>
        <v>6.8928571428571432</v>
      </c>
      <c r="BQ709" s="4">
        <f>SUM($BP$690:BP709)</f>
        <v>137.85714285714283</v>
      </c>
      <c r="BR709" s="4">
        <f>SUM($BP$384:BP709)</f>
        <v>1897.5571428571386</v>
      </c>
      <c r="BS709" s="323">
        <f>BM709/Modelling[[#This Row],[Comisined DC ]]/BP709</f>
        <v>0.73028856249211938</v>
      </c>
      <c r="BT709" s="337">
        <f>BN709/BQ709/Modelling[[#This Row],[Comisined DC ]]</f>
        <v>0.73028856249211938</v>
      </c>
      <c r="BU709" s="337">
        <f>BO709/BR709/Modelling[[#This Row],[Comisined DC ]]</f>
        <v>0.74066193136603908</v>
      </c>
      <c r="BV709" s="323">
        <f>BM709/(24*Modelling[[#This Row],[Comisined DC ]])</f>
        <v>0.20974061393002832</v>
      </c>
      <c r="BW709" s="323">
        <f>Modelling[[#This Row],[Target E_Grid MTD
MWh]]/Modelling[[#This Row],[MTD DC Capcity]]/(24*CG709)</f>
        <v>0.20974061393002838</v>
      </c>
      <c r="BX709" s="338">
        <f>Modelling[[#This Row],[Target E_Grid YTD
MWh]]/Modelling[[#This Row],[YTD DC Capcity]]/(24*CH709)</f>
        <v>0.17963296757489611</v>
      </c>
      <c r="BY709" s="4">
        <f>Modelling_old[[#This Row],[DC Capcity]]+Modelling_new[[#This Row],[Comisined DC ]]</f>
        <v>24.303100000000001</v>
      </c>
      <c r="BZ709" s="4">
        <v>0</v>
      </c>
      <c r="CA709">
        <f>AVERAGEIFS(Modelling[[Comisined DC ]],Modelling[Date],"&lt;="&amp;Modelling[[#This Row],[Date]],Modelling[Month Year],Modelling[[#This Row],[Month Year]])</f>
        <v>24.30309999999999</v>
      </c>
      <c r="CB709">
        <f>AVERAGEIFS(Modelling[[Comisined DC ]],Modelling[Date],"&lt;="&amp;Modelling[[#This Row],[Date]],Modelling[Finacial Year],Modelling[[#This Row],[Finacial Year]])</f>
        <v>24.303100000000072</v>
      </c>
      <c r="CG709">
        <f t="shared" si="266"/>
        <v>20</v>
      </c>
      <c r="CH709">
        <f t="shared" si="287"/>
        <v>326</v>
      </c>
    </row>
    <row r="710" spans="1:86" x14ac:dyDescent="0.35">
      <c r="A710" s="27">
        <f t="shared" si="267"/>
        <v>45709</v>
      </c>
      <c r="B710" s="5">
        <f>MONTH(Modelling_old[[#This Row],[Date]])</f>
        <v>2</v>
      </c>
      <c r="C710" s="25">
        <v>2025</v>
      </c>
      <c r="D710" s="3">
        <f t="shared" si="268"/>
        <v>2025</v>
      </c>
      <c r="E710" s="3" t="s">
        <v>627</v>
      </c>
      <c r="F710" s="3" t="s">
        <v>627</v>
      </c>
      <c r="G710" s="102">
        <f>DATE(Modelling_old[[#This Row],[Calendor Year]],Modelling_old[[#This Row],[Start Month]],1)</f>
        <v>45689</v>
      </c>
      <c r="H710" s="5">
        <f t="shared" si="269"/>
        <v>28</v>
      </c>
      <c r="I710" s="5">
        <f t="shared" si="270"/>
        <v>2</v>
      </c>
      <c r="J710" s="4">
        <f>_xlfn.XLOOKUP(Modelling_old[[#This Row],[Month]],$C$1:$C$14,$N$1:$N$14)/Modelling_old[[#This Row],[Total Days]]</f>
        <v>53.846428571428575</v>
      </c>
      <c r="K710" s="4">
        <f>SUM($J$690:J710)</f>
        <v>1130.7749999999996</v>
      </c>
      <c r="L710" s="4">
        <f>SUM($J$384:J710)</f>
        <v>15181.775000000014</v>
      </c>
      <c r="M710" s="4">
        <f t="shared" si="271"/>
        <v>6.8928571428571432</v>
      </c>
      <c r="N710" s="4">
        <f>SUM($M$690:M710)</f>
        <v>144.74999999999997</v>
      </c>
      <c r="O710" s="4">
        <f>SUM($M$384:M710)</f>
        <v>1904.4499999999957</v>
      </c>
      <c r="P710" s="323">
        <f t="shared" si="272"/>
        <v>0.67911407346242281</v>
      </c>
      <c r="Q710" s="337">
        <f t="shared" si="273"/>
        <v>0.6791140734624227</v>
      </c>
      <c r="R710" s="337">
        <f t="shared" si="274"/>
        <v>0.69300773243510161</v>
      </c>
      <c r="S710" s="323">
        <f t="shared" si="275"/>
        <v>0.19504317883667802</v>
      </c>
      <c r="T710" s="9">
        <f>Modelling_old[[#This Row],[Target E_Grid MTD
MWh]]/Modelling_old[[#This Row],[DC Capcity]]/(24*CG710)</f>
        <v>0.19504317883667791</v>
      </c>
      <c r="U710" s="338">
        <f>Modelling_old[[#This Row],[Target E_Grid YTD
MWh]]/Modelling_old[[#This Row],[DC Capcity]]/(24*CH710)</f>
        <v>0.16817005301172608</v>
      </c>
      <c r="V710" s="134">
        <v>11.5031</v>
      </c>
      <c r="Y710" s="27">
        <f t="shared" si="263"/>
        <v>45709</v>
      </c>
      <c r="Z710" s="5">
        <f>MONTH(Modelling_new[[#This Row],[Date]])</f>
        <v>2</v>
      </c>
      <c r="AA710" s="25">
        <f>YEAR(Y710)+IF(MONTH(Modelling_new[[#This Row],[Date]])&gt;=4,1,0)</f>
        <v>2025</v>
      </c>
      <c r="AB710" s="3">
        <f t="shared" si="276"/>
        <v>2025</v>
      </c>
      <c r="AC710" s="3" t="s">
        <v>627</v>
      </c>
      <c r="AD710" s="3" t="s">
        <v>627</v>
      </c>
      <c r="AE710" s="102">
        <f>DATE(Modelling_old[[#This Row],[Calendor Year]],Modelling_old[[#This Row],[Start Month]],1)</f>
        <v>45689</v>
      </c>
      <c r="AF710" s="5">
        <f t="shared" si="277"/>
        <v>28</v>
      </c>
      <c r="AG710" s="5">
        <f t="shared" si="278"/>
        <v>2</v>
      </c>
      <c r="AH710" s="4">
        <f>_xlfn.XLOOKUP(Modelling_new[[#This Row],[Month]],$AA$1:$AA$14,$AL$1:$AL$14)/Modelling_new[[#This Row],[Total Days]]</f>
        <v>68.489902174240342</v>
      </c>
      <c r="AI710" s="4">
        <f>SUM($AH$690:AH710)</f>
        <v>1438.2879456590472</v>
      </c>
      <c r="AJ710" s="4">
        <f>SUM($AH$384:AH710)</f>
        <v>19097.312841429986</v>
      </c>
      <c r="AK710" s="4">
        <f t="shared" si="279"/>
        <v>6.8928571428571432</v>
      </c>
      <c r="AL710" s="4">
        <f>SUM($AK$690:AK710)</f>
        <v>144.74999999999997</v>
      </c>
      <c r="AM710" s="4">
        <f>SUM($AK$384:AK710)</f>
        <v>1904.4499999999957</v>
      </c>
      <c r="AN710" s="323">
        <f t="shared" si="280"/>
        <v>0.86379835563079765</v>
      </c>
      <c r="AO710" s="323">
        <f t="shared" si="281"/>
        <v>0.86379835563079799</v>
      </c>
      <c r="AP710" s="323">
        <f t="shared" si="282"/>
        <v>0.87174164205721194</v>
      </c>
      <c r="AQ710" s="323">
        <f t="shared" si="283"/>
        <v>0.24808494439991666</v>
      </c>
      <c r="AR710" s="323">
        <f>Modelling_new[[#This Row],[Target E_Grid MTD
MWh]]/Modelling_new[[#This Row],[MTD DC Capcity]]/(24*CG710)</f>
        <v>0.22294890030677189</v>
      </c>
      <c r="AS710" s="323">
        <f>Modelling_new[[#This Row],[Target E_Grid YTD
MWh]]/Modelling_new[[#This Row],[YTD DC Capcity]]/(24*CH710)</f>
        <v>0.19010927188286297</v>
      </c>
      <c r="AT710" s="5">
        <v>12.8</v>
      </c>
      <c r="AU710" s="9">
        <f>Modelling_new[[#This Row],[Comisined DC ]]/$AO$1</f>
        <v>1</v>
      </c>
      <c r="AV710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710" s="5">
        <f>AVERAGEIFS(Modelling_new[[Comisined DC ]],Modelling_new[Date],"&lt;="&amp;Modelling_new[[#This Row],[Date]],Modelling_new[[Comisined DC ]],"&gt;"&amp;0,Modelling_new[Finacial Year],Modelling_new[[#This Row],[Finacial Year]])</f>
        <v>12.800000000000077</v>
      </c>
      <c r="BD710" s="27">
        <f t="shared" si="264"/>
        <v>45709</v>
      </c>
      <c r="BE710" s="5">
        <f>MONTH(Modelling[[#This Row],[Date]])</f>
        <v>2</v>
      </c>
      <c r="BF710" s="25">
        <f>YEAR(BD710)+IF(MONTH(Modelling[[#This Row],[Date]])&gt;=4,1,0)</f>
        <v>2025</v>
      </c>
      <c r="BG710" s="3">
        <f t="shared" si="284"/>
        <v>2025</v>
      </c>
      <c r="BH710" s="3" t="s">
        <v>627</v>
      </c>
      <c r="BI710" s="3" t="s">
        <v>627</v>
      </c>
      <c r="BJ710" s="102">
        <f>DATE(Modelling_old[[#This Row],[Calendor Year]],Modelling_old[[#This Row],[Start Month]],1)</f>
        <v>45689</v>
      </c>
      <c r="BK710" s="5">
        <f t="shared" si="285"/>
        <v>28</v>
      </c>
      <c r="BL710" s="5">
        <f t="shared" si="286"/>
        <v>2</v>
      </c>
      <c r="BM710" s="4">
        <f>Modelling_old[[#This Row],[Target E_Grid daily
MWh]]+Modelling_new[[#This Row],[Target E_Grid daily
MWh]]</f>
        <v>122.33633074566892</v>
      </c>
      <c r="BN710" s="4">
        <f>Modelling_old[[#This Row],[Target E_Grid MTD
MWh]]+Modelling_new[[#This Row],[Target E_Grid MTD
MWh]]</f>
        <v>2569.0629456590468</v>
      </c>
      <c r="BO710" s="4">
        <f>Modelling_old[[#This Row],[Target E_Grid YTD
MWh]]+Modelling_new[[#This Row],[Target E_Grid YTD
MWh]]</f>
        <v>34279.087841430002</v>
      </c>
      <c r="BP710" s="4">
        <f>AVERAGE(Modelling_old[[#This Row],[Target POA Daily (KWh/m2)]],Modelling_new[[#This Row],[Target POA Daily (KWh/m2)]])</f>
        <v>6.8928571428571432</v>
      </c>
      <c r="BQ710" s="4">
        <f>SUM($BP$690:BP710)</f>
        <v>144.74999999999997</v>
      </c>
      <c r="BR710" s="4">
        <f>SUM($BP$384:BP710)</f>
        <v>1904.4499999999957</v>
      </c>
      <c r="BS710" s="323">
        <f>BM710/Modelling[[#This Row],[Comisined DC ]]/BP710</f>
        <v>0.73028856249211938</v>
      </c>
      <c r="BT710" s="337">
        <f>BN710/BQ710/Modelling[[#This Row],[Comisined DC ]]</f>
        <v>0.73028856249211938</v>
      </c>
      <c r="BU710" s="337">
        <f>BO710/BR710/Modelling[[#This Row],[Comisined DC ]]</f>
        <v>0.74062438658946939</v>
      </c>
      <c r="BV710" s="323">
        <f>BM710/(24*Modelling[[#This Row],[Comisined DC ]])</f>
        <v>0.20974061393002832</v>
      </c>
      <c r="BW710" s="323">
        <f>Modelling[[#This Row],[Target E_Grid MTD
MWh]]/Modelling[[#This Row],[MTD DC Capcity]]/(24*CG710)</f>
        <v>0.20974061393002838</v>
      </c>
      <c r="BX710" s="338">
        <f>Modelling[[#This Row],[Target E_Grid YTD
MWh]]/Modelling[[#This Row],[YTD DC Capcity]]/(24*CH710)</f>
        <v>0.17972503988790872</v>
      </c>
      <c r="BY710" s="4">
        <f>Modelling_old[[#This Row],[DC Capcity]]+Modelling_new[[#This Row],[Comisined DC ]]</f>
        <v>24.303100000000001</v>
      </c>
      <c r="BZ710" s="4">
        <v>0</v>
      </c>
      <c r="CA710">
        <f>AVERAGEIFS(Modelling[[Comisined DC ]],Modelling[Date],"&lt;="&amp;Modelling[[#This Row],[Date]],Modelling[Month Year],Modelling[[#This Row],[Month Year]])</f>
        <v>24.30309999999999</v>
      </c>
      <c r="CB710">
        <f>AVERAGEIFS(Modelling[[Comisined DC ]],Modelling[Date],"&lt;="&amp;Modelling[[#This Row],[Date]],Modelling[Finacial Year],Modelling[[#This Row],[Finacial Year]])</f>
        <v>24.303100000000072</v>
      </c>
      <c r="CG710">
        <f t="shared" si="266"/>
        <v>21</v>
      </c>
      <c r="CH710">
        <f t="shared" si="287"/>
        <v>327</v>
      </c>
    </row>
    <row r="711" spans="1:86" x14ac:dyDescent="0.35">
      <c r="A711" s="27">
        <f t="shared" si="267"/>
        <v>45710</v>
      </c>
      <c r="B711" s="5">
        <f>MONTH(Modelling_old[[#This Row],[Date]])</f>
        <v>2</v>
      </c>
      <c r="C711" s="25">
        <v>2025</v>
      </c>
      <c r="D711" s="3">
        <f t="shared" si="268"/>
        <v>2025</v>
      </c>
      <c r="E711" s="3" t="s">
        <v>627</v>
      </c>
      <c r="F711" s="3" t="s">
        <v>627</v>
      </c>
      <c r="G711" s="102">
        <f>DATE(Modelling_old[[#This Row],[Calendor Year]],Modelling_old[[#This Row],[Start Month]],1)</f>
        <v>45689</v>
      </c>
      <c r="H711" s="5">
        <f t="shared" si="269"/>
        <v>28</v>
      </c>
      <c r="I711" s="5">
        <f t="shared" si="270"/>
        <v>2</v>
      </c>
      <c r="J711" s="4">
        <f>_xlfn.XLOOKUP(Modelling_old[[#This Row],[Month]],$C$1:$C$14,$N$1:$N$14)/Modelling_old[[#This Row],[Total Days]]</f>
        <v>53.846428571428575</v>
      </c>
      <c r="K711" s="4">
        <f>SUM($J$690:J711)</f>
        <v>1184.6214285714282</v>
      </c>
      <c r="L711" s="4">
        <f>SUM($J$384:J711)</f>
        <v>15235.621428571443</v>
      </c>
      <c r="M711" s="4">
        <f t="shared" si="271"/>
        <v>6.8928571428571432</v>
      </c>
      <c r="N711" s="4">
        <f>SUM($M$690:M711)</f>
        <v>151.64285714285711</v>
      </c>
      <c r="O711" s="4">
        <f>SUM($M$384:M711)</f>
        <v>1911.3428571428528</v>
      </c>
      <c r="P711" s="323">
        <f t="shared" si="272"/>
        <v>0.67911407346242281</v>
      </c>
      <c r="Q711" s="337">
        <f t="shared" si="273"/>
        <v>0.6791140734624227</v>
      </c>
      <c r="R711" s="337">
        <f t="shared" si="274"/>
        <v>0.69295762786797366</v>
      </c>
      <c r="S711" s="323">
        <f t="shared" si="275"/>
        <v>0.19504317883667802</v>
      </c>
      <c r="T711" s="9">
        <f>Modelling_old[[#This Row],[Target E_Grid MTD
MWh]]/Modelling_old[[#This Row],[DC Capcity]]/(24*CG711)</f>
        <v>0.19504317883667791</v>
      </c>
      <c r="U711" s="338">
        <f>Modelling_old[[#This Row],[Target E_Grid YTD
MWh]]/Modelling_old[[#This Row],[DC Capcity]]/(24*CH711)</f>
        <v>0.16825198327338753</v>
      </c>
      <c r="V711" s="134">
        <v>11.5031</v>
      </c>
      <c r="Y711" s="27">
        <f t="shared" si="263"/>
        <v>45710</v>
      </c>
      <c r="Z711" s="5">
        <f>MONTH(Modelling_new[[#This Row],[Date]])</f>
        <v>2</v>
      </c>
      <c r="AA711" s="25">
        <f>YEAR(Y711)+IF(MONTH(Modelling_new[[#This Row],[Date]])&gt;=4,1,0)</f>
        <v>2025</v>
      </c>
      <c r="AB711" s="3">
        <f t="shared" si="276"/>
        <v>2025</v>
      </c>
      <c r="AC711" s="3" t="s">
        <v>627</v>
      </c>
      <c r="AD711" s="3" t="s">
        <v>627</v>
      </c>
      <c r="AE711" s="102">
        <f>DATE(Modelling_old[[#This Row],[Calendor Year]],Modelling_old[[#This Row],[Start Month]],1)</f>
        <v>45689</v>
      </c>
      <c r="AF711" s="5">
        <f t="shared" si="277"/>
        <v>28</v>
      </c>
      <c r="AG711" s="5">
        <f t="shared" si="278"/>
        <v>2</v>
      </c>
      <c r="AH711" s="4">
        <f>_xlfn.XLOOKUP(Modelling_new[[#This Row],[Month]],$AA$1:$AA$14,$AL$1:$AL$14)/Modelling_new[[#This Row],[Total Days]]</f>
        <v>68.489902174240342</v>
      </c>
      <c r="AI711" s="4">
        <f>SUM($AH$690:AH711)</f>
        <v>1506.7778478332875</v>
      </c>
      <c r="AJ711" s="4">
        <f>SUM($AH$384:AH711)</f>
        <v>19165.802743604225</v>
      </c>
      <c r="AK711" s="4">
        <f t="shared" si="279"/>
        <v>6.8928571428571432</v>
      </c>
      <c r="AL711" s="4">
        <f>SUM($AK$690:AK711)</f>
        <v>151.64285714285711</v>
      </c>
      <c r="AM711" s="4">
        <f>SUM($AK$384:AK711)</f>
        <v>1911.3428571428528</v>
      </c>
      <c r="AN711" s="323">
        <f t="shared" si="280"/>
        <v>0.86379835563079765</v>
      </c>
      <c r="AO711" s="323">
        <f t="shared" si="281"/>
        <v>0.86379835563079799</v>
      </c>
      <c r="AP711" s="323">
        <f t="shared" si="282"/>
        <v>0.87171299626068333</v>
      </c>
      <c r="AQ711" s="323">
        <f t="shared" si="283"/>
        <v>0.24808494439991666</v>
      </c>
      <c r="AR711" s="323">
        <f>Modelling_new[[#This Row],[Target E_Grid MTD
MWh]]/Modelling_new[[#This Row],[MTD DC Capcity]]/(24*CG711)</f>
        <v>0.22294890030677186</v>
      </c>
      <c r="AS711" s="323">
        <f>Modelling_new[[#This Row],[Target E_Grid YTD
MWh]]/Modelling_new[[#This Row],[YTD DC Capcity]]/(24*CH711)</f>
        <v>0.19020939270122855</v>
      </c>
      <c r="AT711" s="5">
        <v>12.8</v>
      </c>
      <c r="AU711" s="9">
        <f>Modelling_new[[#This Row],[Comisined DC ]]/$AO$1</f>
        <v>1</v>
      </c>
      <c r="AV71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11" s="5">
        <f>AVERAGEIFS(Modelling_new[[Comisined DC ]],Modelling_new[Date],"&lt;="&amp;Modelling_new[[#This Row],[Date]],Modelling_new[[Comisined DC ]],"&gt;"&amp;0,Modelling_new[Finacial Year],Modelling_new[[#This Row],[Finacial Year]])</f>
        <v>12.800000000000077</v>
      </c>
      <c r="BD711" s="27">
        <f t="shared" si="264"/>
        <v>45710</v>
      </c>
      <c r="BE711" s="5">
        <f>MONTH(Modelling[[#This Row],[Date]])</f>
        <v>2</v>
      </c>
      <c r="BF711" s="25">
        <f>YEAR(BD711)+IF(MONTH(Modelling[[#This Row],[Date]])&gt;=4,1,0)</f>
        <v>2025</v>
      </c>
      <c r="BG711" s="3">
        <f t="shared" si="284"/>
        <v>2025</v>
      </c>
      <c r="BH711" s="3" t="s">
        <v>627</v>
      </c>
      <c r="BI711" s="3" t="s">
        <v>627</v>
      </c>
      <c r="BJ711" s="102">
        <f>DATE(Modelling_old[[#This Row],[Calendor Year]],Modelling_old[[#This Row],[Start Month]],1)</f>
        <v>45689</v>
      </c>
      <c r="BK711" s="5">
        <f t="shared" si="285"/>
        <v>28</v>
      </c>
      <c r="BL711" s="5">
        <f t="shared" si="286"/>
        <v>2</v>
      </c>
      <c r="BM711" s="4">
        <f>Modelling_old[[#This Row],[Target E_Grid daily
MWh]]+Modelling_new[[#This Row],[Target E_Grid daily
MWh]]</f>
        <v>122.33633074566892</v>
      </c>
      <c r="BN711" s="4">
        <f>Modelling_old[[#This Row],[Target E_Grid MTD
MWh]]+Modelling_new[[#This Row],[Target E_Grid MTD
MWh]]</f>
        <v>2691.3992764047157</v>
      </c>
      <c r="BO711" s="4">
        <f>Modelling_old[[#This Row],[Target E_Grid YTD
MWh]]+Modelling_new[[#This Row],[Target E_Grid YTD
MWh]]</f>
        <v>34401.42417217567</v>
      </c>
      <c r="BP711" s="4">
        <f>AVERAGE(Modelling_old[[#This Row],[Target POA Daily (KWh/m2)]],Modelling_new[[#This Row],[Target POA Daily (KWh/m2)]])</f>
        <v>6.8928571428571432</v>
      </c>
      <c r="BQ711" s="4">
        <f>SUM($BP$690:BP711)</f>
        <v>151.64285714285711</v>
      </c>
      <c r="BR711" s="4">
        <f>SUM($BP$384:BP711)</f>
        <v>1911.3428571428528</v>
      </c>
      <c r="BS711" s="323">
        <f>BM711/Modelling[[#This Row],[Comisined DC ]]/BP711</f>
        <v>0.73028856249211938</v>
      </c>
      <c r="BT711" s="337">
        <f>BN711/BQ711/Modelling[[#This Row],[Comisined DC ]]</f>
        <v>0.73028856249211938</v>
      </c>
      <c r="BU711" s="337">
        <f>BO711/BR711/Modelling[[#This Row],[Comisined DC ]]</f>
        <v>0.74058711260762444</v>
      </c>
      <c r="BV711" s="323">
        <f>BM711/(24*Modelling[[#This Row],[Comisined DC ]])</f>
        <v>0.20974061393002832</v>
      </c>
      <c r="BW711" s="323">
        <f>Modelling[[#This Row],[Target E_Grid MTD
MWh]]/Modelling[[#This Row],[MTD DC Capcity]]/(24*CG711)</f>
        <v>0.20974061393002841</v>
      </c>
      <c r="BX711" s="338">
        <f>Modelling[[#This Row],[Target E_Grid YTD
MWh]]/Modelling[[#This Row],[YTD DC Capcity]]/(24*CH711)</f>
        <v>0.17981655078437858</v>
      </c>
      <c r="BY711" s="4">
        <f>Modelling_old[[#This Row],[DC Capcity]]+Modelling_new[[#This Row],[Comisined DC ]]</f>
        <v>24.303100000000001</v>
      </c>
      <c r="BZ711" s="4">
        <v>0</v>
      </c>
      <c r="CA711">
        <f>AVERAGEIFS(Modelling[[Comisined DC ]],Modelling[Date],"&lt;="&amp;Modelling[[#This Row],[Date]],Modelling[Month Year],Modelling[[#This Row],[Month Year]])</f>
        <v>24.303099999999986</v>
      </c>
      <c r="CB711">
        <f>AVERAGEIFS(Modelling[[Comisined DC ]],Modelling[Date],"&lt;="&amp;Modelling[[#This Row],[Date]],Modelling[Finacial Year],Modelling[[#This Row],[Finacial Year]])</f>
        <v>24.303100000000072</v>
      </c>
      <c r="CG711">
        <f t="shared" si="266"/>
        <v>22</v>
      </c>
      <c r="CH711">
        <f t="shared" si="287"/>
        <v>328</v>
      </c>
    </row>
    <row r="712" spans="1:86" x14ac:dyDescent="0.35">
      <c r="A712" s="27">
        <f t="shared" si="267"/>
        <v>45711</v>
      </c>
      <c r="B712" s="5">
        <f>MONTH(Modelling_old[[#This Row],[Date]])</f>
        <v>2</v>
      </c>
      <c r="C712" s="25">
        <v>2025</v>
      </c>
      <c r="D712" s="3">
        <f t="shared" si="268"/>
        <v>2025</v>
      </c>
      <c r="E712" s="3" t="s">
        <v>627</v>
      </c>
      <c r="F712" s="3" t="s">
        <v>627</v>
      </c>
      <c r="G712" s="102">
        <f>DATE(Modelling_old[[#This Row],[Calendor Year]],Modelling_old[[#This Row],[Start Month]],1)</f>
        <v>45689</v>
      </c>
      <c r="H712" s="5">
        <f t="shared" si="269"/>
        <v>28</v>
      </c>
      <c r="I712" s="5">
        <f t="shared" si="270"/>
        <v>2</v>
      </c>
      <c r="J712" s="4">
        <f>_xlfn.XLOOKUP(Modelling_old[[#This Row],[Month]],$C$1:$C$14,$N$1:$N$14)/Modelling_old[[#This Row],[Total Days]]</f>
        <v>53.846428571428575</v>
      </c>
      <c r="K712" s="4">
        <f>SUM($J$690:J712)</f>
        <v>1238.4678571428567</v>
      </c>
      <c r="L712" s="4">
        <f>SUM($J$384:J712)</f>
        <v>15289.467857142872</v>
      </c>
      <c r="M712" s="4">
        <f t="shared" si="271"/>
        <v>6.8928571428571432</v>
      </c>
      <c r="N712" s="4">
        <f>SUM($M$690:M712)</f>
        <v>158.53571428571425</v>
      </c>
      <c r="O712" s="4">
        <f>SUM($M$384:M712)</f>
        <v>1918.2357142857099</v>
      </c>
      <c r="P712" s="323">
        <f t="shared" si="272"/>
        <v>0.67911407346242281</v>
      </c>
      <c r="Q712" s="337">
        <f t="shared" si="273"/>
        <v>0.6791140734624227</v>
      </c>
      <c r="R712" s="337">
        <f t="shared" si="274"/>
        <v>0.69290788338550147</v>
      </c>
      <c r="S712" s="323">
        <f t="shared" si="275"/>
        <v>0.19504317883667802</v>
      </c>
      <c r="T712" s="9">
        <f>Modelling_old[[#This Row],[Target E_Grid MTD
MWh]]/Modelling_old[[#This Row],[DC Capcity]]/(24*CG712)</f>
        <v>0.19504317883667793</v>
      </c>
      <c r="U712" s="338">
        <f>Modelling_old[[#This Row],[Target E_Grid YTD
MWh]]/Modelling_old[[#This Row],[DC Capcity]]/(24*CH712)</f>
        <v>0.16833341547874708</v>
      </c>
      <c r="V712" s="134">
        <v>11.5031</v>
      </c>
      <c r="Y712" s="27">
        <f t="shared" si="263"/>
        <v>45711</v>
      </c>
      <c r="Z712" s="5">
        <f>MONTH(Modelling_new[[#This Row],[Date]])</f>
        <v>2</v>
      </c>
      <c r="AA712" s="25">
        <f>YEAR(Y712)+IF(MONTH(Modelling_new[[#This Row],[Date]])&gt;=4,1,0)</f>
        <v>2025</v>
      </c>
      <c r="AB712" s="3">
        <f t="shared" si="276"/>
        <v>2025</v>
      </c>
      <c r="AC712" s="3" t="s">
        <v>627</v>
      </c>
      <c r="AD712" s="3" t="s">
        <v>627</v>
      </c>
      <c r="AE712" s="102">
        <f>DATE(Modelling_old[[#This Row],[Calendor Year]],Modelling_old[[#This Row],[Start Month]],1)</f>
        <v>45689</v>
      </c>
      <c r="AF712" s="5">
        <f t="shared" si="277"/>
        <v>28</v>
      </c>
      <c r="AG712" s="5">
        <f t="shared" si="278"/>
        <v>2</v>
      </c>
      <c r="AH712" s="4">
        <f>_xlfn.XLOOKUP(Modelling_new[[#This Row],[Month]],$AA$1:$AA$14,$AL$1:$AL$14)/Modelling_new[[#This Row],[Total Days]]</f>
        <v>68.489902174240342</v>
      </c>
      <c r="AI712" s="4">
        <f>SUM($AH$690:AH712)</f>
        <v>1575.2677500075279</v>
      </c>
      <c r="AJ712" s="4">
        <f>SUM($AH$384:AH712)</f>
        <v>19234.292645778463</v>
      </c>
      <c r="AK712" s="4">
        <f t="shared" si="279"/>
        <v>6.8928571428571432</v>
      </c>
      <c r="AL712" s="4">
        <f>SUM($AK$690:AK712)</f>
        <v>158.53571428571425</v>
      </c>
      <c r="AM712" s="4">
        <f>SUM($AK$384:AK712)</f>
        <v>1918.2357142857099</v>
      </c>
      <c r="AN712" s="323">
        <f t="shared" si="280"/>
        <v>0.86379835563079765</v>
      </c>
      <c r="AO712" s="323">
        <f t="shared" si="281"/>
        <v>0.86379835563079799</v>
      </c>
      <c r="AP712" s="323">
        <f t="shared" si="282"/>
        <v>0.87168455633185038</v>
      </c>
      <c r="AQ712" s="323">
        <f t="shared" si="283"/>
        <v>0.24808494439991666</v>
      </c>
      <c r="AR712" s="323">
        <f>Modelling_new[[#This Row],[Target E_Grid MTD
MWh]]/Modelling_new[[#This Row],[MTD DC Capcity]]/(24*CG712)</f>
        <v>0.22294890030677186</v>
      </c>
      <c r="AS712" s="323">
        <f>Modelling_new[[#This Row],[Target E_Grid YTD
MWh]]/Modelling_new[[#This Row],[YTD DC Capcity]]/(24*CH712)</f>
        <v>0.19030890488240038</v>
      </c>
      <c r="AT712" s="5">
        <v>12.8</v>
      </c>
      <c r="AU712" s="9">
        <f>Modelling_new[[#This Row],[Comisined DC ]]/$AO$1</f>
        <v>1</v>
      </c>
      <c r="AV71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12" s="5">
        <f>AVERAGEIFS(Modelling_new[[Comisined DC ]],Modelling_new[Date],"&lt;="&amp;Modelling_new[[#This Row],[Date]],Modelling_new[[Comisined DC ]],"&gt;"&amp;0,Modelling_new[Finacial Year],Modelling_new[[#This Row],[Finacial Year]])</f>
        <v>12.800000000000077</v>
      </c>
      <c r="BD712" s="27">
        <f t="shared" si="264"/>
        <v>45711</v>
      </c>
      <c r="BE712" s="5">
        <f>MONTH(Modelling[[#This Row],[Date]])</f>
        <v>2</v>
      </c>
      <c r="BF712" s="25">
        <f>YEAR(BD712)+IF(MONTH(Modelling[[#This Row],[Date]])&gt;=4,1,0)</f>
        <v>2025</v>
      </c>
      <c r="BG712" s="3">
        <f t="shared" si="284"/>
        <v>2025</v>
      </c>
      <c r="BH712" s="3" t="s">
        <v>627</v>
      </c>
      <c r="BI712" s="3" t="s">
        <v>627</v>
      </c>
      <c r="BJ712" s="102">
        <f>DATE(Modelling_old[[#This Row],[Calendor Year]],Modelling_old[[#This Row],[Start Month]],1)</f>
        <v>45689</v>
      </c>
      <c r="BK712" s="5">
        <f t="shared" si="285"/>
        <v>28</v>
      </c>
      <c r="BL712" s="5">
        <f t="shared" si="286"/>
        <v>2</v>
      </c>
      <c r="BM712" s="4">
        <f>Modelling_old[[#This Row],[Target E_Grid daily
MWh]]+Modelling_new[[#This Row],[Target E_Grid daily
MWh]]</f>
        <v>122.33633074566892</v>
      </c>
      <c r="BN712" s="4">
        <f>Modelling_old[[#This Row],[Target E_Grid MTD
MWh]]+Modelling_new[[#This Row],[Target E_Grid MTD
MWh]]</f>
        <v>2813.7356071503846</v>
      </c>
      <c r="BO712" s="4">
        <f>Modelling_old[[#This Row],[Target E_Grid YTD
MWh]]+Modelling_new[[#This Row],[Target E_Grid YTD
MWh]]</f>
        <v>34523.760502921337</v>
      </c>
      <c r="BP712" s="4">
        <f>AVERAGE(Modelling_old[[#This Row],[Target POA Daily (KWh/m2)]],Modelling_new[[#This Row],[Target POA Daily (KWh/m2)]])</f>
        <v>6.8928571428571432</v>
      </c>
      <c r="BQ712" s="4">
        <f>SUM($BP$690:BP712)</f>
        <v>158.53571428571425</v>
      </c>
      <c r="BR712" s="4">
        <f>SUM($BP$384:BP712)</f>
        <v>1918.2357142857099</v>
      </c>
      <c r="BS712" s="323">
        <f>BM712/Modelling[[#This Row],[Comisined DC ]]/BP712</f>
        <v>0.73028856249211938</v>
      </c>
      <c r="BT712" s="337">
        <f>BN712/BQ712/Modelling[[#This Row],[Comisined DC ]]</f>
        <v>0.73028856249211938</v>
      </c>
      <c r="BU712" s="337">
        <f>BO712/BR712/Modelling[[#This Row],[Comisined DC ]]</f>
        <v>0.74055010650133823</v>
      </c>
      <c r="BV712" s="323">
        <f>BM712/(24*Modelling[[#This Row],[Comisined DC ]])</f>
        <v>0.20974061393002832</v>
      </c>
      <c r="BW712" s="323">
        <f>Modelling[[#This Row],[Target E_Grid MTD
MWh]]/Modelling[[#This Row],[MTD DC Capcity]]/(24*CG712)</f>
        <v>0.20974061393002841</v>
      </c>
      <c r="BX712" s="338">
        <f>Modelling[[#This Row],[Target E_Grid YTD
MWh]]/Modelling[[#This Row],[YTD DC Capcity]]/(24*CH712)</f>
        <v>0.17990750538360548</v>
      </c>
      <c r="BY712" s="4">
        <f>Modelling_old[[#This Row],[DC Capcity]]+Modelling_new[[#This Row],[Comisined DC ]]</f>
        <v>24.303100000000001</v>
      </c>
      <c r="BZ712" s="4">
        <v>0</v>
      </c>
      <c r="CA712">
        <f>AVERAGEIFS(Modelling[[Comisined DC ]],Modelling[Date],"&lt;="&amp;Modelling[[#This Row],[Date]],Modelling[Month Year],Modelling[[#This Row],[Month Year]])</f>
        <v>24.303099999999986</v>
      </c>
      <c r="CB712">
        <f>AVERAGEIFS(Modelling[[Comisined DC ]],Modelling[Date],"&lt;="&amp;Modelling[[#This Row],[Date]],Modelling[Finacial Year],Modelling[[#This Row],[Finacial Year]])</f>
        <v>24.303100000000072</v>
      </c>
      <c r="CG712">
        <f t="shared" si="266"/>
        <v>23</v>
      </c>
      <c r="CH712">
        <f t="shared" si="287"/>
        <v>329</v>
      </c>
    </row>
    <row r="713" spans="1:86" x14ac:dyDescent="0.35">
      <c r="A713" s="27">
        <f t="shared" si="267"/>
        <v>45712</v>
      </c>
      <c r="B713" s="5">
        <f>MONTH(Modelling_old[[#This Row],[Date]])</f>
        <v>2</v>
      </c>
      <c r="C713" s="25">
        <v>2025</v>
      </c>
      <c r="D713" s="3">
        <f t="shared" ref="D713:D748" si="288">YEAR(A713)</f>
        <v>2025</v>
      </c>
      <c r="E713" s="3" t="s">
        <v>627</v>
      </c>
      <c r="F713" s="3" t="s">
        <v>627</v>
      </c>
      <c r="G713" s="102">
        <f>DATE(Modelling_old[[#This Row],[Calendor Year]],Modelling_old[[#This Row],[Start Month]],1)</f>
        <v>45689</v>
      </c>
      <c r="H713" s="5">
        <f t="shared" ref="H713:H748" si="289">DAY(EOMONTH(G713,0))</f>
        <v>28</v>
      </c>
      <c r="I713" s="5">
        <f t="shared" ref="I713:I748" si="290">MONTH(A713)</f>
        <v>2</v>
      </c>
      <c r="J713" s="4">
        <f>_xlfn.XLOOKUP(Modelling_old[[#This Row],[Month]],$C$1:$C$14,$N$1:$N$14)/Modelling_old[[#This Row],[Total Days]]</f>
        <v>53.846428571428575</v>
      </c>
      <c r="K713" s="4">
        <f>SUM($J$690:J713)</f>
        <v>1292.3142857142852</v>
      </c>
      <c r="L713" s="4">
        <f>SUM($J$384:J713)</f>
        <v>15343.314285714301</v>
      </c>
      <c r="M713" s="4">
        <f t="shared" ref="M713:M748" si="291">VLOOKUP(I713,$C$2:$M$13,11,0)</f>
        <v>6.8928571428571432</v>
      </c>
      <c r="N713" s="4">
        <f>SUM($M$690:M713)</f>
        <v>165.42857142857139</v>
      </c>
      <c r="O713" s="4">
        <f>SUM($M$384:M713)</f>
        <v>1925.1285714285671</v>
      </c>
      <c r="P713" s="323">
        <f t="shared" ref="P713:P748" si="292">J713/$Q$1/M713</f>
        <v>0.67911407346242281</v>
      </c>
      <c r="Q713" s="337">
        <f t="shared" ref="Q713:Q748" si="293">K713/N713/$Q$1</f>
        <v>0.6791140734624227</v>
      </c>
      <c r="R713" s="337">
        <f t="shared" ref="R713:R748" si="294">L713/O713/$Q$1</f>
        <v>0.69285849511987263</v>
      </c>
      <c r="S713" s="323">
        <f t="shared" ref="S713:S748" si="295">J713/(24*$Q$1)</f>
        <v>0.19504317883667802</v>
      </c>
      <c r="T713" s="9">
        <f>Modelling_old[[#This Row],[Target E_Grid MTD
MWh]]/Modelling_old[[#This Row],[DC Capcity]]/(24*CG713)</f>
        <v>0.19504317883667791</v>
      </c>
      <c r="U713" s="338">
        <f>Modelling_old[[#This Row],[Target E_Grid YTD
MWh]]/Modelling_old[[#This Row],[DC Capcity]]/(24*CH713)</f>
        <v>0.16841435415558931</v>
      </c>
      <c r="V713" s="134">
        <v>11.5031</v>
      </c>
      <c r="Y713" s="27">
        <f t="shared" si="263"/>
        <v>45712</v>
      </c>
      <c r="Z713" s="5">
        <f>MONTH(Modelling_new[[#This Row],[Date]])</f>
        <v>2</v>
      </c>
      <c r="AA713" s="25">
        <f>YEAR(Y713)+IF(MONTH(Modelling_new[[#This Row],[Date]])&gt;=4,1,0)</f>
        <v>2025</v>
      </c>
      <c r="AB713" s="3">
        <f t="shared" si="276"/>
        <v>2025</v>
      </c>
      <c r="AC713" s="3" t="s">
        <v>627</v>
      </c>
      <c r="AD713" s="3" t="s">
        <v>627</v>
      </c>
      <c r="AE713" s="102">
        <f>DATE(Modelling_old[[#This Row],[Calendor Year]],Modelling_old[[#This Row],[Start Month]],1)</f>
        <v>45689</v>
      </c>
      <c r="AF713" s="5">
        <f t="shared" si="277"/>
        <v>28</v>
      </c>
      <c r="AG713" s="5">
        <f t="shared" si="278"/>
        <v>2</v>
      </c>
      <c r="AH713" s="4">
        <f>_xlfn.XLOOKUP(Modelling_new[[#This Row],[Month]],$AA$1:$AA$14,$AL$1:$AL$14)/Modelling_new[[#This Row],[Total Days]]</f>
        <v>68.489902174240342</v>
      </c>
      <c r="AI713" s="4">
        <f>SUM($AH$690:AH713)</f>
        <v>1643.7576521817682</v>
      </c>
      <c r="AJ713" s="4">
        <f>SUM($AH$384:AH713)</f>
        <v>19302.782547952702</v>
      </c>
      <c r="AK713" s="4">
        <f t="shared" si="279"/>
        <v>6.8928571428571432</v>
      </c>
      <c r="AL713" s="4">
        <f>SUM($AK$690:AK713)</f>
        <v>165.42857142857139</v>
      </c>
      <c r="AM713" s="4">
        <f>SUM($AK$384:AK713)</f>
        <v>1925.1285714285671</v>
      </c>
      <c r="AN713" s="323">
        <f t="shared" si="280"/>
        <v>0.86379835563079765</v>
      </c>
      <c r="AO713" s="323">
        <f t="shared" si="281"/>
        <v>0.86379835563079799</v>
      </c>
      <c r="AP713" s="323">
        <f t="shared" si="282"/>
        <v>0.87165632005940652</v>
      </c>
      <c r="AQ713" s="323">
        <f t="shared" si="283"/>
        <v>0.24808494439991666</v>
      </c>
      <c r="AR713" s="323">
        <f>Modelling_new[[#This Row],[Target E_Grid MTD
MWh]]/Modelling_new[[#This Row],[MTD DC Capcity]]/(24*CG713)</f>
        <v>0.22294890030677184</v>
      </c>
      <c r="AS713" s="323">
        <f>Modelling_new[[#This Row],[Target E_Grid YTD
MWh]]/Modelling_new[[#This Row],[YTD DC Capcity]]/(24*CH713)</f>
        <v>0.19040781395944392</v>
      </c>
      <c r="AT713" s="5">
        <v>12.8</v>
      </c>
      <c r="AU713" s="9">
        <f>Modelling_new[[#This Row],[Comisined DC ]]/$AO$1</f>
        <v>1</v>
      </c>
      <c r="AV713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13" s="5">
        <f>AVERAGEIFS(Modelling_new[[Comisined DC ]],Modelling_new[Date],"&lt;="&amp;Modelling_new[[#This Row],[Date]],Modelling_new[[Comisined DC ]],"&gt;"&amp;0,Modelling_new[Finacial Year],Modelling_new[[#This Row],[Finacial Year]])</f>
        <v>12.800000000000077</v>
      </c>
      <c r="BD713" s="27">
        <f t="shared" si="264"/>
        <v>45712</v>
      </c>
      <c r="BE713" s="5">
        <f>MONTH(Modelling[[#This Row],[Date]])</f>
        <v>2</v>
      </c>
      <c r="BF713" s="25">
        <f>YEAR(BD713)+IF(MONTH(Modelling[[#This Row],[Date]])&gt;=4,1,0)</f>
        <v>2025</v>
      </c>
      <c r="BG713" s="3">
        <f t="shared" si="284"/>
        <v>2025</v>
      </c>
      <c r="BH713" s="3" t="s">
        <v>627</v>
      </c>
      <c r="BI713" s="3" t="s">
        <v>627</v>
      </c>
      <c r="BJ713" s="102">
        <f>DATE(Modelling_old[[#This Row],[Calendor Year]],Modelling_old[[#This Row],[Start Month]],1)</f>
        <v>45689</v>
      </c>
      <c r="BK713" s="5">
        <f t="shared" si="285"/>
        <v>28</v>
      </c>
      <c r="BL713" s="5">
        <f t="shared" si="286"/>
        <v>2</v>
      </c>
      <c r="BM713" s="4">
        <f>Modelling_old[[#This Row],[Target E_Grid daily
MWh]]+Modelling_new[[#This Row],[Target E_Grid daily
MWh]]</f>
        <v>122.33633074566892</v>
      </c>
      <c r="BN713" s="4">
        <f>Modelling_old[[#This Row],[Target E_Grid MTD
MWh]]+Modelling_new[[#This Row],[Target E_Grid MTD
MWh]]</f>
        <v>2936.0719378960534</v>
      </c>
      <c r="BO713" s="4">
        <f>Modelling_old[[#This Row],[Target E_Grid YTD
MWh]]+Modelling_new[[#This Row],[Target E_Grid YTD
MWh]]</f>
        <v>34646.096833667005</v>
      </c>
      <c r="BP713" s="4">
        <f>AVERAGE(Modelling_old[[#This Row],[Target POA Daily (KWh/m2)]],Modelling_new[[#This Row],[Target POA Daily (KWh/m2)]])</f>
        <v>6.8928571428571432</v>
      </c>
      <c r="BQ713" s="4">
        <f>SUM($BP$690:BP713)</f>
        <v>165.42857142857139</v>
      </c>
      <c r="BR713" s="4">
        <f>SUM($BP$384:BP713)</f>
        <v>1925.1285714285671</v>
      </c>
      <c r="BS713" s="323">
        <f>BM713/Modelling[[#This Row],[Comisined DC ]]/BP713</f>
        <v>0.73028856249211938</v>
      </c>
      <c r="BT713" s="337">
        <f>BN713/BQ713/Modelling[[#This Row],[Comisined DC ]]</f>
        <v>0.73028856249211938</v>
      </c>
      <c r="BU713" s="337">
        <f>BO713/BR713/Modelling[[#This Row],[Comisined DC ]]</f>
        <v>0.74051336539325308</v>
      </c>
      <c r="BV713" s="323">
        <f>BM713/(24*Modelling[[#This Row],[Comisined DC ]])</f>
        <v>0.20974061393002832</v>
      </c>
      <c r="BW713" s="323">
        <f>Modelling[[#This Row],[Target E_Grid MTD
MWh]]/Modelling[[#This Row],[MTD DC Capcity]]/(24*CG713)</f>
        <v>0.20974061393002841</v>
      </c>
      <c r="BX713" s="338">
        <f>Modelling[[#This Row],[Target E_Grid YTD
MWh]]/Modelling[[#This Row],[YTD DC Capcity]]/(24*CH713)</f>
        <v>0.17999790874283708</v>
      </c>
      <c r="BY713" s="4">
        <f>Modelling_old[[#This Row],[DC Capcity]]+Modelling_new[[#This Row],[Comisined DC ]]</f>
        <v>24.303100000000001</v>
      </c>
      <c r="BZ713" s="4">
        <v>0</v>
      </c>
      <c r="CA713">
        <f>AVERAGEIFS(Modelling[[Comisined DC ]],Modelling[Date],"&lt;="&amp;Modelling[[#This Row],[Date]],Modelling[Month Year],Modelling[[#This Row],[Month Year]])</f>
        <v>24.303099999999986</v>
      </c>
      <c r="CB713">
        <f>AVERAGEIFS(Modelling[[Comisined DC ]],Modelling[Date],"&lt;="&amp;Modelling[[#This Row],[Date]],Modelling[Finacial Year],Modelling[[#This Row],[Finacial Year]])</f>
        <v>24.303100000000072</v>
      </c>
      <c r="CG713">
        <f t="shared" si="266"/>
        <v>24</v>
      </c>
      <c r="CH713">
        <f t="shared" si="287"/>
        <v>330</v>
      </c>
    </row>
    <row r="714" spans="1:86" x14ac:dyDescent="0.35">
      <c r="A714" s="27">
        <f t="shared" si="267"/>
        <v>45713</v>
      </c>
      <c r="B714" s="5">
        <f>MONTH(Modelling_old[[#This Row],[Date]])</f>
        <v>2</v>
      </c>
      <c r="C714" s="25">
        <v>2025</v>
      </c>
      <c r="D714" s="3">
        <f t="shared" si="288"/>
        <v>2025</v>
      </c>
      <c r="E714" s="3" t="s">
        <v>627</v>
      </c>
      <c r="F714" s="3" t="s">
        <v>627</v>
      </c>
      <c r="G714" s="102">
        <f>DATE(Modelling_old[[#This Row],[Calendor Year]],Modelling_old[[#This Row],[Start Month]],1)</f>
        <v>45689</v>
      </c>
      <c r="H714" s="5">
        <f t="shared" si="289"/>
        <v>28</v>
      </c>
      <c r="I714" s="5">
        <f t="shared" si="290"/>
        <v>2</v>
      </c>
      <c r="J714" s="4">
        <f>_xlfn.XLOOKUP(Modelling_old[[#This Row],[Month]],$C$1:$C$14,$N$1:$N$14)/Modelling_old[[#This Row],[Total Days]]</f>
        <v>53.846428571428575</v>
      </c>
      <c r="K714" s="4">
        <f>SUM($J$690:J714)</f>
        <v>1346.1607142857138</v>
      </c>
      <c r="L714" s="4">
        <f>SUM($J$384:J714)</f>
        <v>15397.16071428573</v>
      </c>
      <c r="M714" s="4">
        <f t="shared" si="291"/>
        <v>6.8928571428571432</v>
      </c>
      <c r="N714" s="4">
        <f>SUM($M$690:M714)</f>
        <v>172.32142857142853</v>
      </c>
      <c r="O714" s="4">
        <f>SUM($M$384:M714)</f>
        <v>1932.0214285714242</v>
      </c>
      <c r="P714" s="323">
        <f t="shared" si="292"/>
        <v>0.67911407346242281</v>
      </c>
      <c r="Q714" s="337">
        <f t="shared" si="293"/>
        <v>0.6791140734624227</v>
      </c>
      <c r="R714" s="337">
        <f t="shared" si="294"/>
        <v>0.69280945925847126</v>
      </c>
      <c r="S714" s="323">
        <f t="shared" si="295"/>
        <v>0.19504317883667802</v>
      </c>
      <c r="T714" s="9">
        <f>Modelling_old[[#This Row],[Target E_Grid MTD
MWh]]/Modelling_old[[#This Row],[DC Capcity]]/(24*CG714)</f>
        <v>0.19504317883667791</v>
      </c>
      <c r="U714" s="338">
        <f>Modelling_old[[#This Row],[Target E_Grid YTD
MWh]]/Modelling_old[[#This Row],[DC Capcity]]/(24*CH714)</f>
        <v>0.16849480377698234</v>
      </c>
      <c r="V714" s="134">
        <v>11.5031</v>
      </c>
      <c r="Y714" s="27">
        <f t="shared" si="263"/>
        <v>45713</v>
      </c>
      <c r="Z714" s="5">
        <f>MONTH(Modelling_new[[#This Row],[Date]])</f>
        <v>2</v>
      </c>
      <c r="AA714" s="25">
        <f>YEAR(Y714)+IF(MONTH(Modelling_new[[#This Row],[Date]])&gt;=4,1,0)</f>
        <v>2025</v>
      </c>
      <c r="AB714" s="3">
        <f t="shared" si="276"/>
        <v>2025</v>
      </c>
      <c r="AC714" s="3" t="s">
        <v>627</v>
      </c>
      <c r="AD714" s="3" t="s">
        <v>627</v>
      </c>
      <c r="AE714" s="102">
        <f>DATE(Modelling_old[[#This Row],[Calendor Year]],Modelling_old[[#This Row],[Start Month]],1)</f>
        <v>45689</v>
      </c>
      <c r="AF714" s="5">
        <f t="shared" si="277"/>
        <v>28</v>
      </c>
      <c r="AG714" s="5">
        <f t="shared" si="278"/>
        <v>2</v>
      </c>
      <c r="AH714" s="4">
        <f>_xlfn.XLOOKUP(Modelling_new[[#This Row],[Month]],$AA$1:$AA$14,$AL$1:$AL$14)/Modelling_new[[#This Row],[Total Days]]</f>
        <v>68.489902174240342</v>
      </c>
      <c r="AI714" s="4">
        <f>SUM($AH$690:AH714)</f>
        <v>1712.2475543560085</v>
      </c>
      <c r="AJ714" s="4">
        <f>SUM($AH$384:AH714)</f>
        <v>19371.27245012694</v>
      </c>
      <c r="AK714" s="4">
        <f t="shared" si="279"/>
        <v>6.8928571428571432</v>
      </c>
      <c r="AL714" s="4">
        <f>SUM($AK$690:AK714)</f>
        <v>172.32142857142853</v>
      </c>
      <c r="AM714" s="4">
        <f>SUM($AK$384:AK714)</f>
        <v>1932.0214285714242</v>
      </c>
      <c r="AN714" s="323">
        <f t="shared" si="280"/>
        <v>0.86379835563079765</v>
      </c>
      <c r="AO714" s="323">
        <f t="shared" si="281"/>
        <v>0.86379835563079799</v>
      </c>
      <c r="AP714" s="323">
        <f t="shared" si="282"/>
        <v>0.87162828526360192</v>
      </c>
      <c r="AQ714" s="323">
        <f t="shared" si="283"/>
        <v>0.24808494439991666</v>
      </c>
      <c r="AR714" s="323">
        <f>Modelling_new[[#This Row],[Target E_Grid MTD
MWh]]/Modelling_new[[#This Row],[MTD DC Capcity]]/(24*CG714)</f>
        <v>0.22294890030677186</v>
      </c>
      <c r="AS714" s="323">
        <f>Modelling_new[[#This Row],[Target E_Grid YTD
MWh]]/Modelling_new[[#This Row],[YTD DC Capcity]]/(24*CH714)</f>
        <v>0.19050612539855968</v>
      </c>
      <c r="AT714" s="5">
        <v>12.8</v>
      </c>
      <c r="AU714" s="9">
        <f>Modelling_new[[#This Row],[Comisined DC ]]/$AO$1</f>
        <v>1</v>
      </c>
      <c r="AV714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14" s="5">
        <f>AVERAGEIFS(Modelling_new[[Comisined DC ]],Modelling_new[Date],"&lt;="&amp;Modelling_new[[#This Row],[Date]],Modelling_new[[Comisined DC ]],"&gt;"&amp;0,Modelling_new[Finacial Year],Modelling_new[[#This Row],[Finacial Year]])</f>
        <v>12.800000000000077</v>
      </c>
      <c r="BD714" s="27">
        <f t="shared" si="264"/>
        <v>45713</v>
      </c>
      <c r="BE714" s="5">
        <f>MONTH(Modelling[[#This Row],[Date]])</f>
        <v>2</v>
      </c>
      <c r="BF714" s="25">
        <f>YEAR(BD714)+IF(MONTH(Modelling[[#This Row],[Date]])&gt;=4,1,0)</f>
        <v>2025</v>
      </c>
      <c r="BG714" s="3">
        <f t="shared" si="284"/>
        <v>2025</v>
      </c>
      <c r="BH714" s="3" t="s">
        <v>627</v>
      </c>
      <c r="BI714" s="3" t="s">
        <v>627</v>
      </c>
      <c r="BJ714" s="102">
        <f>DATE(Modelling_old[[#This Row],[Calendor Year]],Modelling_old[[#This Row],[Start Month]],1)</f>
        <v>45689</v>
      </c>
      <c r="BK714" s="5">
        <f t="shared" si="285"/>
        <v>28</v>
      </c>
      <c r="BL714" s="5">
        <f t="shared" si="286"/>
        <v>2</v>
      </c>
      <c r="BM714" s="4">
        <f>Modelling_old[[#This Row],[Target E_Grid daily
MWh]]+Modelling_new[[#This Row],[Target E_Grid daily
MWh]]</f>
        <v>122.33633074566892</v>
      </c>
      <c r="BN714" s="4">
        <f>Modelling_old[[#This Row],[Target E_Grid MTD
MWh]]+Modelling_new[[#This Row],[Target E_Grid MTD
MWh]]</f>
        <v>3058.4082686417223</v>
      </c>
      <c r="BO714" s="4">
        <f>Modelling_old[[#This Row],[Target E_Grid YTD
MWh]]+Modelling_new[[#This Row],[Target E_Grid YTD
MWh]]</f>
        <v>34768.433164412672</v>
      </c>
      <c r="BP714" s="4">
        <f>AVERAGE(Modelling_old[[#This Row],[Target POA Daily (KWh/m2)]],Modelling_new[[#This Row],[Target POA Daily (KWh/m2)]])</f>
        <v>6.8928571428571432</v>
      </c>
      <c r="BQ714" s="4">
        <f>SUM($BP$690:BP714)</f>
        <v>172.32142857142853</v>
      </c>
      <c r="BR714" s="4">
        <f>SUM($BP$384:BP714)</f>
        <v>1932.0214285714242</v>
      </c>
      <c r="BS714" s="323">
        <f>BM714/Modelling[[#This Row],[Comisined DC ]]/BP714</f>
        <v>0.73028856249211938</v>
      </c>
      <c r="BT714" s="337">
        <f>BN714/BQ714/Modelling[[#This Row],[Comisined DC ]]</f>
        <v>0.73028856249211938</v>
      </c>
      <c r="BU714" s="337">
        <f>BO714/BR714/Modelling[[#This Row],[Comisined DC ]]</f>
        <v>0.7404768864470731</v>
      </c>
      <c r="BV714" s="323">
        <f>BM714/(24*Modelling[[#This Row],[Comisined DC ]])</f>
        <v>0.20974061393002832</v>
      </c>
      <c r="BW714" s="323">
        <f>Modelling[[#This Row],[Target E_Grid MTD
MWh]]/Modelling[[#This Row],[MTD DC Capcity]]/(24*CG714)</f>
        <v>0.20974061393002841</v>
      </c>
      <c r="BX714" s="338">
        <f>Modelling[[#This Row],[Target E_Grid YTD
MWh]]/Modelling[[#This Row],[YTD DC Capcity]]/(24*CH714)</f>
        <v>0.18008776585820621</v>
      </c>
      <c r="BY714" s="4">
        <f>Modelling_old[[#This Row],[DC Capcity]]+Modelling_new[[#This Row],[Comisined DC ]]</f>
        <v>24.303100000000001</v>
      </c>
      <c r="BZ714" s="4">
        <v>0</v>
      </c>
      <c r="CA714">
        <f>AVERAGEIFS(Modelling[[Comisined DC ]],Modelling[Date],"&lt;="&amp;Modelling[[#This Row],[Date]],Modelling[Month Year],Modelling[[#This Row],[Month Year]])</f>
        <v>24.303099999999986</v>
      </c>
      <c r="CB714">
        <f>AVERAGEIFS(Modelling[[Comisined DC ]],Modelling[Date],"&lt;="&amp;Modelling[[#This Row],[Date]],Modelling[Finacial Year],Modelling[[#This Row],[Finacial Year]])</f>
        <v>24.303100000000072</v>
      </c>
      <c r="CG714">
        <f t="shared" si="266"/>
        <v>25</v>
      </c>
      <c r="CH714">
        <f t="shared" si="287"/>
        <v>331</v>
      </c>
    </row>
    <row r="715" spans="1:86" x14ac:dyDescent="0.35">
      <c r="A715" s="27">
        <f t="shared" si="267"/>
        <v>45714</v>
      </c>
      <c r="B715" s="5">
        <f>MONTH(Modelling_old[[#This Row],[Date]])</f>
        <v>2</v>
      </c>
      <c r="C715" s="25">
        <v>2025</v>
      </c>
      <c r="D715" s="3">
        <f t="shared" si="288"/>
        <v>2025</v>
      </c>
      <c r="E715" s="3" t="s">
        <v>627</v>
      </c>
      <c r="F715" s="3" t="s">
        <v>627</v>
      </c>
      <c r="G715" s="102">
        <f>DATE(Modelling_old[[#This Row],[Calendor Year]],Modelling_old[[#This Row],[Start Month]],1)</f>
        <v>45689</v>
      </c>
      <c r="H715" s="5">
        <f t="shared" si="289"/>
        <v>28</v>
      </c>
      <c r="I715" s="5">
        <f t="shared" si="290"/>
        <v>2</v>
      </c>
      <c r="J715" s="4">
        <f>_xlfn.XLOOKUP(Modelling_old[[#This Row],[Month]],$C$1:$C$14,$N$1:$N$14)/Modelling_old[[#This Row],[Total Days]]</f>
        <v>53.846428571428575</v>
      </c>
      <c r="K715" s="4">
        <f>SUM($J$690:J715)</f>
        <v>1400.0071428571423</v>
      </c>
      <c r="L715" s="4">
        <f>SUM($J$384:J715)</f>
        <v>15451.007142857159</v>
      </c>
      <c r="M715" s="4">
        <f t="shared" si="291"/>
        <v>6.8928571428571432</v>
      </c>
      <c r="N715" s="4">
        <f>SUM($M$690:M715)</f>
        <v>179.21428571428567</v>
      </c>
      <c r="O715" s="4">
        <f>SUM($M$384:M715)</f>
        <v>1938.9142857142813</v>
      </c>
      <c r="P715" s="323">
        <f t="shared" si="292"/>
        <v>0.67911407346242281</v>
      </c>
      <c r="Q715" s="337">
        <f t="shared" si="293"/>
        <v>0.6791140734624227</v>
      </c>
      <c r="R715" s="337">
        <f t="shared" si="294"/>
        <v>0.6927607720428971</v>
      </c>
      <c r="S715" s="323">
        <f t="shared" si="295"/>
        <v>0.19504317883667802</v>
      </c>
      <c r="T715" s="9">
        <f>Modelling_old[[#This Row],[Target E_Grid MTD
MWh]]/Modelling_old[[#This Row],[DC Capcity]]/(24*CG715)</f>
        <v>0.19504317883667791</v>
      </c>
      <c r="U715" s="338">
        <f>Modelling_old[[#This Row],[Target E_Grid YTD
MWh]]/Modelling_old[[#This Row],[DC Capcity]]/(24*CH715)</f>
        <v>0.1685747687621019</v>
      </c>
      <c r="V715" s="134">
        <v>11.5031</v>
      </c>
      <c r="Y715" s="27">
        <f t="shared" si="263"/>
        <v>45714</v>
      </c>
      <c r="Z715" s="5">
        <f>MONTH(Modelling_new[[#This Row],[Date]])</f>
        <v>2</v>
      </c>
      <c r="AA715" s="25">
        <f>YEAR(Y715)+IF(MONTH(Modelling_new[[#This Row],[Date]])&gt;=4,1,0)</f>
        <v>2025</v>
      </c>
      <c r="AB715" s="3">
        <f t="shared" si="276"/>
        <v>2025</v>
      </c>
      <c r="AC715" s="3" t="s">
        <v>627</v>
      </c>
      <c r="AD715" s="3" t="s">
        <v>627</v>
      </c>
      <c r="AE715" s="102">
        <f>DATE(Modelling_old[[#This Row],[Calendor Year]],Modelling_old[[#This Row],[Start Month]],1)</f>
        <v>45689</v>
      </c>
      <c r="AF715" s="5">
        <f t="shared" si="277"/>
        <v>28</v>
      </c>
      <c r="AG715" s="5">
        <f t="shared" si="278"/>
        <v>2</v>
      </c>
      <c r="AH715" s="4">
        <f>_xlfn.XLOOKUP(Modelling_new[[#This Row],[Month]],$AA$1:$AA$14,$AL$1:$AL$14)/Modelling_new[[#This Row],[Total Days]]</f>
        <v>68.489902174240342</v>
      </c>
      <c r="AI715" s="4">
        <f>SUM($AH$690:AH715)</f>
        <v>1780.7374565302489</v>
      </c>
      <c r="AJ715" s="4">
        <f>SUM($AH$384:AH715)</f>
        <v>19439.762352301179</v>
      </c>
      <c r="AK715" s="4">
        <f t="shared" si="279"/>
        <v>6.8928571428571432</v>
      </c>
      <c r="AL715" s="4">
        <f>SUM($AK$690:AK715)</f>
        <v>179.21428571428567</v>
      </c>
      <c r="AM715" s="4">
        <f>SUM($AK$384:AK715)</f>
        <v>1938.9142857142813</v>
      </c>
      <c r="AN715" s="323">
        <f t="shared" si="280"/>
        <v>0.86379835563079765</v>
      </c>
      <c r="AO715" s="323">
        <f t="shared" si="281"/>
        <v>0.86379835563079799</v>
      </c>
      <c r="AP715" s="323">
        <f t="shared" si="282"/>
        <v>0.87160044979568285</v>
      </c>
      <c r="AQ715" s="323">
        <f t="shared" si="283"/>
        <v>0.24808494439991666</v>
      </c>
      <c r="AR715" s="323">
        <f>Modelling_new[[#This Row],[Target E_Grid MTD
MWh]]/Modelling_new[[#This Row],[MTD DC Capcity]]/(24*CG715)</f>
        <v>0.22294890030677186</v>
      </c>
      <c r="AS715" s="323">
        <f>Modelling_new[[#This Row],[Target E_Grid YTD
MWh]]/Modelling_new[[#This Row],[YTD DC Capcity]]/(24*CH715)</f>
        <v>0.19060384460009042</v>
      </c>
      <c r="AT715" s="5">
        <v>12.8</v>
      </c>
      <c r="AU715" s="9">
        <f>Modelling_new[[#This Row],[Comisined DC ]]/$AO$1</f>
        <v>1</v>
      </c>
      <c r="AV71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15" s="5">
        <f>AVERAGEIFS(Modelling_new[[Comisined DC ]],Modelling_new[Date],"&lt;="&amp;Modelling_new[[#This Row],[Date]],Modelling_new[[Comisined DC ]],"&gt;"&amp;0,Modelling_new[Finacial Year],Modelling_new[[#This Row],[Finacial Year]])</f>
        <v>12.800000000000077</v>
      </c>
      <c r="BD715" s="27">
        <f t="shared" si="264"/>
        <v>45714</v>
      </c>
      <c r="BE715" s="5">
        <f>MONTH(Modelling[[#This Row],[Date]])</f>
        <v>2</v>
      </c>
      <c r="BF715" s="25">
        <f>YEAR(BD715)+IF(MONTH(Modelling[[#This Row],[Date]])&gt;=4,1,0)</f>
        <v>2025</v>
      </c>
      <c r="BG715" s="3">
        <f t="shared" si="284"/>
        <v>2025</v>
      </c>
      <c r="BH715" s="3" t="s">
        <v>627</v>
      </c>
      <c r="BI715" s="3" t="s">
        <v>627</v>
      </c>
      <c r="BJ715" s="102">
        <f>DATE(Modelling_old[[#This Row],[Calendor Year]],Modelling_old[[#This Row],[Start Month]],1)</f>
        <v>45689</v>
      </c>
      <c r="BK715" s="5">
        <f t="shared" si="285"/>
        <v>28</v>
      </c>
      <c r="BL715" s="5">
        <f t="shared" si="286"/>
        <v>2</v>
      </c>
      <c r="BM715" s="4">
        <f>Modelling_old[[#This Row],[Target E_Grid daily
MWh]]+Modelling_new[[#This Row],[Target E_Grid daily
MWh]]</f>
        <v>122.33633074566892</v>
      </c>
      <c r="BN715" s="4">
        <f>Modelling_old[[#This Row],[Target E_Grid MTD
MWh]]+Modelling_new[[#This Row],[Target E_Grid MTD
MWh]]</f>
        <v>3180.7445993873912</v>
      </c>
      <c r="BO715" s="4">
        <f>Modelling_old[[#This Row],[Target E_Grid YTD
MWh]]+Modelling_new[[#This Row],[Target E_Grid YTD
MWh]]</f>
        <v>34890.76949515834</v>
      </c>
      <c r="BP715" s="4">
        <f>AVERAGE(Modelling_old[[#This Row],[Target POA Daily (KWh/m2)]],Modelling_new[[#This Row],[Target POA Daily (KWh/m2)]])</f>
        <v>6.8928571428571432</v>
      </c>
      <c r="BQ715" s="4">
        <f>SUM($BP$690:BP715)</f>
        <v>179.21428571428567</v>
      </c>
      <c r="BR715" s="4">
        <f>SUM($BP$384:BP715)</f>
        <v>1938.9142857142813</v>
      </c>
      <c r="BS715" s="323">
        <f>BM715/Modelling[[#This Row],[Comisined DC ]]/BP715</f>
        <v>0.73028856249211938</v>
      </c>
      <c r="BT715" s="337">
        <f>BN715/BQ715/Modelling[[#This Row],[Comisined DC ]]</f>
        <v>0.73028856249211938</v>
      </c>
      <c r="BU715" s="337">
        <f>BO715/BR715/Modelling[[#This Row],[Comisined DC ]]</f>
        <v>0.74044066686683463</v>
      </c>
      <c r="BV715" s="323">
        <f>BM715/(24*Modelling[[#This Row],[Comisined DC ]])</f>
        <v>0.20974061393002832</v>
      </c>
      <c r="BW715" s="323">
        <f>Modelling[[#This Row],[Target E_Grid MTD
MWh]]/Modelling[[#This Row],[MTD DC Capcity]]/(24*CG715)</f>
        <v>0.20974061393002841</v>
      </c>
      <c r="BX715" s="338">
        <f>Modelling[[#This Row],[Target E_Grid YTD
MWh]]/Modelling[[#This Row],[YTD DC Capcity]]/(24*CH715)</f>
        <v>0.18017708166565144</v>
      </c>
      <c r="BY715" s="4">
        <f>Modelling_old[[#This Row],[DC Capcity]]+Modelling_new[[#This Row],[Comisined DC ]]</f>
        <v>24.303100000000001</v>
      </c>
      <c r="BZ715" s="4">
        <v>0</v>
      </c>
      <c r="CA715">
        <f>AVERAGEIFS(Modelling[[Comisined DC ]],Modelling[Date],"&lt;="&amp;Modelling[[#This Row],[Date]],Modelling[Month Year],Modelling[[#This Row],[Month Year]])</f>
        <v>24.303099999999986</v>
      </c>
      <c r="CB715">
        <f>AVERAGEIFS(Modelling[[Comisined DC ]],Modelling[Date],"&lt;="&amp;Modelling[[#This Row],[Date]],Modelling[Finacial Year],Modelling[[#This Row],[Finacial Year]])</f>
        <v>24.303100000000072</v>
      </c>
      <c r="CG715">
        <f t="shared" si="266"/>
        <v>26</v>
      </c>
      <c r="CH715">
        <f t="shared" si="287"/>
        <v>332</v>
      </c>
    </row>
    <row r="716" spans="1:86" x14ac:dyDescent="0.35">
      <c r="A716" s="27">
        <f t="shared" si="267"/>
        <v>45715</v>
      </c>
      <c r="B716" s="5">
        <f>MONTH(Modelling_old[[#This Row],[Date]])</f>
        <v>2</v>
      </c>
      <c r="C716" s="25">
        <v>2025</v>
      </c>
      <c r="D716" s="3">
        <f t="shared" si="288"/>
        <v>2025</v>
      </c>
      <c r="E716" s="3" t="s">
        <v>627</v>
      </c>
      <c r="F716" s="3" t="s">
        <v>627</v>
      </c>
      <c r="G716" s="102">
        <f>DATE(Modelling_old[[#This Row],[Calendor Year]],Modelling_old[[#This Row],[Start Month]],1)</f>
        <v>45689</v>
      </c>
      <c r="H716" s="5">
        <f t="shared" si="289"/>
        <v>28</v>
      </c>
      <c r="I716" s="5">
        <f t="shared" si="290"/>
        <v>2</v>
      </c>
      <c r="J716" s="4">
        <f>_xlfn.XLOOKUP(Modelling_old[[#This Row],[Month]],$C$1:$C$14,$N$1:$N$14)/Modelling_old[[#This Row],[Total Days]]</f>
        <v>53.846428571428575</v>
      </c>
      <c r="K716" s="4">
        <f>SUM($J$690:J716)</f>
        <v>1453.8535714285708</v>
      </c>
      <c r="L716" s="4">
        <f>SUM($J$384:J716)</f>
        <v>15504.853571428588</v>
      </c>
      <c r="M716" s="4">
        <f t="shared" si="291"/>
        <v>6.8928571428571432</v>
      </c>
      <c r="N716" s="4">
        <f>SUM($M$690:M716)</f>
        <v>186.1071428571428</v>
      </c>
      <c r="O716" s="4">
        <f>SUM($M$384:M716)</f>
        <v>1945.8071428571384</v>
      </c>
      <c r="P716" s="323">
        <f t="shared" si="292"/>
        <v>0.67911407346242281</v>
      </c>
      <c r="Q716" s="337">
        <f t="shared" si="293"/>
        <v>0.6791140734624227</v>
      </c>
      <c r="R716" s="337">
        <f t="shared" si="294"/>
        <v>0.69271242976800518</v>
      </c>
      <c r="S716" s="323">
        <f t="shared" si="295"/>
        <v>0.19504317883667802</v>
      </c>
      <c r="T716" s="9">
        <f>Modelling_old[[#This Row],[Target E_Grid MTD
MWh]]/Modelling_old[[#This Row],[DC Capcity]]/(24*CG716)</f>
        <v>0.19504317883667791</v>
      </c>
      <c r="U716" s="338">
        <f>Modelling_old[[#This Row],[Target E_Grid YTD
MWh]]/Modelling_old[[#This Row],[DC Capcity]]/(24*CH716)</f>
        <v>0.16865425347704058</v>
      </c>
      <c r="V716" s="134">
        <v>11.5031</v>
      </c>
      <c r="Y716" s="27">
        <f t="shared" si="263"/>
        <v>45715</v>
      </c>
      <c r="Z716" s="5">
        <f>MONTH(Modelling_new[[#This Row],[Date]])</f>
        <v>2</v>
      </c>
      <c r="AA716" s="25">
        <f>YEAR(Y716)+IF(MONTH(Modelling_new[[#This Row],[Date]])&gt;=4,1,0)</f>
        <v>2025</v>
      </c>
      <c r="AB716" s="3">
        <f t="shared" si="276"/>
        <v>2025</v>
      </c>
      <c r="AC716" s="3" t="s">
        <v>627</v>
      </c>
      <c r="AD716" s="3" t="s">
        <v>627</v>
      </c>
      <c r="AE716" s="102">
        <f>DATE(Modelling_old[[#This Row],[Calendor Year]],Modelling_old[[#This Row],[Start Month]],1)</f>
        <v>45689</v>
      </c>
      <c r="AF716" s="5">
        <f t="shared" si="277"/>
        <v>28</v>
      </c>
      <c r="AG716" s="5">
        <f t="shared" si="278"/>
        <v>2</v>
      </c>
      <c r="AH716" s="4">
        <f>_xlfn.XLOOKUP(Modelling_new[[#This Row],[Month]],$AA$1:$AA$14,$AL$1:$AL$14)/Modelling_new[[#This Row],[Total Days]]</f>
        <v>68.489902174240342</v>
      </c>
      <c r="AI716" s="4">
        <f>SUM($AH$690:AH716)</f>
        <v>1849.2273587044892</v>
      </c>
      <c r="AJ716" s="4">
        <f>SUM($AH$384:AH716)</f>
        <v>19508.252254475417</v>
      </c>
      <c r="AK716" s="4">
        <f t="shared" si="279"/>
        <v>6.8928571428571432</v>
      </c>
      <c r="AL716" s="4">
        <f>SUM($AK$690:AK716)</f>
        <v>186.1071428571428</v>
      </c>
      <c r="AM716" s="4">
        <f>SUM($AK$384:AK716)</f>
        <v>1945.8071428571384</v>
      </c>
      <c r="AN716" s="323">
        <f t="shared" si="280"/>
        <v>0.86379835563079765</v>
      </c>
      <c r="AO716" s="323">
        <f t="shared" si="281"/>
        <v>0.86379835563079799</v>
      </c>
      <c r="AP716" s="323">
        <f t="shared" si="282"/>
        <v>0.87157281153734312</v>
      </c>
      <c r="AQ716" s="323">
        <f t="shared" si="283"/>
        <v>0.24808494439991666</v>
      </c>
      <c r="AR716" s="323">
        <f>Modelling_new[[#This Row],[Target E_Grid MTD
MWh]]/Modelling_new[[#This Row],[MTD DC Capcity]]/(24*CG716)</f>
        <v>0.22294890030677186</v>
      </c>
      <c r="AS716" s="323">
        <f>Modelling_new[[#This Row],[Target E_Grid YTD
MWh]]/Modelling_new[[#This Row],[YTD DC Capcity]]/(24*CH716)</f>
        <v>0.19070097689950985</v>
      </c>
      <c r="AT716" s="5">
        <v>12.8</v>
      </c>
      <c r="AU716" s="9">
        <f>Modelling_new[[#This Row],[Comisined DC ]]/$AO$1</f>
        <v>1</v>
      </c>
      <c r="AV71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16" s="5">
        <f>AVERAGEIFS(Modelling_new[[Comisined DC ]],Modelling_new[Date],"&lt;="&amp;Modelling_new[[#This Row],[Date]],Modelling_new[[Comisined DC ]],"&gt;"&amp;0,Modelling_new[Finacial Year],Modelling_new[[#This Row],[Finacial Year]])</f>
        <v>12.800000000000079</v>
      </c>
      <c r="BD716" s="27">
        <f t="shared" si="264"/>
        <v>45715</v>
      </c>
      <c r="BE716" s="5">
        <f>MONTH(Modelling[[#This Row],[Date]])</f>
        <v>2</v>
      </c>
      <c r="BF716" s="25">
        <f>YEAR(BD716)+IF(MONTH(Modelling[[#This Row],[Date]])&gt;=4,1,0)</f>
        <v>2025</v>
      </c>
      <c r="BG716" s="3">
        <f t="shared" si="284"/>
        <v>2025</v>
      </c>
      <c r="BH716" s="3" t="s">
        <v>627</v>
      </c>
      <c r="BI716" s="3" t="s">
        <v>627</v>
      </c>
      <c r="BJ716" s="102">
        <f>DATE(Modelling_old[[#This Row],[Calendor Year]],Modelling_old[[#This Row],[Start Month]],1)</f>
        <v>45689</v>
      </c>
      <c r="BK716" s="5">
        <f t="shared" si="285"/>
        <v>28</v>
      </c>
      <c r="BL716" s="5">
        <f t="shared" si="286"/>
        <v>2</v>
      </c>
      <c r="BM716" s="4">
        <f>Modelling_old[[#This Row],[Target E_Grid daily
MWh]]+Modelling_new[[#This Row],[Target E_Grid daily
MWh]]</f>
        <v>122.33633074566892</v>
      </c>
      <c r="BN716" s="4">
        <f>Modelling_old[[#This Row],[Target E_Grid MTD
MWh]]+Modelling_new[[#This Row],[Target E_Grid MTD
MWh]]</f>
        <v>3303.0809301330601</v>
      </c>
      <c r="BO716" s="4">
        <f>Modelling_old[[#This Row],[Target E_Grid YTD
MWh]]+Modelling_new[[#This Row],[Target E_Grid YTD
MWh]]</f>
        <v>35013.105825904007</v>
      </c>
      <c r="BP716" s="4">
        <f>AVERAGE(Modelling_old[[#This Row],[Target POA Daily (KWh/m2)]],Modelling_new[[#This Row],[Target POA Daily (KWh/m2)]])</f>
        <v>6.8928571428571432</v>
      </c>
      <c r="BQ716" s="4">
        <f>SUM($BP$690:BP716)</f>
        <v>186.1071428571428</v>
      </c>
      <c r="BR716" s="4">
        <f>SUM($BP$384:BP716)</f>
        <v>1945.8071428571384</v>
      </c>
      <c r="BS716" s="323">
        <f>BM716/Modelling[[#This Row],[Comisined DC ]]/BP716</f>
        <v>0.73028856249211938</v>
      </c>
      <c r="BT716" s="337">
        <f>BN716/BQ716/Modelling[[#This Row],[Comisined DC ]]</f>
        <v>0.73028856249211938</v>
      </c>
      <c r="BU716" s="337">
        <f>BO716/BR716/Modelling[[#This Row],[Comisined DC ]]</f>
        <v>0.74040470389619228</v>
      </c>
      <c r="BV716" s="323">
        <f>BM716/(24*Modelling[[#This Row],[Comisined DC ]])</f>
        <v>0.20974061393002832</v>
      </c>
      <c r="BW716" s="323">
        <f>Modelling[[#This Row],[Target E_Grid MTD
MWh]]/Modelling[[#This Row],[MTD DC Capcity]]/(24*CG716)</f>
        <v>0.20974061393002838</v>
      </c>
      <c r="BX716" s="338">
        <f>Modelling[[#This Row],[Target E_Grid YTD
MWh]]/Modelling[[#This Row],[YTD DC Capcity]]/(24*CH716)</f>
        <v>0.18026586104182074</v>
      </c>
      <c r="BY716" s="4">
        <f>Modelling_old[[#This Row],[DC Capcity]]+Modelling_new[[#This Row],[Comisined DC ]]</f>
        <v>24.303100000000001</v>
      </c>
      <c r="BZ716" s="4">
        <v>0</v>
      </c>
      <c r="CA716">
        <f>AVERAGEIFS(Modelling[[Comisined DC ]],Modelling[Date],"&lt;="&amp;Modelling[[#This Row],[Date]],Modelling[Month Year],Modelling[[#This Row],[Month Year]])</f>
        <v>24.303099999999986</v>
      </c>
      <c r="CB716">
        <f>AVERAGEIFS(Modelling[[Comisined DC ]],Modelling[Date],"&lt;="&amp;Modelling[[#This Row],[Date]],Modelling[Finacial Year],Modelling[[#This Row],[Finacial Year]])</f>
        <v>24.303100000000072</v>
      </c>
      <c r="CG716">
        <f t="shared" si="266"/>
        <v>27</v>
      </c>
      <c r="CH716">
        <f t="shared" si="287"/>
        <v>333</v>
      </c>
    </row>
    <row r="717" spans="1:86" x14ac:dyDescent="0.35">
      <c r="A717" s="27">
        <f t="shared" si="267"/>
        <v>45716</v>
      </c>
      <c r="B717" s="5">
        <f>MONTH(Modelling_old[[#This Row],[Date]])</f>
        <v>2</v>
      </c>
      <c r="C717" s="25">
        <v>2025</v>
      </c>
      <c r="D717" s="3">
        <f t="shared" si="288"/>
        <v>2025</v>
      </c>
      <c r="E717" s="3" t="s">
        <v>627</v>
      </c>
      <c r="F717" s="3" t="s">
        <v>627</v>
      </c>
      <c r="G717" s="102">
        <f>DATE(Modelling_old[[#This Row],[Calendor Year]],Modelling_old[[#This Row],[Start Month]],1)</f>
        <v>45689</v>
      </c>
      <c r="H717" s="5">
        <f t="shared" si="289"/>
        <v>28</v>
      </c>
      <c r="I717" s="5">
        <f t="shared" si="290"/>
        <v>2</v>
      </c>
      <c r="J717" s="4">
        <f>_xlfn.XLOOKUP(Modelling_old[[#This Row],[Month]],$C$1:$C$14,$N$1:$N$14)/Modelling_old[[#This Row],[Total Days]]</f>
        <v>53.846428571428575</v>
      </c>
      <c r="K717" s="4">
        <f>SUM($J$690:J717)</f>
        <v>1507.6999999999994</v>
      </c>
      <c r="L717" s="4">
        <f>SUM($J$384:J717)</f>
        <v>15558.700000000017</v>
      </c>
      <c r="M717" s="4">
        <f t="shared" si="291"/>
        <v>6.8928571428571432</v>
      </c>
      <c r="N717" s="4">
        <f>SUM($M$690:M717)</f>
        <v>192.99999999999994</v>
      </c>
      <c r="O717" s="4">
        <f>SUM($M$384:M717)</f>
        <v>1952.6999999999955</v>
      </c>
      <c r="P717" s="323">
        <f t="shared" si="292"/>
        <v>0.67911407346242281</v>
      </c>
      <c r="Q717" s="337">
        <f t="shared" si="293"/>
        <v>0.6791140734624227</v>
      </c>
      <c r="R717" s="337">
        <f t="shared" si="294"/>
        <v>0.69266442878096557</v>
      </c>
      <c r="S717" s="323">
        <f t="shared" si="295"/>
        <v>0.19504317883667802</v>
      </c>
      <c r="T717" s="9">
        <f>Modelling_old[[#This Row],[Target E_Grid MTD
MWh]]/Modelling_old[[#This Row],[DC Capcity]]/(24*CG717)</f>
        <v>0.19504317883667791</v>
      </c>
      <c r="U717" s="338">
        <f>Modelling_old[[#This Row],[Target E_Grid YTD
MWh]]/Modelling_old[[#This Row],[DC Capcity]]/(24*CH717)</f>
        <v>0.16873326223560237</v>
      </c>
      <c r="V717" s="134">
        <v>11.5031</v>
      </c>
      <c r="Y717" s="27">
        <f t="shared" si="263"/>
        <v>45716</v>
      </c>
      <c r="Z717" s="5">
        <f>MONTH(Modelling_new[[#This Row],[Date]])</f>
        <v>2</v>
      </c>
      <c r="AA717" s="25">
        <f>YEAR(Y717)+IF(MONTH(Modelling_new[[#This Row],[Date]])&gt;=4,1,0)</f>
        <v>2025</v>
      </c>
      <c r="AB717" s="3">
        <f t="shared" si="276"/>
        <v>2025</v>
      </c>
      <c r="AC717" s="3" t="s">
        <v>627</v>
      </c>
      <c r="AD717" s="3" t="s">
        <v>627</v>
      </c>
      <c r="AE717" s="102">
        <f>DATE(Modelling_old[[#This Row],[Calendor Year]],Modelling_old[[#This Row],[Start Month]],1)</f>
        <v>45689</v>
      </c>
      <c r="AF717" s="5">
        <f t="shared" si="277"/>
        <v>28</v>
      </c>
      <c r="AG717" s="5">
        <f t="shared" si="278"/>
        <v>2</v>
      </c>
      <c r="AH717" s="4">
        <f>_xlfn.XLOOKUP(Modelling_new[[#This Row],[Month]],$AA$1:$AA$14,$AL$1:$AL$14)/Modelling_new[[#This Row],[Total Days]]</f>
        <v>68.489902174240342</v>
      </c>
      <c r="AI717" s="4">
        <f>SUM($AH$690:AH717)</f>
        <v>1917.7172608787296</v>
      </c>
      <c r="AJ717" s="4">
        <f>SUM($AH$384:AH717)</f>
        <v>19576.742156649656</v>
      </c>
      <c r="AK717" s="4">
        <f t="shared" si="279"/>
        <v>6.8928571428571432</v>
      </c>
      <c r="AL717" s="4">
        <f>SUM($AK$690:AK717)</f>
        <v>192.99999999999994</v>
      </c>
      <c r="AM717" s="4">
        <f>SUM($AK$384:AK717)</f>
        <v>1952.6999999999955</v>
      </c>
      <c r="AN717" s="323">
        <f t="shared" si="280"/>
        <v>0.86379835563079765</v>
      </c>
      <c r="AO717" s="323">
        <f t="shared" si="281"/>
        <v>0.86379835563079799</v>
      </c>
      <c r="AP717" s="323">
        <f t="shared" si="282"/>
        <v>0.87154536840018559</v>
      </c>
      <c r="AQ717" s="323">
        <f t="shared" si="283"/>
        <v>0.24808494439991666</v>
      </c>
      <c r="AR717" s="323">
        <f>Modelling_new[[#This Row],[Target E_Grid MTD
MWh]]/Modelling_new[[#This Row],[MTD DC Capcity]]/(24*CG717)</f>
        <v>0.22294890030677186</v>
      </c>
      <c r="AS717" s="323">
        <f>Modelling_new[[#This Row],[Target E_Grid YTD
MWh]]/Modelling_new[[#This Row],[YTD DC Capcity]]/(24*CH717)</f>
        <v>0.19079752756839383</v>
      </c>
      <c r="AT717" s="5">
        <v>12.8</v>
      </c>
      <c r="AU717" s="9">
        <f>Modelling_new[[#This Row],[Comisined DC ]]/$AO$1</f>
        <v>1</v>
      </c>
      <c r="AV717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717" s="5">
        <f>AVERAGEIFS(Modelling_new[[Comisined DC ]],Modelling_new[Date],"&lt;="&amp;Modelling_new[[#This Row],[Date]],Modelling_new[[Comisined DC ]],"&gt;"&amp;0,Modelling_new[Finacial Year],Modelling_new[[#This Row],[Finacial Year]])</f>
        <v>12.800000000000079</v>
      </c>
      <c r="BD717" s="27">
        <f t="shared" si="264"/>
        <v>45716</v>
      </c>
      <c r="BE717" s="5">
        <f>MONTH(Modelling[[#This Row],[Date]])</f>
        <v>2</v>
      </c>
      <c r="BF717" s="25">
        <f>YEAR(BD717)+IF(MONTH(Modelling[[#This Row],[Date]])&gt;=4,1,0)</f>
        <v>2025</v>
      </c>
      <c r="BG717" s="3">
        <f t="shared" si="284"/>
        <v>2025</v>
      </c>
      <c r="BH717" s="3" t="s">
        <v>627</v>
      </c>
      <c r="BI717" s="3" t="s">
        <v>627</v>
      </c>
      <c r="BJ717" s="102">
        <f>DATE(Modelling_old[[#This Row],[Calendor Year]],Modelling_old[[#This Row],[Start Month]],1)</f>
        <v>45689</v>
      </c>
      <c r="BK717" s="5">
        <f t="shared" si="285"/>
        <v>28</v>
      </c>
      <c r="BL717" s="5">
        <f t="shared" si="286"/>
        <v>2</v>
      </c>
      <c r="BM717" s="4">
        <f>Modelling_old[[#This Row],[Target E_Grid daily
MWh]]+Modelling_new[[#This Row],[Target E_Grid daily
MWh]]</f>
        <v>122.33633074566892</v>
      </c>
      <c r="BN717" s="4">
        <f>Modelling_old[[#This Row],[Target E_Grid MTD
MWh]]+Modelling_new[[#This Row],[Target E_Grid MTD
MWh]]</f>
        <v>3425.4172608787289</v>
      </c>
      <c r="BO717" s="4">
        <f>Modelling_old[[#This Row],[Target E_Grid YTD
MWh]]+Modelling_new[[#This Row],[Target E_Grid YTD
MWh]]</f>
        <v>35135.442156649675</v>
      </c>
      <c r="BP717" s="4">
        <f>AVERAGE(Modelling_old[[#This Row],[Target POA Daily (KWh/m2)]],Modelling_new[[#This Row],[Target POA Daily (KWh/m2)]])</f>
        <v>6.8928571428571432</v>
      </c>
      <c r="BQ717" s="4">
        <f>SUM($BP$690:BP717)</f>
        <v>192.99999999999994</v>
      </c>
      <c r="BR717" s="4">
        <f>SUM($BP$384:BP717)</f>
        <v>1952.6999999999955</v>
      </c>
      <c r="BS717" s="323">
        <f>BM717/Modelling[[#This Row],[Comisined DC ]]/BP717</f>
        <v>0.73028856249211938</v>
      </c>
      <c r="BT717" s="337">
        <f>BN717/BQ717/Modelling[[#This Row],[Comisined DC ]]</f>
        <v>0.73028856249211938</v>
      </c>
      <c r="BU717" s="337">
        <f>BO717/BR717/Modelling[[#This Row],[Comisined DC ]]</f>
        <v>0.7403689948177189</v>
      </c>
      <c r="BV717" s="323">
        <f>BM717/(24*Modelling[[#This Row],[Comisined DC ]])</f>
        <v>0.20974061393002832</v>
      </c>
      <c r="BW717" s="323">
        <f>Modelling[[#This Row],[Target E_Grid MTD
MWh]]/Modelling[[#This Row],[MTD DC Capcity]]/(24*CG717)</f>
        <v>0.20974061393002841</v>
      </c>
      <c r="BX717" s="338">
        <f>Modelling[[#This Row],[Target E_Grid YTD
MWh]]/Modelling[[#This Row],[YTD DC Capcity]]/(24*CH717)</f>
        <v>0.18035410880495906</v>
      </c>
      <c r="BY717" s="4">
        <f>Modelling_old[[#This Row],[DC Capcity]]+Modelling_new[[#This Row],[Comisined DC ]]</f>
        <v>24.303100000000001</v>
      </c>
      <c r="BZ717" s="4">
        <v>0</v>
      </c>
      <c r="CA717">
        <f>AVERAGEIFS(Modelling[[Comisined DC ]],Modelling[Date],"&lt;="&amp;Modelling[[#This Row],[Date]],Modelling[Month Year],Modelling[[#This Row],[Month Year]])</f>
        <v>24.303099999999983</v>
      </c>
      <c r="CB717">
        <f>AVERAGEIFS(Modelling[[Comisined DC ]],Modelling[Date],"&lt;="&amp;Modelling[[#This Row],[Date]],Modelling[Finacial Year],Modelling[[#This Row],[Finacial Year]])</f>
        <v>24.303100000000072</v>
      </c>
      <c r="CG717">
        <f t="shared" si="266"/>
        <v>28</v>
      </c>
      <c r="CH717">
        <f t="shared" si="287"/>
        <v>334</v>
      </c>
    </row>
    <row r="718" spans="1:86" x14ac:dyDescent="0.35">
      <c r="A718" s="27">
        <f t="shared" si="267"/>
        <v>45717</v>
      </c>
      <c r="B718" s="5">
        <f>MONTH(Modelling_old[[#This Row],[Date]])</f>
        <v>3</v>
      </c>
      <c r="C718" s="25">
        <v>2025</v>
      </c>
      <c r="D718" s="3">
        <f t="shared" si="288"/>
        <v>2025</v>
      </c>
      <c r="E718" s="3" t="s">
        <v>627</v>
      </c>
      <c r="F718" s="3" t="s">
        <v>627</v>
      </c>
      <c r="G718" s="102">
        <f>DATE(Modelling_old[[#This Row],[Calendor Year]],Modelling_old[[#This Row],[Start Month]],1)</f>
        <v>45717</v>
      </c>
      <c r="H718" s="5">
        <f t="shared" si="289"/>
        <v>31</v>
      </c>
      <c r="I718" s="5">
        <f t="shared" si="290"/>
        <v>3</v>
      </c>
      <c r="J718" s="4">
        <f>_xlfn.XLOOKUP(Modelling_old[[#This Row],[Month]],$C$1:$C$14,$N$1:$N$14)/Modelling_old[[#This Row],[Total Days]]</f>
        <v>53.203225806451613</v>
      </c>
      <c r="K718" s="4">
        <f>SUM($J$718:J718)</f>
        <v>53.203225806451613</v>
      </c>
      <c r="L718" s="4">
        <f>SUM($J$384:J718)</f>
        <v>15611.903225806469</v>
      </c>
      <c r="M718" s="4">
        <f t="shared" si="291"/>
        <v>6.9</v>
      </c>
      <c r="N718" s="4">
        <f>SUM($M$718:M718)</f>
        <v>6.9</v>
      </c>
      <c r="O718" s="4">
        <f>SUM($M$384:M718)</f>
        <v>1959.5999999999956</v>
      </c>
      <c r="P718" s="323">
        <f t="shared" si="292"/>
        <v>0.67030734634295319</v>
      </c>
      <c r="Q718" s="337">
        <f t="shared" si="293"/>
        <v>0.67030734634295319</v>
      </c>
      <c r="R718" s="337">
        <f t="shared" si="294"/>
        <v>0.69258570665970498</v>
      </c>
      <c r="S718" s="323">
        <f t="shared" si="295"/>
        <v>0.19271336207359907</v>
      </c>
      <c r="T718" s="9">
        <f>Modelling_old[[#This Row],[Target E_Grid MTD
MWh]]/Modelling_old[[#This Row],[DC Capcity]]/(24*CG718)</f>
        <v>0.19271336207359904</v>
      </c>
      <c r="U718" s="338">
        <f>Modelling_old[[#This Row],[Target E_Grid YTD
MWh]]/Modelling_old[[#This Row],[DC Capcity]]/(24*CH718)</f>
        <v>0.16880484462317846</v>
      </c>
      <c r="V718" s="134">
        <v>11.5031</v>
      </c>
      <c r="Y718" s="27">
        <f t="shared" si="263"/>
        <v>45717</v>
      </c>
      <c r="Z718" s="5">
        <f>MONTH(Modelling_new[[#This Row],[Date]])</f>
        <v>3</v>
      </c>
      <c r="AA718" s="25">
        <f>YEAR(Y718)+IF(MONTH(Modelling_new[[#This Row],[Date]])&gt;=4,1,0)</f>
        <v>2025</v>
      </c>
      <c r="AB718" s="3">
        <f t="shared" si="276"/>
        <v>2025</v>
      </c>
      <c r="AC718" s="3" t="s">
        <v>627</v>
      </c>
      <c r="AD718" s="3" t="s">
        <v>627</v>
      </c>
      <c r="AE718" s="102">
        <f>DATE(Modelling_old[[#This Row],[Calendor Year]],Modelling_old[[#This Row],[Start Month]],1)</f>
        <v>45717</v>
      </c>
      <c r="AF718" s="5">
        <f t="shared" si="277"/>
        <v>31</v>
      </c>
      <c r="AG718" s="5">
        <f t="shared" si="278"/>
        <v>3</v>
      </c>
      <c r="AH718" s="4">
        <f>_xlfn.XLOOKUP(Modelling_new[[#This Row],[Month]],$AA$1:$AA$14,$AL$1:$AL$14)/Modelling_new[[#This Row],[Total Days]]</f>
        <v>72.118700788389063</v>
      </c>
      <c r="AI718" s="4">
        <f>SUM($AH$718:AH718)</f>
        <v>72.118700788389063</v>
      </c>
      <c r="AJ718" s="4">
        <f>SUM($AH$384:AH718)</f>
        <v>19648.860857438045</v>
      </c>
      <c r="AK718" s="4">
        <f t="shared" si="279"/>
        <v>6.9</v>
      </c>
      <c r="AL718" s="4">
        <f>SUM($AK$718:AK718)</f>
        <v>6.9</v>
      </c>
      <c r="AM718" s="4">
        <f>SUM($AK$384:AK718)</f>
        <v>1959.5999999999956</v>
      </c>
      <c r="AN718" s="323">
        <f t="shared" si="280"/>
        <v>0.90862338165413326</v>
      </c>
      <c r="AO718" s="323">
        <f t="shared" si="281"/>
        <v>0.90862338165413326</v>
      </c>
      <c r="AP718" s="323">
        <f t="shared" si="282"/>
        <v>0.87167592478488254</v>
      </c>
      <c r="AQ718" s="323">
        <f t="shared" si="283"/>
        <v>0.26122922222556338</v>
      </c>
      <c r="AR718" s="323">
        <f>Modelling_new[[#This Row],[Target E_Grid MTD
MWh]]/Modelling_new[[#This Row],[MTD DC Capcity]]/(24*CG718)</f>
        <v>0.23476139579553731</v>
      </c>
      <c r="AS718" s="323">
        <f>Modelling_new[[#This Row],[Target E_Grid YTD
MWh]]/Modelling_new[[#This Row],[YTD DC Capcity]]/(24*CH718)</f>
        <v>0.19092876299593753</v>
      </c>
      <c r="AT718" s="5">
        <v>12.8</v>
      </c>
      <c r="AU718" s="9">
        <f>Modelling_new[[#This Row],[Comisined DC ]]/$AO$1</f>
        <v>1</v>
      </c>
      <c r="AV718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718" s="5">
        <f>AVERAGEIFS(Modelling_new[[Comisined DC ]],Modelling_new[Date],"&lt;="&amp;Modelling_new[[#This Row],[Date]],Modelling_new[[Comisined DC ]],"&gt;"&amp;0,Modelling_new[Finacial Year],Modelling_new[[#This Row],[Finacial Year]])</f>
        <v>12.800000000000079</v>
      </c>
      <c r="BD718" s="27">
        <f t="shared" si="264"/>
        <v>45717</v>
      </c>
      <c r="BE718" s="5">
        <f>MONTH(Modelling[[#This Row],[Date]])</f>
        <v>3</v>
      </c>
      <c r="BF718" s="25">
        <f>YEAR(BD718)+IF(MONTH(Modelling[[#This Row],[Date]])&gt;=4,1,0)</f>
        <v>2025</v>
      </c>
      <c r="BG718" s="3">
        <f t="shared" si="284"/>
        <v>2025</v>
      </c>
      <c r="BH718" s="3" t="s">
        <v>627</v>
      </c>
      <c r="BI718" s="3" t="s">
        <v>627</v>
      </c>
      <c r="BJ718" s="102">
        <f>DATE(Modelling_old[[#This Row],[Calendor Year]],Modelling_old[[#This Row],[Start Month]],1)</f>
        <v>45717</v>
      </c>
      <c r="BK718" s="5">
        <f t="shared" si="285"/>
        <v>31</v>
      </c>
      <c r="BL718" s="5">
        <f t="shared" si="286"/>
        <v>3</v>
      </c>
      <c r="BM718" s="4">
        <f>Modelling_old[[#This Row],[Target E_Grid daily
MWh]]+Modelling_new[[#This Row],[Target E_Grid daily
MWh]]</f>
        <v>125.32192659484068</v>
      </c>
      <c r="BN718" s="4">
        <f>Modelling_old[[#This Row],[Target E_Grid MTD
MWh]]+Modelling_new[[#This Row],[Target E_Grid MTD
MWh]]</f>
        <v>125.32192659484068</v>
      </c>
      <c r="BO718" s="4">
        <f>Modelling_old[[#This Row],[Target E_Grid YTD
MWh]]+Modelling_new[[#This Row],[Target E_Grid YTD
MWh]]</f>
        <v>35260.764083244518</v>
      </c>
      <c r="BP718" s="4">
        <f>AVERAGE(Modelling_old[[#This Row],[Target POA Daily (KWh/m2)]],Modelling_new[[#This Row],[Target POA Daily (KWh/m2)]])</f>
        <v>6.9</v>
      </c>
      <c r="BQ718" s="4">
        <f>SUM($BP$718:BP718)</f>
        <v>6.9</v>
      </c>
      <c r="BR718" s="4">
        <f>SUM($BP$384:BP718)</f>
        <v>1959.5999999999956</v>
      </c>
      <c r="BS718" s="323">
        <f>BM718/Modelling[[#This Row],[Comisined DC ]]/BP718</f>
        <v>0.74733667956858518</v>
      </c>
      <c r="BT718" s="337">
        <f>BN718/BQ718/Modelling[[#This Row],[Comisined DC ]]</f>
        <v>0.74733667956858529</v>
      </c>
      <c r="BU718" s="337">
        <f>BO718/BR718/Modelling[[#This Row],[Comisined DC ]]</f>
        <v>0.74039352891895427</v>
      </c>
      <c r="BV718" s="323">
        <f>BM718/(24*Modelling[[#This Row],[Comisined DC ]])</f>
        <v>0.21485929537596829</v>
      </c>
      <c r="BW718" s="323">
        <f>Modelling[[#This Row],[Target E_Grid MTD
MWh]]/Modelling[[#This Row],[MTD DC Capcity]]/(24*CG718)</f>
        <v>0.21485929537596826</v>
      </c>
      <c r="BX718" s="338">
        <f>Modelling[[#This Row],[Target E_Grid YTD
MWh]]/Modelling[[#This Row],[YTD DC Capcity]]/(24*CH718)</f>
        <v>0.18045710936188747</v>
      </c>
      <c r="BY718" s="4">
        <f>Modelling_old[[#This Row],[DC Capcity]]+Modelling_new[[#This Row],[Comisined DC ]]</f>
        <v>24.303100000000001</v>
      </c>
      <c r="BZ718" s="4">
        <v>0</v>
      </c>
      <c r="CA718">
        <f>AVERAGEIFS(Modelling[[Comisined DC ]],Modelling[Date],"&lt;="&amp;Modelling[[#This Row],[Date]],Modelling[Month Year],Modelling[[#This Row],[Month Year]])</f>
        <v>24.303100000000001</v>
      </c>
      <c r="CB718">
        <f>AVERAGEIFS(Modelling[[Comisined DC ]],Modelling[Date],"&lt;="&amp;Modelling[[#This Row],[Date]],Modelling[Finacial Year],Modelling[[#This Row],[Finacial Year]])</f>
        <v>24.303100000000072</v>
      </c>
      <c r="CG718">
        <v>1</v>
      </c>
      <c r="CH718">
        <f t="shared" si="287"/>
        <v>335</v>
      </c>
    </row>
    <row r="719" spans="1:86" x14ac:dyDescent="0.35">
      <c r="A719" s="27">
        <f t="shared" si="267"/>
        <v>45718</v>
      </c>
      <c r="B719" s="5">
        <f>MONTH(Modelling_old[[#This Row],[Date]])</f>
        <v>3</v>
      </c>
      <c r="C719" s="25">
        <v>2025</v>
      </c>
      <c r="D719" s="3">
        <f t="shared" si="288"/>
        <v>2025</v>
      </c>
      <c r="E719" s="3" t="s">
        <v>627</v>
      </c>
      <c r="F719" s="3" t="s">
        <v>627</v>
      </c>
      <c r="G719" s="102">
        <f>DATE(Modelling_old[[#This Row],[Calendor Year]],Modelling_old[[#This Row],[Start Month]],1)</f>
        <v>45717</v>
      </c>
      <c r="H719" s="5">
        <f t="shared" si="289"/>
        <v>31</v>
      </c>
      <c r="I719" s="5">
        <f t="shared" si="290"/>
        <v>3</v>
      </c>
      <c r="J719" s="4">
        <f>_xlfn.XLOOKUP(Modelling_old[[#This Row],[Month]],$C$1:$C$14,$N$1:$N$14)/Modelling_old[[#This Row],[Total Days]]</f>
        <v>53.203225806451613</v>
      </c>
      <c r="K719" s="4">
        <f>SUM($J$718:J719)</f>
        <v>106.40645161290323</v>
      </c>
      <c r="L719" s="4">
        <f>SUM($J$384:J719)</f>
        <v>15665.106451612921</v>
      </c>
      <c r="M719" s="4">
        <f t="shared" si="291"/>
        <v>6.9</v>
      </c>
      <c r="N719" s="4">
        <f>SUM($M$718:M719)</f>
        <v>13.8</v>
      </c>
      <c r="O719" s="4">
        <f>SUM($M$384:M719)</f>
        <v>1966.4999999999957</v>
      </c>
      <c r="P719" s="323">
        <f t="shared" si="292"/>
        <v>0.67030734634295319</v>
      </c>
      <c r="Q719" s="337">
        <f t="shared" si="293"/>
        <v>0.67030734634295319</v>
      </c>
      <c r="R719" s="337">
        <f t="shared" si="294"/>
        <v>0.69250753697438305</v>
      </c>
      <c r="S719" s="323">
        <f t="shared" si="295"/>
        <v>0.19271336207359907</v>
      </c>
      <c r="T719" s="9">
        <f>Modelling_old[[#This Row],[Target E_Grid MTD
MWh]]/Modelling_old[[#This Row],[DC Capcity]]/(24*CG719)</f>
        <v>0.19271336207359904</v>
      </c>
      <c r="U719" s="338">
        <f>Modelling_old[[#This Row],[Target E_Grid YTD
MWh]]/Modelling_old[[#This Row],[DC Capcity]]/(24*CH719)</f>
        <v>0.16887600092511426</v>
      </c>
      <c r="V719" s="134">
        <v>11.5031</v>
      </c>
      <c r="Y719" s="27">
        <f t="shared" si="263"/>
        <v>45718</v>
      </c>
      <c r="Z719" s="5">
        <f>MONTH(Modelling_new[[#This Row],[Date]])</f>
        <v>3</v>
      </c>
      <c r="AA719" s="25">
        <f>YEAR(Y719)+IF(MONTH(Modelling_new[[#This Row],[Date]])&gt;=4,1,0)</f>
        <v>2025</v>
      </c>
      <c r="AB719" s="3">
        <f t="shared" si="276"/>
        <v>2025</v>
      </c>
      <c r="AC719" s="3" t="s">
        <v>627</v>
      </c>
      <c r="AD719" s="3" t="s">
        <v>627</v>
      </c>
      <c r="AE719" s="102">
        <f>DATE(Modelling_old[[#This Row],[Calendor Year]],Modelling_old[[#This Row],[Start Month]],1)</f>
        <v>45717</v>
      </c>
      <c r="AF719" s="5">
        <f t="shared" si="277"/>
        <v>31</v>
      </c>
      <c r="AG719" s="5">
        <f t="shared" si="278"/>
        <v>3</v>
      </c>
      <c r="AH719" s="4">
        <f>_xlfn.XLOOKUP(Modelling_new[[#This Row],[Month]],$AA$1:$AA$14,$AL$1:$AL$14)/Modelling_new[[#This Row],[Total Days]]</f>
        <v>72.118700788389063</v>
      </c>
      <c r="AI719" s="4">
        <f>SUM($AH$718:AH719)</f>
        <v>144.23740157677813</v>
      </c>
      <c r="AJ719" s="4">
        <f>SUM($AH$384:AH719)</f>
        <v>19720.979558226434</v>
      </c>
      <c r="AK719" s="4">
        <f t="shared" si="279"/>
        <v>6.9</v>
      </c>
      <c r="AL719" s="4">
        <f>SUM($AK$718:AK719)</f>
        <v>13.8</v>
      </c>
      <c r="AM719" s="4">
        <f>SUM($AK$384:AK719)</f>
        <v>1966.4999999999957</v>
      </c>
      <c r="AN719" s="323">
        <f t="shared" si="280"/>
        <v>0.90862338165413326</v>
      </c>
      <c r="AO719" s="323">
        <f t="shared" si="281"/>
        <v>0.90862338165413326</v>
      </c>
      <c r="AP719" s="323">
        <f t="shared" si="282"/>
        <v>0.87180556498442385</v>
      </c>
      <c r="AQ719" s="323">
        <f t="shared" si="283"/>
        <v>0.26122922222556338</v>
      </c>
      <c r="AR719" s="323">
        <f>Modelling_new[[#This Row],[Target E_Grid MTD
MWh]]/Modelling_new[[#This Row],[MTD DC Capcity]]/(24*CG719)</f>
        <v>0.23476139579553731</v>
      </c>
      <c r="AS719" s="323">
        <f>Modelling_new[[#This Row],[Target E_Grid YTD
MWh]]/Modelling_new[[#This Row],[YTD DC Capcity]]/(24*CH719)</f>
        <v>0.19105921726022204</v>
      </c>
      <c r="AT719" s="5">
        <v>12.8</v>
      </c>
      <c r="AU719" s="9">
        <f>Modelling_new[[#This Row],[Comisined DC ]]/$AO$1</f>
        <v>1</v>
      </c>
      <c r="AV719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719" s="5">
        <f>AVERAGEIFS(Modelling_new[[Comisined DC ]],Modelling_new[Date],"&lt;="&amp;Modelling_new[[#This Row],[Date]],Modelling_new[[Comisined DC ]],"&gt;"&amp;0,Modelling_new[Finacial Year],Modelling_new[[#This Row],[Finacial Year]])</f>
        <v>12.800000000000079</v>
      </c>
      <c r="BD719" s="27">
        <f t="shared" si="264"/>
        <v>45718</v>
      </c>
      <c r="BE719" s="5">
        <f>MONTH(Modelling[[#This Row],[Date]])</f>
        <v>3</v>
      </c>
      <c r="BF719" s="25">
        <f>YEAR(BD719)+IF(MONTH(Modelling[[#This Row],[Date]])&gt;=4,1,0)</f>
        <v>2025</v>
      </c>
      <c r="BG719" s="3">
        <f t="shared" si="284"/>
        <v>2025</v>
      </c>
      <c r="BH719" s="3" t="s">
        <v>627</v>
      </c>
      <c r="BI719" s="3" t="s">
        <v>627</v>
      </c>
      <c r="BJ719" s="102">
        <f>DATE(Modelling_old[[#This Row],[Calendor Year]],Modelling_old[[#This Row],[Start Month]],1)</f>
        <v>45717</v>
      </c>
      <c r="BK719" s="5">
        <f t="shared" si="285"/>
        <v>31</v>
      </c>
      <c r="BL719" s="5">
        <f t="shared" si="286"/>
        <v>3</v>
      </c>
      <c r="BM719" s="4">
        <f>Modelling_old[[#This Row],[Target E_Grid daily
MWh]]+Modelling_new[[#This Row],[Target E_Grid daily
MWh]]</f>
        <v>125.32192659484068</v>
      </c>
      <c r="BN719" s="4">
        <f>Modelling_old[[#This Row],[Target E_Grid MTD
MWh]]+Modelling_new[[#This Row],[Target E_Grid MTD
MWh]]</f>
        <v>250.64385318968135</v>
      </c>
      <c r="BO719" s="4">
        <f>Modelling_old[[#This Row],[Target E_Grid YTD
MWh]]+Modelling_new[[#This Row],[Target E_Grid YTD
MWh]]</f>
        <v>35386.086009839353</v>
      </c>
      <c r="BP719" s="4">
        <f>AVERAGE(Modelling_old[[#This Row],[Target POA Daily (KWh/m2)]],Modelling_new[[#This Row],[Target POA Daily (KWh/m2)]])</f>
        <v>6.9</v>
      </c>
      <c r="BQ719" s="4">
        <f>SUM($BP$718:BP719)</f>
        <v>13.8</v>
      </c>
      <c r="BR719" s="4">
        <f>SUM($BP$384:BP719)</f>
        <v>1966.4999999999957</v>
      </c>
      <c r="BS719" s="323">
        <f>BM719/Modelling[[#This Row],[Comisined DC ]]/BP719</f>
        <v>0.74733667956858518</v>
      </c>
      <c r="BT719" s="337">
        <f>BN719/BQ719/Modelling[[#This Row],[Comisined DC ]]</f>
        <v>0.74733667956858529</v>
      </c>
      <c r="BU719" s="337">
        <f>BO719/BR719/Modelling[[#This Row],[Comisined DC ]]</f>
        <v>0.74041789085105814</v>
      </c>
      <c r="BV719" s="323">
        <f>BM719/(24*Modelling[[#This Row],[Comisined DC ]])</f>
        <v>0.21485929537596829</v>
      </c>
      <c r="BW719" s="323">
        <f>Modelling[[#This Row],[Target E_Grid MTD
MWh]]/Modelling[[#This Row],[MTD DC Capcity]]/(24*CG719)</f>
        <v>0.21485929537596826</v>
      </c>
      <c r="BX719" s="338">
        <f>Modelling[[#This Row],[Target E_Grid YTD
MWh]]/Modelling[[#This Row],[YTD DC Capcity]]/(24*CH719)</f>
        <v>0.18055949682026268</v>
      </c>
      <c r="BY719" s="4">
        <f>Modelling_old[[#This Row],[DC Capcity]]+Modelling_new[[#This Row],[Comisined DC ]]</f>
        <v>24.303100000000001</v>
      </c>
      <c r="BZ719" s="4">
        <v>0</v>
      </c>
      <c r="CA719">
        <f>AVERAGEIFS(Modelling[[Comisined DC ]],Modelling[Date],"&lt;="&amp;Modelling[[#This Row],[Date]],Modelling[Month Year],Modelling[[#This Row],[Month Year]])</f>
        <v>24.303100000000001</v>
      </c>
      <c r="CB719">
        <f>AVERAGEIFS(Modelling[[Comisined DC ]],Modelling[Date],"&lt;="&amp;Modelling[[#This Row],[Date]],Modelling[Finacial Year],Modelling[[#This Row],[Finacial Year]])</f>
        <v>24.303100000000072</v>
      </c>
      <c r="CG719">
        <f t="shared" si="266"/>
        <v>2</v>
      </c>
      <c r="CH719">
        <f t="shared" si="287"/>
        <v>336</v>
      </c>
    </row>
    <row r="720" spans="1:86" x14ac:dyDescent="0.35">
      <c r="A720" s="27">
        <f t="shared" si="267"/>
        <v>45719</v>
      </c>
      <c r="B720" s="5">
        <f>MONTH(Modelling_old[[#This Row],[Date]])</f>
        <v>3</v>
      </c>
      <c r="C720" s="25">
        <v>2025</v>
      </c>
      <c r="D720" s="3">
        <f t="shared" si="288"/>
        <v>2025</v>
      </c>
      <c r="E720" s="3" t="s">
        <v>627</v>
      </c>
      <c r="F720" s="3" t="s">
        <v>627</v>
      </c>
      <c r="G720" s="102">
        <f>DATE(Modelling_old[[#This Row],[Calendor Year]],Modelling_old[[#This Row],[Start Month]],1)</f>
        <v>45717</v>
      </c>
      <c r="H720" s="5">
        <f t="shared" si="289"/>
        <v>31</v>
      </c>
      <c r="I720" s="5">
        <f t="shared" si="290"/>
        <v>3</v>
      </c>
      <c r="J720" s="4">
        <f>_xlfn.XLOOKUP(Modelling_old[[#This Row],[Month]],$C$1:$C$14,$N$1:$N$14)/Modelling_old[[#This Row],[Total Days]]</f>
        <v>53.203225806451613</v>
      </c>
      <c r="K720" s="4">
        <f>SUM($J$718:J720)</f>
        <v>159.60967741935485</v>
      </c>
      <c r="L720" s="4">
        <f>SUM($J$384:J720)</f>
        <v>15718.309677419373</v>
      </c>
      <c r="M720" s="4">
        <f t="shared" si="291"/>
        <v>6.9</v>
      </c>
      <c r="N720" s="4">
        <f>SUM($M$718:M720)</f>
        <v>20.700000000000003</v>
      </c>
      <c r="O720" s="4">
        <f>SUM($M$384:M720)</f>
        <v>1973.3999999999958</v>
      </c>
      <c r="P720" s="323">
        <f t="shared" si="292"/>
        <v>0.67030734634295319</v>
      </c>
      <c r="Q720" s="337">
        <f t="shared" si="293"/>
        <v>0.67030734634295319</v>
      </c>
      <c r="R720" s="337">
        <f t="shared" si="294"/>
        <v>0.69242991393021713</v>
      </c>
      <c r="S720" s="323">
        <f t="shared" si="295"/>
        <v>0.19271336207359907</v>
      </c>
      <c r="T720" s="9">
        <f>Modelling_old[[#This Row],[Target E_Grid MTD
MWh]]/Modelling_old[[#This Row],[DC Capcity]]/(24*CG720)</f>
        <v>0.19271336207359907</v>
      </c>
      <c r="U720" s="338">
        <f>Modelling_old[[#This Row],[Target E_Grid YTD
MWh]]/Modelling_old[[#This Row],[DC Capcity]]/(24*CH720)</f>
        <v>0.16894673493445694</v>
      </c>
      <c r="V720" s="134">
        <v>11.5031</v>
      </c>
      <c r="Y720" s="27">
        <f t="shared" si="263"/>
        <v>45719</v>
      </c>
      <c r="Z720" s="5">
        <f>MONTH(Modelling_new[[#This Row],[Date]])</f>
        <v>3</v>
      </c>
      <c r="AA720" s="25">
        <f>YEAR(Y720)+IF(MONTH(Modelling_new[[#This Row],[Date]])&gt;=4,1,0)</f>
        <v>2025</v>
      </c>
      <c r="AB720" s="3">
        <f t="shared" si="276"/>
        <v>2025</v>
      </c>
      <c r="AC720" s="3" t="s">
        <v>627</v>
      </c>
      <c r="AD720" s="3" t="s">
        <v>627</v>
      </c>
      <c r="AE720" s="102">
        <f>DATE(Modelling_old[[#This Row],[Calendor Year]],Modelling_old[[#This Row],[Start Month]],1)</f>
        <v>45717</v>
      </c>
      <c r="AF720" s="5">
        <f t="shared" si="277"/>
        <v>31</v>
      </c>
      <c r="AG720" s="5">
        <f t="shared" si="278"/>
        <v>3</v>
      </c>
      <c r="AH720" s="4">
        <f>_xlfn.XLOOKUP(Modelling_new[[#This Row],[Month]],$AA$1:$AA$14,$AL$1:$AL$14)/Modelling_new[[#This Row],[Total Days]]</f>
        <v>72.118700788389063</v>
      </c>
      <c r="AI720" s="4">
        <f>SUM($AH$718:AH720)</f>
        <v>216.3561023651672</v>
      </c>
      <c r="AJ720" s="4">
        <f>SUM($AH$384:AH720)</f>
        <v>19793.098259014823</v>
      </c>
      <c r="AK720" s="4">
        <f t="shared" si="279"/>
        <v>6.9</v>
      </c>
      <c r="AL720" s="4">
        <f>SUM($AK$718:AK720)</f>
        <v>20.700000000000003</v>
      </c>
      <c r="AM720" s="4">
        <f>SUM($AK$384:AK720)</f>
        <v>1973.3999999999958</v>
      </c>
      <c r="AN720" s="323">
        <f t="shared" si="280"/>
        <v>0.90862338165413326</v>
      </c>
      <c r="AO720" s="323">
        <f t="shared" si="281"/>
        <v>0.90862338165413326</v>
      </c>
      <c r="AP720" s="323">
        <f t="shared" si="282"/>
        <v>0.87193429860914295</v>
      </c>
      <c r="AQ720" s="323">
        <f t="shared" si="283"/>
        <v>0.26122922222556338</v>
      </c>
      <c r="AR720" s="323">
        <f>Modelling_new[[#This Row],[Target E_Grid MTD
MWh]]/Modelling_new[[#This Row],[MTD DC Capcity]]/(24*CG720)</f>
        <v>0.23476139579553731</v>
      </c>
      <c r="AS720" s="323">
        <f>Modelling_new[[#This Row],[Target E_Grid YTD
MWh]]/Modelling_new[[#This Row],[YTD DC Capcity]]/(24*CH720)</f>
        <v>0.19118889731522298</v>
      </c>
      <c r="AT720" s="5">
        <v>12.8</v>
      </c>
      <c r="AU720" s="9">
        <f>Modelling_new[[#This Row],[Comisined DC ]]/$AO$1</f>
        <v>1</v>
      </c>
      <c r="AV720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720" s="5">
        <f>AVERAGEIFS(Modelling_new[[Comisined DC ]],Modelling_new[Date],"&lt;="&amp;Modelling_new[[#This Row],[Date]],Modelling_new[[Comisined DC ]],"&gt;"&amp;0,Modelling_new[Finacial Year],Modelling_new[[#This Row],[Finacial Year]])</f>
        <v>12.800000000000079</v>
      </c>
      <c r="BD720" s="27">
        <f t="shared" si="264"/>
        <v>45719</v>
      </c>
      <c r="BE720" s="5">
        <f>MONTH(Modelling[[#This Row],[Date]])</f>
        <v>3</v>
      </c>
      <c r="BF720" s="25">
        <f>YEAR(BD720)+IF(MONTH(Modelling[[#This Row],[Date]])&gt;=4,1,0)</f>
        <v>2025</v>
      </c>
      <c r="BG720" s="3">
        <f t="shared" si="284"/>
        <v>2025</v>
      </c>
      <c r="BH720" s="3" t="s">
        <v>627</v>
      </c>
      <c r="BI720" s="3" t="s">
        <v>627</v>
      </c>
      <c r="BJ720" s="102">
        <f>DATE(Modelling_old[[#This Row],[Calendor Year]],Modelling_old[[#This Row],[Start Month]],1)</f>
        <v>45717</v>
      </c>
      <c r="BK720" s="5">
        <f t="shared" si="285"/>
        <v>31</v>
      </c>
      <c r="BL720" s="5">
        <f t="shared" si="286"/>
        <v>3</v>
      </c>
      <c r="BM720" s="4">
        <f>Modelling_old[[#This Row],[Target E_Grid daily
MWh]]+Modelling_new[[#This Row],[Target E_Grid daily
MWh]]</f>
        <v>125.32192659484068</v>
      </c>
      <c r="BN720" s="4">
        <f>Modelling_old[[#This Row],[Target E_Grid MTD
MWh]]+Modelling_new[[#This Row],[Target E_Grid MTD
MWh]]</f>
        <v>375.96577978452206</v>
      </c>
      <c r="BO720" s="4">
        <f>Modelling_old[[#This Row],[Target E_Grid YTD
MWh]]+Modelling_new[[#This Row],[Target E_Grid YTD
MWh]]</f>
        <v>35511.407936434196</v>
      </c>
      <c r="BP720" s="4">
        <f>AVERAGE(Modelling_old[[#This Row],[Target POA Daily (KWh/m2)]],Modelling_new[[#This Row],[Target POA Daily (KWh/m2)]])</f>
        <v>6.9</v>
      </c>
      <c r="BQ720" s="4">
        <f>SUM($BP$718:BP720)</f>
        <v>20.700000000000003</v>
      </c>
      <c r="BR720" s="4">
        <f>SUM($BP$384:BP720)</f>
        <v>1973.3999999999958</v>
      </c>
      <c r="BS720" s="323">
        <f>BM720/Modelling[[#This Row],[Comisined DC ]]/BP720</f>
        <v>0.74733667956858518</v>
      </c>
      <c r="BT720" s="337">
        <f>BN720/BQ720/Modelling[[#This Row],[Comisined DC ]]</f>
        <v>0.74733667956858529</v>
      </c>
      <c r="BU720" s="337">
        <f>BO720/BR720/Modelling[[#This Row],[Comisined DC ]]</f>
        <v>0.74044208242000042</v>
      </c>
      <c r="BV720" s="323">
        <f>BM720/(24*Modelling[[#This Row],[Comisined DC ]])</f>
        <v>0.21485929537596829</v>
      </c>
      <c r="BW720" s="323">
        <f>Modelling[[#This Row],[Target E_Grid MTD
MWh]]/Modelling[[#This Row],[MTD DC Capcity]]/(24*CG720)</f>
        <v>0.21485929537596829</v>
      </c>
      <c r="BX720" s="338">
        <f>Modelling[[#This Row],[Target E_Grid YTD
MWh]]/Modelling[[#This Row],[YTD DC Capcity]]/(24*CH720)</f>
        <v>0.18066127663793541</v>
      </c>
      <c r="BY720" s="4">
        <f>Modelling_old[[#This Row],[DC Capcity]]+Modelling_new[[#This Row],[Comisined DC ]]</f>
        <v>24.303100000000001</v>
      </c>
      <c r="BZ720" s="4">
        <v>0</v>
      </c>
      <c r="CA720">
        <f>AVERAGEIFS(Modelling[[Comisined DC ]],Modelling[Date],"&lt;="&amp;Modelling[[#This Row],[Date]],Modelling[Month Year],Modelling[[#This Row],[Month Year]])</f>
        <v>24.303100000000001</v>
      </c>
      <c r="CB720">
        <f>AVERAGEIFS(Modelling[[Comisined DC ]],Modelling[Date],"&lt;="&amp;Modelling[[#This Row],[Date]],Modelling[Finacial Year],Modelling[[#This Row],[Finacial Year]])</f>
        <v>24.303100000000072</v>
      </c>
      <c r="CG720">
        <f t="shared" si="266"/>
        <v>3</v>
      </c>
      <c r="CH720">
        <f t="shared" si="287"/>
        <v>337</v>
      </c>
    </row>
    <row r="721" spans="1:86" x14ac:dyDescent="0.35">
      <c r="A721" s="27">
        <f t="shared" si="267"/>
        <v>45720</v>
      </c>
      <c r="B721" s="5">
        <f>MONTH(Modelling_old[[#This Row],[Date]])</f>
        <v>3</v>
      </c>
      <c r="C721" s="25">
        <v>2025</v>
      </c>
      <c r="D721" s="3">
        <f t="shared" si="288"/>
        <v>2025</v>
      </c>
      <c r="E721" s="3" t="s">
        <v>627</v>
      </c>
      <c r="F721" s="3" t="s">
        <v>627</v>
      </c>
      <c r="G721" s="102">
        <f>DATE(Modelling_old[[#This Row],[Calendor Year]],Modelling_old[[#This Row],[Start Month]],1)</f>
        <v>45717</v>
      </c>
      <c r="H721" s="5">
        <f t="shared" si="289"/>
        <v>31</v>
      </c>
      <c r="I721" s="5">
        <f t="shared" si="290"/>
        <v>3</v>
      </c>
      <c r="J721" s="4">
        <f>_xlfn.XLOOKUP(Modelling_old[[#This Row],[Month]],$C$1:$C$14,$N$1:$N$14)/Modelling_old[[#This Row],[Total Days]]</f>
        <v>53.203225806451613</v>
      </c>
      <c r="K721" s="4">
        <f>SUM($J$718:J721)</f>
        <v>212.81290322580645</v>
      </c>
      <c r="L721" s="4">
        <f>SUM($J$384:J721)</f>
        <v>15771.512903225825</v>
      </c>
      <c r="M721" s="4">
        <f t="shared" si="291"/>
        <v>6.9</v>
      </c>
      <c r="N721" s="4">
        <f>SUM($M$718:M721)</f>
        <v>27.6</v>
      </c>
      <c r="O721" s="4">
        <f>SUM($M$384:M721)</f>
        <v>1980.2999999999959</v>
      </c>
      <c r="P721" s="323">
        <f t="shared" si="292"/>
        <v>0.67030734634295319</v>
      </c>
      <c r="Q721" s="337">
        <f t="shared" si="293"/>
        <v>0.67030734634295319</v>
      </c>
      <c r="R721" s="337">
        <f t="shared" si="294"/>
        <v>0.69235283181318841</v>
      </c>
      <c r="S721" s="323">
        <f t="shared" si="295"/>
        <v>0.19271336207359907</v>
      </c>
      <c r="T721" s="9">
        <f>Modelling_old[[#This Row],[Target E_Grid MTD
MWh]]/Modelling_old[[#This Row],[DC Capcity]]/(24*CG721)</f>
        <v>0.19271336207359904</v>
      </c>
      <c r="U721" s="338">
        <f>Modelling_old[[#This Row],[Target E_Grid YTD
MWh]]/Modelling_old[[#This Row],[DC Capcity]]/(24*CH721)</f>
        <v>0.16901705039936565</v>
      </c>
      <c r="V721" s="134">
        <v>11.5031</v>
      </c>
      <c r="Y721" s="27">
        <f t="shared" si="263"/>
        <v>45720</v>
      </c>
      <c r="Z721" s="5">
        <f>MONTH(Modelling_new[[#This Row],[Date]])</f>
        <v>3</v>
      </c>
      <c r="AA721" s="25">
        <f>YEAR(Y721)+IF(MONTH(Modelling_new[[#This Row],[Date]])&gt;=4,1,0)</f>
        <v>2025</v>
      </c>
      <c r="AB721" s="3">
        <f t="shared" si="276"/>
        <v>2025</v>
      </c>
      <c r="AC721" s="3" t="s">
        <v>627</v>
      </c>
      <c r="AD721" s="3" t="s">
        <v>627</v>
      </c>
      <c r="AE721" s="102">
        <f>DATE(Modelling_old[[#This Row],[Calendor Year]],Modelling_old[[#This Row],[Start Month]],1)</f>
        <v>45717</v>
      </c>
      <c r="AF721" s="5">
        <f t="shared" si="277"/>
        <v>31</v>
      </c>
      <c r="AG721" s="5">
        <f t="shared" si="278"/>
        <v>3</v>
      </c>
      <c r="AH721" s="4">
        <f>_xlfn.XLOOKUP(Modelling_new[[#This Row],[Month]],$AA$1:$AA$14,$AL$1:$AL$14)/Modelling_new[[#This Row],[Total Days]]</f>
        <v>72.118700788389063</v>
      </c>
      <c r="AI721" s="4">
        <f>SUM($AH$718:AH721)</f>
        <v>288.47480315355625</v>
      </c>
      <c r="AJ721" s="4">
        <f>SUM($AH$384:AH721)</f>
        <v>19865.216959803212</v>
      </c>
      <c r="AK721" s="4">
        <f t="shared" si="279"/>
        <v>6.9</v>
      </c>
      <c r="AL721" s="4">
        <f>SUM($AK$718:AK721)</f>
        <v>27.6</v>
      </c>
      <c r="AM721" s="4">
        <f>SUM($AK$384:AK721)</f>
        <v>1980.2999999999959</v>
      </c>
      <c r="AN721" s="323">
        <f t="shared" si="280"/>
        <v>0.90862338165413326</v>
      </c>
      <c r="AO721" s="323">
        <f t="shared" si="281"/>
        <v>0.90862338165413326</v>
      </c>
      <c r="AP721" s="323">
        <f t="shared" si="282"/>
        <v>0.87206213513543218</v>
      </c>
      <c r="AQ721" s="323">
        <f t="shared" si="283"/>
        <v>0.26122922222556338</v>
      </c>
      <c r="AR721" s="323">
        <f>Modelling_new[[#This Row],[Target E_Grid MTD
MWh]]/Modelling_new[[#This Row],[MTD DC Capcity]]/(24*CG721)</f>
        <v>0.23476139579553731</v>
      </c>
      <c r="AS721" s="323">
        <f>Modelling_new[[#This Row],[Target E_Grid YTD
MWh]]/Modelling_new[[#This Row],[YTD DC Capcity]]/(24*CH721)</f>
        <v>0.19131781003262036</v>
      </c>
      <c r="AT721" s="5">
        <v>12.8</v>
      </c>
      <c r="AU721" s="9">
        <f>Modelling_new[[#This Row],[Comisined DC ]]/$AO$1</f>
        <v>1</v>
      </c>
      <c r="AV721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721" s="5">
        <f>AVERAGEIFS(Modelling_new[[Comisined DC ]],Modelling_new[Date],"&lt;="&amp;Modelling_new[[#This Row],[Date]],Modelling_new[[Comisined DC ]],"&gt;"&amp;0,Modelling_new[Finacial Year],Modelling_new[[#This Row],[Finacial Year]])</f>
        <v>12.800000000000079</v>
      </c>
      <c r="BD721" s="27">
        <f t="shared" si="264"/>
        <v>45720</v>
      </c>
      <c r="BE721" s="5">
        <f>MONTH(Modelling[[#This Row],[Date]])</f>
        <v>3</v>
      </c>
      <c r="BF721" s="25">
        <f>YEAR(BD721)+IF(MONTH(Modelling[[#This Row],[Date]])&gt;=4,1,0)</f>
        <v>2025</v>
      </c>
      <c r="BG721" s="3">
        <f t="shared" si="284"/>
        <v>2025</v>
      </c>
      <c r="BH721" s="3" t="s">
        <v>627</v>
      </c>
      <c r="BI721" s="3" t="s">
        <v>627</v>
      </c>
      <c r="BJ721" s="102">
        <f>DATE(Modelling_old[[#This Row],[Calendor Year]],Modelling_old[[#This Row],[Start Month]],1)</f>
        <v>45717</v>
      </c>
      <c r="BK721" s="5">
        <f t="shared" si="285"/>
        <v>31</v>
      </c>
      <c r="BL721" s="5">
        <f t="shared" si="286"/>
        <v>3</v>
      </c>
      <c r="BM721" s="4">
        <f>Modelling_old[[#This Row],[Target E_Grid daily
MWh]]+Modelling_new[[#This Row],[Target E_Grid daily
MWh]]</f>
        <v>125.32192659484068</v>
      </c>
      <c r="BN721" s="4">
        <f>Modelling_old[[#This Row],[Target E_Grid MTD
MWh]]+Modelling_new[[#This Row],[Target E_Grid MTD
MWh]]</f>
        <v>501.2877063793627</v>
      </c>
      <c r="BO721" s="4">
        <f>Modelling_old[[#This Row],[Target E_Grid YTD
MWh]]+Modelling_new[[#This Row],[Target E_Grid YTD
MWh]]</f>
        <v>35636.729863029039</v>
      </c>
      <c r="BP721" s="4">
        <f>AVERAGE(Modelling_old[[#This Row],[Target POA Daily (KWh/m2)]],Modelling_new[[#This Row],[Target POA Daily (KWh/m2)]])</f>
        <v>6.9</v>
      </c>
      <c r="BQ721" s="4">
        <f>SUM($BP$718:BP721)</f>
        <v>27.6</v>
      </c>
      <c r="BR721" s="4">
        <f>SUM($BP$384:BP721)</f>
        <v>1980.2999999999959</v>
      </c>
      <c r="BS721" s="323">
        <f>BM721/Modelling[[#This Row],[Comisined DC ]]/BP721</f>
        <v>0.74733667956858518</v>
      </c>
      <c r="BT721" s="337">
        <f>BN721/BQ721/Modelling[[#This Row],[Comisined DC ]]</f>
        <v>0.74733667956858529</v>
      </c>
      <c r="BU721" s="337">
        <f>BO721/BR721/Modelling[[#This Row],[Comisined DC ]]</f>
        <v>0.74046610540658087</v>
      </c>
      <c r="BV721" s="323">
        <f>BM721/(24*Modelling[[#This Row],[Comisined DC ]])</f>
        <v>0.21485929537596829</v>
      </c>
      <c r="BW721" s="323">
        <f>Modelling[[#This Row],[Target E_Grid MTD
MWh]]/Modelling[[#This Row],[MTD DC Capcity]]/(24*CG721)</f>
        <v>0.21485929537596826</v>
      </c>
      <c r="BX721" s="338">
        <f>Modelling[[#This Row],[Target E_Grid YTD
MWh]]/Modelling[[#This Row],[YTD DC Capcity]]/(24*CH721)</f>
        <v>0.18076245420816631</v>
      </c>
      <c r="BY721" s="4">
        <f>Modelling_old[[#This Row],[DC Capcity]]+Modelling_new[[#This Row],[Comisined DC ]]</f>
        <v>24.303100000000001</v>
      </c>
      <c r="BZ721" s="4">
        <v>0</v>
      </c>
      <c r="CA721">
        <f>AVERAGEIFS(Modelling[[Comisined DC ]],Modelling[Date],"&lt;="&amp;Modelling[[#This Row],[Date]],Modelling[Month Year],Modelling[[#This Row],[Month Year]])</f>
        <v>24.303100000000001</v>
      </c>
      <c r="CB721">
        <f>AVERAGEIFS(Modelling[[Comisined DC ]],Modelling[Date],"&lt;="&amp;Modelling[[#This Row],[Date]],Modelling[Finacial Year],Modelling[[#This Row],[Finacial Year]])</f>
        <v>24.303100000000068</v>
      </c>
      <c r="CG721">
        <f t="shared" si="266"/>
        <v>4</v>
      </c>
      <c r="CH721">
        <f t="shared" si="287"/>
        <v>338</v>
      </c>
    </row>
    <row r="722" spans="1:86" x14ac:dyDescent="0.35">
      <c r="A722" s="27">
        <f t="shared" si="267"/>
        <v>45721</v>
      </c>
      <c r="B722" s="5">
        <f>MONTH(Modelling_old[[#This Row],[Date]])</f>
        <v>3</v>
      </c>
      <c r="C722" s="25">
        <v>2025</v>
      </c>
      <c r="D722" s="3">
        <f t="shared" si="288"/>
        <v>2025</v>
      </c>
      <c r="E722" s="3" t="s">
        <v>627</v>
      </c>
      <c r="F722" s="3" t="s">
        <v>627</v>
      </c>
      <c r="G722" s="102">
        <f>DATE(Modelling_old[[#This Row],[Calendor Year]],Modelling_old[[#This Row],[Start Month]],1)</f>
        <v>45717</v>
      </c>
      <c r="H722" s="5">
        <f t="shared" si="289"/>
        <v>31</v>
      </c>
      <c r="I722" s="5">
        <f t="shared" si="290"/>
        <v>3</v>
      </c>
      <c r="J722" s="4">
        <f>_xlfn.XLOOKUP(Modelling_old[[#This Row],[Month]],$C$1:$C$14,$N$1:$N$14)/Modelling_old[[#This Row],[Total Days]]</f>
        <v>53.203225806451613</v>
      </c>
      <c r="K722" s="4">
        <f>SUM($J$718:J722)</f>
        <v>266.01612903225805</v>
      </c>
      <c r="L722" s="4">
        <f>SUM($J$384:J722)</f>
        <v>15824.716129032277</v>
      </c>
      <c r="M722" s="4">
        <f t="shared" si="291"/>
        <v>6.9</v>
      </c>
      <c r="N722" s="4">
        <f>SUM($M$718:M722)</f>
        <v>34.5</v>
      </c>
      <c r="O722" s="4">
        <f>SUM($M$384:M722)</f>
        <v>1987.199999999996</v>
      </c>
      <c r="P722" s="323">
        <f t="shared" si="292"/>
        <v>0.67030734634295319</v>
      </c>
      <c r="Q722" s="337">
        <f t="shared" si="293"/>
        <v>0.67030734634295319</v>
      </c>
      <c r="R722" s="337">
        <f t="shared" si="294"/>
        <v>0.69227628498863891</v>
      </c>
      <c r="S722" s="323">
        <f t="shared" si="295"/>
        <v>0.19271336207359907</v>
      </c>
      <c r="T722" s="9">
        <f>Modelling_old[[#This Row],[Target E_Grid MTD
MWh]]/Modelling_old[[#This Row],[DC Capcity]]/(24*CG722)</f>
        <v>0.19271336207359904</v>
      </c>
      <c r="U722" s="338">
        <f>Modelling_old[[#This Row],[Target E_Grid YTD
MWh]]/Modelling_old[[#This Row],[DC Capcity]]/(24*CH722)</f>
        <v>0.16908695102377341</v>
      </c>
      <c r="V722" s="134">
        <v>11.5031</v>
      </c>
      <c r="Y722" s="27">
        <f t="shared" si="263"/>
        <v>45721</v>
      </c>
      <c r="Z722" s="5">
        <f>MONTH(Modelling_new[[#This Row],[Date]])</f>
        <v>3</v>
      </c>
      <c r="AA722" s="25">
        <f>YEAR(Y722)+IF(MONTH(Modelling_new[[#This Row],[Date]])&gt;=4,1,0)</f>
        <v>2025</v>
      </c>
      <c r="AB722" s="3">
        <f t="shared" si="276"/>
        <v>2025</v>
      </c>
      <c r="AC722" s="3" t="s">
        <v>627</v>
      </c>
      <c r="AD722" s="3" t="s">
        <v>627</v>
      </c>
      <c r="AE722" s="102">
        <f>DATE(Modelling_old[[#This Row],[Calendor Year]],Modelling_old[[#This Row],[Start Month]],1)</f>
        <v>45717</v>
      </c>
      <c r="AF722" s="5">
        <f t="shared" si="277"/>
        <v>31</v>
      </c>
      <c r="AG722" s="5">
        <f t="shared" si="278"/>
        <v>3</v>
      </c>
      <c r="AH722" s="4">
        <f>_xlfn.XLOOKUP(Modelling_new[[#This Row],[Month]],$AA$1:$AA$14,$AL$1:$AL$14)/Modelling_new[[#This Row],[Total Days]]</f>
        <v>72.118700788389063</v>
      </c>
      <c r="AI722" s="4">
        <f>SUM($AH$718:AH722)</f>
        <v>360.5935039419453</v>
      </c>
      <c r="AJ722" s="4">
        <f>SUM($AH$384:AH722)</f>
        <v>19937.335660591601</v>
      </c>
      <c r="AK722" s="4">
        <f t="shared" si="279"/>
        <v>6.9</v>
      </c>
      <c r="AL722" s="4">
        <f>SUM($AK$718:AK722)</f>
        <v>34.5</v>
      </c>
      <c r="AM722" s="4">
        <f>SUM($AK$384:AK722)</f>
        <v>1987.199999999996</v>
      </c>
      <c r="AN722" s="323">
        <f t="shared" si="280"/>
        <v>0.90862338165413326</v>
      </c>
      <c r="AO722" s="323">
        <f t="shared" si="281"/>
        <v>0.90862338165413337</v>
      </c>
      <c r="AP722" s="323">
        <f t="shared" si="282"/>
        <v>0.87218908390806649</v>
      </c>
      <c r="AQ722" s="323">
        <f t="shared" si="283"/>
        <v>0.26122922222556338</v>
      </c>
      <c r="AR722" s="323">
        <f>Modelling_new[[#This Row],[Target E_Grid MTD
MWh]]/Modelling_new[[#This Row],[MTD DC Capcity]]/(24*CG722)</f>
        <v>0.23476139579553731</v>
      </c>
      <c r="AS722" s="323">
        <f>Modelling_new[[#This Row],[Target E_Grid YTD
MWh]]/Modelling_new[[#This Row],[YTD DC Capcity]]/(24*CH722)</f>
        <v>0.19144596220301244</v>
      </c>
      <c r="AT722" s="5">
        <v>12.8</v>
      </c>
      <c r="AU722" s="9">
        <f>Modelling_new[[#This Row],[Comisined DC ]]/$AO$1</f>
        <v>1</v>
      </c>
      <c r="AV722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722" s="5">
        <f>AVERAGEIFS(Modelling_new[[Comisined DC ]],Modelling_new[Date],"&lt;="&amp;Modelling_new[[#This Row],[Date]],Modelling_new[[Comisined DC ]],"&gt;"&amp;0,Modelling_new[Finacial Year],Modelling_new[[#This Row],[Finacial Year]])</f>
        <v>12.800000000000081</v>
      </c>
      <c r="BD722" s="27">
        <f t="shared" si="264"/>
        <v>45721</v>
      </c>
      <c r="BE722" s="5">
        <f>MONTH(Modelling[[#This Row],[Date]])</f>
        <v>3</v>
      </c>
      <c r="BF722" s="25">
        <f>YEAR(BD722)+IF(MONTH(Modelling[[#This Row],[Date]])&gt;=4,1,0)</f>
        <v>2025</v>
      </c>
      <c r="BG722" s="3">
        <f t="shared" si="284"/>
        <v>2025</v>
      </c>
      <c r="BH722" s="3" t="s">
        <v>627</v>
      </c>
      <c r="BI722" s="3" t="s">
        <v>627</v>
      </c>
      <c r="BJ722" s="102">
        <f>DATE(Modelling_old[[#This Row],[Calendor Year]],Modelling_old[[#This Row],[Start Month]],1)</f>
        <v>45717</v>
      </c>
      <c r="BK722" s="5">
        <f t="shared" si="285"/>
        <v>31</v>
      </c>
      <c r="BL722" s="5">
        <f t="shared" si="286"/>
        <v>3</v>
      </c>
      <c r="BM722" s="4">
        <f>Modelling_old[[#This Row],[Target E_Grid daily
MWh]]+Modelling_new[[#This Row],[Target E_Grid daily
MWh]]</f>
        <v>125.32192659484068</v>
      </c>
      <c r="BN722" s="4">
        <f>Modelling_old[[#This Row],[Target E_Grid MTD
MWh]]+Modelling_new[[#This Row],[Target E_Grid MTD
MWh]]</f>
        <v>626.60963297420335</v>
      </c>
      <c r="BO722" s="4">
        <f>Modelling_old[[#This Row],[Target E_Grid YTD
MWh]]+Modelling_new[[#This Row],[Target E_Grid YTD
MWh]]</f>
        <v>35762.051789623874</v>
      </c>
      <c r="BP722" s="4">
        <f>AVERAGE(Modelling_old[[#This Row],[Target POA Daily (KWh/m2)]],Modelling_new[[#This Row],[Target POA Daily (KWh/m2)]])</f>
        <v>6.9</v>
      </c>
      <c r="BQ722" s="4">
        <f>SUM($BP$718:BP722)</f>
        <v>34.5</v>
      </c>
      <c r="BR722" s="4">
        <f>SUM($BP$384:BP722)</f>
        <v>1987.199999999996</v>
      </c>
      <c r="BS722" s="323">
        <f>BM722/Modelling[[#This Row],[Comisined DC ]]/BP722</f>
        <v>0.74733667956858518</v>
      </c>
      <c r="BT722" s="337">
        <f>BN722/BQ722/Modelling[[#This Row],[Comisined DC ]]</f>
        <v>0.74733667956858529</v>
      </c>
      <c r="BU722" s="337">
        <f>BO722/BR722/Modelling[[#This Row],[Comisined DC ]]</f>
        <v>0.74048996156686542</v>
      </c>
      <c r="BV722" s="323">
        <f>BM722/(24*Modelling[[#This Row],[Comisined DC ]])</f>
        <v>0.21485929537596829</v>
      </c>
      <c r="BW722" s="323">
        <f>Modelling[[#This Row],[Target E_Grid MTD
MWh]]/Modelling[[#This Row],[MTD DC Capcity]]/(24*CG722)</f>
        <v>0.21485929537596826</v>
      </c>
      <c r="BX722" s="338">
        <f>Modelling[[#This Row],[Target E_Grid YTD
MWh]]/Modelling[[#This Row],[YTD DC Capcity]]/(24*CH722)</f>
        <v>0.18086303486057867</v>
      </c>
      <c r="BY722" s="4">
        <f>Modelling_old[[#This Row],[DC Capcity]]+Modelling_new[[#This Row],[Comisined DC ]]</f>
        <v>24.303100000000001</v>
      </c>
      <c r="BZ722" s="4">
        <v>0</v>
      </c>
      <c r="CA722">
        <f>AVERAGEIFS(Modelling[[Comisined DC ]],Modelling[Date],"&lt;="&amp;Modelling[[#This Row],[Date]],Modelling[Month Year],Modelling[[#This Row],[Month Year]])</f>
        <v>24.303100000000001</v>
      </c>
      <c r="CB722">
        <f>AVERAGEIFS(Modelling[[Comisined DC ]],Modelling[Date],"&lt;="&amp;Modelling[[#This Row],[Date]],Modelling[Finacial Year],Modelling[[#This Row],[Finacial Year]])</f>
        <v>24.303100000000068</v>
      </c>
      <c r="CG722">
        <f t="shared" si="266"/>
        <v>5</v>
      </c>
      <c r="CH722">
        <f t="shared" si="287"/>
        <v>339</v>
      </c>
    </row>
    <row r="723" spans="1:86" x14ac:dyDescent="0.35">
      <c r="A723" s="27">
        <f t="shared" si="267"/>
        <v>45722</v>
      </c>
      <c r="B723" s="5">
        <f>MONTH(Modelling_old[[#This Row],[Date]])</f>
        <v>3</v>
      </c>
      <c r="C723" s="25">
        <v>2025</v>
      </c>
      <c r="D723" s="3">
        <f t="shared" si="288"/>
        <v>2025</v>
      </c>
      <c r="E723" s="3" t="s">
        <v>627</v>
      </c>
      <c r="F723" s="3" t="s">
        <v>627</v>
      </c>
      <c r="G723" s="102">
        <f>DATE(Modelling_old[[#This Row],[Calendor Year]],Modelling_old[[#This Row],[Start Month]],1)</f>
        <v>45717</v>
      </c>
      <c r="H723" s="5">
        <f t="shared" si="289"/>
        <v>31</v>
      </c>
      <c r="I723" s="5">
        <f t="shared" si="290"/>
        <v>3</v>
      </c>
      <c r="J723" s="4">
        <f>_xlfn.XLOOKUP(Modelling_old[[#This Row],[Month]],$C$1:$C$14,$N$1:$N$14)/Modelling_old[[#This Row],[Total Days]]</f>
        <v>53.203225806451613</v>
      </c>
      <c r="K723" s="4">
        <f>SUM($J$718:J723)</f>
        <v>319.21935483870965</v>
      </c>
      <c r="L723" s="4">
        <f>SUM($J$384:J723)</f>
        <v>15877.919354838728</v>
      </c>
      <c r="M723" s="4">
        <f t="shared" si="291"/>
        <v>6.9</v>
      </c>
      <c r="N723" s="4">
        <f>SUM($M$718:M723)</f>
        <v>41.4</v>
      </c>
      <c r="O723" s="4">
        <f>SUM($M$384:M723)</f>
        <v>1994.099999999996</v>
      </c>
      <c r="P723" s="323">
        <f t="shared" si="292"/>
        <v>0.67030734634295319</v>
      </c>
      <c r="Q723" s="337">
        <f t="shared" si="293"/>
        <v>0.67030734634295319</v>
      </c>
      <c r="R723" s="337">
        <f t="shared" si="294"/>
        <v>0.69220026789989952</v>
      </c>
      <c r="S723" s="323">
        <f t="shared" si="295"/>
        <v>0.19271336207359907</v>
      </c>
      <c r="T723" s="9">
        <f>Modelling_old[[#This Row],[Target E_Grid MTD
MWh]]/Modelling_old[[#This Row],[DC Capcity]]/(24*CG723)</f>
        <v>0.19271336207359904</v>
      </c>
      <c r="U723" s="338">
        <f>Modelling_old[[#This Row],[Target E_Grid YTD
MWh]]/Modelling_old[[#This Row],[DC Capcity]]/(24*CH723)</f>
        <v>0.1691564404680376</v>
      </c>
      <c r="V723" s="134">
        <v>11.5031</v>
      </c>
      <c r="Y723" s="27">
        <f t="shared" si="263"/>
        <v>45722</v>
      </c>
      <c r="Z723" s="5">
        <f>MONTH(Modelling_new[[#This Row],[Date]])</f>
        <v>3</v>
      </c>
      <c r="AA723" s="25">
        <f>YEAR(Y723)+IF(MONTH(Modelling_new[[#This Row],[Date]])&gt;=4,1,0)</f>
        <v>2025</v>
      </c>
      <c r="AB723" s="3">
        <f t="shared" si="276"/>
        <v>2025</v>
      </c>
      <c r="AC723" s="3" t="s">
        <v>627</v>
      </c>
      <c r="AD723" s="3" t="s">
        <v>627</v>
      </c>
      <c r="AE723" s="102">
        <f>DATE(Modelling_old[[#This Row],[Calendor Year]],Modelling_old[[#This Row],[Start Month]],1)</f>
        <v>45717</v>
      </c>
      <c r="AF723" s="5">
        <f t="shared" si="277"/>
        <v>31</v>
      </c>
      <c r="AG723" s="5">
        <f t="shared" si="278"/>
        <v>3</v>
      </c>
      <c r="AH723" s="4">
        <f>_xlfn.XLOOKUP(Modelling_new[[#This Row],[Month]],$AA$1:$AA$14,$AL$1:$AL$14)/Modelling_new[[#This Row],[Total Days]]</f>
        <v>72.118700788389063</v>
      </c>
      <c r="AI723" s="4">
        <f>SUM($AH$718:AH723)</f>
        <v>432.71220473033435</v>
      </c>
      <c r="AJ723" s="4">
        <f>SUM($AH$384:AH723)</f>
        <v>20009.454361379991</v>
      </c>
      <c r="AK723" s="4">
        <f t="shared" si="279"/>
        <v>6.9</v>
      </c>
      <c r="AL723" s="4">
        <f>SUM($AK$718:AK723)</f>
        <v>41.4</v>
      </c>
      <c r="AM723" s="4">
        <f>SUM($AK$384:AK723)</f>
        <v>1994.099999999996</v>
      </c>
      <c r="AN723" s="323">
        <f t="shared" si="280"/>
        <v>0.90862338165413326</v>
      </c>
      <c r="AO723" s="323">
        <f t="shared" si="281"/>
        <v>0.90862338165413337</v>
      </c>
      <c r="AP723" s="323">
        <f t="shared" si="282"/>
        <v>0.87231515414248195</v>
      </c>
      <c r="AQ723" s="323">
        <f t="shared" si="283"/>
        <v>0.26122922222556338</v>
      </c>
      <c r="AR723" s="323">
        <f>Modelling_new[[#This Row],[Target E_Grid MTD
MWh]]/Modelling_new[[#This Row],[MTD DC Capcity]]/(24*CG723)</f>
        <v>0.23476139579553731</v>
      </c>
      <c r="AS723" s="323">
        <f>Modelling_new[[#This Row],[Target E_Grid YTD
MWh]]/Modelling_new[[#This Row],[YTD DC Capcity]]/(24*CH723)</f>
        <v>0.19157336053710808</v>
      </c>
      <c r="AT723" s="5">
        <v>12.8</v>
      </c>
      <c r="AU723" s="9">
        <f>Modelling_new[[#This Row],[Comisined DC ]]/$AO$1</f>
        <v>1</v>
      </c>
      <c r="AV723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723" s="5">
        <f>AVERAGEIFS(Modelling_new[[Comisined DC ]],Modelling_new[Date],"&lt;="&amp;Modelling_new[[#This Row],[Date]],Modelling_new[[Comisined DC ]],"&gt;"&amp;0,Modelling_new[Finacial Year],Modelling_new[[#This Row],[Finacial Year]])</f>
        <v>12.800000000000081</v>
      </c>
      <c r="BD723" s="27">
        <f t="shared" si="264"/>
        <v>45722</v>
      </c>
      <c r="BE723" s="5">
        <f>MONTH(Modelling[[#This Row],[Date]])</f>
        <v>3</v>
      </c>
      <c r="BF723" s="25">
        <f>YEAR(BD723)+IF(MONTH(Modelling[[#This Row],[Date]])&gt;=4,1,0)</f>
        <v>2025</v>
      </c>
      <c r="BG723" s="3">
        <f t="shared" si="284"/>
        <v>2025</v>
      </c>
      <c r="BH723" s="3" t="s">
        <v>627</v>
      </c>
      <c r="BI723" s="3" t="s">
        <v>627</v>
      </c>
      <c r="BJ723" s="102">
        <f>DATE(Modelling_old[[#This Row],[Calendor Year]],Modelling_old[[#This Row],[Start Month]],1)</f>
        <v>45717</v>
      </c>
      <c r="BK723" s="5">
        <f t="shared" si="285"/>
        <v>31</v>
      </c>
      <c r="BL723" s="5">
        <f t="shared" si="286"/>
        <v>3</v>
      </c>
      <c r="BM723" s="4">
        <f>Modelling_old[[#This Row],[Target E_Grid daily
MWh]]+Modelling_new[[#This Row],[Target E_Grid daily
MWh]]</f>
        <v>125.32192659484068</v>
      </c>
      <c r="BN723" s="4">
        <f>Modelling_old[[#This Row],[Target E_Grid MTD
MWh]]+Modelling_new[[#This Row],[Target E_Grid MTD
MWh]]</f>
        <v>751.931559569044</v>
      </c>
      <c r="BO723" s="4">
        <f>Modelling_old[[#This Row],[Target E_Grid YTD
MWh]]+Modelling_new[[#This Row],[Target E_Grid YTD
MWh]]</f>
        <v>35887.373716218717</v>
      </c>
      <c r="BP723" s="4">
        <f>AVERAGE(Modelling_old[[#This Row],[Target POA Daily (KWh/m2)]],Modelling_new[[#This Row],[Target POA Daily (KWh/m2)]])</f>
        <v>6.9</v>
      </c>
      <c r="BQ723" s="4">
        <f>SUM($BP$718:BP723)</f>
        <v>41.4</v>
      </c>
      <c r="BR723" s="4">
        <f>SUM($BP$384:BP723)</f>
        <v>1994.099999999996</v>
      </c>
      <c r="BS723" s="323">
        <f>BM723/Modelling[[#This Row],[Comisined DC ]]/BP723</f>
        <v>0.74733667956858518</v>
      </c>
      <c r="BT723" s="337">
        <f>BN723/BQ723/Modelling[[#This Row],[Comisined DC ]]</f>
        <v>0.74733667956858529</v>
      </c>
      <c r="BU723" s="337">
        <f>BO723/BR723/Modelling[[#This Row],[Comisined DC ]]</f>
        <v>0.74051365263261537</v>
      </c>
      <c r="BV723" s="323">
        <f>BM723/(24*Modelling[[#This Row],[Comisined DC ]])</f>
        <v>0.21485929537596829</v>
      </c>
      <c r="BW723" s="323">
        <f>Modelling[[#This Row],[Target E_Grid MTD
MWh]]/Modelling[[#This Row],[MTD DC Capcity]]/(24*CG723)</f>
        <v>0.21485929537596826</v>
      </c>
      <c r="BX723" s="338">
        <f>Modelling[[#This Row],[Target E_Grid YTD
MWh]]/Modelling[[#This Row],[YTD DC Capcity]]/(24*CH723)</f>
        <v>0.18096302386209454</v>
      </c>
      <c r="BY723" s="4">
        <f>Modelling_old[[#This Row],[DC Capcity]]+Modelling_new[[#This Row],[Comisined DC ]]</f>
        <v>24.303100000000001</v>
      </c>
      <c r="BZ723" s="4">
        <v>0</v>
      </c>
      <c r="CA723">
        <f>AVERAGEIFS(Modelling[[Comisined DC ]],Modelling[Date],"&lt;="&amp;Modelling[[#This Row],[Date]],Modelling[Month Year],Modelling[[#This Row],[Month Year]])</f>
        <v>24.303100000000001</v>
      </c>
      <c r="CB723">
        <f>AVERAGEIFS(Modelling[[Comisined DC ]],Modelling[Date],"&lt;="&amp;Modelling[[#This Row],[Date]],Modelling[Finacial Year],Modelling[[#This Row],[Finacial Year]])</f>
        <v>24.303100000000065</v>
      </c>
      <c r="CG723">
        <f t="shared" si="266"/>
        <v>6</v>
      </c>
      <c r="CH723">
        <f t="shared" si="287"/>
        <v>340</v>
      </c>
    </row>
    <row r="724" spans="1:86" x14ac:dyDescent="0.35">
      <c r="A724" s="27">
        <f t="shared" si="267"/>
        <v>45723</v>
      </c>
      <c r="B724" s="5">
        <f>MONTH(Modelling_old[[#This Row],[Date]])</f>
        <v>3</v>
      </c>
      <c r="C724" s="25">
        <v>2025</v>
      </c>
      <c r="D724" s="3">
        <f t="shared" si="288"/>
        <v>2025</v>
      </c>
      <c r="E724" s="3" t="s">
        <v>627</v>
      </c>
      <c r="F724" s="3" t="s">
        <v>627</v>
      </c>
      <c r="G724" s="102">
        <f>DATE(Modelling_old[[#This Row],[Calendor Year]],Modelling_old[[#This Row],[Start Month]],1)</f>
        <v>45717</v>
      </c>
      <c r="H724" s="5">
        <f t="shared" si="289"/>
        <v>31</v>
      </c>
      <c r="I724" s="5">
        <f t="shared" si="290"/>
        <v>3</v>
      </c>
      <c r="J724" s="4">
        <f>_xlfn.XLOOKUP(Modelling_old[[#This Row],[Month]],$C$1:$C$14,$N$1:$N$14)/Modelling_old[[#This Row],[Total Days]]</f>
        <v>53.203225806451613</v>
      </c>
      <c r="K724" s="4">
        <f>SUM($J$718:J724)</f>
        <v>372.42258064516125</v>
      </c>
      <c r="L724" s="4">
        <f>SUM($J$384:J724)</f>
        <v>15931.12258064518</v>
      </c>
      <c r="M724" s="4">
        <f t="shared" si="291"/>
        <v>6.9</v>
      </c>
      <c r="N724" s="4">
        <f>SUM($M$718:M724)</f>
        <v>48.3</v>
      </c>
      <c r="O724" s="4">
        <f>SUM($M$384:M724)</f>
        <v>2000.9999999999961</v>
      </c>
      <c r="P724" s="323">
        <f t="shared" si="292"/>
        <v>0.67030734634295319</v>
      </c>
      <c r="Q724" s="337">
        <f t="shared" si="293"/>
        <v>0.67030734634295319</v>
      </c>
      <c r="R724" s="337">
        <f t="shared" si="294"/>
        <v>0.69212477506694459</v>
      </c>
      <c r="S724" s="323">
        <f t="shared" si="295"/>
        <v>0.19271336207359907</v>
      </c>
      <c r="T724" s="9">
        <f>Modelling_old[[#This Row],[Target E_Grid MTD
MWh]]/Modelling_old[[#This Row],[DC Capcity]]/(24*CG724)</f>
        <v>0.19271336207359901</v>
      </c>
      <c r="U724" s="338">
        <f>Modelling_old[[#This Row],[Target E_Grid YTD
MWh]]/Modelling_old[[#This Row],[DC Capcity]]/(24*CH724)</f>
        <v>0.16922552234957886</v>
      </c>
      <c r="V724" s="134">
        <v>11.5031</v>
      </c>
      <c r="Y724" s="27">
        <f t="shared" ref="Y724:Y748" si="296">Y723+1</f>
        <v>45723</v>
      </c>
      <c r="Z724" s="5">
        <f>MONTH(Modelling_new[[#This Row],[Date]])</f>
        <v>3</v>
      </c>
      <c r="AA724" s="25">
        <f>YEAR(Y724)+IF(MONTH(Modelling_new[[#This Row],[Date]])&gt;=4,1,0)</f>
        <v>2025</v>
      </c>
      <c r="AB724" s="3">
        <f t="shared" si="276"/>
        <v>2025</v>
      </c>
      <c r="AC724" s="3" t="s">
        <v>627</v>
      </c>
      <c r="AD724" s="3" t="s">
        <v>627</v>
      </c>
      <c r="AE724" s="102">
        <f>DATE(Modelling_old[[#This Row],[Calendor Year]],Modelling_old[[#This Row],[Start Month]],1)</f>
        <v>45717</v>
      </c>
      <c r="AF724" s="5">
        <f t="shared" si="277"/>
        <v>31</v>
      </c>
      <c r="AG724" s="5">
        <f t="shared" si="278"/>
        <v>3</v>
      </c>
      <c r="AH724" s="4">
        <f>_xlfn.XLOOKUP(Modelling_new[[#This Row],[Month]],$AA$1:$AA$14,$AL$1:$AL$14)/Modelling_new[[#This Row],[Total Days]]</f>
        <v>72.118700788389063</v>
      </c>
      <c r="AI724" s="4">
        <f>SUM($AH$718:AH724)</f>
        <v>504.8309055187234</v>
      </c>
      <c r="AJ724" s="4">
        <f>SUM($AH$384:AH724)</f>
        <v>20081.57306216838</v>
      </c>
      <c r="AK724" s="4">
        <f t="shared" si="279"/>
        <v>6.9</v>
      </c>
      <c r="AL724" s="4">
        <f>SUM($AK$718:AK724)</f>
        <v>48.3</v>
      </c>
      <c r="AM724" s="4">
        <f>SUM($AK$384:AK724)</f>
        <v>2000.9999999999961</v>
      </c>
      <c r="AN724" s="323">
        <f t="shared" si="280"/>
        <v>0.90862338165413326</v>
      </c>
      <c r="AO724" s="323">
        <f t="shared" si="281"/>
        <v>0.90862338165413337</v>
      </c>
      <c r="AP724" s="323">
        <f t="shared" si="282"/>
        <v>0.87244035492700478</v>
      </c>
      <c r="AQ724" s="323">
        <f t="shared" si="283"/>
        <v>0.26122922222556338</v>
      </c>
      <c r="AR724" s="323">
        <f>Modelling_new[[#This Row],[Target E_Grid MTD
MWh]]/Modelling_new[[#This Row],[MTD DC Capcity]]/(24*CG724)</f>
        <v>0.23476139579553731</v>
      </c>
      <c r="AS724" s="323">
        <f>Modelling_new[[#This Row],[Target E_Grid YTD
MWh]]/Modelling_new[[#This Row],[YTD DC Capcity]]/(24*CH724)</f>
        <v>0.19170001166689821</v>
      </c>
      <c r="AT724" s="5">
        <v>12.8</v>
      </c>
      <c r="AU724" s="9">
        <f>Modelling_new[[#This Row],[Comisined DC ]]/$AO$1</f>
        <v>1</v>
      </c>
      <c r="AV724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724" s="5">
        <f>AVERAGEIFS(Modelling_new[[Comisined DC ]],Modelling_new[Date],"&lt;="&amp;Modelling_new[[#This Row],[Date]],Modelling_new[[Comisined DC ]],"&gt;"&amp;0,Modelling_new[Finacial Year],Modelling_new[[#This Row],[Finacial Year]])</f>
        <v>12.800000000000081</v>
      </c>
      <c r="BD724" s="27">
        <f t="shared" ref="BD724:BD748" si="297">BD723+1</f>
        <v>45723</v>
      </c>
      <c r="BE724" s="5">
        <f>MONTH(Modelling[[#This Row],[Date]])</f>
        <v>3</v>
      </c>
      <c r="BF724" s="25">
        <f>YEAR(BD724)+IF(MONTH(Modelling[[#This Row],[Date]])&gt;=4,1,0)</f>
        <v>2025</v>
      </c>
      <c r="BG724" s="3">
        <f t="shared" si="284"/>
        <v>2025</v>
      </c>
      <c r="BH724" s="3" t="s">
        <v>627</v>
      </c>
      <c r="BI724" s="3" t="s">
        <v>627</v>
      </c>
      <c r="BJ724" s="102">
        <f>DATE(Modelling_old[[#This Row],[Calendor Year]],Modelling_old[[#This Row],[Start Month]],1)</f>
        <v>45717</v>
      </c>
      <c r="BK724" s="5">
        <f t="shared" si="285"/>
        <v>31</v>
      </c>
      <c r="BL724" s="5">
        <f t="shared" si="286"/>
        <v>3</v>
      </c>
      <c r="BM724" s="4">
        <f>Modelling_old[[#This Row],[Target E_Grid daily
MWh]]+Modelling_new[[#This Row],[Target E_Grid daily
MWh]]</f>
        <v>125.32192659484068</v>
      </c>
      <c r="BN724" s="4">
        <f>Modelling_old[[#This Row],[Target E_Grid MTD
MWh]]+Modelling_new[[#This Row],[Target E_Grid MTD
MWh]]</f>
        <v>877.25348616388465</v>
      </c>
      <c r="BO724" s="4">
        <f>Modelling_old[[#This Row],[Target E_Grid YTD
MWh]]+Modelling_new[[#This Row],[Target E_Grid YTD
MWh]]</f>
        <v>36012.69564281356</v>
      </c>
      <c r="BP724" s="4">
        <f>AVERAGE(Modelling_old[[#This Row],[Target POA Daily (KWh/m2)]],Modelling_new[[#This Row],[Target POA Daily (KWh/m2)]])</f>
        <v>6.9</v>
      </c>
      <c r="BQ724" s="4">
        <f>SUM($BP$718:BP724)</f>
        <v>48.3</v>
      </c>
      <c r="BR724" s="4">
        <f>SUM($BP$384:BP724)</f>
        <v>2000.9999999999961</v>
      </c>
      <c r="BS724" s="323">
        <f>BM724/Modelling[[#This Row],[Comisined DC ]]/BP724</f>
        <v>0.74733667956858518</v>
      </c>
      <c r="BT724" s="337">
        <f>BN724/BQ724/Modelling[[#This Row],[Comisined DC ]]</f>
        <v>0.74733667956858529</v>
      </c>
      <c r="BU724" s="337">
        <f>BO724/BR724/Modelling[[#This Row],[Comisined DC ]]</f>
        <v>0.7405371803117049</v>
      </c>
      <c r="BV724" s="323">
        <f>BM724/(24*Modelling[[#This Row],[Comisined DC ]])</f>
        <v>0.21485929537596829</v>
      </c>
      <c r="BW724" s="323">
        <f>Modelling[[#This Row],[Target E_Grid MTD
MWh]]/Modelling[[#This Row],[MTD DC Capcity]]/(24*CG724)</f>
        <v>0.21485929537596823</v>
      </c>
      <c r="BX724" s="338">
        <f>Modelling[[#This Row],[Target E_Grid YTD
MWh]]/Modelling[[#This Row],[YTD DC Capcity]]/(24*CH724)</f>
        <v>0.18106242641785378</v>
      </c>
      <c r="BY724" s="4">
        <f>Modelling_old[[#This Row],[DC Capcity]]+Modelling_new[[#This Row],[Comisined DC ]]</f>
        <v>24.303100000000001</v>
      </c>
      <c r="BZ724" s="4">
        <v>0</v>
      </c>
      <c r="CA724">
        <f>AVERAGEIFS(Modelling[[Comisined DC ]],Modelling[Date],"&lt;="&amp;Modelling[[#This Row],[Date]],Modelling[Month Year],Modelling[[#This Row],[Month Year]])</f>
        <v>24.303100000000001</v>
      </c>
      <c r="CB724">
        <f>AVERAGEIFS(Modelling[[Comisined DC ]],Modelling[Date],"&lt;="&amp;Modelling[[#This Row],[Date]],Modelling[Finacial Year],Modelling[[#This Row],[Finacial Year]])</f>
        <v>24.303100000000061</v>
      </c>
      <c r="CG724">
        <f t="shared" si="266"/>
        <v>7</v>
      </c>
      <c r="CH724">
        <f t="shared" si="287"/>
        <v>341</v>
      </c>
    </row>
    <row r="725" spans="1:86" x14ac:dyDescent="0.35">
      <c r="A725" s="27">
        <f t="shared" si="267"/>
        <v>45724</v>
      </c>
      <c r="B725" s="5">
        <f>MONTH(Modelling_old[[#This Row],[Date]])</f>
        <v>3</v>
      </c>
      <c r="C725" s="25">
        <v>2025</v>
      </c>
      <c r="D725" s="3">
        <f t="shared" si="288"/>
        <v>2025</v>
      </c>
      <c r="E725" s="3" t="s">
        <v>627</v>
      </c>
      <c r="F725" s="3" t="s">
        <v>627</v>
      </c>
      <c r="G725" s="102">
        <f>DATE(Modelling_old[[#This Row],[Calendor Year]],Modelling_old[[#This Row],[Start Month]],1)</f>
        <v>45717</v>
      </c>
      <c r="H725" s="5">
        <f t="shared" si="289"/>
        <v>31</v>
      </c>
      <c r="I725" s="5">
        <f t="shared" si="290"/>
        <v>3</v>
      </c>
      <c r="J725" s="4">
        <f>_xlfn.XLOOKUP(Modelling_old[[#This Row],[Month]],$C$1:$C$14,$N$1:$N$14)/Modelling_old[[#This Row],[Total Days]]</f>
        <v>53.203225806451613</v>
      </c>
      <c r="K725" s="4">
        <f>SUM($J$718:J725)</f>
        <v>425.62580645161285</v>
      </c>
      <c r="L725" s="4">
        <f>SUM($J$384:J725)</f>
        <v>15984.325806451632</v>
      </c>
      <c r="M725" s="4">
        <f t="shared" si="291"/>
        <v>6.9</v>
      </c>
      <c r="N725" s="4">
        <f>SUM($M$718:M725)</f>
        <v>55.199999999999996</v>
      </c>
      <c r="O725" s="4">
        <f>SUM($M$384:M725)</f>
        <v>2007.8999999999962</v>
      </c>
      <c r="P725" s="323">
        <f t="shared" si="292"/>
        <v>0.67030734634295319</v>
      </c>
      <c r="Q725" s="337">
        <f t="shared" si="293"/>
        <v>0.67030734634295319</v>
      </c>
      <c r="R725" s="337">
        <f t="shared" si="294"/>
        <v>0.69204980108507508</v>
      </c>
      <c r="S725" s="323">
        <f t="shared" si="295"/>
        <v>0.19271336207359907</v>
      </c>
      <c r="T725" s="9">
        <f>Modelling_old[[#This Row],[Target E_Grid MTD
MWh]]/Modelling_old[[#This Row],[DC Capcity]]/(24*CG725)</f>
        <v>0.19271336207359901</v>
      </c>
      <c r="U725" s="338">
        <f>Modelling_old[[#This Row],[Target E_Grid YTD
MWh]]/Modelling_old[[#This Row],[DC Capcity]]/(24*CH725)</f>
        <v>0.16929420024350872</v>
      </c>
      <c r="V725" s="134">
        <v>11.5031</v>
      </c>
      <c r="Y725" s="27">
        <f t="shared" si="296"/>
        <v>45724</v>
      </c>
      <c r="Z725" s="5">
        <f>MONTH(Modelling_new[[#This Row],[Date]])</f>
        <v>3</v>
      </c>
      <c r="AA725" s="25">
        <f>YEAR(Y725)+IF(MONTH(Modelling_new[[#This Row],[Date]])&gt;=4,1,0)</f>
        <v>2025</v>
      </c>
      <c r="AB725" s="3">
        <f t="shared" si="276"/>
        <v>2025</v>
      </c>
      <c r="AC725" s="3" t="s">
        <v>627</v>
      </c>
      <c r="AD725" s="3" t="s">
        <v>627</v>
      </c>
      <c r="AE725" s="102">
        <f>DATE(Modelling_old[[#This Row],[Calendor Year]],Modelling_old[[#This Row],[Start Month]],1)</f>
        <v>45717</v>
      </c>
      <c r="AF725" s="5">
        <f t="shared" si="277"/>
        <v>31</v>
      </c>
      <c r="AG725" s="5">
        <f t="shared" si="278"/>
        <v>3</v>
      </c>
      <c r="AH725" s="4">
        <f>_xlfn.XLOOKUP(Modelling_new[[#This Row],[Month]],$AA$1:$AA$14,$AL$1:$AL$14)/Modelling_new[[#This Row],[Total Days]]</f>
        <v>72.118700788389063</v>
      </c>
      <c r="AI725" s="4">
        <f>SUM($AH$718:AH725)</f>
        <v>576.9496063071125</v>
      </c>
      <c r="AJ725" s="4">
        <f>SUM($AH$384:AH725)</f>
        <v>20153.691762956769</v>
      </c>
      <c r="AK725" s="4">
        <f t="shared" si="279"/>
        <v>6.9</v>
      </c>
      <c r="AL725" s="4">
        <f>SUM($AK$718:AK725)</f>
        <v>55.199999999999996</v>
      </c>
      <c r="AM725" s="4">
        <f>SUM($AK$384:AK725)</f>
        <v>2007.8999999999962</v>
      </c>
      <c r="AN725" s="323">
        <f t="shared" si="280"/>
        <v>0.90862338165413326</v>
      </c>
      <c r="AO725" s="323">
        <f t="shared" si="281"/>
        <v>0.90862338165413337</v>
      </c>
      <c r="AP725" s="323">
        <f t="shared" si="282"/>
        <v>0.8725646952250361</v>
      </c>
      <c r="AQ725" s="323">
        <f t="shared" si="283"/>
        <v>0.26122922222556338</v>
      </c>
      <c r="AR725" s="323">
        <f>Modelling_new[[#This Row],[Target E_Grid MTD
MWh]]/Modelling_new[[#This Row],[MTD DC Capcity]]/(24*CG725)</f>
        <v>0.23476139579553734</v>
      </c>
      <c r="AS725" s="323">
        <f>Modelling_new[[#This Row],[Target E_Grid YTD
MWh]]/Modelling_new[[#This Row],[YTD DC Capcity]]/(24*CH725)</f>
        <v>0.19182592214680649</v>
      </c>
      <c r="AT725" s="5">
        <v>12.8</v>
      </c>
      <c r="AU725" s="9">
        <f>Modelling_new[[#This Row],[Comisined DC ]]/$AO$1</f>
        <v>1</v>
      </c>
      <c r="AV725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725" s="5">
        <f>AVERAGEIFS(Modelling_new[[Comisined DC ]],Modelling_new[Date],"&lt;="&amp;Modelling_new[[#This Row],[Date]],Modelling_new[[Comisined DC ]],"&gt;"&amp;0,Modelling_new[Finacial Year],Modelling_new[[#This Row],[Finacial Year]])</f>
        <v>12.800000000000081</v>
      </c>
      <c r="BD725" s="27">
        <f t="shared" si="297"/>
        <v>45724</v>
      </c>
      <c r="BE725" s="5">
        <f>MONTH(Modelling[[#This Row],[Date]])</f>
        <v>3</v>
      </c>
      <c r="BF725" s="25">
        <f>YEAR(BD725)+IF(MONTH(Modelling[[#This Row],[Date]])&gt;=4,1,0)</f>
        <v>2025</v>
      </c>
      <c r="BG725" s="3">
        <f t="shared" si="284"/>
        <v>2025</v>
      </c>
      <c r="BH725" s="3" t="s">
        <v>627</v>
      </c>
      <c r="BI725" s="3" t="s">
        <v>627</v>
      </c>
      <c r="BJ725" s="102">
        <f>DATE(Modelling_old[[#This Row],[Calendor Year]],Modelling_old[[#This Row],[Start Month]],1)</f>
        <v>45717</v>
      </c>
      <c r="BK725" s="5">
        <f t="shared" si="285"/>
        <v>31</v>
      </c>
      <c r="BL725" s="5">
        <f t="shared" si="286"/>
        <v>3</v>
      </c>
      <c r="BM725" s="4">
        <f>Modelling_old[[#This Row],[Target E_Grid daily
MWh]]+Modelling_new[[#This Row],[Target E_Grid daily
MWh]]</f>
        <v>125.32192659484068</v>
      </c>
      <c r="BN725" s="4">
        <f>Modelling_old[[#This Row],[Target E_Grid MTD
MWh]]+Modelling_new[[#This Row],[Target E_Grid MTD
MWh]]</f>
        <v>1002.5754127587254</v>
      </c>
      <c r="BO725" s="4">
        <f>Modelling_old[[#This Row],[Target E_Grid YTD
MWh]]+Modelling_new[[#This Row],[Target E_Grid YTD
MWh]]</f>
        <v>36138.017569408403</v>
      </c>
      <c r="BP725" s="4">
        <f>AVERAGE(Modelling_old[[#This Row],[Target POA Daily (KWh/m2)]],Modelling_new[[#This Row],[Target POA Daily (KWh/m2)]])</f>
        <v>6.9</v>
      </c>
      <c r="BQ725" s="4">
        <f>SUM($BP$718:BP725)</f>
        <v>55.199999999999996</v>
      </c>
      <c r="BR725" s="4">
        <f>SUM($BP$384:BP725)</f>
        <v>2007.8999999999962</v>
      </c>
      <c r="BS725" s="323">
        <f>BM725/Modelling[[#This Row],[Comisined DC ]]/BP725</f>
        <v>0.74733667956858518</v>
      </c>
      <c r="BT725" s="337">
        <f>BN725/BQ725/Modelling[[#This Row],[Comisined DC ]]</f>
        <v>0.7473366795685854</v>
      </c>
      <c r="BU725" s="337">
        <f>BO725/BR725/Modelling[[#This Row],[Comisined DC ]]</f>
        <v>0.74056054628853285</v>
      </c>
      <c r="BV725" s="323">
        <f>BM725/(24*Modelling[[#This Row],[Comisined DC ]])</f>
        <v>0.21485929537596829</v>
      </c>
      <c r="BW725" s="323">
        <f>Modelling[[#This Row],[Target E_Grid MTD
MWh]]/Modelling[[#This Row],[MTD DC Capcity]]/(24*CG725)</f>
        <v>0.21485929537596826</v>
      </c>
      <c r="BX725" s="338">
        <f>Modelling[[#This Row],[Target E_Grid YTD
MWh]]/Modelling[[#This Row],[YTD DC Capcity]]/(24*CH725)</f>
        <v>0.18116124767211725</v>
      </c>
      <c r="BY725" s="4">
        <f>Modelling_old[[#This Row],[DC Capcity]]+Modelling_new[[#This Row],[Comisined DC ]]</f>
        <v>24.303100000000001</v>
      </c>
      <c r="BZ725" s="4">
        <v>0</v>
      </c>
      <c r="CA725">
        <f>AVERAGEIFS(Modelling[[Comisined DC ]],Modelling[Date],"&lt;="&amp;Modelling[[#This Row],[Date]],Modelling[Month Year],Modelling[[#This Row],[Month Year]])</f>
        <v>24.303100000000001</v>
      </c>
      <c r="CB725">
        <f>AVERAGEIFS(Modelling[[Comisined DC ]],Modelling[Date],"&lt;="&amp;Modelling[[#This Row],[Date]],Modelling[Finacial Year],Modelling[[#This Row],[Finacial Year]])</f>
        <v>24.303100000000061</v>
      </c>
      <c r="CG725">
        <f t="shared" si="266"/>
        <v>8</v>
      </c>
      <c r="CH725">
        <f t="shared" si="287"/>
        <v>342</v>
      </c>
    </row>
    <row r="726" spans="1:86" x14ac:dyDescent="0.35">
      <c r="A726" s="27">
        <f t="shared" si="267"/>
        <v>45725</v>
      </c>
      <c r="B726" s="5">
        <f>MONTH(Modelling_old[[#This Row],[Date]])</f>
        <v>3</v>
      </c>
      <c r="C726" s="25">
        <v>2025</v>
      </c>
      <c r="D726" s="3">
        <f t="shared" si="288"/>
        <v>2025</v>
      </c>
      <c r="E726" s="3" t="s">
        <v>627</v>
      </c>
      <c r="F726" s="3" t="s">
        <v>627</v>
      </c>
      <c r="G726" s="102">
        <f>DATE(Modelling_old[[#This Row],[Calendor Year]],Modelling_old[[#This Row],[Start Month]],1)</f>
        <v>45717</v>
      </c>
      <c r="H726" s="5">
        <f t="shared" si="289"/>
        <v>31</v>
      </c>
      <c r="I726" s="5">
        <f t="shared" si="290"/>
        <v>3</v>
      </c>
      <c r="J726" s="4">
        <f>_xlfn.XLOOKUP(Modelling_old[[#This Row],[Month]],$C$1:$C$14,$N$1:$N$14)/Modelling_old[[#This Row],[Total Days]]</f>
        <v>53.203225806451613</v>
      </c>
      <c r="K726" s="4">
        <f>SUM($J$718:J726)</f>
        <v>478.82903225806444</v>
      </c>
      <c r="L726" s="4">
        <f>SUM($J$384:J726)</f>
        <v>16037.529032258084</v>
      </c>
      <c r="M726" s="4">
        <f t="shared" si="291"/>
        <v>6.9</v>
      </c>
      <c r="N726" s="4">
        <f>SUM($M$718:M726)</f>
        <v>62.099999999999994</v>
      </c>
      <c r="O726" s="4">
        <f>SUM($M$384:M726)</f>
        <v>2014.7999999999963</v>
      </c>
      <c r="P726" s="323">
        <f t="shared" si="292"/>
        <v>0.67030734634295319</v>
      </c>
      <c r="Q726" s="337">
        <f t="shared" si="293"/>
        <v>0.67030734634295319</v>
      </c>
      <c r="R726" s="337">
        <f t="shared" si="294"/>
        <v>0.69197534062362942</v>
      </c>
      <c r="S726" s="323">
        <f t="shared" si="295"/>
        <v>0.19271336207359907</v>
      </c>
      <c r="T726" s="9">
        <f>Modelling_old[[#This Row],[Target E_Grid MTD
MWh]]/Modelling_old[[#This Row],[DC Capcity]]/(24*CG726)</f>
        <v>0.19271336207359901</v>
      </c>
      <c r="U726" s="338">
        <f>Modelling_old[[#This Row],[Target E_Grid YTD
MWh]]/Modelling_old[[#This Row],[DC Capcity]]/(24*CH726)</f>
        <v>0.16936247768324661</v>
      </c>
      <c r="V726" s="134">
        <v>11.5031</v>
      </c>
      <c r="Y726" s="27">
        <f t="shared" si="296"/>
        <v>45725</v>
      </c>
      <c r="Z726" s="5">
        <f>MONTH(Modelling_new[[#This Row],[Date]])</f>
        <v>3</v>
      </c>
      <c r="AA726" s="25">
        <f>YEAR(Y726)+IF(MONTH(Modelling_new[[#This Row],[Date]])&gt;=4,1,0)</f>
        <v>2025</v>
      </c>
      <c r="AB726" s="3">
        <f t="shared" si="276"/>
        <v>2025</v>
      </c>
      <c r="AC726" s="3" t="s">
        <v>627</v>
      </c>
      <c r="AD726" s="3" t="s">
        <v>627</v>
      </c>
      <c r="AE726" s="102">
        <f>DATE(Modelling_old[[#This Row],[Calendor Year]],Modelling_old[[#This Row],[Start Month]],1)</f>
        <v>45717</v>
      </c>
      <c r="AF726" s="5">
        <f t="shared" si="277"/>
        <v>31</v>
      </c>
      <c r="AG726" s="5">
        <f t="shared" si="278"/>
        <v>3</v>
      </c>
      <c r="AH726" s="4">
        <f>_xlfn.XLOOKUP(Modelling_new[[#This Row],[Month]],$AA$1:$AA$14,$AL$1:$AL$14)/Modelling_new[[#This Row],[Total Days]]</f>
        <v>72.118700788389063</v>
      </c>
      <c r="AI726" s="4">
        <f>SUM($AH$718:AH726)</f>
        <v>649.06830709550161</v>
      </c>
      <c r="AJ726" s="4">
        <f>SUM($AH$384:AH726)</f>
        <v>20225.810463745158</v>
      </c>
      <c r="AK726" s="4">
        <f t="shared" si="279"/>
        <v>6.9</v>
      </c>
      <c r="AL726" s="4">
        <f>SUM($AK$718:AK726)</f>
        <v>62.099999999999994</v>
      </c>
      <c r="AM726" s="4">
        <f>SUM($AK$384:AK726)</f>
        <v>2014.7999999999963</v>
      </c>
      <c r="AN726" s="323">
        <f t="shared" si="280"/>
        <v>0.90862338165413326</v>
      </c>
      <c r="AO726" s="323">
        <f t="shared" si="281"/>
        <v>0.90862338165413359</v>
      </c>
      <c r="AP726" s="323">
        <f t="shared" si="282"/>
        <v>0.8726881838771906</v>
      </c>
      <c r="AQ726" s="323">
        <f t="shared" si="283"/>
        <v>0.26122922222556338</v>
      </c>
      <c r="AR726" s="323">
        <f>Modelling_new[[#This Row],[Target E_Grid MTD
MWh]]/Modelling_new[[#This Row],[MTD DC Capcity]]/(24*CG726)</f>
        <v>0.23476139579553734</v>
      </c>
      <c r="AS726" s="323">
        <f>Modelling_new[[#This Row],[Target E_Grid YTD
MWh]]/Modelling_new[[#This Row],[YTD DC Capcity]]/(24*CH726)</f>
        <v>0.19195109845482028</v>
      </c>
      <c r="AT726" s="5">
        <v>12.8</v>
      </c>
      <c r="AU726" s="9">
        <f>Modelling_new[[#This Row],[Comisined DC ]]/$AO$1</f>
        <v>1</v>
      </c>
      <c r="AV726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726" s="5">
        <f>AVERAGEIFS(Modelling_new[[Comisined DC ]],Modelling_new[Date],"&lt;="&amp;Modelling_new[[#This Row],[Date]],Modelling_new[[Comisined DC ]],"&gt;"&amp;0,Modelling_new[Finacial Year],Modelling_new[[#This Row],[Finacial Year]])</f>
        <v>12.800000000000081</v>
      </c>
      <c r="BD726" s="27">
        <f t="shared" si="297"/>
        <v>45725</v>
      </c>
      <c r="BE726" s="5">
        <f>MONTH(Modelling[[#This Row],[Date]])</f>
        <v>3</v>
      </c>
      <c r="BF726" s="25">
        <f>YEAR(BD726)+IF(MONTH(Modelling[[#This Row],[Date]])&gt;=4,1,0)</f>
        <v>2025</v>
      </c>
      <c r="BG726" s="3">
        <f t="shared" si="284"/>
        <v>2025</v>
      </c>
      <c r="BH726" s="3" t="s">
        <v>627</v>
      </c>
      <c r="BI726" s="3" t="s">
        <v>627</v>
      </c>
      <c r="BJ726" s="102">
        <f>DATE(Modelling_old[[#This Row],[Calendor Year]],Modelling_old[[#This Row],[Start Month]],1)</f>
        <v>45717</v>
      </c>
      <c r="BK726" s="5">
        <f t="shared" si="285"/>
        <v>31</v>
      </c>
      <c r="BL726" s="5">
        <f t="shared" si="286"/>
        <v>3</v>
      </c>
      <c r="BM726" s="4">
        <f>Modelling_old[[#This Row],[Target E_Grid daily
MWh]]+Modelling_new[[#This Row],[Target E_Grid daily
MWh]]</f>
        <v>125.32192659484068</v>
      </c>
      <c r="BN726" s="4">
        <f>Modelling_old[[#This Row],[Target E_Grid MTD
MWh]]+Modelling_new[[#This Row],[Target E_Grid MTD
MWh]]</f>
        <v>1127.8973393535662</v>
      </c>
      <c r="BO726" s="4">
        <f>Modelling_old[[#This Row],[Target E_Grid YTD
MWh]]+Modelling_new[[#This Row],[Target E_Grid YTD
MWh]]</f>
        <v>36263.339496003246</v>
      </c>
      <c r="BP726" s="4">
        <f>AVERAGE(Modelling_old[[#This Row],[Target POA Daily (KWh/m2)]],Modelling_new[[#This Row],[Target POA Daily (KWh/m2)]])</f>
        <v>6.9</v>
      </c>
      <c r="BQ726" s="4">
        <f>SUM($BP$718:BP726)</f>
        <v>62.099999999999994</v>
      </c>
      <c r="BR726" s="4">
        <f>SUM($BP$384:BP726)</f>
        <v>2014.7999999999963</v>
      </c>
      <c r="BS726" s="323">
        <f>BM726/Modelling[[#This Row],[Comisined DC ]]/BP726</f>
        <v>0.74733667956858518</v>
      </c>
      <c r="BT726" s="337">
        <f>BN726/BQ726/Modelling[[#This Row],[Comisined DC ]]</f>
        <v>0.7473366795685854</v>
      </c>
      <c r="BU726" s="337">
        <f>BO726/BR726/Modelling[[#This Row],[Comisined DC ]]</f>
        <v>0.7405837522244233</v>
      </c>
      <c r="BV726" s="323">
        <f>BM726/(24*Modelling[[#This Row],[Comisined DC ]])</f>
        <v>0.21485929537596829</v>
      </c>
      <c r="BW726" s="323">
        <f>Modelling[[#This Row],[Target E_Grid MTD
MWh]]/Modelling[[#This Row],[MTD DC Capcity]]/(24*CG726)</f>
        <v>0.21485929537596832</v>
      </c>
      <c r="BX726" s="338">
        <f>Modelling[[#This Row],[Target E_Grid YTD
MWh]]/Modelling[[#This Row],[YTD DC Capcity]]/(24*CH726)</f>
        <v>0.18125949270915476</v>
      </c>
      <c r="BY726" s="4">
        <f>Modelling_old[[#This Row],[DC Capcity]]+Modelling_new[[#This Row],[Comisined DC ]]</f>
        <v>24.303100000000001</v>
      </c>
      <c r="BZ726" s="4">
        <v>0</v>
      </c>
      <c r="CA726">
        <f>AVERAGEIFS(Modelling[[Comisined DC ]],Modelling[Date],"&lt;="&amp;Modelling[[#This Row],[Date]],Modelling[Month Year],Modelling[[#This Row],[Month Year]])</f>
        <v>24.303100000000001</v>
      </c>
      <c r="CB726">
        <f>AVERAGEIFS(Modelling[[Comisined DC ]],Modelling[Date],"&lt;="&amp;Modelling[[#This Row],[Date]],Modelling[Finacial Year],Modelling[[#This Row],[Finacial Year]])</f>
        <v>24.303100000000057</v>
      </c>
      <c r="CG726">
        <f t="shared" si="266"/>
        <v>9</v>
      </c>
      <c r="CH726">
        <f t="shared" si="287"/>
        <v>343</v>
      </c>
    </row>
    <row r="727" spans="1:86" x14ac:dyDescent="0.35">
      <c r="A727" s="27">
        <f t="shared" si="267"/>
        <v>45726</v>
      </c>
      <c r="B727" s="5">
        <f>MONTH(Modelling_old[[#This Row],[Date]])</f>
        <v>3</v>
      </c>
      <c r="C727" s="25">
        <v>2025</v>
      </c>
      <c r="D727" s="3">
        <f t="shared" si="288"/>
        <v>2025</v>
      </c>
      <c r="E727" s="3" t="s">
        <v>627</v>
      </c>
      <c r="F727" s="3" t="s">
        <v>627</v>
      </c>
      <c r="G727" s="102">
        <f>DATE(Modelling_old[[#This Row],[Calendor Year]],Modelling_old[[#This Row],[Start Month]],1)</f>
        <v>45717</v>
      </c>
      <c r="H727" s="5">
        <f t="shared" si="289"/>
        <v>31</v>
      </c>
      <c r="I727" s="5">
        <f t="shared" si="290"/>
        <v>3</v>
      </c>
      <c r="J727" s="4">
        <f>_xlfn.XLOOKUP(Modelling_old[[#This Row],[Month]],$C$1:$C$14,$N$1:$N$14)/Modelling_old[[#This Row],[Total Days]]</f>
        <v>53.203225806451613</v>
      </c>
      <c r="K727" s="4">
        <f>SUM($J$718:J727)</f>
        <v>532.0322580645161</v>
      </c>
      <c r="L727" s="4">
        <f>SUM($J$384:J727)</f>
        <v>16090.732258064536</v>
      </c>
      <c r="M727" s="4">
        <f t="shared" si="291"/>
        <v>6.9</v>
      </c>
      <c r="N727" s="4">
        <f>SUM($M$718:M727)</f>
        <v>69</v>
      </c>
      <c r="O727" s="4">
        <f>SUM($M$384:M727)</f>
        <v>2021.6999999999964</v>
      </c>
      <c r="P727" s="323">
        <f t="shared" si="292"/>
        <v>0.67030734634295319</v>
      </c>
      <c r="Q727" s="337">
        <f t="shared" si="293"/>
        <v>0.67030734634295319</v>
      </c>
      <c r="R727" s="337">
        <f t="shared" si="294"/>
        <v>0.69190138842471927</v>
      </c>
      <c r="S727" s="323">
        <f t="shared" si="295"/>
        <v>0.19271336207359907</v>
      </c>
      <c r="T727" s="9">
        <f>Modelling_old[[#This Row],[Target E_Grid MTD
MWh]]/Modelling_old[[#This Row],[DC Capcity]]/(24*CG727)</f>
        <v>0.19271336207359904</v>
      </c>
      <c r="U727" s="338">
        <f>Modelling_old[[#This Row],[Target E_Grid YTD
MWh]]/Modelling_old[[#This Row],[DC Capcity]]/(24*CH727)</f>
        <v>0.16943035816112553</v>
      </c>
      <c r="V727" s="134">
        <v>11.5031</v>
      </c>
      <c r="Y727" s="27">
        <f t="shared" si="296"/>
        <v>45726</v>
      </c>
      <c r="Z727" s="5">
        <f>MONTH(Modelling_new[[#This Row],[Date]])</f>
        <v>3</v>
      </c>
      <c r="AA727" s="25">
        <f>YEAR(Y727)+IF(MONTH(Modelling_new[[#This Row],[Date]])&gt;=4,1,0)</f>
        <v>2025</v>
      </c>
      <c r="AB727" s="3">
        <f t="shared" si="276"/>
        <v>2025</v>
      </c>
      <c r="AC727" s="3" t="s">
        <v>627</v>
      </c>
      <c r="AD727" s="3" t="s">
        <v>627</v>
      </c>
      <c r="AE727" s="102">
        <f>DATE(Modelling_old[[#This Row],[Calendor Year]],Modelling_old[[#This Row],[Start Month]],1)</f>
        <v>45717</v>
      </c>
      <c r="AF727" s="5">
        <f t="shared" si="277"/>
        <v>31</v>
      </c>
      <c r="AG727" s="5">
        <f t="shared" si="278"/>
        <v>3</v>
      </c>
      <c r="AH727" s="4">
        <f>_xlfn.XLOOKUP(Modelling_new[[#This Row],[Month]],$AA$1:$AA$14,$AL$1:$AL$14)/Modelling_new[[#This Row],[Total Days]]</f>
        <v>72.118700788389063</v>
      </c>
      <c r="AI727" s="4">
        <f>SUM($AH$718:AH727)</f>
        <v>721.18700788389071</v>
      </c>
      <c r="AJ727" s="4">
        <f>SUM($AH$384:AH727)</f>
        <v>20297.929164533547</v>
      </c>
      <c r="AK727" s="4">
        <f t="shared" si="279"/>
        <v>6.9</v>
      </c>
      <c r="AL727" s="4">
        <f>SUM($AK$718:AK727)</f>
        <v>69</v>
      </c>
      <c r="AM727" s="4">
        <f>SUM($AK$384:AK727)</f>
        <v>2021.6999999999964</v>
      </c>
      <c r="AN727" s="323">
        <f t="shared" si="280"/>
        <v>0.90862338165413326</v>
      </c>
      <c r="AO727" s="323">
        <f t="shared" si="281"/>
        <v>0.90862338165413337</v>
      </c>
      <c r="AP727" s="323">
        <f t="shared" si="282"/>
        <v>0.87281082960339174</v>
      </c>
      <c r="AQ727" s="323">
        <f t="shared" si="283"/>
        <v>0.26122922222556338</v>
      </c>
      <c r="AR727" s="323">
        <f>Modelling_new[[#This Row],[Target E_Grid MTD
MWh]]/Modelling_new[[#This Row],[MTD DC Capcity]]/(24*CG727)</f>
        <v>0.23476139579553737</v>
      </c>
      <c r="AS727" s="323">
        <f>Modelling_new[[#This Row],[Target E_Grid YTD
MWh]]/Modelling_new[[#This Row],[YTD DC Capcity]]/(24*CH727)</f>
        <v>0.19207554699360144</v>
      </c>
      <c r="AT727" s="5">
        <v>12.8</v>
      </c>
      <c r="AU727" s="9">
        <f>Modelling_new[[#This Row],[Comisined DC ]]/$AO$1</f>
        <v>1</v>
      </c>
      <c r="AV727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727" s="5">
        <f>AVERAGEIFS(Modelling_new[[Comisined DC ]],Modelling_new[Date],"&lt;="&amp;Modelling_new[[#This Row],[Date]],Modelling_new[[Comisined DC ]],"&gt;"&amp;0,Modelling_new[Finacial Year],Modelling_new[[#This Row],[Finacial Year]])</f>
        <v>12.800000000000081</v>
      </c>
      <c r="BD727" s="27">
        <f t="shared" si="297"/>
        <v>45726</v>
      </c>
      <c r="BE727" s="5">
        <f>MONTH(Modelling[[#This Row],[Date]])</f>
        <v>3</v>
      </c>
      <c r="BF727" s="25">
        <f>YEAR(BD727)+IF(MONTH(Modelling[[#This Row],[Date]])&gt;=4,1,0)</f>
        <v>2025</v>
      </c>
      <c r="BG727" s="3">
        <f t="shared" si="284"/>
        <v>2025</v>
      </c>
      <c r="BH727" s="3" t="s">
        <v>627</v>
      </c>
      <c r="BI727" s="3" t="s">
        <v>627</v>
      </c>
      <c r="BJ727" s="102">
        <f>DATE(Modelling_old[[#This Row],[Calendor Year]],Modelling_old[[#This Row],[Start Month]],1)</f>
        <v>45717</v>
      </c>
      <c r="BK727" s="5">
        <f t="shared" si="285"/>
        <v>31</v>
      </c>
      <c r="BL727" s="5">
        <f t="shared" si="286"/>
        <v>3</v>
      </c>
      <c r="BM727" s="4">
        <f>Modelling_old[[#This Row],[Target E_Grid daily
MWh]]+Modelling_new[[#This Row],[Target E_Grid daily
MWh]]</f>
        <v>125.32192659484068</v>
      </c>
      <c r="BN727" s="4">
        <f>Modelling_old[[#This Row],[Target E_Grid MTD
MWh]]+Modelling_new[[#This Row],[Target E_Grid MTD
MWh]]</f>
        <v>1253.2192659484067</v>
      </c>
      <c r="BO727" s="4">
        <f>Modelling_old[[#This Row],[Target E_Grid YTD
MWh]]+Modelling_new[[#This Row],[Target E_Grid YTD
MWh]]</f>
        <v>36388.661422598081</v>
      </c>
      <c r="BP727" s="4">
        <f>AVERAGE(Modelling_old[[#This Row],[Target POA Daily (KWh/m2)]],Modelling_new[[#This Row],[Target POA Daily (KWh/m2)]])</f>
        <v>6.9</v>
      </c>
      <c r="BQ727" s="4">
        <f>SUM($BP$718:BP727)</f>
        <v>69</v>
      </c>
      <c r="BR727" s="4">
        <f>SUM($BP$384:BP727)</f>
        <v>2021.6999999999964</v>
      </c>
      <c r="BS727" s="323">
        <f>BM727/Modelling[[#This Row],[Comisined DC ]]/BP727</f>
        <v>0.74733667956858518</v>
      </c>
      <c r="BT727" s="337">
        <f>BN727/BQ727/Modelling[[#This Row],[Comisined DC ]]</f>
        <v>0.74733667956858529</v>
      </c>
      <c r="BU727" s="337">
        <f>BO727/BR727/Modelling[[#This Row],[Comisined DC ]]</f>
        <v>0.74060679975802102</v>
      </c>
      <c r="BV727" s="323">
        <f>BM727/(24*Modelling[[#This Row],[Comisined DC ]])</f>
        <v>0.21485929537596829</v>
      </c>
      <c r="BW727" s="323">
        <f>Modelling[[#This Row],[Target E_Grid MTD
MWh]]/Modelling[[#This Row],[MTD DC Capcity]]/(24*CG727)</f>
        <v>0.21485929537596826</v>
      </c>
      <c r="BX727" s="338">
        <f>Modelling[[#This Row],[Target E_Grid YTD
MWh]]/Modelling[[#This Row],[YTD DC Capcity]]/(24*CH727)</f>
        <v>0.18135716655411643</v>
      </c>
      <c r="BY727" s="4">
        <f>Modelling_old[[#This Row],[DC Capcity]]+Modelling_new[[#This Row],[Comisined DC ]]</f>
        <v>24.303100000000001</v>
      </c>
      <c r="BZ727" s="4">
        <v>0</v>
      </c>
      <c r="CA727">
        <f>AVERAGEIFS(Modelling[[Comisined DC ]],Modelling[Date],"&lt;="&amp;Modelling[[#This Row],[Date]],Modelling[Month Year],Modelling[[#This Row],[Month Year]])</f>
        <v>24.303100000000001</v>
      </c>
      <c r="CB727">
        <f>AVERAGEIFS(Modelling[[Comisined DC ]],Modelling[Date],"&lt;="&amp;Modelling[[#This Row],[Date]],Modelling[Finacial Year],Modelling[[#This Row],[Finacial Year]])</f>
        <v>24.303100000000054</v>
      </c>
      <c r="CG727">
        <f t="shared" si="266"/>
        <v>10</v>
      </c>
      <c r="CH727">
        <f t="shared" si="287"/>
        <v>344</v>
      </c>
    </row>
    <row r="728" spans="1:86" x14ac:dyDescent="0.35">
      <c r="A728" s="27">
        <f t="shared" si="267"/>
        <v>45727</v>
      </c>
      <c r="B728" s="5">
        <f>MONTH(Modelling_old[[#This Row],[Date]])</f>
        <v>3</v>
      </c>
      <c r="C728" s="25">
        <v>2025</v>
      </c>
      <c r="D728" s="3">
        <f t="shared" si="288"/>
        <v>2025</v>
      </c>
      <c r="E728" s="3" t="s">
        <v>627</v>
      </c>
      <c r="F728" s="3" t="s">
        <v>627</v>
      </c>
      <c r="G728" s="102">
        <f>DATE(Modelling_old[[#This Row],[Calendor Year]],Modelling_old[[#This Row],[Start Month]],1)</f>
        <v>45717</v>
      </c>
      <c r="H728" s="5">
        <f t="shared" si="289"/>
        <v>31</v>
      </c>
      <c r="I728" s="5">
        <f t="shared" si="290"/>
        <v>3</v>
      </c>
      <c r="J728" s="4">
        <f>_xlfn.XLOOKUP(Modelling_old[[#This Row],[Month]],$C$1:$C$14,$N$1:$N$14)/Modelling_old[[#This Row],[Total Days]]</f>
        <v>53.203225806451613</v>
      </c>
      <c r="K728" s="4">
        <f>SUM($J$718:J728)</f>
        <v>585.23548387096776</v>
      </c>
      <c r="L728" s="4">
        <f>SUM($J$384:J728)</f>
        <v>16143.935483870988</v>
      </c>
      <c r="M728" s="4">
        <f t="shared" si="291"/>
        <v>6.9</v>
      </c>
      <c r="N728" s="4">
        <f>SUM($M$718:M728)</f>
        <v>75.900000000000006</v>
      </c>
      <c r="O728" s="4">
        <f>SUM($M$384:M728)</f>
        <v>2028.5999999999965</v>
      </c>
      <c r="P728" s="323">
        <f t="shared" si="292"/>
        <v>0.67030734634295319</v>
      </c>
      <c r="Q728" s="337">
        <f t="shared" si="293"/>
        <v>0.67030734634295319</v>
      </c>
      <c r="R728" s="337">
        <f t="shared" si="294"/>
        <v>0.69182793930199216</v>
      </c>
      <c r="S728" s="323">
        <f t="shared" si="295"/>
        <v>0.19271336207359907</v>
      </c>
      <c r="T728" s="9">
        <f>Modelling_old[[#This Row],[Target E_Grid MTD
MWh]]/Modelling_old[[#This Row],[DC Capcity]]/(24*CG728)</f>
        <v>0.19271336207359904</v>
      </c>
      <c r="U728" s="338">
        <f>Modelling_old[[#This Row],[Target E_Grid YTD
MWh]]/Modelling_old[[#This Row],[DC Capcity]]/(24*CH728)</f>
        <v>0.16949784512898777</v>
      </c>
      <c r="V728" s="134">
        <v>11.5031</v>
      </c>
      <c r="Y728" s="27">
        <f t="shared" si="296"/>
        <v>45727</v>
      </c>
      <c r="Z728" s="5">
        <f>MONTH(Modelling_new[[#This Row],[Date]])</f>
        <v>3</v>
      </c>
      <c r="AA728" s="25">
        <f>YEAR(Y728)+IF(MONTH(Modelling_new[[#This Row],[Date]])&gt;=4,1,0)</f>
        <v>2025</v>
      </c>
      <c r="AB728" s="3">
        <f t="shared" si="276"/>
        <v>2025</v>
      </c>
      <c r="AC728" s="3" t="s">
        <v>627</v>
      </c>
      <c r="AD728" s="3" t="s">
        <v>627</v>
      </c>
      <c r="AE728" s="102">
        <f>DATE(Modelling_old[[#This Row],[Calendor Year]],Modelling_old[[#This Row],[Start Month]],1)</f>
        <v>45717</v>
      </c>
      <c r="AF728" s="5">
        <f t="shared" si="277"/>
        <v>31</v>
      </c>
      <c r="AG728" s="5">
        <f t="shared" si="278"/>
        <v>3</v>
      </c>
      <c r="AH728" s="4">
        <f>_xlfn.XLOOKUP(Modelling_new[[#This Row],[Month]],$AA$1:$AA$14,$AL$1:$AL$14)/Modelling_new[[#This Row],[Total Days]]</f>
        <v>72.118700788389063</v>
      </c>
      <c r="AI728" s="4">
        <f>SUM($AH$718:AH728)</f>
        <v>793.30570867227982</v>
      </c>
      <c r="AJ728" s="4">
        <f>SUM($AH$384:AH728)</f>
        <v>20370.047865321936</v>
      </c>
      <c r="AK728" s="4">
        <f t="shared" si="279"/>
        <v>6.9</v>
      </c>
      <c r="AL728" s="4">
        <f>SUM($AK$718:AK728)</f>
        <v>75.900000000000006</v>
      </c>
      <c r="AM728" s="4">
        <f>SUM($AK$384:AK728)</f>
        <v>2028.5999999999965</v>
      </c>
      <c r="AN728" s="323">
        <f t="shared" si="280"/>
        <v>0.90862338165413326</v>
      </c>
      <c r="AO728" s="323">
        <f t="shared" si="281"/>
        <v>0.90862338165413337</v>
      </c>
      <c r="AP728" s="323">
        <f t="shared" si="282"/>
        <v>0.87293264100492474</v>
      </c>
      <c r="AQ728" s="323">
        <f t="shared" si="283"/>
        <v>0.26122922222556338</v>
      </c>
      <c r="AR728" s="323">
        <f>Modelling_new[[#This Row],[Target E_Grid MTD
MWh]]/Modelling_new[[#This Row],[MTD DC Capcity]]/(24*CG728)</f>
        <v>0.23476139579553737</v>
      </c>
      <c r="AS728" s="323">
        <f>Modelling_new[[#This Row],[Target E_Grid YTD
MWh]]/Modelling_new[[#This Row],[YTD DC Capcity]]/(24*CH728)</f>
        <v>0.19219927409157803</v>
      </c>
      <c r="AT728" s="5">
        <v>12.8</v>
      </c>
      <c r="AU728" s="9">
        <f>Modelling_new[[#This Row],[Comisined DC ]]/$AO$1</f>
        <v>1</v>
      </c>
      <c r="AV728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728" s="5">
        <f>AVERAGEIFS(Modelling_new[[Comisined DC ]],Modelling_new[Date],"&lt;="&amp;Modelling_new[[#This Row],[Date]],Modelling_new[[Comisined DC ]],"&gt;"&amp;0,Modelling_new[Finacial Year],Modelling_new[[#This Row],[Finacial Year]])</f>
        <v>12.800000000000082</v>
      </c>
      <c r="BD728" s="27">
        <f t="shared" si="297"/>
        <v>45727</v>
      </c>
      <c r="BE728" s="5">
        <f>MONTH(Modelling[[#This Row],[Date]])</f>
        <v>3</v>
      </c>
      <c r="BF728" s="25">
        <f>YEAR(BD728)+IF(MONTH(Modelling[[#This Row],[Date]])&gt;=4,1,0)</f>
        <v>2025</v>
      </c>
      <c r="BG728" s="3">
        <f t="shared" si="284"/>
        <v>2025</v>
      </c>
      <c r="BH728" s="3" t="s">
        <v>627</v>
      </c>
      <c r="BI728" s="3" t="s">
        <v>627</v>
      </c>
      <c r="BJ728" s="102">
        <f>DATE(Modelling_old[[#This Row],[Calendor Year]],Modelling_old[[#This Row],[Start Month]],1)</f>
        <v>45717</v>
      </c>
      <c r="BK728" s="5">
        <f t="shared" si="285"/>
        <v>31</v>
      </c>
      <c r="BL728" s="5">
        <f t="shared" si="286"/>
        <v>3</v>
      </c>
      <c r="BM728" s="4">
        <f>Modelling_old[[#This Row],[Target E_Grid daily
MWh]]+Modelling_new[[#This Row],[Target E_Grid daily
MWh]]</f>
        <v>125.32192659484068</v>
      </c>
      <c r="BN728" s="4">
        <f>Modelling_old[[#This Row],[Target E_Grid MTD
MWh]]+Modelling_new[[#This Row],[Target E_Grid MTD
MWh]]</f>
        <v>1378.5411925432477</v>
      </c>
      <c r="BO728" s="4">
        <f>Modelling_old[[#This Row],[Target E_Grid YTD
MWh]]+Modelling_new[[#This Row],[Target E_Grid YTD
MWh]]</f>
        <v>36513.983349192924</v>
      </c>
      <c r="BP728" s="4">
        <f>AVERAGE(Modelling_old[[#This Row],[Target POA Daily (KWh/m2)]],Modelling_new[[#This Row],[Target POA Daily (KWh/m2)]])</f>
        <v>6.9</v>
      </c>
      <c r="BQ728" s="4">
        <f>SUM($BP$718:BP728)</f>
        <v>75.900000000000006</v>
      </c>
      <c r="BR728" s="4">
        <f>SUM($BP$384:BP728)</f>
        <v>2028.5999999999965</v>
      </c>
      <c r="BS728" s="323">
        <f>BM728/Modelling[[#This Row],[Comisined DC ]]/BP728</f>
        <v>0.74733667956858518</v>
      </c>
      <c r="BT728" s="337">
        <f>BN728/BQ728/Modelling[[#This Row],[Comisined DC ]]</f>
        <v>0.7473366795685854</v>
      </c>
      <c r="BU728" s="337">
        <f>BO728/BR728/Modelling[[#This Row],[Comisined DC ]]</f>
        <v>0.74062969050567606</v>
      </c>
      <c r="BV728" s="323">
        <f>BM728/(24*Modelling[[#This Row],[Comisined DC ]])</f>
        <v>0.21485929537596829</v>
      </c>
      <c r="BW728" s="323">
        <f>Modelling[[#This Row],[Target E_Grid MTD
MWh]]/Modelling[[#This Row],[MTD DC Capcity]]/(24*CG728)</f>
        <v>0.21485929537596826</v>
      </c>
      <c r="BX728" s="338">
        <f>Modelling[[#This Row],[Target E_Grid YTD
MWh]]/Modelling[[#This Row],[YTD DC Capcity]]/(24*CH728)</f>
        <v>0.18145427417388996</v>
      </c>
      <c r="BY728" s="4">
        <f>Modelling_old[[#This Row],[DC Capcity]]+Modelling_new[[#This Row],[Comisined DC ]]</f>
        <v>24.303100000000001</v>
      </c>
      <c r="BZ728" s="4">
        <v>0</v>
      </c>
      <c r="CA728">
        <f>AVERAGEIFS(Modelling[[Comisined DC ]],Modelling[Date],"&lt;="&amp;Modelling[[#This Row],[Date]],Modelling[Month Year],Modelling[[#This Row],[Month Year]])</f>
        <v>24.303100000000004</v>
      </c>
      <c r="CB728">
        <f>AVERAGEIFS(Modelling[[Comisined DC ]],Modelling[Date],"&lt;="&amp;Modelling[[#This Row],[Date]],Modelling[Finacial Year],Modelling[[#This Row],[Finacial Year]])</f>
        <v>24.30310000000005</v>
      </c>
      <c r="CG728">
        <f t="shared" si="266"/>
        <v>11</v>
      </c>
      <c r="CH728">
        <f t="shared" si="287"/>
        <v>345</v>
      </c>
    </row>
    <row r="729" spans="1:86" x14ac:dyDescent="0.35">
      <c r="A729" s="27">
        <f t="shared" si="267"/>
        <v>45728</v>
      </c>
      <c r="B729" s="5">
        <f>MONTH(Modelling_old[[#This Row],[Date]])</f>
        <v>3</v>
      </c>
      <c r="C729" s="25">
        <v>2025</v>
      </c>
      <c r="D729" s="3">
        <f t="shared" si="288"/>
        <v>2025</v>
      </c>
      <c r="E729" s="3" t="s">
        <v>627</v>
      </c>
      <c r="F729" s="3" t="s">
        <v>627</v>
      </c>
      <c r="G729" s="102">
        <f>DATE(Modelling_old[[#This Row],[Calendor Year]],Modelling_old[[#This Row],[Start Month]],1)</f>
        <v>45717</v>
      </c>
      <c r="H729" s="5">
        <f t="shared" si="289"/>
        <v>31</v>
      </c>
      <c r="I729" s="5">
        <f t="shared" si="290"/>
        <v>3</v>
      </c>
      <c r="J729" s="4">
        <f>_xlfn.XLOOKUP(Modelling_old[[#This Row],[Month]],$C$1:$C$14,$N$1:$N$14)/Modelling_old[[#This Row],[Total Days]]</f>
        <v>53.203225806451613</v>
      </c>
      <c r="K729" s="4">
        <f>SUM($J$718:J729)</f>
        <v>638.43870967741941</v>
      </c>
      <c r="L729" s="4">
        <f>SUM($J$384:J729)</f>
        <v>16197.13870967744</v>
      </c>
      <c r="M729" s="4">
        <f t="shared" si="291"/>
        <v>6.9</v>
      </c>
      <c r="N729" s="4">
        <f>SUM($M$718:M729)</f>
        <v>82.800000000000011</v>
      </c>
      <c r="O729" s="4">
        <f>SUM($M$384:M729)</f>
        <v>2035.4999999999966</v>
      </c>
      <c r="P729" s="323">
        <f t="shared" si="292"/>
        <v>0.67030734634295319</v>
      </c>
      <c r="Q729" s="337">
        <f t="shared" si="293"/>
        <v>0.67030734634295319</v>
      </c>
      <c r="R729" s="337">
        <f t="shared" si="294"/>
        <v>0.69175498813941916</v>
      </c>
      <c r="S729" s="323">
        <f t="shared" si="295"/>
        <v>0.19271336207359907</v>
      </c>
      <c r="T729" s="9">
        <f>Modelling_old[[#This Row],[Target E_Grid MTD
MWh]]/Modelling_old[[#This Row],[DC Capcity]]/(24*CG729)</f>
        <v>0.19271336207359907</v>
      </c>
      <c r="U729" s="338">
        <f>Modelling_old[[#This Row],[Target E_Grid YTD
MWh]]/Modelling_old[[#This Row],[DC Capcity]]/(24*CH729)</f>
        <v>0.1695649419987699</v>
      </c>
      <c r="V729" s="134">
        <v>11.5031</v>
      </c>
      <c r="Y729" s="27">
        <f t="shared" si="296"/>
        <v>45728</v>
      </c>
      <c r="Z729" s="5">
        <f>MONTH(Modelling_new[[#This Row],[Date]])</f>
        <v>3</v>
      </c>
      <c r="AA729" s="25">
        <f>YEAR(Y729)+IF(MONTH(Modelling_new[[#This Row],[Date]])&gt;=4,1,0)</f>
        <v>2025</v>
      </c>
      <c r="AB729" s="3">
        <f t="shared" si="276"/>
        <v>2025</v>
      </c>
      <c r="AC729" s="3" t="s">
        <v>627</v>
      </c>
      <c r="AD729" s="3" t="s">
        <v>627</v>
      </c>
      <c r="AE729" s="102">
        <f>DATE(Modelling_old[[#This Row],[Calendor Year]],Modelling_old[[#This Row],[Start Month]],1)</f>
        <v>45717</v>
      </c>
      <c r="AF729" s="5">
        <f t="shared" si="277"/>
        <v>31</v>
      </c>
      <c r="AG729" s="5">
        <f t="shared" si="278"/>
        <v>3</v>
      </c>
      <c r="AH729" s="4">
        <f>_xlfn.XLOOKUP(Modelling_new[[#This Row],[Month]],$AA$1:$AA$14,$AL$1:$AL$14)/Modelling_new[[#This Row],[Total Days]]</f>
        <v>72.118700788389063</v>
      </c>
      <c r="AI729" s="4">
        <f>SUM($AH$718:AH729)</f>
        <v>865.42440946066893</v>
      </c>
      <c r="AJ729" s="4">
        <f>SUM($AH$384:AH729)</f>
        <v>20442.166566110325</v>
      </c>
      <c r="AK729" s="4">
        <f t="shared" si="279"/>
        <v>6.9</v>
      </c>
      <c r="AL729" s="4">
        <f>SUM($AK$718:AK729)</f>
        <v>82.800000000000011</v>
      </c>
      <c r="AM729" s="4">
        <f>SUM($AK$384:AK729)</f>
        <v>2035.4999999999966</v>
      </c>
      <c r="AN729" s="323">
        <f t="shared" si="280"/>
        <v>0.90862338165413326</v>
      </c>
      <c r="AO729" s="323">
        <f t="shared" si="281"/>
        <v>0.90862338165413337</v>
      </c>
      <c r="AP729" s="323">
        <f t="shared" si="282"/>
        <v>0.87305362656644758</v>
      </c>
      <c r="AQ729" s="323">
        <f t="shared" si="283"/>
        <v>0.26122922222556338</v>
      </c>
      <c r="AR729" s="323">
        <f>Modelling_new[[#This Row],[Target E_Grid MTD
MWh]]/Modelling_new[[#This Row],[MTD DC Capcity]]/(24*CG729)</f>
        <v>0.2347613957955374</v>
      </c>
      <c r="AS729" s="323">
        <f>Modelling_new[[#This Row],[Target E_Grid YTD
MWh]]/Modelling_new[[#This Row],[YTD DC Capcity]]/(24*CH729)</f>
        <v>0.19232228600401718</v>
      </c>
      <c r="AT729" s="5">
        <v>12.8</v>
      </c>
      <c r="AU729" s="9">
        <f>Modelling_new[[#This Row],[Comisined DC ]]/$AO$1</f>
        <v>1</v>
      </c>
      <c r="AV729" s="5">
        <f>AVERAGEIFS(Modelling_new[[Comisined DC ]],Modelling_new[Date],"&lt;="&amp;Modelling_new[[#This Row],[Date]],Modelling_new[[Comisined DC ]],"&gt;"&amp;0,Modelling_new[Month Year],Modelling_new[[#This Row],[Month Year]])</f>
        <v>12.799999999999999</v>
      </c>
      <c r="AW729" s="5">
        <f>AVERAGEIFS(Modelling_new[[Comisined DC ]],Modelling_new[Date],"&lt;="&amp;Modelling_new[[#This Row],[Date]],Modelling_new[[Comisined DC ]],"&gt;"&amp;0,Modelling_new[Finacial Year],Modelling_new[[#This Row],[Finacial Year]])</f>
        <v>12.800000000000082</v>
      </c>
      <c r="BD729" s="27">
        <f t="shared" si="297"/>
        <v>45728</v>
      </c>
      <c r="BE729" s="5">
        <f>MONTH(Modelling[[#This Row],[Date]])</f>
        <v>3</v>
      </c>
      <c r="BF729" s="25">
        <f>YEAR(BD729)+IF(MONTH(Modelling[[#This Row],[Date]])&gt;=4,1,0)</f>
        <v>2025</v>
      </c>
      <c r="BG729" s="3">
        <f t="shared" si="284"/>
        <v>2025</v>
      </c>
      <c r="BH729" s="3" t="s">
        <v>627</v>
      </c>
      <c r="BI729" s="3" t="s">
        <v>627</v>
      </c>
      <c r="BJ729" s="102">
        <f>DATE(Modelling_old[[#This Row],[Calendor Year]],Modelling_old[[#This Row],[Start Month]],1)</f>
        <v>45717</v>
      </c>
      <c r="BK729" s="5">
        <f t="shared" si="285"/>
        <v>31</v>
      </c>
      <c r="BL729" s="5">
        <f t="shared" si="286"/>
        <v>3</v>
      </c>
      <c r="BM729" s="4">
        <f>Modelling_old[[#This Row],[Target E_Grid daily
MWh]]+Modelling_new[[#This Row],[Target E_Grid daily
MWh]]</f>
        <v>125.32192659484068</v>
      </c>
      <c r="BN729" s="4">
        <f>Modelling_old[[#This Row],[Target E_Grid MTD
MWh]]+Modelling_new[[#This Row],[Target E_Grid MTD
MWh]]</f>
        <v>1503.8631191380882</v>
      </c>
      <c r="BO729" s="4">
        <f>Modelling_old[[#This Row],[Target E_Grid YTD
MWh]]+Modelling_new[[#This Row],[Target E_Grid YTD
MWh]]</f>
        <v>36639.305275787767</v>
      </c>
      <c r="BP729" s="4">
        <f>AVERAGE(Modelling_old[[#This Row],[Target POA Daily (KWh/m2)]],Modelling_new[[#This Row],[Target POA Daily (KWh/m2)]])</f>
        <v>6.9</v>
      </c>
      <c r="BQ729" s="4">
        <f>SUM($BP$718:BP729)</f>
        <v>82.800000000000011</v>
      </c>
      <c r="BR729" s="4">
        <f>SUM($BP$384:BP729)</f>
        <v>2035.4999999999966</v>
      </c>
      <c r="BS729" s="323">
        <f>BM729/Modelling[[#This Row],[Comisined DC ]]/BP729</f>
        <v>0.74733667956858518</v>
      </c>
      <c r="BT729" s="337">
        <f>BN729/BQ729/Modelling[[#This Row],[Comisined DC ]]</f>
        <v>0.74733667956858529</v>
      </c>
      <c r="BU729" s="337">
        <f>BO729/BR729/Modelling[[#This Row],[Comisined DC ]]</f>
        <v>0.74065242606182158</v>
      </c>
      <c r="BV729" s="323">
        <f>BM729/(24*Modelling[[#This Row],[Comisined DC ]])</f>
        <v>0.21485929537596829</v>
      </c>
      <c r="BW729" s="323">
        <f>Modelling[[#This Row],[Target E_Grid MTD
MWh]]/Modelling[[#This Row],[MTD DC Capcity]]/(24*CG729)</f>
        <v>0.21485929537596829</v>
      </c>
      <c r="BX729" s="338">
        <f>Modelling[[#This Row],[Target E_Grid YTD
MWh]]/Modelling[[#This Row],[YTD DC Capcity]]/(24*CH729)</f>
        <v>0.18155082047794222</v>
      </c>
      <c r="BY729" s="4">
        <f>Modelling_old[[#This Row],[DC Capcity]]+Modelling_new[[#This Row],[Comisined DC ]]</f>
        <v>24.303100000000001</v>
      </c>
      <c r="BZ729" s="4">
        <v>0</v>
      </c>
      <c r="CA729">
        <f>AVERAGEIFS(Modelling[[Comisined DC ]],Modelling[Date],"&lt;="&amp;Modelling[[#This Row],[Date]],Modelling[Month Year],Modelling[[#This Row],[Month Year]])</f>
        <v>24.303100000000001</v>
      </c>
      <c r="CB729">
        <f>AVERAGEIFS(Modelling[[Comisined DC ]],Modelling[Date],"&lt;="&amp;Modelling[[#This Row],[Date]],Modelling[Finacial Year],Modelling[[#This Row],[Finacial Year]])</f>
        <v>24.30310000000005</v>
      </c>
      <c r="CG729">
        <f t="shared" si="266"/>
        <v>12</v>
      </c>
      <c r="CH729">
        <f t="shared" si="287"/>
        <v>346</v>
      </c>
    </row>
    <row r="730" spans="1:86" x14ac:dyDescent="0.35">
      <c r="A730" s="27">
        <f t="shared" si="267"/>
        <v>45729</v>
      </c>
      <c r="B730" s="5">
        <f>MONTH(Modelling_old[[#This Row],[Date]])</f>
        <v>3</v>
      </c>
      <c r="C730" s="25">
        <v>2025</v>
      </c>
      <c r="D730" s="3">
        <f t="shared" si="288"/>
        <v>2025</v>
      </c>
      <c r="E730" s="3" t="s">
        <v>627</v>
      </c>
      <c r="F730" s="3" t="s">
        <v>627</v>
      </c>
      <c r="G730" s="102">
        <f>DATE(Modelling_old[[#This Row],[Calendor Year]],Modelling_old[[#This Row],[Start Month]],1)</f>
        <v>45717</v>
      </c>
      <c r="H730" s="5">
        <f t="shared" si="289"/>
        <v>31</v>
      </c>
      <c r="I730" s="5">
        <f t="shared" si="290"/>
        <v>3</v>
      </c>
      <c r="J730" s="4">
        <f>_xlfn.XLOOKUP(Modelling_old[[#This Row],[Month]],$C$1:$C$14,$N$1:$N$14)/Modelling_old[[#This Row],[Total Days]]</f>
        <v>53.203225806451613</v>
      </c>
      <c r="K730" s="4">
        <f>SUM($J$718:J730)</f>
        <v>691.64193548387107</v>
      </c>
      <c r="L730" s="4">
        <f>SUM($J$384:J730)</f>
        <v>16250.341935483892</v>
      </c>
      <c r="M730" s="4">
        <f t="shared" si="291"/>
        <v>6.9</v>
      </c>
      <c r="N730" s="4">
        <f>SUM($M$718:M730)</f>
        <v>89.700000000000017</v>
      </c>
      <c r="O730" s="4">
        <f>SUM($M$384:M730)</f>
        <v>2042.3999999999967</v>
      </c>
      <c r="P730" s="323">
        <f t="shared" si="292"/>
        <v>0.67030734634295319</v>
      </c>
      <c r="Q730" s="337">
        <f t="shared" si="293"/>
        <v>0.67030734634295319</v>
      </c>
      <c r="R730" s="337">
        <f t="shared" si="294"/>
        <v>0.69168252989010681</v>
      </c>
      <c r="S730" s="323">
        <f t="shared" si="295"/>
        <v>0.19271336207359907</v>
      </c>
      <c r="T730" s="9">
        <f>Modelling_old[[#This Row],[Target E_Grid MTD
MWh]]/Modelling_old[[#This Row],[DC Capcity]]/(24*CG730)</f>
        <v>0.19271336207359907</v>
      </c>
      <c r="U730" s="338">
        <f>Modelling_old[[#This Row],[Target E_Grid YTD
MWh]]/Modelling_old[[#This Row],[DC Capcity]]/(24*CH730)</f>
        <v>0.16963165214307777</v>
      </c>
      <c r="V730" s="134">
        <v>11.5031</v>
      </c>
      <c r="Y730" s="27">
        <f t="shared" si="296"/>
        <v>45729</v>
      </c>
      <c r="Z730" s="5">
        <f>MONTH(Modelling_new[[#This Row],[Date]])</f>
        <v>3</v>
      </c>
      <c r="AA730" s="25">
        <f>YEAR(Y730)+IF(MONTH(Modelling_new[[#This Row],[Date]])&gt;=4,1,0)</f>
        <v>2025</v>
      </c>
      <c r="AB730" s="3">
        <f t="shared" si="276"/>
        <v>2025</v>
      </c>
      <c r="AC730" s="3" t="s">
        <v>627</v>
      </c>
      <c r="AD730" s="3" t="s">
        <v>627</v>
      </c>
      <c r="AE730" s="102">
        <f>DATE(Modelling_old[[#This Row],[Calendor Year]],Modelling_old[[#This Row],[Start Month]],1)</f>
        <v>45717</v>
      </c>
      <c r="AF730" s="5">
        <f t="shared" si="277"/>
        <v>31</v>
      </c>
      <c r="AG730" s="5">
        <f t="shared" si="278"/>
        <v>3</v>
      </c>
      <c r="AH730" s="4">
        <f>_xlfn.XLOOKUP(Modelling_new[[#This Row],[Month]],$AA$1:$AA$14,$AL$1:$AL$14)/Modelling_new[[#This Row],[Total Days]]</f>
        <v>72.118700788389063</v>
      </c>
      <c r="AI730" s="4">
        <f>SUM($AH$718:AH730)</f>
        <v>937.54311024905803</v>
      </c>
      <c r="AJ730" s="4">
        <f>SUM($AH$384:AH730)</f>
        <v>20514.285266898714</v>
      </c>
      <c r="AK730" s="4">
        <f t="shared" si="279"/>
        <v>6.9</v>
      </c>
      <c r="AL730" s="4">
        <f>SUM($AK$718:AK730)</f>
        <v>89.700000000000017</v>
      </c>
      <c r="AM730" s="4">
        <f>SUM($AK$384:AK730)</f>
        <v>2042.3999999999967</v>
      </c>
      <c r="AN730" s="323">
        <f t="shared" si="280"/>
        <v>0.90862338165413326</v>
      </c>
      <c r="AO730" s="323">
        <f t="shared" si="281"/>
        <v>0.90862338165413337</v>
      </c>
      <c r="AP730" s="323">
        <f t="shared" si="282"/>
        <v>0.87317379465795986</v>
      </c>
      <c r="AQ730" s="323">
        <f t="shared" si="283"/>
        <v>0.26122922222556338</v>
      </c>
      <c r="AR730" s="323">
        <f>Modelling_new[[#This Row],[Target E_Grid MTD
MWh]]/Modelling_new[[#This Row],[MTD DC Capcity]]/(24*CG730)</f>
        <v>0.23476139579553737</v>
      </c>
      <c r="AS730" s="323">
        <f>Modelling_new[[#This Row],[Target E_Grid YTD
MWh]]/Modelling_new[[#This Row],[YTD DC Capcity]]/(24*CH730)</f>
        <v>0.1924445889140792</v>
      </c>
      <c r="AT730" s="5">
        <v>12.8</v>
      </c>
      <c r="AU730" s="9">
        <f>Modelling_new[[#This Row],[Comisined DC ]]/$AO$1</f>
        <v>1</v>
      </c>
      <c r="AV730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730" s="5">
        <f>AVERAGEIFS(Modelling_new[[Comisined DC ]],Modelling_new[Date],"&lt;="&amp;Modelling_new[[#This Row],[Date]],Modelling_new[[Comisined DC ]],"&gt;"&amp;0,Modelling_new[Finacial Year],Modelling_new[[#This Row],[Finacial Year]])</f>
        <v>12.800000000000082</v>
      </c>
      <c r="BD730" s="27">
        <f t="shared" si="297"/>
        <v>45729</v>
      </c>
      <c r="BE730" s="5">
        <f>MONTH(Modelling[[#This Row],[Date]])</f>
        <v>3</v>
      </c>
      <c r="BF730" s="25">
        <f>YEAR(BD730)+IF(MONTH(Modelling[[#This Row],[Date]])&gt;=4,1,0)</f>
        <v>2025</v>
      </c>
      <c r="BG730" s="3">
        <f t="shared" si="284"/>
        <v>2025</v>
      </c>
      <c r="BH730" s="3" t="s">
        <v>627</v>
      </c>
      <c r="BI730" s="3" t="s">
        <v>627</v>
      </c>
      <c r="BJ730" s="102">
        <f>DATE(Modelling_old[[#This Row],[Calendor Year]],Modelling_old[[#This Row],[Start Month]],1)</f>
        <v>45717</v>
      </c>
      <c r="BK730" s="5">
        <f t="shared" si="285"/>
        <v>31</v>
      </c>
      <c r="BL730" s="5">
        <f t="shared" si="286"/>
        <v>3</v>
      </c>
      <c r="BM730" s="4">
        <f>Modelling_old[[#This Row],[Target E_Grid daily
MWh]]+Modelling_new[[#This Row],[Target E_Grid daily
MWh]]</f>
        <v>125.32192659484068</v>
      </c>
      <c r="BN730" s="4">
        <f>Modelling_old[[#This Row],[Target E_Grid MTD
MWh]]+Modelling_new[[#This Row],[Target E_Grid MTD
MWh]]</f>
        <v>1629.1850457329292</v>
      </c>
      <c r="BO730" s="4">
        <f>Modelling_old[[#This Row],[Target E_Grid YTD
MWh]]+Modelling_new[[#This Row],[Target E_Grid YTD
MWh]]</f>
        <v>36764.627202382602</v>
      </c>
      <c r="BP730" s="4">
        <f>AVERAGE(Modelling_old[[#This Row],[Target POA Daily (KWh/m2)]],Modelling_new[[#This Row],[Target POA Daily (KWh/m2)]])</f>
        <v>6.9</v>
      </c>
      <c r="BQ730" s="4">
        <f>SUM($BP$718:BP730)</f>
        <v>89.700000000000017</v>
      </c>
      <c r="BR730" s="4">
        <f>SUM($BP$384:BP730)</f>
        <v>2042.3999999999967</v>
      </c>
      <c r="BS730" s="323">
        <f>BM730/Modelling[[#This Row],[Comisined DC ]]/BP730</f>
        <v>0.74733667956858518</v>
      </c>
      <c r="BT730" s="337">
        <f>BN730/BQ730/Modelling[[#This Row],[Comisined DC ]]</f>
        <v>0.7473366795685854</v>
      </c>
      <c r="BU730" s="337">
        <f>BO730/BR730/Modelling[[#This Row],[Comisined DC ]]</f>
        <v>0.74067500799934427</v>
      </c>
      <c r="BV730" s="323">
        <f>BM730/(24*Modelling[[#This Row],[Comisined DC ]])</f>
        <v>0.21485929537596829</v>
      </c>
      <c r="BW730" s="323">
        <f>Modelling[[#This Row],[Target E_Grid MTD
MWh]]/Modelling[[#This Row],[MTD DC Capcity]]/(24*CG730)</f>
        <v>0.21485929537596837</v>
      </c>
      <c r="BX730" s="338">
        <f>Modelling[[#This Row],[Target E_Grid YTD
MWh]]/Modelling[[#This Row],[YTD DC Capcity]]/(24*CH730)</f>
        <v>0.1816468103191469</v>
      </c>
      <c r="BY730" s="4">
        <f>Modelling_old[[#This Row],[DC Capcity]]+Modelling_new[[#This Row],[Comisined DC ]]</f>
        <v>24.303100000000001</v>
      </c>
      <c r="BZ730" s="4">
        <v>0</v>
      </c>
      <c r="CA730">
        <f>AVERAGEIFS(Modelling[[Comisined DC ]],Modelling[Date],"&lt;="&amp;Modelling[[#This Row],[Date]],Modelling[Month Year],Modelling[[#This Row],[Month Year]])</f>
        <v>24.303099999999997</v>
      </c>
      <c r="CB730">
        <f>AVERAGEIFS(Modelling[[Comisined DC ]],Modelling[Date],"&lt;="&amp;Modelling[[#This Row],[Date]],Modelling[Finacial Year],Modelling[[#This Row],[Finacial Year]])</f>
        <v>24.303100000000047</v>
      </c>
      <c r="CG730">
        <f t="shared" si="266"/>
        <v>13</v>
      </c>
      <c r="CH730">
        <f t="shared" si="287"/>
        <v>347</v>
      </c>
    </row>
    <row r="731" spans="1:86" x14ac:dyDescent="0.35">
      <c r="A731" s="27">
        <f t="shared" si="267"/>
        <v>45730</v>
      </c>
      <c r="B731" s="5">
        <f>MONTH(Modelling_old[[#This Row],[Date]])</f>
        <v>3</v>
      </c>
      <c r="C731" s="25">
        <v>2025</v>
      </c>
      <c r="D731" s="3">
        <f t="shared" si="288"/>
        <v>2025</v>
      </c>
      <c r="E731" s="3" t="s">
        <v>627</v>
      </c>
      <c r="F731" s="3" t="s">
        <v>627</v>
      </c>
      <c r="G731" s="102">
        <f>DATE(Modelling_old[[#This Row],[Calendor Year]],Modelling_old[[#This Row],[Start Month]],1)</f>
        <v>45717</v>
      </c>
      <c r="H731" s="5">
        <f t="shared" si="289"/>
        <v>31</v>
      </c>
      <c r="I731" s="5">
        <f t="shared" si="290"/>
        <v>3</v>
      </c>
      <c r="J731" s="4">
        <f>_xlfn.XLOOKUP(Modelling_old[[#This Row],[Month]],$C$1:$C$14,$N$1:$N$14)/Modelling_old[[#This Row],[Total Days]]</f>
        <v>53.203225806451613</v>
      </c>
      <c r="K731" s="4">
        <f>SUM($J$718:J731)</f>
        <v>744.84516129032272</v>
      </c>
      <c r="L731" s="4">
        <f>SUM($J$384:J731)</f>
        <v>16303.545161290343</v>
      </c>
      <c r="M731" s="4">
        <f t="shared" si="291"/>
        <v>6.9</v>
      </c>
      <c r="N731" s="4">
        <f>SUM($M$718:M731)</f>
        <v>96.600000000000023</v>
      </c>
      <c r="O731" s="4">
        <f>SUM($M$384:M731)</f>
        <v>2049.2999999999965</v>
      </c>
      <c r="P731" s="323">
        <f t="shared" si="292"/>
        <v>0.67030734634295319</v>
      </c>
      <c r="Q731" s="337">
        <f t="shared" si="293"/>
        <v>0.67030734634295319</v>
      </c>
      <c r="R731" s="337">
        <f t="shared" si="294"/>
        <v>0.69161055957513318</v>
      </c>
      <c r="S731" s="323">
        <f t="shared" si="295"/>
        <v>0.19271336207359907</v>
      </c>
      <c r="T731" s="9">
        <f>Modelling_old[[#This Row],[Target E_Grid MTD
MWh]]/Modelling_old[[#This Row],[DC Capcity]]/(24*CG731)</f>
        <v>0.1927133620735991</v>
      </c>
      <c r="U731" s="338">
        <f>Modelling_old[[#This Row],[Target E_Grid YTD
MWh]]/Modelling_old[[#This Row],[DC Capcity]]/(24*CH731)</f>
        <v>0.16969797889575167</v>
      </c>
      <c r="V731" s="134">
        <v>11.5031</v>
      </c>
      <c r="Y731" s="27">
        <f t="shared" si="296"/>
        <v>45730</v>
      </c>
      <c r="Z731" s="5">
        <f>MONTH(Modelling_new[[#This Row],[Date]])</f>
        <v>3</v>
      </c>
      <c r="AA731" s="25">
        <f>YEAR(Y731)+IF(MONTH(Modelling_new[[#This Row],[Date]])&gt;=4,1,0)</f>
        <v>2025</v>
      </c>
      <c r="AB731" s="3">
        <f t="shared" si="276"/>
        <v>2025</v>
      </c>
      <c r="AC731" s="3" t="s">
        <v>627</v>
      </c>
      <c r="AD731" s="3" t="s">
        <v>627</v>
      </c>
      <c r="AE731" s="102">
        <f>DATE(Modelling_old[[#This Row],[Calendor Year]],Modelling_old[[#This Row],[Start Month]],1)</f>
        <v>45717</v>
      </c>
      <c r="AF731" s="5">
        <f t="shared" si="277"/>
        <v>31</v>
      </c>
      <c r="AG731" s="5">
        <f t="shared" si="278"/>
        <v>3</v>
      </c>
      <c r="AH731" s="4">
        <f>_xlfn.XLOOKUP(Modelling_new[[#This Row],[Month]],$AA$1:$AA$14,$AL$1:$AL$14)/Modelling_new[[#This Row],[Total Days]]</f>
        <v>72.118700788389063</v>
      </c>
      <c r="AI731" s="4">
        <f>SUM($AH$718:AH731)</f>
        <v>1009.6618110374471</v>
      </c>
      <c r="AJ731" s="4">
        <f>SUM($AH$384:AH731)</f>
        <v>20586.403967687103</v>
      </c>
      <c r="AK731" s="4">
        <f t="shared" si="279"/>
        <v>6.9</v>
      </c>
      <c r="AL731" s="4">
        <f>SUM($AK$718:AK731)</f>
        <v>96.600000000000023</v>
      </c>
      <c r="AM731" s="4">
        <f>SUM($AK$384:AK731)</f>
        <v>2049.2999999999965</v>
      </c>
      <c r="AN731" s="323">
        <f t="shared" si="280"/>
        <v>0.90862338165413326</v>
      </c>
      <c r="AO731" s="323">
        <f t="shared" si="281"/>
        <v>0.90862338165413337</v>
      </c>
      <c r="AP731" s="323">
        <f t="shared" si="282"/>
        <v>0.87329315353673498</v>
      </c>
      <c r="AQ731" s="323">
        <f t="shared" si="283"/>
        <v>0.26122922222556338</v>
      </c>
      <c r="AR731" s="323">
        <f>Modelling_new[[#This Row],[Target E_Grid MTD
MWh]]/Modelling_new[[#This Row],[MTD DC Capcity]]/(24*CG731)</f>
        <v>0.23476139579553737</v>
      </c>
      <c r="AS731" s="323">
        <f>Modelling_new[[#This Row],[Target E_Grid YTD
MWh]]/Modelling_new[[#This Row],[YTD DC Capcity]]/(24*CH731)</f>
        <v>0.19256618893385352</v>
      </c>
      <c r="AT731" s="5">
        <v>12.8</v>
      </c>
      <c r="AU731" s="9">
        <f>Modelling_new[[#This Row],[Comisined DC ]]/$AO$1</f>
        <v>1</v>
      </c>
      <c r="AV731" s="5">
        <f>AVERAGEIFS(Modelling_new[[Comisined DC ]],Modelling_new[Date],"&lt;="&amp;Modelling_new[[#This Row],[Date]],Modelling_new[[Comisined DC ]],"&gt;"&amp;0,Modelling_new[Month Year],Modelling_new[[#This Row],[Month Year]])</f>
        <v>12.8</v>
      </c>
      <c r="AW731" s="5">
        <f>AVERAGEIFS(Modelling_new[[Comisined DC ]],Modelling_new[Date],"&lt;="&amp;Modelling_new[[#This Row],[Date]],Modelling_new[[Comisined DC ]],"&gt;"&amp;0,Modelling_new[Finacial Year],Modelling_new[[#This Row],[Finacial Year]])</f>
        <v>12.800000000000082</v>
      </c>
      <c r="BD731" s="27">
        <f t="shared" si="297"/>
        <v>45730</v>
      </c>
      <c r="BE731" s="5">
        <f>MONTH(Modelling[[#This Row],[Date]])</f>
        <v>3</v>
      </c>
      <c r="BF731" s="25">
        <f>YEAR(BD731)+IF(MONTH(Modelling[[#This Row],[Date]])&gt;=4,1,0)</f>
        <v>2025</v>
      </c>
      <c r="BG731" s="3">
        <f t="shared" si="284"/>
        <v>2025</v>
      </c>
      <c r="BH731" s="3" t="s">
        <v>627</v>
      </c>
      <c r="BI731" s="3" t="s">
        <v>627</v>
      </c>
      <c r="BJ731" s="102">
        <f>DATE(Modelling_old[[#This Row],[Calendor Year]],Modelling_old[[#This Row],[Start Month]],1)</f>
        <v>45717</v>
      </c>
      <c r="BK731" s="5">
        <f t="shared" si="285"/>
        <v>31</v>
      </c>
      <c r="BL731" s="5">
        <f t="shared" si="286"/>
        <v>3</v>
      </c>
      <c r="BM731" s="4">
        <f>Modelling_old[[#This Row],[Target E_Grid daily
MWh]]+Modelling_new[[#This Row],[Target E_Grid daily
MWh]]</f>
        <v>125.32192659484068</v>
      </c>
      <c r="BN731" s="4">
        <f>Modelling_old[[#This Row],[Target E_Grid MTD
MWh]]+Modelling_new[[#This Row],[Target E_Grid MTD
MWh]]</f>
        <v>1754.5069723277697</v>
      </c>
      <c r="BO731" s="4">
        <f>Modelling_old[[#This Row],[Target E_Grid YTD
MWh]]+Modelling_new[[#This Row],[Target E_Grid YTD
MWh]]</f>
        <v>36889.949128977445</v>
      </c>
      <c r="BP731" s="4">
        <f>AVERAGE(Modelling_old[[#This Row],[Target POA Daily (KWh/m2)]],Modelling_new[[#This Row],[Target POA Daily (KWh/m2)]])</f>
        <v>6.9</v>
      </c>
      <c r="BQ731" s="4">
        <f>SUM($BP$718:BP731)</f>
        <v>96.600000000000023</v>
      </c>
      <c r="BR731" s="4">
        <f>SUM($BP$384:BP731)</f>
        <v>2049.2999999999965</v>
      </c>
      <c r="BS731" s="323">
        <f>BM731/Modelling[[#This Row],[Comisined DC ]]/BP731</f>
        <v>0.74733667956858518</v>
      </c>
      <c r="BT731" s="337">
        <f>BN731/BQ731/Modelling[[#This Row],[Comisined DC ]]</f>
        <v>0.74733667956858529</v>
      </c>
      <c r="BU731" s="337">
        <f>BO731/BR731/Modelling[[#This Row],[Comisined DC ]]</f>
        <v>0.74069743786994779</v>
      </c>
      <c r="BV731" s="323">
        <f>BM731/(24*Modelling[[#This Row],[Comisined DC ]])</f>
        <v>0.21485929537596829</v>
      </c>
      <c r="BW731" s="323">
        <f>Modelling[[#This Row],[Target E_Grid MTD
MWh]]/Modelling[[#This Row],[MTD DC Capcity]]/(24*CG731)</f>
        <v>0.21485929537596832</v>
      </c>
      <c r="BX731" s="338">
        <f>Modelling[[#This Row],[Target E_Grid YTD
MWh]]/Modelling[[#This Row],[YTD DC Capcity]]/(24*CH731)</f>
        <v>0.18174224849459755</v>
      </c>
      <c r="BY731" s="4">
        <f>Modelling_old[[#This Row],[DC Capcity]]+Modelling_new[[#This Row],[Comisined DC ]]</f>
        <v>24.303100000000001</v>
      </c>
      <c r="BZ731" s="4">
        <v>0</v>
      </c>
      <c r="CA731">
        <f>AVERAGEIFS(Modelling[[Comisined DC ]],Modelling[Date],"&lt;="&amp;Modelling[[#This Row],[Date]],Modelling[Month Year],Modelling[[#This Row],[Month Year]])</f>
        <v>24.303099999999997</v>
      </c>
      <c r="CB731">
        <f>AVERAGEIFS(Modelling[[Comisined DC ]],Modelling[Date],"&lt;="&amp;Modelling[[#This Row],[Date]],Modelling[Finacial Year],Modelling[[#This Row],[Finacial Year]])</f>
        <v>24.303100000000043</v>
      </c>
      <c r="CG731">
        <f t="shared" si="266"/>
        <v>14</v>
      </c>
      <c r="CH731">
        <f t="shared" si="287"/>
        <v>348</v>
      </c>
    </row>
    <row r="732" spans="1:86" x14ac:dyDescent="0.35">
      <c r="A732" s="27">
        <f t="shared" si="267"/>
        <v>45731</v>
      </c>
      <c r="B732" s="5">
        <f>MONTH(Modelling_old[[#This Row],[Date]])</f>
        <v>3</v>
      </c>
      <c r="C732" s="25">
        <v>2025</v>
      </c>
      <c r="D732" s="3">
        <f t="shared" si="288"/>
        <v>2025</v>
      </c>
      <c r="E732" s="3" t="s">
        <v>627</v>
      </c>
      <c r="F732" s="3" t="s">
        <v>627</v>
      </c>
      <c r="G732" s="102">
        <f>DATE(Modelling_old[[#This Row],[Calendor Year]],Modelling_old[[#This Row],[Start Month]],1)</f>
        <v>45717</v>
      </c>
      <c r="H732" s="5">
        <f t="shared" si="289"/>
        <v>31</v>
      </c>
      <c r="I732" s="5">
        <f t="shared" si="290"/>
        <v>3</v>
      </c>
      <c r="J732" s="4">
        <f>_xlfn.XLOOKUP(Modelling_old[[#This Row],[Month]],$C$1:$C$14,$N$1:$N$14)/Modelling_old[[#This Row],[Total Days]]</f>
        <v>53.203225806451613</v>
      </c>
      <c r="K732" s="4">
        <f>SUM($J$718:J732)</f>
        <v>798.04838709677438</v>
      </c>
      <c r="L732" s="4">
        <f>SUM($J$384:J732)</f>
        <v>16356.748387096795</v>
      </c>
      <c r="M732" s="4">
        <f t="shared" si="291"/>
        <v>6.9</v>
      </c>
      <c r="N732" s="4">
        <f>SUM($M$718:M732)</f>
        <v>103.50000000000003</v>
      </c>
      <c r="O732" s="4">
        <f>SUM($M$384:M732)</f>
        <v>2056.1999999999966</v>
      </c>
      <c r="P732" s="323">
        <f t="shared" si="292"/>
        <v>0.67030734634295319</v>
      </c>
      <c r="Q732" s="337">
        <f t="shared" si="293"/>
        <v>0.67030734634295319</v>
      </c>
      <c r="R732" s="337">
        <f t="shared" si="294"/>
        <v>0.69153907228240774</v>
      </c>
      <c r="S732" s="323">
        <f t="shared" si="295"/>
        <v>0.19271336207359907</v>
      </c>
      <c r="T732" s="9">
        <f>Modelling_old[[#This Row],[Target E_Grid MTD
MWh]]/Modelling_old[[#This Row],[DC Capcity]]/(24*CG732)</f>
        <v>0.1927133620735991</v>
      </c>
      <c r="U732" s="338">
        <f>Modelling_old[[#This Row],[Target E_Grid YTD
MWh]]/Modelling_old[[#This Row],[DC Capcity]]/(24*CH732)</f>
        <v>0.16976392555242173</v>
      </c>
      <c r="V732" s="134">
        <v>11.5031</v>
      </c>
      <c r="Y732" s="27">
        <f t="shared" si="296"/>
        <v>45731</v>
      </c>
      <c r="Z732" s="5">
        <f>MONTH(Modelling_new[[#This Row],[Date]])</f>
        <v>3</v>
      </c>
      <c r="AA732" s="25">
        <f>YEAR(Y732)+IF(MONTH(Modelling_new[[#This Row],[Date]])&gt;=4,1,0)</f>
        <v>2025</v>
      </c>
      <c r="AB732" s="3">
        <f t="shared" si="276"/>
        <v>2025</v>
      </c>
      <c r="AC732" s="3" t="s">
        <v>627</v>
      </c>
      <c r="AD732" s="3" t="s">
        <v>627</v>
      </c>
      <c r="AE732" s="102">
        <f>DATE(Modelling_old[[#This Row],[Calendor Year]],Modelling_old[[#This Row],[Start Month]],1)</f>
        <v>45717</v>
      </c>
      <c r="AF732" s="5">
        <f t="shared" si="277"/>
        <v>31</v>
      </c>
      <c r="AG732" s="5">
        <f t="shared" si="278"/>
        <v>3</v>
      </c>
      <c r="AH732" s="4">
        <f>_xlfn.XLOOKUP(Modelling_new[[#This Row],[Month]],$AA$1:$AA$14,$AL$1:$AL$14)/Modelling_new[[#This Row],[Total Days]]</f>
        <v>72.118700788389063</v>
      </c>
      <c r="AI732" s="4">
        <f>SUM($AH$718:AH732)</f>
        <v>1081.7805118258361</v>
      </c>
      <c r="AJ732" s="4">
        <f>SUM($AH$384:AH732)</f>
        <v>20658.522668475493</v>
      </c>
      <c r="AK732" s="4">
        <f t="shared" si="279"/>
        <v>6.9</v>
      </c>
      <c r="AL732" s="4">
        <f>SUM($AK$718:AK732)</f>
        <v>103.50000000000003</v>
      </c>
      <c r="AM732" s="4">
        <f>SUM($AK$384:AK732)</f>
        <v>2056.1999999999966</v>
      </c>
      <c r="AN732" s="323">
        <f t="shared" si="280"/>
        <v>0.90862338165413326</v>
      </c>
      <c r="AO732" s="323">
        <f t="shared" si="281"/>
        <v>0.90862338165413326</v>
      </c>
      <c r="AP732" s="323">
        <f t="shared" si="282"/>
        <v>0.87341171134920936</v>
      </c>
      <c r="AQ732" s="323">
        <f t="shared" si="283"/>
        <v>0.26122922222556338</v>
      </c>
      <c r="AR732" s="323">
        <f>Modelling_new[[#This Row],[Target E_Grid MTD
MWh]]/Modelling_new[[#This Row],[MTD DC Capcity]]/(24*CG732)</f>
        <v>0.23476139579553729</v>
      </c>
      <c r="AS732" s="323">
        <f>Modelling_new[[#This Row],[Target E_Grid YTD
MWh]]/Modelling_new[[#This Row],[YTD DC Capcity]]/(24*CH732)</f>
        <v>0.19268709210537699</v>
      </c>
      <c r="AT732" s="5">
        <v>12.8</v>
      </c>
      <c r="AU732" s="9">
        <f>Modelling_new[[#This Row],[Comisined DC ]]/$AO$1</f>
        <v>1</v>
      </c>
      <c r="AV732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732" s="5">
        <f>AVERAGEIFS(Modelling_new[[Comisined DC ]],Modelling_new[Date],"&lt;="&amp;Modelling_new[[#This Row],[Date]],Modelling_new[[Comisined DC ]],"&gt;"&amp;0,Modelling_new[Finacial Year],Modelling_new[[#This Row],[Finacial Year]])</f>
        <v>12.800000000000082</v>
      </c>
      <c r="BD732" s="27">
        <f t="shared" si="297"/>
        <v>45731</v>
      </c>
      <c r="BE732" s="5">
        <f>MONTH(Modelling[[#This Row],[Date]])</f>
        <v>3</v>
      </c>
      <c r="BF732" s="25">
        <f>YEAR(BD732)+IF(MONTH(Modelling[[#This Row],[Date]])&gt;=4,1,0)</f>
        <v>2025</v>
      </c>
      <c r="BG732" s="3">
        <f t="shared" si="284"/>
        <v>2025</v>
      </c>
      <c r="BH732" s="3" t="s">
        <v>627</v>
      </c>
      <c r="BI732" s="3" t="s">
        <v>627</v>
      </c>
      <c r="BJ732" s="102">
        <f>DATE(Modelling_old[[#This Row],[Calendor Year]],Modelling_old[[#This Row],[Start Month]],1)</f>
        <v>45717</v>
      </c>
      <c r="BK732" s="5">
        <f t="shared" si="285"/>
        <v>31</v>
      </c>
      <c r="BL732" s="5">
        <f t="shared" si="286"/>
        <v>3</v>
      </c>
      <c r="BM732" s="4">
        <f>Modelling_old[[#This Row],[Target E_Grid daily
MWh]]+Modelling_new[[#This Row],[Target E_Grid daily
MWh]]</f>
        <v>125.32192659484068</v>
      </c>
      <c r="BN732" s="4">
        <f>Modelling_old[[#This Row],[Target E_Grid MTD
MWh]]+Modelling_new[[#This Row],[Target E_Grid MTD
MWh]]</f>
        <v>1879.8288989226105</v>
      </c>
      <c r="BO732" s="4">
        <f>Modelling_old[[#This Row],[Target E_Grid YTD
MWh]]+Modelling_new[[#This Row],[Target E_Grid YTD
MWh]]</f>
        <v>37015.271055572288</v>
      </c>
      <c r="BP732" s="4">
        <f>AVERAGE(Modelling_old[[#This Row],[Target POA Daily (KWh/m2)]],Modelling_new[[#This Row],[Target POA Daily (KWh/m2)]])</f>
        <v>6.9</v>
      </c>
      <c r="BQ732" s="4">
        <f>SUM($BP$718:BP732)</f>
        <v>103.50000000000003</v>
      </c>
      <c r="BR732" s="4">
        <f>SUM($BP$384:BP732)</f>
        <v>2056.1999999999966</v>
      </c>
      <c r="BS732" s="323">
        <f>BM732/Modelling[[#This Row],[Comisined DC ]]/BP732</f>
        <v>0.74733667956858518</v>
      </c>
      <c r="BT732" s="337">
        <f>BN732/BQ732/Modelling[[#This Row],[Comisined DC ]]</f>
        <v>0.74733667956858529</v>
      </c>
      <c r="BU732" s="337">
        <f>BO732/BR732/Modelling[[#This Row],[Comisined DC ]]</f>
        <v>0.74071971720450702</v>
      </c>
      <c r="BV732" s="323">
        <f>BM732/(24*Modelling[[#This Row],[Comisined DC ]])</f>
        <v>0.21485929537596829</v>
      </c>
      <c r="BW732" s="323">
        <f>Modelling[[#This Row],[Target E_Grid MTD
MWh]]/Modelling[[#This Row],[MTD DC Capcity]]/(24*CG732)</f>
        <v>0.21485929537596837</v>
      </c>
      <c r="BX732" s="338">
        <f>Modelling[[#This Row],[Target E_Grid YTD
MWh]]/Modelling[[#This Row],[YTD DC Capcity]]/(24*CH732)</f>
        <v>0.18183713974640667</v>
      </c>
      <c r="BY732" s="4">
        <f>Modelling_old[[#This Row],[DC Capcity]]+Modelling_new[[#This Row],[Comisined DC ]]</f>
        <v>24.303100000000001</v>
      </c>
      <c r="BZ732" s="4">
        <v>0</v>
      </c>
      <c r="CA732">
        <f>AVERAGEIFS(Modelling[[Comisined DC ]],Modelling[Date],"&lt;="&amp;Modelling[[#This Row],[Date]],Modelling[Month Year],Modelling[[#This Row],[Month Year]])</f>
        <v>24.303099999999993</v>
      </c>
      <c r="CB732">
        <f>AVERAGEIFS(Modelling[[Comisined DC ]],Modelling[Date],"&lt;="&amp;Modelling[[#This Row],[Date]],Modelling[Finacial Year],Modelling[[#This Row],[Finacial Year]])</f>
        <v>24.303100000000043</v>
      </c>
      <c r="CG732">
        <f t="shared" si="266"/>
        <v>15</v>
      </c>
      <c r="CH732">
        <f t="shared" si="287"/>
        <v>349</v>
      </c>
    </row>
    <row r="733" spans="1:86" x14ac:dyDescent="0.35">
      <c r="A733" s="27">
        <f t="shared" si="267"/>
        <v>45732</v>
      </c>
      <c r="B733" s="5">
        <f>MONTH(Modelling_old[[#This Row],[Date]])</f>
        <v>3</v>
      </c>
      <c r="C733" s="25">
        <v>2025</v>
      </c>
      <c r="D733" s="3">
        <f t="shared" si="288"/>
        <v>2025</v>
      </c>
      <c r="E733" s="3" t="s">
        <v>627</v>
      </c>
      <c r="F733" s="3" t="s">
        <v>627</v>
      </c>
      <c r="G733" s="102">
        <f>DATE(Modelling_old[[#This Row],[Calendor Year]],Modelling_old[[#This Row],[Start Month]],1)</f>
        <v>45717</v>
      </c>
      <c r="H733" s="5">
        <f t="shared" si="289"/>
        <v>31</v>
      </c>
      <c r="I733" s="5">
        <f t="shared" si="290"/>
        <v>3</v>
      </c>
      <c r="J733" s="4">
        <f>_xlfn.XLOOKUP(Modelling_old[[#This Row],[Month]],$C$1:$C$14,$N$1:$N$14)/Modelling_old[[#This Row],[Total Days]]</f>
        <v>53.203225806451613</v>
      </c>
      <c r="K733" s="4">
        <f>SUM($J$718:J733)</f>
        <v>851.25161290322603</v>
      </c>
      <c r="L733" s="4">
        <f>SUM($J$384:J733)</f>
        <v>16409.951612903245</v>
      </c>
      <c r="M733" s="4">
        <f t="shared" si="291"/>
        <v>6.9</v>
      </c>
      <c r="N733" s="4">
        <f>SUM($M$718:M733)</f>
        <v>110.40000000000003</v>
      </c>
      <c r="O733" s="4">
        <f>SUM($M$384:M733)</f>
        <v>2063.0999999999967</v>
      </c>
      <c r="P733" s="323">
        <f t="shared" si="292"/>
        <v>0.67030734634295319</v>
      </c>
      <c r="Q733" s="337">
        <f t="shared" si="293"/>
        <v>0.67030734634295319</v>
      </c>
      <c r="R733" s="337">
        <f t="shared" si="294"/>
        <v>0.69146806316555331</v>
      </c>
      <c r="S733" s="323">
        <f t="shared" si="295"/>
        <v>0.19271336207359907</v>
      </c>
      <c r="T733" s="9">
        <f>Modelling_old[[#This Row],[Target E_Grid MTD
MWh]]/Modelling_old[[#This Row],[DC Capcity]]/(24*CG733)</f>
        <v>0.1927133620735991</v>
      </c>
      <c r="U733" s="338">
        <f>Modelling_old[[#This Row],[Target E_Grid YTD
MWh]]/Modelling_old[[#This Row],[DC Capcity]]/(24*CH733)</f>
        <v>0.16982949537105366</v>
      </c>
      <c r="V733" s="134">
        <v>11.5031</v>
      </c>
      <c r="Y733" s="27">
        <f t="shared" si="296"/>
        <v>45732</v>
      </c>
      <c r="Z733" s="5">
        <f>MONTH(Modelling_new[[#This Row],[Date]])</f>
        <v>3</v>
      </c>
      <c r="AA733" s="25">
        <f>YEAR(Y733)+IF(MONTH(Modelling_new[[#This Row],[Date]])&gt;=4,1,0)</f>
        <v>2025</v>
      </c>
      <c r="AB733" s="3">
        <f t="shared" si="276"/>
        <v>2025</v>
      </c>
      <c r="AC733" s="3" t="s">
        <v>627</v>
      </c>
      <c r="AD733" s="3" t="s">
        <v>627</v>
      </c>
      <c r="AE733" s="102">
        <f>DATE(Modelling_old[[#This Row],[Calendor Year]],Modelling_old[[#This Row],[Start Month]],1)</f>
        <v>45717</v>
      </c>
      <c r="AF733" s="5">
        <f t="shared" si="277"/>
        <v>31</v>
      </c>
      <c r="AG733" s="5">
        <f t="shared" si="278"/>
        <v>3</v>
      </c>
      <c r="AH733" s="4">
        <f>_xlfn.XLOOKUP(Modelling_new[[#This Row],[Month]],$AA$1:$AA$14,$AL$1:$AL$14)/Modelling_new[[#This Row],[Total Days]]</f>
        <v>72.118700788389063</v>
      </c>
      <c r="AI733" s="4">
        <f>SUM($AH$718:AH733)</f>
        <v>1153.8992126142252</v>
      </c>
      <c r="AJ733" s="4">
        <f>SUM($AH$384:AH733)</f>
        <v>20730.641369263882</v>
      </c>
      <c r="AK733" s="4">
        <f t="shared" si="279"/>
        <v>6.9</v>
      </c>
      <c r="AL733" s="4">
        <f>SUM($AK$718:AK733)</f>
        <v>110.40000000000003</v>
      </c>
      <c r="AM733" s="4">
        <f>SUM($AK$384:AK733)</f>
        <v>2063.0999999999967</v>
      </c>
      <c r="AN733" s="323">
        <f t="shared" si="280"/>
        <v>0.90862338165413326</v>
      </c>
      <c r="AO733" s="323">
        <f t="shared" si="281"/>
        <v>0.90862338165413326</v>
      </c>
      <c r="AP733" s="323">
        <f t="shared" si="282"/>
        <v>0.87352947613283782</v>
      </c>
      <c r="AQ733" s="323">
        <f t="shared" si="283"/>
        <v>0.26122922222556338</v>
      </c>
      <c r="AR733" s="323">
        <f>Modelling_new[[#This Row],[Target E_Grid MTD
MWh]]/Modelling_new[[#This Row],[MTD DC Capcity]]/(24*CG733)</f>
        <v>0.23476139579553731</v>
      </c>
      <c r="AS733" s="323">
        <f>Modelling_new[[#This Row],[Target E_Grid YTD
MWh]]/Modelling_new[[#This Row],[YTD DC Capcity]]/(24*CH733)</f>
        <v>0.19280730440163457</v>
      </c>
      <c r="AT733" s="5">
        <v>12.8</v>
      </c>
      <c r="AU733" s="9">
        <f>Modelling_new[[#This Row],[Comisined DC ]]/$AO$1</f>
        <v>1</v>
      </c>
      <c r="AV733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733" s="5">
        <f>AVERAGEIFS(Modelling_new[[Comisined DC ]],Modelling_new[Date],"&lt;="&amp;Modelling_new[[#This Row],[Date]],Modelling_new[[Comisined DC ]],"&gt;"&amp;0,Modelling_new[Finacial Year],Modelling_new[[#This Row],[Finacial Year]])</f>
        <v>12.800000000000082</v>
      </c>
      <c r="BD733" s="27">
        <f t="shared" si="297"/>
        <v>45732</v>
      </c>
      <c r="BE733" s="5">
        <f>MONTH(Modelling[[#This Row],[Date]])</f>
        <v>3</v>
      </c>
      <c r="BF733" s="25">
        <f>YEAR(BD733)+IF(MONTH(Modelling[[#This Row],[Date]])&gt;=4,1,0)</f>
        <v>2025</v>
      </c>
      <c r="BG733" s="3">
        <f t="shared" si="284"/>
        <v>2025</v>
      </c>
      <c r="BH733" s="3" t="s">
        <v>627</v>
      </c>
      <c r="BI733" s="3" t="s">
        <v>627</v>
      </c>
      <c r="BJ733" s="102">
        <f>DATE(Modelling_old[[#This Row],[Calendor Year]],Modelling_old[[#This Row],[Start Month]],1)</f>
        <v>45717</v>
      </c>
      <c r="BK733" s="5">
        <f t="shared" si="285"/>
        <v>31</v>
      </c>
      <c r="BL733" s="5">
        <f t="shared" si="286"/>
        <v>3</v>
      </c>
      <c r="BM733" s="4">
        <f>Modelling_old[[#This Row],[Target E_Grid daily
MWh]]+Modelling_new[[#This Row],[Target E_Grid daily
MWh]]</f>
        <v>125.32192659484068</v>
      </c>
      <c r="BN733" s="4">
        <f>Modelling_old[[#This Row],[Target E_Grid MTD
MWh]]+Modelling_new[[#This Row],[Target E_Grid MTD
MWh]]</f>
        <v>2005.1508255174513</v>
      </c>
      <c r="BO733" s="4">
        <f>Modelling_old[[#This Row],[Target E_Grid YTD
MWh]]+Modelling_new[[#This Row],[Target E_Grid YTD
MWh]]</f>
        <v>37140.592982167131</v>
      </c>
      <c r="BP733" s="4">
        <f>AVERAGE(Modelling_old[[#This Row],[Target POA Daily (KWh/m2)]],Modelling_new[[#This Row],[Target POA Daily (KWh/m2)]])</f>
        <v>6.9</v>
      </c>
      <c r="BQ733" s="4">
        <f>SUM($BP$718:BP733)</f>
        <v>110.40000000000003</v>
      </c>
      <c r="BR733" s="4">
        <f>SUM($BP$384:BP733)</f>
        <v>2063.0999999999967</v>
      </c>
      <c r="BS733" s="323">
        <f>BM733/Modelling[[#This Row],[Comisined DC ]]/BP733</f>
        <v>0.74733667956858518</v>
      </c>
      <c r="BT733" s="337">
        <f>BN733/BQ733/Modelling[[#This Row],[Comisined DC ]]</f>
        <v>0.74733667956858529</v>
      </c>
      <c r="BU733" s="337">
        <f>BO733/BR733/Modelling[[#This Row],[Comisined DC ]]</f>
        <v>0.74074184751341698</v>
      </c>
      <c r="BV733" s="323">
        <f>BM733/(24*Modelling[[#This Row],[Comisined DC ]])</f>
        <v>0.21485929537596829</v>
      </c>
      <c r="BW733" s="323">
        <f>Modelling[[#This Row],[Target E_Grid MTD
MWh]]/Modelling[[#This Row],[MTD DC Capcity]]/(24*CG733)</f>
        <v>0.21485929537596837</v>
      </c>
      <c r="BX733" s="338">
        <f>Modelling[[#This Row],[Target E_Grid YTD
MWh]]/Modelling[[#This Row],[YTD DC Capcity]]/(24*CH733)</f>
        <v>0.18193148876249116</v>
      </c>
      <c r="BY733" s="4">
        <f>Modelling_old[[#This Row],[DC Capcity]]+Modelling_new[[#This Row],[Comisined DC ]]</f>
        <v>24.303100000000001</v>
      </c>
      <c r="BZ733" s="4">
        <v>0</v>
      </c>
      <c r="CA733">
        <f>AVERAGEIFS(Modelling[[Comisined DC ]],Modelling[Date],"&lt;="&amp;Modelling[[#This Row],[Date]],Modelling[Month Year],Modelling[[#This Row],[Month Year]])</f>
        <v>24.303099999999993</v>
      </c>
      <c r="CB733">
        <f>AVERAGEIFS(Modelling[[Comisined DC ]],Modelling[Date],"&lt;="&amp;Modelling[[#This Row],[Date]],Modelling[Finacial Year],Modelling[[#This Row],[Finacial Year]])</f>
        <v>24.30310000000004</v>
      </c>
      <c r="CG733">
        <f t="shared" si="266"/>
        <v>16</v>
      </c>
      <c r="CH733">
        <f t="shared" si="287"/>
        <v>350</v>
      </c>
    </row>
    <row r="734" spans="1:86" x14ac:dyDescent="0.35">
      <c r="A734" s="27">
        <f t="shared" si="267"/>
        <v>45733</v>
      </c>
      <c r="B734" s="5">
        <f>MONTH(Modelling_old[[#This Row],[Date]])</f>
        <v>3</v>
      </c>
      <c r="C734" s="25">
        <v>2025</v>
      </c>
      <c r="D734" s="3">
        <f t="shared" si="288"/>
        <v>2025</v>
      </c>
      <c r="E734" s="3" t="s">
        <v>627</v>
      </c>
      <c r="F734" s="3" t="s">
        <v>627</v>
      </c>
      <c r="G734" s="102">
        <f>DATE(Modelling_old[[#This Row],[Calendor Year]],Modelling_old[[#This Row],[Start Month]],1)</f>
        <v>45717</v>
      </c>
      <c r="H734" s="5">
        <f t="shared" si="289"/>
        <v>31</v>
      </c>
      <c r="I734" s="5">
        <f t="shared" si="290"/>
        <v>3</v>
      </c>
      <c r="J734" s="4">
        <f>_xlfn.XLOOKUP(Modelling_old[[#This Row],[Month]],$C$1:$C$14,$N$1:$N$14)/Modelling_old[[#This Row],[Total Days]]</f>
        <v>53.203225806451613</v>
      </c>
      <c r="K734" s="4">
        <f>SUM($J$718:J734)</f>
        <v>904.45483870967769</v>
      </c>
      <c r="L734" s="4">
        <f>SUM($J$384:J734)</f>
        <v>16463.154838709695</v>
      </c>
      <c r="M734" s="4">
        <f t="shared" si="291"/>
        <v>6.9</v>
      </c>
      <c r="N734" s="4">
        <f>SUM($M$718:M734)</f>
        <v>117.30000000000004</v>
      </c>
      <c r="O734" s="4">
        <f>SUM($M$384:M734)</f>
        <v>2069.9999999999968</v>
      </c>
      <c r="P734" s="323">
        <f t="shared" si="292"/>
        <v>0.67030734634295319</v>
      </c>
      <c r="Q734" s="337">
        <f t="shared" si="293"/>
        <v>0.67030734634295319</v>
      </c>
      <c r="R734" s="337">
        <f t="shared" si="294"/>
        <v>0.69139752744281124</v>
      </c>
      <c r="S734" s="323">
        <f t="shared" si="295"/>
        <v>0.19271336207359907</v>
      </c>
      <c r="T734" s="9">
        <f>Modelling_old[[#This Row],[Target E_Grid MTD
MWh]]/Modelling_old[[#This Row],[DC Capcity]]/(24*CG734)</f>
        <v>0.19271336207359913</v>
      </c>
      <c r="U734" s="338">
        <f>Modelling_old[[#This Row],[Target E_Grid YTD
MWh]]/Modelling_old[[#This Row],[DC Capcity]]/(24*CH734)</f>
        <v>0.16989469157248538</v>
      </c>
      <c r="V734" s="134">
        <v>11.5031</v>
      </c>
      <c r="Y734" s="27">
        <f t="shared" si="296"/>
        <v>45733</v>
      </c>
      <c r="Z734" s="5">
        <f>MONTH(Modelling_new[[#This Row],[Date]])</f>
        <v>3</v>
      </c>
      <c r="AA734" s="25">
        <f>YEAR(Y734)+IF(MONTH(Modelling_new[[#This Row],[Date]])&gt;=4,1,0)</f>
        <v>2025</v>
      </c>
      <c r="AB734" s="3">
        <f t="shared" si="276"/>
        <v>2025</v>
      </c>
      <c r="AC734" s="3" t="s">
        <v>627</v>
      </c>
      <c r="AD734" s="3" t="s">
        <v>627</v>
      </c>
      <c r="AE734" s="102">
        <f>DATE(Modelling_old[[#This Row],[Calendor Year]],Modelling_old[[#This Row],[Start Month]],1)</f>
        <v>45717</v>
      </c>
      <c r="AF734" s="5">
        <f t="shared" si="277"/>
        <v>31</v>
      </c>
      <c r="AG734" s="5">
        <f t="shared" si="278"/>
        <v>3</v>
      </c>
      <c r="AH734" s="4">
        <f>_xlfn.XLOOKUP(Modelling_new[[#This Row],[Month]],$AA$1:$AA$14,$AL$1:$AL$14)/Modelling_new[[#This Row],[Total Days]]</f>
        <v>72.118700788389063</v>
      </c>
      <c r="AI734" s="4">
        <f>SUM($AH$718:AH734)</f>
        <v>1226.0179134026143</v>
      </c>
      <c r="AJ734" s="4">
        <f>SUM($AH$384:AH734)</f>
        <v>20802.760070052271</v>
      </c>
      <c r="AK734" s="4">
        <f t="shared" si="279"/>
        <v>6.9</v>
      </c>
      <c r="AL734" s="4">
        <f>SUM($AK$718:AK734)</f>
        <v>117.30000000000004</v>
      </c>
      <c r="AM734" s="4">
        <f>SUM($AK$384:AK734)</f>
        <v>2069.9999999999968</v>
      </c>
      <c r="AN734" s="323">
        <f t="shared" si="280"/>
        <v>0.90862338165413326</v>
      </c>
      <c r="AO734" s="323">
        <f t="shared" si="281"/>
        <v>0.90862338165413326</v>
      </c>
      <c r="AP734" s="323">
        <f t="shared" si="282"/>
        <v>0.87364645581790878</v>
      </c>
      <c r="AQ734" s="323">
        <f t="shared" si="283"/>
        <v>0.26122922222556338</v>
      </c>
      <c r="AR734" s="323">
        <f>Modelling_new[[#This Row],[Target E_Grid MTD
MWh]]/Modelling_new[[#This Row],[MTD DC Capcity]]/(24*CG734)</f>
        <v>0.23476139579553731</v>
      </c>
      <c r="AS734" s="323">
        <f>Modelling_new[[#This Row],[Target E_Grid YTD
MWh]]/Modelling_new[[#This Row],[YTD DC Capcity]]/(24*CH734)</f>
        <v>0.1929268317275431</v>
      </c>
      <c r="AT734" s="5">
        <v>12.8</v>
      </c>
      <c r="AU734" s="9">
        <f>Modelling_new[[#This Row],[Comisined DC ]]/$AO$1</f>
        <v>1</v>
      </c>
      <c r="AV734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734" s="5">
        <f>AVERAGEIFS(Modelling_new[[Comisined DC ]],Modelling_new[Date],"&lt;="&amp;Modelling_new[[#This Row],[Date]],Modelling_new[[Comisined DC ]],"&gt;"&amp;0,Modelling_new[Finacial Year],Modelling_new[[#This Row],[Finacial Year]])</f>
        <v>12.800000000000084</v>
      </c>
      <c r="BD734" s="27">
        <f t="shared" si="297"/>
        <v>45733</v>
      </c>
      <c r="BE734" s="5">
        <f>MONTH(Modelling[[#This Row],[Date]])</f>
        <v>3</v>
      </c>
      <c r="BF734" s="25">
        <f>YEAR(BD734)+IF(MONTH(Modelling[[#This Row],[Date]])&gt;=4,1,0)</f>
        <v>2025</v>
      </c>
      <c r="BG734" s="3">
        <f t="shared" si="284"/>
        <v>2025</v>
      </c>
      <c r="BH734" s="3" t="s">
        <v>627</v>
      </c>
      <c r="BI734" s="3" t="s">
        <v>627</v>
      </c>
      <c r="BJ734" s="102">
        <f>DATE(Modelling_old[[#This Row],[Calendor Year]],Modelling_old[[#This Row],[Start Month]],1)</f>
        <v>45717</v>
      </c>
      <c r="BK734" s="5">
        <f t="shared" si="285"/>
        <v>31</v>
      </c>
      <c r="BL734" s="5">
        <f t="shared" si="286"/>
        <v>3</v>
      </c>
      <c r="BM734" s="4">
        <f>Modelling_old[[#This Row],[Target E_Grid daily
MWh]]+Modelling_new[[#This Row],[Target E_Grid daily
MWh]]</f>
        <v>125.32192659484068</v>
      </c>
      <c r="BN734" s="4">
        <f>Modelling_old[[#This Row],[Target E_Grid MTD
MWh]]+Modelling_new[[#This Row],[Target E_Grid MTD
MWh]]</f>
        <v>2130.4727521122923</v>
      </c>
      <c r="BO734" s="4">
        <f>Modelling_old[[#This Row],[Target E_Grid YTD
MWh]]+Modelling_new[[#This Row],[Target E_Grid YTD
MWh]]</f>
        <v>37265.914908761966</v>
      </c>
      <c r="BP734" s="4">
        <f>AVERAGE(Modelling_old[[#This Row],[Target POA Daily (KWh/m2)]],Modelling_new[[#This Row],[Target POA Daily (KWh/m2)]])</f>
        <v>6.9</v>
      </c>
      <c r="BQ734" s="4">
        <f>SUM($BP$718:BP734)</f>
        <v>117.30000000000004</v>
      </c>
      <c r="BR734" s="4">
        <f>SUM($BP$384:BP734)</f>
        <v>2069.9999999999968</v>
      </c>
      <c r="BS734" s="323">
        <f>BM734/Modelling[[#This Row],[Comisined DC ]]/BP734</f>
        <v>0.74733667956858518</v>
      </c>
      <c r="BT734" s="337">
        <f>BN734/BQ734/Modelling[[#This Row],[Comisined DC ]]</f>
        <v>0.7473366795685854</v>
      </c>
      <c r="BU734" s="337">
        <f>BO734/BR734/Modelling[[#This Row],[Comisined DC ]]</f>
        <v>0.74076383028693404</v>
      </c>
      <c r="BV734" s="323">
        <f>BM734/(24*Modelling[[#This Row],[Comisined DC ]])</f>
        <v>0.21485929537596829</v>
      </c>
      <c r="BW734" s="323">
        <f>Modelling[[#This Row],[Target E_Grid MTD
MWh]]/Modelling[[#This Row],[MTD DC Capcity]]/(24*CG734)</f>
        <v>0.2148592953759684</v>
      </c>
      <c r="BX734" s="338">
        <f>Modelling[[#This Row],[Target E_Grid YTD
MWh]]/Modelling[[#This Row],[YTD DC Capcity]]/(24*CH734)</f>
        <v>0.18202530017734436</v>
      </c>
      <c r="BY734" s="4">
        <f>Modelling_old[[#This Row],[DC Capcity]]+Modelling_new[[#This Row],[Comisined DC ]]</f>
        <v>24.303100000000001</v>
      </c>
      <c r="BZ734" s="4">
        <v>0</v>
      </c>
      <c r="CA734">
        <f>AVERAGEIFS(Modelling[[Comisined DC ]],Modelling[Date],"&lt;="&amp;Modelling[[#This Row],[Date]],Modelling[Month Year],Modelling[[#This Row],[Month Year]])</f>
        <v>24.303099999999993</v>
      </c>
      <c r="CB734">
        <f>AVERAGEIFS(Modelling[[Comisined DC ]],Modelling[Date],"&lt;="&amp;Modelling[[#This Row],[Date]],Modelling[Finacial Year],Modelling[[#This Row],[Finacial Year]])</f>
        <v>24.303100000000036</v>
      </c>
      <c r="CG734">
        <f t="shared" si="266"/>
        <v>17</v>
      </c>
      <c r="CH734">
        <f t="shared" si="287"/>
        <v>351</v>
      </c>
    </row>
    <row r="735" spans="1:86" x14ac:dyDescent="0.35">
      <c r="A735" s="27">
        <f t="shared" si="267"/>
        <v>45734</v>
      </c>
      <c r="B735" s="5">
        <f>MONTH(Modelling_old[[#This Row],[Date]])</f>
        <v>3</v>
      </c>
      <c r="C735" s="25">
        <v>2025</v>
      </c>
      <c r="D735" s="3">
        <f t="shared" si="288"/>
        <v>2025</v>
      </c>
      <c r="E735" s="3" t="s">
        <v>627</v>
      </c>
      <c r="F735" s="3" t="s">
        <v>627</v>
      </c>
      <c r="G735" s="102">
        <f>DATE(Modelling_old[[#This Row],[Calendor Year]],Modelling_old[[#This Row],[Start Month]],1)</f>
        <v>45717</v>
      </c>
      <c r="H735" s="5">
        <f t="shared" si="289"/>
        <v>31</v>
      </c>
      <c r="I735" s="5">
        <f t="shared" si="290"/>
        <v>3</v>
      </c>
      <c r="J735" s="4">
        <f>_xlfn.XLOOKUP(Modelling_old[[#This Row],[Month]],$C$1:$C$14,$N$1:$N$14)/Modelling_old[[#This Row],[Total Days]]</f>
        <v>53.203225806451613</v>
      </c>
      <c r="K735" s="4">
        <f>SUM($J$718:J735)</f>
        <v>957.65806451612934</v>
      </c>
      <c r="L735" s="4">
        <f>SUM($J$384:J735)</f>
        <v>16516.358064516146</v>
      </c>
      <c r="M735" s="4">
        <f t="shared" si="291"/>
        <v>6.9</v>
      </c>
      <c r="N735" s="4">
        <f>SUM($M$718:M735)</f>
        <v>124.20000000000005</v>
      </c>
      <c r="O735" s="4">
        <f>SUM($M$384:M735)</f>
        <v>2076.8999999999969</v>
      </c>
      <c r="P735" s="323">
        <f t="shared" si="292"/>
        <v>0.67030734634295319</v>
      </c>
      <c r="Q735" s="337">
        <f t="shared" si="293"/>
        <v>0.67030734634295319</v>
      </c>
      <c r="R735" s="337">
        <f t="shared" si="294"/>
        <v>0.69132746039596771</v>
      </c>
      <c r="S735" s="323">
        <f t="shared" si="295"/>
        <v>0.19271336207359907</v>
      </c>
      <c r="T735" s="9">
        <f>Modelling_old[[#This Row],[Target E_Grid MTD
MWh]]/Modelling_old[[#This Row],[DC Capcity]]/(24*CG735)</f>
        <v>0.19271336207359913</v>
      </c>
      <c r="U735" s="338">
        <f>Modelling_old[[#This Row],[Target E_Grid YTD
MWh]]/Modelling_old[[#This Row],[DC Capcity]]/(24*CH735)</f>
        <v>0.16995951734095446</v>
      </c>
      <c r="V735" s="134">
        <v>11.5031</v>
      </c>
      <c r="Y735" s="27">
        <f t="shared" si="296"/>
        <v>45734</v>
      </c>
      <c r="Z735" s="5">
        <f>MONTH(Modelling_new[[#This Row],[Date]])</f>
        <v>3</v>
      </c>
      <c r="AA735" s="25">
        <f>YEAR(Y735)+IF(MONTH(Modelling_new[[#This Row],[Date]])&gt;=4,1,0)</f>
        <v>2025</v>
      </c>
      <c r="AB735" s="3">
        <f t="shared" si="276"/>
        <v>2025</v>
      </c>
      <c r="AC735" s="3" t="s">
        <v>627</v>
      </c>
      <c r="AD735" s="3" t="s">
        <v>627</v>
      </c>
      <c r="AE735" s="102">
        <f>DATE(Modelling_old[[#This Row],[Calendor Year]],Modelling_old[[#This Row],[Start Month]],1)</f>
        <v>45717</v>
      </c>
      <c r="AF735" s="5">
        <f t="shared" si="277"/>
        <v>31</v>
      </c>
      <c r="AG735" s="5">
        <f t="shared" si="278"/>
        <v>3</v>
      </c>
      <c r="AH735" s="4">
        <f>_xlfn.XLOOKUP(Modelling_new[[#This Row],[Month]],$AA$1:$AA$14,$AL$1:$AL$14)/Modelling_new[[#This Row],[Total Days]]</f>
        <v>72.118700788389063</v>
      </c>
      <c r="AI735" s="4">
        <f>SUM($AH$718:AH735)</f>
        <v>1298.1366141910034</v>
      </c>
      <c r="AJ735" s="4">
        <f>SUM($AH$384:AH735)</f>
        <v>20874.87877084066</v>
      </c>
      <c r="AK735" s="4">
        <f t="shared" si="279"/>
        <v>6.9</v>
      </c>
      <c r="AL735" s="4">
        <f>SUM($AK$718:AK735)</f>
        <v>124.20000000000005</v>
      </c>
      <c r="AM735" s="4">
        <f>SUM($AK$384:AK735)</f>
        <v>2076.8999999999969</v>
      </c>
      <c r="AN735" s="323">
        <f t="shared" si="280"/>
        <v>0.90862338165413326</v>
      </c>
      <c r="AO735" s="323">
        <f t="shared" si="281"/>
        <v>0.90862338165413326</v>
      </c>
      <c r="AP735" s="323">
        <f t="shared" si="282"/>
        <v>0.87376265822932475</v>
      </c>
      <c r="AQ735" s="323">
        <f t="shared" si="283"/>
        <v>0.26122922222556338</v>
      </c>
      <c r="AR735" s="323">
        <f>Modelling_new[[#This Row],[Target E_Grid MTD
MWh]]/Modelling_new[[#This Row],[MTD DC Capcity]]/(24*CG735)</f>
        <v>0.23476139579553729</v>
      </c>
      <c r="AS735" s="323">
        <f>Modelling_new[[#This Row],[Target E_Grid YTD
MWh]]/Modelling_new[[#This Row],[YTD DC Capcity]]/(24*CH735)</f>
        <v>0.19304567992091806</v>
      </c>
      <c r="AT735" s="5">
        <v>12.8</v>
      </c>
      <c r="AU735" s="9">
        <f>Modelling_new[[#This Row],[Comisined DC ]]/$AO$1</f>
        <v>1</v>
      </c>
      <c r="AV735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35" s="5">
        <f>AVERAGEIFS(Modelling_new[[Comisined DC ]],Modelling_new[Date],"&lt;="&amp;Modelling_new[[#This Row],[Date]],Modelling_new[[Comisined DC ]],"&gt;"&amp;0,Modelling_new[Finacial Year],Modelling_new[[#This Row],[Finacial Year]])</f>
        <v>12.800000000000084</v>
      </c>
      <c r="BD735" s="27">
        <f t="shared" si="297"/>
        <v>45734</v>
      </c>
      <c r="BE735" s="5">
        <f>MONTH(Modelling[[#This Row],[Date]])</f>
        <v>3</v>
      </c>
      <c r="BF735" s="25">
        <f>YEAR(BD735)+IF(MONTH(Modelling[[#This Row],[Date]])&gt;=4,1,0)</f>
        <v>2025</v>
      </c>
      <c r="BG735" s="3">
        <f t="shared" si="284"/>
        <v>2025</v>
      </c>
      <c r="BH735" s="3" t="s">
        <v>627</v>
      </c>
      <c r="BI735" s="3" t="s">
        <v>627</v>
      </c>
      <c r="BJ735" s="102">
        <f>DATE(Modelling_old[[#This Row],[Calendor Year]],Modelling_old[[#This Row],[Start Month]],1)</f>
        <v>45717</v>
      </c>
      <c r="BK735" s="5">
        <f t="shared" si="285"/>
        <v>31</v>
      </c>
      <c r="BL735" s="5">
        <f t="shared" si="286"/>
        <v>3</v>
      </c>
      <c r="BM735" s="4">
        <f>Modelling_old[[#This Row],[Target E_Grid daily
MWh]]+Modelling_new[[#This Row],[Target E_Grid daily
MWh]]</f>
        <v>125.32192659484068</v>
      </c>
      <c r="BN735" s="4">
        <f>Modelling_old[[#This Row],[Target E_Grid MTD
MWh]]+Modelling_new[[#This Row],[Target E_Grid MTD
MWh]]</f>
        <v>2255.7946787071328</v>
      </c>
      <c r="BO735" s="4">
        <f>Modelling_old[[#This Row],[Target E_Grid YTD
MWh]]+Modelling_new[[#This Row],[Target E_Grid YTD
MWh]]</f>
        <v>37391.236835356802</v>
      </c>
      <c r="BP735" s="4">
        <f>AVERAGE(Modelling_old[[#This Row],[Target POA Daily (KWh/m2)]],Modelling_new[[#This Row],[Target POA Daily (KWh/m2)]])</f>
        <v>6.9</v>
      </c>
      <c r="BQ735" s="4">
        <f>SUM($BP$718:BP735)</f>
        <v>124.20000000000005</v>
      </c>
      <c r="BR735" s="4">
        <f>SUM($BP$384:BP735)</f>
        <v>2076.8999999999969</v>
      </c>
      <c r="BS735" s="323">
        <f>BM735/Modelling[[#This Row],[Comisined DC ]]/BP735</f>
        <v>0.74733667956858518</v>
      </c>
      <c r="BT735" s="337">
        <f>BN735/BQ735/Modelling[[#This Row],[Comisined DC ]]</f>
        <v>0.74733667956858529</v>
      </c>
      <c r="BU735" s="337">
        <f>BO735/BR735/Modelling[[#This Row],[Comisined DC ]]</f>
        <v>0.74078566699551085</v>
      </c>
      <c r="BV735" s="323">
        <f>BM735/(24*Modelling[[#This Row],[Comisined DC ]])</f>
        <v>0.21485929537596829</v>
      </c>
      <c r="BW735" s="323">
        <f>Modelling[[#This Row],[Target E_Grid MTD
MWh]]/Modelling[[#This Row],[MTD DC Capcity]]/(24*CG735)</f>
        <v>0.21485929537596846</v>
      </c>
      <c r="BX735" s="338">
        <f>Modelling[[#This Row],[Target E_Grid YTD
MWh]]/Modelling[[#This Row],[YTD DC Capcity]]/(24*CH735)</f>
        <v>0.18211857857279501</v>
      </c>
      <c r="BY735" s="4">
        <f>Modelling_old[[#This Row],[DC Capcity]]+Modelling_new[[#This Row],[Comisined DC ]]</f>
        <v>24.303100000000001</v>
      </c>
      <c r="BZ735" s="4">
        <v>0</v>
      </c>
      <c r="CA735">
        <f>AVERAGEIFS(Modelling[[Comisined DC ]],Modelling[Date],"&lt;="&amp;Modelling[[#This Row],[Date]],Modelling[Month Year],Modelling[[#This Row],[Month Year]])</f>
        <v>24.30309999999999</v>
      </c>
      <c r="CB735">
        <f>AVERAGEIFS(Modelling[[Comisined DC ]],Modelling[Date],"&lt;="&amp;Modelling[[#This Row],[Date]],Modelling[Finacial Year],Modelling[[#This Row],[Finacial Year]])</f>
        <v>24.303100000000033</v>
      </c>
      <c r="CG735">
        <f t="shared" si="266"/>
        <v>18</v>
      </c>
      <c r="CH735">
        <f t="shared" si="287"/>
        <v>352</v>
      </c>
    </row>
    <row r="736" spans="1:86" x14ac:dyDescent="0.35">
      <c r="A736" s="27">
        <f t="shared" si="267"/>
        <v>45735</v>
      </c>
      <c r="B736" s="5">
        <f>MONTH(Modelling_old[[#This Row],[Date]])</f>
        <v>3</v>
      </c>
      <c r="C736" s="25">
        <v>2025</v>
      </c>
      <c r="D736" s="3">
        <f t="shared" si="288"/>
        <v>2025</v>
      </c>
      <c r="E736" s="3" t="s">
        <v>627</v>
      </c>
      <c r="F736" s="3" t="s">
        <v>627</v>
      </c>
      <c r="G736" s="102">
        <f>DATE(Modelling_old[[#This Row],[Calendor Year]],Modelling_old[[#This Row],[Start Month]],1)</f>
        <v>45717</v>
      </c>
      <c r="H736" s="5">
        <f t="shared" si="289"/>
        <v>31</v>
      </c>
      <c r="I736" s="5">
        <f t="shared" si="290"/>
        <v>3</v>
      </c>
      <c r="J736" s="4">
        <f>_xlfn.XLOOKUP(Modelling_old[[#This Row],[Month]],$C$1:$C$14,$N$1:$N$14)/Modelling_old[[#This Row],[Total Days]]</f>
        <v>53.203225806451613</v>
      </c>
      <c r="K736" s="4">
        <f>SUM($J$718:J736)</f>
        <v>1010.861290322581</v>
      </c>
      <c r="L736" s="4">
        <f>SUM($J$384:J736)</f>
        <v>16569.561290322596</v>
      </c>
      <c r="M736" s="4">
        <f t="shared" si="291"/>
        <v>6.9</v>
      </c>
      <c r="N736" s="4">
        <f>SUM($M$718:M736)</f>
        <v>131.10000000000005</v>
      </c>
      <c r="O736" s="4">
        <f>SUM($M$384:M736)</f>
        <v>2083.799999999997</v>
      </c>
      <c r="P736" s="323">
        <f t="shared" si="292"/>
        <v>0.67030734634295319</v>
      </c>
      <c r="Q736" s="337">
        <f t="shared" si="293"/>
        <v>0.67030734634295319</v>
      </c>
      <c r="R736" s="337">
        <f t="shared" si="294"/>
        <v>0.69125785736930201</v>
      </c>
      <c r="S736" s="323">
        <f t="shared" si="295"/>
        <v>0.19271336207359907</v>
      </c>
      <c r="T736" s="9">
        <f>Modelling_old[[#This Row],[Target E_Grid MTD
MWh]]/Modelling_old[[#This Row],[DC Capcity]]/(24*CG736)</f>
        <v>0.1927133620735991</v>
      </c>
      <c r="U736" s="338">
        <f>Modelling_old[[#This Row],[Target E_Grid YTD
MWh]]/Modelling_old[[#This Row],[DC Capcity]]/(24*CH736)</f>
        <v>0.17002397582461631</v>
      </c>
      <c r="V736" s="134">
        <v>11.5031</v>
      </c>
      <c r="Y736" s="27">
        <f t="shared" si="296"/>
        <v>45735</v>
      </c>
      <c r="Z736" s="5">
        <f>MONTH(Modelling_new[[#This Row],[Date]])</f>
        <v>3</v>
      </c>
      <c r="AA736" s="25">
        <f>YEAR(Y736)+IF(MONTH(Modelling_new[[#This Row],[Date]])&gt;=4,1,0)</f>
        <v>2025</v>
      </c>
      <c r="AB736" s="3">
        <f t="shared" si="276"/>
        <v>2025</v>
      </c>
      <c r="AC736" s="3" t="s">
        <v>627</v>
      </c>
      <c r="AD736" s="3" t="s">
        <v>627</v>
      </c>
      <c r="AE736" s="102">
        <f>DATE(Modelling_old[[#This Row],[Calendor Year]],Modelling_old[[#This Row],[Start Month]],1)</f>
        <v>45717</v>
      </c>
      <c r="AF736" s="5">
        <f t="shared" si="277"/>
        <v>31</v>
      </c>
      <c r="AG736" s="5">
        <f t="shared" si="278"/>
        <v>3</v>
      </c>
      <c r="AH736" s="4">
        <f>_xlfn.XLOOKUP(Modelling_new[[#This Row],[Month]],$AA$1:$AA$14,$AL$1:$AL$14)/Modelling_new[[#This Row],[Total Days]]</f>
        <v>72.118700788389063</v>
      </c>
      <c r="AI736" s="4">
        <f>SUM($AH$718:AH736)</f>
        <v>1370.2553149793926</v>
      </c>
      <c r="AJ736" s="4">
        <f>SUM($AH$384:AH736)</f>
        <v>20946.997471629049</v>
      </c>
      <c r="AK736" s="4">
        <f t="shared" si="279"/>
        <v>6.9</v>
      </c>
      <c r="AL736" s="4">
        <f>SUM($AK$718:AK736)</f>
        <v>131.10000000000005</v>
      </c>
      <c r="AM736" s="4">
        <f>SUM($AK$384:AK736)</f>
        <v>2083.799999999997</v>
      </c>
      <c r="AN736" s="323">
        <f t="shared" si="280"/>
        <v>0.90862338165413326</v>
      </c>
      <c r="AO736" s="323">
        <f t="shared" si="281"/>
        <v>0.90862338165413326</v>
      </c>
      <c r="AP736" s="323">
        <f t="shared" si="282"/>
        <v>0.87387809108834735</v>
      </c>
      <c r="AQ736" s="323">
        <f t="shared" si="283"/>
        <v>0.26122922222556338</v>
      </c>
      <c r="AR736" s="323">
        <f>Modelling_new[[#This Row],[Target E_Grid MTD
MWh]]/Modelling_new[[#This Row],[MTD DC Capcity]]/(24*CG736)</f>
        <v>0.23476139579553729</v>
      </c>
      <c r="AS736" s="323">
        <f>Modelling_new[[#This Row],[Target E_Grid YTD
MWh]]/Modelling_new[[#This Row],[YTD DC Capcity]]/(24*CH736)</f>
        <v>0.19316385475342407</v>
      </c>
      <c r="AT736" s="5">
        <v>12.8</v>
      </c>
      <c r="AU736" s="9">
        <f>Modelling_new[[#This Row],[Comisined DC ]]/$AO$1</f>
        <v>1</v>
      </c>
      <c r="AV736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36" s="5">
        <f>AVERAGEIFS(Modelling_new[[Comisined DC ]],Modelling_new[Date],"&lt;="&amp;Modelling_new[[#This Row],[Date]],Modelling_new[[Comisined DC ]],"&gt;"&amp;0,Modelling_new[Finacial Year],Modelling_new[[#This Row],[Finacial Year]])</f>
        <v>12.800000000000084</v>
      </c>
      <c r="BD736" s="27">
        <f t="shared" si="297"/>
        <v>45735</v>
      </c>
      <c r="BE736" s="5">
        <f>MONTH(Modelling[[#This Row],[Date]])</f>
        <v>3</v>
      </c>
      <c r="BF736" s="25">
        <f>YEAR(BD736)+IF(MONTH(Modelling[[#This Row],[Date]])&gt;=4,1,0)</f>
        <v>2025</v>
      </c>
      <c r="BG736" s="3">
        <f t="shared" si="284"/>
        <v>2025</v>
      </c>
      <c r="BH736" s="3" t="s">
        <v>627</v>
      </c>
      <c r="BI736" s="3" t="s">
        <v>627</v>
      </c>
      <c r="BJ736" s="102">
        <f>DATE(Modelling_old[[#This Row],[Calendor Year]],Modelling_old[[#This Row],[Start Month]],1)</f>
        <v>45717</v>
      </c>
      <c r="BK736" s="5">
        <f t="shared" si="285"/>
        <v>31</v>
      </c>
      <c r="BL736" s="5">
        <f t="shared" si="286"/>
        <v>3</v>
      </c>
      <c r="BM736" s="4">
        <f>Modelling_old[[#This Row],[Target E_Grid daily
MWh]]+Modelling_new[[#This Row],[Target E_Grid daily
MWh]]</f>
        <v>125.32192659484068</v>
      </c>
      <c r="BN736" s="4">
        <f>Modelling_old[[#This Row],[Target E_Grid MTD
MWh]]+Modelling_new[[#This Row],[Target E_Grid MTD
MWh]]</f>
        <v>2381.1166053019733</v>
      </c>
      <c r="BO736" s="4">
        <f>Modelling_old[[#This Row],[Target E_Grid YTD
MWh]]+Modelling_new[[#This Row],[Target E_Grid YTD
MWh]]</f>
        <v>37516.558761951645</v>
      </c>
      <c r="BP736" s="4">
        <f>AVERAGE(Modelling_old[[#This Row],[Target POA Daily (KWh/m2)]],Modelling_new[[#This Row],[Target POA Daily (KWh/m2)]])</f>
        <v>6.9</v>
      </c>
      <c r="BQ736" s="4">
        <f>SUM($BP$718:BP736)</f>
        <v>131.10000000000005</v>
      </c>
      <c r="BR736" s="4">
        <f>SUM($BP$384:BP736)</f>
        <v>2083.799999999997</v>
      </c>
      <c r="BS736" s="323">
        <f>BM736/Modelling[[#This Row],[Comisined DC ]]/BP736</f>
        <v>0.74733667956858518</v>
      </c>
      <c r="BT736" s="337">
        <f>BN736/BQ736/Modelling[[#This Row],[Comisined DC ]]</f>
        <v>0.74733667956858507</v>
      </c>
      <c r="BU736" s="337">
        <f>BO736/BR736/Modelling[[#This Row],[Comisined DC ]]</f>
        <v>0.74080735909012374</v>
      </c>
      <c r="BV736" s="323">
        <f>BM736/(24*Modelling[[#This Row],[Comisined DC ]])</f>
        <v>0.21485929537596829</v>
      </c>
      <c r="BW736" s="323">
        <f>Modelling[[#This Row],[Target E_Grid MTD
MWh]]/Modelling[[#This Row],[MTD DC Capcity]]/(24*CG736)</f>
        <v>0.2148592953759684</v>
      </c>
      <c r="BX736" s="338">
        <f>Modelling[[#This Row],[Target E_Grid YTD
MWh]]/Modelling[[#This Row],[YTD DC Capcity]]/(24*CH736)</f>
        <v>0.18221132847875302</v>
      </c>
      <c r="BY736" s="4">
        <f>Modelling_old[[#This Row],[DC Capcity]]+Modelling_new[[#This Row],[Comisined DC ]]</f>
        <v>24.303100000000001</v>
      </c>
      <c r="BZ736" s="4">
        <v>0</v>
      </c>
      <c r="CA736">
        <f>AVERAGEIFS(Modelling[[Comisined DC ]],Modelling[Date],"&lt;="&amp;Modelling[[#This Row],[Date]],Modelling[Month Year],Modelling[[#This Row],[Month Year]])</f>
        <v>24.30309999999999</v>
      </c>
      <c r="CB736">
        <f>AVERAGEIFS(Modelling[[Comisined DC ]],Modelling[Date],"&lt;="&amp;Modelling[[#This Row],[Date]],Modelling[Finacial Year],Modelling[[#This Row],[Finacial Year]])</f>
        <v>24.303100000000033</v>
      </c>
      <c r="CG736">
        <f t="shared" si="266"/>
        <v>19</v>
      </c>
      <c r="CH736">
        <f t="shared" si="287"/>
        <v>353</v>
      </c>
    </row>
    <row r="737" spans="1:86" x14ac:dyDescent="0.35">
      <c r="A737" s="27">
        <f t="shared" si="267"/>
        <v>45736</v>
      </c>
      <c r="B737" s="5">
        <f>MONTH(Modelling_old[[#This Row],[Date]])</f>
        <v>3</v>
      </c>
      <c r="C737" s="25">
        <v>2025</v>
      </c>
      <c r="D737" s="3">
        <f t="shared" si="288"/>
        <v>2025</v>
      </c>
      <c r="E737" s="3" t="s">
        <v>627</v>
      </c>
      <c r="F737" s="3" t="s">
        <v>627</v>
      </c>
      <c r="G737" s="102">
        <f>DATE(Modelling_old[[#This Row],[Calendor Year]],Modelling_old[[#This Row],[Start Month]],1)</f>
        <v>45717</v>
      </c>
      <c r="H737" s="5">
        <f t="shared" si="289"/>
        <v>31</v>
      </c>
      <c r="I737" s="5">
        <f t="shared" si="290"/>
        <v>3</v>
      </c>
      <c r="J737" s="4">
        <f>_xlfn.XLOOKUP(Modelling_old[[#This Row],[Month]],$C$1:$C$14,$N$1:$N$14)/Modelling_old[[#This Row],[Total Days]]</f>
        <v>53.203225806451613</v>
      </c>
      <c r="K737" s="4">
        <f>SUM($J$718:J737)</f>
        <v>1064.0645161290327</v>
      </c>
      <c r="L737" s="4">
        <f>SUM($J$384:J737)</f>
        <v>16622.764516129046</v>
      </c>
      <c r="M737" s="4">
        <f t="shared" si="291"/>
        <v>6.9</v>
      </c>
      <c r="N737" s="4">
        <f>SUM($M$718:M737)</f>
        <v>138.00000000000006</v>
      </c>
      <c r="O737" s="4">
        <f>SUM($M$384:M737)</f>
        <v>2090.6999999999971</v>
      </c>
      <c r="P737" s="323">
        <f t="shared" si="292"/>
        <v>0.67030734634295319</v>
      </c>
      <c r="Q737" s="337">
        <f t="shared" si="293"/>
        <v>0.67030734634295319</v>
      </c>
      <c r="R737" s="337">
        <f t="shared" si="294"/>
        <v>0.69118871376855484</v>
      </c>
      <c r="S737" s="323">
        <f t="shared" si="295"/>
        <v>0.19271336207359907</v>
      </c>
      <c r="T737" s="9">
        <f>Modelling_old[[#This Row],[Target E_Grid MTD
MWh]]/Modelling_old[[#This Row],[DC Capcity]]/(24*CG737)</f>
        <v>0.19271336207359913</v>
      </c>
      <c r="U737" s="338">
        <f>Modelling_old[[#This Row],[Target E_Grid YTD
MWh]]/Modelling_old[[#This Row],[DC Capcity]]/(24*CH737)</f>
        <v>0.17008807013605409</v>
      </c>
      <c r="V737" s="134">
        <v>11.5031</v>
      </c>
      <c r="Y737" s="27">
        <f t="shared" si="296"/>
        <v>45736</v>
      </c>
      <c r="Z737" s="5">
        <f>MONTH(Modelling_new[[#This Row],[Date]])</f>
        <v>3</v>
      </c>
      <c r="AA737" s="25">
        <f>YEAR(Y737)+IF(MONTH(Modelling_new[[#This Row],[Date]])&gt;=4,1,0)</f>
        <v>2025</v>
      </c>
      <c r="AB737" s="3">
        <f t="shared" si="276"/>
        <v>2025</v>
      </c>
      <c r="AC737" s="3" t="s">
        <v>627</v>
      </c>
      <c r="AD737" s="3" t="s">
        <v>627</v>
      </c>
      <c r="AE737" s="102">
        <f>DATE(Modelling_old[[#This Row],[Calendor Year]],Modelling_old[[#This Row],[Start Month]],1)</f>
        <v>45717</v>
      </c>
      <c r="AF737" s="5">
        <f t="shared" si="277"/>
        <v>31</v>
      </c>
      <c r="AG737" s="5">
        <f t="shared" si="278"/>
        <v>3</v>
      </c>
      <c r="AH737" s="4">
        <f>_xlfn.XLOOKUP(Modelling_new[[#This Row],[Month]],$AA$1:$AA$14,$AL$1:$AL$14)/Modelling_new[[#This Row],[Total Days]]</f>
        <v>72.118700788389063</v>
      </c>
      <c r="AI737" s="4">
        <f>SUM($AH$718:AH737)</f>
        <v>1442.3740157677817</v>
      </c>
      <c r="AJ737" s="4">
        <f>SUM($AH$384:AH737)</f>
        <v>21019.116172417438</v>
      </c>
      <c r="AK737" s="4">
        <f t="shared" si="279"/>
        <v>6.9</v>
      </c>
      <c r="AL737" s="4">
        <f>SUM($AK$718:AK737)</f>
        <v>138.00000000000006</v>
      </c>
      <c r="AM737" s="4">
        <f>SUM($AK$384:AK737)</f>
        <v>2090.6999999999971</v>
      </c>
      <c r="AN737" s="323">
        <f t="shared" si="280"/>
        <v>0.90862338165413326</v>
      </c>
      <c r="AO737" s="323">
        <f t="shared" si="281"/>
        <v>0.90862338165413326</v>
      </c>
      <c r="AP737" s="323">
        <f t="shared" si="282"/>
        <v>0.87399276201430687</v>
      </c>
      <c r="AQ737" s="323">
        <f t="shared" si="283"/>
        <v>0.26122922222556338</v>
      </c>
      <c r="AR737" s="323">
        <f>Modelling_new[[#This Row],[Target E_Grid MTD
MWh]]/Modelling_new[[#This Row],[MTD DC Capcity]]/(24*CG737)</f>
        <v>0.23476139579553734</v>
      </c>
      <c r="AS737" s="323">
        <f>Modelling_new[[#This Row],[Target E_Grid YTD
MWh]]/Modelling_new[[#This Row],[YTD DC Capcity]]/(24*CH737)</f>
        <v>0.19328136193150913</v>
      </c>
      <c r="AT737" s="5">
        <v>12.8</v>
      </c>
      <c r="AU737" s="9">
        <f>Modelling_new[[#This Row],[Comisined DC ]]/$AO$1</f>
        <v>1</v>
      </c>
      <c r="AV737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737" s="5">
        <f>AVERAGEIFS(Modelling_new[[Comisined DC ]],Modelling_new[Date],"&lt;="&amp;Modelling_new[[#This Row],[Date]],Modelling_new[[Comisined DC ]],"&gt;"&amp;0,Modelling_new[Finacial Year],Modelling_new[[#This Row],[Finacial Year]])</f>
        <v>12.800000000000084</v>
      </c>
      <c r="BD737" s="27">
        <f t="shared" si="297"/>
        <v>45736</v>
      </c>
      <c r="BE737" s="5">
        <f>MONTH(Modelling[[#This Row],[Date]])</f>
        <v>3</v>
      </c>
      <c r="BF737" s="25">
        <f>YEAR(BD737)+IF(MONTH(Modelling[[#This Row],[Date]])&gt;=4,1,0)</f>
        <v>2025</v>
      </c>
      <c r="BG737" s="3">
        <f t="shared" si="284"/>
        <v>2025</v>
      </c>
      <c r="BH737" s="3" t="s">
        <v>627</v>
      </c>
      <c r="BI737" s="3" t="s">
        <v>627</v>
      </c>
      <c r="BJ737" s="102">
        <f>DATE(Modelling_old[[#This Row],[Calendor Year]],Modelling_old[[#This Row],[Start Month]],1)</f>
        <v>45717</v>
      </c>
      <c r="BK737" s="5">
        <f t="shared" si="285"/>
        <v>31</v>
      </c>
      <c r="BL737" s="5">
        <f t="shared" si="286"/>
        <v>3</v>
      </c>
      <c r="BM737" s="4">
        <f>Modelling_old[[#This Row],[Target E_Grid daily
MWh]]+Modelling_new[[#This Row],[Target E_Grid daily
MWh]]</f>
        <v>125.32192659484068</v>
      </c>
      <c r="BN737" s="4">
        <f>Modelling_old[[#This Row],[Target E_Grid MTD
MWh]]+Modelling_new[[#This Row],[Target E_Grid MTD
MWh]]</f>
        <v>2506.4385318968143</v>
      </c>
      <c r="BO737" s="4">
        <f>Modelling_old[[#This Row],[Target E_Grid YTD
MWh]]+Modelling_new[[#This Row],[Target E_Grid YTD
MWh]]</f>
        <v>37641.880688546487</v>
      </c>
      <c r="BP737" s="4">
        <f>AVERAGE(Modelling_old[[#This Row],[Target POA Daily (KWh/m2)]],Modelling_new[[#This Row],[Target POA Daily (KWh/m2)]])</f>
        <v>6.9</v>
      </c>
      <c r="BQ737" s="4">
        <f>SUM($BP$718:BP737)</f>
        <v>138.00000000000006</v>
      </c>
      <c r="BR737" s="4">
        <f>SUM($BP$384:BP737)</f>
        <v>2090.6999999999971</v>
      </c>
      <c r="BS737" s="323">
        <f>BM737/Modelling[[#This Row],[Comisined DC ]]/BP737</f>
        <v>0.74733667956858518</v>
      </c>
      <c r="BT737" s="337">
        <f>BN737/BQ737/Modelling[[#This Row],[Comisined DC ]]</f>
        <v>0.74733667956858529</v>
      </c>
      <c r="BU737" s="337">
        <f>BO737/BR737/Modelling[[#This Row],[Comisined DC ]]</f>
        <v>0.74082890800259393</v>
      </c>
      <c r="BV737" s="323">
        <f>BM737/(24*Modelling[[#This Row],[Comisined DC ]])</f>
        <v>0.21485929537596829</v>
      </c>
      <c r="BW737" s="323">
        <f>Modelling[[#This Row],[Target E_Grid MTD
MWh]]/Modelling[[#This Row],[MTD DC Capcity]]/(24*CG737)</f>
        <v>0.21485929537596843</v>
      </c>
      <c r="BX737" s="338">
        <f>Modelling[[#This Row],[Target E_Grid YTD
MWh]]/Modelling[[#This Row],[YTD DC Capcity]]/(24*CH737)</f>
        <v>0.18230355437394294</v>
      </c>
      <c r="BY737" s="4">
        <f>Modelling_old[[#This Row],[DC Capcity]]+Modelling_new[[#This Row],[Comisined DC ]]</f>
        <v>24.303100000000001</v>
      </c>
      <c r="BZ737" s="4">
        <v>0</v>
      </c>
      <c r="CA737">
        <f>AVERAGEIFS(Modelling[[Comisined DC ]],Modelling[Date],"&lt;="&amp;Modelling[[#This Row],[Date]],Modelling[Month Year],Modelling[[#This Row],[Month Year]])</f>
        <v>24.30309999999999</v>
      </c>
      <c r="CB737">
        <f>AVERAGEIFS(Modelling[[Comisined DC ]],Modelling[Date],"&lt;="&amp;Modelling[[#This Row],[Date]],Modelling[Finacial Year],Modelling[[#This Row],[Finacial Year]])</f>
        <v>24.303100000000029</v>
      </c>
      <c r="CG737">
        <f t="shared" si="266"/>
        <v>20</v>
      </c>
      <c r="CH737">
        <f t="shared" si="287"/>
        <v>354</v>
      </c>
    </row>
    <row r="738" spans="1:86" x14ac:dyDescent="0.35">
      <c r="A738" s="27">
        <f t="shared" si="267"/>
        <v>45737</v>
      </c>
      <c r="B738" s="5">
        <f>MONTH(Modelling_old[[#This Row],[Date]])</f>
        <v>3</v>
      </c>
      <c r="C738" s="25">
        <v>2025</v>
      </c>
      <c r="D738" s="3">
        <f t="shared" si="288"/>
        <v>2025</v>
      </c>
      <c r="E738" s="3" t="s">
        <v>627</v>
      </c>
      <c r="F738" s="3" t="s">
        <v>627</v>
      </c>
      <c r="G738" s="102">
        <f>DATE(Modelling_old[[#This Row],[Calendor Year]],Modelling_old[[#This Row],[Start Month]],1)</f>
        <v>45717</v>
      </c>
      <c r="H738" s="5">
        <f t="shared" si="289"/>
        <v>31</v>
      </c>
      <c r="I738" s="5">
        <f t="shared" si="290"/>
        <v>3</v>
      </c>
      <c r="J738" s="4">
        <f>_xlfn.XLOOKUP(Modelling_old[[#This Row],[Month]],$C$1:$C$14,$N$1:$N$14)/Modelling_old[[#This Row],[Total Days]]</f>
        <v>53.203225806451613</v>
      </c>
      <c r="K738" s="4">
        <f>SUM($J$718:J738)</f>
        <v>1117.2677419354843</v>
      </c>
      <c r="L738" s="4">
        <f>SUM($J$384:J738)</f>
        <v>16675.967741935496</v>
      </c>
      <c r="M738" s="4">
        <f t="shared" si="291"/>
        <v>6.9</v>
      </c>
      <c r="N738" s="4">
        <f>SUM($M$718:M738)</f>
        <v>144.90000000000006</v>
      </c>
      <c r="O738" s="4">
        <f>SUM($M$384:M738)</f>
        <v>2097.5999999999972</v>
      </c>
      <c r="P738" s="323">
        <f t="shared" si="292"/>
        <v>0.67030734634295319</v>
      </c>
      <c r="Q738" s="337">
        <f t="shared" si="293"/>
        <v>0.67030734634295319</v>
      </c>
      <c r="R738" s="337">
        <f t="shared" si="294"/>
        <v>0.69112002505991788</v>
      </c>
      <c r="S738" s="323">
        <f t="shared" si="295"/>
        <v>0.19271336207359907</v>
      </c>
      <c r="T738" s="9">
        <f>Modelling_old[[#This Row],[Target E_Grid MTD
MWh]]/Modelling_old[[#This Row],[DC Capcity]]/(24*CG738)</f>
        <v>0.19271336207359913</v>
      </c>
      <c r="U738" s="338">
        <f>Modelling_old[[#This Row],[Target E_Grid YTD
MWh]]/Modelling_old[[#This Row],[DC Capcity]]/(24*CH738)</f>
        <v>0.17015180335277957</v>
      </c>
      <c r="V738" s="134">
        <v>11.5031</v>
      </c>
      <c r="Y738" s="27">
        <f t="shared" si="296"/>
        <v>45737</v>
      </c>
      <c r="Z738" s="5">
        <f>MONTH(Modelling_new[[#This Row],[Date]])</f>
        <v>3</v>
      </c>
      <c r="AA738" s="25">
        <f>YEAR(Y738)+IF(MONTH(Modelling_new[[#This Row],[Date]])&gt;=4,1,0)</f>
        <v>2025</v>
      </c>
      <c r="AB738" s="3">
        <f t="shared" si="276"/>
        <v>2025</v>
      </c>
      <c r="AC738" s="3" t="s">
        <v>627</v>
      </c>
      <c r="AD738" s="3" t="s">
        <v>627</v>
      </c>
      <c r="AE738" s="102">
        <f>DATE(Modelling_old[[#This Row],[Calendor Year]],Modelling_old[[#This Row],[Start Month]],1)</f>
        <v>45717</v>
      </c>
      <c r="AF738" s="5">
        <f t="shared" si="277"/>
        <v>31</v>
      </c>
      <c r="AG738" s="5">
        <f t="shared" si="278"/>
        <v>3</v>
      </c>
      <c r="AH738" s="4">
        <f>_xlfn.XLOOKUP(Modelling_new[[#This Row],[Month]],$AA$1:$AA$14,$AL$1:$AL$14)/Modelling_new[[#This Row],[Total Days]]</f>
        <v>72.118700788389063</v>
      </c>
      <c r="AI738" s="4">
        <f>SUM($AH$718:AH738)</f>
        <v>1514.4927165561708</v>
      </c>
      <c r="AJ738" s="4">
        <f>SUM($AH$384:AH738)</f>
        <v>21091.234873205827</v>
      </c>
      <c r="AK738" s="4">
        <f t="shared" si="279"/>
        <v>6.9</v>
      </c>
      <c r="AL738" s="4">
        <f>SUM($AK$718:AK738)</f>
        <v>144.90000000000006</v>
      </c>
      <c r="AM738" s="4">
        <f>SUM($AK$384:AK738)</f>
        <v>2097.5999999999972</v>
      </c>
      <c r="AN738" s="323">
        <f t="shared" si="280"/>
        <v>0.90862338165413326</v>
      </c>
      <c r="AO738" s="323">
        <f t="shared" si="281"/>
        <v>0.90862338165413326</v>
      </c>
      <c r="AP738" s="323">
        <f t="shared" si="282"/>
        <v>0.8741066785262801</v>
      </c>
      <c r="AQ738" s="323">
        <f t="shared" si="283"/>
        <v>0.26122922222556338</v>
      </c>
      <c r="AR738" s="323">
        <f>Modelling_new[[#This Row],[Target E_Grid MTD
MWh]]/Modelling_new[[#This Row],[MTD DC Capcity]]/(24*CG738)</f>
        <v>0.23476139579553734</v>
      </c>
      <c r="AS738" s="323">
        <f>Modelling_new[[#This Row],[Target E_Grid YTD
MWh]]/Modelling_new[[#This Row],[YTD DC Capcity]]/(24*CH738)</f>
        <v>0.19339820709732328</v>
      </c>
      <c r="AT738" s="5">
        <v>12.8</v>
      </c>
      <c r="AU738" s="9">
        <f>Modelling_new[[#This Row],[Comisined DC ]]/$AO$1</f>
        <v>1</v>
      </c>
      <c r="AV738" s="5">
        <f>AVERAGEIFS(Modelling_new[[Comisined DC ]],Modelling_new[Date],"&lt;="&amp;Modelling_new[[#This Row],[Date]],Modelling_new[[Comisined DC ]],"&gt;"&amp;0,Modelling_new[Month Year],Modelling_new[[#This Row],[Month Year]])</f>
        <v>12.800000000000002</v>
      </c>
      <c r="AW738" s="5">
        <f>AVERAGEIFS(Modelling_new[[Comisined DC ]],Modelling_new[Date],"&lt;="&amp;Modelling_new[[#This Row],[Date]],Modelling_new[[Comisined DC ]],"&gt;"&amp;0,Modelling_new[Finacial Year],Modelling_new[[#This Row],[Finacial Year]])</f>
        <v>12.800000000000084</v>
      </c>
      <c r="BD738" s="27">
        <f t="shared" si="297"/>
        <v>45737</v>
      </c>
      <c r="BE738" s="5">
        <f>MONTH(Modelling[[#This Row],[Date]])</f>
        <v>3</v>
      </c>
      <c r="BF738" s="25">
        <f>YEAR(BD738)+IF(MONTH(Modelling[[#This Row],[Date]])&gt;=4,1,0)</f>
        <v>2025</v>
      </c>
      <c r="BG738" s="3">
        <f t="shared" si="284"/>
        <v>2025</v>
      </c>
      <c r="BH738" s="3" t="s">
        <v>627</v>
      </c>
      <c r="BI738" s="3" t="s">
        <v>627</v>
      </c>
      <c r="BJ738" s="102">
        <f>DATE(Modelling_old[[#This Row],[Calendor Year]],Modelling_old[[#This Row],[Start Month]],1)</f>
        <v>45717</v>
      </c>
      <c r="BK738" s="5">
        <f t="shared" si="285"/>
        <v>31</v>
      </c>
      <c r="BL738" s="5">
        <f t="shared" si="286"/>
        <v>3</v>
      </c>
      <c r="BM738" s="4">
        <f>Modelling_old[[#This Row],[Target E_Grid daily
MWh]]+Modelling_new[[#This Row],[Target E_Grid daily
MWh]]</f>
        <v>125.32192659484068</v>
      </c>
      <c r="BN738" s="4">
        <f>Modelling_old[[#This Row],[Target E_Grid MTD
MWh]]+Modelling_new[[#This Row],[Target E_Grid MTD
MWh]]</f>
        <v>2631.7604584916553</v>
      </c>
      <c r="BO738" s="4">
        <f>Modelling_old[[#This Row],[Target E_Grid YTD
MWh]]+Modelling_new[[#This Row],[Target E_Grid YTD
MWh]]</f>
        <v>37767.202615141323</v>
      </c>
      <c r="BP738" s="4">
        <f>AVERAGE(Modelling_old[[#This Row],[Target POA Daily (KWh/m2)]],Modelling_new[[#This Row],[Target POA Daily (KWh/m2)]])</f>
        <v>6.9</v>
      </c>
      <c r="BQ738" s="4">
        <f>SUM($BP$718:BP738)</f>
        <v>144.90000000000006</v>
      </c>
      <c r="BR738" s="4">
        <f>SUM($BP$384:BP738)</f>
        <v>2097.5999999999972</v>
      </c>
      <c r="BS738" s="323">
        <f>BM738/Modelling[[#This Row],[Comisined DC ]]/BP738</f>
        <v>0.74733667956858518</v>
      </c>
      <c r="BT738" s="337">
        <f>BN738/BQ738/Modelling[[#This Row],[Comisined DC ]]</f>
        <v>0.74733667956858529</v>
      </c>
      <c r="BU738" s="337">
        <f>BO738/BR738/Modelling[[#This Row],[Comisined DC ]]</f>
        <v>0.74085031514590294</v>
      </c>
      <c r="BV738" s="323">
        <f>BM738/(24*Modelling[[#This Row],[Comisined DC ]])</f>
        <v>0.21485929537596829</v>
      </c>
      <c r="BW738" s="323">
        <f>Modelling[[#This Row],[Target E_Grid MTD
MWh]]/Modelling[[#This Row],[MTD DC Capcity]]/(24*CG738)</f>
        <v>0.21485929537596846</v>
      </c>
      <c r="BX738" s="338">
        <f>Modelling[[#This Row],[Target E_Grid YTD
MWh]]/Modelling[[#This Row],[YTD DC Capcity]]/(24*CH738)</f>
        <v>0.18239526068662471</v>
      </c>
      <c r="BY738" s="4">
        <f>Modelling_old[[#This Row],[DC Capcity]]+Modelling_new[[#This Row],[Comisined DC ]]</f>
        <v>24.303100000000001</v>
      </c>
      <c r="BZ738" s="4">
        <v>0</v>
      </c>
      <c r="CA738">
        <f>AVERAGEIFS(Modelling[[Comisined DC ]],Modelling[Date],"&lt;="&amp;Modelling[[#This Row],[Date]],Modelling[Month Year],Modelling[[#This Row],[Month Year]])</f>
        <v>24.30309999999999</v>
      </c>
      <c r="CB738">
        <f>AVERAGEIFS(Modelling[[Comisined DC ]],Modelling[Date],"&lt;="&amp;Modelling[[#This Row],[Date]],Modelling[Finacial Year],Modelling[[#This Row],[Finacial Year]])</f>
        <v>24.303100000000025</v>
      </c>
      <c r="CG738">
        <f t="shared" si="266"/>
        <v>21</v>
      </c>
      <c r="CH738">
        <f t="shared" si="287"/>
        <v>355</v>
      </c>
    </row>
    <row r="739" spans="1:86" x14ac:dyDescent="0.35">
      <c r="A739" s="27">
        <f t="shared" si="267"/>
        <v>45738</v>
      </c>
      <c r="B739" s="5">
        <f>MONTH(Modelling_old[[#This Row],[Date]])</f>
        <v>3</v>
      </c>
      <c r="C739" s="25">
        <v>2025</v>
      </c>
      <c r="D739" s="3">
        <f t="shared" si="288"/>
        <v>2025</v>
      </c>
      <c r="E739" s="3" t="s">
        <v>627</v>
      </c>
      <c r="F739" s="3" t="s">
        <v>627</v>
      </c>
      <c r="G739" s="102">
        <f>DATE(Modelling_old[[#This Row],[Calendor Year]],Modelling_old[[#This Row],[Start Month]],1)</f>
        <v>45717</v>
      </c>
      <c r="H739" s="5">
        <f t="shared" si="289"/>
        <v>31</v>
      </c>
      <c r="I739" s="5">
        <f t="shared" si="290"/>
        <v>3</v>
      </c>
      <c r="J739" s="4">
        <f>_xlfn.XLOOKUP(Modelling_old[[#This Row],[Month]],$C$1:$C$14,$N$1:$N$14)/Modelling_old[[#This Row],[Total Days]]</f>
        <v>53.203225806451613</v>
      </c>
      <c r="K739" s="4">
        <f>SUM($J$718:J739)</f>
        <v>1170.470967741936</v>
      </c>
      <c r="L739" s="4">
        <f>SUM($J$384:J739)</f>
        <v>16729.170967741946</v>
      </c>
      <c r="M739" s="4">
        <f t="shared" si="291"/>
        <v>6.9</v>
      </c>
      <c r="N739" s="4">
        <f>SUM($M$718:M739)</f>
        <v>151.80000000000007</v>
      </c>
      <c r="O739" s="4">
        <f>SUM($M$384:M739)</f>
        <v>2104.4999999999973</v>
      </c>
      <c r="P739" s="323">
        <f t="shared" si="292"/>
        <v>0.67030734634295319</v>
      </c>
      <c r="Q739" s="337">
        <f t="shared" si="293"/>
        <v>0.67030734634295319</v>
      </c>
      <c r="R739" s="337">
        <f t="shared" si="294"/>
        <v>0.69105178676904255</v>
      </c>
      <c r="S739" s="323">
        <f t="shared" si="295"/>
        <v>0.19271336207359907</v>
      </c>
      <c r="T739" s="9">
        <f>Modelling_old[[#This Row],[Target E_Grid MTD
MWh]]/Modelling_old[[#This Row],[DC Capcity]]/(24*CG739)</f>
        <v>0.19271336207359913</v>
      </c>
      <c r="U739" s="338">
        <f>Modelling_old[[#This Row],[Target E_Grid YTD
MWh]]/Modelling_old[[#This Row],[DC Capcity]]/(24*CH739)</f>
        <v>0.17021517851772569</v>
      </c>
      <c r="V739" s="134">
        <v>11.5031</v>
      </c>
      <c r="Y739" s="27">
        <f t="shared" si="296"/>
        <v>45738</v>
      </c>
      <c r="Z739" s="5">
        <f>MONTH(Modelling_new[[#This Row],[Date]])</f>
        <v>3</v>
      </c>
      <c r="AA739" s="25">
        <f>YEAR(Y739)+IF(MONTH(Modelling_new[[#This Row],[Date]])&gt;=4,1,0)</f>
        <v>2025</v>
      </c>
      <c r="AB739" s="3">
        <f t="shared" si="276"/>
        <v>2025</v>
      </c>
      <c r="AC739" s="3" t="s">
        <v>627</v>
      </c>
      <c r="AD739" s="3" t="s">
        <v>627</v>
      </c>
      <c r="AE739" s="102">
        <f>DATE(Modelling_old[[#This Row],[Calendor Year]],Modelling_old[[#This Row],[Start Month]],1)</f>
        <v>45717</v>
      </c>
      <c r="AF739" s="5">
        <f t="shared" si="277"/>
        <v>31</v>
      </c>
      <c r="AG739" s="5">
        <f t="shared" si="278"/>
        <v>3</v>
      </c>
      <c r="AH739" s="4">
        <f>_xlfn.XLOOKUP(Modelling_new[[#This Row],[Month]],$AA$1:$AA$14,$AL$1:$AL$14)/Modelling_new[[#This Row],[Total Days]]</f>
        <v>72.118700788389063</v>
      </c>
      <c r="AI739" s="4">
        <f>SUM($AH$718:AH739)</f>
        <v>1586.6114173445599</v>
      </c>
      <c r="AJ739" s="4">
        <f>SUM($AH$384:AH739)</f>
        <v>21163.353573994216</v>
      </c>
      <c r="AK739" s="4">
        <f t="shared" si="279"/>
        <v>6.9</v>
      </c>
      <c r="AL739" s="4">
        <f>SUM($AK$718:AK739)</f>
        <v>151.80000000000007</v>
      </c>
      <c r="AM739" s="4">
        <f>SUM($AK$384:AK739)</f>
        <v>2104.4999999999973</v>
      </c>
      <c r="AN739" s="323">
        <f t="shared" si="280"/>
        <v>0.90862338165413326</v>
      </c>
      <c r="AO739" s="323">
        <f t="shared" si="281"/>
        <v>0.90862338165413326</v>
      </c>
      <c r="AP739" s="323">
        <f t="shared" si="282"/>
        <v>0.87421984804473207</v>
      </c>
      <c r="AQ739" s="323">
        <f t="shared" si="283"/>
        <v>0.26122922222556338</v>
      </c>
      <c r="AR739" s="323">
        <f>Modelling_new[[#This Row],[Target E_Grid MTD
MWh]]/Modelling_new[[#This Row],[MTD DC Capcity]]/(24*CG739)</f>
        <v>0.23476139579553731</v>
      </c>
      <c r="AS739" s="323">
        <f>Modelling_new[[#This Row],[Target E_Grid YTD
MWh]]/Modelling_new[[#This Row],[YTD DC Capcity]]/(24*CH739)</f>
        <v>0.19351439582962163</v>
      </c>
      <c r="AT739" s="5">
        <v>12.8</v>
      </c>
      <c r="AU739" s="9">
        <f>Modelling_new[[#This Row],[Comisined DC ]]/$AO$1</f>
        <v>1</v>
      </c>
      <c r="AV739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39" s="5">
        <f>AVERAGEIFS(Modelling_new[[Comisined DC ]],Modelling_new[Date],"&lt;="&amp;Modelling_new[[#This Row],[Date]],Modelling_new[[Comisined DC ]],"&gt;"&amp;0,Modelling_new[Finacial Year],Modelling_new[[#This Row],[Finacial Year]])</f>
        <v>12.800000000000084</v>
      </c>
      <c r="BD739" s="27">
        <f t="shared" si="297"/>
        <v>45738</v>
      </c>
      <c r="BE739" s="5">
        <f>MONTH(Modelling[[#This Row],[Date]])</f>
        <v>3</v>
      </c>
      <c r="BF739" s="25">
        <f>YEAR(BD739)+IF(MONTH(Modelling[[#This Row],[Date]])&gt;=4,1,0)</f>
        <v>2025</v>
      </c>
      <c r="BG739" s="3">
        <f t="shared" si="284"/>
        <v>2025</v>
      </c>
      <c r="BH739" s="3" t="s">
        <v>627</v>
      </c>
      <c r="BI739" s="3" t="s">
        <v>627</v>
      </c>
      <c r="BJ739" s="102">
        <f>DATE(Modelling_old[[#This Row],[Calendor Year]],Modelling_old[[#This Row],[Start Month]],1)</f>
        <v>45717</v>
      </c>
      <c r="BK739" s="5">
        <f t="shared" si="285"/>
        <v>31</v>
      </c>
      <c r="BL739" s="5">
        <f t="shared" si="286"/>
        <v>3</v>
      </c>
      <c r="BM739" s="4">
        <f>Modelling_old[[#This Row],[Target E_Grid daily
MWh]]+Modelling_new[[#This Row],[Target E_Grid daily
MWh]]</f>
        <v>125.32192659484068</v>
      </c>
      <c r="BN739" s="4">
        <f>Modelling_old[[#This Row],[Target E_Grid MTD
MWh]]+Modelling_new[[#This Row],[Target E_Grid MTD
MWh]]</f>
        <v>2757.0823850864958</v>
      </c>
      <c r="BO739" s="4">
        <f>Modelling_old[[#This Row],[Target E_Grid YTD
MWh]]+Modelling_new[[#This Row],[Target E_Grid YTD
MWh]]</f>
        <v>37892.524541736158</v>
      </c>
      <c r="BP739" s="4">
        <f>AVERAGE(Modelling_old[[#This Row],[Target POA Daily (KWh/m2)]],Modelling_new[[#This Row],[Target POA Daily (KWh/m2)]])</f>
        <v>6.9</v>
      </c>
      <c r="BQ739" s="4">
        <f>SUM($BP$718:BP739)</f>
        <v>151.80000000000007</v>
      </c>
      <c r="BR739" s="4">
        <f>SUM($BP$384:BP739)</f>
        <v>2104.4999999999973</v>
      </c>
      <c r="BS739" s="323">
        <f>BM739/Modelling[[#This Row],[Comisined DC ]]/BP739</f>
        <v>0.74733667956858518</v>
      </c>
      <c r="BT739" s="337">
        <f>BN739/BQ739/Modelling[[#This Row],[Comisined DC ]]</f>
        <v>0.74733667956858529</v>
      </c>
      <c r="BU739" s="337">
        <f>BO739/BR739/Modelling[[#This Row],[Comisined DC ]]</f>
        <v>0.74087158191450175</v>
      </c>
      <c r="BV739" s="323">
        <f>BM739/(24*Modelling[[#This Row],[Comisined DC ]])</f>
        <v>0.21485929537596829</v>
      </c>
      <c r="BW739" s="323">
        <f>Modelling[[#This Row],[Target E_Grid MTD
MWh]]/Modelling[[#This Row],[MTD DC Capcity]]/(24*CG739)</f>
        <v>0.21485929537596848</v>
      </c>
      <c r="BX739" s="338">
        <f>Modelling[[#This Row],[Target E_Grid YTD
MWh]]/Modelling[[#This Row],[YTD DC Capcity]]/(24*CH739)</f>
        <v>0.1824864517953026</v>
      </c>
      <c r="BY739" s="4">
        <f>Modelling_old[[#This Row],[DC Capcity]]+Modelling_new[[#This Row],[Comisined DC ]]</f>
        <v>24.303100000000001</v>
      </c>
      <c r="BZ739" s="4">
        <v>0</v>
      </c>
      <c r="CA739">
        <f>AVERAGEIFS(Modelling[[Comisined DC ]],Modelling[Date],"&lt;="&amp;Modelling[[#This Row],[Date]],Modelling[Month Year],Modelling[[#This Row],[Month Year]])</f>
        <v>24.303099999999986</v>
      </c>
      <c r="CB739">
        <f>AVERAGEIFS(Modelling[[Comisined DC ]],Modelling[Date],"&lt;="&amp;Modelling[[#This Row],[Date]],Modelling[Finacial Year],Modelling[[#This Row],[Finacial Year]])</f>
        <v>24.303100000000025</v>
      </c>
      <c r="CG739">
        <f t="shared" si="266"/>
        <v>22</v>
      </c>
      <c r="CH739">
        <f t="shared" si="287"/>
        <v>356</v>
      </c>
    </row>
    <row r="740" spans="1:86" x14ac:dyDescent="0.35">
      <c r="A740" s="27">
        <f t="shared" si="267"/>
        <v>45739</v>
      </c>
      <c r="B740" s="5">
        <f>MONTH(Modelling_old[[#This Row],[Date]])</f>
        <v>3</v>
      </c>
      <c r="C740" s="25">
        <v>2025</v>
      </c>
      <c r="D740" s="3">
        <f t="shared" si="288"/>
        <v>2025</v>
      </c>
      <c r="E740" s="3" t="s">
        <v>627</v>
      </c>
      <c r="F740" s="3" t="s">
        <v>627</v>
      </c>
      <c r="G740" s="102">
        <f>DATE(Modelling_old[[#This Row],[Calendor Year]],Modelling_old[[#This Row],[Start Month]],1)</f>
        <v>45717</v>
      </c>
      <c r="H740" s="5">
        <f t="shared" si="289"/>
        <v>31</v>
      </c>
      <c r="I740" s="5">
        <f t="shared" si="290"/>
        <v>3</v>
      </c>
      <c r="J740" s="4">
        <f>_xlfn.XLOOKUP(Modelling_old[[#This Row],[Month]],$C$1:$C$14,$N$1:$N$14)/Modelling_old[[#This Row],[Total Days]]</f>
        <v>53.203225806451613</v>
      </c>
      <c r="K740" s="4">
        <f>SUM($J$718:J740)</f>
        <v>1223.6741935483876</v>
      </c>
      <c r="L740" s="4">
        <f>SUM($J$384:J740)</f>
        <v>16782.374193548396</v>
      </c>
      <c r="M740" s="4">
        <f t="shared" si="291"/>
        <v>6.9</v>
      </c>
      <c r="N740" s="4">
        <f>SUM($M$718:M740)</f>
        <v>158.70000000000007</v>
      </c>
      <c r="O740" s="4">
        <f>SUM($M$384:M740)</f>
        <v>2111.3999999999974</v>
      </c>
      <c r="P740" s="323">
        <f t="shared" si="292"/>
        <v>0.67030734634295319</v>
      </c>
      <c r="Q740" s="337">
        <f t="shared" si="293"/>
        <v>0.67030734634295319</v>
      </c>
      <c r="R740" s="337">
        <f t="shared" si="294"/>
        <v>0.69098399448006831</v>
      </c>
      <c r="S740" s="323">
        <f t="shared" si="295"/>
        <v>0.19271336207359907</v>
      </c>
      <c r="T740" s="9">
        <f>Modelling_old[[#This Row],[Target E_Grid MTD
MWh]]/Modelling_old[[#This Row],[DC Capcity]]/(24*CG740)</f>
        <v>0.19271336207359915</v>
      </c>
      <c r="U740" s="338">
        <f>Modelling_old[[#This Row],[Target E_Grid YTD
MWh]]/Modelling_old[[#This Row],[DC Capcity]]/(24*CH740)</f>
        <v>0.1702781986397309</v>
      </c>
      <c r="V740" s="134">
        <v>11.5031</v>
      </c>
      <c r="Y740" s="27">
        <f t="shared" si="296"/>
        <v>45739</v>
      </c>
      <c r="Z740" s="5">
        <f>MONTH(Modelling_new[[#This Row],[Date]])</f>
        <v>3</v>
      </c>
      <c r="AA740" s="25">
        <f>YEAR(Y740)+IF(MONTH(Modelling_new[[#This Row],[Date]])&gt;=4,1,0)</f>
        <v>2025</v>
      </c>
      <c r="AB740" s="3">
        <f t="shared" si="276"/>
        <v>2025</v>
      </c>
      <c r="AC740" s="3" t="s">
        <v>627</v>
      </c>
      <c r="AD740" s="3" t="s">
        <v>627</v>
      </c>
      <c r="AE740" s="102">
        <f>DATE(Modelling_old[[#This Row],[Calendor Year]],Modelling_old[[#This Row],[Start Month]],1)</f>
        <v>45717</v>
      </c>
      <c r="AF740" s="5">
        <f t="shared" si="277"/>
        <v>31</v>
      </c>
      <c r="AG740" s="5">
        <f t="shared" si="278"/>
        <v>3</v>
      </c>
      <c r="AH740" s="4">
        <f>_xlfn.XLOOKUP(Modelling_new[[#This Row],[Month]],$AA$1:$AA$14,$AL$1:$AL$14)/Modelling_new[[#This Row],[Total Days]]</f>
        <v>72.118700788389063</v>
      </c>
      <c r="AI740" s="4">
        <f>SUM($AH$718:AH740)</f>
        <v>1658.730118132949</v>
      </c>
      <c r="AJ740" s="4">
        <f>SUM($AH$384:AH740)</f>
        <v>21235.472274782605</v>
      </c>
      <c r="AK740" s="4">
        <f t="shared" si="279"/>
        <v>6.9</v>
      </c>
      <c r="AL740" s="4">
        <f>SUM($AK$718:AK740)</f>
        <v>158.70000000000007</v>
      </c>
      <c r="AM740" s="4">
        <f>SUM($AK$384:AK740)</f>
        <v>2111.3999999999974</v>
      </c>
      <c r="AN740" s="323">
        <f t="shared" si="280"/>
        <v>0.90862338165413326</v>
      </c>
      <c r="AO740" s="323">
        <f t="shared" si="281"/>
        <v>0.90862338165413326</v>
      </c>
      <c r="AP740" s="323">
        <f t="shared" si="282"/>
        <v>0.87433227789312862</v>
      </c>
      <c r="AQ740" s="323">
        <f t="shared" si="283"/>
        <v>0.26122922222556338</v>
      </c>
      <c r="AR740" s="323">
        <f>Modelling_new[[#This Row],[Target E_Grid MTD
MWh]]/Modelling_new[[#This Row],[MTD DC Capcity]]/(24*CG740)</f>
        <v>0.23476139579553729</v>
      </c>
      <c r="AS740" s="323">
        <f>Modelling_new[[#This Row],[Target E_Grid YTD
MWh]]/Modelling_new[[#This Row],[YTD DC Capcity]]/(24*CH740)</f>
        <v>0.19362993364465217</v>
      </c>
      <c r="AT740" s="5">
        <v>12.8</v>
      </c>
      <c r="AU740" s="9">
        <f>Modelling_new[[#This Row],[Comisined DC ]]/$AO$1</f>
        <v>1</v>
      </c>
      <c r="AV740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40" s="5">
        <f>AVERAGEIFS(Modelling_new[[Comisined DC ]],Modelling_new[Date],"&lt;="&amp;Modelling_new[[#This Row],[Date]],Modelling_new[[Comisined DC ]],"&gt;"&amp;0,Modelling_new[Finacial Year],Modelling_new[[#This Row],[Finacial Year]])</f>
        <v>12.800000000000086</v>
      </c>
      <c r="BD740" s="27">
        <f t="shared" si="297"/>
        <v>45739</v>
      </c>
      <c r="BE740" s="5">
        <f>MONTH(Modelling[[#This Row],[Date]])</f>
        <v>3</v>
      </c>
      <c r="BF740" s="25">
        <f>YEAR(BD740)+IF(MONTH(Modelling[[#This Row],[Date]])&gt;=4,1,0)</f>
        <v>2025</v>
      </c>
      <c r="BG740" s="3">
        <f t="shared" si="284"/>
        <v>2025</v>
      </c>
      <c r="BH740" s="3" t="s">
        <v>627</v>
      </c>
      <c r="BI740" s="3" t="s">
        <v>627</v>
      </c>
      <c r="BJ740" s="102">
        <f>DATE(Modelling_old[[#This Row],[Calendor Year]],Modelling_old[[#This Row],[Start Month]],1)</f>
        <v>45717</v>
      </c>
      <c r="BK740" s="5">
        <f t="shared" si="285"/>
        <v>31</v>
      </c>
      <c r="BL740" s="5">
        <f t="shared" si="286"/>
        <v>3</v>
      </c>
      <c r="BM740" s="4">
        <f>Modelling_old[[#This Row],[Target E_Grid daily
MWh]]+Modelling_new[[#This Row],[Target E_Grid daily
MWh]]</f>
        <v>125.32192659484068</v>
      </c>
      <c r="BN740" s="4">
        <f>Modelling_old[[#This Row],[Target E_Grid MTD
MWh]]+Modelling_new[[#This Row],[Target E_Grid MTD
MWh]]</f>
        <v>2882.4043116813364</v>
      </c>
      <c r="BO740" s="4">
        <f>Modelling_old[[#This Row],[Target E_Grid YTD
MWh]]+Modelling_new[[#This Row],[Target E_Grid YTD
MWh]]</f>
        <v>38017.846468331001</v>
      </c>
      <c r="BP740" s="4">
        <f>AVERAGE(Modelling_old[[#This Row],[Target POA Daily (KWh/m2)]],Modelling_new[[#This Row],[Target POA Daily (KWh/m2)]])</f>
        <v>6.9</v>
      </c>
      <c r="BQ740" s="4">
        <f>SUM($BP$718:BP740)</f>
        <v>158.70000000000007</v>
      </c>
      <c r="BR740" s="4">
        <f>SUM($BP$384:BP740)</f>
        <v>2111.3999999999974</v>
      </c>
      <c r="BS740" s="323">
        <f>BM740/Modelling[[#This Row],[Comisined DC ]]/BP740</f>
        <v>0.74733667956858518</v>
      </c>
      <c r="BT740" s="337">
        <f>BN740/BQ740/Modelling[[#This Row],[Comisined DC ]]</f>
        <v>0.74733667956858529</v>
      </c>
      <c r="BU740" s="337">
        <f>BO740/BR740/Modelling[[#This Row],[Comisined DC ]]</f>
        <v>0.74089270968461318</v>
      </c>
      <c r="BV740" s="323">
        <f>BM740/(24*Modelling[[#This Row],[Comisined DC ]])</f>
        <v>0.21485929537596829</v>
      </c>
      <c r="BW740" s="323">
        <f>Modelling[[#This Row],[Target E_Grid MTD
MWh]]/Modelling[[#This Row],[MTD DC Capcity]]/(24*CG740)</f>
        <v>0.21485929537596846</v>
      </c>
      <c r="BX740" s="338">
        <f>Modelling[[#This Row],[Target E_Grid YTD
MWh]]/Modelling[[#This Row],[YTD DC Capcity]]/(24*CH740)</f>
        <v>0.18257713202942213</v>
      </c>
      <c r="BY740" s="4">
        <f>Modelling_old[[#This Row],[DC Capcity]]+Modelling_new[[#This Row],[Comisined DC ]]</f>
        <v>24.303100000000001</v>
      </c>
      <c r="BZ740" s="4">
        <v>0</v>
      </c>
      <c r="CA740">
        <f>AVERAGEIFS(Modelling[[Comisined DC ]],Modelling[Date],"&lt;="&amp;Modelling[[#This Row],[Date]],Modelling[Month Year],Modelling[[#This Row],[Month Year]])</f>
        <v>24.303099999999986</v>
      </c>
      <c r="CB740">
        <f>AVERAGEIFS(Modelling[[Comisined DC ]],Modelling[Date],"&lt;="&amp;Modelling[[#This Row],[Date]],Modelling[Finacial Year],Modelling[[#This Row],[Finacial Year]])</f>
        <v>24.303100000000022</v>
      </c>
      <c r="CG740">
        <f t="shared" si="266"/>
        <v>23</v>
      </c>
      <c r="CH740">
        <f t="shared" si="287"/>
        <v>357</v>
      </c>
    </row>
    <row r="741" spans="1:86" x14ac:dyDescent="0.35">
      <c r="A741" s="27">
        <f t="shared" si="267"/>
        <v>45740</v>
      </c>
      <c r="B741" s="5">
        <f>MONTH(Modelling_old[[#This Row],[Date]])</f>
        <v>3</v>
      </c>
      <c r="C741" s="25">
        <v>2025</v>
      </c>
      <c r="D741" s="3">
        <f t="shared" si="288"/>
        <v>2025</v>
      </c>
      <c r="E741" s="3" t="s">
        <v>627</v>
      </c>
      <c r="F741" s="3" t="s">
        <v>627</v>
      </c>
      <c r="G741" s="102">
        <f>DATE(Modelling_old[[#This Row],[Calendor Year]],Modelling_old[[#This Row],[Start Month]],1)</f>
        <v>45717</v>
      </c>
      <c r="H741" s="5">
        <f t="shared" si="289"/>
        <v>31</v>
      </c>
      <c r="I741" s="5">
        <f t="shared" si="290"/>
        <v>3</v>
      </c>
      <c r="J741" s="4">
        <f>_xlfn.XLOOKUP(Modelling_old[[#This Row],[Month]],$C$1:$C$14,$N$1:$N$14)/Modelling_old[[#This Row],[Total Days]]</f>
        <v>53.203225806451613</v>
      </c>
      <c r="K741" s="4">
        <f>SUM($J$718:J741)</f>
        <v>1276.8774193548393</v>
      </c>
      <c r="L741" s="4">
        <f>SUM($J$384:J741)</f>
        <v>16835.577419354846</v>
      </c>
      <c r="M741" s="4">
        <f t="shared" si="291"/>
        <v>6.9</v>
      </c>
      <c r="N741" s="4">
        <f>SUM($M$718:M741)</f>
        <v>165.60000000000008</v>
      </c>
      <c r="O741" s="4">
        <f>SUM($M$384:M741)</f>
        <v>2118.2999999999975</v>
      </c>
      <c r="P741" s="323">
        <f t="shared" si="292"/>
        <v>0.67030734634295319</v>
      </c>
      <c r="Q741" s="337">
        <f t="shared" si="293"/>
        <v>0.67030734634295319</v>
      </c>
      <c r="R741" s="337">
        <f t="shared" si="294"/>
        <v>0.69091664383467044</v>
      </c>
      <c r="S741" s="323">
        <f t="shared" si="295"/>
        <v>0.19271336207359907</v>
      </c>
      <c r="T741" s="9">
        <f>Modelling_old[[#This Row],[Target E_Grid MTD
MWh]]/Modelling_old[[#This Row],[DC Capcity]]/(24*CG741)</f>
        <v>0.19271336207359913</v>
      </c>
      <c r="U741" s="338">
        <f>Modelling_old[[#This Row],[Target E_Grid YTD
MWh]]/Modelling_old[[#This Row],[DC Capcity]]/(24*CH741)</f>
        <v>0.17034086669401546</v>
      </c>
      <c r="V741" s="134">
        <v>11.5031</v>
      </c>
      <c r="Y741" s="27">
        <f t="shared" si="296"/>
        <v>45740</v>
      </c>
      <c r="Z741" s="5">
        <f>MONTH(Modelling_new[[#This Row],[Date]])</f>
        <v>3</v>
      </c>
      <c r="AA741" s="25">
        <f>YEAR(Y741)+IF(MONTH(Modelling_new[[#This Row],[Date]])&gt;=4,1,0)</f>
        <v>2025</v>
      </c>
      <c r="AB741" s="3">
        <f t="shared" si="276"/>
        <v>2025</v>
      </c>
      <c r="AC741" s="3" t="s">
        <v>627</v>
      </c>
      <c r="AD741" s="3" t="s">
        <v>627</v>
      </c>
      <c r="AE741" s="102">
        <f>DATE(Modelling_old[[#This Row],[Calendor Year]],Modelling_old[[#This Row],[Start Month]],1)</f>
        <v>45717</v>
      </c>
      <c r="AF741" s="5">
        <f t="shared" si="277"/>
        <v>31</v>
      </c>
      <c r="AG741" s="5">
        <f t="shared" si="278"/>
        <v>3</v>
      </c>
      <c r="AH741" s="4">
        <f>_xlfn.XLOOKUP(Modelling_new[[#This Row],[Month]],$AA$1:$AA$14,$AL$1:$AL$14)/Modelling_new[[#This Row],[Total Days]]</f>
        <v>72.118700788389063</v>
      </c>
      <c r="AI741" s="4">
        <f>SUM($AH$718:AH741)</f>
        <v>1730.8488189213381</v>
      </c>
      <c r="AJ741" s="4">
        <f>SUM($AH$384:AH741)</f>
        <v>21307.590975570994</v>
      </c>
      <c r="AK741" s="4">
        <f t="shared" si="279"/>
        <v>6.9</v>
      </c>
      <c r="AL741" s="4">
        <f>SUM($AK$718:AK741)</f>
        <v>165.60000000000008</v>
      </c>
      <c r="AM741" s="4">
        <f>SUM($AK$384:AK741)</f>
        <v>2118.2999999999975</v>
      </c>
      <c r="AN741" s="323">
        <f t="shared" si="280"/>
        <v>0.90862338165413326</v>
      </c>
      <c r="AO741" s="323">
        <f t="shared" si="281"/>
        <v>0.90862338165413326</v>
      </c>
      <c r="AP741" s="323">
        <f t="shared" si="282"/>
        <v>0.87444397529951634</v>
      </c>
      <c r="AQ741" s="323">
        <f t="shared" si="283"/>
        <v>0.26122922222556338</v>
      </c>
      <c r="AR741" s="323">
        <f>Modelling_new[[#This Row],[Target E_Grid MTD
MWh]]/Modelling_new[[#This Row],[MTD DC Capcity]]/(24*CG741)</f>
        <v>0.23476139579553731</v>
      </c>
      <c r="AS741" s="323">
        <f>Modelling_new[[#This Row],[Target E_Grid YTD
MWh]]/Modelling_new[[#This Row],[YTD DC Capcity]]/(24*CH741)</f>
        <v>0.19374482599702894</v>
      </c>
      <c r="AT741" s="5">
        <v>12.8</v>
      </c>
      <c r="AU741" s="9">
        <f>Modelling_new[[#This Row],[Comisined DC ]]/$AO$1</f>
        <v>1</v>
      </c>
      <c r="AV741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41" s="5">
        <f>AVERAGEIFS(Modelling_new[[Comisined DC ]],Modelling_new[Date],"&lt;="&amp;Modelling_new[[#This Row],[Date]],Modelling_new[[Comisined DC ]],"&gt;"&amp;0,Modelling_new[Finacial Year],Modelling_new[[#This Row],[Finacial Year]])</f>
        <v>12.800000000000086</v>
      </c>
      <c r="BD741" s="27">
        <f t="shared" si="297"/>
        <v>45740</v>
      </c>
      <c r="BE741" s="5">
        <f>MONTH(Modelling[[#This Row],[Date]])</f>
        <v>3</v>
      </c>
      <c r="BF741" s="25">
        <f>YEAR(BD741)+IF(MONTH(Modelling[[#This Row],[Date]])&gt;=4,1,0)</f>
        <v>2025</v>
      </c>
      <c r="BG741" s="3">
        <f t="shared" si="284"/>
        <v>2025</v>
      </c>
      <c r="BH741" s="3" t="s">
        <v>627</v>
      </c>
      <c r="BI741" s="3" t="s">
        <v>627</v>
      </c>
      <c r="BJ741" s="102">
        <f>DATE(Modelling_old[[#This Row],[Calendor Year]],Modelling_old[[#This Row],[Start Month]],1)</f>
        <v>45717</v>
      </c>
      <c r="BK741" s="5">
        <f t="shared" si="285"/>
        <v>31</v>
      </c>
      <c r="BL741" s="5">
        <f t="shared" si="286"/>
        <v>3</v>
      </c>
      <c r="BM741" s="4">
        <f>Modelling_old[[#This Row],[Target E_Grid daily
MWh]]+Modelling_new[[#This Row],[Target E_Grid daily
MWh]]</f>
        <v>125.32192659484068</v>
      </c>
      <c r="BN741" s="4">
        <f>Modelling_old[[#This Row],[Target E_Grid MTD
MWh]]+Modelling_new[[#This Row],[Target E_Grid MTD
MWh]]</f>
        <v>3007.7262382761774</v>
      </c>
      <c r="BO741" s="4">
        <f>Modelling_old[[#This Row],[Target E_Grid YTD
MWh]]+Modelling_new[[#This Row],[Target E_Grid YTD
MWh]]</f>
        <v>38143.168394925844</v>
      </c>
      <c r="BP741" s="4">
        <f>AVERAGE(Modelling_old[[#This Row],[Target POA Daily (KWh/m2)]],Modelling_new[[#This Row],[Target POA Daily (KWh/m2)]])</f>
        <v>6.9</v>
      </c>
      <c r="BQ741" s="4">
        <f>SUM($BP$718:BP741)</f>
        <v>165.60000000000008</v>
      </c>
      <c r="BR741" s="4">
        <f>SUM($BP$384:BP741)</f>
        <v>2118.2999999999975</v>
      </c>
      <c r="BS741" s="323">
        <f>BM741/Modelling[[#This Row],[Comisined DC ]]/BP741</f>
        <v>0.74733667956858518</v>
      </c>
      <c r="BT741" s="337">
        <f>BN741/BQ741/Modelling[[#This Row],[Comisined DC ]]</f>
        <v>0.74733667956858529</v>
      </c>
      <c r="BU741" s="337">
        <f>BO741/BR741/Modelling[[#This Row],[Comisined DC ]]</f>
        <v>0.74091369981452837</v>
      </c>
      <c r="BV741" s="323">
        <f>BM741/(24*Modelling[[#This Row],[Comisined DC ]])</f>
        <v>0.21485929537596829</v>
      </c>
      <c r="BW741" s="323">
        <f>Modelling[[#This Row],[Target E_Grid MTD
MWh]]/Modelling[[#This Row],[MTD DC Capcity]]/(24*CG741)</f>
        <v>0.21485929537596848</v>
      </c>
      <c r="BX741" s="338">
        <f>Modelling[[#This Row],[Target E_Grid YTD
MWh]]/Modelling[[#This Row],[YTD DC Capcity]]/(24*CH741)</f>
        <v>0.18266730567005499</v>
      </c>
      <c r="BY741" s="4">
        <f>Modelling_old[[#This Row],[DC Capcity]]+Modelling_new[[#This Row],[Comisined DC ]]</f>
        <v>24.303100000000001</v>
      </c>
      <c r="BZ741" s="4">
        <v>0</v>
      </c>
      <c r="CA741">
        <f>AVERAGEIFS(Modelling[[Comisined DC ]],Modelling[Date],"&lt;="&amp;Modelling[[#This Row],[Date]],Modelling[Month Year],Modelling[[#This Row],[Month Year]])</f>
        <v>24.303099999999986</v>
      </c>
      <c r="CB741">
        <f>AVERAGEIFS(Modelling[[Comisined DC ]],Modelling[Date],"&lt;="&amp;Modelling[[#This Row],[Date]],Modelling[Finacial Year],Modelling[[#This Row],[Finacial Year]])</f>
        <v>24.303100000000018</v>
      </c>
      <c r="CG741">
        <f t="shared" si="266"/>
        <v>24</v>
      </c>
      <c r="CH741">
        <f t="shared" si="287"/>
        <v>358</v>
      </c>
    </row>
    <row r="742" spans="1:86" x14ac:dyDescent="0.35">
      <c r="A742" s="27">
        <f t="shared" si="267"/>
        <v>45741</v>
      </c>
      <c r="B742" s="5">
        <f>MONTH(Modelling_old[[#This Row],[Date]])</f>
        <v>3</v>
      </c>
      <c r="C742" s="25">
        <v>2025</v>
      </c>
      <c r="D742" s="3">
        <f t="shared" si="288"/>
        <v>2025</v>
      </c>
      <c r="E742" s="3" t="s">
        <v>627</v>
      </c>
      <c r="F742" s="3" t="s">
        <v>627</v>
      </c>
      <c r="G742" s="102">
        <f>DATE(Modelling_old[[#This Row],[Calendor Year]],Modelling_old[[#This Row],[Start Month]],1)</f>
        <v>45717</v>
      </c>
      <c r="H742" s="5">
        <f t="shared" si="289"/>
        <v>31</v>
      </c>
      <c r="I742" s="5">
        <f t="shared" si="290"/>
        <v>3</v>
      </c>
      <c r="J742" s="4">
        <f>_xlfn.XLOOKUP(Modelling_old[[#This Row],[Month]],$C$1:$C$14,$N$1:$N$14)/Modelling_old[[#This Row],[Total Days]]</f>
        <v>53.203225806451613</v>
      </c>
      <c r="K742" s="4">
        <f>SUM($J$718:J742)</f>
        <v>1330.0806451612909</v>
      </c>
      <c r="L742" s="4">
        <f>SUM($J$384:J742)</f>
        <v>16888.780645161296</v>
      </c>
      <c r="M742" s="4">
        <f t="shared" si="291"/>
        <v>6.9</v>
      </c>
      <c r="N742" s="4">
        <f>SUM($M$718:M742)</f>
        <v>172.50000000000009</v>
      </c>
      <c r="O742" s="4">
        <f>SUM($M$384:M742)</f>
        <v>2125.1999999999975</v>
      </c>
      <c r="P742" s="323">
        <f t="shared" si="292"/>
        <v>0.67030734634295319</v>
      </c>
      <c r="Q742" s="337">
        <f t="shared" si="293"/>
        <v>0.67030734634295319</v>
      </c>
      <c r="R742" s="337">
        <f t="shared" si="294"/>
        <v>0.69084973053112586</v>
      </c>
      <c r="S742" s="323">
        <f t="shared" si="295"/>
        <v>0.19271336207359907</v>
      </c>
      <c r="T742" s="9">
        <f>Modelling_old[[#This Row],[Target E_Grid MTD
MWh]]/Modelling_old[[#This Row],[DC Capcity]]/(24*CG742)</f>
        <v>0.19271336207359913</v>
      </c>
      <c r="U742" s="338">
        <f>Modelling_old[[#This Row],[Target E_Grid YTD
MWh]]/Modelling_old[[#This Row],[DC Capcity]]/(24*CH742)</f>
        <v>0.17040318562264936</v>
      </c>
      <c r="V742" s="134">
        <v>11.5031</v>
      </c>
      <c r="Y742" s="27">
        <f t="shared" si="296"/>
        <v>45741</v>
      </c>
      <c r="Z742" s="5">
        <f>MONTH(Modelling_new[[#This Row],[Date]])</f>
        <v>3</v>
      </c>
      <c r="AA742" s="25">
        <f>YEAR(Y742)+IF(MONTH(Modelling_new[[#This Row],[Date]])&gt;=4,1,0)</f>
        <v>2025</v>
      </c>
      <c r="AB742" s="3">
        <f t="shared" si="276"/>
        <v>2025</v>
      </c>
      <c r="AC742" s="3" t="s">
        <v>627</v>
      </c>
      <c r="AD742" s="3" t="s">
        <v>627</v>
      </c>
      <c r="AE742" s="102">
        <f>DATE(Modelling_old[[#This Row],[Calendor Year]],Modelling_old[[#This Row],[Start Month]],1)</f>
        <v>45717</v>
      </c>
      <c r="AF742" s="5">
        <f t="shared" si="277"/>
        <v>31</v>
      </c>
      <c r="AG742" s="5">
        <f t="shared" si="278"/>
        <v>3</v>
      </c>
      <c r="AH742" s="4">
        <f>_xlfn.XLOOKUP(Modelling_new[[#This Row],[Month]],$AA$1:$AA$14,$AL$1:$AL$14)/Modelling_new[[#This Row],[Total Days]]</f>
        <v>72.118700788389063</v>
      </c>
      <c r="AI742" s="4">
        <f>SUM($AH$718:AH742)</f>
        <v>1802.9675197097272</v>
      </c>
      <c r="AJ742" s="4">
        <f>SUM($AH$384:AH742)</f>
        <v>21379.709676359384</v>
      </c>
      <c r="AK742" s="4">
        <f t="shared" si="279"/>
        <v>6.9</v>
      </c>
      <c r="AL742" s="4">
        <f>SUM($AK$718:AK742)</f>
        <v>172.50000000000009</v>
      </c>
      <c r="AM742" s="4">
        <f>SUM($AK$384:AK742)</f>
        <v>2125.1999999999975</v>
      </c>
      <c r="AN742" s="323">
        <f t="shared" si="280"/>
        <v>0.90862338165413326</v>
      </c>
      <c r="AO742" s="323">
        <f t="shared" si="281"/>
        <v>0.90862338165413326</v>
      </c>
      <c r="AP742" s="323">
        <f t="shared" si="282"/>
        <v>0.87455494739807027</v>
      </c>
      <c r="AQ742" s="323">
        <f t="shared" si="283"/>
        <v>0.26122922222556338</v>
      </c>
      <c r="AR742" s="323">
        <f>Modelling_new[[#This Row],[Target E_Grid MTD
MWh]]/Modelling_new[[#This Row],[MTD DC Capcity]]/(24*CG742)</f>
        <v>0.23476139579553731</v>
      </c>
      <c r="AS742" s="323">
        <f>Modelling_new[[#This Row],[Target E_Grid YTD
MWh]]/Modelling_new[[#This Row],[YTD DC Capcity]]/(24*CH742)</f>
        <v>0.19385907828059024</v>
      </c>
      <c r="AT742" s="5">
        <v>12.8</v>
      </c>
      <c r="AU742" s="9">
        <f>Modelling_new[[#This Row],[Comisined DC ]]/$AO$1</f>
        <v>1</v>
      </c>
      <c r="AV742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42" s="5">
        <f>AVERAGEIFS(Modelling_new[[Comisined DC ]],Modelling_new[Date],"&lt;="&amp;Modelling_new[[#This Row],[Date]],Modelling_new[[Comisined DC ]],"&gt;"&amp;0,Modelling_new[Finacial Year],Modelling_new[[#This Row],[Finacial Year]])</f>
        <v>12.800000000000086</v>
      </c>
      <c r="BD742" s="27">
        <f t="shared" si="297"/>
        <v>45741</v>
      </c>
      <c r="BE742" s="5">
        <f>MONTH(Modelling[[#This Row],[Date]])</f>
        <v>3</v>
      </c>
      <c r="BF742" s="25">
        <f>YEAR(BD742)+IF(MONTH(Modelling[[#This Row],[Date]])&gt;=4,1,0)</f>
        <v>2025</v>
      </c>
      <c r="BG742" s="3">
        <f t="shared" si="284"/>
        <v>2025</v>
      </c>
      <c r="BH742" s="3" t="s">
        <v>627</v>
      </c>
      <c r="BI742" s="3" t="s">
        <v>627</v>
      </c>
      <c r="BJ742" s="102">
        <f>DATE(Modelling_old[[#This Row],[Calendor Year]],Modelling_old[[#This Row],[Start Month]],1)</f>
        <v>45717</v>
      </c>
      <c r="BK742" s="5">
        <f t="shared" si="285"/>
        <v>31</v>
      </c>
      <c r="BL742" s="5">
        <f t="shared" si="286"/>
        <v>3</v>
      </c>
      <c r="BM742" s="4">
        <f>Modelling_old[[#This Row],[Target E_Grid daily
MWh]]+Modelling_new[[#This Row],[Target E_Grid daily
MWh]]</f>
        <v>125.32192659484068</v>
      </c>
      <c r="BN742" s="4">
        <f>Modelling_old[[#This Row],[Target E_Grid MTD
MWh]]+Modelling_new[[#This Row],[Target E_Grid MTD
MWh]]</f>
        <v>3133.0481648710183</v>
      </c>
      <c r="BO742" s="4">
        <f>Modelling_old[[#This Row],[Target E_Grid YTD
MWh]]+Modelling_new[[#This Row],[Target E_Grid YTD
MWh]]</f>
        <v>38268.49032152068</v>
      </c>
      <c r="BP742" s="4">
        <f>AVERAGE(Modelling_old[[#This Row],[Target POA Daily (KWh/m2)]],Modelling_new[[#This Row],[Target POA Daily (KWh/m2)]])</f>
        <v>6.9</v>
      </c>
      <c r="BQ742" s="4">
        <f>SUM($BP$718:BP742)</f>
        <v>172.50000000000009</v>
      </c>
      <c r="BR742" s="4">
        <f>SUM($BP$384:BP742)</f>
        <v>2125.1999999999975</v>
      </c>
      <c r="BS742" s="323">
        <f>BM742/Modelling[[#This Row],[Comisined DC ]]/BP742</f>
        <v>0.74733667956858518</v>
      </c>
      <c r="BT742" s="337">
        <f>BN742/BQ742/Modelling[[#This Row],[Comisined DC ]]</f>
        <v>0.74733667956858529</v>
      </c>
      <c r="BU742" s="337">
        <f>BO742/BR742/Modelling[[#This Row],[Comisined DC ]]</f>
        <v>0.74093455364489857</v>
      </c>
      <c r="BV742" s="323">
        <f>BM742/(24*Modelling[[#This Row],[Comisined DC ]])</f>
        <v>0.21485929537596829</v>
      </c>
      <c r="BW742" s="323">
        <f>Modelling[[#This Row],[Target E_Grid MTD
MWh]]/Modelling[[#This Row],[MTD DC Capcity]]/(24*CG742)</f>
        <v>0.21485929537596851</v>
      </c>
      <c r="BX742" s="338">
        <f>Modelling[[#This Row],[Target E_Grid YTD
MWh]]/Modelling[[#This Row],[YTD DC Capcity]]/(24*CH742)</f>
        <v>0.1827569769505728</v>
      </c>
      <c r="BY742" s="4">
        <f>Modelling_old[[#This Row],[DC Capcity]]+Modelling_new[[#This Row],[Comisined DC ]]</f>
        <v>24.303100000000001</v>
      </c>
      <c r="BZ742" s="4">
        <v>0</v>
      </c>
      <c r="CA742">
        <f>AVERAGEIFS(Modelling[[Comisined DC ]],Modelling[Date],"&lt;="&amp;Modelling[[#This Row],[Date]],Modelling[Month Year],Modelling[[#This Row],[Month Year]])</f>
        <v>24.303099999999986</v>
      </c>
      <c r="CB742">
        <f>AVERAGEIFS(Modelling[[Comisined DC ]],Modelling[Date],"&lt;="&amp;Modelling[[#This Row],[Date]],Modelling[Finacial Year],Modelling[[#This Row],[Finacial Year]])</f>
        <v>24.303100000000018</v>
      </c>
      <c r="CG742">
        <f t="shared" si="266"/>
        <v>25</v>
      </c>
      <c r="CH742">
        <f t="shared" si="287"/>
        <v>359</v>
      </c>
    </row>
    <row r="743" spans="1:86" x14ac:dyDescent="0.35">
      <c r="A743" s="27">
        <f t="shared" si="267"/>
        <v>45742</v>
      </c>
      <c r="B743" s="5">
        <f>MONTH(Modelling_old[[#This Row],[Date]])</f>
        <v>3</v>
      </c>
      <c r="C743" s="25">
        <v>2025</v>
      </c>
      <c r="D743" s="3">
        <f t="shared" si="288"/>
        <v>2025</v>
      </c>
      <c r="E743" s="3" t="s">
        <v>627</v>
      </c>
      <c r="F743" s="3" t="s">
        <v>627</v>
      </c>
      <c r="G743" s="102">
        <f>DATE(Modelling_old[[#This Row],[Calendor Year]],Modelling_old[[#This Row],[Start Month]],1)</f>
        <v>45717</v>
      </c>
      <c r="H743" s="5">
        <f t="shared" si="289"/>
        <v>31</v>
      </c>
      <c r="I743" s="5">
        <f t="shared" si="290"/>
        <v>3</v>
      </c>
      <c r="J743" s="4">
        <f>_xlfn.XLOOKUP(Modelling_old[[#This Row],[Month]],$C$1:$C$14,$N$1:$N$14)/Modelling_old[[#This Row],[Total Days]]</f>
        <v>53.203225806451613</v>
      </c>
      <c r="K743" s="4">
        <f>SUM($J$718:J743)</f>
        <v>1383.2838709677426</v>
      </c>
      <c r="L743" s="4">
        <f>SUM($J$384:J743)</f>
        <v>16941.983870967746</v>
      </c>
      <c r="M743" s="4">
        <f t="shared" si="291"/>
        <v>6.9</v>
      </c>
      <c r="N743" s="4">
        <f>SUM($M$718:M743)</f>
        <v>179.40000000000009</v>
      </c>
      <c r="O743" s="4">
        <f>SUM($M$384:M743)</f>
        <v>2132.0999999999976</v>
      </c>
      <c r="P743" s="323">
        <f t="shared" si="292"/>
        <v>0.67030734634295319</v>
      </c>
      <c r="Q743" s="337">
        <f t="shared" si="293"/>
        <v>0.67030734634295319</v>
      </c>
      <c r="R743" s="337">
        <f t="shared" si="294"/>
        <v>0.69078325032339705</v>
      </c>
      <c r="S743" s="323">
        <f t="shared" si="295"/>
        <v>0.19271336207359907</v>
      </c>
      <c r="T743" s="9">
        <f>Modelling_old[[#This Row],[Target E_Grid MTD
MWh]]/Modelling_old[[#This Row],[DC Capcity]]/(24*CG743)</f>
        <v>0.19271336207359915</v>
      </c>
      <c r="U743" s="338">
        <f>Modelling_old[[#This Row],[Target E_Grid YTD
MWh]]/Modelling_old[[#This Row],[DC Capcity]]/(24*CH743)</f>
        <v>0.17046515833501308</v>
      </c>
      <c r="V743" s="134">
        <v>11.5031</v>
      </c>
      <c r="Y743" s="27">
        <f t="shared" si="296"/>
        <v>45742</v>
      </c>
      <c r="Z743" s="5">
        <f>MONTH(Modelling_new[[#This Row],[Date]])</f>
        <v>3</v>
      </c>
      <c r="AA743" s="25">
        <f>YEAR(Y743)+IF(MONTH(Modelling_new[[#This Row],[Date]])&gt;=4,1,0)</f>
        <v>2025</v>
      </c>
      <c r="AB743" s="3">
        <f t="shared" si="276"/>
        <v>2025</v>
      </c>
      <c r="AC743" s="3" t="s">
        <v>627</v>
      </c>
      <c r="AD743" s="3" t="s">
        <v>627</v>
      </c>
      <c r="AE743" s="102">
        <f>DATE(Modelling_old[[#This Row],[Calendor Year]],Modelling_old[[#This Row],[Start Month]],1)</f>
        <v>45717</v>
      </c>
      <c r="AF743" s="5">
        <f t="shared" si="277"/>
        <v>31</v>
      </c>
      <c r="AG743" s="5">
        <f t="shared" si="278"/>
        <v>3</v>
      </c>
      <c r="AH743" s="4">
        <f>_xlfn.XLOOKUP(Modelling_new[[#This Row],[Month]],$AA$1:$AA$14,$AL$1:$AL$14)/Modelling_new[[#This Row],[Total Days]]</f>
        <v>72.118700788389063</v>
      </c>
      <c r="AI743" s="4">
        <f>SUM($AH$718:AH743)</f>
        <v>1875.0862204981163</v>
      </c>
      <c r="AJ743" s="4">
        <f>SUM($AH$384:AH743)</f>
        <v>21451.828377147773</v>
      </c>
      <c r="AK743" s="4">
        <f t="shared" si="279"/>
        <v>6.9</v>
      </c>
      <c r="AL743" s="4">
        <f>SUM($AK$718:AK743)</f>
        <v>179.40000000000009</v>
      </c>
      <c r="AM743" s="4">
        <f>SUM($AK$384:AK743)</f>
        <v>2132.0999999999976</v>
      </c>
      <c r="AN743" s="323">
        <f t="shared" si="280"/>
        <v>0.90862338165413326</v>
      </c>
      <c r="AO743" s="323">
        <f t="shared" si="281"/>
        <v>0.90862338165413326</v>
      </c>
      <c r="AP743" s="323">
        <f t="shared" si="282"/>
        <v>0.87466520123061409</v>
      </c>
      <c r="AQ743" s="323">
        <f t="shared" si="283"/>
        <v>0.26122922222556338</v>
      </c>
      <c r="AR743" s="323">
        <f>Modelling_new[[#This Row],[Target E_Grid MTD
MWh]]/Modelling_new[[#This Row],[MTD DC Capcity]]/(24*CG743)</f>
        <v>0.23476139579553731</v>
      </c>
      <c r="AS743" s="323">
        <f>Modelling_new[[#This Row],[Target E_Grid YTD
MWh]]/Modelling_new[[#This Row],[YTD DC Capcity]]/(24*CH743)</f>
        <v>0.19397269582924287</v>
      </c>
      <c r="AT743" s="5">
        <v>12.8</v>
      </c>
      <c r="AU743" s="9">
        <f>Modelling_new[[#This Row],[Comisined DC ]]/$AO$1</f>
        <v>1</v>
      </c>
      <c r="AV743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43" s="5">
        <f>AVERAGEIFS(Modelling_new[[Comisined DC ]],Modelling_new[Date],"&lt;="&amp;Modelling_new[[#This Row],[Date]],Modelling_new[[Comisined DC ]],"&gt;"&amp;0,Modelling_new[Finacial Year],Modelling_new[[#This Row],[Finacial Year]])</f>
        <v>12.800000000000086</v>
      </c>
      <c r="BD743" s="27">
        <f t="shared" si="297"/>
        <v>45742</v>
      </c>
      <c r="BE743" s="5">
        <f>MONTH(Modelling[[#This Row],[Date]])</f>
        <v>3</v>
      </c>
      <c r="BF743" s="25">
        <f>YEAR(BD743)+IF(MONTH(Modelling[[#This Row],[Date]])&gt;=4,1,0)</f>
        <v>2025</v>
      </c>
      <c r="BG743" s="3">
        <f t="shared" si="284"/>
        <v>2025</v>
      </c>
      <c r="BH743" s="3" t="s">
        <v>627</v>
      </c>
      <c r="BI743" s="3" t="s">
        <v>627</v>
      </c>
      <c r="BJ743" s="102">
        <f>DATE(Modelling_old[[#This Row],[Calendor Year]],Modelling_old[[#This Row],[Start Month]],1)</f>
        <v>45717</v>
      </c>
      <c r="BK743" s="5">
        <f t="shared" si="285"/>
        <v>31</v>
      </c>
      <c r="BL743" s="5">
        <f t="shared" si="286"/>
        <v>3</v>
      </c>
      <c r="BM743" s="4">
        <f>Modelling_old[[#This Row],[Target E_Grid daily
MWh]]+Modelling_new[[#This Row],[Target E_Grid daily
MWh]]</f>
        <v>125.32192659484068</v>
      </c>
      <c r="BN743" s="4">
        <f>Modelling_old[[#This Row],[Target E_Grid MTD
MWh]]+Modelling_new[[#This Row],[Target E_Grid MTD
MWh]]</f>
        <v>3258.3700914658589</v>
      </c>
      <c r="BO743" s="4">
        <f>Modelling_old[[#This Row],[Target E_Grid YTD
MWh]]+Modelling_new[[#This Row],[Target E_Grid YTD
MWh]]</f>
        <v>38393.812248115515</v>
      </c>
      <c r="BP743" s="4">
        <f>AVERAGE(Modelling_old[[#This Row],[Target POA Daily (KWh/m2)]],Modelling_new[[#This Row],[Target POA Daily (KWh/m2)]])</f>
        <v>6.9</v>
      </c>
      <c r="BQ743" s="4">
        <f>SUM($BP$718:BP743)</f>
        <v>179.40000000000009</v>
      </c>
      <c r="BR743" s="4">
        <f>SUM($BP$384:BP743)</f>
        <v>2132.0999999999976</v>
      </c>
      <c r="BS743" s="323">
        <f>BM743/Modelling[[#This Row],[Comisined DC ]]/BP743</f>
        <v>0.74733667956858518</v>
      </c>
      <c r="BT743" s="337">
        <f>BN743/BQ743/Modelling[[#This Row],[Comisined DC ]]</f>
        <v>0.74733667956858529</v>
      </c>
      <c r="BU743" s="337">
        <f>BO743/BR743/Modelling[[#This Row],[Comisined DC ]]</f>
        <v>0.74095527249902038</v>
      </c>
      <c r="BV743" s="323">
        <f>BM743/(24*Modelling[[#This Row],[Comisined DC ]])</f>
        <v>0.21485929537596829</v>
      </c>
      <c r="BW743" s="323">
        <f>Modelling[[#This Row],[Target E_Grid MTD
MWh]]/Modelling[[#This Row],[MTD DC Capcity]]/(24*CG743)</f>
        <v>0.21485929537596851</v>
      </c>
      <c r="BX743" s="338">
        <f>Modelling[[#This Row],[Target E_Grid YTD
MWh]]/Modelling[[#This Row],[YTD DC Capcity]]/(24*CH743)</f>
        <v>0.18284615005731003</v>
      </c>
      <c r="BY743" s="4">
        <f>Modelling_old[[#This Row],[DC Capcity]]+Modelling_new[[#This Row],[Comisined DC ]]</f>
        <v>24.303100000000001</v>
      </c>
      <c r="BZ743" s="4">
        <v>0</v>
      </c>
      <c r="CA743">
        <f>AVERAGEIFS(Modelling[[Comisined DC ]],Modelling[Date],"&lt;="&amp;Modelling[[#This Row],[Date]],Modelling[Month Year],Modelling[[#This Row],[Month Year]])</f>
        <v>24.303099999999986</v>
      </c>
      <c r="CB743">
        <f>AVERAGEIFS(Modelling[[Comisined DC ]],Modelling[Date],"&lt;="&amp;Modelling[[#This Row],[Date]],Modelling[Finacial Year],Modelling[[#This Row],[Finacial Year]])</f>
        <v>24.303100000000015</v>
      </c>
      <c r="CG743">
        <f t="shared" si="266"/>
        <v>26</v>
      </c>
      <c r="CH743">
        <f t="shared" si="287"/>
        <v>360</v>
      </c>
    </row>
    <row r="744" spans="1:86" x14ac:dyDescent="0.35">
      <c r="A744" s="27">
        <f t="shared" si="267"/>
        <v>45743</v>
      </c>
      <c r="B744" s="5">
        <f>MONTH(Modelling_old[[#This Row],[Date]])</f>
        <v>3</v>
      </c>
      <c r="C744" s="25">
        <v>2025</v>
      </c>
      <c r="D744" s="3">
        <f t="shared" si="288"/>
        <v>2025</v>
      </c>
      <c r="E744" s="3" t="s">
        <v>627</v>
      </c>
      <c r="F744" s="3" t="s">
        <v>627</v>
      </c>
      <c r="G744" s="102">
        <f>DATE(Modelling_old[[#This Row],[Calendor Year]],Modelling_old[[#This Row],[Start Month]],1)</f>
        <v>45717</v>
      </c>
      <c r="H744" s="5">
        <f t="shared" si="289"/>
        <v>31</v>
      </c>
      <c r="I744" s="5">
        <f t="shared" si="290"/>
        <v>3</v>
      </c>
      <c r="J744" s="4">
        <f>_xlfn.XLOOKUP(Modelling_old[[#This Row],[Month]],$C$1:$C$14,$N$1:$N$14)/Modelling_old[[#This Row],[Total Days]]</f>
        <v>53.203225806451613</v>
      </c>
      <c r="K744" s="4">
        <f>SUM($J$718:J744)</f>
        <v>1436.4870967741942</v>
      </c>
      <c r="L744" s="4">
        <f>SUM($J$384:J744)</f>
        <v>16995.187096774196</v>
      </c>
      <c r="M744" s="4">
        <f t="shared" si="291"/>
        <v>6.9</v>
      </c>
      <c r="N744" s="4">
        <f>SUM($M$718:M744)</f>
        <v>186.3000000000001</v>
      </c>
      <c r="O744" s="4">
        <f>SUM($M$384:M744)</f>
        <v>2138.9999999999977</v>
      </c>
      <c r="P744" s="323">
        <f t="shared" si="292"/>
        <v>0.67030734634295319</v>
      </c>
      <c r="Q744" s="337">
        <f t="shared" si="293"/>
        <v>0.67030734634295319</v>
      </c>
      <c r="R744" s="337">
        <f t="shared" si="294"/>
        <v>0.69071719902023421</v>
      </c>
      <c r="S744" s="323">
        <f t="shared" si="295"/>
        <v>0.19271336207359907</v>
      </c>
      <c r="T744" s="9">
        <f>Modelling_old[[#This Row],[Target E_Grid MTD
MWh]]/Modelling_old[[#This Row],[DC Capcity]]/(24*CG744)</f>
        <v>0.19271336207359915</v>
      </c>
      <c r="U744" s="338">
        <f>Modelling_old[[#This Row],[Target E_Grid YTD
MWh]]/Modelling_old[[#This Row],[DC Capcity]]/(24*CH744)</f>
        <v>0.17052678770825017</v>
      </c>
      <c r="V744" s="134">
        <v>11.5031</v>
      </c>
      <c r="Y744" s="27">
        <f t="shared" si="296"/>
        <v>45743</v>
      </c>
      <c r="Z744" s="5">
        <f>MONTH(Modelling_new[[#This Row],[Date]])</f>
        <v>3</v>
      </c>
      <c r="AA744" s="25">
        <f>YEAR(Y744)+IF(MONTH(Modelling_new[[#This Row],[Date]])&gt;=4,1,0)</f>
        <v>2025</v>
      </c>
      <c r="AB744" s="3">
        <f t="shared" si="276"/>
        <v>2025</v>
      </c>
      <c r="AC744" s="3" t="s">
        <v>627</v>
      </c>
      <c r="AD744" s="3" t="s">
        <v>627</v>
      </c>
      <c r="AE744" s="102">
        <f>DATE(Modelling_old[[#This Row],[Calendor Year]],Modelling_old[[#This Row],[Start Month]],1)</f>
        <v>45717</v>
      </c>
      <c r="AF744" s="5">
        <f t="shared" si="277"/>
        <v>31</v>
      </c>
      <c r="AG744" s="5">
        <f t="shared" si="278"/>
        <v>3</v>
      </c>
      <c r="AH744" s="4">
        <f>_xlfn.XLOOKUP(Modelling_new[[#This Row],[Month]],$AA$1:$AA$14,$AL$1:$AL$14)/Modelling_new[[#This Row],[Total Days]]</f>
        <v>72.118700788389063</v>
      </c>
      <c r="AI744" s="4">
        <f>SUM($AH$718:AH744)</f>
        <v>1947.2049212865054</v>
      </c>
      <c r="AJ744" s="4">
        <f>SUM($AH$384:AH744)</f>
        <v>21523.947077936162</v>
      </c>
      <c r="AK744" s="4">
        <f t="shared" si="279"/>
        <v>6.9</v>
      </c>
      <c r="AL744" s="4">
        <f>SUM($AK$718:AK744)</f>
        <v>186.3000000000001</v>
      </c>
      <c r="AM744" s="4">
        <f>SUM($AK$384:AK744)</f>
        <v>2138.9999999999977</v>
      </c>
      <c r="AN744" s="323">
        <f t="shared" si="280"/>
        <v>0.90862338165413326</v>
      </c>
      <c r="AO744" s="323">
        <f t="shared" si="281"/>
        <v>0.90862338165413326</v>
      </c>
      <c r="AP744" s="323">
        <f t="shared" si="282"/>
        <v>0.87477474374810926</v>
      </c>
      <c r="AQ744" s="323">
        <f t="shared" si="283"/>
        <v>0.26122922222556338</v>
      </c>
      <c r="AR744" s="323">
        <f>Modelling_new[[#This Row],[Target E_Grid MTD
MWh]]/Modelling_new[[#This Row],[MTD DC Capcity]]/(24*CG744)</f>
        <v>0.23476139579553731</v>
      </c>
      <c r="AS744" s="323">
        <f>Modelling_new[[#This Row],[Target E_Grid YTD
MWh]]/Modelling_new[[#This Row],[YTD DC Capcity]]/(24*CH744)</f>
        <v>0.19408568391779218</v>
      </c>
      <c r="AT744" s="5">
        <v>12.8</v>
      </c>
      <c r="AU744" s="9">
        <f>Modelling_new[[#This Row],[Comisined DC ]]/$AO$1</f>
        <v>1</v>
      </c>
      <c r="AV744" s="5">
        <f>AVERAGEIFS(Modelling_new[[Comisined DC ]],Modelling_new[Date],"&lt;="&amp;Modelling_new[[#This Row],[Date]],Modelling_new[[Comisined DC ]],"&gt;"&amp;0,Modelling_new[Month Year],Modelling_new[[#This Row],[Month Year]])</f>
        <v>12.800000000000004</v>
      </c>
      <c r="AW744" s="5">
        <f>AVERAGEIFS(Modelling_new[[Comisined DC ]],Modelling_new[Date],"&lt;="&amp;Modelling_new[[#This Row],[Date]],Modelling_new[[Comisined DC ]],"&gt;"&amp;0,Modelling_new[Finacial Year],Modelling_new[[#This Row],[Finacial Year]])</f>
        <v>12.800000000000086</v>
      </c>
      <c r="BD744" s="27">
        <f t="shared" si="297"/>
        <v>45743</v>
      </c>
      <c r="BE744" s="5">
        <f>MONTH(Modelling[[#This Row],[Date]])</f>
        <v>3</v>
      </c>
      <c r="BF744" s="25">
        <f>YEAR(BD744)+IF(MONTH(Modelling[[#This Row],[Date]])&gt;=4,1,0)</f>
        <v>2025</v>
      </c>
      <c r="BG744" s="3">
        <f t="shared" si="284"/>
        <v>2025</v>
      </c>
      <c r="BH744" s="3" t="s">
        <v>627</v>
      </c>
      <c r="BI744" s="3" t="s">
        <v>627</v>
      </c>
      <c r="BJ744" s="102">
        <f>DATE(Modelling_old[[#This Row],[Calendor Year]],Modelling_old[[#This Row],[Start Month]],1)</f>
        <v>45717</v>
      </c>
      <c r="BK744" s="5">
        <f t="shared" si="285"/>
        <v>31</v>
      </c>
      <c r="BL744" s="5">
        <f t="shared" si="286"/>
        <v>3</v>
      </c>
      <c r="BM744" s="4">
        <f>Modelling_old[[#This Row],[Target E_Grid daily
MWh]]+Modelling_new[[#This Row],[Target E_Grid daily
MWh]]</f>
        <v>125.32192659484068</v>
      </c>
      <c r="BN744" s="4">
        <f>Modelling_old[[#This Row],[Target E_Grid MTD
MWh]]+Modelling_new[[#This Row],[Target E_Grid MTD
MWh]]</f>
        <v>3383.6920180606994</v>
      </c>
      <c r="BO744" s="4">
        <f>Modelling_old[[#This Row],[Target E_Grid YTD
MWh]]+Modelling_new[[#This Row],[Target E_Grid YTD
MWh]]</f>
        <v>38519.134174710358</v>
      </c>
      <c r="BP744" s="4">
        <f>AVERAGE(Modelling_old[[#This Row],[Target POA Daily (KWh/m2)]],Modelling_new[[#This Row],[Target POA Daily (KWh/m2)]])</f>
        <v>6.9</v>
      </c>
      <c r="BQ744" s="4">
        <f>SUM($BP$718:BP744)</f>
        <v>186.3000000000001</v>
      </c>
      <c r="BR744" s="4">
        <f>SUM($BP$384:BP744)</f>
        <v>2138.9999999999977</v>
      </c>
      <c r="BS744" s="323">
        <f>BM744/Modelling[[#This Row],[Comisined DC ]]/BP744</f>
        <v>0.74733667956858518</v>
      </c>
      <c r="BT744" s="337">
        <f>BN744/BQ744/Modelling[[#This Row],[Comisined DC ]]</f>
        <v>0.74733667956858529</v>
      </c>
      <c r="BU744" s="337">
        <f>BO744/BR744/Modelling[[#This Row],[Comisined DC ]]</f>
        <v>0.7409758576831158</v>
      </c>
      <c r="BV744" s="323">
        <f>BM744/(24*Modelling[[#This Row],[Comisined DC ]])</f>
        <v>0.21485929537596829</v>
      </c>
      <c r="BW744" s="323">
        <f>Modelling[[#This Row],[Target E_Grid MTD
MWh]]/Modelling[[#This Row],[MTD DC Capcity]]/(24*CG744)</f>
        <v>0.21485929537596848</v>
      </c>
      <c r="BX744" s="338">
        <f>Modelling[[#This Row],[Target E_Grid YTD
MWh]]/Modelling[[#This Row],[YTD DC Capcity]]/(24*CH744)</f>
        <v>0.18293482913021494</v>
      </c>
      <c r="BY744" s="4">
        <f>Modelling_old[[#This Row],[DC Capcity]]+Modelling_new[[#This Row],[Comisined DC ]]</f>
        <v>24.303100000000001</v>
      </c>
      <c r="BZ744" s="4">
        <v>0</v>
      </c>
      <c r="CA744">
        <f>AVERAGEIFS(Modelling[[Comisined DC ]],Modelling[Date],"&lt;="&amp;Modelling[[#This Row],[Date]],Modelling[Month Year],Modelling[[#This Row],[Month Year]])</f>
        <v>24.303099999999986</v>
      </c>
      <c r="CB744">
        <f>AVERAGEIFS(Modelling[[Comisined DC ]],Modelling[Date],"&lt;="&amp;Modelling[[#This Row],[Date]],Modelling[Finacial Year],Modelling[[#This Row],[Finacial Year]])</f>
        <v>24.303100000000011</v>
      </c>
      <c r="CG744">
        <f t="shared" si="266"/>
        <v>27</v>
      </c>
      <c r="CH744">
        <f t="shared" si="287"/>
        <v>361</v>
      </c>
    </row>
    <row r="745" spans="1:86" x14ac:dyDescent="0.35">
      <c r="A745" s="27">
        <f t="shared" si="267"/>
        <v>45744</v>
      </c>
      <c r="B745" s="5">
        <f>MONTH(Modelling_old[[#This Row],[Date]])</f>
        <v>3</v>
      </c>
      <c r="C745" s="25">
        <v>2025</v>
      </c>
      <c r="D745" s="3">
        <f t="shared" si="288"/>
        <v>2025</v>
      </c>
      <c r="E745" s="3" t="s">
        <v>627</v>
      </c>
      <c r="F745" s="3" t="s">
        <v>627</v>
      </c>
      <c r="G745" s="102">
        <f>DATE(Modelling_old[[#This Row],[Calendor Year]],Modelling_old[[#This Row],[Start Month]],1)</f>
        <v>45717</v>
      </c>
      <c r="H745" s="5">
        <f t="shared" si="289"/>
        <v>31</v>
      </c>
      <c r="I745" s="5">
        <f t="shared" si="290"/>
        <v>3</v>
      </c>
      <c r="J745" s="4">
        <f>_xlfn.XLOOKUP(Modelling_old[[#This Row],[Month]],$C$1:$C$14,$N$1:$N$14)/Modelling_old[[#This Row],[Total Days]]</f>
        <v>53.203225806451613</v>
      </c>
      <c r="K745" s="4">
        <f>SUM($J$718:J745)</f>
        <v>1489.6903225806459</v>
      </c>
      <c r="L745" s="4">
        <f>SUM($J$384:J745)</f>
        <v>17048.390322580646</v>
      </c>
      <c r="M745" s="4">
        <f t="shared" si="291"/>
        <v>6.9</v>
      </c>
      <c r="N745" s="4">
        <f>SUM($M$718:M745)</f>
        <v>193.2000000000001</v>
      </c>
      <c r="O745" s="4">
        <f>SUM($M$384:M745)</f>
        <v>2145.8999999999978</v>
      </c>
      <c r="P745" s="323">
        <f t="shared" si="292"/>
        <v>0.67030734634295319</v>
      </c>
      <c r="Q745" s="337">
        <f t="shared" si="293"/>
        <v>0.67030734634295319</v>
      </c>
      <c r="R745" s="337">
        <f t="shared" si="294"/>
        <v>0.69065157248429432</v>
      </c>
      <c r="S745" s="323">
        <f t="shared" si="295"/>
        <v>0.19271336207359907</v>
      </c>
      <c r="T745" s="9">
        <f>Modelling_old[[#This Row],[Target E_Grid MTD
MWh]]/Modelling_old[[#This Row],[DC Capcity]]/(24*CG745)</f>
        <v>0.19271336207359915</v>
      </c>
      <c r="U745" s="338">
        <f>Modelling_old[[#This Row],[Target E_Grid YTD
MWh]]/Modelling_old[[#This Row],[DC Capcity]]/(24*CH745)</f>
        <v>0.17058807658771244</v>
      </c>
      <c r="V745" s="134">
        <v>11.5031</v>
      </c>
      <c r="Y745" s="27">
        <f t="shared" si="296"/>
        <v>45744</v>
      </c>
      <c r="Z745" s="5">
        <f>MONTH(Modelling_new[[#This Row],[Date]])</f>
        <v>3</v>
      </c>
      <c r="AA745" s="25">
        <f>YEAR(Y745)+IF(MONTH(Modelling_new[[#This Row],[Date]])&gt;=4,1,0)</f>
        <v>2025</v>
      </c>
      <c r="AB745" s="3">
        <f t="shared" si="276"/>
        <v>2025</v>
      </c>
      <c r="AC745" s="3" t="s">
        <v>627</v>
      </c>
      <c r="AD745" s="3" t="s">
        <v>627</v>
      </c>
      <c r="AE745" s="102">
        <f>DATE(Modelling_old[[#This Row],[Calendor Year]],Modelling_old[[#This Row],[Start Month]],1)</f>
        <v>45717</v>
      </c>
      <c r="AF745" s="5">
        <f t="shared" si="277"/>
        <v>31</v>
      </c>
      <c r="AG745" s="5">
        <f t="shared" si="278"/>
        <v>3</v>
      </c>
      <c r="AH745" s="4">
        <f>_xlfn.XLOOKUP(Modelling_new[[#This Row],[Month]],$AA$1:$AA$14,$AL$1:$AL$14)/Modelling_new[[#This Row],[Total Days]]</f>
        <v>72.118700788389063</v>
      </c>
      <c r="AI745" s="4">
        <f>SUM($AH$718:AH745)</f>
        <v>2019.3236220748945</v>
      </c>
      <c r="AJ745" s="4">
        <f>SUM($AH$384:AH745)</f>
        <v>21596.065778724551</v>
      </c>
      <c r="AK745" s="4">
        <f t="shared" si="279"/>
        <v>6.9</v>
      </c>
      <c r="AL745" s="4">
        <f>SUM($AK$718:AK745)</f>
        <v>193.2000000000001</v>
      </c>
      <c r="AM745" s="4">
        <f>SUM($AK$384:AK745)</f>
        <v>2145.8999999999978</v>
      </c>
      <c r="AN745" s="323">
        <f t="shared" si="280"/>
        <v>0.90862338165413326</v>
      </c>
      <c r="AO745" s="323">
        <f t="shared" si="281"/>
        <v>0.90862338165413326</v>
      </c>
      <c r="AP745" s="323">
        <f t="shared" si="282"/>
        <v>0.87488358181211578</v>
      </c>
      <c r="AQ745" s="323">
        <f t="shared" si="283"/>
        <v>0.26122922222556338</v>
      </c>
      <c r="AR745" s="323">
        <f>Modelling_new[[#This Row],[Target E_Grid MTD
MWh]]/Modelling_new[[#This Row],[MTD DC Capcity]]/(24*CG745)</f>
        <v>0.23476139579553729</v>
      </c>
      <c r="AS745" s="323">
        <f>Modelling_new[[#This Row],[Target E_Grid YTD
MWh]]/Modelling_new[[#This Row],[YTD DC Capcity]]/(24*CH745)</f>
        <v>0.19419804776275831</v>
      </c>
      <c r="AT745" s="5">
        <v>12.8</v>
      </c>
      <c r="AU745" s="9">
        <f>Modelling_new[[#This Row],[Comisined DC ]]/$AO$1</f>
        <v>1</v>
      </c>
      <c r="AV745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745" s="5">
        <f>AVERAGEIFS(Modelling_new[[Comisined DC ]],Modelling_new[Date],"&lt;="&amp;Modelling_new[[#This Row],[Date]],Modelling_new[[Comisined DC ]],"&gt;"&amp;0,Modelling_new[Finacial Year],Modelling_new[[#This Row],[Finacial Year]])</f>
        <v>12.800000000000086</v>
      </c>
      <c r="BD745" s="27">
        <f t="shared" si="297"/>
        <v>45744</v>
      </c>
      <c r="BE745" s="5">
        <f>MONTH(Modelling[[#This Row],[Date]])</f>
        <v>3</v>
      </c>
      <c r="BF745" s="25">
        <f>YEAR(BD745)+IF(MONTH(Modelling[[#This Row],[Date]])&gt;=4,1,0)</f>
        <v>2025</v>
      </c>
      <c r="BG745" s="3">
        <f t="shared" si="284"/>
        <v>2025</v>
      </c>
      <c r="BH745" s="3" t="s">
        <v>627</v>
      </c>
      <c r="BI745" s="3" t="s">
        <v>627</v>
      </c>
      <c r="BJ745" s="102">
        <f>DATE(Modelling_old[[#This Row],[Calendor Year]],Modelling_old[[#This Row],[Start Month]],1)</f>
        <v>45717</v>
      </c>
      <c r="BK745" s="5">
        <f t="shared" si="285"/>
        <v>31</v>
      </c>
      <c r="BL745" s="5">
        <f t="shared" si="286"/>
        <v>3</v>
      </c>
      <c r="BM745" s="4">
        <f>Modelling_old[[#This Row],[Target E_Grid daily
MWh]]+Modelling_new[[#This Row],[Target E_Grid daily
MWh]]</f>
        <v>125.32192659484068</v>
      </c>
      <c r="BN745" s="4">
        <f>Modelling_old[[#This Row],[Target E_Grid MTD
MWh]]+Modelling_new[[#This Row],[Target E_Grid MTD
MWh]]</f>
        <v>3509.0139446555404</v>
      </c>
      <c r="BO745" s="4">
        <f>Modelling_old[[#This Row],[Target E_Grid YTD
MWh]]+Modelling_new[[#This Row],[Target E_Grid YTD
MWh]]</f>
        <v>38644.456101305201</v>
      </c>
      <c r="BP745" s="4">
        <f>AVERAGE(Modelling_old[[#This Row],[Target POA Daily (KWh/m2)]],Modelling_new[[#This Row],[Target POA Daily (KWh/m2)]])</f>
        <v>6.9</v>
      </c>
      <c r="BQ745" s="4">
        <f>SUM($BP$718:BP745)</f>
        <v>193.2000000000001</v>
      </c>
      <c r="BR745" s="4">
        <f>SUM($BP$384:BP745)</f>
        <v>2145.8999999999978</v>
      </c>
      <c r="BS745" s="323">
        <f>BM745/Modelling[[#This Row],[Comisined DC ]]/BP745</f>
        <v>0.74733667956858518</v>
      </c>
      <c r="BT745" s="337">
        <f>BN745/BQ745/Modelling[[#This Row],[Comisined DC ]]</f>
        <v>0.74733667956858529</v>
      </c>
      <c r="BU745" s="337">
        <f>BO745/BR745/Modelling[[#This Row],[Comisined DC ]]</f>
        <v>0.74099631048660597</v>
      </c>
      <c r="BV745" s="323">
        <f>BM745/(24*Modelling[[#This Row],[Comisined DC ]])</f>
        <v>0.21485929537596829</v>
      </c>
      <c r="BW745" s="323">
        <f>Modelling[[#This Row],[Target E_Grid MTD
MWh]]/Modelling[[#This Row],[MTD DC Capcity]]/(24*CG745)</f>
        <v>0.21485929537596854</v>
      </c>
      <c r="BX745" s="338">
        <f>Modelling[[#This Row],[Target E_Grid YTD
MWh]]/Modelling[[#This Row],[YTD DC Capcity]]/(24*CH745)</f>
        <v>0.18302301826349052</v>
      </c>
      <c r="BY745" s="4">
        <f>Modelling_old[[#This Row],[DC Capcity]]+Modelling_new[[#This Row],[Comisined DC ]]</f>
        <v>24.303100000000001</v>
      </c>
      <c r="BZ745" s="4">
        <v>0</v>
      </c>
      <c r="CA745">
        <f>AVERAGEIFS(Modelling[[Comisined DC ]],Modelling[Date],"&lt;="&amp;Modelling[[#This Row],[Date]],Modelling[Month Year],Modelling[[#This Row],[Month Year]])</f>
        <v>24.303099999999983</v>
      </c>
      <c r="CB745">
        <f>AVERAGEIFS(Modelling[[Comisined DC ]],Modelling[Date],"&lt;="&amp;Modelling[[#This Row],[Date]],Modelling[Finacial Year],Modelling[[#This Row],[Finacial Year]])</f>
        <v>24.303100000000011</v>
      </c>
      <c r="CG745">
        <f t="shared" si="266"/>
        <v>28</v>
      </c>
      <c r="CH745">
        <f t="shared" si="287"/>
        <v>362</v>
      </c>
    </row>
    <row r="746" spans="1:86" x14ac:dyDescent="0.35">
      <c r="A746" s="27">
        <f t="shared" si="267"/>
        <v>45745</v>
      </c>
      <c r="B746" s="5">
        <f>MONTH(Modelling_old[[#This Row],[Date]])</f>
        <v>3</v>
      </c>
      <c r="C746" s="25">
        <v>2025</v>
      </c>
      <c r="D746" s="3">
        <f t="shared" si="288"/>
        <v>2025</v>
      </c>
      <c r="E746" s="3" t="s">
        <v>627</v>
      </c>
      <c r="F746" s="3" t="s">
        <v>627</v>
      </c>
      <c r="G746" s="102">
        <f>DATE(Modelling_old[[#This Row],[Calendor Year]],Modelling_old[[#This Row],[Start Month]],1)</f>
        <v>45717</v>
      </c>
      <c r="H746" s="5">
        <f t="shared" si="289"/>
        <v>31</v>
      </c>
      <c r="I746" s="5">
        <f t="shared" si="290"/>
        <v>3</v>
      </c>
      <c r="J746" s="4">
        <f>_xlfn.XLOOKUP(Modelling_old[[#This Row],[Month]],$C$1:$C$14,$N$1:$N$14)/Modelling_old[[#This Row],[Total Days]]</f>
        <v>53.203225806451613</v>
      </c>
      <c r="K746" s="4">
        <f>SUM($J$718:J746)</f>
        <v>1542.8935483870976</v>
      </c>
      <c r="L746" s="4">
        <f>SUM($J$384:J746)</f>
        <v>17101.593548387096</v>
      </c>
      <c r="M746" s="4">
        <f t="shared" si="291"/>
        <v>6.9</v>
      </c>
      <c r="N746" s="4">
        <f>SUM($M$718:M746)</f>
        <v>200.10000000000011</v>
      </c>
      <c r="O746" s="4">
        <f>SUM($M$384:M746)</f>
        <v>2152.7999999999979</v>
      </c>
      <c r="P746" s="323">
        <f t="shared" si="292"/>
        <v>0.67030734634295319</v>
      </c>
      <c r="Q746" s="337">
        <f t="shared" si="293"/>
        <v>0.67030734634295319</v>
      </c>
      <c r="R746" s="337">
        <f t="shared" si="294"/>
        <v>0.69058636663127715</v>
      </c>
      <c r="S746" s="323">
        <f t="shared" si="295"/>
        <v>0.19271336207359907</v>
      </c>
      <c r="T746" s="9">
        <f>Modelling_old[[#This Row],[Target E_Grid MTD
MWh]]/Modelling_old[[#This Row],[DC Capcity]]/(24*CG746)</f>
        <v>0.19271336207359915</v>
      </c>
      <c r="U746" s="338">
        <f>Modelling_old[[#This Row],[Target E_Grid YTD
MWh]]/Modelling_old[[#This Row],[DC Capcity]]/(24*CH746)</f>
        <v>0.17064902778739804</v>
      </c>
      <c r="V746" s="134">
        <v>11.5031</v>
      </c>
      <c r="Y746" s="27">
        <f t="shared" si="296"/>
        <v>45745</v>
      </c>
      <c r="Z746" s="5">
        <f>MONTH(Modelling_new[[#This Row],[Date]])</f>
        <v>3</v>
      </c>
      <c r="AA746" s="25">
        <f>YEAR(Y746)+IF(MONTH(Modelling_new[[#This Row],[Date]])&gt;=4,1,0)</f>
        <v>2025</v>
      </c>
      <c r="AB746" s="3">
        <f t="shared" si="276"/>
        <v>2025</v>
      </c>
      <c r="AC746" s="3" t="s">
        <v>627</v>
      </c>
      <c r="AD746" s="3" t="s">
        <v>627</v>
      </c>
      <c r="AE746" s="102">
        <f>DATE(Modelling_old[[#This Row],[Calendor Year]],Modelling_old[[#This Row],[Start Month]],1)</f>
        <v>45717</v>
      </c>
      <c r="AF746" s="5">
        <f t="shared" si="277"/>
        <v>31</v>
      </c>
      <c r="AG746" s="5">
        <f t="shared" si="278"/>
        <v>3</v>
      </c>
      <c r="AH746" s="4">
        <f>_xlfn.XLOOKUP(Modelling_new[[#This Row],[Month]],$AA$1:$AA$14,$AL$1:$AL$14)/Modelling_new[[#This Row],[Total Days]]</f>
        <v>72.118700788389063</v>
      </c>
      <c r="AI746" s="4">
        <f>SUM($AH$718:AH746)</f>
        <v>2091.4423228632836</v>
      </c>
      <c r="AJ746" s="4">
        <f>SUM($AH$384:AH746)</f>
        <v>21668.18447951294</v>
      </c>
      <c r="AK746" s="4">
        <f t="shared" si="279"/>
        <v>6.9</v>
      </c>
      <c r="AL746" s="4">
        <f>SUM($AK$718:AK746)</f>
        <v>200.10000000000011</v>
      </c>
      <c r="AM746" s="4">
        <f>SUM($AK$384:AK746)</f>
        <v>2152.7999999999979</v>
      </c>
      <c r="AN746" s="323">
        <f t="shared" si="280"/>
        <v>0.90862338165413326</v>
      </c>
      <c r="AO746" s="323">
        <f t="shared" si="281"/>
        <v>0.90862338165413326</v>
      </c>
      <c r="AP746" s="323">
        <f t="shared" si="282"/>
        <v>0.87499172219622479</v>
      </c>
      <c r="AQ746" s="323">
        <f t="shared" si="283"/>
        <v>0.26122922222556338</v>
      </c>
      <c r="AR746" s="323">
        <f>Modelling_new[[#This Row],[Target E_Grid MTD
MWh]]/Modelling_new[[#This Row],[MTD DC Capcity]]/(24*CG746)</f>
        <v>0.23476139579553729</v>
      </c>
      <c r="AS746" s="323">
        <f>Modelling_new[[#This Row],[Target E_Grid YTD
MWh]]/Modelling_new[[#This Row],[YTD DC Capcity]]/(24*CH746)</f>
        <v>0.1943097925231792</v>
      </c>
      <c r="AT746" s="5">
        <v>12.8</v>
      </c>
      <c r="AU746" s="9">
        <f>Modelling_new[[#This Row],[Comisined DC ]]/$AO$1</f>
        <v>1</v>
      </c>
      <c r="AV746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746" s="5">
        <f>AVERAGEIFS(Modelling_new[[Comisined DC ]],Modelling_new[Date],"&lt;="&amp;Modelling_new[[#This Row],[Date]],Modelling_new[[Comisined DC ]],"&gt;"&amp;0,Modelling_new[Finacial Year],Modelling_new[[#This Row],[Finacial Year]])</f>
        <v>12.800000000000086</v>
      </c>
      <c r="BD746" s="27">
        <f t="shared" si="297"/>
        <v>45745</v>
      </c>
      <c r="BE746" s="5">
        <f>MONTH(Modelling[[#This Row],[Date]])</f>
        <v>3</v>
      </c>
      <c r="BF746" s="25">
        <f>YEAR(BD746)+IF(MONTH(Modelling[[#This Row],[Date]])&gt;=4,1,0)</f>
        <v>2025</v>
      </c>
      <c r="BG746" s="3">
        <f t="shared" si="284"/>
        <v>2025</v>
      </c>
      <c r="BH746" s="3" t="s">
        <v>627</v>
      </c>
      <c r="BI746" s="3" t="s">
        <v>627</v>
      </c>
      <c r="BJ746" s="102">
        <f>DATE(Modelling_old[[#This Row],[Calendor Year]],Modelling_old[[#This Row],[Start Month]],1)</f>
        <v>45717</v>
      </c>
      <c r="BK746" s="5">
        <f t="shared" si="285"/>
        <v>31</v>
      </c>
      <c r="BL746" s="5">
        <f t="shared" si="286"/>
        <v>3</v>
      </c>
      <c r="BM746" s="4">
        <f>Modelling_old[[#This Row],[Target E_Grid daily
MWh]]+Modelling_new[[#This Row],[Target E_Grid daily
MWh]]</f>
        <v>125.32192659484068</v>
      </c>
      <c r="BN746" s="4">
        <f>Modelling_old[[#This Row],[Target E_Grid MTD
MWh]]+Modelling_new[[#This Row],[Target E_Grid MTD
MWh]]</f>
        <v>3634.3358712503814</v>
      </c>
      <c r="BO746" s="4">
        <f>Modelling_old[[#This Row],[Target E_Grid YTD
MWh]]+Modelling_new[[#This Row],[Target E_Grid YTD
MWh]]</f>
        <v>38769.778027900036</v>
      </c>
      <c r="BP746" s="4">
        <f>AVERAGE(Modelling_old[[#This Row],[Target POA Daily (KWh/m2)]],Modelling_new[[#This Row],[Target POA Daily (KWh/m2)]])</f>
        <v>6.9</v>
      </c>
      <c r="BQ746" s="4">
        <f>SUM($BP$718:BP746)</f>
        <v>200.10000000000011</v>
      </c>
      <c r="BR746" s="4">
        <f>SUM($BP$384:BP746)</f>
        <v>2152.7999999999979</v>
      </c>
      <c r="BS746" s="323">
        <f>BM746/Modelling[[#This Row],[Comisined DC ]]/BP746</f>
        <v>0.74733667956858518</v>
      </c>
      <c r="BT746" s="337">
        <f>BN746/BQ746/Modelling[[#This Row],[Comisined DC ]]</f>
        <v>0.74733667956858529</v>
      </c>
      <c r="BU746" s="337">
        <f>BO746/BR746/Modelling[[#This Row],[Comisined DC ]]</f>
        <v>0.74101663218238145</v>
      </c>
      <c r="BV746" s="323">
        <f>BM746/(24*Modelling[[#This Row],[Comisined DC ]])</f>
        <v>0.21485929537596829</v>
      </c>
      <c r="BW746" s="323">
        <f>Modelling[[#This Row],[Target E_Grid MTD
MWh]]/Modelling[[#This Row],[MTD DC Capcity]]/(24*CG746)</f>
        <v>0.21485929537596854</v>
      </c>
      <c r="BX746" s="338">
        <f>Modelling[[#This Row],[Target E_Grid YTD
MWh]]/Modelling[[#This Row],[YTD DC Capcity]]/(24*CH746)</f>
        <v>0.18311072150622462</v>
      </c>
      <c r="BY746" s="4">
        <f>Modelling_old[[#This Row],[DC Capcity]]+Modelling_new[[#This Row],[Comisined DC ]]</f>
        <v>24.303100000000001</v>
      </c>
      <c r="BZ746" s="4">
        <v>0</v>
      </c>
      <c r="CA746">
        <f>AVERAGEIFS(Modelling[[Comisined DC ]],Modelling[Date],"&lt;="&amp;Modelling[[#This Row],[Date]],Modelling[Month Year],Modelling[[#This Row],[Month Year]])</f>
        <v>24.303099999999983</v>
      </c>
      <c r="CB746">
        <f>AVERAGEIFS(Modelling[[Comisined DC ]],Modelling[Date],"&lt;="&amp;Modelling[[#This Row],[Date]],Modelling[Finacial Year],Modelling[[#This Row],[Finacial Year]])</f>
        <v>24.303100000000008</v>
      </c>
      <c r="CG746">
        <f t="shared" si="266"/>
        <v>29</v>
      </c>
      <c r="CH746">
        <f t="shared" si="287"/>
        <v>363</v>
      </c>
    </row>
    <row r="747" spans="1:86" x14ac:dyDescent="0.35">
      <c r="A747" s="27">
        <f t="shared" si="267"/>
        <v>45746</v>
      </c>
      <c r="B747" s="5">
        <f>MONTH(Modelling_old[[#This Row],[Date]])</f>
        <v>3</v>
      </c>
      <c r="C747" s="25">
        <v>2025</v>
      </c>
      <c r="D747" s="3">
        <f t="shared" si="288"/>
        <v>2025</v>
      </c>
      <c r="E747" s="3" t="s">
        <v>627</v>
      </c>
      <c r="F747" s="3" t="s">
        <v>627</v>
      </c>
      <c r="G747" s="102">
        <f>DATE(Modelling_old[[#This Row],[Calendor Year]],Modelling_old[[#This Row],[Start Month]],1)</f>
        <v>45717</v>
      </c>
      <c r="H747" s="5">
        <f t="shared" si="289"/>
        <v>31</v>
      </c>
      <c r="I747" s="5">
        <f t="shared" si="290"/>
        <v>3</v>
      </c>
      <c r="J747" s="4">
        <f>_xlfn.XLOOKUP(Modelling_old[[#This Row],[Month]],$C$1:$C$14,$N$1:$N$14)/Modelling_old[[#This Row],[Total Days]]</f>
        <v>53.203225806451613</v>
      </c>
      <c r="K747" s="4">
        <f>SUM($J$718:J747)</f>
        <v>1596.0967741935492</v>
      </c>
      <c r="L747" s="4">
        <f>SUM($J$384:J747)</f>
        <v>17154.796774193546</v>
      </c>
      <c r="M747" s="4">
        <f t="shared" si="291"/>
        <v>6.9</v>
      </c>
      <c r="N747" s="4">
        <f>SUM($M$718:M747)</f>
        <v>207.00000000000011</v>
      </c>
      <c r="O747" s="4">
        <f>SUM($M$384:M747)</f>
        <v>2159.699999999998</v>
      </c>
      <c r="P747" s="323">
        <f t="shared" si="292"/>
        <v>0.67030734634295319</v>
      </c>
      <c r="Q747" s="337">
        <f t="shared" si="293"/>
        <v>0.67030734634295319</v>
      </c>
      <c r="R747" s="337">
        <f t="shared" si="294"/>
        <v>0.69052157742907783</v>
      </c>
      <c r="S747" s="323">
        <f t="shared" si="295"/>
        <v>0.19271336207359907</v>
      </c>
      <c r="T747" s="9">
        <f>Modelling_old[[#This Row],[Target E_Grid MTD
MWh]]/Modelling_old[[#This Row],[DC Capcity]]/(24*CG747)</f>
        <v>0.19271336207359913</v>
      </c>
      <c r="U747" s="338">
        <f>Modelling_old[[#This Row],[Target E_Grid YTD
MWh]]/Modelling_old[[#This Row],[DC Capcity]]/(24*CH747)</f>
        <v>0.17070964409038211</v>
      </c>
      <c r="V747" s="134">
        <v>11.5031</v>
      </c>
      <c r="Y747" s="27">
        <f t="shared" si="296"/>
        <v>45746</v>
      </c>
      <c r="Z747" s="5">
        <f>MONTH(Modelling_new[[#This Row],[Date]])</f>
        <v>3</v>
      </c>
      <c r="AA747" s="25">
        <f>YEAR(Y747)+IF(MONTH(Modelling_new[[#This Row],[Date]])&gt;=4,1,0)</f>
        <v>2025</v>
      </c>
      <c r="AB747" s="3">
        <f t="shared" si="276"/>
        <v>2025</v>
      </c>
      <c r="AC747" s="3" t="s">
        <v>627</v>
      </c>
      <c r="AD747" s="3" t="s">
        <v>627</v>
      </c>
      <c r="AE747" s="102">
        <f>DATE(Modelling_old[[#This Row],[Calendor Year]],Modelling_old[[#This Row],[Start Month]],1)</f>
        <v>45717</v>
      </c>
      <c r="AF747" s="5">
        <f t="shared" si="277"/>
        <v>31</v>
      </c>
      <c r="AG747" s="5">
        <f t="shared" si="278"/>
        <v>3</v>
      </c>
      <c r="AH747" s="4">
        <f>_xlfn.XLOOKUP(Modelling_new[[#This Row],[Month]],$AA$1:$AA$14,$AL$1:$AL$14)/Modelling_new[[#This Row],[Total Days]]</f>
        <v>72.118700788389063</v>
      </c>
      <c r="AI747" s="4">
        <f>SUM($AH$718:AH747)</f>
        <v>2163.5610236516727</v>
      </c>
      <c r="AJ747" s="4">
        <f>SUM($AH$384:AH747)</f>
        <v>21740.303180301329</v>
      </c>
      <c r="AK747" s="4">
        <f t="shared" si="279"/>
        <v>6.9</v>
      </c>
      <c r="AL747" s="4">
        <f>SUM($AK$718:AK747)</f>
        <v>207.00000000000011</v>
      </c>
      <c r="AM747" s="4">
        <f>SUM($AK$384:AK747)</f>
        <v>2159.699999999998</v>
      </c>
      <c r="AN747" s="323">
        <f t="shared" si="280"/>
        <v>0.90862338165413326</v>
      </c>
      <c r="AO747" s="323">
        <f t="shared" si="281"/>
        <v>0.90862338165413326</v>
      </c>
      <c r="AP747" s="323">
        <f t="shared" si="282"/>
        <v>0.87509917158746398</v>
      </c>
      <c r="AQ747" s="323">
        <f t="shared" si="283"/>
        <v>0.26122922222556338</v>
      </c>
      <c r="AR747" s="323">
        <f>Modelling_new[[#This Row],[Target E_Grid MTD
MWh]]/Modelling_new[[#This Row],[MTD DC Capcity]]/(24*CG747)</f>
        <v>0.23476139579553729</v>
      </c>
      <c r="AS747" s="323">
        <f>Modelling_new[[#This Row],[Target E_Grid YTD
MWh]]/Modelling_new[[#This Row],[YTD DC Capcity]]/(24*CH747)</f>
        <v>0.19442092330139993</v>
      </c>
      <c r="AT747" s="5">
        <v>12.8</v>
      </c>
      <c r="AU747" s="9">
        <f>Modelling_new[[#This Row],[Comisined DC ]]/$AO$1</f>
        <v>1</v>
      </c>
      <c r="AV747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747" s="5">
        <f>AVERAGEIFS(Modelling_new[[Comisined DC ]],Modelling_new[Date],"&lt;="&amp;Modelling_new[[#This Row],[Date]],Modelling_new[[Comisined DC ]],"&gt;"&amp;0,Modelling_new[Finacial Year],Modelling_new[[#This Row],[Finacial Year]])</f>
        <v>12.800000000000088</v>
      </c>
      <c r="BD747" s="27">
        <f t="shared" si="297"/>
        <v>45746</v>
      </c>
      <c r="BE747" s="5">
        <f>MONTH(Modelling[[#This Row],[Date]])</f>
        <v>3</v>
      </c>
      <c r="BF747" s="25">
        <f>YEAR(BD747)+IF(MONTH(Modelling[[#This Row],[Date]])&gt;=4,1,0)</f>
        <v>2025</v>
      </c>
      <c r="BG747" s="3">
        <f t="shared" si="284"/>
        <v>2025</v>
      </c>
      <c r="BH747" s="3" t="s">
        <v>627</v>
      </c>
      <c r="BI747" s="3" t="s">
        <v>627</v>
      </c>
      <c r="BJ747" s="102">
        <f>DATE(Modelling_old[[#This Row],[Calendor Year]],Modelling_old[[#This Row],[Start Month]],1)</f>
        <v>45717</v>
      </c>
      <c r="BK747" s="5">
        <f t="shared" si="285"/>
        <v>31</v>
      </c>
      <c r="BL747" s="5">
        <f t="shared" si="286"/>
        <v>3</v>
      </c>
      <c r="BM747" s="4">
        <f>Modelling_old[[#This Row],[Target E_Grid daily
MWh]]+Modelling_new[[#This Row],[Target E_Grid daily
MWh]]</f>
        <v>125.32192659484068</v>
      </c>
      <c r="BN747" s="4">
        <f>Modelling_old[[#This Row],[Target E_Grid MTD
MWh]]+Modelling_new[[#This Row],[Target E_Grid MTD
MWh]]</f>
        <v>3759.6577978452219</v>
      </c>
      <c r="BO747" s="4">
        <f>Modelling_old[[#This Row],[Target E_Grid YTD
MWh]]+Modelling_new[[#This Row],[Target E_Grid YTD
MWh]]</f>
        <v>38895.099954494872</v>
      </c>
      <c r="BP747" s="4">
        <f>AVERAGE(Modelling_old[[#This Row],[Target POA Daily (KWh/m2)]],Modelling_new[[#This Row],[Target POA Daily (KWh/m2)]])</f>
        <v>6.9</v>
      </c>
      <c r="BQ747" s="4">
        <f>SUM($BP$718:BP747)</f>
        <v>207.00000000000011</v>
      </c>
      <c r="BR747" s="4">
        <f>SUM($BP$384:BP747)</f>
        <v>2159.699999999998</v>
      </c>
      <c r="BS747" s="323">
        <f>BM747/Modelling[[#This Row],[Comisined DC ]]/BP747</f>
        <v>0.74733667956858518</v>
      </c>
      <c r="BT747" s="337">
        <f>BN747/BQ747/Modelling[[#This Row],[Comisined DC ]]</f>
        <v>0.74733667956858529</v>
      </c>
      <c r="BU747" s="337">
        <f>BO747/BR747/Modelling[[#This Row],[Comisined DC ]]</f>
        <v>0.74103682402706561</v>
      </c>
      <c r="BV747" s="323">
        <f>BM747/(24*Modelling[[#This Row],[Comisined DC ]])</f>
        <v>0.21485929537596829</v>
      </c>
      <c r="BW747" s="323">
        <f>Modelling[[#This Row],[Target E_Grid MTD
MWh]]/Modelling[[#This Row],[MTD DC Capcity]]/(24*CG747)</f>
        <v>0.21485929537596854</v>
      </c>
      <c r="BX747" s="338">
        <f>Modelling[[#This Row],[Target E_Grid YTD
MWh]]/Modelling[[#This Row],[YTD DC Capcity]]/(24*CH747)</f>
        <v>0.18319794286300961</v>
      </c>
      <c r="BY747" s="4">
        <f>Modelling_old[[#This Row],[DC Capcity]]+Modelling_new[[#This Row],[Comisined DC ]]</f>
        <v>24.303100000000001</v>
      </c>
      <c r="BZ747" s="4">
        <v>0</v>
      </c>
      <c r="CA747">
        <f>AVERAGEIFS(Modelling[[Comisined DC ]],Modelling[Date],"&lt;="&amp;Modelling[[#This Row],[Date]],Modelling[Month Year],Modelling[[#This Row],[Month Year]])</f>
        <v>24.303099999999983</v>
      </c>
      <c r="CB747">
        <f>AVERAGEIFS(Modelling[[Comisined DC ]],Modelling[Date],"&lt;="&amp;Modelling[[#This Row],[Date]],Modelling[Finacial Year],Modelling[[#This Row],[Finacial Year]])</f>
        <v>24.303100000000004</v>
      </c>
      <c r="CG747">
        <f t="shared" si="266"/>
        <v>30</v>
      </c>
      <c r="CH747">
        <f t="shared" si="287"/>
        <v>364</v>
      </c>
    </row>
    <row r="748" spans="1:86" x14ac:dyDescent="0.35">
      <c r="A748" s="27">
        <f t="shared" si="267"/>
        <v>45747</v>
      </c>
      <c r="B748" s="5">
        <f>MONTH(Modelling_old[[#This Row],[Date]])</f>
        <v>3</v>
      </c>
      <c r="C748" s="25">
        <v>2025</v>
      </c>
      <c r="D748" s="3">
        <f t="shared" si="288"/>
        <v>2025</v>
      </c>
      <c r="E748" s="3" t="s">
        <v>627</v>
      </c>
      <c r="F748" s="3" t="s">
        <v>627</v>
      </c>
      <c r="G748" s="102">
        <f>DATE(Modelling_old[[#This Row],[Calendor Year]],Modelling_old[[#This Row],[Start Month]],1)</f>
        <v>45717</v>
      </c>
      <c r="H748" s="5">
        <f t="shared" si="289"/>
        <v>31</v>
      </c>
      <c r="I748" s="5">
        <f t="shared" si="290"/>
        <v>3</v>
      </c>
      <c r="J748" s="4">
        <f>_xlfn.XLOOKUP(Modelling_old[[#This Row],[Month]],$C$1:$C$14,$N$1:$N$14)/Modelling_old[[#This Row],[Total Days]]</f>
        <v>53.203225806451613</v>
      </c>
      <c r="K748" s="4">
        <f>SUM($J$718:J748)</f>
        <v>1649.3000000000009</v>
      </c>
      <c r="L748" s="4">
        <f>SUM($J$384:J748)</f>
        <v>17207.999999999996</v>
      </c>
      <c r="M748" s="4">
        <f t="shared" si="291"/>
        <v>6.9</v>
      </c>
      <c r="N748" s="4">
        <f>SUM($M$718:M748)</f>
        <v>213.90000000000012</v>
      </c>
      <c r="O748" s="4">
        <f>SUM($M$384:M748)</f>
        <v>2166.5999999999981</v>
      </c>
      <c r="P748" s="323">
        <f t="shared" si="292"/>
        <v>0.67030734634295319</v>
      </c>
      <c r="Q748" s="337">
        <f t="shared" si="293"/>
        <v>0.67030734634295319</v>
      </c>
      <c r="R748" s="337">
        <f t="shared" si="294"/>
        <v>0.69045720089695639</v>
      </c>
      <c r="S748" s="323">
        <f t="shared" si="295"/>
        <v>0.19271336207359907</v>
      </c>
      <c r="T748" s="9">
        <f>Modelling_old[[#This Row],[Target E_Grid MTD
MWh]]/Modelling_old[[#This Row],[DC Capcity]]/(24*CG748)</f>
        <v>0.19271336207359915</v>
      </c>
      <c r="U748" s="338">
        <f>Modelling_old[[#This Row],[Target E_Grid YTD
MWh]]/Modelling_old[[#This Row],[DC Capcity]]/(24*CH748)</f>
        <v>0.17076992824924023</v>
      </c>
      <c r="V748" s="134">
        <v>11.5031</v>
      </c>
      <c r="Y748" s="27">
        <f t="shared" si="296"/>
        <v>45747</v>
      </c>
      <c r="Z748" s="5">
        <f>MONTH(Modelling_new[[#This Row],[Date]])</f>
        <v>3</v>
      </c>
      <c r="AA748" s="25">
        <f>YEAR(Y748)+IF(MONTH(Modelling_new[[#This Row],[Date]])&gt;=4,1,0)</f>
        <v>2025</v>
      </c>
      <c r="AB748" s="3">
        <f t="shared" si="276"/>
        <v>2025</v>
      </c>
      <c r="AC748" s="3" t="s">
        <v>627</v>
      </c>
      <c r="AD748" s="3" t="s">
        <v>627</v>
      </c>
      <c r="AE748" s="102">
        <f>DATE(Modelling_old[[#This Row],[Calendor Year]],Modelling_old[[#This Row],[Start Month]],1)</f>
        <v>45717</v>
      </c>
      <c r="AF748" s="5">
        <f t="shared" si="277"/>
        <v>31</v>
      </c>
      <c r="AG748" s="5">
        <f t="shared" si="278"/>
        <v>3</v>
      </c>
      <c r="AH748" s="4">
        <f>_xlfn.XLOOKUP(Modelling_new[[#This Row],[Month]],$AA$1:$AA$14,$AL$1:$AL$14)/Modelling_new[[#This Row],[Total Days]]</f>
        <v>72.118700788389063</v>
      </c>
      <c r="AI748" s="4">
        <f>SUM($AH$718:AH748)</f>
        <v>2235.6797244400618</v>
      </c>
      <c r="AJ748" s="4">
        <f>SUM($AH$384:AH748)</f>
        <v>21812.421881089718</v>
      </c>
      <c r="AK748" s="4">
        <f t="shared" si="279"/>
        <v>6.9</v>
      </c>
      <c r="AL748" s="4">
        <f>SUM($AK$718:AK748)</f>
        <v>213.90000000000012</v>
      </c>
      <c r="AM748" s="4">
        <f>SUM($AK$384:AK748)</f>
        <v>2166.5999999999981</v>
      </c>
      <c r="AN748" s="323">
        <f t="shared" si="280"/>
        <v>0.90862338165413326</v>
      </c>
      <c r="AO748" s="323">
        <f t="shared" si="281"/>
        <v>0.90862338165413326</v>
      </c>
      <c r="AP748" s="323">
        <f t="shared" si="282"/>
        <v>0.87520593658767631</v>
      </c>
      <c r="AQ748" s="323">
        <f t="shared" si="283"/>
        <v>0.26122922222556338</v>
      </c>
      <c r="AR748" s="323">
        <f>Modelling_new[[#This Row],[Target E_Grid MTD
MWh]]/Modelling_new[[#This Row],[MTD DC Capcity]]/(24*CG748)</f>
        <v>0.23476139579553729</v>
      </c>
      <c r="AS748" s="323">
        <f>Modelling_new[[#This Row],[Target E_Grid YTD
MWh]]/Modelling_new[[#This Row],[YTD DC Capcity]]/(24*CH748)</f>
        <v>0.1945314451438496</v>
      </c>
      <c r="AT748" s="5">
        <v>12.8</v>
      </c>
      <c r="AU748" s="9">
        <f>Modelling_new[[#This Row],[Comisined DC ]]/$AO$1</f>
        <v>1</v>
      </c>
      <c r="AV748" s="5">
        <f>AVERAGEIFS(Modelling_new[[Comisined DC ]],Modelling_new[Date],"&lt;="&amp;Modelling_new[[#This Row],[Date]],Modelling_new[[Comisined DC ]],"&gt;"&amp;0,Modelling_new[Month Year],Modelling_new[[#This Row],[Month Year]])</f>
        <v>12.800000000000006</v>
      </c>
      <c r="AW748" s="5">
        <f>AVERAGEIFS(Modelling_new[[Comisined DC ]],Modelling_new[Date],"&lt;="&amp;Modelling_new[[#This Row],[Date]],Modelling_new[[Comisined DC ]],"&gt;"&amp;0,Modelling_new[Finacial Year],Modelling_new[[#This Row],[Finacial Year]])</f>
        <v>12.800000000000088</v>
      </c>
      <c r="BD748" s="27">
        <f t="shared" si="297"/>
        <v>45747</v>
      </c>
      <c r="BE748" s="5">
        <f>MONTH(Modelling[[#This Row],[Date]])</f>
        <v>3</v>
      </c>
      <c r="BF748" s="25">
        <f>YEAR(BD748)+IF(MONTH(Modelling[[#This Row],[Date]])&gt;=4,1,0)</f>
        <v>2025</v>
      </c>
      <c r="BG748" s="3">
        <f t="shared" si="284"/>
        <v>2025</v>
      </c>
      <c r="BH748" s="3" t="s">
        <v>627</v>
      </c>
      <c r="BI748" s="3" t="s">
        <v>627</v>
      </c>
      <c r="BJ748" s="102">
        <f>DATE(Modelling_old[[#This Row],[Calendor Year]],Modelling_old[[#This Row],[Start Month]],1)</f>
        <v>45717</v>
      </c>
      <c r="BK748" s="5">
        <f t="shared" si="285"/>
        <v>31</v>
      </c>
      <c r="BL748" s="5">
        <f t="shared" si="286"/>
        <v>3</v>
      </c>
      <c r="BM748" s="4">
        <f>Modelling_old[[#This Row],[Target E_Grid daily
MWh]]+Modelling_new[[#This Row],[Target E_Grid daily
MWh]]</f>
        <v>125.32192659484068</v>
      </c>
      <c r="BN748" s="4">
        <f>Modelling_old[[#This Row],[Target E_Grid MTD
MWh]]+Modelling_new[[#This Row],[Target E_Grid MTD
MWh]]</f>
        <v>3884.9797244400625</v>
      </c>
      <c r="BO748" s="4">
        <f>Modelling_old[[#This Row],[Target E_Grid YTD
MWh]]+Modelling_new[[#This Row],[Target E_Grid YTD
MWh]]</f>
        <v>39020.421881089715</v>
      </c>
      <c r="BP748" s="4">
        <f>AVERAGE(Modelling_old[[#This Row],[Target POA Daily (KWh/m2)]],Modelling_new[[#This Row],[Target POA Daily (KWh/m2)]])</f>
        <v>6.9</v>
      </c>
      <c r="BQ748" s="4">
        <f>SUM($BP$718:BP748)</f>
        <v>213.90000000000012</v>
      </c>
      <c r="BR748" s="4">
        <f>SUM($BP$384:BP748)</f>
        <v>2166.5999999999981</v>
      </c>
      <c r="BS748" s="323">
        <f>BM748/Modelling[[#This Row],[Comisined DC ]]/BP748</f>
        <v>0.74733667956858518</v>
      </c>
      <c r="BT748" s="337">
        <f>BN748/BQ748/Modelling[[#This Row],[Comisined DC ]]</f>
        <v>0.74733667956858529</v>
      </c>
      <c r="BU748" s="337">
        <f>BO748/BR748/Modelling[[#This Row],[Comisined DC ]]</f>
        <v>0.74105688726127439</v>
      </c>
      <c r="BV748" s="323">
        <f>BM748/(24*Modelling[[#This Row],[Comisined DC ]])</f>
        <v>0.21485929537596829</v>
      </c>
      <c r="BW748" s="323">
        <f>Modelling[[#This Row],[Target E_Grid MTD
MWh]]/Modelling[[#This Row],[MTD DC Capcity]]/(24*CG748)</f>
        <v>0.21485929537596851</v>
      </c>
      <c r="BX748" s="338">
        <f>Modelling[[#This Row],[Target E_Grid YTD
MWh]]/Modelling[[#This Row],[YTD DC Capcity]]/(24*CH748)</f>
        <v>0.183284686294552</v>
      </c>
      <c r="BY748" s="4">
        <f>Modelling_old[[#This Row],[DC Capcity]]+Modelling_new[[#This Row],[Comisined DC ]]</f>
        <v>24.303100000000001</v>
      </c>
      <c r="BZ748" s="4">
        <v>0</v>
      </c>
      <c r="CA748">
        <f>AVERAGEIFS(Modelling[[Comisined DC ]],Modelling[Date],"&lt;="&amp;Modelling[[#This Row],[Date]],Modelling[Month Year],Modelling[[#This Row],[Month Year]])</f>
        <v>24.303099999999983</v>
      </c>
      <c r="CB748">
        <f>AVERAGEIFS(Modelling[[Comisined DC ]],Modelling[Date],"&lt;="&amp;Modelling[[#This Row],[Date]],Modelling[Finacial Year],Modelling[[#This Row],[Finacial Year]])</f>
        <v>24.303100000000004</v>
      </c>
      <c r="CG748">
        <f t="shared" si="266"/>
        <v>31</v>
      </c>
      <c r="CH748">
        <f t="shared" si="287"/>
        <v>365</v>
      </c>
    </row>
  </sheetData>
  <phoneticPr fontId="18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V135"/>
  <sheetViews>
    <sheetView zoomScaleNormal="100" workbookViewId="0">
      <pane xSplit="8" ySplit="3" topLeftCell="N126" activePane="bottomRight" state="frozen"/>
      <selection pane="topRight" activeCell="H3" sqref="H3"/>
      <selection pane="bottomLeft" activeCell="A4" sqref="A4"/>
      <selection pane="bottomRight" activeCell="Q134" sqref="Q134"/>
    </sheetView>
  </sheetViews>
  <sheetFormatPr defaultColWidth="8.81640625" defaultRowHeight="21.75" customHeight="1" x14ac:dyDescent="0.35"/>
  <cols>
    <col min="1" max="1" width="12" customWidth="1"/>
    <col min="2" max="2" width="10.81640625" customWidth="1"/>
    <col min="3" max="3" width="9.81640625" style="2" customWidth="1"/>
    <col min="4" max="5" width="12.1796875" style="2" customWidth="1"/>
    <col min="6" max="7" width="9" style="2" customWidth="1"/>
    <col min="9" max="9" width="9" style="2" customWidth="1"/>
    <col min="10" max="10" width="9.1796875" customWidth="1"/>
    <col min="11" max="11" width="9.26953125" style="2" customWidth="1"/>
    <col min="12" max="20" width="9" style="2" customWidth="1"/>
    <col min="21" max="21" width="10.81640625" style="2" customWidth="1"/>
    <col min="22" max="28" width="10.1796875" style="2" customWidth="1"/>
    <col min="29" max="30" width="9" style="2" customWidth="1"/>
    <col min="31" max="31" width="12.81640625" style="2" customWidth="1"/>
    <col min="32" max="32" width="9.81640625" style="2" customWidth="1"/>
    <col min="33" max="33" width="9" style="2" customWidth="1"/>
    <col min="34" max="34" width="13" style="2" customWidth="1"/>
    <col min="35" max="38" width="9" style="2" customWidth="1"/>
    <col min="39" max="39" width="12.81640625" style="2" customWidth="1"/>
    <col min="40" max="40" width="13.453125" style="2" customWidth="1"/>
    <col min="41" max="41" width="15.1796875" style="2" customWidth="1"/>
    <col min="42" max="42" width="14.81640625" style="2" customWidth="1"/>
    <col min="43" max="43" width="19.81640625" style="2" customWidth="1"/>
    <col min="44" max="44" width="9.81640625" style="2" customWidth="1"/>
    <col min="45" max="45" width="11.81640625" style="2" customWidth="1"/>
    <col min="46" max="47" width="9.81640625" style="2" customWidth="1"/>
    <col min="48" max="48" width="21.453125" style="2" customWidth="1"/>
    <col min="49" max="49" width="22.453125" style="2" customWidth="1"/>
    <col min="50" max="50" width="23.1796875" style="2" customWidth="1"/>
    <col min="51" max="51" width="17.453125" style="2" customWidth="1"/>
    <col min="52" max="52" width="12" style="2" customWidth="1"/>
    <col min="53" max="53" width="9.81640625" style="2" customWidth="1"/>
    <col min="54" max="54" width="11.81640625" style="2" customWidth="1"/>
    <col min="55" max="55" width="14" style="2" customWidth="1"/>
    <col min="56" max="56" width="13.81640625" style="2" customWidth="1"/>
    <col min="57" max="57" width="11.1796875" style="2" customWidth="1"/>
    <col min="58" max="61" width="12.1796875" style="2" customWidth="1"/>
    <col min="62" max="62" width="14.81640625" style="2" customWidth="1"/>
    <col min="63" max="63" width="11.453125" style="2" customWidth="1"/>
    <col min="64" max="64" width="14" style="2" customWidth="1"/>
    <col min="65" max="65" width="20.1796875" style="2" customWidth="1"/>
    <col min="66" max="66" width="22.453125" customWidth="1"/>
    <col min="67" max="67" width="16.81640625" customWidth="1"/>
    <col min="68" max="68" width="20.453125" customWidth="1"/>
    <col min="69" max="69" width="24.1796875" customWidth="1"/>
    <col min="71" max="71" width="9.1796875" customWidth="1"/>
  </cols>
  <sheetData>
    <row r="1" spans="1:70" ht="21.75" customHeight="1" x14ac:dyDescent="0.35">
      <c r="B1" s="2"/>
      <c r="H1" s="2"/>
      <c r="I1"/>
      <c r="K1" s="2" t="s">
        <v>36</v>
      </c>
      <c r="L1" s="2" t="s">
        <v>36</v>
      </c>
      <c r="M1" s="2" t="s">
        <v>36</v>
      </c>
      <c r="N1" s="2" t="s">
        <v>36</v>
      </c>
      <c r="O1" s="2" t="s">
        <v>36</v>
      </c>
      <c r="P1" s="2" t="s">
        <v>36</v>
      </c>
      <c r="Q1" s="2" t="s">
        <v>36</v>
      </c>
      <c r="R1" s="2" t="s">
        <v>36</v>
      </c>
      <c r="S1" s="2" t="s">
        <v>36</v>
      </c>
      <c r="T1" s="2" t="s">
        <v>36</v>
      </c>
      <c r="U1" s="2" t="s">
        <v>34</v>
      </c>
      <c r="V1" s="2" t="s">
        <v>34</v>
      </c>
      <c r="W1" s="2" t="s">
        <v>34</v>
      </c>
      <c r="X1" s="2" t="s">
        <v>34</v>
      </c>
      <c r="Y1" s="2" t="s">
        <v>34</v>
      </c>
      <c r="Z1" s="2" t="s">
        <v>34</v>
      </c>
      <c r="AA1" s="2" t="s">
        <v>34</v>
      </c>
      <c r="AB1" s="2" t="s">
        <v>34</v>
      </c>
      <c r="AC1" s="2" t="s">
        <v>35</v>
      </c>
      <c r="AD1" s="2" t="s">
        <v>35</v>
      </c>
      <c r="AM1" s="1"/>
      <c r="BG1" s="221"/>
      <c r="BH1" s="221"/>
      <c r="BI1" s="221"/>
      <c r="BJ1" s="221"/>
      <c r="BK1" s="221"/>
      <c r="BM1" s="221"/>
    </row>
    <row r="2" spans="1:70" ht="21.75" customHeight="1" x14ac:dyDescent="0.35">
      <c r="A2">
        <v>1</v>
      </c>
      <c r="B2">
        <f>A2+1</f>
        <v>2</v>
      </c>
      <c r="C2">
        <f t="shared" ref="C2:AD2" si="0">B2+1</f>
        <v>3</v>
      </c>
      <c r="D2">
        <f t="shared" si="0"/>
        <v>4</v>
      </c>
      <c r="E2">
        <f t="shared" si="0"/>
        <v>5</v>
      </c>
      <c r="F2">
        <f t="shared" si="0"/>
        <v>6</v>
      </c>
      <c r="G2">
        <f t="shared" si="0"/>
        <v>7</v>
      </c>
      <c r="H2">
        <f t="shared" si="0"/>
        <v>8</v>
      </c>
      <c r="I2">
        <f t="shared" si="0"/>
        <v>9</v>
      </c>
      <c r="J2">
        <f t="shared" si="0"/>
        <v>10</v>
      </c>
      <c r="K2">
        <f t="shared" si="0"/>
        <v>11</v>
      </c>
      <c r="L2">
        <f t="shared" si="0"/>
        <v>12</v>
      </c>
      <c r="M2">
        <f t="shared" si="0"/>
        <v>13</v>
      </c>
      <c r="N2">
        <f t="shared" si="0"/>
        <v>14</v>
      </c>
      <c r="O2">
        <f t="shared" si="0"/>
        <v>15</v>
      </c>
      <c r="P2">
        <f t="shared" si="0"/>
        <v>16</v>
      </c>
      <c r="Q2">
        <f t="shared" si="0"/>
        <v>17</v>
      </c>
      <c r="R2">
        <f t="shared" si="0"/>
        <v>18</v>
      </c>
      <c r="S2">
        <f t="shared" si="0"/>
        <v>19</v>
      </c>
      <c r="T2">
        <f t="shared" si="0"/>
        <v>20</v>
      </c>
      <c r="U2">
        <f t="shared" si="0"/>
        <v>21</v>
      </c>
      <c r="V2">
        <f t="shared" si="0"/>
        <v>22</v>
      </c>
      <c r="W2">
        <f t="shared" si="0"/>
        <v>23</v>
      </c>
      <c r="X2">
        <f t="shared" si="0"/>
        <v>24</v>
      </c>
      <c r="Y2">
        <f t="shared" si="0"/>
        <v>25</v>
      </c>
      <c r="Z2">
        <f t="shared" si="0"/>
        <v>26</v>
      </c>
      <c r="AA2">
        <f t="shared" si="0"/>
        <v>27</v>
      </c>
      <c r="AB2">
        <f t="shared" si="0"/>
        <v>28</v>
      </c>
      <c r="AC2">
        <f t="shared" si="0"/>
        <v>29</v>
      </c>
      <c r="AD2">
        <f t="shared" si="0"/>
        <v>30</v>
      </c>
      <c r="AM2">
        <f>T2+1</f>
        <v>21</v>
      </c>
      <c r="AN2">
        <f>AM2+1</f>
        <v>22</v>
      </c>
      <c r="AO2">
        <f>AN2+1</f>
        <v>23</v>
      </c>
      <c r="AP2">
        <f>AO2+1</f>
        <v>24</v>
      </c>
      <c r="AQ2"/>
      <c r="AR2"/>
      <c r="AS2"/>
      <c r="AT2"/>
      <c r="AU2"/>
      <c r="AV2">
        <f>AP2+1</f>
        <v>25</v>
      </c>
      <c r="AW2">
        <f>AV2+1</f>
        <v>26</v>
      </c>
      <c r="AX2">
        <f>AW2+1</f>
        <v>27</v>
      </c>
      <c r="AY2">
        <f>AX2+1</f>
        <v>28</v>
      </c>
      <c r="AZ2">
        <f>AY2+1</f>
        <v>29</v>
      </c>
      <c r="BA2">
        <f>AZ2+1</f>
        <v>30</v>
      </c>
      <c r="BB2"/>
      <c r="BC2"/>
      <c r="BD2"/>
      <c r="BE2"/>
      <c r="BF2"/>
      <c r="BG2"/>
      <c r="BH2"/>
      <c r="BI2"/>
      <c r="BJ2">
        <f>BA2+1</f>
        <v>31</v>
      </c>
      <c r="BK2">
        <f>BJ2+1</f>
        <v>32</v>
      </c>
      <c r="BL2">
        <f>BK2+1</f>
        <v>33</v>
      </c>
    </row>
    <row r="3" spans="1:70" ht="21.75" customHeight="1" x14ac:dyDescent="0.35">
      <c r="A3" s="77" t="s">
        <v>72</v>
      </c>
      <c r="B3" s="76" t="s">
        <v>116</v>
      </c>
      <c r="C3" s="76" t="s">
        <v>118</v>
      </c>
      <c r="D3" s="76" t="s">
        <v>119</v>
      </c>
      <c r="E3" s="76" t="s">
        <v>120</v>
      </c>
      <c r="F3" s="76" t="s">
        <v>75</v>
      </c>
      <c r="G3" s="76" t="s">
        <v>40</v>
      </c>
      <c r="H3" s="77" t="s">
        <v>628</v>
      </c>
      <c r="I3" s="76" t="s">
        <v>145</v>
      </c>
      <c r="J3" s="76" t="s">
        <v>146</v>
      </c>
      <c r="K3" s="76" t="s">
        <v>121</v>
      </c>
      <c r="L3" s="76" t="s">
        <v>122</v>
      </c>
      <c r="M3" s="76" t="s">
        <v>123</v>
      </c>
      <c r="N3" s="76" t="s">
        <v>124</v>
      </c>
      <c r="O3" s="76" t="s">
        <v>125</v>
      </c>
      <c r="P3" s="76" t="s">
        <v>126</v>
      </c>
      <c r="Q3" s="76" t="s">
        <v>127</v>
      </c>
      <c r="R3" s="76" t="s">
        <v>128</v>
      </c>
      <c r="S3" s="76" t="s">
        <v>129</v>
      </c>
      <c r="T3" s="76" t="s">
        <v>130</v>
      </c>
      <c r="U3" s="76" t="s">
        <v>131</v>
      </c>
      <c r="V3" s="76" t="s">
        <v>132</v>
      </c>
      <c r="W3" s="76" t="s">
        <v>133</v>
      </c>
      <c r="X3" s="76" t="s">
        <v>134</v>
      </c>
      <c r="Y3" s="76" t="s">
        <v>135</v>
      </c>
      <c r="Z3" s="76" t="s">
        <v>136</v>
      </c>
      <c r="AA3" s="76" t="s">
        <v>137</v>
      </c>
      <c r="AB3" s="76" t="s">
        <v>138</v>
      </c>
      <c r="AC3" s="76" t="s">
        <v>139</v>
      </c>
      <c r="AD3" s="76" t="s">
        <v>479</v>
      </c>
      <c r="AE3" s="76" t="s">
        <v>629</v>
      </c>
      <c r="AF3" s="76" t="s">
        <v>630</v>
      </c>
      <c r="AG3" s="76" t="s">
        <v>631</v>
      </c>
      <c r="AH3" s="76" t="s">
        <v>632</v>
      </c>
      <c r="AI3" s="76" t="s">
        <v>633</v>
      </c>
      <c r="AJ3" s="76" t="s">
        <v>634</v>
      </c>
      <c r="AK3" s="76" t="s">
        <v>635</v>
      </c>
      <c r="AL3" s="76" t="s">
        <v>636</v>
      </c>
      <c r="AM3" s="76" t="s">
        <v>637</v>
      </c>
      <c r="AN3" s="76" t="s">
        <v>638</v>
      </c>
      <c r="AO3" s="76" t="s">
        <v>639</v>
      </c>
      <c r="AP3" s="76" t="s">
        <v>640</v>
      </c>
      <c r="AQ3" s="76" t="s">
        <v>641</v>
      </c>
      <c r="AR3" s="76" t="s">
        <v>642</v>
      </c>
      <c r="AS3" s="76" t="s">
        <v>36</v>
      </c>
      <c r="AT3" s="76" t="s">
        <v>34</v>
      </c>
      <c r="AU3" s="76" t="s">
        <v>35</v>
      </c>
      <c r="AV3" s="76" t="s">
        <v>643</v>
      </c>
      <c r="AW3" s="76" t="s">
        <v>644</v>
      </c>
      <c r="AX3" s="76" t="s">
        <v>645</v>
      </c>
      <c r="AY3" s="76" t="s">
        <v>646</v>
      </c>
      <c r="AZ3" s="76" t="s">
        <v>647</v>
      </c>
      <c r="BA3" s="76" t="s">
        <v>648</v>
      </c>
      <c r="BB3" s="76" t="s">
        <v>649</v>
      </c>
      <c r="BC3" s="76" t="s">
        <v>650</v>
      </c>
      <c r="BD3" s="76" t="s">
        <v>651</v>
      </c>
      <c r="BE3" s="76" t="s">
        <v>652</v>
      </c>
      <c r="BF3" s="76" t="s">
        <v>653</v>
      </c>
      <c r="BG3" s="76" t="s">
        <v>654</v>
      </c>
      <c r="BH3" s="76" t="s">
        <v>655</v>
      </c>
      <c r="BI3" s="76" t="s">
        <v>656</v>
      </c>
      <c r="BJ3" s="76" t="s">
        <v>657</v>
      </c>
      <c r="BK3" s="76" t="s">
        <v>658</v>
      </c>
      <c r="BL3" s="78" t="s">
        <v>659</v>
      </c>
      <c r="BM3" s="78" t="s">
        <v>660</v>
      </c>
      <c r="BN3" s="76" t="s">
        <v>661</v>
      </c>
      <c r="BO3" s="76" t="s">
        <v>662</v>
      </c>
      <c r="BP3" s="76" t="s">
        <v>663</v>
      </c>
      <c r="BQ3" s="76" t="s">
        <v>664</v>
      </c>
      <c r="BR3" s="76" t="s">
        <v>76</v>
      </c>
    </row>
    <row r="4" spans="1:70" ht="15" customHeight="1" x14ac:dyDescent="0.35">
      <c r="A4" s="85">
        <v>45745</v>
      </c>
      <c r="B4" s="80">
        <f>YEAR(RD[[#This Row],[Date]])+IF(MONTH(RD[[#This Row],[Date]])&gt;=4,1,0)</f>
        <v>2025</v>
      </c>
      <c r="C4" s="80">
        <f>YEAR(RD[[#This Row],[Month Year]])</f>
        <v>2025</v>
      </c>
      <c r="D4" s="99" t="s">
        <v>4</v>
      </c>
      <c r="E4" s="99" t="s">
        <v>4</v>
      </c>
      <c r="F4" s="80" t="str">
        <f t="shared" ref="F4:F19" si="1">TEXT(A4,"mmm-yy")</f>
        <v>Mar-25</v>
      </c>
      <c r="G4" s="79">
        <f>DAY(EOMONTH(RD[[#This Row],[Month Year]],0))</f>
        <v>31</v>
      </c>
      <c r="H4" s="100">
        <f>_xlfn.XLOOKUP(RD[[#This Row],[Date]],Modelling[Date],Modelling[[Comisined DC ]],0)</f>
        <v>24.303100000000001</v>
      </c>
      <c r="I4" s="162">
        <v>0.28333333333333333</v>
      </c>
      <c r="J4" s="162">
        <v>0.76388888888888884</v>
      </c>
      <c r="K4" s="79">
        <v>4761</v>
      </c>
      <c r="L4" s="79">
        <v>5287</v>
      </c>
      <c r="M4" s="79">
        <v>4511</v>
      </c>
      <c r="N4" s="179">
        <v>5342</v>
      </c>
      <c r="O4" s="179">
        <v>5406</v>
      </c>
      <c r="P4" s="179">
        <v>4637</v>
      </c>
      <c r="Q4" s="179">
        <v>5371</v>
      </c>
      <c r="R4" s="179">
        <v>4710</v>
      </c>
      <c r="S4" s="179">
        <v>5439</v>
      </c>
      <c r="T4" s="179">
        <v>4757</v>
      </c>
      <c r="U4" s="79">
        <v>5892</v>
      </c>
      <c r="V4" s="79">
        <v>5943</v>
      </c>
      <c r="W4" s="79">
        <v>6364</v>
      </c>
      <c r="X4" s="79">
        <v>6373</v>
      </c>
      <c r="Y4" s="79">
        <v>6363</v>
      </c>
      <c r="Z4" s="79">
        <v>6171</v>
      </c>
      <c r="AA4" s="79">
        <v>6114</v>
      </c>
      <c r="AB4" s="79">
        <v>6086</v>
      </c>
      <c r="AC4" s="79">
        <v>7306</v>
      </c>
      <c r="AD4" s="79">
        <v>7875</v>
      </c>
      <c r="AE4" s="79"/>
      <c r="AF4" s="79"/>
      <c r="AG4" s="79"/>
      <c r="AH4" s="79"/>
      <c r="AI4" s="79"/>
      <c r="AJ4" s="79"/>
      <c r="AK4" s="79"/>
      <c r="AL4" s="79"/>
      <c r="AM4" s="80">
        <v>143753.62345000001</v>
      </c>
      <c r="AN4" s="80">
        <v>563.24078999999995</v>
      </c>
      <c r="AO4" s="80"/>
      <c r="AP4" s="80">
        <v>6.0250000000000004</v>
      </c>
      <c r="AQ4" s="82">
        <v>6.2747000000000002</v>
      </c>
      <c r="AR4" s="82">
        <f>IF(RD[[#This Row],[POA(kWh/m2)_O2R6]]="",RD[[#This Row],[POA(kWh/m2)_PSEGPL]],(RD[[#This Row],[POA(kWh/m2)_PSEGPL]]*('Basic Data'!$V$2/'Basic Data'!$V$4))+(RD[[#This Row],[POA(kWh/m2)_O2R6]]*('Basic Data'!$V$3/'Basic Data'!$V$4)))</f>
        <v>6.1564010255354198</v>
      </c>
      <c r="AS4" s="82">
        <f>SUM(RD[[#This Row],[G1 Inv1]:[G5 Inv10]])</f>
        <v>50221</v>
      </c>
      <c r="AT4" s="82">
        <f>SUM(RD[[#This Row],[IS1_Inv1_M1]:[IS1_Inv2_M4]])</f>
        <v>49306</v>
      </c>
      <c r="AU4" s="82">
        <f>SUM(RD[[#This Row],[IS2_Inv1]:[IS2_Inv2]])</f>
        <v>15181</v>
      </c>
      <c r="AV4" s="80"/>
      <c r="AW4" s="83"/>
      <c r="AX4" s="80"/>
      <c r="AY4" s="80"/>
      <c r="AZ4" s="80"/>
      <c r="BA4" s="83">
        <f>IFERROR(SUM(RD[[#This Row],[PSEGPL]:[O2R10]]),"")</f>
        <v>114708</v>
      </c>
      <c r="BB4" s="80">
        <v>1314</v>
      </c>
      <c r="BC4" s="83">
        <v>203717</v>
      </c>
      <c r="BD4" s="83">
        <v>1150</v>
      </c>
      <c r="BE4" s="83">
        <v>185057</v>
      </c>
      <c r="BF4" s="80">
        <v>1583</v>
      </c>
      <c r="BG4" s="83">
        <v>206645</v>
      </c>
      <c r="BH4" s="83">
        <v>2272</v>
      </c>
      <c r="BI4" s="83">
        <v>198331</v>
      </c>
      <c r="BJ4" s="101" t="e">
        <f>IF((RD[[#This Row],[33 kV F5 Export Reading_Gss End]]-#REF!)*1000&lt;0,0,(RD[[#This Row],[33 kV F5 Export Reading_Gss End]]-#REF!)*1000)</f>
        <v>#REF!</v>
      </c>
      <c r="BK4" s="83" t="e">
        <f>IF((RD[[#This Row],[33 kV F5 Import Reading_GSS End2]]-#REF!)*1000&lt;0,0,(RD[[#This Row],[33 kV F5 Import Reading_GSS End2]]-#REF!)*1000)</f>
        <v>#REF!</v>
      </c>
      <c r="BL4" s="84" t="e">
        <f>RD[[#This Row],[Export  (kWh)]]-RD[[#This Row],[Import (kWh)]]</f>
        <v>#REF!</v>
      </c>
      <c r="BM4" s="84" t="e">
        <f>RD[[#This Row],[Inverters Generation ( kWh)]]-RD[[#This Row],[Export  (kWh)]]</f>
        <v>#REF!</v>
      </c>
      <c r="BN4" t="e">
        <f>IF(AND(BC4="",BE4=""),"",(((BC4-#REF!)*MF_Cap_HCCB)+((BE4-#REF!)*MF_Cap_Pepsico)))</f>
        <v>#REF!</v>
      </c>
      <c r="BO4" t="e">
        <f>IF(AND(BB4="",BD4=""),"",(((BB4-#REF!)*MF_Cap_HCCB)+((BD4-#REF!)*MF_Cap_Pepsico)))</f>
        <v>#REF!</v>
      </c>
      <c r="BP4" s="185" t="e">
        <f>IF(AND(BG4="",BI4=""),"",(((BG4-#REF!)*MF_Cap_O2RE6)+((BI4-#REF!)*MF_Cap_O2RE10)))</f>
        <v>#REF!</v>
      </c>
      <c r="BQ4" s="185" t="e">
        <f>IF(AND(BF4="",BH4=""),"",((((BF4-#REF!)*MF_Cap_O2RE6)*1.33)+((BH4-#REF!)*MF_Cap_O2RE10)))</f>
        <v>#REF!</v>
      </c>
      <c r="BR4" s="185">
        <f t="shared" ref="BR4:BR19" si="2">IFERROR((J4-I4)*24,"")</f>
        <v>11.533333333333331</v>
      </c>
    </row>
    <row r="5" spans="1:70" ht="15" customHeight="1" x14ac:dyDescent="0.35">
      <c r="A5" s="85">
        <f t="shared" ref="A5:A10" si="3">A4+1</f>
        <v>45746</v>
      </c>
      <c r="B5" s="80">
        <f>YEAR(RD[[#This Row],[Date]])+IF(MONTH(RD[[#This Row],[Date]])&gt;=4,1,0)</f>
        <v>2025</v>
      </c>
      <c r="C5" s="80">
        <f>YEAR(RD[[#This Row],[Month Year]])</f>
        <v>2025</v>
      </c>
      <c r="D5" s="99" t="s">
        <v>4</v>
      </c>
      <c r="E5" s="99" t="s">
        <v>4</v>
      </c>
      <c r="F5" s="80" t="str">
        <f t="shared" si="1"/>
        <v>Mar-25</v>
      </c>
      <c r="G5" s="79">
        <f>DAY(EOMONTH(RD[[#This Row],[Month Year]],0))</f>
        <v>31</v>
      </c>
      <c r="H5" s="100">
        <f>_xlfn.XLOOKUP(RD[[#This Row],[Date]],Modelling[Date],Modelling[[Comisined DC ]],0)</f>
        <v>24.303100000000001</v>
      </c>
      <c r="I5" s="162">
        <v>0.28125</v>
      </c>
      <c r="J5" s="162">
        <v>0.76249999999999996</v>
      </c>
      <c r="K5" s="79">
        <v>3916</v>
      </c>
      <c r="L5" s="79">
        <v>4362</v>
      </c>
      <c r="M5" s="79">
        <v>3659</v>
      </c>
      <c r="N5" s="179">
        <v>4320</v>
      </c>
      <c r="O5" s="179">
        <v>4366</v>
      </c>
      <c r="P5" s="179">
        <v>3743</v>
      </c>
      <c r="Q5" s="179">
        <v>4332</v>
      </c>
      <c r="R5" s="179">
        <v>3806</v>
      </c>
      <c r="S5" s="179">
        <v>4398</v>
      </c>
      <c r="T5" s="179">
        <v>3850</v>
      </c>
      <c r="U5" s="79">
        <v>4817</v>
      </c>
      <c r="V5" s="79">
        <v>4852</v>
      </c>
      <c r="W5" s="79">
        <v>5198</v>
      </c>
      <c r="X5" s="79">
        <v>5207</v>
      </c>
      <c r="Y5" s="79">
        <v>5203</v>
      </c>
      <c r="Z5" s="79">
        <v>5039</v>
      </c>
      <c r="AA5" s="79">
        <v>4993</v>
      </c>
      <c r="AB5" s="79">
        <v>4985</v>
      </c>
      <c r="AC5" s="79">
        <v>5909</v>
      </c>
      <c r="AD5" s="79">
        <v>6433</v>
      </c>
      <c r="AE5" s="79"/>
      <c r="AF5" s="79"/>
      <c r="AG5" s="79"/>
      <c r="AH5" s="79"/>
      <c r="AI5" s="79"/>
      <c r="AJ5" s="79"/>
      <c r="AK5" s="79"/>
      <c r="AL5" s="79"/>
      <c r="AM5" s="80">
        <v>143846.44112999999</v>
      </c>
      <c r="AN5" s="80">
        <v>564.17049999999995</v>
      </c>
      <c r="AO5" s="80"/>
      <c r="AP5" s="80">
        <v>5.08</v>
      </c>
      <c r="AQ5" s="82">
        <v>5.15</v>
      </c>
      <c r="AR5" s="82">
        <f>IF(RD[[#This Row],[POA(kWh/m2)_O2R6]]="",RD[[#This Row],[POA(kWh/m2)_PSEGPL]],(RD[[#This Row],[POA(kWh/m2)_PSEGPL]]*('Basic Data'!$V$2/'Basic Data'!$V$4))+(RD[[#This Row],[POA(kWh/m2)_O2R6]]*('Basic Data'!$V$3/'Basic Data'!$V$4)))</f>
        <v>5.1168364909390442</v>
      </c>
      <c r="AS5" s="82">
        <f>SUM(RD[[#This Row],[G1 Inv1]:[G5 Inv10]])</f>
        <v>40752</v>
      </c>
      <c r="AT5" s="82">
        <f>SUM(RD[[#This Row],[IS1_Inv1_M1]:[IS1_Inv2_M4]])</f>
        <v>40294</v>
      </c>
      <c r="AU5" s="82">
        <f>SUM(RD[[#This Row],[IS2_Inv1]:[IS2_Inv2]])</f>
        <v>12342</v>
      </c>
      <c r="AV5" s="80"/>
      <c r="AW5" s="83"/>
      <c r="AX5" s="80"/>
      <c r="AY5" s="80"/>
      <c r="AZ5" s="80"/>
      <c r="BA5" s="83">
        <f>IFERROR(SUM(RD[[#This Row],[PSEGPL]:[O2R10]]),"")</f>
        <v>93388</v>
      </c>
      <c r="BB5" s="80">
        <v>1317</v>
      </c>
      <c r="BC5" s="83">
        <v>204121</v>
      </c>
      <c r="BD5" s="83">
        <v>1152</v>
      </c>
      <c r="BE5" s="83">
        <v>185418</v>
      </c>
      <c r="BF5" s="83">
        <v>1587</v>
      </c>
      <c r="BG5" s="83">
        <v>207097</v>
      </c>
      <c r="BH5" s="83">
        <v>2281</v>
      </c>
      <c r="BI5" s="83">
        <v>198745</v>
      </c>
      <c r="BJ5" s="101">
        <f>IF((RD[[#This Row],[33 kV F5 Export Reading_Gss End]]-AM4)*1000&lt;0,0,(RD[[#This Row],[33 kV F5 Export Reading_Gss End]]-AM4)*1000)</f>
        <v>92817.679999978282</v>
      </c>
      <c r="BK5" s="83">
        <f>IF((RD[[#This Row],[33 kV F5 Import Reading_GSS End2]]-AN4)*1000&lt;0,0,(RD[[#This Row],[33 kV F5 Import Reading_GSS End2]]-AN4)*1000)</f>
        <v>929.71</v>
      </c>
      <c r="BL5" s="84">
        <f>RD[[#This Row],[Export  (kWh)]]-RD[[#This Row],[Import (kWh)]]</f>
        <v>91887.969999978275</v>
      </c>
      <c r="BM5" s="84">
        <f>RD[[#This Row],[Inverters Generation ( kWh)]]-RD[[#This Row],[Export  (kWh)]]</f>
        <v>570.32000002171844</v>
      </c>
      <c r="BN5">
        <f>IF(AND(BC5="",BE5=""),"",(((BC5-BC4)*MF_Cap_HCCB)+((BE5-BE4)*MF_Cap_Pepsico)))</f>
        <v>40485</v>
      </c>
      <c r="BO5">
        <f t="shared" ref="BO5:BO20" si="4">IF(AND(BB5="",BD5=""),"",(((BB5-BB4)*MF_Cap_HCCB)+((BD5-BD4)*MF_Cap_Pepsico)))</f>
        <v>270</v>
      </c>
      <c r="BP5" s="185">
        <f>IF(AND(BG5="",BI5=""),"",((((BG5-BG4)*MF_Cap_O2RE6))+((BI5-BI4)*MF_Cap_O2RE10)))</f>
        <v>53100</v>
      </c>
      <c r="BQ5" s="185">
        <f t="shared" ref="BQ5:BQ17" si="5">IF(AND(BF5="",BH5=""),"",((((BF5-BF4)*MF_Cap_O2RE6)*1.33)+((BH5-BH4)*MF_Cap_O2RE10)))</f>
        <v>748.8</v>
      </c>
      <c r="BR5" s="185">
        <f t="shared" si="2"/>
        <v>11.549999999999999</v>
      </c>
    </row>
    <row r="6" spans="1:70" ht="15" customHeight="1" x14ac:dyDescent="0.35">
      <c r="A6" s="85">
        <f t="shared" si="3"/>
        <v>45747</v>
      </c>
      <c r="B6" s="80">
        <f>YEAR(RD[[#This Row],[Date]])+IF(MONTH(RD[[#This Row],[Date]])&gt;=4,1,0)</f>
        <v>2025</v>
      </c>
      <c r="C6" s="80">
        <f>YEAR(RD[[#This Row],[Month Year]])</f>
        <v>2025</v>
      </c>
      <c r="D6" s="99" t="s">
        <v>4</v>
      </c>
      <c r="E6" s="99" t="s">
        <v>4</v>
      </c>
      <c r="F6" s="80" t="str">
        <f t="shared" si="1"/>
        <v>Mar-25</v>
      </c>
      <c r="G6" s="79">
        <f>DAY(EOMONTH(RD[[#This Row],[Month Year]],0))</f>
        <v>31</v>
      </c>
      <c r="H6" s="100">
        <v>24.303100000000001</v>
      </c>
      <c r="I6" s="162">
        <v>0.28125</v>
      </c>
      <c r="J6" s="162">
        <v>0.73124999999999996</v>
      </c>
      <c r="K6" s="79">
        <v>3679</v>
      </c>
      <c r="L6" s="79">
        <v>4224</v>
      </c>
      <c r="M6" s="79">
        <v>3451</v>
      </c>
      <c r="N6" s="179">
        <v>4085</v>
      </c>
      <c r="O6" s="179">
        <v>4134</v>
      </c>
      <c r="P6" s="179">
        <v>3537</v>
      </c>
      <c r="Q6" s="179">
        <v>4114</v>
      </c>
      <c r="R6" s="179">
        <v>3621</v>
      </c>
      <c r="S6" s="179">
        <v>4190</v>
      </c>
      <c r="T6" s="179">
        <v>3666</v>
      </c>
      <c r="U6" s="79">
        <v>4575</v>
      </c>
      <c r="V6" s="79">
        <v>4648</v>
      </c>
      <c r="W6" s="79">
        <v>4888</v>
      </c>
      <c r="X6" s="79">
        <v>4897</v>
      </c>
      <c r="Y6" s="79">
        <v>4908</v>
      </c>
      <c r="Z6" s="79">
        <v>4783</v>
      </c>
      <c r="AA6" s="79">
        <v>4731</v>
      </c>
      <c r="AB6" s="79">
        <v>4730</v>
      </c>
      <c r="AC6" s="79">
        <v>5549</v>
      </c>
      <c r="AD6" s="79">
        <v>6082</v>
      </c>
      <c r="AE6" s="79"/>
      <c r="AF6" s="79"/>
      <c r="AG6" s="79"/>
      <c r="AH6" s="79"/>
      <c r="AI6" s="79"/>
      <c r="AJ6" s="79"/>
      <c r="AK6" s="79"/>
      <c r="AL6" s="79"/>
      <c r="AM6" s="80">
        <v>143934.40770000001</v>
      </c>
      <c r="AN6" s="80">
        <v>565.25049999999999</v>
      </c>
      <c r="AO6" s="80"/>
      <c r="AP6" s="80">
        <v>4.87</v>
      </c>
      <c r="AQ6" s="82">
        <v>4.6100000000000003</v>
      </c>
      <c r="AR6" s="82">
        <f>IF(RD[[#This Row],[POA(kWh/m2)_O2R6]]="",RD[[#This Row],[POA(kWh/m2)_PSEGPL]],(RD[[#This Row],[POA(kWh/m2)_PSEGPL]]*('Basic Data'!$V$2/'Basic Data'!$V$4))+(RD[[#This Row],[POA(kWh/m2)_O2R6]]*('Basic Data'!$V$3/'Basic Data'!$V$4)))</f>
        <v>4.7331787479406913</v>
      </c>
      <c r="AS6" s="82">
        <f>SUM(RD[[#This Row],[G1 Inv1]:[G5 Inv10]])</f>
        <v>38701</v>
      </c>
      <c r="AT6" s="82">
        <f>SUM(RD[[#This Row],[IS1_Inv1_M1]:[IS1_Inv2_M4]])</f>
        <v>38160</v>
      </c>
      <c r="AU6" s="82">
        <f>SUM(RD[[#This Row],[IS2_Inv1]:[IS2_Inv2]])</f>
        <v>11631</v>
      </c>
      <c r="AV6" s="80"/>
      <c r="AW6" s="83"/>
      <c r="AX6" s="80"/>
      <c r="AY6" s="80"/>
      <c r="AZ6" s="80"/>
      <c r="BA6" s="83">
        <f>IFERROR(SUM(RD[[#This Row],[PSEGPL]:[O2R10]]),"")</f>
        <v>88492</v>
      </c>
      <c r="BB6" s="80">
        <v>1320</v>
      </c>
      <c r="BC6" s="83">
        <v>204504</v>
      </c>
      <c r="BD6" s="83">
        <v>1154</v>
      </c>
      <c r="BE6" s="83">
        <v>185762</v>
      </c>
      <c r="BF6" s="83">
        <v>1591</v>
      </c>
      <c r="BG6" s="83">
        <v>207525</v>
      </c>
      <c r="BH6" s="83">
        <v>2292</v>
      </c>
      <c r="BI6" s="83">
        <v>199136</v>
      </c>
      <c r="BJ6" s="101">
        <f>IF((RD[[#This Row],[33 kV F5 Export Reading_Gss End]]-AM5)*1000&lt;0,0,(RD[[#This Row],[33 kV F5 Export Reading_Gss End]]-AM5)*1000)</f>
        <v>87966.570000018692</v>
      </c>
      <c r="BK6" s="83">
        <f>IF((RD[[#This Row],[33 kV F5 Import Reading_GSS End2]]-AN5)*1000&lt;0,0,(RD[[#This Row],[33 kV F5 Import Reading_GSS End2]]-AN5)*1000)</f>
        <v>1080.0000000000409</v>
      </c>
      <c r="BL6" s="84">
        <f>RD[[#This Row],[Export  (kWh)]]-RD[[#This Row],[Import (kWh)]]</f>
        <v>86886.570000018648</v>
      </c>
      <c r="BM6" s="84">
        <f>RD[[#This Row],[Inverters Generation ( kWh)]]-RD[[#This Row],[Export  (kWh)]]</f>
        <v>525.42999998130836</v>
      </c>
      <c r="BN6">
        <f t="shared" ref="BN6:BN20" si="6">IF(AND(BC6="",BE6=""),"",(((BC6-BC5)*MF_Cap_HCCB)+((BE6-BE5)*MF_Cap_Pepsico)))</f>
        <v>38460</v>
      </c>
      <c r="BO6">
        <f t="shared" si="4"/>
        <v>270</v>
      </c>
      <c r="BP6" s="185">
        <f t="shared" ref="BP6:BP37" si="7">IF(AND(BG6="",BI6=""),"",(((BG6-BG5)*MF_Cap_O2RE6)+((BI6-BI5)*MF_Cap_O2RE10)))</f>
        <v>50250</v>
      </c>
      <c r="BQ6" s="185">
        <f t="shared" si="5"/>
        <v>808.8</v>
      </c>
      <c r="BR6" s="185">
        <f t="shared" si="2"/>
        <v>10.799999999999999</v>
      </c>
    </row>
    <row r="7" spans="1:70" ht="15" customHeight="1" x14ac:dyDescent="0.35">
      <c r="A7" s="85">
        <f t="shared" si="3"/>
        <v>45748</v>
      </c>
      <c r="B7" s="80">
        <f>YEAR(RD[[#This Row],[Date]])+IF(MONTH(RD[[#This Row],[Date]])&gt;=4,1,0)</f>
        <v>2026</v>
      </c>
      <c r="C7" s="80">
        <f>YEAR(RD[[#This Row],[Month Year]])</f>
        <v>2025</v>
      </c>
      <c r="D7" s="99" t="s">
        <v>4</v>
      </c>
      <c r="E7" s="99" t="s">
        <v>4</v>
      </c>
      <c r="F7" s="80" t="str">
        <f t="shared" si="1"/>
        <v>Apr-25</v>
      </c>
      <c r="G7" s="79">
        <f>DAY(EOMONTH(RD[[#This Row],[Month Year]],0))</f>
        <v>30</v>
      </c>
      <c r="H7" s="100">
        <v>24.303100000000001</v>
      </c>
      <c r="I7" s="162">
        <v>0.28194444444444444</v>
      </c>
      <c r="J7" s="162">
        <v>0.73055555555555551</v>
      </c>
      <c r="K7" s="79">
        <v>2899</v>
      </c>
      <c r="L7" s="79">
        <v>3534</v>
      </c>
      <c r="M7" s="79">
        <v>2792</v>
      </c>
      <c r="N7" s="179">
        <v>3748</v>
      </c>
      <c r="O7" s="179">
        <v>3626</v>
      </c>
      <c r="P7" s="179">
        <v>2854</v>
      </c>
      <c r="Q7" s="179">
        <v>3671</v>
      </c>
      <c r="R7" s="179">
        <v>2793</v>
      </c>
      <c r="S7" s="179">
        <v>3328</v>
      </c>
      <c r="T7" s="179">
        <v>2807</v>
      </c>
      <c r="U7" s="79">
        <v>3653</v>
      </c>
      <c r="V7" s="79">
        <v>3639</v>
      </c>
      <c r="W7" s="79">
        <v>3653</v>
      </c>
      <c r="X7" s="79">
        <v>3639</v>
      </c>
      <c r="Y7" s="79">
        <v>3740</v>
      </c>
      <c r="Z7" s="79">
        <v>3753</v>
      </c>
      <c r="AA7" s="79">
        <v>3741</v>
      </c>
      <c r="AB7" s="79">
        <v>3663</v>
      </c>
      <c r="AC7" s="79">
        <v>3746</v>
      </c>
      <c r="AD7" s="79">
        <v>3778</v>
      </c>
      <c r="AE7" s="79"/>
      <c r="AF7" s="79"/>
      <c r="AG7" s="79"/>
      <c r="AH7" s="79"/>
      <c r="AI7" s="79"/>
      <c r="AJ7" s="79"/>
      <c r="AK7" s="79"/>
      <c r="AL7" s="79"/>
      <c r="AM7" s="80">
        <v>144003.12538000001</v>
      </c>
      <c r="AN7" s="80">
        <v>566.23703</v>
      </c>
      <c r="AO7" s="80"/>
      <c r="AP7" s="80">
        <v>2.91</v>
      </c>
      <c r="AQ7" s="82">
        <v>2.78</v>
      </c>
      <c r="AR7" s="82">
        <f>IF(RD[[#This Row],[POA(kWh/m2)_O2R6]]="",RD[[#This Row],[POA(kWh/m2)_PSEGPL]],(RD[[#This Row],[POA(kWh/m2)_PSEGPL]]*('Basic Data'!$V$2/'Basic Data'!$V$4))+(RD[[#This Row],[POA(kWh/m2)_O2R6]]*('Basic Data'!$V$3/'Basic Data'!$V$4)))</f>
        <v>2.8415893739703457</v>
      </c>
      <c r="AS7" s="82">
        <f>SUM(RD[[#This Row],[G1 Inv1]:[G5 Inv10]])</f>
        <v>32052</v>
      </c>
      <c r="AT7" s="82">
        <f>SUM(RD[[#This Row],[IS1_Inv1_M1]:[IS1_Inv2_M4]])</f>
        <v>29481</v>
      </c>
      <c r="AU7" s="82">
        <f>SUM(RD[[#This Row],[IS2_Inv1]:[IS2_Inv2]])</f>
        <v>7524</v>
      </c>
      <c r="AV7" s="80"/>
      <c r="AW7" s="83"/>
      <c r="AX7" s="80"/>
      <c r="AY7" s="80"/>
      <c r="AZ7" s="80"/>
      <c r="BA7" s="83">
        <f>IFERROR(SUM(RD[[#This Row],[PSEGPL]:[O2R10]]),"")</f>
        <v>69057</v>
      </c>
      <c r="BB7" s="80">
        <v>1323</v>
      </c>
      <c r="BC7" s="83">
        <v>204803</v>
      </c>
      <c r="BD7" s="83">
        <v>1156</v>
      </c>
      <c r="BE7" s="83">
        <v>186026</v>
      </c>
      <c r="BF7" s="83">
        <v>1594</v>
      </c>
      <c r="BG7" s="83">
        <v>207920</v>
      </c>
      <c r="BH7" s="83">
        <v>2304</v>
      </c>
      <c r="BI7" s="83">
        <v>199454</v>
      </c>
      <c r="BJ7" s="101">
        <f>IF((RD[[#This Row],[33 kV F5 Export Reading_Gss End]]-AM6)*1000&lt;0,0,(RD[[#This Row],[33 kV F5 Export Reading_Gss End]]-AM6)*1000)</f>
        <v>68717.680000001565</v>
      </c>
      <c r="BK7" s="83">
        <f>IF((RD[[#This Row],[33 kV F5 Import Reading_GSS End2]]-AN6)*1000&lt;0,0,(RD[[#This Row],[33 kV F5 Import Reading_GSS End2]]-AN6)*1000)</f>
        <v>986.53000000001612</v>
      </c>
      <c r="BL7" s="84">
        <f>RD[[#This Row],[Export  (kWh)]]-RD[[#This Row],[Import (kWh)]]</f>
        <v>67731.150000001551</v>
      </c>
      <c r="BM7" s="84">
        <f>RD[[#This Row],[Inverters Generation ( kWh)]]-RD[[#This Row],[Export  (kWh)]]</f>
        <v>339.31999999843538</v>
      </c>
      <c r="BN7">
        <f t="shared" si="6"/>
        <v>29820</v>
      </c>
      <c r="BO7">
        <f t="shared" si="4"/>
        <v>270</v>
      </c>
      <c r="BP7" s="185">
        <f t="shared" si="7"/>
        <v>45090</v>
      </c>
      <c r="BQ7" s="185">
        <f t="shared" si="5"/>
        <v>719.1</v>
      </c>
      <c r="BR7" s="185">
        <f t="shared" si="2"/>
        <v>10.766666666666666</v>
      </c>
    </row>
    <row r="8" spans="1:70" ht="15" customHeight="1" x14ac:dyDescent="0.35">
      <c r="A8" s="85">
        <f t="shared" si="3"/>
        <v>45749</v>
      </c>
      <c r="B8" s="80">
        <f>YEAR(RD[[#This Row],[Date]])+IF(MONTH(RD[[#This Row],[Date]])&gt;=4,1,0)</f>
        <v>2026</v>
      </c>
      <c r="C8" s="80">
        <f>YEAR(RD[[#This Row],[Month Year]])</f>
        <v>2025</v>
      </c>
      <c r="D8" s="99" t="s">
        <v>4</v>
      </c>
      <c r="E8" s="99" t="s">
        <v>4</v>
      </c>
      <c r="F8" s="80" t="str">
        <f t="shared" si="1"/>
        <v>Apr-25</v>
      </c>
      <c r="G8" s="79">
        <f>DAY(EOMONTH(RD[[#This Row],[Month Year]],0))</f>
        <v>30</v>
      </c>
      <c r="H8" s="100">
        <v>24.303100000000001</v>
      </c>
      <c r="I8" s="162">
        <v>0.27777777777777779</v>
      </c>
      <c r="J8" s="162">
        <v>0.73402777777777772</v>
      </c>
      <c r="K8" s="79">
        <v>2523</v>
      </c>
      <c r="L8" s="79">
        <v>2331</v>
      </c>
      <c r="M8" s="79">
        <v>2157</v>
      </c>
      <c r="N8" s="179">
        <v>2170</v>
      </c>
      <c r="O8" s="179">
        <v>2369</v>
      </c>
      <c r="P8" s="179">
        <v>2034</v>
      </c>
      <c r="Q8" s="179">
        <v>2293</v>
      </c>
      <c r="R8" s="179">
        <v>2012</v>
      </c>
      <c r="S8" s="179">
        <v>2332</v>
      </c>
      <c r="T8" s="179">
        <v>2038</v>
      </c>
      <c r="U8" s="79">
        <v>2738</v>
      </c>
      <c r="V8" s="79">
        <v>2725</v>
      </c>
      <c r="W8" s="79">
        <v>2888</v>
      </c>
      <c r="X8" s="79">
        <v>2896</v>
      </c>
      <c r="Y8" s="79">
        <v>2895</v>
      </c>
      <c r="Z8" s="79">
        <v>2817</v>
      </c>
      <c r="AA8" s="79">
        <v>2812</v>
      </c>
      <c r="AB8" s="79">
        <v>2833</v>
      </c>
      <c r="AC8" s="79">
        <v>3424</v>
      </c>
      <c r="AD8" s="79">
        <v>3691</v>
      </c>
      <c r="AE8" s="79"/>
      <c r="AF8" s="79"/>
      <c r="AG8" s="79"/>
      <c r="AH8" s="79"/>
      <c r="AI8" s="79"/>
      <c r="AJ8" s="79"/>
      <c r="AK8" s="79"/>
      <c r="AL8" s="79"/>
      <c r="AM8" s="80">
        <v>144054.63456000001</v>
      </c>
      <c r="AN8" s="80">
        <v>567.15175999999997</v>
      </c>
      <c r="AO8" s="80"/>
      <c r="AP8" s="80">
        <v>2.81</v>
      </c>
      <c r="AQ8" s="82">
        <v>2.63</v>
      </c>
      <c r="AR8" s="82">
        <f>IF(RD[[#This Row],[POA(kWh/m2)_O2R6]]="",RD[[#This Row],[POA(kWh/m2)_PSEGPL]],(RD[[#This Row],[POA(kWh/m2)_PSEGPL]]*('Basic Data'!$V$2/'Basic Data'!$V$4))+(RD[[#This Row],[POA(kWh/m2)_O2R6]]*('Basic Data'!$V$3/'Basic Data'!$V$4)))</f>
        <v>2.7152775947281711</v>
      </c>
      <c r="AS8" s="82">
        <f>SUM(RD[[#This Row],[G1 Inv1]:[G5 Inv10]])</f>
        <v>22259</v>
      </c>
      <c r="AT8" s="82">
        <f>SUM(RD[[#This Row],[IS1_Inv1_M1]:[IS1_Inv2_M4]])</f>
        <v>22604</v>
      </c>
      <c r="AU8" s="82">
        <f>SUM(RD[[#This Row],[IS2_Inv1]:[IS2_Inv2]])</f>
        <v>7115</v>
      </c>
      <c r="AV8" s="80"/>
      <c r="AW8" s="83"/>
      <c r="AX8" s="80"/>
      <c r="AY8" s="80"/>
      <c r="AZ8" s="80"/>
      <c r="BA8" s="83">
        <f>IFERROR(SUM(RD[[#This Row],[PSEGPL]:[O2R10]]),"")</f>
        <v>51978</v>
      </c>
      <c r="BB8" s="80">
        <v>1325</v>
      </c>
      <c r="BC8" s="83">
        <v>205015</v>
      </c>
      <c r="BD8" s="83">
        <v>1159</v>
      </c>
      <c r="BE8" s="83">
        <v>186217</v>
      </c>
      <c r="BF8" s="83">
        <v>1600</v>
      </c>
      <c r="BG8" s="83">
        <v>208616</v>
      </c>
      <c r="BH8" s="83">
        <v>2313</v>
      </c>
      <c r="BI8" s="83">
        <v>199697</v>
      </c>
      <c r="BJ8" s="101">
        <f>IF((RD[[#This Row],[33 kV F5 Export Reading_Gss End]]-AM7)*1000&lt;0,0,(RD[[#This Row],[33 kV F5 Export Reading_Gss End]]-AM7)*1000)</f>
        <v>51509.179999993648</v>
      </c>
      <c r="BK8" s="83">
        <f>IF((RD[[#This Row],[33 kV F5 Import Reading_GSS End2]]-AN7)*1000&lt;0,0,(RD[[#This Row],[33 kV F5 Import Reading_GSS End2]]-AN7)*1000)</f>
        <v>914.72999999996318</v>
      </c>
      <c r="BL8" s="84">
        <f>RD[[#This Row],[Export  (kWh)]]-RD[[#This Row],[Import (kWh)]]</f>
        <v>50594.449999993682</v>
      </c>
      <c r="BM8" s="84">
        <f>RD[[#This Row],[Inverters Generation ( kWh)]]-RD[[#This Row],[Export  (kWh)]]</f>
        <v>468.82000000635162</v>
      </c>
      <c r="BN8">
        <f t="shared" si="6"/>
        <v>21315</v>
      </c>
      <c r="BO8">
        <f t="shared" si="4"/>
        <v>255</v>
      </c>
      <c r="BP8" s="185">
        <f t="shared" si="7"/>
        <v>69930</v>
      </c>
      <c r="BQ8" s="185">
        <f t="shared" si="5"/>
        <v>988.2</v>
      </c>
      <c r="BR8" s="185">
        <f t="shared" si="2"/>
        <v>10.95</v>
      </c>
    </row>
    <row r="9" spans="1:70" ht="15" customHeight="1" x14ac:dyDescent="0.35">
      <c r="A9" s="85">
        <f t="shared" si="3"/>
        <v>45750</v>
      </c>
      <c r="B9" s="80">
        <f>YEAR(RD[[#This Row],[Date]])+IF(MONTH(RD[[#This Row],[Date]])&gt;=4,1,0)</f>
        <v>2026</v>
      </c>
      <c r="C9" s="80">
        <f>YEAR(RD[[#This Row],[Month Year]])</f>
        <v>2025</v>
      </c>
      <c r="D9" s="99" t="s">
        <v>4</v>
      </c>
      <c r="E9" s="99" t="s">
        <v>4</v>
      </c>
      <c r="F9" s="80" t="str">
        <f t="shared" si="1"/>
        <v>Apr-25</v>
      </c>
      <c r="G9" s="79">
        <f>DAY(EOMONTH(RD[[#This Row],[Month Year]],0))</f>
        <v>30</v>
      </c>
      <c r="H9" s="100">
        <v>24.303100000000001</v>
      </c>
      <c r="I9" s="162">
        <v>0.28194444444444444</v>
      </c>
      <c r="J9" s="162">
        <v>0.76041666666666663</v>
      </c>
      <c r="K9" s="79">
        <v>4616</v>
      </c>
      <c r="L9" s="79">
        <v>5300</v>
      </c>
      <c r="M9" s="79">
        <v>4494</v>
      </c>
      <c r="N9" s="179">
        <v>5234</v>
      </c>
      <c r="O9" s="179">
        <v>5349</v>
      </c>
      <c r="P9" s="179">
        <v>4563</v>
      </c>
      <c r="Q9" s="179">
        <v>5178</v>
      </c>
      <c r="R9" s="179">
        <v>4568</v>
      </c>
      <c r="S9" s="179">
        <v>5318</v>
      </c>
      <c r="T9" s="179">
        <v>4676</v>
      </c>
      <c r="U9" s="79">
        <v>5977.4</v>
      </c>
      <c r="V9" s="79">
        <v>5949</v>
      </c>
      <c r="W9" s="79">
        <v>6289.8</v>
      </c>
      <c r="X9" s="79">
        <v>6309</v>
      </c>
      <c r="Y9" s="79">
        <v>6296</v>
      </c>
      <c r="Z9" s="79">
        <v>6165</v>
      </c>
      <c r="AA9" s="79">
        <v>6125</v>
      </c>
      <c r="AB9" s="79">
        <v>6181</v>
      </c>
      <c r="AC9" s="79">
        <v>7435</v>
      </c>
      <c r="AD9" s="79">
        <v>7926</v>
      </c>
      <c r="AE9" s="79"/>
      <c r="AF9" s="79"/>
      <c r="AG9" s="79"/>
      <c r="AH9" s="79"/>
      <c r="AI9" s="79"/>
      <c r="AJ9" s="79"/>
      <c r="AK9" s="79"/>
      <c r="AL9" s="79"/>
      <c r="AM9" s="80">
        <v>144167.62179999999</v>
      </c>
      <c r="AN9" s="80">
        <v>567.96978999999999</v>
      </c>
      <c r="AO9" s="80"/>
      <c r="AP9" s="80">
        <v>6.1</v>
      </c>
      <c r="AQ9" s="82">
        <v>6.1</v>
      </c>
      <c r="AR9" s="82">
        <f>IF(RD[[#This Row],[POA(kWh/m2)_O2R6]]="",RD[[#This Row],[POA(kWh/m2)_PSEGPL]],(RD[[#This Row],[POA(kWh/m2)_PSEGPL]]*('Basic Data'!$V$2/'Basic Data'!$V$4))+(RD[[#This Row],[POA(kWh/m2)_O2R6]]*('Basic Data'!$V$3/'Basic Data'!$V$4)))</f>
        <v>6.1</v>
      </c>
      <c r="AS9" s="82">
        <f>SUM(RD[[#This Row],[G1 Inv1]:[G5 Inv10]])</f>
        <v>49296</v>
      </c>
      <c r="AT9" s="82">
        <f>SUM(RD[[#This Row],[IS1_Inv1_M1]:[IS1_Inv2_M4]])</f>
        <v>49292.2</v>
      </c>
      <c r="AU9" s="82">
        <f>SUM(RD[[#This Row],[IS2_Inv1]:[IS2_Inv2]])</f>
        <v>15361</v>
      </c>
      <c r="AV9" s="80"/>
      <c r="AW9" s="83"/>
      <c r="AX9" s="80"/>
      <c r="AY9" s="80"/>
      <c r="AZ9" s="80"/>
      <c r="BA9" s="83">
        <f>IFERROR(SUM(RD[[#This Row],[PSEGPL]:[O2R10]]),"")</f>
        <v>113949.2</v>
      </c>
      <c r="BB9" s="80">
        <v>1327</v>
      </c>
      <c r="BC9" s="83">
        <v>205505</v>
      </c>
      <c r="BD9" s="83">
        <v>1161</v>
      </c>
      <c r="BE9" s="83">
        <v>186652</v>
      </c>
      <c r="BF9" s="83">
        <v>1604</v>
      </c>
      <c r="BG9" s="83">
        <v>209266</v>
      </c>
      <c r="BH9" s="83">
        <v>2322</v>
      </c>
      <c r="BI9" s="83">
        <v>199980</v>
      </c>
      <c r="BJ9" s="101">
        <f>IF((RD[[#This Row],[33 kV F5 Export Reading_Gss End]]-AM8)*1000&lt;0,0,(RD[[#This Row],[33 kV F5 Export Reading_Gss End]]-AM8)*1000)</f>
        <v>112987.23999998765</v>
      </c>
      <c r="BK9" s="83">
        <f>IF((RD[[#This Row],[33 kV F5 Import Reading_GSS End2]]-AN8)*1000&lt;0,0,(RD[[#This Row],[33 kV F5 Import Reading_GSS End2]]-AN8)*1000)</f>
        <v>818.03000000002157</v>
      </c>
      <c r="BL9" s="84">
        <f>RD[[#This Row],[Export  (kWh)]]-RD[[#This Row],[Import (kWh)]]</f>
        <v>112169.20999998762</v>
      </c>
      <c r="BM9" s="84">
        <f>RD[[#This Row],[Inverters Generation ( kWh)]]-RD[[#This Row],[Export  (kWh)]]</f>
        <v>961.96000001234643</v>
      </c>
      <c r="BN9">
        <f t="shared" si="6"/>
        <v>48975</v>
      </c>
      <c r="BO9">
        <f t="shared" si="4"/>
        <v>210</v>
      </c>
      <c r="BP9" s="185">
        <f t="shared" si="7"/>
        <v>66990</v>
      </c>
      <c r="BQ9" s="185">
        <f t="shared" si="5"/>
        <v>748.8</v>
      </c>
      <c r="BR9" s="185">
        <f t="shared" si="2"/>
        <v>11.483333333333333</v>
      </c>
    </row>
    <row r="10" spans="1:70" ht="15" customHeight="1" x14ac:dyDescent="0.35">
      <c r="A10" s="85">
        <f t="shared" si="3"/>
        <v>45751</v>
      </c>
      <c r="B10" s="80">
        <f>YEAR(RD[[#This Row],[Date]])+IF(MONTH(RD[[#This Row],[Date]])&gt;=4,1,0)</f>
        <v>2026</v>
      </c>
      <c r="C10" s="80">
        <f>YEAR(RD[[#This Row],[Month Year]])</f>
        <v>2025</v>
      </c>
      <c r="D10" s="99" t="s">
        <v>4</v>
      </c>
      <c r="E10" s="99" t="s">
        <v>4</v>
      </c>
      <c r="F10" s="80" t="str">
        <f t="shared" si="1"/>
        <v>Apr-25</v>
      </c>
      <c r="G10" s="79">
        <f>DAY(EOMONTH(RD[[#This Row],[Month Year]],0))</f>
        <v>30</v>
      </c>
      <c r="H10" s="100">
        <v>24.303100000000001</v>
      </c>
      <c r="I10" s="162">
        <v>0.27638888888888891</v>
      </c>
      <c r="J10" s="162">
        <v>0.76666666666666672</v>
      </c>
      <c r="K10" s="79">
        <v>5142</v>
      </c>
      <c r="L10" s="79">
        <v>5903</v>
      </c>
      <c r="M10" s="79">
        <v>5030</v>
      </c>
      <c r="N10" s="179">
        <v>5861</v>
      </c>
      <c r="O10" s="179">
        <v>5998</v>
      </c>
      <c r="P10" s="179">
        <v>5121</v>
      </c>
      <c r="Q10" s="179">
        <v>5714</v>
      </c>
      <c r="R10" s="179">
        <v>5111</v>
      </c>
      <c r="S10" s="179">
        <v>5920</v>
      </c>
      <c r="T10" s="179">
        <v>5203</v>
      </c>
      <c r="U10" s="79">
        <v>6582.9</v>
      </c>
      <c r="V10" s="79">
        <v>6555.1</v>
      </c>
      <c r="W10" s="79">
        <v>6922</v>
      </c>
      <c r="X10" s="79">
        <v>6938.1</v>
      </c>
      <c r="Y10" s="79">
        <v>6930</v>
      </c>
      <c r="Z10" s="79">
        <v>6799.6</v>
      </c>
      <c r="AA10" s="79">
        <v>6759.4</v>
      </c>
      <c r="AB10" s="79">
        <v>6816.3</v>
      </c>
      <c r="AC10" s="79">
        <v>8177.3</v>
      </c>
      <c r="AD10" s="79">
        <v>8635.7999999999993</v>
      </c>
      <c r="AE10" s="79"/>
      <c r="AF10" s="79"/>
      <c r="AG10" s="79"/>
      <c r="AH10" s="79"/>
      <c r="AI10" s="79"/>
      <c r="AJ10" s="79"/>
      <c r="AK10" s="79"/>
      <c r="AL10" s="79"/>
      <c r="AM10" s="80">
        <v>144292.56239000001</v>
      </c>
      <c r="AN10" s="80">
        <v>568.95137999999997</v>
      </c>
      <c r="AO10" s="80"/>
      <c r="AP10" s="80">
        <v>6.66</v>
      </c>
      <c r="AQ10" s="82">
        <v>6.62</v>
      </c>
      <c r="AR10" s="82">
        <f>IF(RD[[#This Row],[POA(kWh/m2)_O2R6]]="",RD[[#This Row],[POA(kWh/m2)_PSEGPL]],(RD[[#This Row],[POA(kWh/m2)_PSEGPL]]*('Basic Data'!$V$2/'Basic Data'!$V$4))+(RD[[#This Row],[POA(kWh/m2)_O2R6]]*('Basic Data'!$V$3/'Basic Data'!$V$4)))</f>
        <v>6.63895057660626</v>
      </c>
      <c r="AS10" s="82">
        <f>SUM(RD[[#This Row],[G1 Inv1]:[G5 Inv10]])</f>
        <v>55003</v>
      </c>
      <c r="AT10" s="82">
        <f>SUM(RD[[#This Row],[IS1_Inv1_M1]:[IS1_Inv2_M4]])</f>
        <v>54303.4</v>
      </c>
      <c r="AU10" s="82">
        <f>SUM(RD[[#This Row],[IS2_Inv1]:[IS2_Inv2]])</f>
        <v>16813.099999999999</v>
      </c>
      <c r="AV10" s="80"/>
      <c r="AW10" s="83"/>
      <c r="AX10" s="80"/>
      <c r="AY10" s="80"/>
      <c r="AZ10" s="80"/>
      <c r="BA10" s="83">
        <f>IFERROR(SUM(RD[[#This Row],[PSEGPL]:[O2R10]]),"")</f>
        <v>126119.5</v>
      </c>
      <c r="BB10" s="80">
        <v>1330</v>
      </c>
      <c r="BC10" s="83">
        <v>206053</v>
      </c>
      <c r="BD10" s="83">
        <v>1163</v>
      </c>
      <c r="BE10" s="83">
        <v>187137</v>
      </c>
      <c r="BF10" s="83">
        <v>1608</v>
      </c>
      <c r="BG10" s="83">
        <v>209721</v>
      </c>
      <c r="BH10" s="83">
        <v>2330</v>
      </c>
      <c r="BI10" s="83">
        <v>200711</v>
      </c>
      <c r="BJ10" s="101">
        <f>IF((RD[[#This Row],[33 kV F5 Export Reading_Gss End]]-AM9)*1000&lt;0,0,(RD[[#This Row],[33 kV F5 Export Reading_Gss End]]-AM9)*1000)</f>
        <v>124940.59000001289</v>
      </c>
      <c r="BK10" s="83">
        <f>IF((RD[[#This Row],[33 kV F5 Import Reading_GSS End2]]-AN9)*1000&lt;0,0,(RD[[#This Row],[33 kV F5 Import Reading_GSS End2]]-AN9)*1000)</f>
        <v>981.58999999998287</v>
      </c>
      <c r="BL10" s="84">
        <f>RD[[#This Row],[Export  (kWh)]]-RD[[#This Row],[Import (kWh)]]</f>
        <v>123959.00000001291</v>
      </c>
      <c r="BM10" s="84">
        <f>RD[[#This Row],[Inverters Generation ( kWh)]]-RD[[#This Row],[Export  (kWh)]]</f>
        <v>1178.9099999871105</v>
      </c>
      <c r="BN10">
        <f t="shared" si="6"/>
        <v>54705</v>
      </c>
      <c r="BO10">
        <f t="shared" si="4"/>
        <v>270</v>
      </c>
      <c r="BP10" s="185">
        <f t="shared" si="7"/>
        <v>62880</v>
      </c>
      <c r="BQ10" s="185">
        <f t="shared" si="5"/>
        <v>718.8</v>
      </c>
      <c r="BR10" s="185">
        <f t="shared" si="2"/>
        <v>11.766666666666667</v>
      </c>
    </row>
    <row r="11" spans="1:70" ht="15" customHeight="1" x14ac:dyDescent="0.35">
      <c r="A11" s="85">
        <f t="shared" ref="A11:A74" si="8">A10+1</f>
        <v>45752</v>
      </c>
      <c r="B11" s="80">
        <f>YEAR(RD[[#This Row],[Date]])+IF(MONTH(RD[[#This Row],[Date]])&gt;=4,1,0)</f>
        <v>2026</v>
      </c>
      <c r="C11" s="80">
        <f>YEAR(RD[[#This Row],[Month Year]])</f>
        <v>2025</v>
      </c>
      <c r="D11" s="99" t="s">
        <v>4</v>
      </c>
      <c r="E11" s="99" t="s">
        <v>4</v>
      </c>
      <c r="F11" s="80" t="str">
        <f t="shared" si="1"/>
        <v>Apr-25</v>
      </c>
      <c r="G11" s="79">
        <f>DAY(EOMONTH(RD[[#This Row],[Month Year]],0))</f>
        <v>30</v>
      </c>
      <c r="H11" s="100">
        <v>24.303100000000001</v>
      </c>
      <c r="I11" s="162">
        <v>0.27569444444444446</v>
      </c>
      <c r="J11" s="162">
        <v>0.76527777777777772</v>
      </c>
      <c r="K11" s="79">
        <v>5139</v>
      </c>
      <c r="L11" s="79">
        <v>5899</v>
      </c>
      <c r="M11" s="79">
        <v>5028</v>
      </c>
      <c r="N11" s="179">
        <v>5855</v>
      </c>
      <c r="O11" s="179">
        <v>5980</v>
      </c>
      <c r="P11" s="179">
        <v>5102</v>
      </c>
      <c r="Q11" s="179">
        <v>5769</v>
      </c>
      <c r="R11" s="179">
        <v>5097</v>
      </c>
      <c r="S11" s="179">
        <v>5900</v>
      </c>
      <c r="T11" s="179">
        <v>5195</v>
      </c>
      <c r="U11" s="79">
        <v>6636</v>
      </c>
      <c r="V11" s="79">
        <v>6606</v>
      </c>
      <c r="W11" s="79">
        <v>6976</v>
      </c>
      <c r="X11" s="79">
        <v>6993</v>
      </c>
      <c r="Y11" s="79">
        <v>6987</v>
      </c>
      <c r="Z11" s="79">
        <v>6858</v>
      </c>
      <c r="AA11" s="79">
        <v>6818</v>
      </c>
      <c r="AB11" s="79">
        <v>6878</v>
      </c>
      <c r="AC11" s="79">
        <v>8221</v>
      </c>
      <c r="AD11" s="79">
        <v>8634</v>
      </c>
      <c r="AE11" s="79"/>
      <c r="AF11" s="79"/>
      <c r="AG11" s="79"/>
      <c r="AH11" s="79"/>
      <c r="AI11" s="79"/>
      <c r="AJ11" s="79"/>
      <c r="AK11" s="79"/>
      <c r="AL11" s="79"/>
      <c r="AM11" s="80">
        <v>144417.86345999999</v>
      </c>
      <c r="AN11" s="80">
        <v>569.77166</v>
      </c>
      <c r="AO11" s="80"/>
      <c r="AP11" s="80">
        <v>6.78</v>
      </c>
      <c r="AQ11" s="82">
        <v>6.75</v>
      </c>
      <c r="AR11" s="82">
        <f>IF(RD[[#This Row],[POA(kWh/m2)_O2R6]]="",RD[[#This Row],[POA(kWh/m2)_PSEGPL]],(RD[[#This Row],[POA(kWh/m2)_PSEGPL]]*('Basic Data'!$V$2/'Basic Data'!$V$4))+(RD[[#This Row],[POA(kWh/m2)_O2R6]]*('Basic Data'!$V$3/'Basic Data'!$V$4)))</f>
        <v>6.7642129324546953</v>
      </c>
      <c r="AS11" s="82">
        <f>SUM(RD[[#This Row],[G1 Inv1]:[G5 Inv10]])</f>
        <v>54964</v>
      </c>
      <c r="AT11" s="82">
        <f>SUM(RD[[#This Row],[IS1_Inv1_M1]:[IS1_Inv2_M4]])</f>
        <v>54752</v>
      </c>
      <c r="AU11" s="82">
        <f>SUM(RD[[#This Row],[IS2_Inv1]:[IS2_Inv2]])</f>
        <v>16855</v>
      </c>
      <c r="AV11" s="80"/>
      <c r="AW11" s="83"/>
      <c r="AX11" s="80"/>
      <c r="AY11" s="80"/>
      <c r="AZ11" s="80"/>
      <c r="BA11" s="83">
        <f>IFERROR(SUM(RD[[#This Row],[PSEGPL]:[O2R10]]),"")</f>
        <v>126571</v>
      </c>
      <c r="BB11" s="80">
        <v>1333</v>
      </c>
      <c r="BC11" s="83">
        <v>206600</v>
      </c>
      <c r="BD11" s="83">
        <v>1166</v>
      </c>
      <c r="BE11" s="83">
        <v>187620</v>
      </c>
      <c r="BF11" s="83">
        <v>1612</v>
      </c>
      <c r="BG11" s="83">
        <v>210125</v>
      </c>
      <c r="BH11" s="80">
        <v>2338</v>
      </c>
      <c r="BI11" s="83">
        <v>201334</v>
      </c>
      <c r="BJ11" s="101">
        <f>IF((RD[[#This Row],[33 kV F5 Export Reading_Gss End]]-AM10)*1000&lt;0,0,(RD[[#This Row],[33 kV F5 Export Reading_Gss End]]-AM10)*1000)</f>
        <v>125301.06999998679</v>
      </c>
      <c r="BK11" s="83">
        <f>IF((RD[[#This Row],[33 kV F5 Import Reading_GSS End2]]-AN10)*1000&lt;0,0,(RD[[#This Row],[33 kV F5 Import Reading_GSS End2]]-AN10)*1000)</f>
        <v>820.28000000002521</v>
      </c>
      <c r="BL11" s="84">
        <f>RD[[#This Row],[Export  (kWh)]]-RD[[#This Row],[Import (kWh)]]</f>
        <v>124480.78999998677</v>
      </c>
      <c r="BM11" s="84">
        <f>RD[[#This Row],[Inverters Generation ( kWh)]]-RD[[#This Row],[Export  (kWh)]]</f>
        <v>1269.9300000132062</v>
      </c>
      <c r="BN11">
        <f t="shared" si="6"/>
        <v>54555</v>
      </c>
      <c r="BO11">
        <f t="shared" si="4"/>
        <v>315</v>
      </c>
      <c r="BP11" s="185">
        <f t="shared" si="7"/>
        <v>55050</v>
      </c>
      <c r="BQ11" s="185">
        <f t="shared" si="5"/>
        <v>718.8</v>
      </c>
      <c r="BR11" s="185">
        <f t="shared" si="2"/>
        <v>11.749999999999998</v>
      </c>
    </row>
    <row r="12" spans="1:70" ht="15" customHeight="1" x14ac:dyDescent="0.35">
      <c r="A12" s="85">
        <f t="shared" si="8"/>
        <v>45753</v>
      </c>
      <c r="B12" s="80">
        <f>YEAR(RD[[#This Row],[Date]])+IF(MONTH(RD[[#This Row],[Date]])&gt;=4,1,0)</f>
        <v>2026</v>
      </c>
      <c r="C12" s="80">
        <f>YEAR(RD[[#This Row],[Month Year]])</f>
        <v>2025</v>
      </c>
      <c r="D12" s="99" t="s">
        <v>4</v>
      </c>
      <c r="E12" s="99" t="s">
        <v>4</v>
      </c>
      <c r="F12" s="80" t="str">
        <f t="shared" si="1"/>
        <v>Apr-25</v>
      </c>
      <c r="G12" s="79">
        <f>DAY(EOMONTH(RD[[#This Row],[Month Year]],0))</f>
        <v>30</v>
      </c>
      <c r="H12" s="100">
        <v>24.303100000000001</v>
      </c>
      <c r="I12" s="162">
        <v>0.27500000000000002</v>
      </c>
      <c r="J12" s="162">
        <v>0.76666666666666672</v>
      </c>
      <c r="K12" s="79">
        <v>5249</v>
      </c>
      <c r="L12" s="79">
        <v>6032</v>
      </c>
      <c r="M12" s="79">
        <v>5141</v>
      </c>
      <c r="N12" s="179">
        <v>5986</v>
      </c>
      <c r="O12" s="179">
        <v>6121</v>
      </c>
      <c r="P12" s="179">
        <v>5224</v>
      </c>
      <c r="Q12" s="179">
        <v>5926</v>
      </c>
      <c r="R12" s="179">
        <v>5209</v>
      </c>
      <c r="S12" s="179">
        <v>6001</v>
      </c>
      <c r="T12" s="179">
        <v>5308</v>
      </c>
      <c r="U12" s="79">
        <v>6760</v>
      </c>
      <c r="V12" s="79">
        <v>6735</v>
      </c>
      <c r="W12" s="79">
        <v>7109</v>
      </c>
      <c r="X12" s="79">
        <v>7130</v>
      </c>
      <c r="Y12" s="79">
        <v>7122</v>
      </c>
      <c r="Z12" s="79">
        <v>6994</v>
      </c>
      <c r="AA12" s="79">
        <v>6948</v>
      </c>
      <c r="AB12" s="79">
        <v>7006</v>
      </c>
      <c r="AC12" s="79">
        <v>8393</v>
      </c>
      <c r="AD12" s="79">
        <v>8709</v>
      </c>
      <c r="AE12" s="79"/>
      <c r="AF12" s="79"/>
      <c r="AG12" s="79"/>
      <c r="AH12" s="79"/>
      <c r="AI12" s="79"/>
      <c r="AJ12" s="79"/>
      <c r="AK12" s="79"/>
      <c r="AL12" s="79"/>
      <c r="AM12" s="80">
        <v>144545.46549</v>
      </c>
      <c r="AN12" s="80">
        <v>570.42953999999997</v>
      </c>
      <c r="AO12" s="80"/>
      <c r="AP12" s="80">
        <v>6.9180000000000001</v>
      </c>
      <c r="AQ12" s="82">
        <v>6.9809999999999999</v>
      </c>
      <c r="AR12" s="82">
        <f>IF(RD[[#This Row],[POA(kWh/m2)_O2R6]]="",RD[[#This Row],[POA(kWh/m2)_PSEGPL]],(RD[[#This Row],[POA(kWh/m2)_PSEGPL]]*('Basic Data'!$V$2/'Basic Data'!$V$4))+(RD[[#This Row],[POA(kWh/m2)_O2R6]]*('Basic Data'!$V$3/'Basic Data'!$V$4)))</f>
        <v>6.9511528418451398</v>
      </c>
      <c r="AS12" s="82">
        <f>SUM(RD[[#This Row],[G1 Inv1]:[G5 Inv10]])</f>
        <v>56197</v>
      </c>
      <c r="AT12" s="82">
        <f>SUM(RD[[#This Row],[IS1_Inv1_M1]:[IS1_Inv2_M4]])</f>
        <v>55804</v>
      </c>
      <c r="AU12" s="82">
        <f>SUM(RD[[#This Row],[IS2_Inv1]:[IS2_Inv2]])</f>
        <v>17102</v>
      </c>
      <c r="AV12" s="80"/>
      <c r="AW12" s="83"/>
      <c r="AX12" s="80"/>
      <c r="AY12" s="80"/>
      <c r="AZ12" s="80"/>
      <c r="BA12" s="83">
        <f>IFERROR(SUM(RD[[#This Row],[PSEGPL]:[O2R10]]),"")</f>
        <v>129103</v>
      </c>
      <c r="BB12" s="80">
        <v>1335</v>
      </c>
      <c r="BC12" s="83">
        <v>207159</v>
      </c>
      <c r="BD12" s="83">
        <v>1167</v>
      </c>
      <c r="BE12" s="83">
        <v>188114</v>
      </c>
      <c r="BF12" s="83">
        <v>1616</v>
      </c>
      <c r="BG12" s="83">
        <v>210502</v>
      </c>
      <c r="BH12" s="83">
        <v>2346</v>
      </c>
      <c r="BI12" s="83">
        <v>201905</v>
      </c>
      <c r="BJ12" s="101">
        <f>IF((RD[[#This Row],[33 kV F5 Export Reading_Gss End]]-AM11)*1000&lt;0,0,(RD[[#This Row],[33 kV F5 Export Reading_Gss End]]-AM11)*1000)</f>
        <v>127602.03000000911</v>
      </c>
      <c r="BK12" s="83">
        <f>IF((RD[[#This Row],[33 kV F5 Import Reading_GSS End2]]-AN11)*1000&lt;0,0,(RD[[#This Row],[33 kV F5 Import Reading_GSS End2]]-AN11)*1000)</f>
        <v>657.87999999997737</v>
      </c>
      <c r="BL12" s="84">
        <f>RD[[#This Row],[Export  (kWh)]]-RD[[#This Row],[Import (kWh)]]</f>
        <v>126944.15000000913</v>
      </c>
      <c r="BM12" s="84">
        <f>RD[[#This Row],[Inverters Generation ( kWh)]]-RD[[#This Row],[Export  (kWh)]]</f>
        <v>1500.9699999908917</v>
      </c>
      <c r="BN12">
        <f t="shared" si="6"/>
        <v>55770</v>
      </c>
      <c r="BO12">
        <f t="shared" si="4"/>
        <v>165</v>
      </c>
      <c r="BP12" s="185">
        <f t="shared" si="7"/>
        <v>51060</v>
      </c>
      <c r="BQ12" s="185">
        <f t="shared" si="5"/>
        <v>718.8</v>
      </c>
      <c r="BR12" s="185">
        <f t="shared" si="2"/>
        <v>11.8</v>
      </c>
    </row>
    <row r="13" spans="1:70" ht="15" customHeight="1" x14ac:dyDescent="0.35">
      <c r="A13" s="85">
        <f t="shared" si="8"/>
        <v>45754</v>
      </c>
      <c r="B13" s="80">
        <f>YEAR(RD[[#This Row],[Date]])+IF(MONTH(RD[[#This Row],[Date]])&gt;=4,1,0)</f>
        <v>2026</v>
      </c>
      <c r="C13" s="80">
        <f>YEAR(RD[[#This Row],[Month Year]])</f>
        <v>2025</v>
      </c>
      <c r="D13" s="99" t="s">
        <v>4</v>
      </c>
      <c r="E13" s="99" t="s">
        <v>4</v>
      </c>
      <c r="F13" s="80" t="str">
        <f t="shared" si="1"/>
        <v>Apr-25</v>
      </c>
      <c r="G13" s="79">
        <f>DAY(EOMONTH(RD[[#This Row],[Month Year]],0))</f>
        <v>30</v>
      </c>
      <c r="H13" s="100">
        <v>24.303100000000001</v>
      </c>
      <c r="I13" s="162">
        <v>0.27361111111111114</v>
      </c>
      <c r="J13" s="162">
        <v>0.76875000000000004</v>
      </c>
      <c r="K13" s="79">
        <v>5242</v>
      </c>
      <c r="L13" s="79">
        <v>6003</v>
      </c>
      <c r="M13" s="79">
        <v>5122</v>
      </c>
      <c r="N13" s="179">
        <v>5933</v>
      </c>
      <c r="O13" s="179">
        <v>6094</v>
      </c>
      <c r="P13" s="179">
        <v>5202</v>
      </c>
      <c r="Q13" s="179">
        <v>5898</v>
      </c>
      <c r="R13" s="179">
        <v>5192</v>
      </c>
      <c r="S13" s="179">
        <v>5981</v>
      </c>
      <c r="T13" s="179">
        <v>5293</v>
      </c>
      <c r="U13" s="79">
        <v>6774</v>
      </c>
      <c r="V13" s="79">
        <v>6765</v>
      </c>
      <c r="W13" s="79">
        <v>7140</v>
      </c>
      <c r="X13" s="79">
        <v>7192</v>
      </c>
      <c r="Y13" s="79">
        <v>7146</v>
      </c>
      <c r="Z13" s="79">
        <v>7019</v>
      </c>
      <c r="AA13" s="79">
        <v>6937</v>
      </c>
      <c r="AB13" s="79">
        <v>7027</v>
      </c>
      <c r="AC13" s="79">
        <v>8333</v>
      </c>
      <c r="AD13" s="79">
        <v>8690</v>
      </c>
      <c r="AE13" s="79"/>
      <c r="AF13" s="79"/>
      <c r="AG13" s="79"/>
      <c r="AH13" s="79"/>
      <c r="AI13" s="79"/>
      <c r="AJ13" s="79"/>
      <c r="AK13" s="79"/>
      <c r="AL13" s="79"/>
      <c r="AM13" s="80">
        <v>144672.98361</v>
      </c>
      <c r="AN13" s="80">
        <v>571.54549999999995</v>
      </c>
      <c r="AO13" s="80"/>
      <c r="AP13" s="80">
        <v>6.9960000000000004</v>
      </c>
      <c r="AQ13" s="82">
        <v>7</v>
      </c>
      <c r="AR13" s="82">
        <f>IF(RD[[#This Row],[POA(kWh/m2)_O2R6]]="",RD[[#This Row],[POA(kWh/m2)_PSEGPL]],(RD[[#This Row],[POA(kWh/m2)_PSEGPL]]*('Basic Data'!$V$2/'Basic Data'!$V$4))+(RD[[#This Row],[POA(kWh/m2)_O2R6]]*('Basic Data'!$V$3/'Basic Data'!$V$4)))</f>
        <v>6.9981049423393742</v>
      </c>
      <c r="AS13" s="82">
        <f>SUM(RD[[#This Row],[G1 Inv1]:[G5 Inv10]])</f>
        <v>55960</v>
      </c>
      <c r="AT13" s="82">
        <f>SUM(RD[[#This Row],[IS1_Inv1_M1]:[IS1_Inv2_M4]])</f>
        <v>56000</v>
      </c>
      <c r="AU13" s="82">
        <f>SUM(RD[[#This Row],[IS2_Inv1]:[IS2_Inv2]])</f>
        <v>17023</v>
      </c>
      <c r="AV13" s="80"/>
      <c r="AW13" s="83"/>
      <c r="AX13" s="80"/>
      <c r="AY13" s="80"/>
      <c r="AZ13" s="80"/>
      <c r="BA13" s="83">
        <f>IFERROR(SUM(RD[[#This Row],[PSEGPL]:[O2R10]]),"")</f>
        <v>128983</v>
      </c>
      <c r="BB13" s="80">
        <v>1337</v>
      </c>
      <c r="BC13" s="83">
        <v>207715</v>
      </c>
      <c r="BD13" s="83">
        <v>1169</v>
      </c>
      <c r="BE13" s="83">
        <v>188605</v>
      </c>
      <c r="BF13" s="83">
        <v>1619</v>
      </c>
      <c r="BG13" s="83">
        <v>211125</v>
      </c>
      <c r="BH13" s="83">
        <v>2354</v>
      </c>
      <c r="BI13" s="83">
        <v>202472</v>
      </c>
      <c r="BJ13" s="101">
        <f>IF((RD[[#This Row],[33 kV F5 Export Reading_Gss End]]-AM12)*1000&lt;0,0,(RD[[#This Row],[33 kV F5 Export Reading_Gss End]]-AM12)*1000)</f>
        <v>127518.11999999336</v>
      </c>
      <c r="BK13" s="83">
        <f>IF((RD[[#This Row],[33 kV F5 Import Reading_GSS End2]]-AN12)*1000&lt;0,0,(RD[[#This Row],[33 kV F5 Import Reading_GSS End2]]-AN12)*1000)</f>
        <v>1115.9599999999728</v>
      </c>
      <c r="BL13" s="84">
        <f>RD[[#This Row],[Export  (kWh)]]-RD[[#This Row],[Import (kWh)]]</f>
        <v>126402.15999999338</v>
      </c>
      <c r="BM13" s="84">
        <f>RD[[#This Row],[Inverters Generation ( kWh)]]-RD[[#This Row],[Export  (kWh)]]</f>
        <v>1464.8800000066403</v>
      </c>
      <c r="BN13">
        <f t="shared" si="6"/>
        <v>55455</v>
      </c>
      <c r="BO13">
        <f t="shared" si="4"/>
        <v>210</v>
      </c>
      <c r="BP13" s="185">
        <f t="shared" si="7"/>
        <v>73080</v>
      </c>
      <c r="BQ13" s="185">
        <f t="shared" si="5"/>
        <v>599.1</v>
      </c>
      <c r="BR13" s="185">
        <f t="shared" si="2"/>
        <v>11.883333333333333</v>
      </c>
    </row>
    <row r="14" spans="1:70" ht="15" customHeight="1" x14ac:dyDescent="0.35">
      <c r="A14" s="85">
        <f t="shared" si="8"/>
        <v>45755</v>
      </c>
      <c r="B14" s="80">
        <f>YEAR(RD[[#This Row],[Date]])+IF(MONTH(RD[[#This Row],[Date]])&gt;=4,1,0)</f>
        <v>2026</v>
      </c>
      <c r="C14" s="80">
        <f>YEAR(RD[[#This Row],[Month Year]])</f>
        <v>2025</v>
      </c>
      <c r="D14" s="99" t="s">
        <v>4</v>
      </c>
      <c r="E14" s="99" t="s">
        <v>4</v>
      </c>
      <c r="F14" s="80" t="str">
        <f t="shared" si="1"/>
        <v>Apr-25</v>
      </c>
      <c r="G14" s="79">
        <f>DAY(EOMONTH(RD[[#This Row],[Month Year]],0))</f>
        <v>30</v>
      </c>
      <c r="H14" s="100">
        <v>24.303100000000001</v>
      </c>
      <c r="I14" s="162">
        <v>0.27430555555555558</v>
      </c>
      <c r="J14" s="162">
        <v>0.76944444444444449</v>
      </c>
      <c r="K14" s="79">
        <v>5138</v>
      </c>
      <c r="L14" s="79">
        <v>5894</v>
      </c>
      <c r="M14" s="79">
        <v>5025</v>
      </c>
      <c r="N14" s="179">
        <v>5821</v>
      </c>
      <c r="O14" s="179">
        <v>5980</v>
      </c>
      <c r="P14" s="179">
        <v>5114</v>
      </c>
      <c r="Q14" s="179">
        <v>5785</v>
      </c>
      <c r="R14" s="179">
        <v>5094</v>
      </c>
      <c r="S14" s="179">
        <v>5872</v>
      </c>
      <c r="T14" s="179">
        <v>5189</v>
      </c>
      <c r="U14" s="79">
        <v>6651</v>
      </c>
      <c r="V14" s="79">
        <v>6647</v>
      </c>
      <c r="W14" s="79">
        <v>7003</v>
      </c>
      <c r="X14" s="79">
        <v>7056</v>
      </c>
      <c r="Y14" s="79">
        <v>6992</v>
      </c>
      <c r="Z14" s="79">
        <v>6881</v>
      </c>
      <c r="AA14" s="79">
        <v>6827</v>
      </c>
      <c r="AB14" s="79">
        <v>6905</v>
      </c>
      <c r="AC14" s="79">
        <v>8283</v>
      </c>
      <c r="AD14" s="79">
        <v>8679</v>
      </c>
      <c r="AE14" s="79"/>
      <c r="AF14" s="79"/>
      <c r="AG14" s="79"/>
      <c r="AH14" s="79"/>
      <c r="AI14" s="79"/>
      <c r="AJ14" s="79"/>
      <c r="AK14" s="79"/>
      <c r="AL14" s="79"/>
      <c r="AM14" s="80">
        <v>144798.37163000001</v>
      </c>
      <c r="AN14" s="80">
        <v>572.58164999999997</v>
      </c>
      <c r="AO14" s="80"/>
      <c r="AP14" s="80">
        <v>6.91</v>
      </c>
      <c r="AQ14" s="82">
        <v>6.75</v>
      </c>
      <c r="AR14" s="82">
        <f>IF(RD[[#This Row],[POA(kWh/m2)_O2R6]]="",RD[[#This Row],[POA(kWh/m2)_PSEGPL]],(RD[[#This Row],[POA(kWh/m2)_PSEGPL]]*('Basic Data'!$V$2/'Basic Data'!$V$4))+(RD[[#This Row],[POA(kWh/m2)_O2R6]]*('Basic Data'!$V$3/'Basic Data'!$V$4)))</f>
        <v>6.8258023064250413</v>
      </c>
      <c r="AS14" s="82">
        <f>SUM(RD[[#This Row],[G1 Inv1]:[G5 Inv10]])</f>
        <v>54912</v>
      </c>
      <c r="AT14" s="82">
        <f>SUM(RD[[#This Row],[IS1_Inv1_M1]:[IS1_Inv2_M4]])</f>
        <v>54962</v>
      </c>
      <c r="AU14" s="82">
        <f>SUM(RD[[#This Row],[IS2_Inv1]:[IS2_Inv2]])</f>
        <v>16962</v>
      </c>
      <c r="AV14" s="80"/>
      <c r="AW14" s="83"/>
      <c r="AX14" s="80"/>
      <c r="AY14" s="80"/>
      <c r="AZ14" s="80"/>
      <c r="BA14" s="83">
        <f>IFERROR(SUM(RD[[#This Row],[PSEGPL]:[O2R10]]),"")</f>
        <v>126836</v>
      </c>
      <c r="BB14" s="80">
        <v>1340</v>
      </c>
      <c r="BC14" s="83">
        <v>208261</v>
      </c>
      <c r="BD14" s="83">
        <v>1171</v>
      </c>
      <c r="BE14" s="83">
        <v>189088</v>
      </c>
      <c r="BF14" s="83">
        <v>1623</v>
      </c>
      <c r="BG14" s="83">
        <v>211737</v>
      </c>
      <c r="BH14" s="83">
        <v>2363</v>
      </c>
      <c r="BI14" s="83">
        <v>203038</v>
      </c>
      <c r="BJ14" s="101">
        <f>IF((RD[[#This Row],[33 kV F5 Export Reading_Gss End]]-AM13)*1000&lt;0,0,(RD[[#This Row],[33 kV F5 Export Reading_Gss End]]-AM13)*1000)</f>
        <v>125388.02000001306</v>
      </c>
      <c r="BK14" s="83">
        <f>IF((RD[[#This Row],[33 kV F5 Import Reading_GSS End2]]-AN13)*1000&lt;0,0,(RD[[#This Row],[33 kV F5 Import Reading_GSS End2]]-AN13)*1000)</f>
        <v>1036.1500000000206</v>
      </c>
      <c r="BL14" s="84">
        <f>RD[[#This Row],[Export  (kWh)]]-RD[[#This Row],[Import (kWh)]]</f>
        <v>124351.87000001303</v>
      </c>
      <c r="BM14" s="84">
        <f>RD[[#This Row],[Inverters Generation ( kWh)]]-RD[[#This Row],[Export  (kWh)]]</f>
        <v>1447.9799999869429</v>
      </c>
      <c r="BN14">
        <f t="shared" si="6"/>
        <v>54495</v>
      </c>
      <c r="BO14">
        <f t="shared" si="4"/>
        <v>270</v>
      </c>
      <c r="BP14" s="185">
        <f t="shared" si="7"/>
        <v>72060</v>
      </c>
      <c r="BQ14" s="185">
        <f t="shared" si="5"/>
        <v>748.8</v>
      </c>
      <c r="BR14" s="185">
        <f t="shared" si="2"/>
        <v>11.883333333333333</v>
      </c>
    </row>
    <row r="15" spans="1:70" ht="15" customHeight="1" x14ac:dyDescent="0.35">
      <c r="A15" s="85">
        <f t="shared" si="8"/>
        <v>45756</v>
      </c>
      <c r="B15" s="80">
        <f>YEAR(RD[[#This Row],[Date]])+IF(MONTH(RD[[#This Row],[Date]])&gt;=4,1,0)</f>
        <v>2026</v>
      </c>
      <c r="C15" s="80">
        <f>YEAR(RD[[#This Row],[Month Year]])</f>
        <v>2025</v>
      </c>
      <c r="D15" s="99" t="s">
        <v>4</v>
      </c>
      <c r="E15" s="99" t="s">
        <v>4</v>
      </c>
      <c r="F15" s="80" t="str">
        <f t="shared" si="1"/>
        <v>Apr-25</v>
      </c>
      <c r="G15" s="79">
        <f>DAY(EOMONTH(RD[[#This Row],[Month Year]],0))</f>
        <v>30</v>
      </c>
      <c r="H15" s="100">
        <v>24.303100000000001</v>
      </c>
      <c r="I15" s="162">
        <v>0.2722222222222222</v>
      </c>
      <c r="J15" s="162">
        <v>0.76875000000000004</v>
      </c>
      <c r="K15" s="79">
        <v>4967</v>
      </c>
      <c r="L15" s="79">
        <v>5701</v>
      </c>
      <c r="M15" s="79">
        <v>4856</v>
      </c>
      <c r="N15" s="179">
        <v>5627</v>
      </c>
      <c r="O15" s="179">
        <v>5778</v>
      </c>
      <c r="P15" s="179">
        <v>4935</v>
      </c>
      <c r="Q15" s="179">
        <v>5590</v>
      </c>
      <c r="R15" s="179">
        <v>4914</v>
      </c>
      <c r="S15" s="179">
        <v>5677</v>
      </c>
      <c r="T15" s="179">
        <v>5017</v>
      </c>
      <c r="U15" s="79">
        <v>6395</v>
      </c>
      <c r="V15" s="79">
        <v>6400</v>
      </c>
      <c r="W15" s="79">
        <v>6750</v>
      </c>
      <c r="X15" s="79">
        <v>6794</v>
      </c>
      <c r="Y15" s="79">
        <v>6744</v>
      </c>
      <c r="Z15" s="79">
        <v>6631</v>
      </c>
      <c r="AA15" s="79">
        <v>6575</v>
      </c>
      <c r="AB15" s="79">
        <v>6629</v>
      </c>
      <c r="AC15" s="79">
        <v>7840</v>
      </c>
      <c r="AD15" s="79">
        <v>8416</v>
      </c>
      <c r="AE15" s="79"/>
      <c r="AF15" s="79"/>
      <c r="AG15" s="79"/>
      <c r="AH15" s="79"/>
      <c r="AI15" s="79"/>
      <c r="AJ15" s="79"/>
      <c r="AK15" s="79"/>
      <c r="AL15" s="79"/>
      <c r="AM15" s="80">
        <v>144919.40059999999</v>
      </c>
      <c r="AN15" s="80">
        <v>573.20690000000002</v>
      </c>
      <c r="AO15" s="80"/>
      <c r="AP15" s="80">
        <f>399490.56/60000</f>
        <v>6.6581760000000001</v>
      </c>
      <c r="AQ15" s="82">
        <f>402355.3/60000</f>
        <v>6.7059216666666668</v>
      </c>
      <c r="AR15" s="82">
        <f>IF(RD[[#This Row],[POA(kWh/m2)_O2R6]]="",RD[[#This Row],[POA(kWh/m2)_PSEGPL]],(RD[[#This Row],[POA(kWh/m2)_PSEGPL]]*('Basic Data'!$V$2/'Basic Data'!$V$4))+(RD[[#This Row],[POA(kWh/m2)_O2R6]]*('Basic Data'!$V$3/'Basic Data'!$V$4)))</f>
        <v>6.6833014688220755</v>
      </c>
      <c r="AS15" s="82">
        <f>SUM(RD[[#This Row],[G1 Inv1]:[G5 Inv10]])</f>
        <v>53062</v>
      </c>
      <c r="AT15" s="82">
        <f>SUM(RD[[#This Row],[IS1_Inv1_M1]:[IS1_Inv2_M4]])</f>
        <v>52918</v>
      </c>
      <c r="AU15" s="82">
        <f>SUM(RD[[#This Row],[IS2_Inv1]:[IS2_Inv2]])</f>
        <v>16256</v>
      </c>
      <c r="AV15" s="80"/>
      <c r="AW15" s="83"/>
      <c r="AX15" s="80"/>
      <c r="AY15" s="80"/>
      <c r="AZ15" s="80"/>
      <c r="BA15" s="83">
        <f>IFERROR(SUM(RD[[#This Row],[PSEGPL]:[O2R10]]),"")</f>
        <v>122236</v>
      </c>
      <c r="BB15" s="80">
        <v>1343</v>
      </c>
      <c r="BC15" s="83">
        <v>208788</v>
      </c>
      <c r="BD15" s="83">
        <v>1174</v>
      </c>
      <c r="BE15" s="83">
        <v>189553</v>
      </c>
      <c r="BF15" s="83">
        <v>1628</v>
      </c>
      <c r="BG15" s="83">
        <v>212326</v>
      </c>
      <c r="BH15" s="83">
        <v>2374</v>
      </c>
      <c r="BI15" s="83">
        <v>203586</v>
      </c>
      <c r="BJ15" s="101">
        <f>IF((RD[[#This Row],[33 kV F5 Export Reading_Gss End]]-AM14)*1000&lt;0,0,(RD[[#This Row],[33 kV F5 Export Reading_Gss End]]-AM14)*1000)</f>
        <v>121028.96999998484</v>
      </c>
      <c r="BK15" s="83">
        <f>IF((RD[[#This Row],[33 kV F5 Import Reading_GSS End2]]-AN14)*1000&lt;0,0,(RD[[#This Row],[33 kV F5 Import Reading_GSS End2]]-AN14)*1000)</f>
        <v>625.25000000005093</v>
      </c>
      <c r="BL15" s="84">
        <f>RD[[#This Row],[Export  (kWh)]]-RD[[#This Row],[Import (kWh)]]</f>
        <v>120403.71999998478</v>
      </c>
      <c r="BM15" s="84">
        <f>RD[[#This Row],[Inverters Generation ( kWh)]]-RD[[#This Row],[Export  (kWh)]]</f>
        <v>1207.0300000151619</v>
      </c>
      <c r="BN15">
        <f t="shared" si="6"/>
        <v>52545</v>
      </c>
      <c r="BO15">
        <f t="shared" si="4"/>
        <v>315</v>
      </c>
      <c r="BP15" s="185">
        <f t="shared" si="7"/>
        <v>69450</v>
      </c>
      <c r="BQ15" s="185">
        <f t="shared" si="5"/>
        <v>928.5</v>
      </c>
      <c r="BR15" s="185">
        <f t="shared" si="2"/>
        <v>11.916666666666668</v>
      </c>
    </row>
    <row r="16" spans="1:70" ht="15" customHeight="1" x14ac:dyDescent="0.35">
      <c r="A16" s="85">
        <f t="shared" si="8"/>
        <v>45757</v>
      </c>
      <c r="B16" s="80">
        <f>YEAR(RD[[#This Row],[Date]])+IF(MONTH(RD[[#This Row],[Date]])&gt;=4,1,0)</f>
        <v>2026</v>
      </c>
      <c r="C16" s="80">
        <f>YEAR(RD[[#This Row],[Month Year]])</f>
        <v>2025</v>
      </c>
      <c r="D16" s="99" t="s">
        <v>4</v>
      </c>
      <c r="E16" s="99" t="s">
        <v>4</v>
      </c>
      <c r="F16" s="80" t="str">
        <f t="shared" si="1"/>
        <v>Apr-25</v>
      </c>
      <c r="G16" s="79">
        <f>DAY(EOMONTH(RD[[#This Row],[Month Year]],0))</f>
        <v>30</v>
      </c>
      <c r="H16" s="100">
        <v>24.303100000000001</v>
      </c>
      <c r="I16" s="162">
        <v>0.27361111111111114</v>
      </c>
      <c r="J16" s="162">
        <v>0.7680555555555556</v>
      </c>
      <c r="K16" s="79">
        <v>4854</v>
      </c>
      <c r="L16" s="79">
        <v>5609</v>
      </c>
      <c r="M16" s="79">
        <v>4740</v>
      </c>
      <c r="N16" s="179">
        <v>5490</v>
      </c>
      <c r="O16" s="179">
        <v>5635</v>
      </c>
      <c r="P16" s="179">
        <v>4809</v>
      </c>
      <c r="Q16" s="179">
        <v>5450</v>
      </c>
      <c r="R16" s="179">
        <v>4804</v>
      </c>
      <c r="S16" s="179">
        <v>5543</v>
      </c>
      <c r="T16" s="179">
        <v>4898</v>
      </c>
      <c r="U16" s="79">
        <v>6327</v>
      </c>
      <c r="V16" s="79">
        <v>6340</v>
      </c>
      <c r="W16" s="79">
        <v>6667</v>
      </c>
      <c r="X16" s="79">
        <v>6710</v>
      </c>
      <c r="Y16" s="79">
        <v>6652</v>
      </c>
      <c r="Z16" s="79">
        <v>6548</v>
      </c>
      <c r="AA16" s="79">
        <v>6537</v>
      </c>
      <c r="AB16" s="79">
        <v>6541</v>
      </c>
      <c r="AC16" s="79">
        <v>7800</v>
      </c>
      <c r="AD16" s="79">
        <v>8349</v>
      </c>
      <c r="AE16" s="79"/>
      <c r="AF16" s="79"/>
      <c r="AG16" s="79"/>
      <c r="AH16" s="79"/>
      <c r="AI16" s="79"/>
      <c r="AJ16" s="79"/>
      <c r="AK16" s="79"/>
      <c r="AL16" s="79"/>
      <c r="AM16" s="80">
        <v>145038.47904000001</v>
      </c>
      <c r="AN16" s="80">
        <v>574.10612000000003</v>
      </c>
      <c r="AO16" s="80"/>
      <c r="AP16" s="80">
        <v>6.59</v>
      </c>
      <c r="AQ16" s="82">
        <v>6.22</v>
      </c>
      <c r="AR16" s="82">
        <f>IF(RD[[#This Row],[POA(kWh/m2)_O2R6]]="",RD[[#This Row],[POA(kWh/m2)_PSEGPL]],(RD[[#This Row],[POA(kWh/m2)_PSEGPL]]*('Basic Data'!$V$2/'Basic Data'!$V$4))+(RD[[#This Row],[POA(kWh/m2)_O2R6]]*('Basic Data'!$V$3/'Basic Data'!$V$4)))</f>
        <v>6.3952928336079076</v>
      </c>
      <c r="AS16" s="82">
        <f>SUM(RD[[#This Row],[G1 Inv1]:[G5 Inv10]])</f>
        <v>51832</v>
      </c>
      <c r="AT16" s="82">
        <f>SUM(RD[[#This Row],[IS1_Inv1_M1]:[IS1_Inv2_M4]])</f>
        <v>52322</v>
      </c>
      <c r="AU16" s="82">
        <f>SUM(RD[[#This Row],[IS2_Inv1]:[IS2_Inv2]])</f>
        <v>16149</v>
      </c>
      <c r="AV16" s="80"/>
      <c r="AW16" s="83"/>
      <c r="AX16" s="80"/>
      <c r="AY16" s="80"/>
      <c r="AZ16" s="80"/>
      <c r="BA16" s="83">
        <f>IFERROR(SUM(RD[[#This Row],[PSEGPL]:[O2R10]]),"")</f>
        <v>120303</v>
      </c>
      <c r="BB16" s="80">
        <v>1346</v>
      </c>
      <c r="BC16" s="83">
        <v>209303</v>
      </c>
      <c r="BD16" s="83">
        <v>1176</v>
      </c>
      <c r="BE16" s="83">
        <v>190009</v>
      </c>
      <c r="BF16" s="83">
        <v>1632</v>
      </c>
      <c r="BG16" s="83">
        <v>212909</v>
      </c>
      <c r="BH16" s="83">
        <v>2385</v>
      </c>
      <c r="BI16" s="83">
        <v>204125</v>
      </c>
      <c r="BJ16" s="101">
        <f>IF((RD[[#This Row],[33 kV F5 Export Reading_Gss End]]-AM15)*1000&lt;0,0,(RD[[#This Row],[33 kV F5 Export Reading_Gss End]]-AM15)*1000)</f>
        <v>119078.44000001205</v>
      </c>
      <c r="BK16" s="83">
        <f>IF((RD[[#This Row],[33 kV F5 Import Reading_GSS End2]]-AN15)*1000&lt;0,0,(RD[[#This Row],[33 kV F5 Import Reading_GSS End2]]-AN15)*1000)</f>
        <v>899.2200000000139</v>
      </c>
      <c r="BL16" s="84">
        <f>RD[[#This Row],[Export  (kWh)]]-RD[[#This Row],[Import (kWh)]]</f>
        <v>118179.22000001204</v>
      </c>
      <c r="BM16" s="84">
        <f>RD[[#This Row],[Inverters Generation ( kWh)]]-RD[[#This Row],[Export  (kWh)]]</f>
        <v>1224.5599999879487</v>
      </c>
      <c r="BN16">
        <f t="shared" si="6"/>
        <v>51420</v>
      </c>
      <c r="BO16">
        <f t="shared" si="4"/>
        <v>270</v>
      </c>
      <c r="BP16" s="185">
        <f t="shared" si="7"/>
        <v>68640</v>
      </c>
      <c r="BQ16" s="185">
        <f t="shared" si="5"/>
        <v>808.8</v>
      </c>
      <c r="BR16" s="185">
        <f t="shared" si="2"/>
        <v>11.866666666666667</v>
      </c>
    </row>
    <row r="17" spans="1:70" ht="15" customHeight="1" x14ac:dyDescent="0.35">
      <c r="A17" s="85">
        <f t="shared" si="8"/>
        <v>45758</v>
      </c>
      <c r="B17" s="80">
        <f>YEAR(RD[[#This Row],[Date]])+IF(MONTH(RD[[#This Row],[Date]])&gt;=4,1,0)</f>
        <v>2026</v>
      </c>
      <c r="C17" s="80">
        <f>YEAR(RD[[#This Row],[Month Year]])</f>
        <v>2025</v>
      </c>
      <c r="D17" s="99" t="s">
        <v>4</v>
      </c>
      <c r="E17" s="99" t="s">
        <v>4</v>
      </c>
      <c r="F17" s="80" t="str">
        <f t="shared" si="1"/>
        <v>Apr-25</v>
      </c>
      <c r="G17" s="79">
        <f>DAY(EOMONTH(RD[[#This Row],[Month Year]],0))</f>
        <v>30</v>
      </c>
      <c r="H17" s="100">
        <v>24.303100000000001</v>
      </c>
      <c r="I17" s="162">
        <v>0.26874999999999999</v>
      </c>
      <c r="J17" s="162">
        <v>0.76597222222222228</v>
      </c>
      <c r="K17" s="79">
        <v>4938</v>
      </c>
      <c r="L17" s="79">
        <v>5727</v>
      </c>
      <c r="M17" s="79">
        <v>4817</v>
      </c>
      <c r="N17" s="179">
        <v>5560</v>
      </c>
      <c r="O17" s="179">
        <v>5710</v>
      </c>
      <c r="P17" s="179">
        <v>4877</v>
      </c>
      <c r="Q17" s="179">
        <v>5530</v>
      </c>
      <c r="R17" s="179">
        <v>4882</v>
      </c>
      <c r="S17" s="179">
        <v>5654</v>
      </c>
      <c r="T17" s="179">
        <v>4970</v>
      </c>
      <c r="U17" s="79">
        <v>6419</v>
      </c>
      <c r="V17" s="79">
        <v>6488</v>
      </c>
      <c r="W17" s="79">
        <v>6784</v>
      </c>
      <c r="X17" s="79">
        <v>6842</v>
      </c>
      <c r="Y17" s="79">
        <v>6777</v>
      </c>
      <c r="Z17" s="79">
        <v>6742</v>
      </c>
      <c r="AA17" s="79">
        <v>6658</v>
      </c>
      <c r="AB17" s="79">
        <v>6660</v>
      </c>
      <c r="AC17" s="79">
        <v>7979</v>
      </c>
      <c r="AD17" s="79">
        <v>8429</v>
      </c>
      <c r="AE17" s="79"/>
      <c r="AF17" s="79"/>
      <c r="AG17" s="79"/>
      <c r="AH17" s="79"/>
      <c r="AI17" s="79"/>
      <c r="AJ17" s="79"/>
      <c r="AK17" s="79"/>
      <c r="AL17" s="79"/>
      <c r="AM17" s="80">
        <v>145159.67827</v>
      </c>
      <c r="AN17" s="80">
        <v>574.94964000000004</v>
      </c>
      <c r="AO17" s="80"/>
      <c r="AP17" s="80">
        <v>6.64</v>
      </c>
      <c r="AQ17" s="82">
        <v>6.7</v>
      </c>
      <c r="AR17" s="82">
        <f>IF(RD[[#This Row],[POA(kWh/m2)_O2R6]]="",RD[[#This Row],[POA(kWh/m2)_PSEGPL]],(RD[[#This Row],[POA(kWh/m2)_PSEGPL]]*('Basic Data'!$V$2/'Basic Data'!$V$4))+(RD[[#This Row],[POA(kWh/m2)_O2R6]]*('Basic Data'!$V$3/'Basic Data'!$V$4)))</f>
        <v>6.6715741350906086</v>
      </c>
      <c r="AS17" s="82">
        <f>SUM(RD[[#This Row],[G1 Inv1]:[G5 Inv10]])</f>
        <v>52665</v>
      </c>
      <c r="AT17" s="82">
        <f>SUM(RD[[#This Row],[IS1_Inv1_M1]:[IS1_Inv2_M4]])</f>
        <v>53370</v>
      </c>
      <c r="AU17" s="82">
        <f>SUM(RD[[#This Row],[IS2_Inv1]:[IS2_Inv2]])</f>
        <v>16408</v>
      </c>
      <c r="AV17" s="80"/>
      <c r="AW17" s="83"/>
      <c r="AX17" s="80"/>
      <c r="AY17" s="80"/>
      <c r="AZ17" s="80"/>
      <c r="BA17" s="83">
        <f>IFERROR(SUM(RD[[#This Row],[PSEGPL]:[O2R10]]),"")</f>
        <v>122443</v>
      </c>
      <c r="BB17" s="80">
        <v>1348</v>
      </c>
      <c r="BC17" s="83">
        <v>209827</v>
      </c>
      <c r="BD17" s="83">
        <v>1178</v>
      </c>
      <c r="BE17" s="83">
        <v>190472</v>
      </c>
      <c r="BF17" s="83">
        <v>1636</v>
      </c>
      <c r="BG17" s="83">
        <v>213504</v>
      </c>
      <c r="BH17" s="83">
        <v>2394</v>
      </c>
      <c r="BI17" s="83">
        <v>204673</v>
      </c>
      <c r="BJ17" s="101">
        <f>IF((RD[[#This Row],[33 kV F5 Export Reading_Gss End]]-AM16)*1000&lt;0,0,(RD[[#This Row],[33 kV F5 Export Reading_Gss End]]-AM16)*1000)</f>
        <v>121199.22999999835</v>
      </c>
      <c r="BK17" s="83">
        <f>IF((RD[[#This Row],[33 kV F5 Import Reading_GSS End2]]-AN16)*1000&lt;0,0,(RD[[#This Row],[33 kV F5 Import Reading_GSS End2]]-AN16)*1000)</f>
        <v>843.52000000001226</v>
      </c>
      <c r="BL17" s="84">
        <f>RD[[#This Row],[Export  (kWh)]]-RD[[#This Row],[Import (kWh)]]</f>
        <v>120355.70999999833</v>
      </c>
      <c r="BM17" s="84">
        <f>RD[[#This Row],[Inverters Generation ( kWh)]]-RD[[#This Row],[Export  (kWh)]]</f>
        <v>1243.7700000016484</v>
      </c>
      <c r="BN17">
        <f t="shared" si="6"/>
        <v>52275</v>
      </c>
      <c r="BO17">
        <f t="shared" si="4"/>
        <v>210</v>
      </c>
      <c r="BP17" s="185">
        <f t="shared" si="7"/>
        <v>69990</v>
      </c>
      <c r="BQ17" s="185">
        <f t="shared" si="5"/>
        <v>748.8</v>
      </c>
      <c r="BR17" s="185">
        <f t="shared" si="2"/>
        <v>11.933333333333335</v>
      </c>
    </row>
    <row r="18" spans="1:70" ht="15" customHeight="1" x14ac:dyDescent="0.35">
      <c r="A18" s="85">
        <f t="shared" si="8"/>
        <v>45759</v>
      </c>
      <c r="B18" s="80">
        <f>YEAR(RD[[#This Row],[Date]])+IF(MONTH(RD[[#This Row],[Date]])&gt;=4,1,0)</f>
        <v>2026</v>
      </c>
      <c r="C18" s="80">
        <f>YEAR(RD[[#This Row],[Month Year]])</f>
        <v>2025</v>
      </c>
      <c r="D18" s="99" t="s">
        <v>4</v>
      </c>
      <c r="E18" s="99" t="s">
        <v>4</v>
      </c>
      <c r="F18" s="80" t="str">
        <f t="shared" si="1"/>
        <v>Apr-25</v>
      </c>
      <c r="G18" s="79">
        <f>DAY(EOMONTH(RD[[#This Row],[Month Year]],0))</f>
        <v>30</v>
      </c>
      <c r="H18" s="100">
        <v>24.303100000000001</v>
      </c>
      <c r="I18" s="162">
        <v>0.26874999999999999</v>
      </c>
      <c r="J18" s="162">
        <v>0.76666666666666672</v>
      </c>
      <c r="K18" s="79">
        <v>5146</v>
      </c>
      <c r="L18" s="79">
        <v>5957</v>
      </c>
      <c r="M18" s="79">
        <v>5108</v>
      </c>
      <c r="N18" s="179">
        <v>5839</v>
      </c>
      <c r="O18" s="179">
        <v>5981</v>
      </c>
      <c r="P18" s="179">
        <v>5115</v>
      </c>
      <c r="Q18" s="179">
        <v>5796</v>
      </c>
      <c r="R18" s="179">
        <v>5106</v>
      </c>
      <c r="S18" s="179">
        <v>5886</v>
      </c>
      <c r="T18" s="179">
        <v>5192</v>
      </c>
      <c r="U18" s="79">
        <v>6744</v>
      </c>
      <c r="V18" s="79">
        <v>6832</v>
      </c>
      <c r="W18" s="79">
        <v>7160</v>
      </c>
      <c r="X18" s="79">
        <v>7228</v>
      </c>
      <c r="Y18" s="79">
        <v>7143</v>
      </c>
      <c r="Z18" s="79">
        <v>7078</v>
      </c>
      <c r="AA18" s="79">
        <v>6963</v>
      </c>
      <c r="AB18" s="79">
        <v>6920</v>
      </c>
      <c r="AC18" s="79">
        <v>8293</v>
      </c>
      <c r="AD18" s="79">
        <v>8792</v>
      </c>
      <c r="AE18" s="79"/>
      <c r="AF18" s="79"/>
      <c r="AG18" s="79"/>
      <c r="AH18" s="79"/>
      <c r="AI18" s="79"/>
      <c r="AJ18" s="79"/>
      <c r="AK18" s="79"/>
      <c r="AL18" s="79"/>
      <c r="AM18" s="80">
        <v>145286.53839999999</v>
      </c>
      <c r="AN18" s="80">
        <v>575.89089999999999</v>
      </c>
      <c r="AO18" s="80"/>
      <c r="AP18" s="80">
        <v>6.83</v>
      </c>
      <c r="AQ18" s="82">
        <v>6.8</v>
      </c>
      <c r="AR18" s="82">
        <f>IF(RD[[#This Row],[POA(kWh/m2)_O2R6]]="",RD[[#This Row],[POA(kWh/m2)_PSEGPL]],(RD[[#This Row],[POA(kWh/m2)_PSEGPL]]*('Basic Data'!$V$2/'Basic Data'!$V$4))+(RD[[#This Row],[POA(kWh/m2)_O2R6]]*('Basic Data'!$V$3/'Basic Data'!$V$4)))</f>
        <v>6.8142129324546943</v>
      </c>
      <c r="AS18" s="82">
        <f>SUM(RD[[#This Row],[G1 Inv1]:[G5 Inv10]])</f>
        <v>55126</v>
      </c>
      <c r="AT18" s="82">
        <f>SUM(RD[[#This Row],[IS1_Inv1_M1]:[IS1_Inv2_M4]])</f>
        <v>56068</v>
      </c>
      <c r="AU18" s="82">
        <f>SUM(RD[[#This Row],[IS2_Inv1]:[IS2_Inv2]])</f>
        <v>17085</v>
      </c>
      <c r="AV18" s="80"/>
      <c r="AW18" s="83"/>
      <c r="AX18" s="80"/>
      <c r="AY18" s="80"/>
      <c r="AZ18" s="80"/>
      <c r="BA18" s="83">
        <f>IFERROR(SUM(RD[[#This Row],[PSEGPL]:[O2R10]]),"")</f>
        <v>128279</v>
      </c>
      <c r="BB18" s="80">
        <v>1351</v>
      </c>
      <c r="BC18" s="83">
        <v>210375</v>
      </c>
      <c r="BD18" s="83">
        <v>1181</v>
      </c>
      <c r="BE18" s="83">
        <v>190955</v>
      </c>
      <c r="BF18" s="83">
        <v>1640</v>
      </c>
      <c r="BG18" s="83">
        <v>214128</v>
      </c>
      <c r="BH18" s="83">
        <v>2403</v>
      </c>
      <c r="BI18" s="83">
        <v>205243</v>
      </c>
      <c r="BJ18" s="101">
        <f>IF((RD[[#This Row],[33 kV F5 Export Reading_Gss End]]-AM17)*1000&lt;0,0,(RD[[#This Row],[33 kV F5 Export Reading_Gss End]]-AM17)*1000)</f>
        <v>126860.12999998638</v>
      </c>
      <c r="BK18" s="83">
        <f>IF((RD[[#This Row],[33 kV F5 Import Reading_GSS End2]]-AN17)*1000&lt;0,0,(RD[[#This Row],[33 kV F5 Import Reading_GSS End2]]-AN17)*1000)</f>
        <v>941.25999999994292</v>
      </c>
      <c r="BL18" s="84">
        <f>RD[[#This Row],[Export  (kWh)]]-RD[[#This Row],[Import (kWh)]]</f>
        <v>125918.86999998645</v>
      </c>
      <c r="BM18" s="84">
        <f>RD[[#This Row],[Inverters Generation ( kWh)]]-RD[[#This Row],[Export  (kWh)]]</f>
        <v>1418.8700000136159</v>
      </c>
      <c r="BN18">
        <f t="shared" si="6"/>
        <v>54615</v>
      </c>
      <c r="BO18">
        <f t="shared" si="4"/>
        <v>315</v>
      </c>
      <c r="BP18" s="185">
        <f t="shared" si="7"/>
        <v>73260</v>
      </c>
      <c r="BQ18" s="185">
        <f t="shared" ref="BQ18:BQ49" si="9">IF(AND(BF18="",BH18=""),"",((((BF18-BF17)*MF_Cap_O2RE6)*1.33)+((BH18-BH17)*MF_Cap_O2RE10)))</f>
        <v>748.8</v>
      </c>
      <c r="BR18" s="185">
        <f t="shared" si="2"/>
        <v>11.950000000000001</v>
      </c>
    </row>
    <row r="19" spans="1:70" ht="15" customHeight="1" x14ac:dyDescent="0.35">
      <c r="A19" s="85">
        <f t="shared" si="8"/>
        <v>45760</v>
      </c>
      <c r="B19" s="80">
        <f>YEAR(RD[[#This Row],[Date]])+IF(MONTH(RD[[#This Row],[Date]])&gt;=4,1,0)</f>
        <v>2026</v>
      </c>
      <c r="C19" s="80">
        <f>YEAR(RD[[#This Row],[Month Year]])</f>
        <v>2025</v>
      </c>
      <c r="D19" s="99" t="s">
        <v>4</v>
      </c>
      <c r="E19" s="99" t="s">
        <v>4</v>
      </c>
      <c r="F19" s="80" t="str">
        <f t="shared" si="1"/>
        <v>Apr-25</v>
      </c>
      <c r="G19" s="79">
        <f>DAY(EOMONTH(RD[[#This Row],[Month Year]],0))</f>
        <v>30</v>
      </c>
      <c r="H19" s="100">
        <v>24.303100000000001</v>
      </c>
      <c r="I19" s="162">
        <v>0.26805555555555555</v>
      </c>
      <c r="J19" s="162">
        <v>0.76666666666666672</v>
      </c>
      <c r="K19" s="79">
        <v>3820</v>
      </c>
      <c r="L19" s="79">
        <v>4423</v>
      </c>
      <c r="M19" s="79">
        <v>3775</v>
      </c>
      <c r="N19" s="179">
        <v>4389</v>
      </c>
      <c r="O19" s="179">
        <v>4470</v>
      </c>
      <c r="P19" s="179">
        <v>3774</v>
      </c>
      <c r="Q19" s="179">
        <v>4009</v>
      </c>
      <c r="R19" s="179">
        <v>3798</v>
      </c>
      <c r="S19" s="179">
        <v>4377</v>
      </c>
      <c r="T19" s="179">
        <v>3866</v>
      </c>
      <c r="U19" s="79">
        <v>4953</v>
      </c>
      <c r="V19" s="79">
        <v>4991</v>
      </c>
      <c r="W19" s="79">
        <v>5207</v>
      </c>
      <c r="X19" s="79">
        <v>5266</v>
      </c>
      <c r="Y19" s="79">
        <v>5210</v>
      </c>
      <c r="Z19" s="79">
        <v>5179</v>
      </c>
      <c r="AA19" s="79">
        <v>5101</v>
      </c>
      <c r="AB19" s="79">
        <v>5004</v>
      </c>
      <c r="AC19" s="79">
        <v>4133</v>
      </c>
      <c r="AD19" s="79">
        <v>6421</v>
      </c>
      <c r="AE19" s="79"/>
      <c r="AF19" s="79"/>
      <c r="AG19" s="79"/>
      <c r="AH19" s="79"/>
      <c r="AI19" s="79"/>
      <c r="AJ19" s="79"/>
      <c r="AK19" s="79"/>
      <c r="AL19" s="79"/>
      <c r="AM19" s="80">
        <v>145377.8898</v>
      </c>
      <c r="AN19" s="80">
        <v>576.70169999999996</v>
      </c>
      <c r="AO19" s="80"/>
      <c r="AP19" s="80">
        <v>6.8959999999999999</v>
      </c>
      <c r="AQ19" s="82">
        <v>6.88</v>
      </c>
      <c r="AR19" s="82">
        <f>IF(RD[[#This Row],[POA(kWh/m2)_O2R6]]="",RD[[#This Row],[POA(kWh/m2)_PSEGPL]],(RD[[#This Row],[POA(kWh/m2)_PSEGPL]]*('Basic Data'!$V$2/'Basic Data'!$V$4))+(RD[[#This Row],[POA(kWh/m2)_O2R6]]*('Basic Data'!$V$3/'Basic Data'!$V$4)))</f>
        <v>6.887580230642504</v>
      </c>
      <c r="AS19" s="82">
        <f>SUM(RD[[#This Row],[G1 Inv1]:[G5 Inv10]])</f>
        <v>40701</v>
      </c>
      <c r="AT19" s="82">
        <f>SUM(RD[[#This Row],[IS1_Inv1_M1]:[IS1_Inv2_M4]])</f>
        <v>40911</v>
      </c>
      <c r="AU19" s="82">
        <f>SUM(RD[[#This Row],[IS2_Inv1]:[IS2_Inv2]])</f>
        <v>10554</v>
      </c>
      <c r="AV19" s="80"/>
      <c r="AW19" s="83"/>
      <c r="AX19" s="80"/>
      <c r="AY19" s="80"/>
      <c r="AZ19" s="80"/>
      <c r="BA19" s="83">
        <f>IFERROR(SUM(RD[[#This Row],[PSEGPL]:[O2R10]]),"")</f>
        <v>92166</v>
      </c>
      <c r="BB19" s="80">
        <v>1354</v>
      </c>
      <c r="BC19" s="83">
        <v>210783</v>
      </c>
      <c r="BD19" s="83">
        <v>1182</v>
      </c>
      <c r="BE19" s="83">
        <v>191308</v>
      </c>
      <c r="BF19" s="83">
        <v>1645</v>
      </c>
      <c r="BG19" s="83">
        <v>214585</v>
      </c>
      <c r="BH19" s="83">
        <v>2412</v>
      </c>
      <c r="BI19" s="83">
        <v>205595</v>
      </c>
      <c r="BJ19" s="101">
        <f>IF((RD[[#This Row],[33 kV F5 Export Reading_Gss End]]-AM18)*1000&lt;0,0,(RD[[#This Row],[33 kV F5 Export Reading_Gss End]]-AM18)*1000)</f>
        <v>91351.40000001411</v>
      </c>
      <c r="BK19" s="83">
        <f>IF((RD[[#This Row],[33 kV F5 Import Reading_GSS End2]]-AN18)*1000&lt;0,0,(RD[[#This Row],[33 kV F5 Import Reading_GSS End2]]-AN18)*1000)</f>
        <v>810.79999999997199</v>
      </c>
      <c r="BL19" s="84">
        <f>RD[[#This Row],[Export  (kWh)]]-RD[[#This Row],[Import (kWh)]]</f>
        <v>90540.600000014136</v>
      </c>
      <c r="BM19" s="84">
        <f>RD[[#This Row],[Inverters Generation ( kWh)]]-RD[[#This Row],[Export  (kWh)]]</f>
        <v>814.59999998589046</v>
      </c>
      <c r="BN19">
        <f t="shared" si="6"/>
        <v>40365</v>
      </c>
      <c r="BO19">
        <f t="shared" si="4"/>
        <v>225</v>
      </c>
      <c r="BP19" s="185">
        <f t="shared" si="7"/>
        <v>51690</v>
      </c>
      <c r="BQ19" s="185">
        <f t="shared" si="9"/>
        <v>868.5</v>
      </c>
      <c r="BR19" s="185">
        <f t="shared" si="2"/>
        <v>11.966666666666669</v>
      </c>
    </row>
    <row r="20" spans="1:70" ht="15" customHeight="1" x14ac:dyDescent="0.35">
      <c r="A20" s="85">
        <f t="shared" si="8"/>
        <v>45761</v>
      </c>
      <c r="B20" s="80">
        <f>YEAR(RD[[#This Row],[Date]])+IF(MONTH(RD[[#This Row],[Date]])&gt;=4,1,0)</f>
        <v>2026</v>
      </c>
      <c r="C20" s="80">
        <f>YEAR(RD[[#This Row],[Month Year]])</f>
        <v>2025</v>
      </c>
      <c r="D20" s="99" t="s">
        <v>4</v>
      </c>
      <c r="E20" s="99" t="s">
        <v>4</v>
      </c>
      <c r="F20" s="80" t="str">
        <f t="shared" ref="F20:F83" si="10">TEXT(A20,"mmm-yy")</f>
        <v>Apr-25</v>
      </c>
      <c r="G20" s="79">
        <f>DAY(EOMONTH(RD[[#This Row],[Month Year]],0))</f>
        <v>30</v>
      </c>
      <c r="H20" s="100">
        <v>24.303100000000001</v>
      </c>
      <c r="I20" s="162">
        <v>0.26805555555555555</v>
      </c>
      <c r="J20" s="162">
        <v>0.76736111111111116</v>
      </c>
      <c r="K20" s="79">
        <v>5162</v>
      </c>
      <c r="L20" s="79">
        <v>5974</v>
      </c>
      <c r="M20" s="79">
        <v>5072</v>
      </c>
      <c r="N20" s="179">
        <v>5911</v>
      </c>
      <c r="O20" s="179">
        <v>6119</v>
      </c>
      <c r="P20" s="179">
        <v>5129</v>
      </c>
      <c r="Q20" s="179">
        <v>5818</v>
      </c>
      <c r="R20" s="179">
        <v>5117</v>
      </c>
      <c r="S20" s="179">
        <v>5901</v>
      </c>
      <c r="T20" s="179">
        <v>5206</v>
      </c>
      <c r="U20" s="79">
        <v>6802</v>
      </c>
      <c r="V20" s="79">
        <v>6856</v>
      </c>
      <c r="W20" s="79">
        <v>7138</v>
      </c>
      <c r="X20" s="79">
        <v>7220</v>
      </c>
      <c r="Y20" s="79">
        <v>7141</v>
      </c>
      <c r="Z20" s="79">
        <v>7089</v>
      </c>
      <c r="AA20" s="79">
        <v>7119</v>
      </c>
      <c r="AB20" s="79">
        <v>6859</v>
      </c>
      <c r="AC20" s="79">
        <v>8428</v>
      </c>
      <c r="AD20" s="79">
        <v>8843</v>
      </c>
      <c r="AE20" s="79"/>
      <c r="AF20" s="79"/>
      <c r="AG20" s="79"/>
      <c r="AH20" s="79"/>
      <c r="AI20" s="79"/>
      <c r="AJ20" s="79"/>
      <c r="AK20" s="79"/>
      <c r="AL20" s="79"/>
      <c r="AM20" s="80">
        <v>145505.3308</v>
      </c>
      <c r="AN20" s="80">
        <v>577.62030000000004</v>
      </c>
      <c r="AO20" s="80"/>
      <c r="AP20" s="80">
        <v>6.9960000000000004</v>
      </c>
      <c r="AQ20" s="82">
        <v>7</v>
      </c>
      <c r="AR20" s="82">
        <f>IF(RD[[#This Row],[POA(kWh/m2)_O2R6]]="",RD[[#This Row],[POA(kWh/m2)_PSEGPL]],(RD[[#This Row],[POA(kWh/m2)_PSEGPL]]*('Basic Data'!$V$2/'Basic Data'!$V$4))+(RD[[#This Row],[POA(kWh/m2)_O2R6]]*('Basic Data'!$V$3/'Basic Data'!$V$4)))</f>
        <v>6.9981049423393742</v>
      </c>
      <c r="AS20" s="82">
        <f>SUM(RD[[#This Row],[G1 Inv1]:[G5 Inv10]])</f>
        <v>55409</v>
      </c>
      <c r="AT20" s="82">
        <f>SUM(RD[[#This Row],[IS1_Inv1_M1]:[IS1_Inv2_M4]])</f>
        <v>56224</v>
      </c>
      <c r="AU20" s="82">
        <f>SUM(RD[[#This Row],[IS2_Inv1]:[IS2_Inv2]])</f>
        <v>17271</v>
      </c>
      <c r="AV20" s="80"/>
      <c r="AW20" s="83"/>
      <c r="AX20" s="80"/>
      <c r="AY20" s="80"/>
      <c r="AZ20" s="80"/>
      <c r="BA20" s="83">
        <f>IFERROR(SUM(RD[[#This Row],[PSEGPL]:[O2R10]]),"")</f>
        <v>128904</v>
      </c>
      <c r="BB20" s="80">
        <v>1356</v>
      </c>
      <c r="BC20" s="83">
        <v>211335</v>
      </c>
      <c r="BD20" s="83">
        <v>1184</v>
      </c>
      <c r="BE20" s="83">
        <v>191793</v>
      </c>
      <c r="BF20" s="83">
        <v>1648</v>
      </c>
      <c r="BG20" s="83">
        <v>215211</v>
      </c>
      <c r="BH20" s="83">
        <v>2421</v>
      </c>
      <c r="BI20" s="83">
        <v>206172</v>
      </c>
      <c r="BJ20" s="101">
        <f>IF((RD[[#This Row],[33 kV F5 Export Reading_Gss End]]-AM19)*1000&lt;0,0,(RD[[#This Row],[33 kV F5 Export Reading_Gss End]]-AM19)*1000)</f>
        <v>127440.99999999162</v>
      </c>
      <c r="BK20" s="83">
        <f>IF((RD[[#This Row],[33 kV F5 Import Reading_GSS End2]]-AN19)*1000&lt;0,0,(RD[[#This Row],[33 kV F5 Import Reading_GSS End2]]-AN19)*1000)</f>
        <v>918.60000000008313</v>
      </c>
      <c r="BL20" s="84">
        <f>RD[[#This Row],[Export  (kWh)]]-RD[[#This Row],[Import (kWh)]]</f>
        <v>126522.39999999154</v>
      </c>
      <c r="BM20" s="84">
        <f>RD[[#This Row],[Inverters Generation ( kWh)]]-RD[[#This Row],[Export  (kWh)]]</f>
        <v>1463.0000000083819</v>
      </c>
      <c r="BN20">
        <f t="shared" si="6"/>
        <v>54945</v>
      </c>
      <c r="BO20">
        <f t="shared" si="4"/>
        <v>210</v>
      </c>
      <c r="BP20" s="185">
        <f t="shared" si="7"/>
        <v>73650</v>
      </c>
      <c r="BQ20" s="185">
        <f t="shared" si="9"/>
        <v>629.1</v>
      </c>
      <c r="BR20" s="185">
        <f t="shared" ref="BR20:BR83" si="11">IFERROR((J20-I20)*24,"")</f>
        <v>11.983333333333334</v>
      </c>
    </row>
    <row r="21" spans="1:70" ht="15" customHeight="1" x14ac:dyDescent="0.35">
      <c r="A21" s="85">
        <f t="shared" si="8"/>
        <v>45762</v>
      </c>
      <c r="B21" s="80">
        <f>YEAR(RD[[#This Row],[Date]])+IF(MONTH(RD[[#This Row],[Date]])&gt;=4,1,0)</f>
        <v>2026</v>
      </c>
      <c r="C21" s="80">
        <f>YEAR(RD[[#This Row],[Month Year]])</f>
        <v>2025</v>
      </c>
      <c r="D21" s="99" t="s">
        <v>4</v>
      </c>
      <c r="E21" s="99" t="s">
        <v>4</v>
      </c>
      <c r="F21" s="80" t="str">
        <f t="shared" si="10"/>
        <v>Apr-25</v>
      </c>
      <c r="G21" s="79">
        <f>DAY(EOMONTH(RD[[#This Row],[Month Year]],0))</f>
        <v>30</v>
      </c>
      <c r="H21" s="100">
        <v>24.303100000000001</v>
      </c>
      <c r="I21" s="162">
        <v>0.27013888888888887</v>
      </c>
      <c r="J21" s="162">
        <v>0.76944444444444449</v>
      </c>
      <c r="K21" s="79">
        <v>5088</v>
      </c>
      <c r="L21" s="79">
        <v>5890</v>
      </c>
      <c r="M21" s="79">
        <v>5004</v>
      </c>
      <c r="N21" s="179">
        <v>5833</v>
      </c>
      <c r="O21" s="179">
        <v>6033</v>
      </c>
      <c r="P21" s="179">
        <v>5078</v>
      </c>
      <c r="Q21" s="179">
        <v>5699</v>
      </c>
      <c r="R21" s="179">
        <v>5043</v>
      </c>
      <c r="S21" s="179">
        <v>5783</v>
      </c>
      <c r="T21" s="179">
        <v>5118</v>
      </c>
      <c r="U21" s="79">
        <v>6705</v>
      </c>
      <c r="V21" s="79">
        <v>6751</v>
      </c>
      <c r="W21" s="79">
        <v>7022</v>
      </c>
      <c r="X21" s="79">
        <v>7115</v>
      </c>
      <c r="Y21" s="79">
        <v>7019</v>
      </c>
      <c r="Z21" s="79">
        <v>6943</v>
      </c>
      <c r="AA21" s="79">
        <v>6995</v>
      </c>
      <c r="AB21" s="79">
        <v>6772</v>
      </c>
      <c r="AC21" s="79">
        <v>8501</v>
      </c>
      <c r="AD21" s="79">
        <v>8887</v>
      </c>
      <c r="AE21" s="79"/>
      <c r="AF21" s="79"/>
      <c r="AG21" s="79"/>
      <c r="AH21" s="79"/>
      <c r="AI21" s="79"/>
      <c r="AJ21" s="79"/>
      <c r="AK21" s="79"/>
      <c r="AL21" s="79"/>
      <c r="AM21" s="80">
        <v>145631.15330000001</v>
      </c>
      <c r="AN21" s="80">
        <v>578.74559999999997</v>
      </c>
      <c r="AO21" s="80"/>
      <c r="AP21" s="80">
        <v>7.02</v>
      </c>
      <c r="AQ21" s="82">
        <v>6.75</v>
      </c>
      <c r="AR21" s="82">
        <f>IF(RD[[#This Row],[POA(kWh/m2)_O2R6]]="",RD[[#This Row],[POA(kWh/m2)_PSEGPL]],(RD[[#This Row],[POA(kWh/m2)_PSEGPL]]*('Basic Data'!$V$2/'Basic Data'!$V$4))+(RD[[#This Row],[POA(kWh/m2)_O2R6]]*('Basic Data'!$V$3/'Basic Data'!$V$4)))</f>
        <v>6.8779163920922564</v>
      </c>
      <c r="AS21" s="82">
        <f>SUM(RD[[#This Row],[G1 Inv1]:[G5 Inv10]])</f>
        <v>54569</v>
      </c>
      <c r="AT21" s="82">
        <f>SUM(RD[[#This Row],[IS1_Inv1_M1]:[IS1_Inv2_M4]])</f>
        <v>55322</v>
      </c>
      <c r="AU21" s="82">
        <f>SUM(RD[[#This Row],[IS2_Inv1]:[IS2_Inv2]])</f>
        <v>17388</v>
      </c>
      <c r="AV21" s="80"/>
      <c r="AW21" s="83"/>
      <c r="AX21" s="80"/>
      <c r="AY21" s="80"/>
      <c r="AZ21" s="80"/>
      <c r="BA21" s="83">
        <f>IFERROR(SUM(RD[[#This Row],[PSEGPL]:[O2R10]]),"")</f>
        <v>127279</v>
      </c>
      <c r="BB21" s="80">
        <v>1359</v>
      </c>
      <c r="BC21" s="83">
        <v>211880</v>
      </c>
      <c r="BD21" s="83">
        <v>1186</v>
      </c>
      <c r="BE21" s="83">
        <v>192268</v>
      </c>
      <c r="BF21" s="83">
        <v>1653</v>
      </c>
      <c r="BG21" s="83">
        <v>215826</v>
      </c>
      <c r="BH21" s="83">
        <v>2430</v>
      </c>
      <c r="BI21" s="83">
        <v>206752</v>
      </c>
      <c r="BJ21" s="101">
        <f>IF((RD[[#This Row],[33 kV F5 Export Reading_Gss End]]-AM20)*1000&lt;0,0,(RD[[#This Row],[33 kV F5 Export Reading_Gss End]]-AM20)*1000)</f>
        <v>125822.50000000931</v>
      </c>
      <c r="BK21" s="83">
        <f>IF((RD[[#This Row],[33 kV F5 Import Reading_GSS End2]]-AN20)*1000&lt;0,0,(RD[[#This Row],[33 kV F5 Import Reading_GSS End2]]-AN20)*1000)</f>
        <v>1125.2999999999247</v>
      </c>
      <c r="BL21" s="84">
        <f>RD[[#This Row],[Export  (kWh)]]-RD[[#This Row],[Import (kWh)]]</f>
        <v>124697.20000000938</v>
      </c>
      <c r="BM21" s="84">
        <f>RD[[#This Row],[Inverters Generation ( kWh)]]-RD[[#This Row],[Export  (kWh)]]</f>
        <v>1456.4999999906868</v>
      </c>
      <c r="BN21">
        <f t="shared" ref="BN21:BN84" si="12">IF(AND(BC21="",BE21=""),"",(((BC21-BC20)*MF_Cap_HCCB)+((BE21-BE20)*MF_Cap_Pepsico)))</f>
        <v>54075</v>
      </c>
      <c r="BO21">
        <f t="shared" ref="BO21:BO84" si="13">IF(AND(BB21="",BD21=""),"",(((BB21-BB20)*MF_Cap_HCCB)+((BD21-BD20)*MF_Cap_Pepsico)))</f>
        <v>270</v>
      </c>
      <c r="BP21" s="185">
        <f t="shared" si="7"/>
        <v>72750</v>
      </c>
      <c r="BQ21" s="185">
        <f t="shared" si="9"/>
        <v>868.5</v>
      </c>
      <c r="BR21" s="185">
        <f t="shared" si="11"/>
        <v>11.983333333333334</v>
      </c>
    </row>
    <row r="22" spans="1:70" ht="15" customHeight="1" x14ac:dyDescent="0.35">
      <c r="A22" s="85">
        <f t="shared" si="8"/>
        <v>45763</v>
      </c>
      <c r="B22" s="80">
        <f>YEAR(RD[[#This Row],[Date]])+IF(MONTH(RD[[#This Row],[Date]])&gt;=4,1,0)</f>
        <v>2026</v>
      </c>
      <c r="C22" s="80">
        <f>YEAR(RD[[#This Row],[Month Year]])</f>
        <v>2025</v>
      </c>
      <c r="D22" s="99" t="s">
        <v>4</v>
      </c>
      <c r="E22" s="99" t="s">
        <v>4</v>
      </c>
      <c r="F22" s="80" t="str">
        <f t="shared" si="10"/>
        <v>Apr-25</v>
      </c>
      <c r="G22" s="79">
        <f>DAY(EOMONTH(RD[[#This Row],[Month Year]],0))</f>
        <v>30</v>
      </c>
      <c r="H22" s="100">
        <v>24.303100000000001</v>
      </c>
      <c r="I22" s="162">
        <v>0.27430555555555558</v>
      </c>
      <c r="J22" s="162">
        <v>0.77152777777777781</v>
      </c>
      <c r="K22" s="79">
        <v>4699</v>
      </c>
      <c r="L22" s="79">
        <v>5441</v>
      </c>
      <c r="M22" s="79">
        <v>4627</v>
      </c>
      <c r="N22" s="179">
        <v>3233</v>
      </c>
      <c r="O22" s="179">
        <v>5575</v>
      </c>
      <c r="P22" s="179">
        <v>4800</v>
      </c>
      <c r="Q22" s="179">
        <v>5304</v>
      </c>
      <c r="R22" s="179">
        <v>4663</v>
      </c>
      <c r="S22" s="179">
        <v>5366</v>
      </c>
      <c r="T22" s="179">
        <v>4740</v>
      </c>
      <c r="U22" s="79">
        <v>6265</v>
      </c>
      <c r="V22" s="79">
        <v>6178</v>
      </c>
      <c r="W22" s="79">
        <v>6446</v>
      </c>
      <c r="X22" s="79">
        <v>6505</v>
      </c>
      <c r="Y22" s="79">
        <v>6454</v>
      </c>
      <c r="Z22" s="79">
        <v>6376</v>
      </c>
      <c r="AA22" s="79">
        <v>6425</v>
      </c>
      <c r="AB22" s="79">
        <v>6293</v>
      </c>
      <c r="AC22" s="79">
        <v>7855</v>
      </c>
      <c r="AD22" s="79">
        <v>8243</v>
      </c>
      <c r="AE22" s="79"/>
      <c r="AF22" s="79"/>
      <c r="AG22" s="79"/>
      <c r="AH22" s="79"/>
      <c r="AI22" s="79"/>
      <c r="AJ22" s="79"/>
      <c r="AK22" s="79"/>
      <c r="AL22" s="79"/>
      <c r="AM22" s="80">
        <v>145745.40408000001</v>
      </c>
      <c r="AN22" s="80">
        <v>579.45352000000003</v>
      </c>
      <c r="AO22" s="80"/>
      <c r="AP22" s="80">
        <v>6.391</v>
      </c>
      <c r="AQ22" s="82">
        <v>6.4</v>
      </c>
      <c r="AR22" s="82">
        <f>IF(RD[[#This Row],[POA(kWh/m2)_O2R6]]="",RD[[#This Row],[POA(kWh/m2)_PSEGPL]],(RD[[#This Row],[POA(kWh/m2)_PSEGPL]]*('Basic Data'!$V$2/'Basic Data'!$V$4))+(RD[[#This Row],[POA(kWh/m2)_O2R6]]*('Basic Data'!$V$3/'Basic Data'!$V$4)))</f>
        <v>6.3957361202635914</v>
      </c>
      <c r="AS22" s="82">
        <f>SUM(RD[[#This Row],[G1 Inv1]:[G5 Inv10]])</f>
        <v>48448</v>
      </c>
      <c r="AT22" s="82">
        <f>SUM(RD[[#This Row],[IS1_Inv1_M1]:[IS1_Inv2_M4]])</f>
        <v>50942</v>
      </c>
      <c r="AU22" s="82">
        <f>SUM(RD[[#This Row],[IS2_Inv1]:[IS2_Inv2]])</f>
        <v>16098</v>
      </c>
      <c r="AV22" s="80"/>
      <c r="AW22" s="83"/>
      <c r="AX22" s="80"/>
      <c r="AY22" s="80"/>
      <c r="AZ22" s="80"/>
      <c r="BA22" s="83">
        <f>IFERROR(SUM(RD[[#This Row],[PSEGPL]:[O2R10]]),"")</f>
        <v>115488</v>
      </c>
      <c r="BB22" s="80">
        <v>1361</v>
      </c>
      <c r="BC22" s="83">
        <v>212350</v>
      </c>
      <c r="BD22" s="83">
        <v>1188</v>
      </c>
      <c r="BE22" s="83">
        <v>192709</v>
      </c>
      <c r="BF22" s="83">
        <v>1657</v>
      </c>
      <c r="BG22" s="83">
        <v>216394</v>
      </c>
      <c r="BH22" s="83">
        <v>2440</v>
      </c>
      <c r="BI22" s="83">
        <v>207290</v>
      </c>
      <c r="BJ22" s="101">
        <f>IF((RD[[#This Row],[33 kV F5 Export Reading_Gss End]]-AM21)*1000&lt;0,0,(RD[[#This Row],[33 kV F5 Export Reading_Gss End]]-AM21)*1000)</f>
        <v>114250.78000000212</v>
      </c>
      <c r="BK22" s="83">
        <f>IF((RD[[#This Row],[33 kV F5 Import Reading_GSS End2]]-AN21)*1000&lt;0,0,(RD[[#This Row],[33 kV F5 Import Reading_GSS End2]]-AN21)*1000)</f>
        <v>707.92000000005828</v>
      </c>
      <c r="BL22" s="84">
        <f>RD[[#This Row],[Export  (kWh)]]-RD[[#This Row],[Import (kWh)]]</f>
        <v>113542.86000000207</v>
      </c>
      <c r="BM22" s="84">
        <f>RD[[#This Row],[Inverters Generation ( kWh)]]-RD[[#This Row],[Export  (kWh)]]</f>
        <v>1237.2199999978766</v>
      </c>
      <c r="BN22">
        <f t="shared" si="12"/>
        <v>48045</v>
      </c>
      <c r="BO22">
        <f t="shared" si="13"/>
        <v>210</v>
      </c>
      <c r="BP22" s="185">
        <f t="shared" si="7"/>
        <v>67260</v>
      </c>
      <c r="BQ22" s="185">
        <f t="shared" si="9"/>
        <v>778.8</v>
      </c>
      <c r="BR22" s="185">
        <f t="shared" si="11"/>
        <v>11.933333333333334</v>
      </c>
    </row>
    <row r="23" spans="1:70" ht="15" customHeight="1" x14ac:dyDescent="0.35">
      <c r="A23" s="85">
        <f t="shared" si="8"/>
        <v>45764</v>
      </c>
      <c r="B23" s="80">
        <f>YEAR(RD[[#This Row],[Date]])+IF(MONTH(RD[[#This Row],[Date]])&gt;=4,1,0)</f>
        <v>2026</v>
      </c>
      <c r="C23" s="80">
        <f>YEAR(RD[[#This Row],[Month Year]])</f>
        <v>2025</v>
      </c>
      <c r="D23" s="99" t="s">
        <v>4</v>
      </c>
      <c r="E23" s="99" t="s">
        <v>4</v>
      </c>
      <c r="F23" s="80" t="str">
        <f t="shared" si="10"/>
        <v>Apr-25</v>
      </c>
      <c r="G23" s="79">
        <f>DAY(EOMONTH(RD[[#This Row],[Month Year]],0))</f>
        <v>30</v>
      </c>
      <c r="H23" s="100">
        <v>24.303100000000001</v>
      </c>
      <c r="I23" s="162">
        <v>0.27013888888888887</v>
      </c>
      <c r="J23" s="162">
        <v>0.76736111111111116</v>
      </c>
      <c r="K23" s="79">
        <v>4547</v>
      </c>
      <c r="L23" s="79">
        <v>5269</v>
      </c>
      <c r="M23" s="79">
        <v>4479</v>
      </c>
      <c r="N23" s="179">
        <v>4323</v>
      </c>
      <c r="O23" s="179">
        <v>5393</v>
      </c>
      <c r="P23" s="179">
        <v>4631</v>
      </c>
      <c r="Q23" s="179">
        <v>5132</v>
      </c>
      <c r="R23" s="179">
        <v>4521</v>
      </c>
      <c r="S23" s="179">
        <v>5213</v>
      </c>
      <c r="T23" s="179">
        <v>4705</v>
      </c>
      <c r="U23" s="79">
        <v>6052</v>
      </c>
      <c r="V23" s="79">
        <v>5981</v>
      </c>
      <c r="W23" s="79">
        <v>6224</v>
      </c>
      <c r="X23" s="79">
        <v>6249</v>
      </c>
      <c r="Y23" s="79">
        <v>6245</v>
      </c>
      <c r="Z23" s="79">
        <v>6206</v>
      </c>
      <c r="AA23" s="79">
        <v>6246</v>
      </c>
      <c r="AB23" s="79">
        <v>6074</v>
      </c>
      <c r="AC23" s="79">
        <v>7521</v>
      </c>
      <c r="AD23" s="79">
        <v>8001</v>
      </c>
      <c r="AE23" s="79"/>
      <c r="AF23" s="79"/>
      <c r="AG23" s="79"/>
      <c r="AH23" s="79"/>
      <c r="AI23" s="79"/>
      <c r="AJ23" s="79"/>
      <c r="AK23" s="79"/>
      <c r="AL23" s="79"/>
      <c r="AM23" s="80">
        <v>145857.2401</v>
      </c>
      <c r="AN23" s="80">
        <v>580.34469999999999</v>
      </c>
      <c r="AO23" s="80"/>
      <c r="AP23" s="80">
        <v>6.14</v>
      </c>
      <c r="AQ23" s="82">
        <v>6.1</v>
      </c>
      <c r="AR23" s="82">
        <f>IF(RD[[#This Row],[POA(kWh/m2)_O2R6]]="",RD[[#This Row],[POA(kWh/m2)_PSEGPL]],(RD[[#This Row],[POA(kWh/m2)_PSEGPL]]*('Basic Data'!$V$2/'Basic Data'!$V$4))+(RD[[#This Row],[POA(kWh/m2)_O2R6]]*('Basic Data'!$V$3/'Basic Data'!$V$4)))</f>
        <v>6.1189505766062595</v>
      </c>
      <c r="AS23" s="82">
        <f>SUM(RD[[#This Row],[G1 Inv1]:[G5 Inv10]])</f>
        <v>48213</v>
      </c>
      <c r="AT23" s="82">
        <f>SUM(RD[[#This Row],[IS1_Inv1_M1]:[IS1_Inv2_M4]])</f>
        <v>49277</v>
      </c>
      <c r="AU23" s="82">
        <f>SUM(RD[[#This Row],[IS2_Inv1]:[IS2_Inv2]])</f>
        <v>15522</v>
      </c>
      <c r="AV23" s="80"/>
      <c r="AW23" s="83"/>
      <c r="AX23" s="80"/>
      <c r="AY23" s="80"/>
      <c r="AZ23" s="80"/>
      <c r="BA23" s="83">
        <f>IFERROR(SUM(RD[[#This Row],[PSEGPL]:[O2R10]]),"")</f>
        <v>113012</v>
      </c>
      <c r="BB23" s="80">
        <v>1364</v>
      </c>
      <c r="BC23" s="83">
        <v>212823</v>
      </c>
      <c r="BD23" s="83">
        <v>1190</v>
      </c>
      <c r="BE23" s="83">
        <v>193139</v>
      </c>
      <c r="BF23" s="83">
        <v>1661</v>
      </c>
      <c r="BG23" s="83">
        <v>216944</v>
      </c>
      <c r="BH23" s="83">
        <v>2451</v>
      </c>
      <c r="BI23" s="83">
        <v>207809</v>
      </c>
      <c r="BJ23" s="101">
        <f>IF((RD[[#This Row],[33 kV F5 Export Reading_Gss End]]-AM22)*1000&lt;0,0,(RD[[#This Row],[33 kV F5 Export Reading_Gss End]]-AM22)*1000)</f>
        <v>111836.01999998791</v>
      </c>
      <c r="BK23" s="83">
        <f>IF((RD[[#This Row],[33 kV F5 Import Reading_GSS End2]]-AN22)*1000&lt;0,0,(RD[[#This Row],[33 kV F5 Import Reading_GSS End2]]-AN22)*1000)</f>
        <v>891.179999999963</v>
      </c>
      <c r="BL23" s="84">
        <f>RD[[#This Row],[Export  (kWh)]]-RD[[#This Row],[Import (kWh)]]</f>
        <v>110944.83999998795</v>
      </c>
      <c r="BM23" s="84">
        <f>RD[[#This Row],[Inverters Generation ( kWh)]]-RD[[#This Row],[Export  (kWh)]]</f>
        <v>1175.9800000120886</v>
      </c>
      <c r="BN23">
        <f t="shared" si="12"/>
        <v>47730</v>
      </c>
      <c r="BO23">
        <f t="shared" si="13"/>
        <v>270</v>
      </c>
      <c r="BP23" s="185">
        <f t="shared" si="7"/>
        <v>65070</v>
      </c>
      <c r="BQ23" s="185">
        <f t="shared" si="9"/>
        <v>808.8</v>
      </c>
      <c r="BR23" s="185">
        <f t="shared" si="11"/>
        <v>11.933333333333335</v>
      </c>
    </row>
    <row r="24" spans="1:70" ht="15" customHeight="1" x14ac:dyDescent="0.35">
      <c r="A24" s="85">
        <f t="shared" si="8"/>
        <v>45765</v>
      </c>
      <c r="B24" s="80">
        <f>YEAR(RD[[#This Row],[Date]])+IF(MONTH(RD[[#This Row],[Date]])&gt;=4,1,0)</f>
        <v>2026</v>
      </c>
      <c r="C24" s="80">
        <f>YEAR(RD[[#This Row],[Month Year]])</f>
        <v>2025</v>
      </c>
      <c r="D24" s="99" t="s">
        <v>4</v>
      </c>
      <c r="E24" s="99" t="s">
        <v>4</v>
      </c>
      <c r="F24" s="80" t="str">
        <f t="shared" si="10"/>
        <v>Apr-25</v>
      </c>
      <c r="G24" s="79">
        <f>DAY(EOMONTH(RD[[#This Row],[Month Year]],0))</f>
        <v>30</v>
      </c>
      <c r="H24" s="100">
        <v>24.303100000000001</v>
      </c>
      <c r="I24" s="162">
        <v>0.26944444444444443</v>
      </c>
      <c r="J24" s="162">
        <v>0.76736111111111116</v>
      </c>
      <c r="K24" s="79">
        <v>4899</v>
      </c>
      <c r="L24" s="79">
        <v>5686</v>
      </c>
      <c r="M24" s="79">
        <v>4832</v>
      </c>
      <c r="N24" s="179">
        <v>5621</v>
      </c>
      <c r="O24" s="179">
        <v>5805</v>
      </c>
      <c r="P24" s="179">
        <v>4979</v>
      </c>
      <c r="Q24" s="179">
        <v>5533</v>
      </c>
      <c r="R24" s="179">
        <v>4865</v>
      </c>
      <c r="S24" s="179">
        <v>5724</v>
      </c>
      <c r="T24" s="179">
        <v>5083</v>
      </c>
      <c r="U24" s="79">
        <v>6613</v>
      </c>
      <c r="V24" s="79">
        <v>6561</v>
      </c>
      <c r="W24" s="79">
        <v>6886</v>
      </c>
      <c r="X24" s="79">
        <v>6942</v>
      </c>
      <c r="Y24" s="79">
        <v>6878</v>
      </c>
      <c r="Z24" s="79">
        <v>6792</v>
      </c>
      <c r="AA24" s="79">
        <v>6818</v>
      </c>
      <c r="AB24" s="79">
        <v>6615</v>
      </c>
      <c r="AC24" s="79">
        <v>8188</v>
      </c>
      <c r="AD24" s="79">
        <v>8663</v>
      </c>
      <c r="AE24" s="79"/>
      <c r="AF24" s="79"/>
      <c r="AG24" s="79"/>
      <c r="AH24" s="79"/>
      <c r="AI24" s="79"/>
      <c r="AJ24" s="79"/>
      <c r="AK24" s="79"/>
      <c r="AL24" s="79"/>
      <c r="AM24" s="80">
        <v>145979.7954</v>
      </c>
      <c r="AN24" s="80">
        <v>581.30960000000005</v>
      </c>
      <c r="AO24" s="80"/>
      <c r="AP24" s="80">
        <v>6.82</v>
      </c>
      <c r="AQ24" s="82">
        <v>6.58</v>
      </c>
      <c r="AR24" s="82">
        <f>IF(RD[[#This Row],[POA(kWh/m2)_O2R6]]="",RD[[#This Row],[POA(kWh/m2)_PSEGPL]],(RD[[#This Row],[POA(kWh/m2)_PSEGPL]]*('Basic Data'!$V$2/'Basic Data'!$V$4))+(RD[[#This Row],[POA(kWh/m2)_O2R6]]*('Basic Data'!$V$3/'Basic Data'!$V$4)))</f>
        <v>6.6937034596375611</v>
      </c>
      <c r="AS24" s="82">
        <f>SUM(RD[[#This Row],[G1 Inv1]:[G5 Inv10]])</f>
        <v>53027</v>
      </c>
      <c r="AT24" s="82">
        <f>SUM(RD[[#This Row],[IS1_Inv1_M1]:[IS1_Inv2_M4]])</f>
        <v>54105</v>
      </c>
      <c r="AU24" s="82">
        <f>SUM(RD[[#This Row],[IS2_Inv1]:[IS2_Inv2]])</f>
        <v>16851</v>
      </c>
      <c r="AV24" s="80"/>
      <c r="AW24" s="83"/>
      <c r="AX24" s="80"/>
      <c r="AY24" s="80"/>
      <c r="AZ24" s="80"/>
      <c r="BA24" s="83">
        <f>IFERROR(SUM(RD[[#This Row],[PSEGPL]:[O2R10]]),"")</f>
        <v>123983</v>
      </c>
      <c r="BB24" s="80">
        <v>1366</v>
      </c>
      <c r="BC24" s="83">
        <v>213349</v>
      </c>
      <c r="BD24" s="83">
        <v>1192</v>
      </c>
      <c r="BE24" s="83">
        <v>193605</v>
      </c>
      <c r="BF24" s="83">
        <v>1665</v>
      </c>
      <c r="BG24" s="83">
        <v>217546</v>
      </c>
      <c r="BH24" s="83">
        <v>2461</v>
      </c>
      <c r="BI24" s="83">
        <v>208372</v>
      </c>
      <c r="BJ24" s="101">
        <f>IF((RD[[#This Row],[33 kV F5 Export Reading_Gss End]]-AM23)*1000&lt;0,0,(RD[[#This Row],[33 kV F5 Export Reading_Gss End]]-AM23)*1000)</f>
        <v>122555.30000000726</v>
      </c>
      <c r="BK24" s="83">
        <f>IF((RD[[#This Row],[33 kV F5 Import Reading_GSS End2]]-AN23)*1000&lt;0,0,(RD[[#This Row],[33 kV F5 Import Reading_GSS End2]]-AN23)*1000)</f>
        <v>964.90000000005693</v>
      </c>
      <c r="BL24" s="84">
        <f>RD[[#This Row],[Export  (kWh)]]-RD[[#This Row],[Import (kWh)]]</f>
        <v>121590.40000000721</v>
      </c>
      <c r="BM24" s="84">
        <f>RD[[#This Row],[Inverters Generation ( kWh)]]-RD[[#This Row],[Export  (kWh)]]</f>
        <v>1427.6999999927357</v>
      </c>
      <c r="BN24">
        <f t="shared" si="12"/>
        <v>52530</v>
      </c>
      <c r="BO24">
        <f t="shared" si="13"/>
        <v>210</v>
      </c>
      <c r="BP24" s="185">
        <f t="shared" si="7"/>
        <v>71070</v>
      </c>
      <c r="BQ24" s="185">
        <f t="shared" si="9"/>
        <v>778.8</v>
      </c>
      <c r="BR24" s="185">
        <f t="shared" si="11"/>
        <v>11.950000000000001</v>
      </c>
    </row>
    <row r="25" spans="1:70" ht="15" customHeight="1" x14ac:dyDescent="0.35">
      <c r="A25" s="85">
        <f t="shared" si="8"/>
        <v>45766</v>
      </c>
      <c r="B25" s="80">
        <f>YEAR(RD[[#This Row],[Date]])+IF(MONTH(RD[[#This Row],[Date]])&gt;=4,1,0)</f>
        <v>2026</v>
      </c>
      <c r="C25" s="80">
        <f>YEAR(RD[[#This Row],[Month Year]])</f>
        <v>2025</v>
      </c>
      <c r="D25" s="99" t="s">
        <v>4</v>
      </c>
      <c r="E25" s="99" t="s">
        <v>4</v>
      </c>
      <c r="F25" s="80" t="str">
        <f t="shared" si="10"/>
        <v>Apr-25</v>
      </c>
      <c r="G25" s="79">
        <f>DAY(EOMONTH(RD[[#This Row],[Month Year]],0))</f>
        <v>30</v>
      </c>
      <c r="H25" s="100">
        <v>24.303100000000001</v>
      </c>
      <c r="I25" s="162">
        <v>0.26874999999999999</v>
      </c>
      <c r="J25" s="162">
        <v>0.77083333333333337</v>
      </c>
      <c r="K25" s="79">
        <v>5058</v>
      </c>
      <c r="L25" s="79">
        <v>5864</v>
      </c>
      <c r="M25" s="79">
        <v>4981</v>
      </c>
      <c r="N25" s="179">
        <v>3913</v>
      </c>
      <c r="O25" s="179">
        <v>5990</v>
      </c>
      <c r="P25" s="179">
        <v>5130</v>
      </c>
      <c r="Q25" s="179">
        <v>5731</v>
      </c>
      <c r="R25" s="179">
        <v>5087</v>
      </c>
      <c r="S25" s="179">
        <v>5964</v>
      </c>
      <c r="T25" s="179">
        <v>5237</v>
      </c>
      <c r="U25" s="79">
        <v>6886</v>
      </c>
      <c r="V25" s="79">
        <v>6857</v>
      </c>
      <c r="W25" s="79">
        <v>7206</v>
      </c>
      <c r="X25" s="79">
        <v>7296</v>
      </c>
      <c r="Y25" s="79">
        <v>7171</v>
      </c>
      <c r="Z25" s="79">
        <v>7069</v>
      </c>
      <c r="AA25" s="79">
        <v>7103</v>
      </c>
      <c r="AB25" s="79">
        <v>6889</v>
      </c>
      <c r="AC25" s="79">
        <v>8532</v>
      </c>
      <c r="AD25" s="79">
        <v>8971</v>
      </c>
      <c r="AE25" s="79"/>
      <c r="AF25" s="79"/>
      <c r="AG25" s="79"/>
      <c r="AH25" s="79"/>
      <c r="AI25" s="79"/>
      <c r="AJ25" s="79"/>
      <c r="AK25" s="79"/>
      <c r="AL25" s="79"/>
      <c r="AM25" s="80">
        <v>146105.27189999999</v>
      </c>
      <c r="AN25" s="80">
        <v>582.28070000000002</v>
      </c>
      <c r="AO25" s="80"/>
      <c r="AP25" s="80">
        <v>6.93</v>
      </c>
      <c r="AQ25" s="82">
        <v>6.84</v>
      </c>
      <c r="AR25" s="82">
        <f>IF(RD[[#This Row],[POA(kWh/m2)_O2R6]]="",RD[[#This Row],[POA(kWh/m2)_PSEGPL]],(RD[[#This Row],[POA(kWh/m2)_PSEGPL]]*('Basic Data'!$V$2/'Basic Data'!$V$4))+(RD[[#This Row],[POA(kWh/m2)_O2R6]]*('Basic Data'!$V$3/'Basic Data'!$V$4)))</f>
        <v>6.882638797364085</v>
      </c>
      <c r="AS25" s="82">
        <f>SUM(RD[[#This Row],[G1 Inv1]:[G5 Inv10]])</f>
        <v>52955</v>
      </c>
      <c r="AT25" s="82">
        <f>SUM(RD[[#This Row],[IS1_Inv1_M1]:[IS1_Inv2_M4]])</f>
        <v>56477</v>
      </c>
      <c r="AU25" s="82">
        <f>SUM(RD[[#This Row],[IS2_Inv1]:[IS2_Inv2]])</f>
        <v>17503</v>
      </c>
      <c r="AV25" s="80"/>
      <c r="AW25" s="83"/>
      <c r="AX25" s="80"/>
      <c r="AY25" s="80"/>
      <c r="AZ25" s="80"/>
      <c r="BA25" s="83">
        <f>IFERROR(SUM(RD[[#This Row],[PSEGPL]:[O2R10]]),"")</f>
        <v>126935</v>
      </c>
      <c r="BB25" s="80">
        <v>1369</v>
      </c>
      <c r="BC25" s="83">
        <v>213861</v>
      </c>
      <c r="BD25" s="83">
        <v>1195</v>
      </c>
      <c r="BE25" s="83">
        <v>194089</v>
      </c>
      <c r="BF25" s="83">
        <v>1670</v>
      </c>
      <c r="BG25" s="83">
        <v>218174</v>
      </c>
      <c r="BH25" s="83">
        <v>2472</v>
      </c>
      <c r="BI25" s="83">
        <v>208956</v>
      </c>
      <c r="BJ25" s="101">
        <f>IF((RD[[#This Row],[33 kV F5 Export Reading_Gss End]]-AM24)*1000&lt;0,0,(RD[[#This Row],[33 kV F5 Export Reading_Gss End]]-AM24)*1000)</f>
        <v>125476.49999998976</v>
      </c>
      <c r="BK25" s="83">
        <f>IF((RD[[#This Row],[33 kV F5 Import Reading_GSS End2]]-AN24)*1000&lt;0,0,(RD[[#This Row],[33 kV F5 Import Reading_GSS End2]]-AN24)*1000)</f>
        <v>971.09999999997854</v>
      </c>
      <c r="BL25" s="84">
        <f>RD[[#This Row],[Export  (kWh)]]-RD[[#This Row],[Import (kWh)]]</f>
        <v>124505.39999998978</v>
      </c>
      <c r="BM25" s="84">
        <f>RD[[#This Row],[Inverters Generation ( kWh)]]-RD[[#This Row],[Export  (kWh)]]</f>
        <v>1458.5000000102445</v>
      </c>
      <c r="BN25">
        <f t="shared" si="12"/>
        <v>52500</v>
      </c>
      <c r="BO25">
        <f t="shared" si="13"/>
        <v>315</v>
      </c>
      <c r="BP25" s="185">
        <f t="shared" si="7"/>
        <v>74040</v>
      </c>
      <c r="BQ25" s="185">
        <f t="shared" si="9"/>
        <v>928.5</v>
      </c>
      <c r="BR25" s="185">
        <f t="shared" si="11"/>
        <v>12.050000000000002</v>
      </c>
    </row>
    <row r="26" spans="1:70" ht="15" customHeight="1" x14ac:dyDescent="0.35">
      <c r="A26" s="85">
        <f t="shared" si="8"/>
        <v>45767</v>
      </c>
      <c r="B26" s="80">
        <f>YEAR(RD[[#This Row],[Date]])+IF(MONTH(RD[[#This Row],[Date]])&gt;=4,1,0)</f>
        <v>2026</v>
      </c>
      <c r="C26" s="80">
        <f>YEAR(RD[[#This Row],[Month Year]])</f>
        <v>2025</v>
      </c>
      <c r="D26" s="99" t="s">
        <v>4</v>
      </c>
      <c r="E26" s="99" t="s">
        <v>4</v>
      </c>
      <c r="F26" s="80" t="str">
        <f t="shared" si="10"/>
        <v>Apr-25</v>
      </c>
      <c r="G26" s="79">
        <f>DAY(EOMONTH(RD[[#This Row],[Month Year]],0))</f>
        <v>30</v>
      </c>
      <c r="H26" s="100">
        <v>24.303100000000001</v>
      </c>
      <c r="I26" s="162">
        <v>0.27291666666666664</v>
      </c>
      <c r="J26" s="162">
        <v>0.77083333333333337</v>
      </c>
      <c r="K26" s="79">
        <v>5081</v>
      </c>
      <c r="L26" s="79">
        <v>5865</v>
      </c>
      <c r="M26" s="79">
        <v>4999</v>
      </c>
      <c r="N26" s="179">
        <v>5825</v>
      </c>
      <c r="O26" s="179">
        <v>6020</v>
      </c>
      <c r="P26" s="179">
        <v>5151</v>
      </c>
      <c r="Q26" s="179">
        <v>5773</v>
      </c>
      <c r="R26" s="179">
        <v>5167</v>
      </c>
      <c r="S26" s="179">
        <v>5957</v>
      </c>
      <c r="T26" s="179">
        <v>5214</v>
      </c>
      <c r="U26" s="79">
        <v>6962</v>
      </c>
      <c r="V26" s="79">
        <v>6952</v>
      </c>
      <c r="W26" s="79">
        <v>7309</v>
      </c>
      <c r="X26" s="79">
        <v>7364</v>
      </c>
      <c r="Y26" s="79">
        <v>7310</v>
      </c>
      <c r="Z26" s="79">
        <v>7182</v>
      </c>
      <c r="AA26" s="79">
        <v>7173</v>
      </c>
      <c r="AB26" s="79">
        <v>6954</v>
      </c>
      <c r="AC26" s="79">
        <v>8597</v>
      </c>
      <c r="AD26" s="79">
        <v>9012</v>
      </c>
      <c r="AE26" s="79"/>
      <c r="AF26" s="79"/>
      <c r="AG26" s="79"/>
      <c r="AH26" s="79"/>
      <c r="AI26" s="79"/>
      <c r="AJ26" s="79"/>
      <c r="AK26" s="79"/>
      <c r="AL26" s="79"/>
      <c r="AM26" s="80">
        <v>146233.67120000001</v>
      </c>
      <c r="AN26" s="80">
        <v>583.2681</v>
      </c>
      <c r="AO26" s="80"/>
      <c r="AP26" s="80">
        <v>7.2</v>
      </c>
      <c r="AQ26" s="82">
        <v>7</v>
      </c>
      <c r="AR26" s="82">
        <f>IF(RD[[#This Row],[POA(kWh/m2)_O2R6]]="",RD[[#This Row],[POA(kWh/m2)_PSEGPL]],(RD[[#This Row],[POA(kWh/m2)_PSEGPL]]*('Basic Data'!$V$2/'Basic Data'!$V$4))+(RD[[#This Row],[POA(kWh/m2)_O2R6]]*('Basic Data'!$V$3/'Basic Data'!$V$4)))</f>
        <v>7.0947528830313011</v>
      </c>
      <c r="AS26" s="82">
        <f>SUM(RD[[#This Row],[G1 Inv1]:[G5 Inv10]])</f>
        <v>55052</v>
      </c>
      <c r="AT26" s="82">
        <f>SUM(RD[[#This Row],[IS1_Inv1_M1]:[IS1_Inv2_M4]])</f>
        <v>57206</v>
      </c>
      <c r="AU26" s="82">
        <f>SUM(RD[[#This Row],[IS2_Inv1]:[IS2_Inv2]])</f>
        <v>17609</v>
      </c>
      <c r="AV26" s="80"/>
      <c r="AW26" s="83"/>
      <c r="AX26" s="80"/>
      <c r="AY26" s="80"/>
      <c r="AZ26" s="80"/>
      <c r="BA26" s="83">
        <f>IFERROR(SUM(RD[[#This Row],[PSEGPL]:[O2R10]]),"")</f>
        <v>129867</v>
      </c>
      <c r="BB26" s="80">
        <v>1372</v>
      </c>
      <c r="BC26" s="83">
        <v>214406</v>
      </c>
      <c r="BD26" s="83">
        <v>1197</v>
      </c>
      <c r="BE26" s="83">
        <v>194575</v>
      </c>
      <c r="BF26" s="83">
        <v>1674</v>
      </c>
      <c r="BG26" s="83">
        <v>218810</v>
      </c>
      <c r="BH26" s="83">
        <v>2482</v>
      </c>
      <c r="BI26" s="83">
        <v>209544</v>
      </c>
      <c r="BJ26" s="101">
        <f>IF((RD[[#This Row],[33 kV F5 Export Reading_Gss End]]-AM25)*1000&lt;0,0,(RD[[#This Row],[33 kV F5 Export Reading_Gss End]]-AM25)*1000)</f>
        <v>128399.30000001914</v>
      </c>
      <c r="BK26" s="83">
        <f>IF((RD[[#This Row],[33 kV F5 Import Reading_GSS End2]]-AN25)*1000&lt;0,0,(RD[[#This Row],[33 kV F5 Import Reading_GSS End2]]-AN25)*1000)</f>
        <v>987.39999999997963</v>
      </c>
      <c r="BL26" s="84">
        <f>RD[[#This Row],[Export  (kWh)]]-RD[[#This Row],[Import (kWh)]]</f>
        <v>127411.90000001916</v>
      </c>
      <c r="BM26" s="84">
        <f>RD[[#This Row],[Inverters Generation ( kWh)]]-RD[[#This Row],[Export  (kWh)]]</f>
        <v>1467.6999999808613</v>
      </c>
      <c r="BN26">
        <f t="shared" si="12"/>
        <v>54570</v>
      </c>
      <c r="BO26">
        <f t="shared" si="13"/>
        <v>270</v>
      </c>
      <c r="BP26" s="185">
        <f t="shared" si="7"/>
        <v>74880</v>
      </c>
      <c r="BQ26" s="185">
        <f t="shared" si="9"/>
        <v>778.8</v>
      </c>
      <c r="BR26" s="185">
        <f t="shared" si="11"/>
        <v>11.950000000000001</v>
      </c>
    </row>
    <row r="27" spans="1:70" ht="15" customHeight="1" x14ac:dyDescent="0.35">
      <c r="A27" s="85">
        <f t="shared" si="8"/>
        <v>45768</v>
      </c>
      <c r="B27" s="80">
        <f>YEAR(RD[[#This Row],[Date]])+IF(MONTH(RD[[#This Row],[Date]])&gt;=4,1,0)</f>
        <v>2026</v>
      </c>
      <c r="C27" s="80">
        <f>YEAR(RD[[#This Row],[Month Year]])</f>
        <v>2025</v>
      </c>
      <c r="D27" s="99" t="s">
        <v>4</v>
      </c>
      <c r="E27" s="99" t="s">
        <v>4</v>
      </c>
      <c r="F27" s="80" t="str">
        <f t="shared" si="10"/>
        <v>Apr-25</v>
      </c>
      <c r="G27" s="79">
        <f>DAY(EOMONTH(RD[[#This Row],[Month Year]],0))</f>
        <v>30</v>
      </c>
      <c r="H27" s="100">
        <v>24.303100000000001</v>
      </c>
      <c r="I27" s="304">
        <v>0.26527777777777778</v>
      </c>
      <c r="J27" s="304">
        <v>0.77152777777777781</v>
      </c>
      <c r="K27" s="302">
        <v>4977</v>
      </c>
      <c r="L27" s="302">
        <v>5732</v>
      </c>
      <c r="M27" s="302">
        <v>4885</v>
      </c>
      <c r="N27" s="302">
        <v>5721</v>
      </c>
      <c r="O27" s="302">
        <v>5884</v>
      </c>
      <c r="P27" s="302">
        <v>5035</v>
      </c>
      <c r="Q27" s="302">
        <v>5735</v>
      </c>
      <c r="R27" s="302">
        <v>5063</v>
      </c>
      <c r="S27" s="302">
        <v>5818</v>
      </c>
      <c r="T27" s="302">
        <v>5107</v>
      </c>
      <c r="U27" s="302">
        <v>6836</v>
      </c>
      <c r="V27" s="302">
        <v>6822</v>
      </c>
      <c r="W27" s="302">
        <v>7175</v>
      </c>
      <c r="X27" s="302">
        <v>7218</v>
      </c>
      <c r="Y27" s="302">
        <v>7160</v>
      </c>
      <c r="Z27" s="302">
        <v>7053</v>
      </c>
      <c r="AA27" s="302">
        <v>7049</v>
      </c>
      <c r="AB27" s="302">
        <v>6882</v>
      </c>
      <c r="AC27" s="302">
        <v>8415</v>
      </c>
      <c r="AD27" s="302">
        <v>8862</v>
      </c>
      <c r="AE27" s="79"/>
      <c r="AF27" s="79"/>
      <c r="AG27" s="79"/>
      <c r="AH27" s="79"/>
      <c r="AI27" s="79"/>
      <c r="AJ27" s="79"/>
      <c r="AK27" s="79"/>
      <c r="AL27" s="79"/>
      <c r="AM27" s="299">
        <v>146359.63159999999</v>
      </c>
      <c r="AN27" s="299">
        <v>584.08910000000003</v>
      </c>
      <c r="AO27" s="80"/>
      <c r="AP27" s="301">
        <v>7.08</v>
      </c>
      <c r="AQ27" s="302">
        <v>6.9</v>
      </c>
      <c r="AR27" s="82">
        <f>IF(RD[[#This Row],[POA(kWh/m2)_O2R6]]="",RD[[#This Row],[POA(kWh/m2)_PSEGPL]],(RD[[#This Row],[POA(kWh/m2)_PSEGPL]]*('Basic Data'!$V$2/'Basic Data'!$V$4))+(RD[[#This Row],[POA(kWh/m2)_O2R6]]*('Basic Data'!$V$3/'Basic Data'!$V$4)))</f>
        <v>6.9852775947281707</v>
      </c>
      <c r="AS27" s="82">
        <f>SUM(RD[[#This Row],[G1 Inv1]:[G5 Inv10]])</f>
        <v>53957</v>
      </c>
      <c r="AT27" s="82">
        <f>SUM(RD[[#This Row],[IS1_Inv1_M1]:[IS1_Inv2_M4]])</f>
        <v>56195</v>
      </c>
      <c r="AU27" s="82">
        <f>SUM(RD[[#This Row],[IS2_Inv1]:[IS2_Inv2]])</f>
        <v>17277</v>
      </c>
      <c r="AV27" s="80"/>
      <c r="AW27" s="83"/>
      <c r="AX27" s="80"/>
      <c r="AY27" s="80"/>
      <c r="AZ27" s="80"/>
      <c r="BA27" s="83">
        <f>IFERROR(SUM(RD[[#This Row],[PSEGPL]:[O2R10]]),"")</f>
        <v>127429</v>
      </c>
      <c r="BB27" s="301">
        <v>1374</v>
      </c>
      <c r="BC27" s="301">
        <v>214940</v>
      </c>
      <c r="BD27" s="301">
        <v>1199</v>
      </c>
      <c r="BE27" s="301">
        <v>195052</v>
      </c>
      <c r="BF27" s="301">
        <v>1678</v>
      </c>
      <c r="BG27" s="301">
        <v>219436</v>
      </c>
      <c r="BH27" s="301">
        <v>2491</v>
      </c>
      <c r="BI27" s="301">
        <v>210120</v>
      </c>
      <c r="BJ27" s="101">
        <f>IF((RD[[#This Row],[33 kV F5 Export Reading_Gss End]]-AM26)*1000&lt;0,0,(RD[[#This Row],[33 kV F5 Export Reading_Gss End]]-AM26)*1000)</f>
        <v>125960.39999998175</v>
      </c>
      <c r="BK27" s="83">
        <f>IF((RD[[#This Row],[33 kV F5 Import Reading_GSS End2]]-AN26)*1000&lt;0,0,(RD[[#This Row],[33 kV F5 Import Reading_GSS End2]]-AN26)*1000)</f>
        <v>821.00000000002638</v>
      </c>
      <c r="BL27" s="84">
        <f>RD[[#This Row],[Export  (kWh)]]-RD[[#This Row],[Import (kWh)]]</f>
        <v>125139.39999998172</v>
      </c>
      <c r="BM27" s="84">
        <f>RD[[#This Row],[Inverters Generation ( kWh)]]-RD[[#This Row],[Export  (kWh)]]</f>
        <v>1468.6000000182539</v>
      </c>
      <c r="BN27">
        <f t="shared" si="12"/>
        <v>53505</v>
      </c>
      <c r="BO27">
        <f t="shared" si="13"/>
        <v>210</v>
      </c>
      <c r="BP27" s="185">
        <f t="shared" si="7"/>
        <v>73620</v>
      </c>
      <c r="BQ27" s="185">
        <f t="shared" si="9"/>
        <v>748.8</v>
      </c>
      <c r="BR27" s="185">
        <f t="shared" si="11"/>
        <v>12.150000000000002</v>
      </c>
    </row>
    <row r="28" spans="1:70" ht="15" customHeight="1" x14ac:dyDescent="0.35">
      <c r="A28" s="85">
        <f t="shared" si="8"/>
        <v>45769</v>
      </c>
      <c r="B28" s="80">
        <f>YEAR(RD[[#This Row],[Date]])+IF(MONTH(RD[[#This Row],[Date]])&gt;=4,1,0)</f>
        <v>2026</v>
      </c>
      <c r="C28" s="80">
        <f>YEAR(RD[[#This Row],[Month Year]])</f>
        <v>2025</v>
      </c>
      <c r="D28" s="99" t="s">
        <v>4</v>
      </c>
      <c r="E28" s="99" t="s">
        <v>4</v>
      </c>
      <c r="F28" s="80" t="str">
        <f t="shared" si="10"/>
        <v>Apr-25</v>
      </c>
      <c r="G28" s="79">
        <f>DAY(EOMONTH(RD[[#This Row],[Month Year]],0))</f>
        <v>30</v>
      </c>
      <c r="H28" s="100">
        <v>24.303100000000001</v>
      </c>
      <c r="I28" s="304">
        <v>0.2673611111111111</v>
      </c>
      <c r="J28" s="304">
        <v>0.77083333333333337</v>
      </c>
      <c r="K28" s="302">
        <v>4794</v>
      </c>
      <c r="L28" s="302">
        <v>5553</v>
      </c>
      <c r="M28" s="302">
        <v>4736</v>
      </c>
      <c r="N28" s="302">
        <v>5565</v>
      </c>
      <c r="O28" s="302">
        <v>5700</v>
      </c>
      <c r="P28" s="302">
        <v>4883</v>
      </c>
      <c r="Q28" s="302">
        <v>5572</v>
      </c>
      <c r="R28" s="302">
        <v>4902</v>
      </c>
      <c r="S28" s="302">
        <v>5633</v>
      </c>
      <c r="T28" s="302">
        <v>4946</v>
      </c>
      <c r="U28" s="302">
        <v>6647</v>
      </c>
      <c r="V28" s="302">
        <v>6641</v>
      </c>
      <c r="W28" s="302">
        <v>6986</v>
      </c>
      <c r="X28" s="302">
        <v>7031</v>
      </c>
      <c r="Y28" s="302">
        <v>6972</v>
      </c>
      <c r="Z28" s="302">
        <v>6864</v>
      </c>
      <c r="AA28" s="302">
        <v>6858</v>
      </c>
      <c r="AB28" s="302">
        <v>6704</v>
      </c>
      <c r="AC28" s="302">
        <v>8315</v>
      </c>
      <c r="AD28" s="302">
        <v>8763</v>
      </c>
      <c r="AE28" s="79"/>
      <c r="AF28" s="79"/>
      <c r="AG28" s="79"/>
      <c r="AH28" s="79"/>
      <c r="AI28" s="79"/>
      <c r="AJ28" s="79"/>
      <c r="AK28" s="79"/>
      <c r="AL28" s="79"/>
      <c r="AM28" s="300">
        <v>146482.27350000001</v>
      </c>
      <c r="AN28" s="300">
        <v>585.08330000000001</v>
      </c>
      <c r="AO28" s="80"/>
      <c r="AP28" s="303">
        <v>6.95</v>
      </c>
      <c r="AQ28" s="302">
        <v>6.8</v>
      </c>
      <c r="AR28" s="82">
        <f>IF(RD[[#This Row],[POA(kWh/m2)_O2R6]]="",RD[[#This Row],[POA(kWh/m2)_PSEGPL]],(RD[[#This Row],[POA(kWh/m2)_PSEGPL]]*('Basic Data'!$V$2/'Basic Data'!$V$4))+(RD[[#This Row],[POA(kWh/m2)_O2R6]]*('Basic Data'!$V$3/'Basic Data'!$V$4)))</f>
        <v>6.8710646622734757</v>
      </c>
      <c r="AS28" s="82">
        <f>SUM(RD[[#This Row],[G1 Inv1]:[G5 Inv10]])</f>
        <v>52284</v>
      </c>
      <c r="AT28" s="82">
        <f>SUM(RD[[#This Row],[IS1_Inv1_M1]:[IS1_Inv2_M4]])</f>
        <v>54703</v>
      </c>
      <c r="AU28" s="82">
        <f>SUM(RD[[#This Row],[IS2_Inv1]:[IS2_Inv2]])</f>
        <v>17078</v>
      </c>
      <c r="AV28" s="80"/>
      <c r="AW28" s="83"/>
      <c r="AX28" s="80"/>
      <c r="AY28" s="80"/>
      <c r="AZ28" s="80"/>
      <c r="BA28" s="83">
        <f>IFERROR(SUM(RD[[#This Row],[PSEGPL]:[O2R10]]),"")</f>
        <v>124065</v>
      </c>
      <c r="BB28" s="303">
        <v>1377</v>
      </c>
      <c r="BC28" s="303">
        <v>215456</v>
      </c>
      <c r="BD28" s="303">
        <v>1201</v>
      </c>
      <c r="BE28" s="303">
        <v>195515</v>
      </c>
      <c r="BF28" s="303">
        <v>1682</v>
      </c>
      <c r="BG28" s="303">
        <v>220044</v>
      </c>
      <c r="BH28" s="303">
        <v>2501</v>
      </c>
      <c r="BI28" s="303">
        <v>210690</v>
      </c>
      <c r="BJ28" s="101">
        <f>IF((RD[[#This Row],[33 kV F5 Export Reading_Gss End]]-AM27)*1000&lt;0,0,(RD[[#This Row],[33 kV F5 Export Reading_Gss End]]-AM27)*1000)</f>
        <v>122641.9000000169</v>
      </c>
      <c r="BK28" s="83">
        <f>IF((RD[[#This Row],[33 kV F5 Import Reading_GSS End2]]-AN27)*1000&lt;0,0,(RD[[#This Row],[33 kV F5 Import Reading_GSS End2]]-AN27)*1000)</f>
        <v>994.19999999997799</v>
      </c>
      <c r="BL28" s="84">
        <f>RD[[#This Row],[Export  (kWh)]]-RD[[#This Row],[Import (kWh)]]</f>
        <v>121647.70000001692</v>
      </c>
      <c r="BM28" s="84">
        <f>RD[[#This Row],[Inverters Generation ( kWh)]]-RD[[#This Row],[Export  (kWh)]]</f>
        <v>1423.0999999830965</v>
      </c>
      <c r="BN28">
        <f t="shared" si="12"/>
        <v>51795</v>
      </c>
      <c r="BO28">
        <f t="shared" si="13"/>
        <v>270</v>
      </c>
      <c r="BP28" s="185">
        <f t="shared" si="7"/>
        <v>71820</v>
      </c>
      <c r="BQ28" s="185">
        <f t="shared" si="9"/>
        <v>778.8</v>
      </c>
      <c r="BR28" s="185">
        <f t="shared" si="11"/>
        <v>12.083333333333336</v>
      </c>
    </row>
    <row r="29" spans="1:70" ht="15" customHeight="1" x14ac:dyDescent="0.35">
      <c r="A29" s="85">
        <f t="shared" si="8"/>
        <v>45770</v>
      </c>
      <c r="B29" s="80">
        <f>YEAR(RD[[#This Row],[Date]])+IF(MONTH(RD[[#This Row],[Date]])&gt;=4,1,0)</f>
        <v>2026</v>
      </c>
      <c r="C29" s="80">
        <f>YEAR(RD[[#This Row],[Month Year]])</f>
        <v>2025</v>
      </c>
      <c r="D29" s="99" t="s">
        <v>4</v>
      </c>
      <c r="E29" s="99" t="s">
        <v>4</v>
      </c>
      <c r="F29" s="80" t="str">
        <f t="shared" si="10"/>
        <v>Apr-25</v>
      </c>
      <c r="G29" s="79">
        <f>DAY(EOMONTH(RD[[#This Row],[Month Year]],0))</f>
        <v>30</v>
      </c>
      <c r="H29" s="100">
        <v>24.303100000000001</v>
      </c>
      <c r="I29" s="304">
        <v>0.26805555555555555</v>
      </c>
      <c r="J29" s="304">
        <v>0.77083333333333337</v>
      </c>
      <c r="K29" s="302">
        <v>4810</v>
      </c>
      <c r="L29" s="302">
        <v>5513</v>
      </c>
      <c r="M29" s="302">
        <v>4738</v>
      </c>
      <c r="N29" s="302">
        <v>5571</v>
      </c>
      <c r="O29" s="302">
        <v>5650</v>
      </c>
      <c r="P29" s="302">
        <v>4836</v>
      </c>
      <c r="Q29" s="302">
        <v>5550</v>
      </c>
      <c r="R29" s="302">
        <v>4854</v>
      </c>
      <c r="S29" s="302">
        <v>5585</v>
      </c>
      <c r="T29" s="302">
        <v>4905</v>
      </c>
      <c r="U29" s="302">
        <v>6651</v>
      </c>
      <c r="V29" s="302">
        <v>6610</v>
      </c>
      <c r="W29" s="302">
        <v>6932</v>
      </c>
      <c r="X29" s="302">
        <v>6974</v>
      </c>
      <c r="Y29" s="302">
        <v>6910</v>
      </c>
      <c r="Z29" s="302">
        <v>6823</v>
      </c>
      <c r="AA29" s="302">
        <v>6879</v>
      </c>
      <c r="AB29" s="302">
        <v>6708</v>
      </c>
      <c r="AC29" s="302">
        <v>8224</v>
      </c>
      <c r="AD29" s="302">
        <v>8674</v>
      </c>
      <c r="AE29" s="79"/>
      <c r="AF29" s="79"/>
      <c r="AG29" s="79"/>
      <c r="AH29" s="79"/>
      <c r="AI29" s="79"/>
      <c r="AJ29" s="79"/>
      <c r="AK29" s="79"/>
      <c r="AL29" s="79"/>
      <c r="AM29" s="299">
        <v>146604.12549999999</v>
      </c>
      <c r="AN29" s="299">
        <v>586.07650000000001</v>
      </c>
      <c r="AO29" s="80"/>
      <c r="AP29" s="301">
        <v>6.91</v>
      </c>
      <c r="AQ29" s="302">
        <v>6.7</v>
      </c>
      <c r="AR29" s="82">
        <f>IF(RD[[#This Row],[POA(kWh/m2)_O2R6]]="",RD[[#This Row],[POA(kWh/m2)_PSEGPL]],(RD[[#This Row],[POA(kWh/m2)_PSEGPL]]*('Basic Data'!$V$2/'Basic Data'!$V$4))+(RD[[#This Row],[POA(kWh/m2)_O2R6]]*('Basic Data'!$V$3/'Basic Data'!$V$4)))</f>
        <v>6.7994905271828667</v>
      </c>
      <c r="AS29" s="82">
        <f>SUM(RD[[#This Row],[G1 Inv1]:[G5 Inv10]])</f>
        <v>52012</v>
      </c>
      <c r="AT29" s="82">
        <f>SUM(RD[[#This Row],[IS1_Inv1_M1]:[IS1_Inv2_M4]])</f>
        <v>54487</v>
      </c>
      <c r="AU29" s="82">
        <f>SUM(RD[[#This Row],[IS2_Inv1]:[IS2_Inv2]])</f>
        <v>16898</v>
      </c>
      <c r="AV29" s="80"/>
      <c r="AW29" s="83"/>
      <c r="AX29" s="80"/>
      <c r="AY29" s="80"/>
      <c r="AZ29" s="80"/>
      <c r="BA29" s="83">
        <f>IFERROR(SUM(RD[[#This Row],[PSEGPL]:[O2R10]]),"")</f>
        <v>123397</v>
      </c>
      <c r="BB29" s="301">
        <v>1380</v>
      </c>
      <c r="BC29" s="301">
        <v>215971</v>
      </c>
      <c r="BD29" s="301">
        <v>1203</v>
      </c>
      <c r="BE29" s="301">
        <v>195974</v>
      </c>
      <c r="BF29" s="301">
        <v>1686</v>
      </c>
      <c r="BG29" s="301">
        <v>220650</v>
      </c>
      <c r="BH29" s="301">
        <v>2511</v>
      </c>
      <c r="BI29" s="301">
        <v>211254</v>
      </c>
      <c r="BJ29" s="101">
        <f>IF((RD[[#This Row],[33 kV F5 Export Reading_Gss End]]-AM28)*1000&lt;0,0,(RD[[#This Row],[33 kV F5 Export Reading_Gss End]]-AM28)*1000)</f>
        <v>121851.9999999844</v>
      </c>
      <c r="BK29" s="83">
        <f>IF((RD[[#This Row],[33 kV F5 Import Reading_GSS End2]]-AN28)*1000&lt;0,0,(RD[[#This Row],[33 kV F5 Import Reading_GSS End2]]-AN28)*1000)</f>
        <v>993.20000000000164</v>
      </c>
      <c r="BL29" s="84">
        <f>RD[[#This Row],[Export  (kWh)]]-RD[[#This Row],[Import (kWh)]]</f>
        <v>120858.7999999844</v>
      </c>
      <c r="BM29" s="84">
        <f>RD[[#This Row],[Inverters Generation ( kWh)]]-RD[[#This Row],[Export  (kWh)]]</f>
        <v>1545.0000000155997</v>
      </c>
      <c r="BN29">
        <f t="shared" si="12"/>
        <v>51555</v>
      </c>
      <c r="BO29">
        <f t="shared" si="13"/>
        <v>270</v>
      </c>
      <c r="BP29" s="185">
        <f t="shared" si="7"/>
        <v>71460</v>
      </c>
      <c r="BQ29" s="185">
        <f t="shared" si="9"/>
        <v>778.8</v>
      </c>
      <c r="BR29" s="185">
        <f t="shared" si="11"/>
        <v>12.066666666666666</v>
      </c>
    </row>
    <row r="30" spans="1:70" ht="15" customHeight="1" x14ac:dyDescent="0.35">
      <c r="A30" s="85">
        <f t="shared" si="8"/>
        <v>45771</v>
      </c>
      <c r="B30" s="80">
        <f>YEAR(RD[[#This Row],[Date]])+IF(MONTH(RD[[#This Row],[Date]])&gt;=4,1,0)</f>
        <v>2026</v>
      </c>
      <c r="C30" s="80">
        <f>YEAR(RD[[#This Row],[Month Year]])</f>
        <v>2025</v>
      </c>
      <c r="D30" s="99" t="s">
        <v>4</v>
      </c>
      <c r="E30" s="99" t="s">
        <v>4</v>
      </c>
      <c r="F30" s="80" t="str">
        <f t="shared" si="10"/>
        <v>Apr-25</v>
      </c>
      <c r="G30" s="79">
        <f>DAY(EOMONTH(RD[[#This Row],[Month Year]],0))</f>
        <v>30</v>
      </c>
      <c r="H30" s="100">
        <v>24.303100000000001</v>
      </c>
      <c r="I30" s="304">
        <v>0.26250000000000001</v>
      </c>
      <c r="J30" s="304">
        <v>0.76875000000000004</v>
      </c>
      <c r="K30" s="79">
        <v>4873</v>
      </c>
      <c r="L30" s="79">
        <v>5512</v>
      </c>
      <c r="M30" s="79">
        <v>4715</v>
      </c>
      <c r="N30" s="179">
        <v>5497</v>
      </c>
      <c r="O30" s="179">
        <v>5578</v>
      </c>
      <c r="P30" s="179">
        <v>4779</v>
      </c>
      <c r="Q30" s="179">
        <v>5476</v>
      </c>
      <c r="R30" s="179">
        <v>4797</v>
      </c>
      <c r="S30" s="179">
        <v>5515</v>
      </c>
      <c r="T30" s="179">
        <v>4841</v>
      </c>
      <c r="U30" s="79">
        <v>6627</v>
      </c>
      <c r="V30" s="79">
        <v>6615</v>
      </c>
      <c r="W30" s="79">
        <v>6896</v>
      </c>
      <c r="X30" s="79">
        <v>6933</v>
      </c>
      <c r="Y30" s="79">
        <v>6911</v>
      </c>
      <c r="Z30" s="79">
        <v>6838</v>
      </c>
      <c r="AA30" s="79">
        <v>6835</v>
      </c>
      <c r="AB30" s="79">
        <v>6661</v>
      </c>
      <c r="AC30" s="79">
        <v>8225</v>
      </c>
      <c r="AD30" s="79">
        <v>8693</v>
      </c>
      <c r="AE30" s="79"/>
      <c r="AF30" s="79"/>
      <c r="AG30" s="79"/>
      <c r="AH30" s="79"/>
      <c r="AI30" s="79"/>
      <c r="AJ30" s="79"/>
      <c r="AK30" s="79"/>
      <c r="AL30" s="79"/>
      <c r="AM30" s="80">
        <v>146725.5416</v>
      </c>
      <c r="AN30" s="80">
        <v>587.04280000000006</v>
      </c>
      <c r="AO30" s="80"/>
      <c r="AP30" s="80">
        <v>6.9059999999999997</v>
      </c>
      <c r="AQ30" s="82">
        <v>6.2149999999999999</v>
      </c>
      <c r="AR30" s="82">
        <f>IF(RD[[#This Row],[POA(kWh/m2)_O2R6]]="",RD[[#This Row],[POA(kWh/m2)_PSEGPL]],(RD[[#This Row],[POA(kWh/m2)_PSEGPL]]*('Basic Data'!$V$2/'Basic Data'!$V$4))+(RD[[#This Row],[POA(kWh/m2)_O2R6]]*('Basic Data'!$V$3/'Basic Data'!$V$4)))</f>
        <v>6.5423712108731458</v>
      </c>
      <c r="AS30" s="82">
        <f>SUM(RD[[#This Row],[G1 Inv1]:[G5 Inv10]])</f>
        <v>51583</v>
      </c>
      <c r="AT30" s="82">
        <f>SUM(RD[[#This Row],[IS1_Inv1_M1]:[IS1_Inv2_M4]])</f>
        <v>54316</v>
      </c>
      <c r="AU30" s="82">
        <f>SUM(RD[[#This Row],[IS2_Inv1]:[IS2_Inv2]])</f>
        <v>16918</v>
      </c>
      <c r="AV30" s="80"/>
      <c r="AW30" s="83"/>
      <c r="AX30" s="80"/>
      <c r="AY30" s="80"/>
      <c r="AZ30" s="80"/>
      <c r="BA30" s="83">
        <f>IFERROR(SUM(RD[[#This Row],[PSEGPL]:[O2R10]]),"")</f>
        <v>122817</v>
      </c>
      <c r="BB30" s="80">
        <v>1383</v>
      </c>
      <c r="BC30" s="83">
        <v>216483</v>
      </c>
      <c r="BD30" s="83">
        <v>1206</v>
      </c>
      <c r="BE30" s="83">
        <v>196428</v>
      </c>
      <c r="BF30" s="83">
        <v>1691</v>
      </c>
      <c r="BG30" s="83">
        <v>221256</v>
      </c>
      <c r="BH30" s="83">
        <v>2521</v>
      </c>
      <c r="BI30" s="83">
        <v>211819</v>
      </c>
      <c r="BJ30" s="101">
        <f>IF((RD[[#This Row],[33 kV F5 Export Reading_Gss End]]-AM29)*1000&lt;0,0,(RD[[#This Row],[33 kV F5 Export Reading_Gss End]]-AM29)*1000)</f>
        <v>121416.10000000219</v>
      </c>
      <c r="BK30" s="83">
        <f>IF((RD[[#This Row],[33 kV F5 Import Reading_GSS End2]]-AN29)*1000&lt;0,0,(RD[[#This Row],[33 kV F5 Import Reading_GSS End2]]-AN29)*1000)</f>
        <v>966.30000000004657</v>
      </c>
      <c r="BL30" s="84">
        <f>RD[[#This Row],[Export  (kWh)]]-RD[[#This Row],[Import (kWh)]]</f>
        <v>120449.80000000214</v>
      </c>
      <c r="BM30" s="84">
        <f>RD[[#This Row],[Inverters Generation ( kWh)]]-RD[[#This Row],[Export  (kWh)]]</f>
        <v>1400.8999999978114</v>
      </c>
      <c r="BN30">
        <f t="shared" si="12"/>
        <v>51150</v>
      </c>
      <c r="BO30">
        <f t="shared" si="13"/>
        <v>315</v>
      </c>
      <c r="BP30" s="185">
        <f t="shared" si="7"/>
        <v>71490</v>
      </c>
      <c r="BQ30" s="185">
        <f t="shared" si="9"/>
        <v>898.5</v>
      </c>
      <c r="BR30" s="185">
        <f t="shared" si="11"/>
        <v>12.150000000000002</v>
      </c>
    </row>
    <row r="31" spans="1:70" ht="15" customHeight="1" x14ac:dyDescent="0.35">
      <c r="A31" s="85">
        <f t="shared" si="8"/>
        <v>45772</v>
      </c>
      <c r="B31" s="80">
        <f>YEAR(RD[[#This Row],[Date]])+IF(MONTH(RD[[#This Row],[Date]])&gt;=4,1,0)</f>
        <v>2026</v>
      </c>
      <c r="C31" s="80">
        <f>YEAR(RD[[#This Row],[Month Year]])</f>
        <v>2025</v>
      </c>
      <c r="D31" s="99" t="s">
        <v>4</v>
      </c>
      <c r="E31" s="99" t="s">
        <v>4</v>
      </c>
      <c r="F31" s="80" t="str">
        <f t="shared" si="10"/>
        <v>Apr-25</v>
      </c>
      <c r="G31" s="79">
        <f>DAY(EOMONTH(RD[[#This Row],[Month Year]],0))</f>
        <v>30</v>
      </c>
      <c r="H31" s="100">
        <v>24.303100000000001</v>
      </c>
      <c r="I31" s="162">
        <v>0.26666666666666666</v>
      </c>
      <c r="J31" s="162">
        <v>0.7680555555555556</v>
      </c>
      <c r="K31" s="79">
        <v>4643</v>
      </c>
      <c r="L31" s="79">
        <v>5403</v>
      </c>
      <c r="M31" s="79">
        <v>4555</v>
      </c>
      <c r="N31" s="179">
        <v>5277</v>
      </c>
      <c r="O31" s="179">
        <v>5384</v>
      </c>
      <c r="P31" s="179">
        <v>4625</v>
      </c>
      <c r="Q31" s="179">
        <v>5249</v>
      </c>
      <c r="R31" s="179">
        <v>4610</v>
      </c>
      <c r="S31" s="179">
        <v>5259</v>
      </c>
      <c r="T31" s="179">
        <v>4621</v>
      </c>
      <c r="U31" s="79">
        <v>6209</v>
      </c>
      <c r="V31" s="79">
        <v>6344</v>
      </c>
      <c r="W31" s="79">
        <v>6495</v>
      </c>
      <c r="X31" s="79">
        <v>6521</v>
      </c>
      <c r="Y31" s="79">
        <v>6523</v>
      </c>
      <c r="Z31" s="79">
        <v>6423</v>
      </c>
      <c r="AA31" s="79">
        <v>6406</v>
      </c>
      <c r="AB31" s="79">
        <v>6243</v>
      </c>
      <c r="AC31" s="79">
        <v>7755</v>
      </c>
      <c r="AD31" s="79">
        <v>8221</v>
      </c>
      <c r="AE31" s="79"/>
      <c r="AF31" s="79"/>
      <c r="AG31" s="79"/>
      <c r="AH31" s="79"/>
      <c r="AI31" s="79"/>
      <c r="AJ31" s="79"/>
      <c r="AK31" s="79"/>
      <c r="AL31" s="79"/>
      <c r="AM31" s="80">
        <v>146841.06140000001</v>
      </c>
      <c r="AN31" s="80">
        <v>587.82399999999996</v>
      </c>
      <c r="AO31" s="80"/>
      <c r="AP31" s="80">
        <v>6.2779999999999996</v>
      </c>
      <c r="AQ31" s="82">
        <v>6.3</v>
      </c>
      <c r="AR31" s="82">
        <f>IF(RD[[#This Row],[POA(kWh/m2)_O2R6]]="",RD[[#This Row],[POA(kWh/m2)_PSEGPL]],(RD[[#This Row],[POA(kWh/m2)_PSEGPL]]*('Basic Data'!$V$2/'Basic Data'!$V$4))+(RD[[#This Row],[POA(kWh/m2)_O2R6]]*('Basic Data'!$V$3/'Basic Data'!$V$4)))</f>
        <v>6.2895771828665561</v>
      </c>
      <c r="AS31" s="82">
        <f>SUM(RD[[#This Row],[G1 Inv1]:[G5 Inv10]])</f>
        <v>49626</v>
      </c>
      <c r="AT31" s="82">
        <f>SUM(RD[[#This Row],[IS1_Inv1_M1]:[IS1_Inv2_M4]])</f>
        <v>51164</v>
      </c>
      <c r="AU31" s="82">
        <f>SUM(RD[[#This Row],[IS2_Inv1]:[IS2_Inv2]])</f>
        <v>15976</v>
      </c>
      <c r="AV31" s="80"/>
      <c r="AW31" s="83"/>
      <c r="AX31" s="80"/>
      <c r="AY31" s="80"/>
      <c r="AZ31" s="80"/>
      <c r="BA31" s="83">
        <f>IFERROR(SUM(RD[[#This Row],[PSEGPL]:[O2R10]]),"")</f>
        <v>116766</v>
      </c>
      <c r="BB31" s="80">
        <v>1385</v>
      </c>
      <c r="BC31" s="83">
        <v>216977</v>
      </c>
      <c r="BD31" s="83">
        <v>1208</v>
      </c>
      <c r="BE31" s="83">
        <v>196861</v>
      </c>
      <c r="BF31" s="83">
        <v>1695</v>
      </c>
      <c r="BG31" s="83">
        <v>221826</v>
      </c>
      <c r="BH31" s="83">
        <v>2532</v>
      </c>
      <c r="BI31" s="83">
        <v>212353</v>
      </c>
      <c r="BJ31" s="101">
        <f>IF((RD[[#This Row],[33 kV F5 Export Reading_Gss End]]-AM30)*1000&lt;0,0,(RD[[#This Row],[33 kV F5 Export Reading_Gss End]]-AM30)*1000)</f>
        <v>115519.80000000913</v>
      </c>
      <c r="BK31" s="83">
        <f>IF((RD[[#This Row],[33 kV F5 Import Reading_GSS End2]]-AN30)*1000&lt;0,0,(RD[[#This Row],[33 kV F5 Import Reading_GSS End2]]-AN30)*1000)</f>
        <v>781.19999999989886</v>
      </c>
      <c r="BL31" s="84">
        <f>RD[[#This Row],[Export  (kWh)]]-RD[[#This Row],[Import (kWh)]]</f>
        <v>114738.60000000923</v>
      </c>
      <c r="BM31" s="84">
        <f>RD[[#This Row],[Inverters Generation ( kWh)]]-RD[[#This Row],[Export  (kWh)]]</f>
        <v>1246.199999990873</v>
      </c>
      <c r="BN31">
        <f t="shared" si="12"/>
        <v>49125</v>
      </c>
      <c r="BO31">
        <f t="shared" si="13"/>
        <v>210</v>
      </c>
      <c r="BP31" s="185">
        <f t="shared" si="7"/>
        <v>67320</v>
      </c>
      <c r="BQ31" s="185">
        <f t="shared" si="9"/>
        <v>808.8</v>
      </c>
      <c r="BR31" s="185">
        <f t="shared" si="11"/>
        <v>12.033333333333333</v>
      </c>
    </row>
    <row r="32" spans="1:70" ht="15" customHeight="1" x14ac:dyDescent="0.35">
      <c r="A32" s="85">
        <f t="shared" si="8"/>
        <v>45773</v>
      </c>
      <c r="B32" s="80">
        <f>YEAR(RD[[#This Row],[Date]])+IF(MONTH(RD[[#This Row],[Date]])&gt;=4,1,0)</f>
        <v>2026</v>
      </c>
      <c r="C32" s="80">
        <f>YEAR(RD[[#This Row],[Month Year]])</f>
        <v>2025</v>
      </c>
      <c r="D32" s="99" t="s">
        <v>4</v>
      </c>
      <c r="E32" s="99" t="s">
        <v>4</v>
      </c>
      <c r="F32" s="80" t="str">
        <f t="shared" si="10"/>
        <v>Apr-25</v>
      </c>
      <c r="G32" s="79">
        <f>DAY(EOMONTH(RD[[#This Row],[Month Year]],0))</f>
        <v>30</v>
      </c>
      <c r="H32" s="100">
        <v>24.303100000000001</v>
      </c>
      <c r="I32" s="162">
        <v>0.26666666666666666</v>
      </c>
      <c r="J32" s="162">
        <v>0.76597222222222228</v>
      </c>
      <c r="K32" s="79">
        <v>4408</v>
      </c>
      <c r="L32" s="79">
        <v>5088</v>
      </c>
      <c r="M32" s="79">
        <v>4414</v>
      </c>
      <c r="N32" s="179">
        <v>5008</v>
      </c>
      <c r="O32" s="179">
        <v>5077</v>
      </c>
      <c r="P32" s="179">
        <v>4351</v>
      </c>
      <c r="Q32" s="179">
        <v>4970</v>
      </c>
      <c r="R32" s="179">
        <v>4387</v>
      </c>
      <c r="S32" s="179">
        <v>4993</v>
      </c>
      <c r="T32" s="179">
        <v>4399</v>
      </c>
      <c r="U32" s="79">
        <v>5960</v>
      </c>
      <c r="V32" s="79">
        <v>6113</v>
      </c>
      <c r="W32" s="79">
        <v>6240</v>
      </c>
      <c r="X32" s="79">
        <v>6273</v>
      </c>
      <c r="Y32" s="79">
        <v>6248</v>
      </c>
      <c r="Z32" s="79">
        <v>6164</v>
      </c>
      <c r="AA32" s="79">
        <v>6192</v>
      </c>
      <c r="AB32" s="79">
        <v>6018</v>
      </c>
      <c r="AC32" s="79">
        <v>7401</v>
      </c>
      <c r="AD32" s="79">
        <v>7867</v>
      </c>
      <c r="AE32" s="79"/>
      <c r="AF32" s="79"/>
      <c r="AG32" s="79"/>
      <c r="AH32" s="79"/>
      <c r="AI32" s="79"/>
      <c r="AJ32" s="79"/>
      <c r="AK32" s="79"/>
      <c r="AL32" s="79"/>
      <c r="AM32" s="80">
        <v>146951.56940000001</v>
      </c>
      <c r="AN32" s="80">
        <v>588.70680000000004</v>
      </c>
      <c r="AO32" s="80"/>
      <c r="AP32" s="80">
        <v>6.0279999999999996</v>
      </c>
      <c r="AQ32" s="82">
        <v>5.9</v>
      </c>
      <c r="AR32" s="82">
        <f>IF(RD[[#This Row],[POA(kWh/m2)_O2R6]]="",RD[[#This Row],[POA(kWh/m2)_PSEGPL]],(RD[[#This Row],[POA(kWh/m2)_PSEGPL]]*('Basic Data'!$V$2/'Basic Data'!$V$4))+(RD[[#This Row],[POA(kWh/m2)_O2R6]]*('Basic Data'!$V$3/'Basic Data'!$V$4)))</f>
        <v>5.9606418451400325</v>
      </c>
      <c r="AS32" s="82">
        <f>SUM(RD[[#This Row],[G1 Inv1]:[G5 Inv10]])</f>
        <v>47095</v>
      </c>
      <c r="AT32" s="82">
        <f>SUM(RD[[#This Row],[IS1_Inv1_M1]:[IS1_Inv2_M4]])</f>
        <v>49208</v>
      </c>
      <c r="AU32" s="82">
        <f>SUM(RD[[#This Row],[IS2_Inv1]:[IS2_Inv2]])</f>
        <v>15268</v>
      </c>
      <c r="AV32" s="80"/>
      <c r="AW32" s="83"/>
      <c r="AX32" s="80"/>
      <c r="AY32" s="80"/>
      <c r="AZ32" s="80"/>
      <c r="BA32" s="83">
        <f>IFERROR(SUM(RD[[#This Row],[PSEGPL]:[O2R10]]),"")</f>
        <v>111571</v>
      </c>
      <c r="BB32" s="80">
        <v>1388</v>
      </c>
      <c r="BC32" s="83">
        <v>217446</v>
      </c>
      <c r="BD32" s="83">
        <v>1210</v>
      </c>
      <c r="BE32" s="83">
        <v>197274</v>
      </c>
      <c r="BF32" s="83">
        <v>1698</v>
      </c>
      <c r="BG32" s="83">
        <v>222375</v>
      </c>
      <c r="BH32" s="83">
        <v>2544</v>
      </c>
      <c r="BI32" s="83">
        <v>212863</v>
      </c>
      <c r="BJ32" s="101">
        <f>IF((RD[[#This Row],[33 kV F5 Export Reading_Gss End]]-AM31)*1000&lt;0,0,(RD[[#This Row],[33 kV F5 Export Reading_Gss End]]-AM31)*1000)</f>
        <v>110508.00000000163</v>
      </c>
      <c r="BK32" s="83">
        <f>IF((RD[[#This Row],[33 kV F5 Import Reading_GSS End2]]-AN31)*1000&lt;0,0,(RD[[#This Row],[33 kV F5 Import Reading_GSS End2]]-AN31)*1000)</f>
        <v>882.8000000000884</v>
      </c>
      <c r="BL32" s="84">
        <f>RD[[#This Row],[Export  (kWh)]]-RD[[#This Row],[Import (kWh)]]</f>
        <v>109625.20000000154</v>
      </c>
      <c r="BM32" s="84">
        <f>RD[[#This Row],[Inverters Generation ( kWh)]]-RD[[#This Row],[Export  (kWh)]]</f>
        <v>1062.9999999983702</v>
      </c>
      <c r="BN32">
        <f t="shared" si="12"/>
        <v>46725</v>
      </c>
      <c r="BO32">
        <f t="shared" si="13"/>
        <v>270</v>
      </c>
      <c r="BP32" s="185">
        <f t="shared" si="7"/>
        <v>64710</v>
      </c>
      <c r="BQ32" s="185">
        <f t="shared" si="9"/>
        <v>719.1</v>
      </c>
      <c r="BR32" s="185">
        <f t="shared" si="11"/>
        <v>11.983333333333334</v>
      </c>
    </row>
    <row r="33" spans="1:70" ht="15" customHeight="1" x14ac:dyDescent="0.35">
      <c r="A33" s="85">
        <f t="shared" si="8"/>
        <v>45774</v>
      </c>
      <c r="B33" s="80">
        <f>YEAR(RD[[#This Row],[Date]])+IF(MONTH(RD[[#This Row],[Date]])&gt;=4,1,0)</f>
        <v>2026</v>
      </c>
      <c r="C33" s="80">
        <f>YEAR(RD[[#This Row],[Month Year]])</f>
        <v>2025</v>
      </c>
      <c r="D33" s="99" t="s">
        <v>4</v>
      </c>
      <c r="E33" s="99" t="s">
        <v>4</v>
      </c>
      <c r="F33" s="80" t="str">
        <f t="shared" si="10"/>
        <v>Apr-25</v>
      </c>
      <c r="G33" s="79">
        <f>DAY(EOMONTH(RD[[#This Row],[Month Year]],0))</f>
        <v>30</v>
      </c>
      <c r="H33" s="100">
        <v>24.303100000000001</v>
      </c>
      <c r="I33" s="162">
        <v>0.2673611111111111</v>
      </c>
      <c r="J33" s="162">
        <v>0.77222222222222225</v>
      </c>
      <c r="K33" s="79">
        <v>4920</v>
      </c>
      <c r="L33" s="79">
        <v>5684</v>
      </c>
      <c r="M33" s="79">
        <v>4934</v>
      </c>
      <c r="N33" s="179">
        <v>5611</v>
      </c>
      <c r="O33" s="179">
        <v>5696</v>
      </c>
      <c r="P33" s="179">
        <v>4848</v>
      </c>
      <c r="Q33" s="179">
        <v>5532</v>
      </c>
      <c r="R33" s="179">
        <v>4839</v>
      </c>
      <c r="S33" s="179">
        <v>5598</v>
      </c>
      <c r="T33" s="179">
        <v>4896</v>
      </c>
      <c r="U33" s="79">
        <v>6794</v>
      </c>
      <c r="V33" s="79">
        <v>6928</v>
      </c>
      <c r="W33" s="79">
        <v>7072</v>
      </c>
      <c r="X33" s="79">
        <v>7127</v>
      </c>
      <c r="Y33" s="79">
        <v>7092</v>
      </c>
      <c r="Z33" s="79">
        <v>6981</v>
      </c>
      <c r="AA33" s="79">
        <v>7006</v>
      </c>
      <c r="AB33" s="79">
        <v>6846</v>
      </c>
      <c r="AC33" s="79">
        <v>8380</v>
      </c>
      <c r="AD33" s="79">
        <v>8781</v>
      </c>
      <c r="AE33" s="79"/>
      <c r="AF33" s="79"/>
      <c r="AG33" s="79"/>
      <c r="AH33" s="79"/>
      <c r="AI33" s="79"/>
      <c r="AJ33" s="79"/>
      <c r="AK33" s="79"/>
      <c r="AL33" s="79"/>
      <c r="AM33" s="80">
        <v>147075.66320000001</v>
      </c>
      <c r="AN33" s="80">
        <v>589.44579999999996</v>
      </c>
      <c r="AO33" s="80"/>
      <c r="AP33" s="80">
        <v>7.0949999999999998</v>
      </c>
      <c r="AQ33" s="82">
        <v>7.2</v>
      </c>
      <c r="AR33" s="82">
        <f>IF(RD[[#This Row],[POA(kWh/m2)_O2R6]]="",RD[[#This Row],[POA(kWh/m2)_PSEGPL]],(RD[[#This Row],[POA(kWh/m2)_PSEGPL]]*('Basic Data'!$V$2/'Basic Data'!$V$4))+(RD[[#This Row],[POA(kWh/m2)_O2R6]]*('Basic Data'!$V$3/'Basic Data'!$V$4)))</f>
        <v>7.1502547364085665</v>
      </c>
      <c r="AS33" s="82">
        <f>SUM(RD[[#This Row],[G1 Inv1]:[G5 Inv10]])</f>
        <v>52558</v>
      </c>
      <c r="AT33" s="82">
        <f>SUM(RD[[#This Row],[IS1_Inv1_M1]:[IS1_Inv2_M4]])</f>
        <v>55846</v>
      </c>
      <c r="AU33" s="82">
        <f>SUM(RD[[#This Row],[IS2_Inv1]:[IS2_Inv2]])</f>
        <v>17161</v>
      </c>
      <c r="AV33" s="80"/>
      <c r="AW33" s="83"/>
      <c r="AX33" s="80"/>
      <c r="AY33" s="80"/>
      <c r="AZ33" s="80"/>
      <c r="BA33" s="83">
        <f>IFERROR(SUM(RD[[#This Row],[PSEGPL]:[O2R10]]),"")</f>
        <v>125565</v>
      </c>
      <c r="BB33" s="80">
        <v>1390</v>
      </c>
      <c r="BC33" s="83">
        <v>217970</v>
      </c>
      <c r="BD33" s="83">
        <v>1212</v>
      </c>
      <c r="BE33" s="83">
        <v>197732</v>
      </c>
      <c r="BF33" s="83">
        <v>1700</v>
      </c>
      <c r="BG33" s="83">
        <v>222997</v>
      </c>
      <c r="BH33" s="83">
        <v>2555</v>
      </c>
      <c r="BI33" s="83">
        <v>213437</v>
      </c>
      <c r="BJ33" s="101">
        <f>IF((RD[[#This Row],[33 kV F5 Export Reading_Gss End]]-AM32)*1000&lt;0,0,(RD[[#This Row],[33 kV F5 Export Reading_Gss End]]-AM32)*1000)</f>
        <v>124093.80000000237</v>
      </c>
      <c r="BK33" s="83">
        <f>IF((RD[[#This Row],[33 kV F5 Import Reading_GSS End2]]-AN32)*1000&lt;0,0,(RD[[#This Row],[33 kV F5 Import Reading_GSS End2]]-AN32)*1000)</f>
        <v>738.99999999991905</v>
      </c>
      <c r="BL33" s="84">
        <f>RD[[#This Row],[Export  (kWh)]]-RD[[#This Row],[Import (kWh)]]</f>
        <v>123354.80000000246</v>
      </c>
      <c r="BM33" s="84">
        <f>RD[[#This Row],[Inverters Generation ( kWh)]]-RD[[#This Row],[Export  (kWh)]]</f>
        <v>1471.1999999976251</v>
      </c>
      <c r="BN33">
        <f t="shared" si="12"/>
        <v>52050</v>
      </c>
      <c r="BO33">
        <f t="shared" si="13"/>
        <v>210</v>
      </c>
      <c r="BP33" s="185">
        <f t="shared" si="7"/>
        <v>73200</v>
      </c>
      <c r="BQ33" s="185">
        <f t="shared" si="9"/>
        <v>569.4</v>
      </c>
      <c r="BR33" s="185">
        <f t="shared" si="11"/>
        <v>12.116666666666669</v>
      </c>
    </row>
    <row r="34" spans="1:70" ht="15" customHeight="1" x14ac:dyDescent="0.35">
      <c r="A34" s="85">
        <f t="shared" si="8"/>
        <v>45775</v>
      </c>
      <c r="B34" s="80">
        <f>YEAR(RD[[#This Row],[Date]])+IF(MONTH(RD[[#This Row],[Date]])&gt;=4,1,0)</f>
        <v>2026</v>
      </c>
      <c r="C34" s="80">
        <f>YEAR(RD[[#This Row],[Month Year]])</f>
        <v>2025</v>
      </c>
      <c r="D34" s="99" t="s">
        <v>4</v>
      </c>
      <c r="E34" s="99" t="s">
        <v>4</v>
      </c>
      <c r="F34" s="80" t="str">
        <f t="shared" si="10"/>
        <v>Apr-25</v>
      </c>
      <c r="G34" s="79">
        <f>DAY(EOMONTH(RD[[#This Row],[Month Year]],0))</f>
        <v>30</v>
      </c>
      <c r="H34" s="100">
        <v>24.303100000000001</v>
      </c>
      <c r="I34" s="162">
        <v>0.26458333333333334</v>
      </c>
      <c r="J34" s="162">
        <v>0.7729166666666667</v>
      </c>
      <c r="K34" s="79">
        <v>4949</v>
      </c>
      <c r="L34" s="79">
        <v>5709</v>
      </c>
      <c r="M34" s="79">
        <v>4955</v>
      </c>
      <c r="N34" s="179">
        <v>5699</v>
      </c>
      <c r="O34" s="179">
        <v>5847</v>
      </c>
      <c r="P34" s="179">
        <v>4885</v>
      </c>
      <c r="Q34" s="179">
        <v>5567</v>
      </c>
      <c r="R34" s="179">
        <v>4870</v>
      </c>
      <c r="S34" s="179">
        <v>5627</v>
      </c>
      <c r="T34" s="179">
        <v>4915</v>
      </c>
      <c r="U34" s="79">
        <v>6821</v>
      </c>
      <c r="V34" s="79">
        <v>6916</v>
      </c>
      <c r="W34" s="79">
        <v>7029</v>
      </c>
      <c r="X34" s="79">
        <v>6996</v>
      </c>
      <c r="Y34" s="79">
        <v>7063</v>
      </c>
      <c r="Z34" s="79">
        <v>6977</v>
      </c>
      <c r="AA34" s="79">
        <v>7068</v>
      </c>
      <c r="AB34" s="79">
        <v>6873</v>
      </c>
      <c r="AC34" s="79">
        <v>8363</v>
      </c>
      <c r="AD34" s="79">
        <v>8783</v>
      </c>
      <c r="AE34" s="79"/>
      <c r="AF34" s="79"/>
      <c r="AG34" s="79"/>
      <c r="AH34" s="79"/>
      <c r="AI34" s="79"/>
      <c r="AJ34" s="79"/>
      <c r="AK34" s="79"/>
      <c r="AL34" s="79"/>
      <c r="AM34" s="80">
        <v>147200.01120000001</v>
      </c>
      <c r="AN34" s="80">
        <v>590.36800000000005</v>
      </c>
      <c r="AO34" s="80"/>
      <c r="AP34" s="80">
        <v>7.0289999999999999</v>
      </c>
      <c r="AQ34" s="82">
        <v>6.9</v>
      </c>
      <c r="AR34" s="82">
        <f>IF(RD[[#This Row],[POA(kWh/m2)_O2R6]]="",RD[[#This Row],[POA(kWh/m2)_PSEGPL]],(RD[[#This Row],[POA(kWh/m2)_PSEGPL]]*('Basic Data'!$V$2/'Basic Data'!$V$4))+(RD[[#This Row],[POA(kWh/m2)_O2R6]]*('Basic Data'!$V$3/'Basic Data'!$V$4)))</f>
        <v>6.9611156095551898</v>
      </c>
      <c r="AS34" s="82">
        <f>SUM(RD[[#This Row],[G1 Inv1]:[G5 Inv10]])</f>
        <v>53023</v>
      </c>
      <c r="AT34" s="82">
        <f>SUM(RD[[#This Row],[IS1_Inv1_M1]:[IS1_Inv2_M4]])</f>
        <v>55743</v>
      </c>
      <c r="AU34" s="82">
        <f>SUM(RD[[#This Row],[IS2_Inv1]:[IS2_Inv2]])</f>
        <v>17146</v>
      </c>
      <c r="AV34" s="80"/>
      <c r="AW34" s="83"/>
      <c r="AX34" s="80"/>
      <c r="AY34" s="80"/>
      <c r="AZ34" s="80"/>
      <c r="BA34" s="83">
        <f>IFERROR(SUM(RD[[#This Row],[PSEGPL]:[O2R10]]),"")</f>
        <v>125912</v>
      </c>
      <c r="BB34" s="80">
        <v>1393</v>
      </c>
      <c r="BC34" s="83">
        <v>218500</v>
      </c>
      <c r="BD34" s="83">
        <v>1214</v>
      </c>
      <c r="BE34" s="83">
        <v>198193</v>
      </c>
      <c r="BF34" s="83">
        <v>1704</v>
      </c>
      <c r="BG34" s="83">
        <v>223617</v>
      </c>
      <c r="BH34" s="83">
        <v>2566</v>
      </c>
      <c r="BI34" s="83">
        <v>214009</v>
      </c>
      <c r="BJ34" s="101">
        <f>IF((RD[[#This Row],[33 kV F5 Export Reading_Gss End]]-AM33)*1000&lt;0,0,(RD[[#This Row],[33 kV F5 Export Reading_Gss End]]-AM33)*1000)</f>
        <v>124347.99999999814</v>
      </c>
      <c r="BK34" s="83">
        <f>IF((RD[[#This Row],[33 kV F5 Import Reading_GSS End2]]-AN33)*1000&lt;0,0,(RD[[#This Row],[33 kV F5 Import Reading_GSS End2]]-AN33)*1000)</f>
        <v>922.20000000008895</v>
      </c>
      <c r="BL34" s="84">
        <f>RD[[#This Row],[Export  (kWh)]]-RD[[#This Row],[Import (kWh)]]</f>
        <v>123425.79999999805</v>
      </c>
      <c r="BM34" s="84">
        <f>RD[[#This Row],[Inverters Generation ( kWh)]]-RD[[#This Row],[Export  (kWh)]]</f>
        <v>1564.0000000018626</v>
      </c>
      <c r="BN34">
        <f t="shared" si="12"/>
        <v>52545</v>
      </c>
      <c r="BO34">
        <f t="shared" si="13"/>
        <v>270</v>
      </c>
      <c r="BP34" s="185">
        <f t="shared" si="7"/>
        <v>72960</v>
      </c>
      <c r="BQ34" s="185">
        <f t="shared" si="9"/>
        <v>808.8</v>
      </c>
      <c r="BR34" s="185">
        <f t="shared" si="11"/>
        <v>12.2</v>
      </c>
    </row>
    <row r="35" spans="1:70" ht="15" customHeight="1" x14ac:dyDescent="0.35">
      <c r="A35" s="85">
        <f t="shared" si="8"/>
        <v>45776</v>
      </c>
      <c r="B35" s="80">
        <f>YEAR(RD[[#This Row],[Date]])+IF(MONTH(RD[[#This Row],[Date]])&gt;=4,1,0)</f>
        <v>2026</v>
      </c>
      <c r="C35" s="80">
        <f>YEAR(RD[[#This Row],[Month Year]])</f>
        <v>2025</v>
      </c>
      <c r="D35" s="99" t="s">
        <v>4</v>
      </c>
      <c r="E35" s="99" t="s">
        <v>4</v>
      </c>
      <c r="F35" s="80" t="str">
        <f t="shared" si="10"/>
        <v>Apr-25</v>
      </c>
      <c r="G35" s="79">
        <f>DAY(EOMONTH(RD[[#This Row],[Month Year]],0))</f>
        <v>30</v>
      </c>
      <c r="H35" s="100">
        <v>24.303100000000001</v>
      </c>
      <c r="I35" s="162">
        <v>0.26458333333333334</v>
      </c>
      <c r="J35" s="162">
        <v>0.77222222222222225</v>
      </c>
      <c r="K35" s="79">
        <v>5016</v>
      </c>
      <c r="L35" s="79">
        <v>5754</v>
      </c>
      <c r="M35" s="79">
        <v>4986</v>
      </c>
      <c r="N35" s="179">
        <v>5748</v>
      </c>
      <c r="O35" s="179">
        <v>5892</v>
      </c>
      <c r="P35" s="179">
        <v>4932</v>
      </c>
      <c r="Q35" s="179">
        <v>5626</v>
      </c>
      <c r="R35" s="179">
        <v>4920</v>
      </c>
      <c r="S35" s="179">
        <v>5676</v>
      </c>
      <c r="T35" s="179">
        <v>4958</v>
      </c>
      <c r="U35" s="79">
        <v>6927</v>
      </c>
      <c r="V35" s="79">
        <v>7039</v>
      </c>
      <c r="W35" s="79">
        <v>7250</v>
      </c>
      <c r="X35" s="79">
        <v>7151</v>
      </c>
      <c r="Y35" s="79">
        <v>7270</v>
      </c>
      <c r="Z35" s="79">
        <v>7153</v>
      </c>
      <c r="AA35" s="79">
        <v>7180</v>
      </c>
      <c r="AB35" s="79">
        <v>6971</v>
      </c>
      <c r="AC35" s="79">
        <v>8509</v>
      </c>
      <c r="AD35" s="79">
        <v>8935</v>
      </c>
      <c r="AE35" s="79"/>
      <c r="AF35" s="79"/>
      <c r="AG35" s="79"/>
      <c r="AH35" s="79"/>
      <c r="AI35" s="79"/>
      <c r="AJ35" s="79"/>
      <c r="AK35" s="79"/>
      <c r="AL35" s="79"/>
      <c r="AM35" s="80">
        <v>147326.2476</v>
      </c>
      <c r="AN35" s="80">
        <v>591.23670000000004</v>
      </c>
      <c r="AO35" s="80"/>
      <c r="AP35" s="80">
        <v>7.1639999999999997</v>
      </c>
      <c r="AQ35" s="82">
        <v>7</v>
      </c>
      <c r="AR35" s="82">
        <f>IF(RD[[#This Row],[POA(kWh/m2)_O2R6]]="",RD[[#This Row],[POA(kWh/m2)_PSEGPL]],(RD[[#This Row],[POA(kWh/m2)_PSEGPL]]*('Basic Data'!$V$2/'Basic Data'!$V$4))+(RD[[#This Row],[POA(kWh/m2)_O2R6]]*('Basic Data'!$V$3/'Basic Data'!$V$4)))</f>
        <v>7.0776973640856671</v>
      </c>
      <c r="AS35" s="82">
        <f>SUM(RD[[#This Row],[G1 Inv1]:[G5 Inv10]])</f>
        <v>53508</v>
      </c>
      <c r="AT35" s="82">
        <f>SUM(RD[[#This Row],[IS1_Inv1_M1]:[IS1_Inv2_M4]])</f>
        <v>56941</v>
      </c>
      <c r="AU35" s="82">
        <f>SUM(RD[[#This Row],[IS2_Inv1]:[IS2_Inv2]])</f>
        <v>17444</v>
      </c>
      <c r="AV35" s="80"/>
      <c r="AW35" s="83"/>
      <c r="AX35" s="80"/>
      <c r="AY35" s="80"/>
      <c r="AZ35" s="80"/>
      <c r="BA35" s="83">
        <f>IFERROR(SUM(RD[[#This Row],[PSEGPL]:[O2R10]]),"")</f>
        <v>127893</v>
      </c>
      <c r="BB35" s="80">
        <v>1395</v>
      </c>
      <c r="BC35" s="83">
        <v>219035</v>
      </c>
      <c r="BD35" s="83">
        <v>1216</v>
      </c>
      <c r="BE35" s="83">
        <v>198658</v>
      </c>
      <c r="BF35" s="83">
        <v>1708</v>
      </c>
      <c r="BG35" s="83">
        <v>224250</v>
      </c>
      <c r="BH35" s="83">
        <v>2574</v>
      </c>
      <c r="BI35" s="83">
        <v>214591</v>
      </c>
      <c r="BJ35" s="101">
        <f>IF((RD[[#This Row],[33 kV F5 Export Reading_Gss End]]-AM34)*1000&lt;0,0,(RD[[#This Row],[33 kV F5 Export Reading_Gss End]]-AM34)*1000)</f>
        <v>126236.39999999432</v>
      </c>
      <c r="BK35" s="83">
        <f>IF((RD[[#This Row],[33 kV F5 Import Reading_GSS End2]]-AN34)*1000&lt;0,0,(RD[[#This Row],[33 kV F5 Import Reading_GSS End2]]-AN34)*1000)</f>
        <v>868.69999999998981</v>
      </c>
      <c r="BL35" s="84">
        <f>RD[[#This Row],[Export  (kWh)]]-RD[[#This Row],[Import (kWh)]]</f>
        <v>125367.69999999434</v>
      </c>
      <c r="BM35" s="84">
        <f>RD[[#This Row],[Inverters Generation ( kWh)]]-RD[[#This Row],[Export  (kWh)]]</f>
        <v>1656.6000000056811</v>
      </c>
      <c r="BN35">
        <f t="shared" si="12"/>
        <v>53025</v>
      </c>
      <c r="BO35">
        <f t="shared" si="13"/>
        <v>210</v>
      </c>
      <c r="BP35" s="185">
        <f t="shared" si="7"/>
        <v>74430</v>
      </c>
      <c r="BQ35" s="185">
        <f t="shared" si="9"/>
        <v>718.8</v>
      </c>
      <c r="BR35" s="185">
        <f t="shared" si="11"/>
        <v>12.183333333333335</v>
      </c>
    </row>
    <row r="36" spans="1:70" ht="15" customHeight="1" x14ac:dyDescent="0.35">
      <c r="A36" s="85">
        <f t="shared" si="8"/>
        <v>45777</v>
      </c>
      <c r="B36" s="80">
        <f>YEAR(RD[[#This Row],[Date]])+IF(MONTH(RD[[#This Row],[Date]])&gt;=4,1,0)</f>
        <v>2026</v>
      </c>
      <c r="C36" s="80">
        <f>YEAR(RD[[#This Row],[Month Year]])</f>
        <v>2025</v>
      </c>
      <c r="D36" s="99" t="s">
        <v>4</v>
      </c>
      <c r="E36" s="99" t="s">
        <v>4</v>
      </c>
      <c r="F36" s="80" t="str">
        <f t="shared" si="10"/>
        <v>Apr-25</v>
      </c>
      <c r="G36" s="79">
        <f>DAY(EOMONTH(RD[[#This Row],[Month Year]],0))</f>
        <v>30</v>
      </c>
      <c r="H36" s="100">
        <v>24.303100000000001</v>
      </c>
      <c r="I36" s="162">
        <v>0.2638888888888889</v>
      </c>
      <c r="J36" s="162">
        <v>0.77569444444444446</v>
      </c>
      <c r="K36" s="79">
        <v>4707</v>
      </c>
      <c r="L36" s="79">
        <v>5403</v>
      </c>
      <c r="M36" s="79">
        <v>4674</v>
      </c>
      <c r="N36" s="179">
        <v>5372</v>
      </c>
      <c r="O36" s="179">
        <v>5490</v>
      </c>
      <c r="P36" s="179">
        <v>4679</v>
      </c>
      <c r="Q36" s="179">
        <v>5266</v>
      </c>
      <c r="R36" s="179">
        <v>4607</v>
      </c>
      <c r="S36" s="179">
        <v>5329</v>
      </c>
      <c r="T36" s="179">
        <v>4671</v>
      </c>
      <c r="U36" s="79">
        <v>6557</v>
      </c>
      <c r="V36" s="79">
        <v>6696</v>
      </c>
      <c r="W36" s="79">
        <v>6872</v>
      </c>
      <c r="X36" s="79">
        <v>6879</v>
      </c>
      <c r="Y36" s="79">
        <v>6878</v>
      </c>
      <c r="Z36" s="79">
        <v>6778</v>
      </c>
      <c r="AA36" s="79">
        <v>6802</v>
      </c>
      <c r="AB36" s="79">
        <v>6600</v>
      </c>
      <c r="AC36" s="79">
        <v>8037</v>
      </c>
      <c r="AD36" s="79">
        <v>8528</v>
      </c>
      <c r="AE36" s="79"/>
      <c r="AF36" s="79"/>
      <c r="AG36" s="79"/>
      <c r="AH36" s="79"/>
      <c r="AI36" s="79"/>
      <c r="AJ36" s="79"/>
      <c r="AK36" s="79"/>
      <c r="AL36" s="79"/>
      <c r="AM36" s="80">
        <v>147445.77480000001</v>
      </c>
      <c r="AN36" s="80">
        <v>592.30600000000004</v>
      </c>
      <c r="AO36" s="80"/>
      <c r="AP36" s="80">
        <v>6.4610000000000003</v>
      </c>
      <c r="AQ36" s="82">
        <v>6.3</v>
      </c>
      <c r="AR36" s="82">
        <f>IF(RD[[#This Row],[POA(kWh/m2)_O2R6]]="",RD[[#This Row],[POA(kWh/m2)_PSEGPL]],(RD[[#This Row],[POA(kWh/m2)_PSEGPL]]*('Basic Data'!$V$2/'Basic Data'!$V$4))+(RD[[#This Row],[POA(kWh/m2)_O2R6]]*('Basic Data'!$V$3/'Basic Data'!$V$4)))</f>
        <v>6.3762760708401975</v>
      </c>
      <c r="AS36" s="82">
        <f>SUM(RD[[#This Row],[G1 Inv1]:[G5 Inv10]])</f>
        <v>50198</v>
      </c>
      <c r="AT36" s="82">
        <f>SUM(RD[[#This Row],[IS1_Inv1_M1]:[IS1_Inv2_M4]])</f>
        <v>54062</v>
      </c>
      <c r="AU36" s="82">
        <f>SUM(RD[[#This Row],[IS2_Inv1]:[IS2_Inv2]])</f>
        <v>16565</v>
      </c>
      <c r="AV36" s="80"/>
      <c r="AW36" s="83"/>
      <c r="AX36" s="80"/>
      <c r="AY36" s="80"/>
      <c r="AZ36" s="80"/>
      <c r="BA36" s="83">
        <f>IFERROR(SUM(RD[[#This Row],[PSEGPL]:[O2R10]]),"")</f>
        <v>120825</v>
      </c>
      <c r="BB36" s="80">
        <v>1398</v>
      </c>
      <c r="BC36" s="83">
        <v>219536</v>
      </c>
      <c r="BD36" s="83">
        <v>1218</v>
      </c>
      <c r="BE36" s="83">
        <v>199095</v>
      </c>
      <c r="BF36" s="83">
        <v>1713</v>
      </c>
      <c r="BG36" s="83">
        <v>224852</v>
      </c>
      <c r="BH36" s="83">
        <v>2586</v>
      </c>
      <c r="BI36" s="83">
        <v>215144</v>
      </c>
      <c r="BJ36" s="101">
        <f>IF((RD[[#This Row],[33 kV F5 Export Reading_Gss End]]-AM35)*1000&lt;0,0,(RD[[#This Row],[33 kV F5 Export Reading_Gss End]]-AM35)*1000)</f>
        <v>119527.20000001136</v>
      </c>
      <c r="BK36" s="83">
        <f>IF((RD[[#This Row],[33 kV F5 Import Reading_GSS End2]]-AN35)*1000&lt;0,0,(RD[[#This Row],[33 kV F5 Import Reading_GSS End2]]-AN35)*1000)</f>
        <v>1069.2999999999984</v>
      </c>
      <c r="BL36" s="84">
        <f>RD[[#This Row],[Export  (kWh)]]-RD[[#This Row],[Import (kWh)]]</f>
        <v>118457.90000001136</v>
      </c>
      <c r="BM36" s="84">
        <f>RD[[#This Row],[Inverters Generation ( kWh)]]-RD[[#This Row],[Export  (kWh)]]</f>
        <v>1297.7999999886379</v>
      </c>
      <c r="BN36">
        <f t="shared" si="12"/>
        <v>49725</v>
      </c>
      <c r="BO36">
        <f t="shared" si="13"/>
        <v>270</v>
      </c>
      <c r="BP36" s="185">
        <f t="shared" si="7"/>
        <v>70770</v>
      </c>
      <c r="BQ36" s="185">
        <f t="shared" si="9"/>
        <v>958.5</v>
      </c>
      <c r="BR36" s="185">
        <f t="shared" si="11"/>
        <v>12.283333333333335</v>
      </c>
    </row>
    <row r="37" spans="1:70" ht="15" customHeight="1" x14ac:dyDescent="0.35">
      <c r="A37" s="85">
        <f t="shared" si="8"/>
        <v>45778</v>
      </c>
      <c r="B37" s="80">
        <f>YEAR(RD[[#This Row],[Date]])+IF(MONTH(RD[[#This Row],[Date]])&gt;=4,1,0)</f>
        <v>2026</v>
      </c>
      <c r="C37" s="80">
        <f>YEAR(RD[[#This Row],[Month Year]])</f>
        <v>2025</v>
      </c>
      <c r="D37" s="99" t="s">
        <v>4</v>
      </c>
      <c r="E37" s="99" t="s">
        <v>4</v>
      </c>
      <c r="F37" s="80" t="str">
        <f t="shared" si="10"/>
        <v>May-25</v>
      </c>
      <c r="G37" s="79">
        <f>DAY(EOMONTH(RD[[#This Row],[Month Year]],0))</f>
        <v>31</v>
      </c>
      <c r="H37" s="100">
        <v>24.303100000000001</v>
      </c>
      <c r="I37" s="162">
        <v>0.2638888888888889</v>
      </c>
      <c r="J37" s="162">
        <v>0.77500000000000002</v>
      </c>
      <c r="K37" s="79">
        <v>4856</v>
      </c>
      <c r="L37" s="79">
        <v>5583</v>
      </c>
      <c r="M37" s="79">
        <v>4850</v>
      </c>
      <c r="N37" s="179">
        <v>4969</v>
      </c>
      <c r="O37" s="179">
        <v>5704</v>
      </c>
      <c r="P37" s="179">
        <v>4859</v>
      </c>
      <c r="Q37" s="179">
        <v>5467</v>
      </c>
      <c r="R37" s="179">
        <v>4800</v>
      </c>
      <c r="S37" s="179">
        <v>5540</v>
      </c>
      <c r="T37" s="179">
        <v>4953</v>
      </c>
      <c r="U37" s="79">
        <v>6725</v>
      </c>
      <c r="V37" s="79">
        <v>6882</v>
      </c>
      <c r="W37" s="79">
        <v>7099</v>
      </c>
      <c r="X37" s="79">
        <v>7136</v>
      </c>
      <c r="Y37" s="79">
        <v>7066</v>
      </c>
      <c r="Z37" s="79">
        <v>6923</v>
      </c>
      <c r="AA37" s="79">
        <v>6951</v>
      </c>
      <c r="AB37" s="79">
        <v>6751</v>
      </c>
      <c r="AC37" s="79">
        <v>8389</v>
      </c>
      <c r="AD37" s="79">
        <v>8869</v>
      </c>
      <c r="AE37" s="79"/>
      <c r="AF37" s="79"/>
      <c r="AG37" s="79"/>
      <c r="AH37" s="79"/>
      <c r="AI37" s="79"/>
      <c r="AJ37" s="79"/>
      <c r="AK37" s="79"/>
      <c r="AL37" s="79"/>
      <c r="AM37" s="80">
        <v>147568.7066</v>
      </c>
      <c r="AN37" s="80">
        <v>593.14919999999995</v>
      </c>
      <c r="AO37" s="80"/>
      <c r="AP37" s="80">
        <v>6.9009999999999998</v>
      </c>
      <c r="AQ37" s="82">
        <v>6.8419999999999996</v>
      </c>
      <c r="AR37" s="82">
        <f>IF(RD[[#This Row],[POA(kWh/m2)_O2R6]]="",RD[[#This Row],[POA(kWh/m2)_PSEGPL]],(RD[[#This Row],[POA(kWh/m2)_PSEGPL]]*('Basic Data'!$V$2/'Basic Data'!$V$4))+(RD[[#This Row],[POA(kWh/m2)_O2R6]]*('Basic Data'!$V$3/'Basic Data'!$V$4)))</f>
        <v>6.869952100494233</v>
      </c>
      <c r="AS37" s="82">
        <f>SUM(RD[[#This Row],[G1 Inv1]:[G5 Inv10]])</f>
        <v>51581</v>
      </c>
      <c r="AT37" s="82">
        <f>SUM(RD[[#This Row],[IS1_Inv1_M1]:[IS1_Inv2_M4]])</f>
        <v>55533</v>
      </c>
      <c r="AU37" s="82">
        <f>SUM(RD[[#This Row],[IS2_Inv1]:[IS2_Inv2]])</f>
        <v>17258</v>
      </c>
      <c r="AV37" s="80"/>
      <c r="AW37" s="83"/>
      <c r="AX37" s="80"/>
      <c r="AY37" s="80"/>
      <c r="AZ37" s="80"/>
      <c r="BA37" s="83">
        <f>IFERROR(SUM(RD[[#This Row],[PSEGPL]:[O2R10]]),"")</f>
        <v>124372</v>
      </c>
      <c r="BB37" s="80">
        <v>1400</v>
      </c>
      <c r="BC37" s="83">
        <v>220046</v>
      </c>
      <c r="BD37" s="83">
        <v>1220</v>
      </c>
      <c r="BE37" s="83">
        <v>199550</v>
      </c>
      <c r="BF37" s="83">
        <v>1717</v>
      </c>
      <c r="BG37" s="83">
        <v>225470</v>
      </c>
      <c r="BH37" s="83">
        <v>2595</v>
      </c>
      <c r="BI37" s="83">
        <v>215720</v>
      </c>
      <c r="BJ37" s="101">
        <f>IF((RD[[#This Row],[33 kV F5 Export Reading_Gss End]]-AM36)*1000&lt;0,0,(RD[[#This Row],[33 kV F5 Export Reading_Gss End]]-AM36)*1000)</f>
        <v>122931.7999999912</v>
      </c>
      <c r="BK37" s="83">
        <f>IF((RD[[#This Row],[33 kV F5 Import Reading_GSS End2]]-AN36)*1000&lt;0,0,(RD[[#This Row],[33 kV F5 Import Reading_GSS End2]]-AN36)*1000)</f>
        <v>843.19999999991069</v>
      </c>
      <c r="BL37" s="84">
        <f>RD[[#This Row],[Export  (kWh)]]-RD[[#This Row],[Import (kWh)]]</f>
        <v>122088.59999999129</v>
      </c>
      <c r="BM37" s="84">
        <f>RD[[#This Row],[Inverters Generation ( kWh)]]-RD[[#This Row],[Export  (kWh)]]</f>
        <v>1440.200000008801</v>
      </c>
      <c r="BN37">
        <f t="shared" si="12"/>
        <v>51075</v>
      </c>
      <c r="BO37">
        <f t="shared" si="13"/>
        <v>210</v>
      </c>
      <c r="BP37" s="185">
        <f t="shared" si="7"/>
        <v>72900</v>
      </c>
      <c r="BQ37" s="185">
        <f t="shared" si="9"/>
        <v>748.8</v>
      </c>
      <c r="BR37" s="185">
        <f t="shared" si="11"/>
        <v>12.266666666666666</v>
      </c>
    </row>
    <row r="38" spans="1:70" ht="15" customHeight="1" x14ac:dyDescent="0.35">
      <c r="A38" s="85">
        <f t="shared" si="8"/>
        <v>45779</v>
      </c>
      <c r="B38" s="80">
        <f>YEAR(RD[[#This Row],[Date]])+IF(MONTH(RD[[#This Row],[Date]])&gt;=4,1,0)</f>
        <v>2026</v>
      </c>
      <c r="C38" s="80">
        <f>YEAR(RD[[#This Row],[Month Year]])</f>
        <v>2025</v>
      </c>
      <c r="D38" s="99" t="s">
        <v>4</v>
      </c>
      <c r="E38" s="99" t="s">
        <v>4</v>
      </c>
      <c r="F38" s="80" t="str">
        <f t="shared" si="10"/>
        <v>May-25</v>
      </c>
      <c r="G38" s="79">
        <f>DAY(EOMONTH(RD[[#This Row],[Month Year]],0))</f>
        <v>31</v>
      </c>
      <c r="H38" s="100">
        <v>24.303100000000001</v>
      </c>
      <c r="I38" s="162">
        <v>0.26250000000000001</v>
      </c>
      <c r="J38" s="162">
        <v>0.77361111111111114</v>
      </c>
      <c r="K38" s="79">
        <v>4717</v>
      </c>
      <c r="L38" s="79">
        <v>5409</v>
      </c>
      <c r="M38" s="79">
        <v>4707</v>
      </c>
      <c r="N38" s="179">
        <v>5172</v>
      </c>
      <c r="O38" s="179">
        <v>5525</v>
      </c>
      <c r="P38" s="179">
        <v>4698</v>
      </c>
      <c r="Q38" s="179">
        <v>5296</v>
      </c>
      <c r="R38" s="179">
        <v>4647</v>
      </c>
      <c r="S38" s="179">
        <v>5532</v>
      </c>
      <c r="T38" s="179">
        <v>4911</v>
      </c>
      <c r="U38" s="79">
        <v>6597</v>
      </c>
      <c r="V38" s="79">
        <v>6762</v>
      </c>
      <c r="W38" s="79">
        <v>6896</v>
      </c>
      <c r="X38" s="79">
        <v>6947</v>
      </c>
      <c r="Y38" s="79">
        <v>6874</v>
      </c>
      <c r="Z38" s="79">
        <v>6790</v>
      </c>
      <c r="AA38" s="79">
        <v>6839</v>
      </c>
      <c r="AB38" s="79">
        <v>6637</v>
      </c>
      <c r="AC38" s="79">
        <v>7948</v>
      </c>
      <c r="AD38" s="79">
        <v>8346</v>
      </c>
      <c r="AE38" s="79"/>
      <c r="AF38" s="79"/>
      <c r="AG38" s="79"/>
      <c r="AH38" s="79"/>
      <c r="AI38" s="79"/>
      <c r="AJ38" s="79"/>
      <c r="AK38" s="79"/>
      <c r="AL38" s="79"/>
      <c r="AM38" s="80">
        <v>147688.59409999999</v>
      </c>
      <c r="AN38" s="80">
        <v>594.02279999999996</v>
      </c>
      <c r="AO38" s="80"/>
      <c r="AP38" s="80">
        <v>6.7240000000000002</v>
      </c>
      <c r="AQ38" s="82">
        <v>6.5190000000000001</v>
      </c>
      <c r="AR38" s="82">
        <f>IF(RD[[#This Row],[POA(kWh/m2)_O2R6]]="",RD[[#This Row],[POA(kWh/m2)_PSEGPL]],(RD[[#This Row],[POA(kWh/m2)_PSEGPL]]*('Basic Data'!$V$2/'Basic Data'!$V$4))+(RD[[#This Row],[POA(kWh/m2)_O2R6]]*('Basic Data'!$V$3/'Basic Data'!$V$4)))</f>
        <v>6.6161217051070835</v>
      </c>
      <c r="AS38" s="82">
        <f>SUM(RD[[#This Row],[G1 Inv1]:[G5 Inv10]])</f>
        <v>50614</v>
      </c>
      <c r="AT38" s="82">
        <f>SUM(RD[[#This Row],[IS1_Inv1_M1]:[IS1_Inv2_M4]])</f>
        <v>54342</v>
      </c>
      <c r="AU38" s="82">
        <f>SUM(RD[[#This Row],[IS2_Inv1]:[IS2_Inv2]])</f>
        <v>16294</v>
      </c>
      <c r="AV38" s="80"/>
      <c r="AW38" s="83"/>
      <c r="AX38" s="80"/>
      <c r="AY38" s="80"/>
      <c r="AZ38" s="80"/>
      <c r="BA38" s="83">
        <f>IFERROR(SUM(RD[[#This Row],[PSEGPL]:[O2R10]]),"")</f>
        <v>121250</v>
      </c>
      <c r="BB38" s="80">
        <v>1403</v>
      </c>
      <c r="BC38" s="83">
        <v>220546</v>
      </c>
      <c r="BD38" s="83">
        <v>1222</v>
      </c>
      <c r="BE38" s="83">
        <v>199998</v>
      </c>
      <c r="BF38" s="83">
        <v>1721</v>
      </c>
      <c r="BG38" s="83">
        <v>226075</v>
      </c>
      <c r="BH38" s="83">
        <v>2609</v>
      </c>
      <c r="BI38" s="83">
        <v>216265</v>
      </c>
      <c r="BJ38" s="101">
        <f>IF((RD[[#This Row],[33 kV F5 Export Reading_Gss End]]-AM37)*1000&lt;0,0,(RD[[#This Row],[33 kV F5 Export Reading_Gss End]]-AM37)*1000)</f>
        <v>119887.49999998254</v>
      </c>
      <c r="BK38" s="83">
        <f>IF((RD[[#This Row],[33 kV F5 Import Reading_GSS End2]]-AN37)*1000&lt;0,0,(RD[[#This Row],[33 kV F5 Import Reading_GSS End2]]-AN37)*1000)</f>
        <v>873.60000000001037</v>
      </c>
      <c r="BL38" s="84">
        <f>RD[[#This Row],[Export  (kWh)]]-RD[[#This Row],[Import (kWh)]]</f>
        <v>119013.89999998253</v>
      </c>
      <c r="BM38" s="84">
        <f>RD[[#This Row],[Inverters Generation ( kWh)]]-RD[[#This Row],[Export  (kWh)]]</f>
        <v>1362.5000000174623</v>
      </c>
      <c r="BN38">
        <f t="shared" si="12"/>
        <v>50160</v>
      </c>
      <c r="BO38">
        <f t="shared" si="13"/>
        <v>270</v>
      </c>
      <c r="BP38" s="185">
        <f t="shared" ref="BP38:BP69" si="14">IF(AND(BG38="",BI38=""),"",(((BG38-BG37)*MF_Cap_O2RE6)+((BI38-BI37)*MF_Cap_O2RE10)))</f>
        <v>70800</v>
      </c>
      <c r="BQ38" s="185">
        <f t="shared" si="9"/>
        <v>898.8</v>
      </c>
      <c r="BR38" s="185">
        <f t="shared" si="11"/>
        <v>12.266666666666666</v>
      </c>
    </row>
    <row r="39" spans="1:70" ht="15" customHeight="1" x14ac:dyDescent="0.35">
      <c r="A39" s="85">
        <f t="shared" si="8"/>
        <v>45780</v>
      </c>
      <c r="B39" s="80">
        <f>YEAR(RD[[#This Row],[Date]])+IF(MONTH(RD[[#This Row],[Date]])&gt;=4,1,0)</f>
        <v>2026</v>
      </c>
      <c r="C39" s="80">
        <f>YEAR(RD[[#This Row],[Month Year]])</f>
        <v>2025</v>
      </c>
      <c r="D39" s="99" t="s">
        <v>4</v>
      </c>
      <c r="E39" s="99" t="s">
        <v>4</v>
      </c>
      <c r="F39" s="80" t="str">
        <f t="shared" si="10"/>
        <v>May-25</v>
      </c>
      <c r="G39" s="79">
        <f>DAY(EOMONTH(RD[[#This Row],[Month Year]],0))</f>
        <v>31</v>
      </c>
      <c r="H39" s="100">
        <v>24.303100000000001</v>
      </c>
      <c r="I39" s="162">
        <v>0.26597222222222222</v>
      </c>
      <c r="J39" s="162">
        <v>0.77500000000000002</v>
      </c>
      <c r="K39" s="79">
        <v>4882</v>
      </c>
      <c r="L39" s="79">
        <v>5593</v>
      </c>
      <c r="M39" s="79">
        <v>4862</v>
      </c>
      <c r="N39" s="179">
        <v>5575</v>
      </c>
      <c r="O39" s="179">
        <v>5676</v>
      </c>
      <c r="P39" s="179">
        <v>4827</v>
      </c>
      <c r="Q39" s="179">
        <v>5458</v>
      </c>
      <c r="R39" s="179">
        <v>4809</v>
      </c>
      <c r="S39" s="179">
        <v>5721</v>
      </c>
      <c r="T39" s="179">
        <v>4967</v>
      </c>
      <c r="U39" s="79">
        <v>6878</v>
      </c>
      <c r="V39" s="79">
        <v>7055</v>
      </c>
      <c r="W39" s="79">
        <v>7208</v>
      </c>
      <c r="X39" s="79">
        <v>7264</v>
      </c>
      <c r="Y39" s="79">
        <v>7204</v>
      </c>
      <c r="Z39" s="79">
        <v>7112</v>
      </c>
      <c r="AA39" s="79">
        <v>7156</v>
      </c>
      <c r="AB39" s="79">
        <v>6918</v>
      </c>
      <c r="AC39" s="79">
        <v>8426</v>
      </c>
      <c r="AD39" s="79">
        <v>8756</v>
      </c>
      <c r="AE39" s="79"/>
      <c r="AF39" s="79"/>
      <c r="AG39" s="79"/>
      <c r="AH39" s="79"/>
      <c r="AI39" s="79"/>
      <c r="AJ39" s="79"/>
      <c r="AK39" s="79"/>
      <c r="AL39" s="79"/>
      <c r="AM39" s="80">
        <v>147813.4969</v>
      </c>
      <c r="AN39" s="80">
        <v>594.98800000000006</v>
      </c>
      <c r="AO39" s="80"/>
      <c r="AP39" s="80">
        <v>7.15</v>
      </c>
      <c r="AQ39" s="82">
        <v>7.01</v>
      </c>
      <c r="AR39" s="82">
        <f>IF(RD[[#This Row],[POA(kWh/m2)_O2R6]]="",RD[[#This Row],[POA(kWh/m2)_PSEGPL]],(RD[[#This Row],[POA(kWh/m2)_PSEGPL]]*('Basic Data'!$V$2/'Basic Data'!$V$4))+(RD[[#This Row],[POA(kWh/m2)_O2R6]]*('Basic Data'!$V$3/'Basic Data'!$V$4)))</f>
        <v>7.0763270181219102</v>
      </c>
      <c r="AS39" s="82">
        <f>SUM(RD[[#This Row],[G1 Inv1]:[G5 Inv10]])</f>
        <v>52370</v>
      </c>
      <c r="AT39" s="82">
        <f>SUM(RD[[#This Row],[IS1_Inv1_M1]:[IS1_Inv2_M4]])</f>
        <v>56795</v>
      </c>
      <c r="AU39" s="82">
        <f>SUM(RD[[#This Row],[IS2_Inv1]:[IS2_Inv2]])</f>
        <v>17182</v>
      </c>
      <c r="AV39" s="80"/>
      <c r="AW39" s="83"/>
      <c r="AX39" s="80"/>
      <c r="AY39" s="80"/>
      <c r="AZ39" s="80"/>
      <c r="BA39" s="83">
        <f>IFERROR(SUM(RD[[#This Row],[PSEGPL]:[O2R10]]),"")</f>
        <v>126347</v>
      </c>
      <c r="BB39" s="80">
        <v>1405</v>
      </c>
      <c r="BC39" s="83">
        <v>221065</v>
      </c>
      <c r="BD39" s="83">
        <v>1224</v>
      </c>
      <c r="BE39" s="83">
        <v>200458</v>
      </c>
      <c r="BF39" s="83">
        <v>1725</v>
      </c>
      <c r="BG39" s="83">
        <v>226707</v>
      </c>
      <c r="BH39" s="83">
        <v>2615</v>
      </c>
      <c r="BI39" s="83">
        <v>216839</v>
      </c>
      <c r="BJ39" s="101">
        <f>IF((RD[[#This Row],[33 kV F5 Export Reading_Gss End]]-AM38)*1000&lt;0,0,(RD[[#This Row],[33 kV F5 Export Reading_Gss End]]-AM38)*1000)</f>
        <v>124902.80000001076</v>
      </c>
      <c r="BK39" s="83">
        <f>IF((RD[[#This Row],[33 kV F5 Import Reading_GSS End2]]-AN38)*1000&lt;0,0,(RD[[#This Row],[33 kV F5 Import Reading_GSS End2]]-AN38)*1000)</f>
        <v>965.20000000009532</v>
      </c>
      <c r="BL39" s="84">
        <f>RD[[#This Row],[Export  (kWh)]]-RD[[#This Row],[Import (kWh)]]</f>
        <v>123937.60000001066</v>
      </c>
      <c r="BM39" s="84">
        <f>RD[[#This Row],[Inverters Generation ( kWh)]]-RD[[#This Row],[Export  (kWh)]]</f>
        <v>1444.1999999892432</v>
      </c>
      <c r="BN39">
        <f t="shared" si="12"/>
        <v>51840</v>
      </c>
      <c r="BO39">
        <f t="shared" si="13"/>
        <v>210</v>
      </c>
      <c r="BP39" s="185">
        <f t="shared" si="14"/>
        <v>74100</v>
      </c>
      <c r="BQ39" s="185">
        <f t="shared" si="9"/>
        <v>658.8</v>
      </c>
      <c r="BR39" s="185">
        <f t="shared" si="11"/>
        <v>12.216666666666669</v>
      </c>
    </row>
    <row r="40" spans="1:70" ht="15" customHeight="1" x14ac:dyDescent="0.35">
      <c r="A40" s="85">
        <f t="shared" si="8"/>
        <v>45781</v>
      </c>
      <c r="B40" s="80">
        <f>YEAR(RD[[#This Row],[Date]])+IF(MONTH(RD[[#This Row],[Date]])&gt;=4,1,0)</f>
        <v>2026</v>
      </c>
      <c r="C40" s="80">
        <f>YEAR(RD[[#This Row],[Month Year]])</f>
        <v>2025</v>
      </c>
      <c r="D40" s="99" t="s">
        <v>4</v>
      </c>
      <c r="E40" s="99" t="s">
        <v>4</v>
      </c>
      <c r="F40" s="80" t="str">
        <f t="shared" si="10"/>
        <v>May-25</v>
      </c>
      <c r="G40" s="79">
        <f>DAY(EOMONTH(RD[[#This Row],[Month Year]],0))</f>
        <v>31</v>
      </c>
      <c r="H40" s="100">
        <v>24.303100000000001</v>
      </c>
      <c r="I40" s="162">
        <v>0.26597222222222222</v>
      </c>
      <c r="J40" s="162">
        <v>0.77500000000000002</v>
      </c>
      <c r="K40" s="79">
        <v>5046</v>
      </c>
      <c r="L40" s="79">
        <v>5791</v>
      </c>
      <c r="M40" s="79">
        <v>5036</v>
      </c>
      <c r="N40" s="179">
        <v>5773</v>
      </c>
      <c r="O40" s="179">
        <v>5866</v>
      </c>
      <c r="P40" s="179">
        <v>5009</v>
      </c>
      <c r="Q40" s="179">
        <v>5712</v>
      </c>
      <c r="R40" s="179">
        <v>5119</v>
      </c>
      <c r="S40" s="179">
        <v>5907</v>
      </c>
      <c r="T40" s="179">
        <v>5157</v>
      </c>
      <c r="U40" s="79">
        <v>7114</v>
      </c>
      <c r="V40" s="79">
        <v>7271</v>
      </c>
      <c r="W40" s="79">
        <v>7425</v>
      </c>
      <c r="X40" s="79">
        <v>7473</v>
      </c>
      <c r="Y40" s="79">
        <v>7409</v>
      </c>
      <c r="Z40" s="79">
        <v>7296</v>
      </c>
      <c r="AA40" s="79">
        <v>7401</v>
      </c>
      <c r="AB40" s="79">
        <v>7170</v>
      </c>
      <c r="AC40" s="79">
        <v>8716</v>
      </c>
      <c r="AD40" s="79">
        <v>9152</v>
      </c>
      <c r="AE40" s="79"/>
      <c r="AF40" s="79"/>
      <c r="AG40" s="79"/>
      <c r="AH40" s="79"/>
      <c r="AI40" s="79"/>
      <c r="AJ40" s="79"/>
      <c r="AK40" s="79"/>
      <c r="AL40" s="79"/>
      <c r="AM40" s="80">
        <v>147942.87899999999</v>
      </c>
      <c r="AN40" s="80">
        <v>595.9239</v>
      </c>
      <c r="AO40" s="80"/>
      <c r="AP40" s="80">
        <v>7.2649999999999997</v>
      </c>
      <c r="AQ40" s="82">
        <v>7.16</v>
      </c>
      <c r="AR40" s="82">
        <f>IF(RD[[#This Row],[POA(kWh/m2)_O2R6]]="",RD[[#This Row],[POA(kWh/m2)_PSEGPL]],(RD[[#This Row],[POA(kWh/m2)_PSEGPL]]*('Basic Data'!$V$2/'Basic Data'!$V$4))+(RD[[#This Row],[POA(kWh/m2)_O2R6]]*('Basic Data'!$V$3/'Basic Data'!$V$4)))</f>
        <v>7.209745263591433</v>
      </c>
      <c r="AS40" s="82">
        <f>SUM(RD[[#This Row],[G1 Inv1]:[G5 Inv10]])</f>
        <v>54416</v>
      </c>
      <c r="AT40" s="82">
        <f>SUM(RD[[#This Row],[IS1_Inv1_M1]:[IS1_Inv2_M4]])</f>
        <v>58559</v>
      </c>
      <c r="AU40" s="82">
        <f>SUM(RD[[#This Row],[IS2_Inv1]:[IS2_Inv2]])</f>
        <v>17868</v>
      </c>
      <c r="AV40" s="80"/>
      <c r="AW40" s="83"/>
      <c r="AX40" s="80"/>
      <c r="AY40" s="80"/>
      <c r="AZ40" s="80"/>
      <c r="BA40" s="83">
        <f>IFERROR(SUM(RD[[#This Row],[PSEGPL]:[O2R10]]),"")</f>
        <v>130843</v>
      </c>
      <c r="BB40" s="80">
        <v>1408</v>
      </c>
      <c r="BC40" s="83">
        <v>221604</v>
      </c>
      <c r="BD40" s="83">
        <v>1226</v>
      </c>
      <c r="BE40" s="83">
        <v>200940</v>
      </c>
      <c r="BF40" s="83">
        <v>1731</v>
      </c>
      <c r="BG40" s="83">
        <v>227359</v>
      </c>
      <c r="BH40" s="83">
        <v>2626</v>
      </c>
      <c r="BI40" s="83">
        <v>217435</v>
      </c>
      <c r="BJ40" s="101">
        <f>IF((RD[[#This Row],[33 kV F5 Export Reading_Gss End]]-AM39)*1000&lt;0,0,(RD[[#This Row],[33 kV F5 Export Reading_Gss End]]-AM39)*1000)</f>
        <v>129382.09999998799</v>
      </c>
      <c r="BK40" s="83">
        <f>IF((RD[[#This Row],[33 kV F5 Import Reading_GSS End2]]-AN39)*1000&lt;0,0,(RD[[#This Row],[33 kV F5 Import Reading_GSS End2]]-AN39)*1000)</f>
        <v>935.89999999994689</v>
      </c>
      <c r="BL40" s="84">
        <f>RD[[#This Row],[Export  (kWh)]]-RD[[#This Row],[Import (kWh)]]</f>
        <v>128446.19999998804</v>
      </c>
      <c r="BM40" s="84">
        <f>RD[[#This Row],[Inverters Generation ( kWh)]]-RD[[#This Row],[Export  (kWh)]]</f>
        <v>1460.9000000120141</v>
      </c>
      <c r="BN40">
        <f t="shared" si="12"/>
        <v>54030</v>
      </c>
      <c r="BO40">
        <f t="shared" si="13"/>
        <v>270</v>
      </c>
      <c r="BP40" s="185">
        <f t="shared" si="14"/>
        <v>76560</v>
      </c>
      <c r="BQ40" s="185">
        <f t="shared" si="9"/>
        <v>1048.2</v>
      </c>
      <c r="BR40" s="185">
        <f t="shared" si="11"/>
        <v>12.216666666666669</v>
      </c>
    </row>
    <row r="41" spans="1:70" ht="15" customHeight="1" x14ac:dyDescent="0.35">
      <c r="A41" s="85">
        <f t="shared" si="8"/>
        <v>45782</v>
      </c>
      <c r="B41" s="80">
        <f>YEAR(RD[[#This Row],[Date]])+IF(MONTH(RD[[#This Row],[Date]])&gt;=4,1,0)</f>
        <v>2026</v>
      </c>
      <c r="C41" s="80">
        <f>YEAR(RD[[#This Row],[Month Year]])</f>
        <v>2025</v>
      </c>
      <c r="D41" s="99" t="s">
        <v>4</v>
      </c>
      <c r="E41" s="99" t="s">
        <v>4</v>
      </c>
      <c r="F41" s="80" t="str">
        <f t="shared" si="10"/>
        <v>May-25</v>
      </c>
      <c r="G41" s="79">
        <f>DAY(EOMONTH(RD[[#This Row],[Month Year]],0))</f>
        <v>31</v>
      </c>
      <c r="H41" s="100">
        <v>24.303100000000001</v>
      </c>
      <c r="I41" s="162">
        <v>0.26180555555555557</v>
      </c>
      <c r="J41" s="162">
        <v>0.76944444444444449</v>
      </c>
      <c r="K41" s="79">
        <v>4771</v>
      </c>
      <c r="L41" s="79">
        <v>5470</v>
      </c>
      <c r="M41" s="79">
        <v>4754</v>
      </c>
      <c r="N41" s="179">
        <v>5496</v>
      </c>
      <c r="O41" s="179">
        <v>5531</v>
      </c>
      <c r="P41" s="179">
        <v>4730</v>
      </c>
      <c r="Q41" s="179">
        <v>5469</v>
      </c>
      <c r="R41" s="179">
        <v>4823</v>
      </c>
      <c r="S41" s="179">
        <v>5577</v>
      </c>
      <c r="T41" s="179">
        <v>4893</v>
      </c>
      <c r="U41" s="79">
        <v>6646</v>
      </c>
      <c r="V41" s="79">
        <v>6794</v>
      </c>
      <c r="W41" s="79">
        <v>6957</v>
      </c>
      <c r="X41" s="79">
        <v>6989</v>
      </c>
      <c r="Y41" s="79">
        <v>6939</v>
      </c>
      <c r="Z41" s="79">
        <v>6863</v>
      </c>
      <c r="AA41" s="79">
        <v>6883</v>
      </c>
      <c r="AB41" s="79">
        <v>6671</v>
      </c>
      <c r="AC41" s="79">
        <v>8143</v>
      </c>
      <c r="AD41" s="79">
        <v>8587</v>
      </c>
      <c r="AE41" s="79"/>
      <c r="AF41" s="79"/>
      <c r="AG41" s="79"/>
      <c r="AH41" s="79"/>
      <c r="AI41" s="79"/>
      <c r="AJ41" s="79"/>
      <c r="AK41" s="79"/>
      <c r="AL41" s="79"/>
      <c r="AM41" s="80">
        <v>148064.52420000001</v>
      </c>
      <c r="AN41" s="80">
        <v>596.89449999999999</v>
      </c>
      <c r="AO41" s="80"/>
      <c r="AP41" s="80">
        <v>6.7270000000000003</v>
      </c>
      <c r="AQ41" s="82">
        <v>6.5490000000000004</v>
      </c>
      <c r="AR41" s="82">
        <f>IF(RD[[#This Row],[POA(kWh/m2)_O2R6]]="",RD[[#This Row],[POA(kWh/m2)_PSEGPL]],(RD[[#This Row],[POA(kWh/m2)_PSEGPL]]*('Basic Data'!$V$2/'Basic Data'!$V$4))+(RD[[#This Row],[POA(kWh/m2)_O2R6]]*('Basic Data'!$V$3/'Basic Data'!$V$4)))</f>
        <v>6.6333300658978587</v>
      </c>
      <c r="AS41" s="82">
        <f>SUM(RD[[#This Row],[G1 Inv1]:[G5 Inv10]])</f>
        <v>51514</v>
      </c>
      <c r="AT41" s="82">
        <f>SUM(RD[[#This Row],[IS1_Inv1_M1]:[IS1_Inv2_M4]])</f>
        <v>54742</v>
      </c>
      <c r="AU41" s="82">
        <f>SUM(RD[[#This Row],[IS2_Inv1]:[IS2_Inv2]])</f>
        <v>16730</v>
      </c>
      <c r="AV41" s="80"/>
      <c r="AW41" s="83"/>
      <c r="AX41" s="80"/>
      <c r="AY41" s="80"/>
      <c r="AZ41" s="80"/>
      <c r="BA41" s="83">
        <f>IFERROR(SUM(RD[[#This Row],[PSEGPL]:[O2R10]]),"")</f>
        <v>122986</v>
      </c>
      <c r="BB41" s="80">
        <v>1410</v>
      </c>
      <c r="BC41" s="83">
        <v>222113</v>
      </c>
      <c r="BD41" s="83">
        <v>1228</v>
      </c>
      <c r="BE41" s="83">
        <v>201396</v>
      </c>
      <c r="BF41" s="83">
        <v>1734</v>
      </c>
      <c r="BG41" s="83">
        <v>227968</v>
      </c>
      <c r="BH41" s="83">
        <v>2635</v>
      </c>
      <c r="BI41" s="83">
        <v>217994</v>
      </c>
      <c r="BJ41" s="101">
        <f>IF((RD[[#This Row],[33 kV F5 Export Reading_Gss End]]-AM40)*1000&lt;0,0,(RD[[#This Row],[33 kV F5 Export Reading_Gss End]]-AM40)*1000)</f>
        <v>121645.20000002813</v>
      </c>
      <c r="BK41" s="83">
        <f>IF((RD[[#This Row],[33 kV F5 Import Reading_GSS End2]]-AN40)*1000&lt;0,0,(RD[[#This Row],[33 kV F5 Import Reading_GSS End2]]-AN40)*1000)</f>
        <v>970.59999999999036</v>
      </c>
      <c r="BL41" s="84">
        <f>RD[[#This Row],[Export  (kWh)]]-RD[[#This Row],[Import (kWh)]]</f>
        <v>120674.60000002813</v>
      </c>
      <c r="BM41" s="84">
        <f>RD[[#This Row],[Inverters Generation ( kWh)]]-RD[[#This Row],[Export  (kWh)]]</f>
        <v>1340.7999999718741</v>
      </c>
      <c r="BN41">
        <f t="shared" si="12"/>
        <v>51060</v>
      </c>
      <c r="BO41">
        <f t="shared" si="13"/>
        <v>210</v>
      </c>
      <c r="BP41" s="185">
        <f t="shared" si="14"/>
        <v>71580</v>
      </c>
      <c r="BQ41" s="185">
        <f t="shared" si="9"/>
        <v>629.1</v>
      </c>
      <c r="BR41" s="185">
        <f t="shared" si="11"/>
        <v>12.183333333333335</v>
      </c>
    </row>
    <row r="42" spans="1:70" ht="15" customHeight="1" x14ac:dyDescent="0.35">
      <c r="A42" s="85">
        <f t="shared" si="8"/>
        <v>45783</v>
      </c>
      <c r="B42" s="80">
        <f>YEAR(RD[[#This Row],[Date]])+IF(MONTH(RD[[#This Row],[Date]])&gt;=4,1,0)</f>
        <v>2026</v>
      </c>
      <c r="C42" s="80">
        <f>YEAR(RD[[#This Row],[Month Year]])</f>
        <v>2025</v>
      </c>
      <c r="D42" s="99" t="s">
        <v>4</v>
      </c>
      <c r="E42" s="99" t="s">
        <v>4</v>
      </c>
      <c r="F42" s="80" t="str">
        <f t="shared" si="10"/>
        <v>May-25</v>
      </c>
      <c r="G42" s="79">
        <f>DAY(EOMONTH(RD[[#This Row],[Month Year]],0))</f>
        <v>31</v>
      </c>
      <c r="H42" s="100">
        <v>24.303100000000001</v>
      </c>
      <c r="I42" s="162">
        <v>0.26250000000000001</v>
      </c>
      <c r="J42" s="162">
        <v>0.75555555555555554</v>
      </c>
      <c r="K42" s="79">
        <v>4661</v>
      </c>
      <c r="L42" s="79">
        <v>5357</v>
      </c>
      <c r="M42" s="79">
        <v>4656</v>
      </c>
      <c r="N42" s="179">
        <v>5341</v>
      </c>
      <c r="O42" s="179">
        <v>5383</v>
      </c>
      <c r="P42" s="179">
        <v>4630</v>
      </c>
      <c r="Q42" s="179">
        <v>5260</v>
      </c>
      <c r="R42" s="179">
        <v>4620</v>
      </c>
      <c r="S42" s="179">
        <v>5316</v>
      </c>
      <c r="T42" s="179">
        <v>4707</v>
      </c>
      <c r="U42" s="79">
        <v>6326</v>
      </c>
      <c r="V42" s="79">
        <v>6428</v>
      </c>
      <c r="W42" s="79">
        <v>6607</v>
      </c>
      <c r="X42" s="79">
        <v>6631</v>
      </c>
      <c r="Y42" s="79">
        <v>6604</v>
      </c>
      <c r="Z42" s="79">
        <v>6496</v>
      </c>
      <c r="AA42" s="79">
        <v>6513</v>
      </c>
      <c r="AB42" s="79">
        <v>6348</v>
      </c>
      <c r="AC42" s="79">
        <v>7800</v>
      </c>
      <c r="AD42" s="79">
        <v>8259</v>
      </c>
      <c r="AE42" s="79"/>
      <c r="AF42" s="79"/>
      <c r="AG42" s="79"/>
      <c r="AH42" s="79"/>
      <c r="AI42" s="79"/>
      <c r="AJ42" s="79"/>
      <c r="AK42" s="79"/>
      <c r="AL42" s="79"/>
      <c r="AM42" s="80">
        <v>148181.32190000001</v>
      </c>
      <c r="AN42" s="80">
        <v>597.77120000000002</v>
      </c>
      <c r="AO42" s="80"/>
      <c r="AP42" s="80">
        <v>6.2750000000000004</v>
      </c>
      <c r="AQ42" s="82">
        <v>6.2080000000000002</v>
      </c>
      <c r="AR42" s="82">
        <f>IF(RD[[#This Row],[POA(kWh/m2)_O2R6]]="",RD[[#This Row],[POA(kWh/m2)_PSEGPL]],(RD[[#This Row],[POA(kWh/m2)_PSEGPL]]*('Basic Data'!$V$2/'Basic Data'!$V$4))+(RD[[#This Row],[POA(kWh/m2)_O2R6]]*('Basic Data'!$V$3/'Basic Data'!$V$4)))</f>
        <v>6.239742215815486</v>
      </c>
      <c r="AS42" s="82">
        <f>SUM(RD[[#This Row],[G1 Inv1]:[G5 Inv10]])</f>
        <v>49931</v>
      </c>
      <c r="AT42" s="82">
        <f>SUM(RD[[#This Row],[IS1_Inv1_M1]:[IS1_Inv2_M4]])</f>
        <v>51953</v>
      </c>
      <c r="AU42" s="82">
        <f>SUM(RD[[#This Row],[IS2_Inv1]:[IS2_Inv2]])</f>
        <v>16059</v>
      </c>
      <c r="AV42" s="80"/>
      <c r="AW42" s="83"/>
      <c r="AX42" s="80"/>
      <c r="AY42" s="80"/>
      <c r="AZ42" s="80"/>
      <c r="BA42" s="83">
        <f>IFERROR(SUM(RD[[#This Row],[PSEGPL]:[O2R10]]),"")</f>
        <v>117943</v>
      </c>
      <c r="BB42" s="80">
        <v>1412</v>
      </c>
      <c r="BC42" s="83">
        <v>222610</v>
      </c>
      <c r="BD42" s="83">
        <v>1230</v>
      </c>
      <c r="BE42" s="83">
        <v>201834</v>
      </c>
      <c r="BF42" s="83">
        <v>1738</v>
      </c>
      <c r="BG42" s="83">
        <v>228547</v>
      </c>
      <c r="BH42" s="83">
        <v>2644</v>
      </c>
      <c r="BI42" s="83">
        <v>218530</v>
      </c>
      <c r="BJ42" s="101">
        <f>IF((RD[[#This Row],[33 kV F5 Export Reading_Gss End]]-AM41)*1000&lt;0,0,(RD[[#This Row],[33 kV F5 Export Reading_Gss End]]-AM41)*1000)</f>
        <v>116797.69999999553</v>
      </c>
      <c r="BK42" s="83">
        <f>IF((RD[[#This Row],[33 kV F5 Import Reading_GSS End2]]-AN41)*1000&lt;0,0,(RD[[#This Row],[33 kV F5 Import Reading_GSS End2]]-AN41)*1000)</f>
        <v>876.70000000002801</v>
      </c>
      <c r="BL42" s="84">
        <f>RD[[#This Row],[Export  (kWh)]]-RD[[#This Row],[Import (kWh)]]</f>
        <v>115920.9999999955</v>
      </c>
      <c r="BM42" s="84">
        <f>RD[[#This Row],[Inverters Generation ( kWh)]]-RD[[#This Row],[Export  (kWh)]]</f>
        <v>1145.3000000044703</v>
      </c>
      <c r="BN42">
        <f t="shared" si="12"/>
        <v>49530</v>
      </c>
      <c r="BO42">
        <f t="shared" si="13"/>
        <v>210</v>
      </c>
      <c r="BP42" s="185">
        <f t="shared" si="14"/>
        <v>68190</v>
      </c>
      <c r="BQ42" s="185">
        <f t="shared" si="9"/>
        <v>748.8</v>
      </c>
      <c r="BR42" s="185">
        <f t="shared" si="11"/>
        <v>11.833333333333332</v>
      </c>
    </row>
    <row r="43" spans="1:70" ht="15" customHeight="1" x14ac:dyDescent="0.35">
      <c r="A43" s="85">
        <f t="shared" si="8"/>
        <v>45784</v>
      </c>
      <c r="B43" s="80">
        <f>YEAR(RD[[#This Row],[Date]])+IF(MONTH(RD[[#This Row],[Date]])&gt;=4,1,0)</f>
        <v>2026</v>
      </c>
      <c r="C43" s="80">
        <f>YEAR(RD[[#This Row],[Month Year]])</f>
        <v>2025</v>
      </c>
      <c r="D43" s="99" t="s">
        <v>4</v>
      </c>
      <c r="E43" s="99" t="s">
        <v>4</v>
      </c>
      <c r="F43" s="80" t="str">
        <f t="shared" si="10"/>
        <v>May-25</v>
      </c>
      <c r="G43" s="79">
        <f>DAY(EOMONTH(RD[[#This Row],[Month Year]],0))</f>
        <v>31</v>
      </c>
      <c r="H43" s="100">
        <v>24.303100000000001</v>
      </c>
      <c r="I43" s="162">
        <v>0.26458333333333334</v>
      </c>
      <c r="J43" s="162">
        <v>0.77430555555555558</v>
      </c>
      <c r="K43" s="79">
        <v>3788</v>
      </c>
      <c r="L43" s="79">
        <v>4340</v>
      </c>
      <c r="M43" s="79">
        <v>3763</v>
      </c>
      <c r="N43" s="179">
        <v>4323</v>
      </c>
      <c r="O43" s="179">
        <v>4357</v>
      </c>
      <c r="P43" s="179">
        <v>3729</v>
      </c>
      <c r="Q43" s="179">
        <v>4260</v>
      </c>
      <c r="R43" s="179">
        <v>3740</v>
      </c>
      <c r="S43" s="179">
        <v>4321</v>
      </c>
      <c r="T43" s="179">
        <v>3847</v>
      </c>
      <c r="U43" s="79">
        <v>5155</v>
      </c>
      <c r="V43" s="79">
        <v>5200</v>
      </c>
      <c r="W43" s="79">
        <v>5334</v>
      </c>
      <c r="X43" s="79">
        <v>5343</v>
      </c>
      <c r="Y43" s="79">
        <v>5328</v>
      </c>
      <c r="Z43" s="79">
        <v>5268</v>
      </c>
      <c r="AA43" s="79">
        <v>5294</v>
      </c>
      <c r="AB43" s="79">
        <v>5172</v>
      </c>
      <c r="AC43" s="79">
        <v>6217</v>
      </c>
      <c r="AD43" s="79">
        <v>5346</v>
      </c>
      <c r="AE43" s="79"/>
      <c r="AF43" s="79"/>
      <c r="AG43" s="79"/>
      <c r="AH43" s="79"/>
      <c r="AI43" s="79"/>
      <c r="AJ43" s="79"/>
      <c r="AK43" s="79"/>
      <c r="AL43" s="79"/>
      <c r="AM43" s="80">
        <v>148274.94589999999</v>
      </c>
      <c r="AN43" s="80">
        <v>598.44410000000005</v>
      </c>
      <c r="AO43" s="80"/>
      <c r="AP43" s="80">
        <v>4.8840000000000003</v>
      </c>
      <c r="AQ43" s="82">
        <v>4.79</v>
      </c>
      <c r="AR43" s="82">
        <f>IF(RD[[#This Row],[POA(kWh/m2)_O2R6]]="",RD[[#This Row],[POA(kWh/m2)_PSEGPL]],(RD[[#This Row],[POA(kWh/m2)_PSEGPL]]*('Basic Data'!$V$2/'Basic Data'!$V$4))+(RD[[#This Row],[POA(kWh/m2)_O2R6]]*('Basic Data'!$V$3/'Basic Data'!$V$4)))</f>
        <v>4.834533855024711</v>
      </c>
      <c r="AS43" s="82">
        <f>SUM(RD[[#This Row],[G1 Inv1]:[G5 Inv10]])</f>
        <v>40468</v>
      </c>
      <c r="AT43" s="82">
        <f>SUM(RD[[#This Row],[IS1_Inv1_M1]:[IS1_Inv2_M4]])</f>
        <v>42094</v>
      </c>
      <c r="AU43" s="82">
        <f>SUM(RD[[#This Row],[IS2_Inv1]:[IS2_Inv2]])</f>
        <v>11563</v>
      </c>
      <c r="AV43" s="80"/>
      <c r="AW43" s="83"/>
      <c r="AX43" s="80"/>
      <c r="AY43" s="80"/>
      <c r="AZ43" s="80"/>
      <c r="BA43" s="83">
        <f>IFERROR(SUM(RD[[#This Row],[PSEGPL]:[O2R10]]),"")</f>
        <v>94125</v>
      </c>
      <c r="BB43" s="80">
        <v>1415</v>
      </c>
      <c r="BC43" s="83">
        <v>223013</v>
      </c>
      <c r="BD43" s="83">
        <v>1232</v>
      </c>
      <c r="BE43" s="83">
        <v>202190</v>
      </c>
      <c r="BF43" s="83">
        <v>1742</v>
      </c>
      <c r="BG43" s="83">
        <v>229020</v>
      </c>
      <c r="BH43" s="83">
        <v>2652</v>
      </c>
      <c r="BI43" s="83">
        <v>218918</v>
      </c>
      <c r="BJ43" s="101">
        <f>IF((RD[[#This Row],[33 kV F5 Export Reading_Gss End]]-AM42)*1000&lt;0,0,(RD[[#This Row],[33 kV F5 Export Reading_Gss End]]-AM42)*1000)</f>
        <v>93623.999999981606</v>
      </c>
      <c r="BK43" s="83">
        <f>IF((RD[[#This Row],[33 kV F5 Import Reading_GSS End2]]-AN42)*1000&lt;0,0,(RD[[#This Row],[33 kV F5 Import Reading_GSS End2]]-AN42)*1000)</f>
        <v>672.90000000002692</v>
      </c>
      <c r="BL43" s="84">
        <f>RD[[#This Row],[Export  (kWh)]]-RD[[#This Row],[Import (kWh)]]</f>
        <v>92951.099999981583</v>
      </c>
      <c r="BM43" s="84">
        <f>RD[[#This Row],[Inverters Generation ( kWh)]]-RD[[#This Row],[Export  (kWh)]]</f>
        <v>501.00000001839362</v>
      </c>
      <c r="BN43">
        <f t="shared" si="12"/>
        <v>40200</v>
      </c>
      <c r="BO43">
        <f t="shared" si="13"/>
        <v>270</v>
      </c>
      <c r="BP43" s="185">
        <f t="shared" si="14"/>
        <v>54210</v>
      </c>
      <c r="BQ43" s="185">
        <f t="shared" si="9"/>
        <v>718.8</v>
      </c>
      <c r="BR43" s="185">
        <f t="shared" si="11"/>
        <v>12.233333333333333</v>
      </c>
    </row>
    <row r="44" spans="1:70" ht="15" customHeight="1" x14ac:dyDescent="0.35">
      <c r="A44" s="85">
        <f t="shared" si="8"/>
        <v>45785</v>
      </c>
      <c r="B44" s="80">
        <f>YEAR(RD[[#This Row],[Date]])+IF(MONTH(RD[[#This Row],[Date]])&gt;=4,1,0)</f>
        <v>2026</v>
      </c>
      <c r="C44" s="80">
        <f>YEAR(RD[[#This Row],[Month Year]])</f>
        <v>2025</v>
      </c>
      <c r="D44" s="99" t="s">
        <v>4</v>
      </c>
      <c r="E44" s="99" t="s">
        <v>4</v>
      </c>
      <c r="F44" s="80" t="str">
        <f t="shared" si="10"/>
        <v>May-25</v>
      </c>
      <c r="G44" s="79">
        <f>DAY(EOMONTH(RD[[#This Row],[Month Year]],0))</f>
        <v>31</v>
      </c>
      <c r="H44" s="100">
        <v>24.303100000000001</v>
      </c>
      <c r="I44" s="162">
        <v>0.26597222222222222</v>
      </c>
      <c r="J44" s="162">
        <v>0.77430555555555558</v>
      </c>
      <c r="K44" s="79">
        <v>4326</v>
      </c>
      <c r="L44" s="79">
        <v>4937</v>
      </c>
      <c r="M44" s="79">
        <v>4381</v>
      </c>
      <c r="N44" s="179">
        <v>4876</v>
      </c>
      <c r="O44" s="179">
        <v>4898</v>
      </c>
      <c r="P44" s="179">
        <v>4227</v>
      </c>
      <c r="Q44" s="179">
        <v>4767</v>
      </c>
      <c r="R44" s="179">
        <v>4195</v>
      </c>
      <c r="S44" s="179">
        <v>4827</v>
      </c>
      <c r="T44" s="179">
        <v>4300</v>
      </c>
      <c r="U44" s="79">
        <v>5901</v>
      </c>
      <c r="V44" s="79">
        <v>5957</v>
      </c>
      <c r="W44" s="79">
        <v>6126</v>
      </c>
      <c r="X44" s="79">
        <v>6151</v>
      </c>
      <c r="Y44" s="79">
        <v>6114</v>
      </c>
      <c r="Z44" s="79">
        <v>6004</v>
      </c>
      <c r="AA44" s="79">
        <v>6028</v>
      </c>
      <c r="AB44" s="79">
        <v>5913</v>
      </c>
      <c r="AC44" s="79">
        <v>7125</v>
      </c>
      <c r="AD44" s="79">
        <v>4769</v>
      </c>
      <c r="AE44" s="79"/>
      <c r="AF44" s="79"/>
      <c r="AG44" s="79"/>
      <c r="AH44" s="79"/>
      <c r="AI44" s="79"/>
      <c r="AJ44" s="79"/>
      <c r="AK44" s="79"/>
      <c r="AL44" s="79"/>
      <c r="AM44" s="80">
        <v>148379.867</v>
      </c>
      <c r="AN44" s="80">
        <v>599.13220000000001</v>
      </c>
      <c r="AO44" s="80"/>
      <c r="AP44" s="80">
        <v>5.8339999999999996</v>
      </c>
      <c r="AQ44" s="82">
        <v>5.7720000000000002</v>
      </c>
      <c r="AR44" s="82">
        <f>IF(RD[[#This Row],[POA(kWh/m2)_O2R6]]="",RD[[#This Row],[POA(kWh/m2)_PSEGPL]],(RD[[#This Row],[POA(kWh/m2)_PSEGPL]]*('Basic Data'!$V$2/'Basic Data'!$V$4))+(RD[[#This Row],[POA(kWh/m2)_O2R6]]*('Basic Data'!$V$3/'Basic Data'!$V$4)))</f>
        <v>5.801373393739703</v>
      </c>
      <c r="AS44" s="82">
        <f>SUM(RD[[#This Row],[G1 Inv1]:[G5 Inv10]])</f>
        <v>45734</v>
      </c>
      <c r="AT44" s="82">
        <f>SUM(RD[[#This Row],[IS1_Inv1_M1]:[IS1_Inv2_M4]])</f>
        <v>48194</v>
      </c>
      <c r="AU44" s="82">
        <f>SUM(RD[[#This Row],[IS2_Inv1]:[IS2_Inv2]])</f>
        <v>11894</v>
      </c>
      <c r="AV44" s="80"/>
      <c r="AW44" s="83"/>
      <c r="AX44" s="80"/>
      <c r="AY44" s="80"/>
      <c r="AZ44" s="80"/>
      <c r="BA44" s="83">
        <f>IFERROR(SUM(RD[[#This Row],[PSEGPL]:[O2R10]]),"")</f>
        <v>105822</v>
      </c>
      <c r="BB44" s="80">
        <v>1418</v>
      </c>
      <c r="BC44" s="83">
        <v>223470</v>
      </c>
      <c r="BD44" s="83">
        <v>1235</v>
      </c>
      <c r="BE44" s="83">
        <v>202588</v>
      </c>
      <c r="BF44" s="83">
        <v>1746</v>
      </c>
      <c r="BG44" s="83">
        <v>229559</v>
      </c>
      <c r="BH44" s="83">
        <v>2655</v>
      </c>
      <c r="BI44" s="83">
        <v>219316</v>
      </c>
      <c r="BJ44" s="101">
        <f>IF((RD[[#This Row],[33 kV F5 Export Reading_Gss End]]-AM43)*1000&lt;0,0,(RD[[#This Row],[33 kV F5 Export Reading_Gss End]]-AM43)*1000)</f>
        <v>104921.10000000685</v>
      </c>
      <c r="BK44" s="83">
        <f>IF((RD[[#This Row],[33 kV F5 Import Reading_GSS End2]]-AN43)*1000&lt;0,0,(RD[[#This Row],[33 kV F5 Import Reading_GSS End2]]-AN43)*1000)</f>
        <v>688.09999999996307</v>
      </c>
      <c r="BL44" s="84">
        <f>RD[[#This Row],[Export  (kWh)]]-RD[[#This Row],[Import (kWh)]]</f>
        <v>104233.00000000688</v>
      </c>
      <c r="BM44" s="84">
        <f>RD[[#This Row],[Inverters Generation ( kWh)]]-RD[[#This Row],[Export  (kWh)]]</f>
        <v>900.89999999315478</v>
      </c>
      <c r="BN44">
        <f t="shared" si="12"/>
        <v>45330</v>
      </c>
      <c r="BO44">
        <f t="shared" si="13"/>
        <v>315</v>
      </c>
      <c r="BP44" s="185">
        <f t="shared" si="14"/>
        <v>60450</v>
      </c>
      <c r="BQ44" s="185">
        <f t="shared" si="9"/>
        <v>568.79999999999995</v>
      </c>
      <c r="BR44" s="185">
        <f t="shared" si="11"/>
        <v>12.2</v>
      </c>
    </row>
    <row r="45" spans="1:70" ht="15" customHeight="1" x14ac:dyDescent="0.35">
      <c r="A45" s="85">
        <f t="shared" si="8"/>
        <v>45786</v>
      </c>
      <c r="B45" s="80">
        <f>YEAR(RD[[#This Row],[Date]])+IF(MONTH(RD[[#This Row],[Date]])&gt;=4,1,0)</f>
        <v>2026</v>
      </c>
      <c r="C45" s="80">
        <f>YEAR(RD[[#This Row],[Month Year]])</f>
        <v>2025</v>
      </c>
      <c r="D45" s="99" t="s">
        <v>4</v>
      </c>
      <c r="E45" s="99" t="s">
        <v>4</v>
      </c>
      <c r="F45" s="80" t="str">
        <f t="shared" si="10"/>
        <v>May-25</v>
      </c>
      <c r="G45" s="79">
        <f>DAY(EOMONTH(RD[[#This Row],[Month Year]],0))</f>
        <v>31</v>
      </c>
      <c r="H45" s="100">
        <v>24.303100000000001</v>
      </c>
      <c r="I45" s="162">
        <v>0.26041666666666669</v>
      </c>
      <c r="J45" s="162">
        <v>0.7729166666666667</v>
      </c>
      <c r="K45" s="79">
        <v>4019</v>
      </c>
      <c r="L45" s="79">
        <v>4580</v>
      </c>
      <c r="M45" s="79">
        <v>3939</v>
      </c>
      <c r="N45" s="179">
        <v>4490</v>
      </c>
      <c r="O45" s="179">
        <v>4481</v>
      </c>
      <c r="P45" s="179">
        <v>3821</v>
      </c>
      <c r="Q45" s="179">
        <v>4403</v>
      </c>
      <c r="R45" s="179">
        <v>3898</v>
      </c>
      <c r="S45" s="179">
        <v>4468</v>
      </c>
      <c r="T45" s="179">
        <v>3947</v>
      </c>
      <c r="U45" s="79">
        <v>5537</v>
      </c>
      <c r="V45" s="79">
        <v>5573</v>
      </c>
      <c r="W45" s="79">
        <v>5629</v>
      </c>
      <c r="X45" s="79">
        <v>5686</v>
      </c>
      <c r="Y45" s="79">
        <v>5664</v>
      </c>
      <c r="Z45" s="79">
        <v>5636</v>
      </c>
      <c r="AA45" s="79">
        <v>5704</v>
      </c>
      <c r="AB45" s="79">
        <v>5603</v>
      </c>
      <c r="AC45" s="79">
        <v>6661</v>
      </c>
      <c r="AD45" s="79">
        <v>6993</v>
      </c>
      <c r="AE45" s="79"/>
      <c r="AF45" s="79"/>
      <c r="AG45" s="79"/>
      <c r="AH45" s="79"/>
      <c r="AI45" s="79"/>
      <c r="AJ45" s="79"/>
      <c r="AK45" s="79"/>
      <c r="AL45" s="79"/>
      <c r="AM45" s="80">
        <v>148479.9632</v>
      </c>
      <c r="AN45" s="80">
        <v>599.85590000000002</v>
      </c>
      <c r="AO45" s="80"/>
      <c r="AP45" s="80">
        <v>5.4329999999999998</v>
      </c>
      <c r="AQ45" s="82">
        <v>5.3940000000000001</v>
      </c>
      <c r="AR45" s="82">
        <f>IF(RD[[#This Row],[POA(kWh/m2)_O2R6]]="",RD[[#This Row],[POA(kWh/m2)_PSEGPL]],(RD[[#This Row],[POA(kWh/m2)_PSEGPL]]*('Basic Data'!$V$2/'Basic Data'!$V$4))+(RD[[#This Row],[POA(kWh/m2)_O2R6]]*('Basic Data'!$V$3/'Basic Data'!$V$4)))</f>
        <v>5.4124768121911035</v>
      </c>
      <c r="AS45" s="82">
        <f>SUM(RD[[#This Row],[G1 Inv1]:[G5 Inv10]])</f>
        <v>42046</v>
      </c>
      <c r="AT45" s="82">
        <f>SUM(RD[[#This Row],[IS1_Inv1_M1]:[IS1_Inv2_M4]])</f>
        <v>45032</v>
      </c>
      <c r="AU45" s="82">
        <f>SUM(RD[[#This Row],[IS2_Inv1]:[IS2_Inv2]])</f>
        <v>13654</v>
      </c>
      <c r="AV45" s="80"/>
      <c r="AW45" s="83"/>
      <c r="AX45" s="80"/>
      <c r="AY45" s="80"/>
      <c r="AZ45" s="80"/>
      <c r="BA45" s="83">
        <f>IFERROR(SUM(RD[[#This Row],[PSEGPL]:[O2R10]]),"")</f>
        <v>100732</v>
      </c>
      <c r="BB45" s="80">
        <v>1420</v>
      </c>
      <c r="BC45" s="83">
        <v>223889</v>
      </c>
      <c r="BD45" s="83">
        <v>1236</v>
      </c>
      <c r="BE45" s="83">
        <v>202956</v>
      </c>
      <c r="BF45" s="83">
        <v>1749</v>
      </c>
      <c r="BG45" s="83">
        <v>230063</v>
      </c>
      <c r="BH45" s="83">
        <v>2661</v>
      </c>
      <c r="BI45" s="83">
        <v>219775</v>
      </c>
      <c r="BJ45" s="101">
        <f>IF((RD[[#This Row],[33 kV F5 Export Reading_Gss End]]-AM44)*1000&lt;0,0,(RD[[#This Row],[33 kV F5 Export Reading_Gss End]]-AM44)*1000)</f>
        <v>100096.19999999995</v>
      </c>
      <c r="BK45" s="83">
        <f>IF((RD[[#This Row],[33 kV F5 Import Reading_GSS End2]]-AN44)*1000&lt;0,0,(RD[[#This Row],[33 kV F5 Import Reading_GSS End2]]-AN44)*1000)</f>
        <v>723.700000000008</v>
      </c>
      <c r="BL45" s="84">
        <f>RD[[#This Row],[Export  (kWh)]]-RD[[#This Row],[Import (kWh)]]</f>
        <v>99372.499999999942</v>
      </c>
      <c r="BM45" s="84">
        <f>RD[[#This Row],[Inverters Generation ( kWh)]]-RD[[#This Row],[Export  (kWh)]]</f>
        <v>635.80000000004657</v>
      </c>
      <c r="BN45">
        <f t="shared" si="12"/>
        <v>41700</v>
      </c>
      <c r="BO45">
        <f t="shared" si="13"/>
        <v>165</v>
      </c>
      <c r="BP45" s="185">
        <f t="shared" si="14"/>
        <v>59130</v>
      </c>
      <c r="BQ45" s="185">
        <f t="shared" si="9"/>
        <v>539.1</v>
      </c>
      <c r="BR45" s="185">
        <f t="shared" si="11"/>
        <v>12.299999999999999</v>
      </c>
    </row>
    <row r="46" spans="1:70" ht="15" customHeight="1" x14ac:dyDescent="0.35">
      <c r="A46" s="85">
        <f t="shared" si="8"/>
        <v>45787</v>
      </c>
      <c r="B46" s="80">
        <f>YEAR(RD[[#This Row],[Date]])+IF(MONTH(RD[[#This Row],[Date]])&gt;=4,1,0)</f>
        <v>2026</v>
      </c>
      <c r="C46" s="80">
        <f>YEAR(RD[[#This Row],[Month Year]])</f>
        <v>2025</v>
      </c>
      <c r="D46" s="99" t="s">
        <v>4</v>
      </c>
      <c r="E46" s="99" t="s">
        <v>4</v>
      </c>
      <c r="F46" s="80" t="str">
        <f t="shared" si="10"/>
        <v>May-25</v>
      </c>
      <c r="G46" s="79">
        <f>DAY(EOMONTH(RD[[#This Row],[Month Year]],0))</f>
        <v>31</v>
      </c>
      <c r="H46" s="100">
        <v>24.303100000000001</v>
      </c>
      <c r="I46" s="162">
        <v>0.25972222222222224</v>
      </c>
      <c r="J46" s="162">
        <v>0.77083333333333337</v>
      </c>
      <c r="K46" s="79">
        <v>4277</v>
      </c>
      <c r="L46" s="79">
        <v>4925</v>
      </c>
      <c r="M46" s="79">
        <v>4280</v>
      </c>
      <c r="N46" s="179">
        <v>4959</v>
      </c>
      <c r="O46" s="179">
        <v>4988</v>
      </c>
      <c r="P46" s="179">
        <v>4299</v>
      </c>
      <c r="Q46" s="179">
        <v>4940</v>
      </c>
      <c r="R46" s="179">
        <v>4352</v>
      </c>
      <c r="S46" s="179">
        <v>4981</v>
      </c>
      <c r="T46" s="179">
        <v>4386</v>
      </c>
      <c r="U46" s="79">
        <v>5338</v>
      </c>
      <c r="V46" s="79">
        <v>5425</v>
      </c>
      <c r="W46" s="79">
        <v>5557</v>
      </c>
      <c r="X46" s="79">
        <v>5626</v>
      </c>
      <c r="Y46" s="79">
        <v>5549</v>
      </c>
      <c r="Z46" s="79">
        <v>5473</v>
      </c>
      <c r="AA46" s="79">
        <v>5476</v>
      </c>
      <c r="AB46" s="79">
        <v>5304</v>
      </c>
      <c r="AC46" s="79">
        <v>6707</v>
      </c>
      <c r="AD46" s="79">
        <v>7117</v>
      </c>
      <c r="AE46" s="79"/>
      <c r="AF46" s="79"/>
      <c r="AG46" s="79"/>
      <c r="AH46" s="79"/>
      <c r="AI46" s="79"/>
      <c r="AJ46" s="79"/>
      <c r="AK46" s="79"/>
      <c r="AL46" s="79"/>
      <c r="AM46" s="80">
        <v>148582.9393</v>
      </c>
      <c r="AN46" s="80">
        <v>600.90700000000004</v>
      </c>
      <c r="AO46" s="80"/>
      <c r="AP46" s="80">
        <v>5.3780000000000001</v>
      </c>
      <c r="AQ46" s="82">
        <v>5.1760000000000002</v>
      </c>
      <c r="AR46" s="82">
        <f>IF(RD[[#This Row],[POA(kWh/m2)_O2R6]]="",RD[[#This Row],[POA(kWh/m2)_PSEGPL]],(RD[[#This Row],[POA(kWh/m2)_PSEGPL]]*('Basic Data'!$V$2/'Basic Data'!$V$4))+(RD[[#This Row],[POA(kWh/m2)_O2R6]]*('Basic Data'!$V$3/'Basic Data'!$V$4)))</f>
        <v>5.2717004118616142</v>
      </c>
      <c r="AS46" s="82">
        <f>SUM(RD[[#This Row],[G1 Inv1]:[G5 Inv10]])</f>
        <v>46387</v>
      </c>
      <c r="AT46" s="82">
        <f>SUM(RD[[#This Row],[IS1_Inv1_M1]:[IS1_Inv2_M4]])</f>
        <v>43748</v>
      </c>
      <c r="AU46" s="82">
        <f>SUM(RD[[#This Row],[IS2_Inv1]:[IS2_Inv2]])</f>
        <v>13824</v>
      </c>
      <c r="AV46" s="80"/>
      <c r="AW46" s="83"/>
      <c r="AX46" s="80"/>
      <c r="AY46" s="80"/>
      <c r="AZ46" s="80"/>
      <c r="BA46" s="83">
        <f>IFERROR(SUM(RD[[#This Row],[PSEGPL]:[O2R10]]),"")</f>
        <v>103959</v>
      </c>
      <c r="BB46" s="80">
        <v>1422</v>
      </c>
      <c r="BC46" s="83">
        <v>224348</v>
      </c>
      <c r="BD46" s="83">
        <v>1238</v>
      </c>
      <c r="BE46" s="83">
        <v>203367</v>
      </c>
      <c r="BF46" s="83">
        <v>1753</v>
      </c>
      <c r="BG46" s="83">
        <v>230551</v>
      </c>
      <c r="BH46" s="83">
        <v>2671</v>
      </c>
      <c r="BI46" s="83">
        <v>220239</v>
      </c>
      <c r="BJ46" s="101">
        <f>IF((RD[[#This Row],[33 kV F5 Export Reading_Gss End]]-AM45)*1000&lt;0,0,(RD[[#This Row],[33 kV F5 Export Reading_Gss End]]-AM45)*1000)</f>
        <v>102976.09999999986</v>
      </c>
      <c r="BK46" s="83">
        <f>IF((RD[[#This Row],[33 kV F5 Import Reading_GSS End2]]-AN45)*1000&lt;0,0,(RD[[#This Row],[33 kV F5 Import Reading_GSS End2]]-AN45)*1000)</f>
        <v>1051.1000000000195</v>
      </c>
      <c r="BL46" s="84">
        <f>RD[[#This Row],[Export  (kWh)]]-RD[[#This Row],[Import (kWh)]]</f>
        <v>101924.99999999984</v>
      </c>
      <c r="BM46" s="84">
        <f>RD[[#This Row],[Inverters Generation ( kWh)]]-RD[[#This Row],[Export  (kWh)]]</f>
        <v>982.9000000001397</v>
      </c>
      <c r="BN46">
        <f t="shared" si="12"/>
        <v>46035</v>
      </c>
      <c r="BO46">
        <f t="shared" si="13"/>
        <v>210</v>
      </c>
      <c r="BP46" s="185">
        <f t="shared" si="14"/>
        <v>57840</v>
      </c>
      <c r="BQ46" s="185">
        <f t="shared" si="9"/>
        <v>778.8</v>
      </c>
      <c r="BR46" s="185">
        <f t="shared" si="11"/>
        <v>12.266666666666666</v>
      </c>
    </row>
    <row r="47" spans="1:70" ht="15" customHeight="1" x14ac:dyDescent="0.35">
      <c r="A47" s="85">
        <f t="shared" si="8"/>
        <v>45788</v>
      </c>
      <c r="B47" s="80">
        <f>YEAR(RD[[#This Row],[Date]])+IF(MONTH(RD[[#This Row],[Date]])&gt;=4,1,0)</f>
        <v>2026</v>
      </c>
      <c r="C47" s="80">
        <f>YEAR(RD[[#This Row],[Month Year]])</f>
        <v>2025</v>
      </c>
      <c r="D47" s="99" t="s">
        <v>4</v>
      </c>
      <c r="E47" s="99" t="s">
        <v>4</v>
      </c>
      <c r="F47" s="80" t="str">
        <f t="shared" si="10"/>
        <v>May-25</v>
      </c>
      <c r="G47" s="79">
        <f>DAY(EOMONTH(RD[[#This Row],[Month Year]],0))</f>
        <v>31</v>
      </c>
      <c r="H47" s="100">
        <v>24.303100000000001</v>
      </c>
      <c r="I47" s="162">
        <v>0.26180555555555557</v>
      </c>
      <c r="J47" s="162">
        <v>0.74375000000000002</v>
      </c>
      <c r="K47" s="79">
        <v>4194</v>
      </c>
      <c r="L47" s="79">
        <v>4831</v>
      </c>
      <c r="M47" s="79">
        <v>4141</v>
      </c>
      <c r="N47" s="179">
        <v>4753</v>
      </c>
      <c r="O47" s="179">
        <v>4774</v>
      </c>
      <c r="P47" s="179">
        <v>4108</v>
      </c>
      <c r="Q47" s="179">
        <v>4704</v>
      </c>
      <c r="R47" s="179">
        <v>4160</v>
      </c>
      <c r="S47" s="179">
        <v>4836</v>
      </c>
      <c r="T47" s="179">
        <v>4293</v>
      </c>
      <c r="U47" s="79">
        <v>5705</v>
      </c>
      <c r="V47" s="79">
        <v>5763</v>
      </c>
      <c r="W47" s="79">
        <v>5921</v>
      </c>
      <c r="X47" s="79">
        <v>5943</v>
      </c>
      <c r="Y47" s="79">
        <v>5928</v>
      </c>
      <c r="Z47" s="79">
        <v>5833</v>
      </c>
      <c r="AA47" s="79">
        <v>5851</v>
      </c>
      <c r="AB47" s="79">
        <v>5716</v>
      </c>
      <c r="AC47" s="79">
        <v>6983</v>
      </c>
      <c r="AD47" s="79">
        <v>7301</v>
      </c>
      <c r="AE47" s="79"/>
      <c r="AF47" s="79"/>
      <c r="AG47" s="79"/>
      <c r="AH47" s="79"/>
      <c r="AI47" s="79"/>
      <c r="AJ47" s="79"/>
      <c r="AK47" s="79"/>
      <c r="AL47" s="79"/>
      <c r="AM47" s="80">
        <v>148687.87400000001</v>
      </c>
      <c r="AN47" s="80">
        <v>601.85820000000001</v>
      </c>
      <c r="AO47" s="80"/>
      <c r="AP47" s="80">
        <v>5.5979999999999999</v>
      </c>
      <c r="AQ47" s="82">
        <v>5.27</v>
      </c>
      <c r="AR47" s="82">
        <f>IF(RD[[#This Row],[POA(kWh/m2)_O2R6]]="",RD[[#This Row],[POA(kWh/m2)_PSEGPL]],(RD[[#This Row],[POA(kWh/m2)_PSEGPL]]*('Basic Data'!$V$2/'Basic Data'!$V$4))+(RD[[#This Row],[POA(kWh/m2)_O2R6]]*('Basic Data'!$V$3/'Basic Data'!$V$4)))</f>
        <v>5.4253947281713337</v>
      </c>
      <c r="AS47" s="82">
        <f>SUM(RD[[#This Row],[G1 Inv1]:[G5 Inv10]])</f>
        <v>44794</v>
      </c>
      <c r="AT47" s="82">
        <f>SUM(RD[[#This Row],[IS1_Inv1_M1]:[IS1_Inv2_M4]])</f>
        <v>46660</v>
      </c>
      <c r="AU47" s="82">
        <f>SUM(RD[[#This Row],[IS2_Inv1]:[IS2_Inv2]])</f>
        <v>14284</v>
      </c>
      <c r="AV47" s="80"/>
      <c r="AW47" s="83"/>
      <c r="AX47" s="80"/>
      <c r="AY47" s="80"/>
      <c r="AZ47" s="80"/>
      <c r="BA47" s="83">
        <f>IFERROR(SUM(RD[[#This Row],[PSEGPL]:[O2R10]]),"")</f>
        <v>105738</v>
      </c>
      <c r="BB47" s="80">
        <v>1425</v>
      </c>
      <c r="BC47" s="83">
        <v>224792</v>
      </c>
      <c r="BD47" s="83">
        <v>1241</v>
      </c>
      <c r="BE47" s="83">
        <v>203763</v>
      </c>
      <c r="BF47" s="83">
        <v>1758</v>
      </c>
      <c r="BG47" s="83">
        <v>231073</v>
      </c>
      <c r="BH47" s="83">
        <v>2681</v>
      </c>
      <c r="BI47" s="83">
        <v>220717</v>
      </c>
      <c r="BJ47" s="101">
        <f>IF((RD[[#This Row],[33 kV F5 Export Reading_Gss End]]-AM46)*1000&lt;0,0,(RD[[#This Row],[33 kV F5 Export Reading_Gss End]]-AM46)*1000)</f>
        <v>104934.70000001253</v>
      </c>
      <c r="BK47" s="83">
        <f>IF((RD[[#This Row],[33 kV F5 Import Reading_GSS End2]]-AN46)*1000&lt;0,0,(RD[[#This Row],[33 kV F5 Import Reading_GSS End2]]-AN46)*1000)</f>
        <v>951.19999999997162</v>
      </c>
      <c r="BL47" s="84">
        <f>RD[[#This Row],[Export  (kWh)]]-RD[[#This Row],[Import (kWh)]]</f>
        <v>103983.50000001256</v>
      </c>
      <c r="BM47" s="84">
        <f>RD[[#This Row],[Inverters Generation ( kWh)]]-RD[[#This Row],[Export  (kWh)]]</f>
        <v>803.29999998747371</v>
      </c>
      <c r="BN47">
        <f t="shared" si="12"/>
        <v>44460</v>
      </c>
      <c r="BO47">
        <f t="shared" si="13"/>
        <v>315</v>
      </c>
      <c r="BP47" s="185">
        <f t="shared" si="14"/>
        <v>61320</v>
      </c>
      <c r="BQ47" s="185">
        <f t="shared" si="9"/>
        <v>898.5</v>
      </c>
      <c r="BR47" s="185">
        <f t="shared" si="11"/>
        <v>11.566666666666666</v>
      </c>
    </row>
    <row r="48" spans="1:70" ht="15" customHeight="1" x14ac:dyDescent="0.35">
      <c r="A48" s="85">
        <f t="shared" si="8"/>
        <v>45789</v>
      </c>
      <c r="B48" s="80">
        <f>YEAR(RD[[#This Row],[Date]])+IF(MONTH(RD[[#This Row],[Date]])&gt;=4,1,0)</f>
        <v>2026</v>
      </c>
      <c r="C48" s="80">
        <f>YEAR(RD[[#This Row],[Month Year]])</f>
        <v>2025</v>
      </c>
      <c r="D48" s="99" t="s">
        <v>4</v>
      </c>
      <c r="E48" s="99" t="s">
        <v>4</v>
      </c>
      <c r="F48" s="80" t="str">
        <f t="shared" si="10"/>
        <v>May-25</v>
      </c>
      <c r="G48" s="79">
        <f>DAY(EOMONTH(RD[[#This Row],[Month Year]],0))</f>
        <v>31</v>
      </c>
      <c r="H48" s="100">
        <v>24.303100000000001</v>
      </c>
      <c r="I48" s="315">
        <v>0.26180555555555557</v>
      </c>
      <c r="J48" s="315">
        <v>0.65138888888888891</v>
      </c>
      <c r="K48" s="316">
        <v>4248</v>
      </c>
      <c r="L48" s="316">
        <v>4846</v>
      </c>
      <c r="M48" s="316">
        <v>3804</v>
      </c>
      <c r="N48" s="316">
        <v>4279</v>
      </c>
      <c r="O48" s="316">
        <v>4197</v>
      </c>
      <c r="P48" s="316">
        <v>3589</v>
      </c>
      <c r="Q48" s="316">
        <v>4586</v>
      </c>
      <c r="R48" s="316">
        <v>4020</v>
      </c>
      <c r="S48" s="316">
        <v>4490</v>
      </c>
      <c r="T48" s="316">
        <v>4140</v>
      </c>
      <c r="U48" s="316">
        <v>5227</v>
      </c>
      <c r="V48" s="316">
        <v>5277</v>
      </c>
      <c r="W48" s="316">
        <v>5403</v>
      </c>
      <c r="X48" s="316">
        <v>5411</v>
      </c>
      <c r="Y48" s="316">
        <v>5405</v>
      </c>
      <c r="Z48" s="316">
        <v>5356</v>
      </c>
      <c r="AA48" s="316">
        <v>5404</v>
      </c>
      <c r="AB48" s="316">
        <v>5259</v>
      </c>
      <c r="AC48" s="316">
        <v>6386</v>
      </c>
      <c r="AD48" s="316">
        <v>6643</v>
      </c>
      <c r="AE48" s="79"/>
      <c r="AF48" s="79"/>
      <c r="AG48" s="79"/>
      <c r="AH48" s="79"/>
      <c r="AI48" s="79"/>
      <c r="AJ48" s="79"/>
      <c r="AK48" s="79"/>
      <c r="AL48" s="79"/>
      <c r="AM48" s="300">
        <v>148782.33720000001</v>
      </c>
      <c r="AN48" s="313">
        <v>602.68343000000004</v>
      </c>
      <c r="AO48" s="300" t="s">
        <v>665</v>
      </c>
      <c r="AP48" s="314">
        <v>5.05</v>
      </c>
      <c r="AQ48" s="316">
        <v>4.9000000000000004</v>
      </c>
      <c r="AR48" s="82">
        <f>IF(RD[[#This Row],[POA(kWh/m2)_O2R6]]="",RD[[#This Row],[POA(kWh/m2)_PSEGPL]],(RD[[#This Row],[POA(kWh/m2)_PSEGPL]]*('Basic Data'!$V$2/'Basic Data'!$V$4))+(RD[[#This Row],[POA(kWh/m2)_O2R6]]*('Basic Data'!$V$3/'Basic Data'!$V$4)))</f>
        <v>4.9710646622734753</v>
      </c>
      <c r="AS48" s="82">
        <f>SUM(RD[[#This Row],[G1 Inv1]:[G5 Inv10]])</f>
        <v>42199</v>
      </c>
      <c r="AT48" s="82">
        <f>SUM(RD[[#This Row],[IS1_Inv1_M1]:[IS1_Inv2_M4]])</f>
        <v>42742</v>
      </c>
      <c r="AU48" s="82">
        <f>SUM(RD[[#This Row],[IS2_Inv1]:[IS2_Inv2]])</f>
        <v>13029</v>
      </c>
      <c r="AV48" s="80"/>
      <c r="AW48" s="83"/>
      <c r="AX48" s="80"/>
      <c r="AY48" s="80"/>
      <c r="AZ48" s="80"/>
      <c r="BA48" s="83">
        <f>IFERROR(SUM(RD[[#This Row],[PSEGPL]:[O2R10]]),"")</f>
        <v>97970</v>
      </c>
      <c r="BB48" s="314">
        <v>1427</v>
      </c>
      <c r="BC48" s="314">
        <v>225190</v>
      </c>
      <c r="BD48" s="314">
        <v>1244</v>
      </c>
      <c r="BE48" s="314">
        <v>204108</v>
      </c>
      <c r="BF48" s="314">
        <v>1762</v>
      </c>
      <c r="BG48" s="314">
        <v>231550</v>
      </c>
      <c r="BH48" s="314">
        <v>2692</v>
      </c>
      <c r="BI48" s="314">
        <v>221157</v>
      </c>
      <c r="BJ48" s="101">
        <f>IF((RD[[#This Row],[33 kV F5 Export Reading_Gss End]]-AM47)*1000&lt;0,0,(RD[[#This Row],[33 kV F5 Export Reading_Gss End]]-AM47)*1000)</f>
        <v>94463.199999998324</v>
      </c>
      <c r="BK48" s="83">
        <f>IF((RD[[#This Row],[33 kV F5 Import Reading_GSS End2]]-AN47)*1000&lt;0,0,(RD[[#This Row],[33 kV F5 Import Reading_GSS End2]]-AN47)*1000)</f>
        <v>825.23000000003321</v>
      </c>
      <c r="BL48" s="84">
        <f>RD[[#This Row],[Export  (kWh)]]-RD[[#This Row],[Import (kWh)]]</f>
        <v>93637.969999998284</v>
      </c>
      <c r="BM48" s="84">
        <f>RD[[#This Row],[Inverters Generation ( kWh)]]-RD[[#This Row],[Export  (kWh)]]</f>
        <v>3506.8000000016764</v>
      </c>
      <c r="BN48">
        <f t="shared" si="12"/>
        <v>39405</v>
      </c>
      <c r="BO48">
        <f t="shared" si="13"/>
        <v>255</v>
      </c>
      <c r="BP48" s="185">
        <f t="shared" si="14"/>
        <v>56130</v>
      </c>
      <c r="BQ48" s="185">
        <f t="shared" si="9"/>
        <v>808.8</v>
      </c>
      <c r="BR48" s="185">
        <f t="shared" si="11"/>
        <v>9.35</v>
      </c>
    </row>
    <row r="49" spans="1:70" ht="15" customHeight="1" x14ac:dyDescent="0.35">
      <c r="A49" s="85">
        <f t="shared" si="8"/>
        <v>45790</v>
      </c>
      <c r="B49" s="80">
        <f>YEAR(RD[[#This Row],[Date]])+IF(MONTH(RD[[#This Row],[Date]])&gt;=4,1,0)</f>
        <v>2026</v>
      </c>
      <c r="C49" s="80">
        <f>YEAR(RD[[#This Row],[Month Year]])</f>
        <v>2025</v>
      </c>
      <c r="D49" s="99" t="s">
        <v>4</v>
      </c>
      <c r="E49" s="99" t="s">
        <v>4</v>
      </c>
      <c r="F49" s="80" t="str">
        <f t="shared" si="10"/>
        <v>May-25</v>
      </c>
      <c r="G49" s="79">
        <f>DAY(EOMONTH(RD[[#This Row],[Month Year]],0))</f>
        <v>31</v>
      </c>
      <c r="H49" s="100">
        <v>24.303100000000001</v>
      </c>
      <c r="I49" s="315">
        <v>0.26874999999999999</v>
      </c>
      <c r="J49" s="315">
        <v>0.77013888888888893</v>
      </c>
      <c r="K49" s="79">
        <v>2772</v>
      </c>
      <c r="L49" s="79">
        <v>3177</v>
      </c>
      <c r="M49" s="79">
        <v>2176</v>
      </c>
      <c r="N49" s="179">
        <v>2513</v>
      </c>
      <c r="O49" s="179">
        <v>2753</v>
      </c>
      <c r="P49" s="179">
        <v>2381</v>
      </c>
      <c r="Q49" s="179">
        <v>4000</v>
      </c>
      <c r="R49" s="179">
        <v>3531</v>
      </c>
      <c r="S49" s="179">
        <v>3265</v>
      </c>
      <c r="T49" s="179">
        <v>3583</v>
      </c>
      <c r="U49" s="79">
        <v>5237</v>
      </c>
      <c r="V49" s="79">
        <v>5278</v>
      </c>
      <c r="W49" s="79">
        <v>5423</v>
      </c>
      <c r="X49" s="79">
        <v>5434</v>
      </c>
      <c r="Y49" s="79">
        <v>5445</v>
      </c>
      <c r="Z49" s="79">
        <v>5334</v>
      </c>
      <c r="AA49" s="79">
        <v>5372</v>
      </c>
      <c r="AB49" s="79">
        <v>5264</v>
      </c>
      <c r="AC49" s="79">
        <v>6483</v>
      </c>
      <c r="AD49" s="79">
        <v>6880</v>
      </c>
      <c r="AE49" s="79"/>
      <c r="AF49" s="79"/>
      <c r="AG49" s="79"/>
      <c r="AH49" s="79"/>
      <c r="AI49" s="79"/>
      <c r="AJ49" s="79"/>
      <c r="AK49" s="79"/>
      <c r="AL49" s="79"/>
      <c r="AM49" s="80">
        <v>148872.08009999999</v>
      </c>
      <c r="AN49" s="80">
        <v>602.72265000000004</v>
      </c>
      <c r="AO49" s="80"/>
      <c r="AP49" s="80">
        <v>5.5069999999999997</v>
      </c>
      <c r="AQ49" s="82">
        <v>5.6449999999999996</v>
      </c>
      <c r="AR49" s="82">
        <f>IF(RD[[#This Row],[POA(kWh/m2)_O2R6]]="",RD[[#This Row],[POA(kWh/m2)_PSEGPL]],(RD[[#This Row],[POA(kWh/m2)_PSEGPL]]*('Basic Data'!$V$2/'Basic Data'!$V$4))+(RD[[#This Row],[POA(kWh/m2)_O2R6]]*('Basic Data'!$V$3/'Basic Data'!$V$4)))</f>
        <v>5.5796205107084011</v>
      </c>
      <c r="AS49" s="82">
        <f>SUM(RD[[#This Row],[G1 Inv1]:[G5 Inv10]])</f>
        <v>30151</v>
      </c>
      <c r="AT49" s="82">
        <f>SUM(RD[[#This Row],[IS1_Inv1_M1]:[IS1_Inv2_M4]])</f>
        <v>42787</v>
      </c>
      <c r="AU49" s="82">
        <f>SUM(RD[[#This Row],[IS2_Inv1]:[IS2_Inv2]])</f>
        <v>13363</v>
      </c>
      <c r="AV49" s="80"/>
      <c r="AW49" s="83"/>
      <c r="AX49" s="80"/>
      <c r="AY49" s="80"/>
      <c r="AZ49" s="80"/>
      <c r="BA49" s="83">
        <f>IFERROR(SUM(RD[[#This Row],[PSEGPL]:[O2R10]]),"")</f>
        <v>86301</v>
      </c>
      <c r="BB49" s="80">
        <v>1427</v>
      </c>
      <c r="BC49" s="83">
        <v>225451</v>
      </c>
      <c r="BD49" s="83">
        <v>1244</v>
      </c>
      <c r="BE49" s="83">
        <v>204425</v>
      </c>
      <c r="BF49" s="83">
        <v>1762</v>
      </c>
      <c r="BG49" s="83">
        <v>232028</v>
      </c>
      <c r="BH49" s="83">
        <v>2694</v>
      </c>
      <c r="BI49" s="83">
        <v>221601</v>
      </c>
      <c r="BJ49" s="101">
        <f>IF((RD[[#This Row],[33 kV F5 Export Reading_Gss End]]-AM48)*1000&lt;0,0,(RD[[#This Row],[33 kV F5 Export Reading_Gss End]]-AM48)*1000)</f>
        <v>89742.89999998291</v>
      </c>
      <c r="BK49" s="83">
        <f>IF((RD[[#This Row],[33 kV F5 Import Reading_GSS End2]]-AN48)*1000&lt;0,0,(RD[[#This Row],[33 kV F5 Import Reading_GSS End2]]-AN48)*1000)</f>
        <v>39.220000000000255</v>
      </c>
      <c r="BL49" s="84">
        <f>RD[[#This Row],[Export  (kWh)]]-RD[[#This Row],[Import (kWh)]]</f>
        <v>89703.679999982909</v>
      </c>
      <c r="BM49" s="84">
        <f>RD[[#This Row],[Inverters Generation ( kWh)]]-RD[[#This Row],[Export  (kWh)]]</f>
        <v>-3441.8999999829102</v>
      </c>
      <c r="BN49">
        <f t="shared" si="12"/>
        <v>29925</v>
      </c>
      <c r="BO49">
        <f t="shared" si="13"/>
        <v>0</v>
      </c>
      <c r="BP49" s="185">
        <f t="shared" si="14"/>
        <v>56340</v>
      </c>
      <c r="BQ49" s="185">
        <f t="shared" si="9"/>
        <v>60</v>
      </c>
      <c r="BR49" s="185">
        <f t="shared" si="11"/>
        <v>12.033333333333333</v>
      </c>
    </row>
    <row r="50" spans="1:70" ht="15" customHeight="1" x14ac:dyDescent="0.35">
      <c r="A50" s="85">
        <f t="shared" si="8"/>
        <v>45791</v>
      </c>
      <c r="B50" s="80">
        <f>YEAR(RD[[#This Row],[Date]])+IF(MONTH(RD[[#This Row],[Date]])&gt;=4,1,0)</f>
        <v>2026</v>
      </c>
      <c r="C50" s="80">
        <f>YEAR(RD[[#This Row],[Month Year]])</f>
        <v>2025</v>
      </c>
      <c r="D50" s="99" t="s">
        <v>4</v>
      </c>
      <c r="E50" s="99" t="s">
        <v>4</v>
      </c>
      <c r="F50" s="80" t="str">
        <f t="shared" si="10"/>
        <v>May-25</v>
      </c>
      <c r="G50" s="79">
        <f>DAY(EOMONTH(RD[[#This Row],[Month Year]],0))</f>
        <v>31</v>
      </c>
      <c r="H50" s="100">
        <v>24.303100000000001</v>
      </c>
      <c r="I50" s="315">
        <v>0.26874999999999999</v>
      </c>
      <c r="J50" s="315">
        <v>0.76736111111111116</v>
      </c>
      <c r="K50" s="79">
        <v>3019</v>
      </c>
      <c r="L50" s="79">
        <v>3469</v>
      </c>
      <c r="M50" s="79">
        <v>2949</v>
      </c>
      <c r="N50" s="179">
        <v>3412</v>
      </c>
      <c r="O50" s="179">
        <v>3475</v>
      </c>
      <c r="P50" s="179">
        <v>2971</v>
      </c>
      <c r="Q50" s="179">
        <v>3405</v>
      </c>
      <c r="R50" s="179">
        <v>2996</v>
      </c>
      <c r="S50" s="179">
        <v>3480</v>
      </c>
      <c r="T50" s="179">
        <v>3074</v>
      </c>
      <c r="U50" s="79">
        <v>4284</v>
      </c>
      <c r="V50" s="79">
        <v>4317</v>
      </c>
      <c r="W50" s="79">
        <v>4430</v>
      </c>
      <c r="X50" s="79">
        <v>4444</v>
      </c>
      <c r="Y50" s="79">
        <v>4433</v>
      </c>
      <c r="Z50" s="79">
        <v>4352</v>
      </c>
      <c r="AA50" s="79">
        <v>4380</v>
      </c>
      <c r="AB50" s="79">
        <v>4283</v>
      </c>
      <c r="AC50" s="79">
        <v>5119</v>
      </c>
      <c r="AD50" s="79">
        <v>5468</v>
      </c>
      <c r="AE50" s="79"/>
      <c r="AF50" s="79"/>
      <c r="AG50" s="79"/>
      <c r="AH50" s="79"/>
      <c r="AI50" s="79"/>
      <c r="AJ50" s="79"/>
      <c r="AK50" s="79"/>
      <c r="AL50" s="79"/>
      <c r="AM50" s="80">
        <v>148945.85750000001</v>
      </c>
      <c r="AN50" s="80">
        <v>603.65949999999998</v>
      </c>
      <c r="AO50" s="80"/>
      <c r="AP50" s="80">
        <v>4.1840000000000002</v>
      </c>
      <c r="AQ50" s="82">
        <v>4.0890000000000004</v>
      </c>
      <c r="AR50" s="82">
        <f>IF(RD[[#This Row],[POA(kWh/m2)_O2R6]]="",RD[[#This Row],[POA(kWh/m2)_PSEGPL]],(RD[[#This Row],[POA(kWh/m2)_PSEGPL]]*('Basic Data'!$V$2/'Basic Data'!$V$4))+(RD[[#This Row],[POA(kWh/m2)_O2R6]]*('Basic Data'!$V$3/'Basic Data'!$V$4)))</f>
        <v>4.1340076194398687</v>
      </c>
      <c r="AS50" s="82">
        <f>SUM(RD[[#This Row],[G1 Inv1]:[G5 Inv10]])</f>
        <v>32250</v>
      </c>
      <c r="AT50" s="82">
        <f>SUM(RD[[#This Row],[IS1_Inv1_M1]:[IS1_Inv2_M4]])</f>
        <v>34923</v>
      </c>
      <c r="AU50" s="82">
        <f>SUM(RD[[#This Row],[IS2_Inv1]:[IS2_Inv2]])</f>
        <v>10587</v>
      </c>
      <c r="AV50" s="80"/>
      <c r="AW50" s="83"/>
      <c r="AX50" s="80"/>
      <c r="AY50" s="80"/>
      <c r="AZ50" s="80"/>
      <c r="BA50" s="83">
        <f>IFERROR(SUM(RD[[#This Row],[PSEGPL]:[O2R10]]),"")</f>
        <v>77760</v>
      </c>
      <c r="BB50" s="80">
        <v>1430</v>
      </c>
      <c r="BC50" s="83">
        <v>225771</v>
      </c>
      <c r="BD50" s="83">
        <v>1246</v>
      </c>
      <c r="BE50" s="83">
        <v>204710</v>
      </c>
      <c r="BF50" s="83">
        <v>1766</v>
      </c>
      <c r="BG50" s="83">
        <v>232422</v>
      </c>
      <c r="BH50" s="83">
        <v>2704</v>
      </c>
      <c r="BI50" s="83">
        <v>221959</v>
      </c>
      <c r="BJ50" s="101">
        <f>IF((RD[[#This Row],[33 kV F5 Export Reading_Gss End]]-AM49)*1000&lt;0,0,(RD[[#This Row],[33 kV F5 Export Reading_Gss End]]-AM49)*1000)</f>
        <v>73777.400000020862</v>
      </c>
      <c r="BK50" s="83">
        <f>IF((RD[[#This Row],[33 kV F5 Import Reading_GSS End2]]-AN49)*1000&lt;0,0,(RD[[#This Row],[33 kV F5 Import Reading_GSS End2]]-AN49)*1000)</f>
        <v>936.84999999993579</v>
      </c>
      <c r="BL50" s="84">
        <f>RD[[#This Row],[Export  (kWh)]]-RD[[#This Row],[Import (kWh)]]</f>
        <v>72840.550000020929</v>
      </c>
      <c r="BM50" s="84">
        <f>RD[[#This Row],[Inverters Generation ( kWh)]]-RD[[#This Row],[Export  (kWh)]]</f>
        <v>3982.5999999791384</v>
      </c>
      <c r="BN50">
        <f t="shared" si="12"/>
        <v>32025</v>
      </c>
      <c r="BO50">
        <f t="shared" si="13"/>
        <v>270</v>
      </c>
      <c r="BP50" s="185">
        <f t="shared" si="14"/>
        <v>46200</v>
      </c>
      <c r="BQ50" s="185">
        <f t="shared" ref="BQ50:BQ81" si="15">IF(AND(BF50="",BH50=""),"",((((BF50-BF49)*MF_Cap_O2RE6)*1.33)+((BH50-BH49)*MF_Cap_O2RE10)))</f>
        <v>778.8</v>
      </c>
      <c r="BR50" s="185">
        <f t="shared" si="11"/>
        <v>11.966666666666669</v>
      </c>
    </row>
    <row r="51" spans="1:70" ht="15" customHeight="1" x14ac:dyDescent="0.35">
      <c r="A51" s="85">
        <f t="shared" si="8"/>
        <v>45792</v>
      </c>
      <c r="B51" s="80">
        <f>YEAR(RD[[#This Row],[Date]])+IF(MONTH(RD[[#This Row],[Date]])&gt;=4,1,0)</f>
        <v>2026</v>
      </c>
      <c r="C51" s="80">
        <f>YEAR(RD[[#This Row],[Month Year]])</f>
        <v>2025</v>
      </c>
      <c r="D51" s="99" t="s">
        <v>4</v>
      </c>
      <c r="E51" s="99" t="s">
        <v>4</v>
      </c>
      <c r="F51" s="80" t="str">
        <f t="shared" si="10"/>
        <v>May-25</v>
      </c>
      <c r="G51" s="79">
        <f>DAY(EOMONTH(RD[[#This Row],[Month Year]],0))</f>
        <v>31</v>
      </c>
      <c r="H51" s="100">
        <v>24.303100000000001</v>
      </c>
      <c r="I51" s="315">
        <v>0.26944444444444443</v>
      </c>
      <c r="J51" s="315">
        <v>0.76388888888888884</v>
      </c>
      <c r="K51" s="79">
        <v>2321</v>
      </c>
      <c r="L51" s="79">
        <v>2674</v>
      </c>
      <c r="M51" s="79">
        <v>2306</v>
      </c>
      <c r="N51" s="179">
        <v>2665</v>
      </c>
      <c r="O51" s="179">
        <v>2666</v>
      </c>
      <c r="P51" s="179">
        <v>2261</v>
      </c>
      <c r="Q51" s="179">
        <v>2612</v>
      </c>
      <c r="R51" s="179">
        <v>2281</v>
      </c>
      <c r="S51" s="179">
        <v>2616</v>
      </c>
      <c r="T51" s="179">
        <v>2293</v>
      </c>
      <c r="U51" s="79">
        <v>2987</v>
      </c>
      <c r="V51" s="79">
        <v>3019</v>
      </c>
      <c r="W51" s="79">
        <v>3114</v>
      </c>
      <c r="X51" s="79">
        <v>3117</v>
      </c>
      <c r="Y51" s="79">
        <v>3109</v>
      </c>
      <c r="Z51" s="79">
        <v>3066</v>
      </c>
      <c r="AA51" s="79">
        <v>3090</v>
      </c>
      <c r="AB51" s="79">
        <v>3021</v>
      </c>
      <c r="AC51" s="79">
        <v>3910</v>
      </c>
      <c r="AD51" s="79">
        <v>4195</v>
      </c>
      <c r="AE51" s="79"/>
      <c r="AF51" s="79"/>
      <c r="AG51" s="79"/>
      <c r="AH51" s="79"/>
      <c r="AI51" s="79"/>
      <c r="AJ51" s="79"/>
      <c r="AK51" s="79"/>
      <c r="AL51" s="79"/>
      <c r="AM51" s="80">
        <v>149003.37760000001</v>
      </c>
      <c r="AN51" s="80">
        <v>604.82140000000004</v>
      </c>
      <c r="AO51" s="80"/>
      <c r="AP51" s="80">
        <v>2.8650000000000002</v>
      </c>
      <c r="AQ51" s="82">
        <v>3.0270000000000001</v>
      </c>
      <c r="AR51" s="82">
        <f>IF(RD[[#This Row],[POA(kWh/m2)_O2R6]]="",RD[[#This Row],[POA(kWh/m2)_PSEGPL]],(RD[[#This Row],[POA(kWh/m2)_PSEGPL]]*('Basic Data'!$V$2/'Basic Data'!$V$4))+(RD[[#This Row],[POA(kWh/m2)_O2R6]]*('Basic Data'!$V$3/'Basic Data'!$V$4)))</f>
        <v>2.950250164744646</v>
      </c>
      <c r="AS51" s="82">
        <f>SUM(RD[[#This Row],[G1 Inv1]:[G5 Inv10]])</f>
        <v>24695</v>
      </c>
      <c r="AT51" s="82">
        <f>SUM(RD[[#This Row],[IS1_Inv1_M1]:[IS1_Inv2_M4]])</f>
        <v>24523</v>
      </c>
      <c r="AU51" s="82">
        <f>SUM(RD[[#This Row],[IS2_Inv1]:[IS2_Inv2]])</f>
        <v>8105</v>
      </c>
      <c r="AV51" s="80"/>
      <c r="AW51" s="83"/>
      <c r="AX51" s="80"/>
      <c r="AY51" s="80"/>
      <c r="AZ51" s="80"/>
      <c r="BA51" s="83">
        <f>IFERROR(SUM(RD[[#This Row],[PSEGPL]:[O2R10]]),"")</f>
        <v>57323</v>
      </c>
      <c r="BB51" s="80">
        <v>1433</v>
      </c>
      <c r="BC51" s="83">
        <v>226015</v>
      </c>
      <c r="BD51" s="83">
        <v>1248</v>
      </c>
      <c r="BE51" s="83">
        <v>204924</v>
      </c>
      <c r="BF51" s="83">
        <v>1771</v>
      </c>
      <c r="BG51" s="83">
        <v>232702</v>
      </c>
      <c r="BH51" s="83">
        <v>2712</v>
      </c>
      <c r="BI51" s="83">
        <v>222235</v>
      </c>
      <c r="BJ51" s="101">
        <f>IF((RD[[#This Row],[33 kV F5 Export Reading_Gss End]]-AM50)*1000&lt;0,0,(RD[[#This Row],[33 kV F5 Export Reading_Gss End]]-AM50)*1000)</f>
        <v>57520.099999994272</v>
      </c>
      <c r="BK51" s="83">
        <f>IF((RD[[#This Row],[33 kV F5 Import Reading_GSS End2]]-AN50)*1000&lt;0,0,(RD[[#This Row],[33 kV F5 Import Reading_GSS End2]]-AN50)*1000)</f>
        <v>1161.9000000000597</v>
      </c>
      <c r="BL51" s="84">
        <f>RD[[#This Row],[Export  (kWh)]]-RD[[#This Row],[Import (kWh)]]</f>
        <v>56358.199999994213</v>
      </c>
      <c r="BM51" s="84">
        <f>RD[[#This Row],[Inverters Generation ( kWh)]]-RD[[#This Row],[Export  (kWh)]]</f>
        <v>-197.09999999427237</v>
      </c>
      <c r="BN51">
        <f t="shared" si="12"/>
        <v>24270</v>
      </c>
      <c r="BO51">
        <f t="shared" si="13"/>
        <v>270</v>
      </c>
      <c r="BP51" s="185">
        <f t="shared" si="14"/>
        <v>33480</v>
      </c>
      <c r="BQ51" s="185">
        <f t="shared" si="15"/>
        <v>838.5</v>
      </c>
      <c r="BR51" s="185">
        <f t="shared" si="11"/>
        <v>11.866666666666665</v>
      </c>
    </row>
    <row r="52" spans="1:70" ht="15" customHeight="1" x14ac:dyDescent="0.35">
      <c r="A52" s="85">
        <f t="shared" si="8"/>
        <v>45793</v>
      </c>
      <c r="B52" s="80">
        <f>YEAR(RD[[#This Row],[Date]])+IF(MONTH(RD[[#This Row],[Date]])&gt;=4,1,0)</f>
        <v>2026</v>
      </c>
      <c r="C52" s="80">
        <f>YEAR(RD[[#This Row],[Month Year]])</f>
        <v>2025</v>
      </c>
      <c r="D52" s="99" t="s">
        <v>4</v>
      </c>
      <c r="E52" s="99" t="s">
        <v>4</v>
      </c>
      <c r="F52" s="80" t="str">
        <f t="shared" si="10"/>
        <v>May-25</v>
      </c>
      <c r="G52" s="79">
        <f>DAY(EOMONTH(RD[[#This Row],[Month Year]],0))</f>
        <v>31</v>
      </c>
      <c r="H52" s="100">
        <v>24.303100000000001</v>
      </c>
      <c r="I52" s="315">
        <v>0.26180555555555557</v>
      </c>
      <c r="J52" s="315">
        <v>0.76944444444444449</v>
      </c>
      <c r="K52" s="79">
        <v>4187</v>
      </c>
      <c r="L52" s="79">
        <v>4561</v>
      </c>
      <c r="M52" s="79">
        <v>3936</v>
      </c>
      <c r="N52" s="179">
        <v>4524</v>
      </c>
      <c r="O52" s="179">
        <v>4582</v>
      </c>
      <c r="P52" s="179">
        <v>3881</v>
      </c>
      <c r="Q52" s="179">
        <v>4450</v>
      </c>
      <c r="R52" s="179">
        <v>3907</v>
      </c>
      <c r="S52" s="179">
        <v>4545</v>
      </c>
      <c r="T52" s="179">
        <v>4019</v>
      </c>
      <c r="U52" s="79">
        <v>5531</v>
      </c>
      <c r="V52" s="79">
        <v>5572</v>
      </c>
      <c r="W52" s="79">
        <v>5735</v>
      </c>
      <c r="X52" s="79">
        <v>5706</v>
      </c>
      <c r="Y52" s="79">
        <v>5751</v>
      </c>
      <c r="Z52" s="79">
        <v>5695</v>
      </c>
      <c r="AA52" s="79">
        <v>5724</v>
      </c>
      <c r="AB52" s="79">
        <v>5602</v>
      </c>
      <c r="AC52" s="79">
        <v>6578</v>
      </c>
      <c r="AD52" s="79">
        <v>6974</v>
      </c>
      <c r="AE52" s="79"/>
      <c r="AF52" s="79"/>
      <c r="AG52" s="79"/>
      <c r="AH52" s="79"/>
      <c r="AI52" s="79"/>
      <c r="AJ52" s="79"/>
      <c r="AK52" s="79"/>
      <c r="AL52" s="79"/>
      <c r="AM52" s="80">
        <v>149104.18677</v>
      </c>
      <c r="AN52" s="80">
        <v>605.21900000000005</v>
      </c>
      <c r="AO52" s="80"/>
      <c r="AP52" s="80">
        <v>5.2210000000000001</v>
      </c>
      <c r="AQ52" s="82">
        <v>4.9989999999999997</v>
      </c>
      <c r="AR52" s="82">
        <f>IF(RD[[#This Row],[POA(kWh/m2)_O2R6]]="",RD[[#This Row],[POA(kWh/m2)_PSEGPL]],(RD[[#This Row],[POA(kWh/m2)_PSEGPL]]*('Basic Data'!$V$2/'Basic Data'!$V$4))+(RD[[#This Row],[POA(kWh/m2)_O2R6]]*('Basic Data'!$V$3/'Basic Data'!$V$4)))</f>
        <v>5.1041757001647436</v>
      </c>
      <c r="AS52" s="82">
        <f>SUM(RD[[#This Row],[G1 Inv1]:[G5 Inv10]])</f>
        <v>42592</v>
      </c>
      <c r="AT52" s="82">
        <f>SUM(RD[[#This Row],[IS1_Inv1_M1]:[IS1_Inv2_M4]])</f>
        <v>45316</v>
      </c>
      <c r="AU52" s="82">
        <f>SUM(RD[[#This Row],[IS2_Inv1]:[IS2_Inv2]])</f>
        <v>13552</v>
      </c>
      <c r="AV52" s="80"/>
      <c r="AW52" s="83"/>
      <c r="AX52" s="80"/>
      <c r="AY52" s="80"/>
      <c r="AZ52" s="80"/>
      <c r="BA52" s="83">
        <f>IFERROR(SUM(RD[[#This Row],[PSEGPL]:[O2R10]]),"")</f>
        <v>101460</v>
      </c>
      <c r="BB52" s="80">
        <v>1435</v>
      </c>
      <c r="BC52" s="83">
        <v>226442</v>
      </c>
      <c r="BD52" s="83">
        <v>1250</v>
      </c>
      <c r="BE52" s="83">
        <v>205298</v>
      </c>
      <c r="BF52" s="83">
        <v>1775</v>
      </c>
      <c r="BG52" s="83">
        <v>233210</v>
      </c>
      <c r="BH52" s="83">
        <v>2716</v>
      </c>
      <c r="BI52" s="83">
        <v>222690</v>
      </c>
      <c r="BJ52" s="101">
        <f>IF((RD[[#This Row],[33 kV F5 Export Reading_Gss End]]-AM51)*1000&lt;0,0,(RD[[#This Row],[33 kV F5 Export Reading_Gss End]]-AM51)*1000)</f>
        <v>100809.16999999317</v>
      </c>
      <c r="BK52" s="83">
        <f>IF((RD[[#This Row],[33 kV F5 Import Reading_GSS End2]]-AN51)*1000&lt;0,0,(RD[[#This Row],[33 kV F5 Import Reading_GSS End2]]-AN51)*1000)</f>
        <v>397.60000000001128</v>
      </c>
      <c r="BL52" s="84">
        <f>RD[[#This Row],[Export  (kWh)]]-RD[[#This Row],[Import (kWh)]]</f>
        <v>100411.56999999317</v>
      </c>
      <c r="BM52" s="84">
        <f>RD[[#This Row],[Inverters Generation ( kWh)]]-RD[[#This Row],[Export  (kWh)]]</f>
        <v>650.83000000682659</v>
      </c>
      <c r="BN52">
        <f t="shared" si="12"/>
        <v>42450</v>
      </c>
      <c r="BO52">
        <f t="shared" si="13"/>
        <v>210</v>
      </c>
      <c r="BP52" s="185">
        <f t="shared" si="14"/>
        <v>59370</v>
      </c>
      <c r="BQ52" s="185">
        <f t="shared" si="15"/>
        <v>598.79999999999995</v>
      </c>
      <c r="BR52" s="185">
        <f t="shared" si="11"/>
        <v>12.183333333333335</v>
      </c>
    </row>
    <row r="53" spans="1:70" ht="15" customHeight="1" x14ac:dyDescent="0.35">
      <c r="A53" s="85">
        <f t="shared" si="8"/>
        <v>45794</v>
      </c>
      <c r="B53" s="80">
        <f>YEAR(RD[[#This Row],[Date]])+IF(MONTH(RD[[#This Row],[Date]])&gt;=4,1,0)</f>
        <v>2026</v>
      </c>
      <c r="C53" s="80">
        <f>YEAR(RD[[#This Row],[Month Year]])</f>
        <v>2025</v>
      </c>
      <c r="D53" s="99" t="s">
        <v>4</v>
      </c>
      <c r="E53" s="99" t="s">
        <v>4</v>
      </c>
      <c r="F53" s="80" t="str">
        <f t="shared" si="10"/>
        <v>May-25</v>
      </c>
      <c r="G53" s="79">
        <f>DAY(EOMONTH(RD[[#This Row],[Month Year]],0))</f>
        <v>31</v>
      </c>
      <c r="H53" s="100">
        <v>24.303100000000001</v>
      </c>
      <c r="I53" s="315">
        <v>0.25972222222222224</v>
      </c>
      <c r="J53" s="315">
        <v>0.76249999999999996</v>
      </c>
      <c r="K53" s="79">
        <v>2605</v>
      </c>
      <c r="L53" s="79">
        <v>2459</v>
      </c>
      <c r="M53" s="79">
        <v>2091</v>
      </c>
      <c r="N53" s="179">
        <v>2227</v>
      </c>
      <c r="O53" s="179">
        <v>2451</v>
      </c>
      <c r="P53" s="179">
        <v>1987</v>
      </c>
      <c r="Q53" s="179">
        <v>2254</v>
      </c>
      <c r="R53" s="179">
        <v>1983</v>
      </c>
      <c r="S53" s="179">
        <v>2277</v>
      </c>
      <c r="T53" s="179">
        <v>2058</v>
      </c>
      <c r="U53" s="79">
        <v>3374</v>
      </c>
      <c r="V53" s="79">
        <v>3369</v>
      </c>
      <c r="W53" s="79">
        <v>3428</v>
      </c>
      <c r="X53" s="79">
        <v>3432</v>
      </c>
      <c r="Y53" s="79">
        <v>3437</v>
      </c>
      <c r="Z53" s="79">
        <v>3386</v>
      </c>
      <c r="AA53" s="79">
        <v>3403</v>
      </c>
      <c r="AB53" s="79">
        <v>3368</v>
      </c>
      <c r="AC53" s="79">
        <v>3789</v>
      </c>
      <c r="AD53" s="79">
        <v>4013</v>
      </c>
      <c r="AE53" s="79"/>
      <c r="AF53" s="79"/>
      <c r="AG53" s="79"/>
      <c r="AH53" s="79"/>
      <c r="AI53" s="79"/>
      <c r="AJ53" s="79"/>
      <c r="AK53" s="79"/>
      <c r="AL53" s="79"/>
      <c r="AM53" s="80">
        <v>149161.43611000001</v>
      </c>
      <c r="AN53" s="80">
        <v>606.22950000000003</v>
      </c>
      <c r="AO53" s="80"/>
      <c r="AP53" s="80">
        <v>6.0149999999999997</v>
      </c>
      <c r="AQ53" s="82">
        <v>5.83</v>
      </c>
      <c r="AR53" s="82">
        <f>IF(RD[[#This Row],[POA(kWh/m2)_O2R6]]="",RD[[#This Row],[POA(kWh/m2)_PSEGPL]],(RD[[#This Row],[POA(kWh/m2)_PSEGPL]]*('Basic Data'!$V$2/'Basic Data'!$V$4))+(RD[[#This Row],[POA(kWh/m2)_O2R6]]*('Basic Data'!$V$3/'Basic Data'!$V$4)))</f>
        <v>5.9176464168039535</v>
      </c>
      <c r="AS53" s="82">
        <f>SUM(RD[[#This Row],[G1 Inv1]:[G5 Inv10]])</f>
        <v>22392</v>
      </c>
      <c r="AT53" s="82">
        <f>SUM(RD[[#This Row],[IS1_Inv1_M1]:[IS1_Inv2_M4]])</f>
        <v>27197</v>
      </c>
      <c r="AU53" s="82">
        <f>SUM(RD[[#This Row],[IS2_Inv1]:[IS2_Inv2]])</f>
        <v>7802</v>
      </c>
      <c r="AV53" s="80"/>
      <c r="AW53" s="83"/>
      <c r="AX53" s="80"/>
      <c r="AY53" s="80"/>
      <c r="AZ53" s="80"/>
      <c r="BA53" s="83">
        <f>IFERROR(SUM(RD[[#This Row],[PSEGPL]:[O2R10]]),"")</f>
        <v>57391</v>
      </c>
      <c r="BB53" s="80">
        <v>1438</v>
      </c>
      <c r="BC53" s="83">
        <v>226671</v>
      </c>
      <c r="BD53" s="83">
        <v>1252</v>
      </c>
      <c r="BE53" s="83">
        <v>205486</v>
      </c>
      <c r="BF53" s="83">
        <v>1779</v>
      </c>
      <c r="BG53" s="83">
        <v>233517</v>
      </c>
      <c r="BH53" s="83">
        <v>2724</v>
      </c>
      <c r="BI53" s="83">
        <v>222954</v>
      </c>
      <c r="BJ53" s="101">
        <f>IF((RD[[#This Row],[33 kV F5 Export Reading_Gss End]]-AM52)*1000&lt;0,0,(RD[[#This Row],[33 kV F5 Export Reading_Gss End]]-AM52)*1000)</f>
        <v>57249.340000009397</v>
      </c>
      <c r="BK53" s="83">
        <f>IF((RD[[#This Row],[33 kV F5 Import Reading_GSS End2]]-AN52)*1000&lt;0,0,(RD[[#This Row],[33 kV F5 Import Reading_GSS End2]]-AN52)*1000)</f>
        <v>1010.4999999999791</v>
      </c>
      <c r="BL53" s="84">
        <f>RD[[#This Row],[Export  (kWh)]]-RD[[#This Row],[Import (kWh)]]</f>
        <v>56238.840000009419</v>
      </c>
      <c r="BM53" s="84">
        <f>RD[[#This Row],[Inverters Generation ( kWh)]]-RD[[#This Row],[Export  (kWh)]]</f>
        <v>141.65999999060296</v>
      </c>
      <c r="BN53">
        <f t="shared" si="12"/>
        <v>22200</v>
      </c>
      <c r="BO53">
        <f t="shared" si="13"/>
        <v>270</v>
      </c>
      <c r="BP53" s="185">
        <f t="shared" si="14"/>
        <v>35550</v>
      </c>
      <c r="BQ53" s="185">
        <f t="shared" si="15"/>
        <v>718.8</v>
      </c>
      <c r="BR53" s="185">
        <f t="shared" si="11"/>
        <v>12.066666666666666</v>
      </c>
    </row>
    <row r="54" spans="1:70" ht="15" customHeight="1" x14ac:dyDescent="0.35">
      <c r="A54" s="85">
        <f t="shared" si="8"/>
        <v>45795</v>
      </c>
      <c r="B54" s="80">
        <f>YEAR(RD[[#This Row],[Date]])+IF(MONTH(RD[[#This Row],[Date]])&gt;=4,1,0)</f>
        <v>2026</v>
      </c>
      <c r="C54" s="80">
        <f>YEAR(RD[[#This Row],[Month Year]])</f>
        <v>2025</v>
      </c>
      <c r="D54" s="99" t="s">
        <v>4</v>
      </c>
      <c r="E54" s="99" t="s">
        <v>4</v>
      </c>
      <c r="F54" s="80" t="str">
        <f t="shared" si="10"/>
        <v>May-25</v>
      </c>
      <c r="G54" s="79">
        <f>DAY(EOMONTH(RD[[#This Row],[Month Year]],0))</f>
        <v>31</v>
      </c>
      <c r="H54" s="100">
        <v>24.303100000000001</v>
      </c>
      <c r="I54" s="315">
        <v>0.25347222222222221</v>
      </c>
      <c r="J54" s="315">
        <v>0.7680555555555556</v>
      </c>
      <c r="K54" s="79">
        <v>3591</v>
      </c>
      <c r="L54" s="79">
        <v>3750</v>
      </c>
      <c r="M54" s="79">
        <v>3120</v>
      </c>
      <c r="N54" s="179">
        <v>3570</v>
      </c>
      <c r="O54" s="179">
        <v>3564</v>
      </c>
      <c r="P54" s="179">
        <v>3008</v>
      </c>
      <c r="Q54" s="179">
        <v>3518</v>
      </c>
      <c r="R54" s="179">
        <v>3086</v>
      </c>
      <c r="S54" s="179">
        <v>3560</v>
      </c>
      <c r="T54" s="179">
        <v>3140</v>
      </c>
      <c r="U54" s="79">
        <v>4404</v>
      </c>
      <c r="V54" s="79">
        <v>4412</v>
      </c>
      <c r="W54" s="79">
        <v>4512</v>
      </c>
      <c r="X54" s="79">
        <v>4506</v>
      </c>
      <c r="Y54" s="79">
        <v>4509</v>
      </c>
      <c r="Z54" s="79">
        <v>4475</v>
      </c>
      <c r="AA54" s="79">
        <v>4517</v>
      </c>
      <c r="AB54" s="79">
        <v>4429</v>
      </c>
      <c r="AC54" s="79">
        <v>5277</v>
      </c>
      <c r="AD54" s="79">
        <v>5602</v>
      </c>
      <c r="AE54" s="79"/>
      <c r="AF54" s="79"/>
      <c r="AG54" s="79"/>
      <c r="AH54" s="79"/>
      <c r="AI54" s="79"/>
      <c r="AJ54" s="79"/>
      <c r="AK54" s="79"/>
      <c r="AL54" s="79"/>
      <c r="AM54" s="80">
        <v>149241.8272</v>
      </c>
      <c r="AN54" s="80">
        <v>607.03390000000002</v>
      </c>
      <c r="AO54" s="80"/>
      <c r="AP54" s="80">
        <v>4.1890000000000001</v>
      </c>
      <c r="AQ54" s="82">
        <v>4.01</v>
      </c>
      <c r="AR54" s="82">
        <f>IF(RD[[#This Row],[POA(kWh/m2)_O2R6]]="",RD[[#This Row],[POA(kWh/m2)_PSEGPL]],(RD[[#This Row],[POA(kWh/m2)_PSEGPL]]*('Basic Data'!$V$2/'Basic Data'!$V$4))+(RD[[#This Row],[POA(kWh/m2)_O2R6]]*('Basic Data'!$V$3/'Basic Data'!$V$4)))</f>
        <v>4.0948038303130145</v>
      </c>
      <c r="AS54" s="82">
        <f>SUM(RD[[#This Row],[G1 Inv1]:[G5 Inv10]])</f>
        <v>33907</v>
      </c>
      <c r="AT54" s="82">
        <f>SUM(RD[[#This Row],[IS1_Inv1_M1]:[IS1_Inv2_M4]])</f>
        <v>35764</v>
      </c>
      <c r="AU54" s="82">
        <f>SUM(RD[[#This Row],[IS2_Inv1]:[IS2_Inv2]])</f>
        <v>10879</v>
      </c>
      <c r="AV54" s="80"/>
      <c r="AW54" s="83"/>
      <c r="AX54" s="80"/>
      <c r="AY54" s="80"/>
      <c r="AZ54" s="80"/>
      <c r="BA54" s="83">
        <f>IFERROR(SUM(RD[[#This Row],[PSEGPL]:[O2R10]]),"")</f>
        <v>80550</v>
      </c>
      <c r="BB54" s="80">
        <v>1441</v>
      </c>
      <c r="BC54" s="83">
        <v>227012</v>
      </c>
      <c r="BD54" s="83">
        <v>1254</v>
      </c>
      <c r="BE54" s="83">
        <v>205779</v>
      </c>
      <c r="BF54" s="83">
        <v>1783</v>
      </c>
      <c r="BG54" s="83">
        <v>233920</v>
      </c>
      <c r="BH54" s="83">
        <v>2736</v>
      </c>
      <c r="BI54" s="83">
        <v>223321</v>
      </c>
      <c r="BJ54" s="101">
        <f>IF((RD[[#This Row],[33 kV F5 Export Reading_Gss End]]-AM53)*1000&lt;0,0,(RD[[#This Row],[33 kV F5 Export Reading_Gss End]]-AM53)*1000)</f>
        <v>80391.089999990072</v>
      </c>
      <c r="BK54" s="83">
        <f>IF((RD[[#This Row],[33 kV F5 Import Reading_GSS End2]]-AN53)*1000&lt;0,0,(RD[[#This Row],[33 kV F5 Import Reading_GSS End2]]-AN53)*1000)</f>
        <v>804.3999999999869</v>
      </c>
      <c r="BL54" s="84">
        <f>RD[[#This Row],[Export  (kWh)]]-RD[[#This Row],[Import (kWh)]]</f>
        <v>79586.689999990078</v>
      </c>
      <c r="BM54" s="84">
        <f>RD[[#This Row],[Inverters Generation ( kWh)]]-RD[[#This Row],[Export  (kWh)]]</f>
        <v>158.9100000099279</v>
      </c>
      <c r="BN54">
        <f t="shared" si="12"/>
        <v>33645</v>
      </c>
      <c r="BO54">
        <f t="shared" si="13"/>
        <v>270</v>
      </c>
      <c r="BP54" s="185">
        <f t="shared" si="14"/>
        <v>47280</v>
      </c>
      <c r="BQ54" s="185">
        <f t="shared" si="15"/>
        <v>838.8</v>
      </c>
      <c r="BR54" s="185">
        <f t="shared" si="11"/>
        <v>12.350000000000001</v>
      </c>
    </row>
    <row r="55" spans="1:70" ht="15" customHeight="1" x14ac:dyDescent="0.35">
      <c r="A55" s="85">
        <f t="shared" si="8"/>
        <v>45796</v>
      </c>
      <c r="B55" s="80">
        <f>YEAR(RD[[#This Row],[Date]])+IF(MONTH(RD[[#This Row],[Date]])&gt;=4,1,0)</f>
        <v>2026</v>
      </c>
      <c r="C55" s="80">
        <f>YEAR(RD[[#This Row],[Month Year]])</f>
        <v>2025</v>
      </c>
      <c r="D55" s="99" t="s">
        <v>4</v>
      </c>
      <c r="E55" s="99" t="s">
        <v>4</v>
      </c>
      <c r="F55" s="80" t="str">
        <f t="shared" si="10"/>
        <v>May-25</v>
      </c>
      <c r="G55" s="79">
        <f>DAY(EOMONTH(RD[[#This Row],[Month Year]],0))</f>
        <v>31</v>
      </c>
      <c r="H55" s="100">
        <v>24.303100000000001</v>
      </c>
      <c r="I55" s="315">
        <v>0.26944444444444443</v>
      </c>
      <c r="J55" s="315">
        <v>0.7680555555555556</v>
      </c>
      <c r="K55" s="79">
        <v>4881</v>
      </c>
      <c r="L55" s="79">
        <v>5317</v>
      </c>
      <c r="M55" s="79">
        <v>4224</v>
      </c>
      <c r="N55" s="179">
        <v>4912</v>
      </c>
      <c r="O55" s="179">
        <v>4970</v>
      </c>
      <c r="P55" s="179">
        <v>4263</v>
      </c>
      <c r="Q55" s="179">
        <v>4862</v>
      </c>
      <c r="R55" s="179">
        <v>4279</v>
      </c>
      <c r="S55" s="179">
        <v>4902</v>
      </c>
      <c r="T55" s="179">
        <v>4322</v>
      </c>
      <c r="U55" s="79">
        <v>5729</v>
      </c>
      <c r="V55" s="79">
        <v>5830</v>
      </c>
      <c r="W55" s="79">
        <v>5981</v>
      </c>
      <c r="X55" s="79">
        <v>6029</v>
      </c>
      <c r="Y55" s="79">
        <v>5953</v>
      </c>
      <c r="Z55" s="79">
        <v>5875</v>
      </c>
      <c r="AA55" s="79">
        <v>5883</v>
      </c>
      <c r="AB55" s="79">
        <v>5738</v>
      </c>
      <c r="AC55" s="79">
        <v>7133</v>
      </c>
      <c r="AD55" s="79">
        <v>7606</v>
      </c>
      <c r="AE55" s="79"/>
      <c r="AF55" s="79"/>
      <c r="AG55" s="79"/>
      <c r="AH55" s="79"/>
      <c r="AI55" s="79"/>
      <c r="AJ55" s="79"/>
      <c r="AK55" s="79"/>
      <c r="AL55" s="79"/>
      <c r="AM55" s="80">
        <v>149349.7213</v>
      </c>
      <c r="AN55" s="80">
        <v>607.95950000000005</v>
      </c>
      <c r="AO55" s="80"/>
      <c r="AP55" s="80">
        <v>5.6369999999999996</v>
      </c>
      <c r="AQ55" s="82">
        <v>5.4210000000000003</v>
      </c>
      <c r="AR55" s="82">
        <f>IF(RD[[#This Row],[POA(kWh/m2)_O2R6]]="",RD[[#This Row],[POA(kWh/m2)_PSEGPL]],(RD[[#This Row],[POA(kWh/m2)_PSEGPL]]*('Basic Data'!$V$2/'Basic Data'!$V$4))+(RD[[#This Row],[POA(kWh/m2)_O2R6]]*('Basic Data'!$V$3/'Basic Data'!$V$4)))</f>
        <v>5.5233331136738055</v>
      </c>
      <c r="AS55" s="82">
        <f>SUM(RD[[#This Row],[G1 Inv1]:[G5 Inv10]])</f>
        <v>46932</v>
      </c>
      <c r="AT55" s="82">
        <f>SUM(RD[[#This Row],[IS1_Inv1_M1]:[IS1_Inv2_M4]])</f>
        <v>47018</v>
      </c>
      <c r="AU55" s="82">
        <f>SUM(RD[[#This Row],[IS2_Inv1]:[IS2_Inv2]])</f>
        <v>14739</v>
      </c>
      <c r="AV55" s="80"/>
      <c r="AW55" s="83"/>
      <c r="AX55" s="80"/>
      <c r="AY55" s="80"/>
      <c r="AZ55" s="80"/>
      <c r="BA55" s="83">
        <f>IFERROR(SUM(RD[[#This Row],[PSEGPL]:[O2R10]]),"")</f>
        <v>108689</v>
      </c>
      <c r="BB55" s="80">
        <v>1444</v>
      </c>
      <c r="BC55" s="83">
        <v>227486</v>
      </c>
      <c r="BD55" s="83">
        <v>1256</v>
      </c>
      <c r="BE55" s="83">
        <v>206184</v>
      </c>
      <c r="BF55" s="83">
        <v>1787</v>
      </c>
      <c r="BG55" s="83">
        <v>234447</v>
      </c>
      <c r="BH55" s="83">
        <v>2752</v>
      </c>
      <c r="BI55" s="83">
        <v>223816</v>
      </c>
      <c r="BJ55" s="101">
        <f>IF((RD[[#This Row],[33 kV F5 Export Reading_Gss End]]-AM54)*1000&lt;0,0,(RD[[#This Row],[33 kV F5 Export Reading_Gss End]]-AM54)*1000)</f>
        <v>107894.10000000498</v>
      </c>
      <c r="BK55" s="83">
        <f>IF((RD[[#This Row],[33 kV F5 Import Reading_GSS End2]]-AN54)*1000&lt;0,0,(RD[[#This Row],[33 kV F5 Import Reading_GSS End2]]-AN54)*1000)</f>
        <v>925.60000000003129</v>
      </c>
      <c r="BL55" s="84">
        <f>RD[[#This Row],[Export  (kWh)]]-RD[[#This Row],[Import (kWh)]]</f>
        <v>106968.50000000495</v>
      </c>
      <c r="BM55" s="84">
        <f>RD[[#This Row],[Inverters Generation ( kWh)]]-RD[[#This Row],[Export  (kWh)]]</f>
        <v>794.89999999501742</v>
      </c>
      <c r="BN55">
        <f t="shared" si="12"/>
        <v>46665</v>
      </c>
      <c r="BO55">
        <f t="shared" si="13"/>
        <v>270</v>
      </c>
      <c r="BP55" s="185">
        <f t="shared" si="14"/>
        <v>62280</v>
      </c>
      <c r="BQ55" s="185">
        <f t="shared" si="15"/>
        <v>958.8</v>
      </c>
      <c r="BR55" s="185">
        <f t="shared" si="11"/>
        <v>11.966666666666669</v>
      </c>
    </row>
    <row r="56" spans="1:70" ht="15" customHeight="1" x14ac:dyDescent="0.35">
      <c r="A56" s="85">
        <f t="shared" si="8"/>
        <v>45797</v>
      </c>
      <c r="B56" s="80">
        <f>YEAR(RD[[#This Row],[Date]])+IF(MONTH(RD[[#This Row],[Date]])&gt;=4,1,0)</f>
        <v>2026</v>
      </c>
      <c r="C56" s="80">
        <f>YEAR(RD[[#This Row],[Month Year]])</f>
        <v>2025</v>
      </c>
      <c r="D56" s="99" t="s">
        <v>4</v>
      </c>
      <c r="E56" s="99" t="s">
        <v>4</v>
      </c>
      <c r="F56" s="80" t="str">
        <f t="shared" si="10"/>
        <v>May-25</v>
      </c>
      <c r="G56" s="79">
        <f>DAY(EOMONTH(RD[[#This Row],[Month Year]],0))</f>
        <v>31</v>
      </c>
      <c r="H56" s="100">
        <v>24.303100000000001</v>
      </c>
      <c r="I56" s="315">
        <v>0.25624999999999998</v>
      </c>
      <c r="J56" s="315">
        <v>0.74652777777777779</v>
      </c>
      <c r="K56" s="79">
        <v>5406</v>
      </c>
      <c r="L56" s="79">
        <v>5798</v>
      </c>
      <c r="M56" s="79">
        <v>853</v>
      </c>
      <c r="N56" s="179">
        <v>5029</v>
      </c>
      <c r="O56" s="179">
        <v>5281</v>
      </c>
      <c r="P56" s="179">
        <v>4519</v>
      </c>
      <c r="Q56" s="179">
        <v>4821</v>
      </c>
      <c r="R56" s="179">
        <v>4537</v>
      </c>
      <c r="S56" s="179">
        <v>5248</v>
      </c>
      <c r="T56" s="179">
        <v>4625</v>
      </c>
      <c r="U56" s="79">
        <v>6494</v>
      </c>
      <c r="V56" s="79">
        <v>6547</v>
      </c>
      <c r="W56" s="79">
        <v>6721</v>
      </c>
      <c r="X56" s="79">
        <v>6739</v>
      </c>
      <c r="Y56" s="79">
        <v>6712</v>
      </c>
      <c r="Z56" s="79">
        <v>6616</v>
      </c>
      <c r="AA56" s="79">
        <v>6656</v>
      </c>
      <c r="AB56" s="79">
        <v>6530</v>
      </c>
      <c r="AC56" s="79">
        <v>7961</v>
      </c>
      <c r="AD56" s="79">
        <v>8546</v>
      </c>
      <c r="AE56" s="79"/>
      <c r="AF56" s="79"/>
      <c r="AG56" s="79"/>
      <c r="AH56" s="79"/>
      <c r="AI56" s="79"/>
      <c r="AJ56" s="79"/>
      <c r="AK56" s="79"/>
      <c r="AL56" s="79"/>
      <c r="AM56" s="80">
        <v>149464.36489999999</v>
      </c>
      <c r="AN56" s="80">
        <v>608.95600000000002</v>
      </c>
      <c r="AO56" s="80"/>
      <c r="AP56" s="80">
        <v>5.3520000000000003</v>
      </c>
      <c r="AQ56" s="82">
        <v>5.2949999999999999</v>
      </c>
      <c r="AR56" s="82">
        <f>IF(RD[[#This Row],[POA(kWh/m2)_O2R6]]="",RD[[#This Row],[POA(kWh/m2)_PSEGPL]],(RD[[#This Row],[POA(kWh/m2)_PSEGPL]]*('Basic Data'!$V$2/'Basic Data'!$V$4))+(RD[[#This Row],[POA(kWh/m2)_O2R6]]*('Basic Data'!$V$3/'Basic Data'!$V$4)))</f>
        <v>5.3220045716639204</v>
      </c>
      <c r="AS56" s="82">
        <f>SUM(RD[[#This Row],[G1 Inv1]:[G5 Inv10]])</f>
        <v>46117</v>
      </c>
      <c r="AT56" s="82">
        <f>SUM(RD[[#This Row],[IS1_Inv1_M1]:[IS1_Inv2_M4]])</f>
        <v>53015</v>
      </c>
      <c r="AU56" s="82">
        <f>SUM(RD[[#This Row],[IS2_Inv1]:[IS2_Inv2]])</f>
        <v>16507</v>
      </c>
      <c r="AV56" s="80"/>
      <c r="AW56" s="83"/>
      <c r="AX56" s="80"/>
      <c r="AY56" s="80"/>
      <c r="AZ56" s="80"/>
      <c r="BA56" s="83">
        <f>IFERROR(SUM(RD[[#This Row],[PSEGPL]:[O2R10]]),"")</f>
        <v>115639</v>
      </c>
      <c r="BB56" s="80">
        <v>1447</v>
      </c>
      <c r="BC56" s="83">
        <v>227931</v>
      </c>
      <c r="BD56" s="83">
        <v>1259</v>
      </c>
      <c r="BE56" s="83">
        <v>206607</v>
      </c>
      <c r="BF56" s="83">
        <v>1793</v>
      </c>
      <c r="BG56" s="83">
        <v>235039</v>
      </c>
      <c r="BH56" s="83">
        <v>2756</v>
      </c>
      <c r="BI56" s="83">
        <v>224368</v>
      </c>
      <c r="BJ56" s="101">
        <f>IF((RD[[#This Row],[33 kV F5 Export Reading_Gss End]]-AM55)*1000&lt;0,0,(RD[[#This Row],[33 kV F5 Export Reading_Gss End]]-AM55)*1000)</f>
        <v>114643.59999998123</v>
      </c>
      <c r="BK56" s="83">
        <f>IF((RD[[#This Row],[33 kV F5 Import Reading_GSS End2]]-AN55)*1000&lt;0,0,(RD[[#This Row],[33 kV F5 Import Reading_GSS End2]]-AN55)*1000)</f>
        <v>996.49999999996908</v>
      </c>
      <c r="BL56" s="84">
        <f>RD[[#This Row],[Export  (kWh)]]-RD[[#This Row],[Import (kWh)]]</f>
        <v>113647.09999998126</v>
      </c>
      <c r="BM56" s="84">
        <f>RD[[#This Row],[Inverters Generation ( kWh)]]-RD[[#This Row],[Export  (kWh)]]</f>
        <v>995.40000001876615</v>
      </c>
      <c r="BN56">
        <f t="shared" si="12"/>
        <v>45735</v>
      </c>
      <c r="BO56">
        <f t="shared" si="13"/>
        <v>315</v>
      </c>
      <c r="BP56" s="185">
        <f t="shared" si="14"/>
        <v>69840</v>
      </c>
      <c r="BQ56" s="185">
        <f t="shared" si="15"/>
        <v>838.2</v>
      </c>
      <c r="BR56" s="185">
        <f t="shared" si="11"/>
        <v>11.766666666666667</v>
      </c>
    </row>
    <row r="57" spans="1:70" ht="15" customHeight="1" x14ac:dyDescent="0.35">
      <c r="A57" s="85">
        <f t="shared" si="8"/>
        <v>45798</v>
      </c>
      <c r="B57" s="80">
        <f>YEAR(RD[[#This Row],[Date]])+IF(MONTH(RD[[#This Row],[Date]])&gt;=4,1,0)</f>
        <v>2026</v>
      </c>
      <c r="C57" s="80">
        <f>YEAR(RD[[#This Row],[Month Year]])</f>
        <v>2025</v>
      </c>
      <c r="D57" s="99" t="s">
        <v>4</v>
      </c>
      <c r="E57" s="99" t="s">
        <v>4</v>
      </c>
      <c r="F57" s="80" t="str">
        <f t="shared" si="10"/>
        <v>May-25</v>
      </c>
      <c r="G57" s="79">
        <f>DAY(EOMONTH(RD[[#This Row],[Month Year]],0))</f>
        <v>31</v>
      </c>
      <c r="H57" s="100">
        <v>24.303100000000001</v>
      </c>
      <c r="I57" s="315">
        <v>0.25763888888888886</v>
      </c>
      <c r="J57" s="315">
        <v>0.77638888888888891</v>
      </c>
      <c r="K57" s="79">
        <v>3299</v>
      </c>
      <c r="L57" s="79">
        <v>3666</v>
      </c>
      <c r="M57" s="79">
        <v>2929</v>
      </c>
      <c r="N57" s="179">
        <v>3181</v>
      </c>
      <c r="O57" s="179">
        <v>3223</v>
      </c>
      <c r="P57" s="179">
        <v>2751</v>
      </c>
      <c r="Q57" s="179">
        <v>0</v>
      </c>
      <c r="R57" s="179">
        <v>2719</v>
      </c>
      <c r="S57" s="179">
        <v>3140</v>
      </c>
      <c r="T57" s="179">
        <v>2768</v>
      </c>
      <c r="U57" s="79">
        <v>3928</v>
      </c>
      <c r="V57" s="79">
        <v>3963</v>
      </c>
      <c r="W57" s="79">
        <v>4079</v>
      </c>
      <c r="X57" s="79">
        <v>4096</v>
      </c>
      <c r="Y57" s="79">
        <v>4083</v>
      </c>
      <c r="Z57" s="79">
        <v>4002</v>
      </c>
      <c r="AA57" s="79">
        <v>4031</v>
      </c>
      <c r="AB57" s="79">
        <v>3950</v>
      </c>
      <c r="AC57" s="79">
        <v>4966</v>
      </c>
      <c r="AD57" s="79">
        <v>5296</v>
      </c>
      <c r="AE57" s="79"/>
      <c r="AF57" s="79"/>
      <c r="AG57" s="79"/>
      <c r="AH57" s="79"/>
      <c r="AI57" s="79"/>
      <c r="AJ57" s="79"/>
      <c r="AK57" s="79"/>
      <c r="AL57" s="79"/>
      <c r="AM57" s="80">
        <v>149534.5974</v>
      </c>
      <c r="AN57" s="80">
        <v>610.0548</v>
      </c>
      <c r="AO57" s="80"/>
      <c r="AP57" s="80">
        <v>3.859</v>
      </c>
      <c r="AQ57" s="82">
        <v>3.9990000000000001</v>
      </c>
      <c r="AR57" s="82">
        <f>IF(RD[[#This Row],[POA(kWh/m2)_O2R6]]="",RD[[#This Row],[POA(kWh/m2)_PSEGPL]],(RD[[#This Row],[POA(kWh/m2)_PSEGPL]]*('Basic Data'!$V$2/'Basic Data'!$V$4))+(RD[[#This Row],[POA(kWh/m2)_O2R6]]*('Basic Data'!$V$3/'Basic Data'!$V$4)))</f>
        <v>3.9326729818780888</v>
      </c>
      <c r="AS57" s="82">
        <f>SUM(RD[[#This Row],[G1 Inv1]:[G5 Inv10]])</f>
        <v>27676</v>
      </c>
      <c r="AT57" s="82">
        <f>SUM(RD[[#This Row],[IS1_Inv1_M1]:[IS1_Inv2_M4]])</f>
        <v>32132</v>
      </c>
      <c r="AU57" s="82">
        <f>SUM(RD[[#This Row],[IS2_Inv1]:[IS2_Inv2]])</f>
        <v>10262</v>
      </c>
      <c r="AV57" s="80"/>
      <c r="AW57" s="83"/>
      <c r="AX57" s="80"/>
      <c r="AY57" s="80"/>
      <c r="AZ57" s="80"/>
      <c r="BA57" s="83">
        <f>IFERROR(SUM(RD[[#This Row],[PSEGPL]:[O2R10]]),"")</f>
        <v>70070</v>
      </c>
      <c r="BB57" s="80">
        <v>1450</v>
      </c>
      <c r="BC57" s="83">
        <v>228247</v>
      </c>
      <c r="BD57" s="83">
        <v>1260</v>
      </c>
      <c r="BE57" s="83">
        <v>206797</v>
      </c>
      <c r="BF57" s="83">
        <v>1796</v>
      </c>
      <c r="BG57" s="83">
        <v>235403</v>
      </c>
      <c r="BH57" s="83">
        <v>2761</v>
      </c>
      <c r="BI57" s="83">
        <v>224716</v>
      </c>
      <c r="BJ57" s="101">
        <f>IF((RD[[#This Row],[33 kV F5 Export Reading_Gss End]]-AM56)*1000&lt;0,0,(RD[[#This Row],[33 kV F5 Export Reading_Gss End]]-AM56)*1000)</f>
        <v>70232.500000012806</v>
      </c>
      <c r="BK57" s="83">
        <f>IF((RD[[#This Row],[33 kV F5 Import Reading_GSS End2]]-AN56)*1000&lt;0,0,(RD[[#This Row],[33 kV F5 Import Reading_GSS End2]]-AN56)*1000)</f>
        <v>1098.7999999999829</v>
      </c>
      <c r="BL57" s="84">
        <f>RD[[#This Row],[Export  (kWh)]]-RD[[#This Row],[Import (kWh)]]</f>
        <v>69133.700000012817</v>
      </c>
      <c r="BM57" s="84">
        <f>RD[[#This Row],[Inverters Generation ( kWh)]]-RD[[#This Row],[Export  (kWh)]]</f>
        <v>-162.50000001280569</v>
      </c>
      <c r="BN57">
        <f t="shared" si="12"/>
        <v>27510</v>
      </c>
      <c r="BO57">
        <f t="shared" si="13"/>
        <v>225</v>
      </c>
      <c r="BP57" s="185">
        <f t="shared" si="14"/>
        <v>43200</v>
      </c>
      <c r="BQ57" s="185">
        <f t="shared" si="15"/>
        <v>509.1</v>
      </c>
      <c r="BR57" s="185">
        <f t="shared" si="11"/>
        <v>12.450000000000001</v>
      </c>
    </row>
    <row r="58" spans="1:70" ht="15" customHeight="1" x14ac:dyDescent="0.35">
      <c r="A58" s="85">
        <f t="shared" si="8"/>
        <v>45799</v>
      </c>
      <c r="B58" s="80">
        <f>YEAR(RD[[#This Row],[Date]])+IF(MONTH(RD[[#This Row],[Date]])&gt;=4,1,0)</f>
        <v>2026</v>
      </c>
      <c r="C58" s="80">
        <f>YEAR(RD[[#This Row],[Month Year]])</f>
        <v>2025</v>
      </c>
      <c r="D58" s="99" t="s">
        <v>4</v>
      </c>
      <c r="E58" s="99" t="s">
        <v>4</v>
      </c>
      <c r="F58" s="80" t="str">
        <f t="shared" si="10"/>
        <v>May-25</v>
      </c>
      <c r="G58" s="79">
        <f>DAY(EOMONTH(RD[[#This Row],[Month Year]],0))</f>
        <v>31</v>
      </c>
      <c r="H58" s="100">
        <v>24.303100000000001</v>
      </c>
      <c r="I58" s="315">
        <v>0.27500000000000002</v>
      </c>
      <c r="J58" s="315">
        <v>0.76527777777777772</v>
      </c>
      <c r="K58" s="79">
        <v>3337</v>
      </c>
      <c r="L58" s="79">
        <v>3780</v>
      </c>
      <c r="M58" s="79">
        <v>3345</v>
      </c>
      <c r="N58" s="179">
        <v>3293</v>
      </c>
      <c r="O58" s="179">
        <v>3213</v>
      </c>
      <c r="P58" s="179">
        <v>2728</v>
      </c>
      <c r="Q58" s="179">
        <v>0</v>
      </c>
      <c r="R58" s="179">
        <v>2744</v>
      </c>
      <c r="S58" s="179">
        <v>3192</v>
      </c>
      <c r="T58" s="179">
        <v>2806</v>
      </c>
      <c r="U58" s="79">
        <v>4066</v>
      </c>
      <c r="V58" s="79">
        <v>4118</v>
      </c>
      <c r="W58" s="79">
        <v>4243</v>
      </c>
      <c r="X58" s="79">
        <v>4262</v>
      </c>
      <c r="Y58" s="79">
        <v>4251</v>
      </c>
      <c r="Z58" s="79">
        <v>4167</v>
      </c>
      <c r="AA58" s="79">
        <v>4180</v>
      </c>
      <c r="AB58" s="79">
        <v>4091</v>
      </c>
      <c r="AC58" s="79">
        <v>5075</v>
      </c>
      <c r="AD58" s="79">
        <v>5290</v>
      </c>
      <c r="AE58" s="79"/>
      <c r="AF58" s="79"/>
      <c r="AG58" s="79"/>
      <c r="AH58" s="79"/>
      <c r="AI58" s="79"/>
      <c r="AJ58" s="79"/>
      <c r="AK58" s="79"/>
      <c r="AL58" s="79"/>
      <c r="AM58" s="80">
        <v>149606.80840000001</v>
      </c>
      <c r="AN58" s="80">
        <v>610.70169999999996</v>
      </c>
      <c r="AO58" s="80"/>
      <c r="AP58" s="80">
        <v>4.056</v>
      </c>
      <c r="AQ58" s="82">
        <v>4.1509999999999998</v>
      </c>
      <c r="AR58" s="82">
        <f>IF(RD[[#This Row],[POA(kWh/m2)_O2R6]]="",RD[[#This Row],[POA(kWh/m2)_PSEGPL]],(RD[[#This Row],[POA(kWh/m2)_PSEGPL]]*('Basic Data'!$V$2/'Basic Data'!$V$4))+(RD[[#This Row],[POA(kWh/m2)_O2R6]]*('Basic Data'!$V$3/'Basic Data'!$V$4)))</f>
        <v>4.1059923805601315</v>
      </c>
      <c r="AS58" s="82">
        <f>SUM(RD[[#This Row],[G1 Inv1]:[G5 Inv10]])</f>
        <v>28438</v>
      </c>
      <c r="AT58" s="82">
        <f>SUM(RD[[#This Row],[IS1_Inv1_M1]:[IS1_Inv2_M4]])</f>
        <v>33378</v>
      </c>
      <c r="AU58" s="82">
        <f>SUM(RD[[#This Row],[IS2_Inv1]:[IS2_Inv2]])</f>
        <v>10365</v>
      </c>
      <c r="AV58" s="80"/>
      <c r="AW58" s="83"/>
      <c r="AX58" s="80"/>
      <c r="AY58" s="80"/>
      <c r="AZ58" s="80"/>
      <c r="BA58" s="83">
        <f>IFERROR(SUM(RD[[#This Row],[PSEGPL]:[O2R10]]),"")</f>
        <v>72181</v>
      </c>
      <c r="BB58" s="80">
        <v>1453</v>
      </c>
      <c r="BC58" s="83">
        <v>228572</v>
      </c>
      <c r="BD58" s="83">
        <v>1263</v>
      </c>
      <c r="BE58" s="83">
        <v>206988</v>
      </c>
      <c r="BF58" s="83">
        <v>1800</v>
      </c>
      <c r="BG58" s="83">
        <v>235780</v>
      </c>
      <c r="BH58" s="83">
        <v>2770</v>
      </c>
      <c r="BI58" s="83">
        <v>225067</v>
      </c>
      <c r="BJ58" s="101">
        <f>IF((RD[[#This Row],[33 kV F5 Export Reading_Gss End]]-AM57)*1000&lt;0,0,(RD[[#This Row],[33 kV F5 Export Reading_Gss End]]-AM57)*1000)</f>
        <v>72211.000000010245</v>
      </c>
      <c r="BK58" s="83">
        <f>IF((RD[[#This Row],[33 kV F5 Import Reading_GSS End2]]-AN57)*1000&lt;0,0,(RD[[#This Row],[33 kV F5 Import Reading_GSS End2]]-AN57)*1000)</f>
        <v>646.89999999995962</v>
      </c>
      <c r="BL58" s="84">
        <f>RD[[#This Row],[Export  (kWh)]]-RD[[#This Row],[Import (kWh)]]</f>
        <v>71564.100000010279</v>
      </c>
      <c r="BM58" s="84">
        <f>RD[[#This Row],[Inverters Generation ( kWh)]]-RD[[#This Row],[Export  (kWh)]]</f>
        <v>-30.000000010244548</v>
      </c>
      <c r="BN58">
        <f t="shared" si="12"/>
        <v>28095</v>
      </c>
      <c r="BO58">
        <f t="shared" si="13"/>
        <v>315</v>
      </c>
      <c r="BP58" s="185">
        <f t="shared" si="14"/>
        <v>44460</v>
      </c>
      <c r="BQ58" s="185">
        <f t="shared" si="15"/>
        <v>748.8</v>
      </c>
      <c r="BR58" s="185">
        <f t="shared" si="11"/>
        <v>11.766666666666666</v>
      </c>
    </row>
    <row r="59" spans="1:70" ht="15" customHeight="1" x14ac:dyDescent="0.35">
      <c r="A59" s="85">
        <f t="shared" si="8"/>
        <v>45800</v>
      </c>
      <c r="B59" s="80">
        <f>YEAR(RD[[#This Row],[Date]])+IF(MONTH(RD[[#This Row],[Date]])&gt;=4,1,0)</f>
        <v>2026</v>
      </c>
      <c r="C59" s="80">
        <f>YEAR(RD[[#This Row],[Month Year]])</f>
        <v>2025</v>
      </c>
      <c r="D59" s="99" t="s">
        <v>4</v>
      </c>
      <c r="E59" s="99" t="s">
        <v>4</v>
      </c>
      <c r="F59" s="80" t="str">
        <f t="shared" si="10"/>
        <v>May-25</v>
      </c>
      <c r="G59" s="79">
        <f>DAY(EOMONTH(RD[[#This Row],[Month Year]],0))</f>
        <v>31</v>
      </c>
      <c r="H59" s="100">
        <v>24.303100000000001</v>
      </c>
      <c r="I59" s="315">
        <v>0.26597222222222222</v>
      </c>
      <c r="J59" s="315">
        <v>0.77430555555555558</v>
      </c>
      <c r="K59" s="79">
        <v>2090</v>
      </c>
      <c r="L59" s="79">
        <v>2366</v>
      </c>
      <c r="M59" s="79">
        <v>2076</v>
      </c>
      <c r="N59" s="179">
        <v>2252</v>
      </c>
      <c r="O59" s="179">
        <v>2147</v>
      </c>
      <c r="P59" s="179">
        <v>1749</v>
      </c>
      <c r="Q59" s="179">
        <v>0</v>
      </c>
      <c r="R59" s="179">
        <v>1742</v>
      </c>
      <c r="S59" s="179">
        <v>2032</v>
      </c>
      <c r="T59" s="179">
        <v>1792</v>
      </c>
      <c r="U59" s="79">
        <v>2390</v>
      </c>
      <c r="V59" s="79">
        <v>2405</v>
      </c>
      <c r="W59" s="79">
        <v>2481</v>
      </c>
      <c r="X59" s="79">
        <v>2487</v>
      </c>
      <c r="Y59" s="79">
        <v>2479</v>
      </c>
      <c r="Z59" s="79">
        <v>2403</v>
      </c>
      <c r="AA59" s="79">
        <v>2458</v>
      </c>
      <c r="AB59" s="79">
        <v>2411</v>
      </c>
      <c r="AC59" s="79">
        <v>2979</v>
      </c>
      <c r="AD59" s="79">
        <v>3198</v>
      </c>
      <c r="AE59" s="79"/>
      <c r="AF59" s="79"/>
      <c r="AG59" s="79"/>
      <c r="AH59" s="79"/>
      <c r="AI59" s="79"/>
      <c r="AJ59" s="79"/>
      <c r="AK59" s="79"/>
      <c r="AL59" s="79"/>
      <c r="AM59" s="80">
        <v>149651.38159999999</v>
      </c>
      <c r="AN59" s="80">
        <v>611.60410000000002</v>
      </c>
      <c r="AO59" s="80"/>
      <c r="AP59" s="80">
        <v>2.1720000000000002</v>
      </c>
      <c r="AQ59" s="82">
        <v>2.181</v>
      </c>
      <c r="AR59" s="82">
        <f>IF(RD[[#This Row],[POA(kWh/m2)_O2R6]]="",RD[[#This Row],[POA(kWh/m2)_PSEGPL]],(RD[[#This Row],[POA(kWh/m2)_PSEGPL]]*('Basic Data'!$V$2/'Basic Data'!$V$4))+(RD[[#This Row],[POA(kWh/m2)_O2R6]]*('Basic Data'!$V$3/'Basic Data'!$V$4)))</f>
        <v>2.1767361202635911</v>
      </c>
      <c r="AS59" s="82">
        <f>SUM(RD[[#This Row],[G1 Inv1]:[G5 Inv10]])</f>
        <v>18246</v>
      </c>
      <c r="AT59" s="82">
        <f>SUM(RD[[#This Row],[IS1_Inv1_M1]:[IS1_Inv2_M4]])</f>
        <v>19514</v>
      </c>
      <c r="AU59" s="82">
        <f>SUM(RD[[#This Row],[IS2_Inv1]:[IS2_Inv2]])</f>
        <v>6177</v>
      </c>
      <c r="AV59" s="80"/>
      <c r="AW59" s="83"/>
      <c r="AX59" s="80"/>
      <c r="AY59" s="80"/>
      <c r="AZ59" s="80"/>
      <c r="BA59" s="83">
        <f>IFERROR(SUM(RD[[#This Row],[PSEGPL]:[O2R10]]),"")</f>
        <v>43937</v>
      </c>
      <c r="BB59" s="80">
        <v>1455</v>
      </c>
      <c r="BC59" s="83">
        <v>228783</v>
      </c>
      <c r="BD59" s="83">
        <v>1265</v>
      </c>
      <c r="BE59" s="83">
        <v>207110</v>
      </c>
      <c r="BF59" s="83">
        <v>1804</v>
      </c>
      <c r="BG59" s="83">
        <v>236008</v>
      </c>
      <c r="BH59" s="83">
        <v>2779</v>
      </c>
      <c r="BI59" s="83">
        <v>225280</v>
      </c>
      <c r="BJ59" s="101">
        <f>IF((RD[[#This Row],[33 kV F5 Export Reading_Gss End]]-AM58)*1000&lt;0,0,(RD[[#This Row],[33 kV F5 Export Reading_Gss End]]-AM58)*1000)</f>
        <v>44573.199999984354</v>
      </c>
      <c r="BK59" s="83">
        <f>IF((RD[[#This Row],[33 kV F5 Import Reading_GSS End2]]-AN58)*1000&lt;0,0,(RD[[#This Row],[33 kV F5 Import Reading_GSS End2]]-AN58)*1000)</f>
        <v>902.40000000005693</v>
      </c>
      <c r="BL59" s="84">
        <f>RD[[#This Row],[Export  (kWh)]]-RD[[#This Row],[Import (kWh)]]</f>
        <v>43670.799999984294</v>
      </c>
      <c r="BM59" s="84">
        <f>RD[[#This Row],[Inverters Generation ( kWh)]]-RD[[#This Row],[Export  (kWh)]]</f>
        <v>-636.19999998435378</v>
      </c>
      <c r="BN59">
        <f t="shared" si="12"/>
        <v>18150</v>
      </c>
      <c r="BO59">
        <f t="shared" si="13"/>
        <v>210</v>
      </c>
      <c r="BP59" s="185">
        <f t="shared" si="14"/>
        <v>26910</v>
      </c>
      <c r="BQ59" s="185">
        <f t="shared" si="15"/>
        <v>748.8</v>
      </c>
      <c r="BR59" s="185">
        <f t="shared" si="11"/>
        <v>12.2</v>
      </c>
    </row>
    <row r="60" spans="1:70" ht="15" customHeight="1" x14ac:dyDescent="0.35">
      <c r="A60" s="85">
        <f t="shared" si="8"/>
        <v>45801</v>
      </c>
      <c r="B60" s="80">
        <f>YEAR(RD[[#This Row],[Date]])+IF(MONTH(RD[[#This Row],[Date]])&gt;=4,1,0)</f>
        <v>2026</v>
      </c>
      <c r="C60" s="80">
        <f>YEAR(RD[[#This Row],[Month Year]])</f>
        <v>2025</v>
      </c>
      <c r="D60" s="99" t="s">
        <v>4</v>
      </c>
      <c r="E60" s="99" t="s">
        <v>4</v>
      </c>
      <c r="F60" s="80" t="str">
        <f t="shared" si="10"/>
        <v>May-25</v>
      </c>
      <c r="G60" s="79">
        <f>DAY(EOMONTH(RD[[#This Row],[Month Year]],0))</f>
        <v>31</v>
      </c>
      <c r="H60" s="100">
        <v>24.303100000000001</v>
      </c>
      <c r="I60" s="315">
        <v>0.28472222222222221</v>
      </c>
      <c r="J60" s="315">
        <v>0.7583333333333333</v>
      </c>
      <c r="K60" s="79">
        <v>2606</v>
      </c>
      <c r="L60" s="79">
        <v>2916</v>
      </c>
      <c r="M60" s="79">
        <v>2566</v>
      </c>
      <c r="N60" s="179">
        <v>2779</v>
      </c>
      <c r="O60" s="179">
        <v>2917</v>
      </c>
      <c r="P60" s="179">
        <v>2221</v>
      </c>
      <c r="Q60" s="179">
        <v>0</v>
      </c>
      <c r="R60" s="179">
        <v>2202</v>
      </c>
      <c r="S60" s="179">
        <v>2568</v>
      </c>
      <c r="T60" s="179">
        <v>2291</v>
      </c>
      <c r="U60" s="79">
        <v>2959</v>
      </c>
      <c r="V60" s="79">
        <v>3001</v>
      </c>
      <c r="W60" s="79">
        <v>3081</v>
      </c>
      <c r="X60" s="79">
        <v>3090</v>
      </c>
      <c r="Y60" s="79">
        <v>3085</v>
      </c>
      <c r="Z60" s="79">
        <v>2994</v>
      </c>
      <c r="AA60" s="79">
        <v>3047</v>
      </c>
      <c r="AB60" s="79">
        <v>2963</v>
      </c>
      <c r="AC60" s="79">
        <v>3625</v>
      </c>
      <c r="AD60" s="79">
        <v>3924</v>
      </c>
      <c r="AE60" s="79"/>
      <c r="AF60" s="79"/>
      <c r="AG60" s="79"/>
      <c r="AH60" s="79"/>
      <c r="AI60" s="79"/>
      <c r="AJ60" s="79"/>
      <c r="AK60" s="79"/>
      <c r="AL60" s="79"/>
      <c r="AM60" s="80">
        <v>149706.4492</v>
      </c>
      <c r="AN60" s="80">
        <v>612.4588</v>
      </c>
      <c r="AO60" s="80"/>
      <c r="AP60" s="80">
        <v>2.9159999999999999</v>
      </c>
      <c r="AQ60" s="82">
        <v>2.9849999999999999</v>
      </c>
      <c r="AR60" s="82">
        <f>IF(RD[[#This Row],[POA(kWh/m2)_O2R6]]="",RD[[#This Row],[POA(kWh/m2)_PSEGPL]],(RD[[#This Row],[POA(kWh/m2)_PSEGPL]]*('Basic Data'!$V$2/'Basic Data'!$V$4))+(RD[[#This Row],[POA(kWh/m2)_O2R6]]*('Basic Data'!$V$3/'Basic Data'!$V$4)))</f>
        <v>2.9523102553542007</v>
      </c>
      <c r="AS60" s="82">
        <f>SUM(RD[[#This Row],[G1 Inv1]:[G5 Inv10]])</f>
        <v>23066</v>
      </c>
      <c r="AT60" s="82">
        <f>SUM(RD[[#This Row],[IS1_Inv1_M1]:[IS1_Inv2_M4]])</f>
        <v>24220</v>
      </c>
      <c r="AU60" s="82">
        <f>SUM(RD[[#This Row],[IS2_Inv1]:[IS2_Inv2]])</f>
        <v>7549</v>
      </c>
      <c r="AV60" s="80"/>
      <c r="AW60" s="83"/>
      <c r="AX60" s="80"/>
      <c r="AY60" s="80"/>
      <c r="AZ60" s="80"/>
      <c r="BA60" s="83">
        <f>IFERROR(SUM(RD[[#This Row],[PSEGPL]:[O2R10]]),"")</f>
        <v>54835</v>
      </c>
      <c r="BB60" s="80">
        <v>1458</v>
      </c>
      <c r="BC60" s="83">
        <v>229048</v>
      </c>
      <c r="BD60" s="83">
        <v>1267</v>
      </c>
      <c r="BE60" s="83">
        <v>207265</v>
      </c>
      <c r="BF60" s="83">
        <v>1808</v>
      </c>
      <c r="BG60" s="83">
        <v>236285</v>
      </c>
      <c r="BH60" s="83">
        <v>2789</v>
      </c>
      <c r="BI60" s="83">
        <v>225536</v>
      </c>
      <c r="BJ60" s="101">
        <f>IF((RD[[#This Row],[33 kV F5 Export Reading_Gss End]]-AM59)*1000&lt;0,0,(RD[[#This Row],[33 kV F5 Export Reading_Gss End]]-AM59)*1000)</f>
        <v>55067.600000009406</v>
      </c>
      <c r="BK60" s="83">
        <f>IF((RD[[#This Row],[33 kV F5 Import Reading_GSS End2]]-AN59)*1000&lt;0,0,(RD[[#This Row],[33 kV F5 Import Reading_GSS End2]]-AN59)*1000)</f>
        <v>854.69999999997981</v>
      </c>
      <c r="BL60" s="84">
        <f>RD[[#This Row],[Export  (kWh)]]-RD[[#This Row],[Import (kWh)]]</f>
        <v>54212.900000009424</v>
      </c>
      <c r="BM60" s="84">
        <f>RD[[#This Row],[Inverters Generation ( kWh)]]-RD[[#This Row],[Export  (kWh)]]</f>
        <v>-232.60000000940636</v>
      </c>
      <c r="BN60">
        <f t="shared" si="12"/>
        <v>22875</v>
      </c>
      <c r="BO60">
        <f t="shared" si="13"/>
        <v>270</v>
      </c>
      <c r="BP60" s="185">
        <f t="shared" si="14"/>
        <v>32610</v>
      </c>
      <c r="BQ60" s="185">
        <f t="shared" si="15"/>
        <v>778.8</v>
      </c>
      <c r="BR60" s="185">
        <f t="shared" si="11"/>
        <v>11.366666666666667</v>
      </c>
    </row>
    <row r="61" spans="1:70" ht="15" customHeight="1" x14ac:dyDescent="0.35">
      <c r="A61" s="85">
        <f t="shared" si="8"/>
        <v>45802</v>
      </c>
      <c r="B61" s="80">
        <f>YEAR(RD[[#This Row],[Date]])+IF(MONTH(RD[[#This Row],[Date]])&gt;=4,1,0)</f>
        <v>2026</v>
      </c>
      <c r="C61" s="80">
        <f>YEAR(RD[[#This Row],[Month Year]])</f>
        <v>2025</v>
      </c>
      <c r="D61" s="99" t="s">
        <v>4</v>
      </c>
      <c r="E61" s="99" t="s">
        <v>4</v>
      </c>
      <c r="F61" s="80" t="str">
        <f t="shared" si="10"/>
        <v>May-25</v>
      </c>
      <c r="G61" s="79">
        <f>DAY(EOMONTH(RD[[#This Row],[Month Year]],0))</f>
        <v>31</v>
      </c>
      <c r="H61" s="100">
        <v>24.303100000000001</v>
      </c>
      <c r="I61" s="315">
        <v>0.25694444444444442</v>
      </c>
      <c r="J61" s="315">
        <v>0.75069444444444444</v>
      </c>
      <c r="K61" s="79">
        <v>3137</v>
      </c>
      <c r="L61" s="79">
        <v>3559</v>
      </c>
      <c r="M61" s="79">
        <v>3162</v>
      </c>
      <c r="N61" s="179">
        <v>3467</v>
      </c>
      <c r="O61" s="179">
        <v>3733</v>
      </c>
      <c r="P61" s="179">
        <v>3072</v>
      </c>
      <c r="Q61" s="179">
        <v>0</v>
      </c>
      <c r="R61" s="179">
        <v>2692</v>
      </c>
      <c r="S61" s="179">
        <v>3120</v>
      </c>
      <c r="T61" s="179">
        <v>2750</v>
      </c>
      <c r="U61" s="79">
        <v>3814</v>
      </c>
      <c r="V61" s="79">
        <v>3819</v>
      </c>
      <c r="W61" s="79">
        <v>3906</v>
      </c>
      <c r="X61" s="79">
        <v>3918</v>
      </c>
      <c r="Y61" s="79">
        <v>3911</v>
      </c>
      <c r="Z61" s="79">
        <v>3805</v>
      </c>
      <c r="AA61" s="79">
        <v>3910</v>
      </c>
      <c r="AB61" s="79">
        <v>3846</v>
      </c>
      <c r="AC61" s="79">
        <v>4486</v>
      </c>
      <c r="AD61" s="79">
        <v>4651</v>
      </c>
      <c r="AE61" s="79"/>
      <c r="AF61" s="79"/>
      <c r="AG61" s="79"/>
      <c r="AH61" s="79"/>
      <c r="AI61" s="79"/>
      <c r="AJ61" s="79"/>
      <c r="AK61" s="79"/>
      <c r="AL61" s="79"/>
      <c r="AM61" s="80">
        <v>149775.3653</v>
      </c>
      <c r="AN61" s="80">
        <v>613.55280000000005</v>
      </c>
      <c r="AO61" s="80"/>
      <c r="AP61" s="80">
        <v>3.7080000000000002</v>
      </c>
      <c r="AQ61" s="82">
        <v>3.6118999999999999</v>
      </c>
      <c r="AR61" s="82">
        <f>IF(RD[[#This Row],[POA(kWh/m2)_O2R6]]="",RD[[#This Row],[POA(kWh/m2)_PSEGPL]],(RD[[#This Row],[POA(kWh/m2)_PSEGPL]]*('Basic Data'!$V$2/'Basic Data'!$V$4))+(RD[[#This Row],[POA(kWh/m2)_O2R6]]*('Basic Data'!$V$3/'Basic Data'!$V$4)))</f>
        <v>3.6574287602965398</v>
      </c>
      <c r="AS61" s="82">
        <f>SUM(RD[[#This Row],[G1 Inv1]:[G5 Inv10]])</f>
        <v>28692</v>
      </c>
      <c r="AT61" s="82">
        <f>SUM(RD[[#This Row],[IS1_Inv1_M1]:[IS1_Inv2_M4]])</f>
        <v>30929</v>
      </c>
      <c r="AU61" s="82">
        <f>SUM(RD[[#This Row],[IS2_Inv1]:[IS2_Inv2]])</f>
        <v>9137</v>
      </c>
      <c r="AV61" s="80"/>
      <c r="AW61" s="83"/>
      <c r="AX61" s="80"/>
      <c r="AY61" s="80"/>
      <c r="AZ61" s="80"/>
      <c r="BA61" s="83">
        <f>IFERROR(SUM(RD[[#This Row],[PSEGPL]:[O2R10]]),"")</f>
        <v>68758</v>
      </c>
      <c r="BB61" s="80">
        <v>1461</v>
      </c>
      <c r="BC61" s="83">
        <v>229382</v>
      </c>
      <c r="BD61" s="83">
        <v>1269</v>
      </c>
      <c r="BE61" s="83">
        <v>207452</v>
      </c>
      <c r="BF61" s="83">
        <v>1812</v>
      </c>
      <c r="BG61" s="83">
        <v>236635</v>
      </c>
      <c r="BH61" s="83">
        <v>2796</v>
      </c>
      <c r="BI61" s="83">
        <v>225845</v>
      </c>
      <c r="BJ61" s="101">
        <f>IF((RD[[#This Row],[33 kV F5 Export Reading_Gss End]]-AM60)*1000&lt;0,0,(RD[[#This Row],[33 kV F5 Export Reading_Gss End]]-AM60)*1000)</f>
        <v>68916.100000002189</v>
      </c>
      <c r="BK61" s="83">
        <f>IF((RD[[#This Row],[33 kV F5 Import Reading_GSS End2]]-AN60)*1000&lt;0,0,(RD[[#This Row],[33 kV F5 Import Reading_GSS End2]]-AN60)*1000)</f>
        <v>1094.0000000000509</v>
      </c>
      <c r="BL61" s="84">
        <f>RD[[#This Row],[Export  (kWh)]]-RD[[#This Row],[Import (kWh)]]</f>
        <v>67822.10000000213</v>
      </c>
      <c r="BM61" s="84">
        <f>RD[[#This Row],[Inverters Generation ( kWh)]]-RD[[#This Row],[Export  (kWh)]]</f>
        <v>-158.10000000218861</v>
      </c>
      <c r="BN61">
        <f t="shared" si="12"/>
        <v>28455</v>
      </c>
      <c r="BO61">
        <f t="shared" si="13"/>
        <v>270</v>
      </c>
      <c r="BP61" s="185">
        <f t="shared" si="14"/>
        <v>40770</v>
      </c>
      <c r="BQ61" s="185">
        <f t="shared" si="15"/>
        <v>688.8</v>
      </c>
      <c r="BR61" s="185">
        <f t="shared" si="11"/>
        <v>11.850000000000001</v>
      </c>
    </row>
    <row r="62" spans="1:70" ht="15" customHeight="1" x14ac:dyDescent="0.35">
      <c r="A62" s="85">
        <f t="shared" si="8"/>
        <v>45803</v>
      </c>
      <c r="B62" s="80">
        <f>YEAR(RD[[#This Row],[Date]])+IF(MONTH(RD[[#This Row],[Date]])&gt;=4,1,0)</f>
        <v>2026</v>
      </c>
      <c r="C62" s="80">
        <f>YEAR(RD[[#This Row],[Month Year]])</f>
        <v>2025</v>
      </c>
      <c r="D62" s="99" t="s">
        <v>4</v>
      </c>
      <c r="E62" s="99" t="s">
        <v>4</v>
      </c>
      <c r="F62" s="80" t="str">
        <f t="shared" si="10"/>
        <v>May-25</v>
      </c>
      <c r="G62" s="79">
        <f>DAY(EOMONTH(RD[[#This Row],[Month Year]],0))</f>
        <v>31</v>
      </c>
      <c r="H62" s="100">
        <v>24.303100000000001</v>
      </c>
      <c r="I62" s="315">
        <v>0.25763888888888886</v>
      </c>
      <c r="J62" s="315">
        <v>0.7631944444444444</v>
      </c>
      <c r="K62" s="79">
        <v>4899</v>
      </c>
      <c r="L62" s="79">
        <v>5536</v>
      </c>
      <c r="M62" s="79">
        <v>4836</v>
      </c>
      <c r="N62" s="179">
        <v>5246</v>
      </c>
      <c r="O62" s="179">
        <v>5630</v>
      </c>
      <c r="P62" s="179">
        <v>4610</v>
      </c>
      <c r="Q62" s="179">
        <v>0</v>
      </c>
      <c r="R62" s="179">
        <v>4084</v>
      </c>
      <c r="S62" s="179">
        <v>4747</v>
      </c>
      <c r="T62" s="179">
        <v>4205</v>
      </c>
      <c r="U62" s="79">
        <v>6028</v>
      </c>
      <c r="V62" s="79">
        <v>6069</v>
      </c>
      <c r="W62" s="79">
        <v>6246</v>
      </c>
      <c r="X62" s="79">
        <v>6259</v>
      </c>
      <c r="Y62" s="79">
        <v>6256</v>
      </c>
      <c r="Z62" s="79">
        <v>6097</v>
      </c>
      <c r="AA62" s="79">
        <v>6252</v>
      </c>
      <c r="AB62" s="79">
        <v>6148</v>
      </c>
      <c r="AC62" s="79">
        <v>7130</v>
      </c>
      <c r="AD62" s="79">
        <v>7531</v>
      </c>
      <c r="AE62" s="79"/>
      <c r="AF62" s="79"/>
      <c r="AG62" s="79"/>
      <c r="AH62" s="79"/>
      <c r="AI62" s="79"/>
      <c r="AJ62" s="79"/>
      <c r="AK62" s="79"/>
      <c r="AL62" s="79"/>
      <c r="AM62" s="80">
        <v>149882.4952</v>
      </c>
      <c r="AN62" s="80">
        <v>614.27539999999999</v>
      </c>
      <c r="AO62" s="80"/>
      <c r="AP62" s="80">
        <v>6.0389999999999997</v>
      </c>
      <c r="AQ62" s="82">
        <v>5.9260000000000002</v>
      </c>
      <c r="AR62" s="82">
        <f>IF(RD[[#This Row],[POA(kWh/m2)_O2R6]]="",RD[[#This Row],[POA(kWh/m2)_PSEGPL]],(RD[[#This Row],[POA(kWh/m2)_PSEGPL]]*('Basic Data'!$V$2/'Basic Data'!$V$4))+(RD[[#This Row],[POA(kWh/m2)_O2R6]]*('Basic Data'!$V$3/'Basic Data'!$V$4)))</f>
        <v>5.9795353789126846</v>
      </c>
      <c r="AS62" s="82">
        <f>SUM(RD[[#This Row],[G1 Inv1]:[G5 Inv10]])</f>
        <v>43793</v>
      </c>
      <c r="AT62" s="82">
        <f>SUM(RD[[#This Row],[IS1_Inv1_M1]:[IS1_Inv2_M4]])</f>
        <v>49355</v>
      </c>
      <c r="AU62" s="82">
        <f>SUM(RD[[#This Row],[IS2_Inv1]:[IS2_Inv2]])</f>
        <v>14661</v>
      </c>
      <c r="AV62" s="80"/>
      <c r="AW62" s="83"/>
      <c r="AX62" s="80"/>
      <c r="AY62" s="80"/>
      <c r="AZ62" s="80"/>
      <c r="BA62" s="83">
        <f>IFERROR(SUM(RD[[#This Row],[PSEGPL]:[O2R10]]),"")</f>
        <v>107809</v>
      </c>
      <c r="BB62" s="80">
        <v>1464</v>
      </c>
      <c r="BC62" s="83">
        <v>229890</v>
      </c>
      <c r="BD62" s="83">
        <v>1271</v>
      </c>
      <c r="BE62" s="83">
        <v>207738</v>
      </c>
      <c r="BF62" s="83">
        <v>1816</v>
      </c>
      <c r="BG62" s="83">
        <v>237188</v>
      </c>
      <c r="BH62" s="83">
        <v>2806</v>
      </c>
      <c r="BI62" s="83">
        <v>226338</v>
      </c>
      <c r="BJ62" s="101">
        <f>IF((RD[[#This Row],[33 kV F5 Export Reading_Gss End]]-AM61)*1000&lt;0,0,(RD[[#This Row],[33 kV F5 Export Reading_Gss End]]-AM61)*1000)</f>
        <v>107129.89999999991</v>
      </c>
      <c r="BK62" s="83">
        <f>IF((RD[[#This Row],[33 kV F5 Import Reading_GSS End2]]-AN61)*1000&lt;0,0,(RD[[#This Row],[33 kV F5 Import Reading_GSS End2]]-AN61)*1000)</f>
        <v>722.59999999994307</v>
      </c>
      <c r="BL62" s="84">
        <f>RD[[#This Row],[Export  (kWh)]]-RD[[#This Row],[Import (kWh)]]</f>
        <v>106407.29999999996</v>
      </c>
      <c r="BM62" s="84">
        <f>RD[[#This Row],[Inverters Generation ( kWh)]]-RD[[#This Row],[Export  (kWh)]]</f>
        <v>679.10000000009313</v>
      </c>
      <c r="BN62">
        <f t="shared" si="12"/>
        <v>43350</v>
      </c>
      <c r="BO62">
        <f t="shared" si="13"/>
        <v>270</v>
      </c>
      <c r="BP62" s="185">
        <f t="shared" si="14"/>
        <v>64560</v>
      </c>
      <c r="BQ62" s="185">
        <f t="shared" si="15"/>
        <v>778.8</v>
      </c>
      <c r="BR62" s="185">
        <f t="shared" si="11"/>
        <v>12.133333333333333</v>
      </c>
    </row>
    <row r="63" spans="1:70" ht="15" customHeight="1" x14ac:dyDescent="0.35">
      <c r="A63" s="85">
        <f t="shared" si="8"/>
        <v>45804</v>
      </c>
      <c r="B63" s="80">
        <f>YEAR(RD[[#This Row],[Date]])+IF(MONTH(RD[[#This Row],[Date]])&gt;=4,1,0)</f>
        <v>2026</v>
      </c>
      <c r="C63" s="80">
        <f>YEAR(RD[[#This Row],[Month Year]])</f>
        <v>2025</v>
      </c>
      <c r="D63" s="99" t="s">
        <v>4</v>
      </c>
      <c r="E63" s="99" t="s">
        <v>4</v>
      </c>
      <c r="F63" s="80" t="str">
        <f t="shared" si="10"/>
        <v>May-25</v>
      </c>
      <c r="G63" s="79">
        <f>DAY(EOMONTH(RD[[#This Row],[Month Year]],0))</f>
        <v>31</v>
      </c>
      <c r="H63" s="100">
        <v>24.303100000000001</v>
      </c>
      <c r="I63" s="315">
        <v>0.26180555555555557</v>
      </c>
      <c r="J63" s="315">
        <v>0.61111111111111116</v>
      </c>
      <c r="K63" s="79">
        <v>1101</v>
      </c>
      <c r="L63" s="79">
        <v>1256</v>
      </c>
      <c r="M63" s="79">
        <v>1097</v>
      </c>
      <c r="N63" s="179">
        <v>1211</v>
      </c>
      <c r="O63" s="179">
        <v>1300</v>
      </c>
      <c r="P63" s="179">
        <v>1059</v>
      </c>
      <c r="Q63" s="179">
        <v>0</v>
      </c>
      <c r="R63" s="179">
        <v>949</v>
      </c>
      <c r="S63" s="179">
        <v>1110</v>
      </c>
      <c r="T63" s="179">
        <v>981</v>
      </c>
      <c r="U63" s="79">
        <v>1236</v>
      </c>
      <c r="V63" s="79">
        <v>1243</v>
      </c>
      <c r="W63" s="79">
        <v>1280</v>
      </c>
      <c r="X63" s="79">
        <v>1284</v>
      </c>
      <c r="Y63" s="79">
        <v>1283</v>
      </c>
      <c r="Z63" s="79">
        <v>1245</v>
      </c>
      <c r="AA63" s="79">
        <v>1281</v>
      </c>
      <c r="AB63" s="79">
        <v>1247</v>
      </c>
      <c r="AC63" s="79">
        <v>1525</v>
      </c>
      <c r="AD63" s="79">
        <v>1597</v>
      </c>
      <c r="AE63" s="79"/>
      <c r="AF63" s="79"/>
      <c r="AG63" s="79"/>
      <c r="AH63" s="79"/>
      <c r="AI63" s="79"/>
      <c r="AJ63" s="79"/>
      <c r="AK63" s="79"/>
      <c r="AL63" s="79"/>
      <c r="AM63" s="80">
        <v>149906.33919999999</v>
      </c>
      <c r="AN63" s="80">
        <v>615.27499999999998</v>
      </c>
      <c r="AO63" s="80"/>
      <c r="AP63" s="80">
        <v>1.1619999999999999</v>
      </c>
      <c r="AQ63" s="82">
        <v>1.1419999999999999</v>
      </c>
      <c r="AR63" s="82">
        <f>IF(RD[[#This Row],[POA(kWh/m2)_O2R6]]="",RD[[#This Row],[POA(kWh/m2)_PSEGPL]],(RD[[#This Row],[POA(kWh/m2)_PSEGPL]]*('Basic Data'!$V$2/'Basic Data'!$V$4))+(RD[[#This Row],[POA(kWh/m2)_O2R6]]*('Basic Data'!$V$3/'Basic Data'!$V$4)))</f>
        <v>1.1514752883031298</v>
      </c>
      <c r="AS63" s="82">
        <f>SUM(RD[[#This Row],[G1 Inv1]:[G5 Inv10]])</f>
        <v>10064</v>
      </c>
      <c r="AT63" s="82">
        <f>SUM(RD[[#This Row],[IS1_Inv1_M1]:[IS1_Inv2_M4]])</f>
        <v>10099</v>
      </c>
      <c r="AU63" s="82">
        <f>SUM(RD[[#This Row],[IS2_Inv1]:[IS2_Inv2]])</f>
        <v>3122</v>
      </c>
      <c r="AV63" s="80"/>
      <c r="AW63" s="83"/>
      <c r="AX63" s="80"/>
      <c r="AY63" s="80"/>
      <c r="AZ63" s="80"/>
      <c r="BA63" s="83">
        <f>IFERROR(SUM(RD[[#This Row],[PSEGPL]:[O2R10]]),"")</f>
        <v>23285</v>
      </c>
      <c r="BB63" s="80">
        <v>1467</v>
      </c>
      <c r="BC63" s="83">
        <v>230008</v>
      </c>
      <c r="BD63" s="83">
        <v>1274</v>
      </c>
      <c r="BE63" s="83">
        <v>207805</v>
      </c>
      <c r="BF63" s="83">
        <v>1821</v>
      </c>
      <c r="BG63" s="83">
        <v>237308</v>
      </c>
      <c r="BH63" s="83">
        <v>2815</v>
      </c>
      <c r="BI63" s="83">
        <v>226448</v>
      </c>
      <c r="BJ63" s="101">
        <f>IF((RD[[#This Row],[33 kV F5 Export Reading_Gss End]]-AM62)*1000&lt;0,0,(RD[[#This Row],[33 kV F5 Export Reading_Gss End]]-AM62)*1000)</f>
        <v>23843.999999982771</v>
      </c>
      <c r="BK63" s="83">
        <f>IF((RD[[#This Row],[33 kV F5 Import Reading_GSS End2]]-AN62)*1000&lt;0,0,(RD[[#This Row],[33 kV F5 Import Reading_GSS End2]]-AN62)*1000)</f>
        <v>999.59999999998672</v>
      </c>
      <c r="BL63" s="84">
        <f>RD[[#This Row],[Export  (kWh)]]-RD[[#This Row],[Import (kWh)]]</f>
        <v>22844.399999982783</v>
      </c>
      <c r="BM63" s="84">
        <f>RD[[#This Row],[Inverters Generation ( kWh)]]-RD[[#This Row],[Export  (kWh)]]</f>
        <v>-558.99999998277053</v>
      </c>
      <c r="BN63">
        <f t="shared" si="12"/>
        <v>10095</v>
      </c>
      <c r="BO63">
        <f t="shared" si="13"/>
        <v>315</v>
      </c>
      <c r="BP63" s="185">
        <f t="shared" si="14"/>
        <v>14100</v>
      </c>
      <c r="BQ63" s="185">
        <f t="shared" si="15"/>
        <v>868.5</v>
      </c>
      <c r="BR63" s="185">
        <f t="shared" si="11"/>
        <v>8.3833333333333346</v>
      </c>
    </row>
    <row r="64" spans="1:70" ht="15" customHeight="1" x14ac:dyDescent="0.35">
      <c r="A64" s="85">
        <f t="shared" si="8"/>
        <v>45805</v>
      </c>
      <c r="B64" s="80">
        <f>YEAR(RD[[#This Row],[Date]])+IF(MONTH(RD[[#This Row],[Date]])&gt;=4,1,0)</f>
        <v>2026</v>
      </c>
      <c r="C64" s="80">
        <f>YEAR(RD[[#This Row],[Month Year]])</f>
        <v>2025</v>
      </c>
      <c r="D64" s="99" t="s">
        <v>4</v>
      </c>
      <c r="E64" s="99" t="s">
        <v>4</v>
      </c>
      <c r="F64" s="80" t="str">
        <f t="shared" si="10"/>
        <v>May-25</v>
      </c>
      <c r="G64" s="79">
        <f>DAY(EOMONTH(RD[[#This Row],[Month Year]],0))</f>
        <v>31</v>
      </c>
      <c r="H64" s="100">
        <v>24.303100000000001</v>
      </c>
      <c r="I64" s="315">
        <v>0.25694444444444442</v>
      </c>
      <c r="J64" s="315">
        <v>0.75138888888888888</v>
      </c>
      <c r="K64" s="79">
        <v>3656</v>
      </c>
      <c r="L64" s="79">
        <v>4151</v>
      </c>
      <c r="M64" s="79">
        <v>2066</v>
      </c>
      <c r="N64" s="179">
        <v>3942</v>
      </c>
      <c r="O64" s="179">
        <v>4204</v>
      </c>
      <c r="P64" s="179">
        <v>3429</v>
      </c>
      <c r="Q64" s="179">
        <v>0</v>
      </c>
      <c r="R64" s="179">
        <v>3107</v>
      </c>
      <c r="S64" s="179">
        <v>3610</v>
      </c>
      <c r="T64" s="179">
        <v>3210</v>
      </c>
      <c r="U64" s="79">
        <v>4399</v>
      </c>
      <c r="V64" s="79">
        <v>4427</v>
      </c>
      <c r="W64" s="79">
        <v>4542</v>
      </c>
      <c r="X64" s="79">
        <v>4555</v>
      </c>
      <c r="Y64" s="79">
        <v>4543</v>
      </c>
      <c r="Z64" s="79">
        <v>4413</v>
      </c>
      <c r="AA64" s="79">
        <v>4506</v>
      </c>
      <c r="AB64" s="79">
        <v>4410</v>
      </c>
      <c r="AC64" s="79">
        <v>5326</v>
      </c>
      <c r="AD64" s="79">
        <v>5644</v>
      </c>
      <c r="AE64" s="79"/>
      <c r="AF64" s="79"/>
      <c r="AG64" s="79"/>
      <c r="AH64" s="79"/>
      <c r="AI64" s="79"/>
      <c r="AJ64" s="79"/>
      <c r="AK64" s="79"/>
      <c r="AL64" s="79"/>
      <c r="AM64" s="80">
        <v>149984.61249999999</v>
      </c>
      <c r="AN64" s="80">
        <v>616.36760000000004</v>
      </c>
      <c r="AO64" s="80"/>
      <c r="AP64" s="80">
        <v>4.351</v>
      </c>
      <c r="AQ64" s="82">
        <v>4.2949999999999999</v>
      </c>
      <c r="AR64" s="82">
        <f>IF(RD[[#This Row],[POA(kWh/m2)_O2R6]]="",RD[[#This Row],[POA(kWh/m2)_PSEGPL]],(RD[[#This Row],[POA(kWh/m2)_PSEGPL]]*('Basic Data'!$V$2/'Basic Data'!$V$4))+(RD[[#This Row],[POA(kWh/m2)_O2R6]]*('Basic Data'!$V$3/'Basic Data'!$V$4)))</f>
        <v>4.3215308072487639</v>
      </c>
      <c r="AS64" s="82">
        <f>SUM(RD[[#This Row],[G1 Inv1]:[G5 Inv10]])</f>
        <v>31375</v>
      </c>
      <c r="AT64" s="82">
        <f>SUM(RD[[#This Row],[IS1_Inv1_M1]:[IS1_Inv2_M4]])</f>
        <v>35795</v>
      </c>
      <c r="AU64" s="82">
        <f>SUM(RD[[#This Row],[IS2_Inv1]:[IS2_Inv2]])</f>
        <v>10970</v>
      </c>
      <c r="AV64" s="80"/>
      <c r="AW64" s="83"/>
      <c r="AX64" s="80"/>
      <c r="AY64" s="80"/>
      <c r="AZ64" s="80"/>
      <c r="BA64" s="83">
        <f>IFERROR(SUM(RD[[#This Row],[PSEGPL]:[O2R10]]),"")</f>
        <v>78140</v>
      </c>
      <c r="BB64" s="80">
        <v>1470</v>
      </c>
      <c r="BC64" s="83">
        <v>230364</v>
      </c>
      <c r="BD64" s="83">
        <v>1277</v>
      </c>
      <c r="BE64" s="83">
        <v>208023</v>
      </c>
      <c r="BF64" s="83">
        <v>1825</v>
      </c>
      <c r="BG64" s="83">
        <v>237713</v>
      </c>
      <c r="BH64" s="83">
        <v>2824</v>
      </c>
      <c r="BI64" s="83">
        <v>226819</v>
      </c>
      <c r="BJ64" s="101">
        <f>IF((RD[[#This Row],[33 kV F5 Export Reading_Gss End]]-AM63)*1000&lt;0,0,(RD[[#This Row],[33 kV F5 Export Reading_Gss End]]-AM63)*1000)</f>
        <v>78273.300000000745</v>
      </c>
      <c r="BK64" s="83">
        <f>IF((RD[[#This Row],[33 kV F5 Import Reading_GSS End2]]-AN63)*1000&lt;0,0,(RD[[#This Row],[33 kV F5 Import Reading_GSS End2]]-AN63)*1000)</f>
        <v>1092.6000000000613</v>
      </c>
      <c r="BL64" s="84">
        <f>RD[[#This Row],[Export  (kWh)]]-RD[[#This Row],[Import (kWh)]]</f>
        <v>77180.700000000681</v>
      </c>
      <c r="BM64" s="84">
        <f>RD[[#This Row],[Inverters Generation ( kWh)]]-RD[[#This Row],[Export  (kWh)]]</f>
        <v>-133.30000000074506</v>
      </c>
      <c r="BN64">
        <f t="shared" si="12"/>
        <v>31170</v>
      </c>
      <c r="BO64">
        <f t="shared" si="13"/>
        <v>315</v>
      </c>
      <c r="BP64" s="185">
        <f t="shared" si="14"/>
        <v>47580</v>
      </c>
      <c r="BQ64" s="185">
        <f t="shared" si="15"/>
        <v>748.8</v>
      </c>
      <c r="BR64" s="185">
        <f t="shared" si="11"/>
        <v>11.866666666666667</v>
      </c>
    </row>
    <row r="65" spans="1:70" ht="15" customHeight="1" x14ac:dyDescent="0.35">
      <c r="A65" s="85">
        <f t="shared" si="8"/>
        <v>45806</v>
      </c>
      <c r="B65" s="80">
        <f>YEAR(RD[[#This Row],[Date]])+IF(MONTH(RD[[#This Row],[Date]])&gt;=4,1,0)</f>
        <v>2026</v>
      </c>
      <c r="C65" s="80">
        <f>YEAR(RD[[#This Row],[Month Year]])</f>
        <v>2025</v>
      </c>
      <c r="D65" s="99" t="s">
        <v>4</v>
      </c>
      <c r="E65" s="99" t="s">
        <v>4</v>
      </c>
      <c r="F65" s="80" t="str">
        <f t="shared" si="10"/>
        <v>May-25</v>
      </c>
      <c r="G65" s="79">
        <f>DAY(EOMONTH(RD[[#This Row],[Month Year]],0))</f>
        <v>31</v>
      </c>
      <c r="H65" s="100">
        <v>24.303100000000001</v>
      </c>
      <c r="I65" s="315">
        <v>0.25694444444444442</v>
      </c>
      <c r="J65" s="315">
        <v>0.75138888888888888</v>
      </c>
      <c r="K65" s="79">
        <v>4670</v>
      </c>
      <c r="L65" s="79">
        <v>5270</v>
      </c>
      <c r="M65" s="79">
        <v>4203</v>
      </c>
      <c r="N65" s="179">
        <v>3194</v>
      </c>
      <c r="O65" s="179">
        <v>5304</v>
      </c>
      <c r="P65" s="179">
        <v>4318</v>
      </c>
      <c r="Q65" s="179">
        <v>0</v>
      </c>
      <c r="R65" s="179">
        <v>3918</v>
      </c>
      <c r="S65" s="179">
        <v>4561</v>
      </c>
      <c r="T65" s="179">
        <v>4064</v>
      </c>
      <c r="U65" s="79">
        <v>5619</v>
      </c>
      <c r="V65" s="79">
        <v>5655</v>
      </c>
      <c r="W65" s="79">
        <v>5796</v>
      </c>
      <c r="X65" s="79">
        <v>5810</v>
      </c>
      <c r="Y65" s="79">
        <v>5793</v>
      </c>
      <c r="Z65" s="79">
        <v>5647</v>
      </c>
      <c r="AA65" s="79">
        <v>5761</v>
      </c>
      <c r="AB65" s="79">
        <v>5651</v>
      </c>
      <c r="AC65" s="79">
        <v>6633</v>
      </c>
      <c r="AD65" s="79">
        <v>7036</v>
      </c>
      <c r="AE65" s="79"/>
      <c r="AF65" s="79"/>
      <c r="AG65" s="79"/>
      <c r="AH65" s="79"/>
      <c r="AI65" s="79"/>
      <c r="AJ65" s="79"/>
      <c r="AK65" s="79"/>
      <c r="AL65" s="79"/>
      <c r="AM65" s="80">
        <v>150083.06229999999</v>
      </c>
      <c r="AN65" s="80">
        <v>617.07230000000004</v>
      </c>
      <c r="AO65" s="80"/>
      <c r="AP65" s="80">
        <v>5.351</v>
      </c>
      <c r="AQ65" s="82">
        <v>5.2480000000000002</v>
      </c>
      <c r="AR65" s="82">
        <f>IF(RD[[#This Row],[POA(kWh/m2)_O2R6]]="",RD[[#This Row],[POA(kWh/m2)_PSEGPL]],(RD[[#This Row],[POA(kWh/m2)_PSEGPL]]*('Basic Data'!$V$2/'Basic Data'!$V$4))+(RD[[#This Row],[POA(kWh/m2)_O2R6]]*('Basic Data'!$V$3/'Basic Data'!$V$4)))</f>
        <v>5.2967977347611201</v>
      </c>
      <c r="AS65" s="82">
        <f>SUM(RD[[#This Row],[G1 Inv1]:[G5 Inv10]])</f>
        <v>39502</v>
      </c>
      <c r="AT65" s="82">
        <f>SUM(RD[[#This Row],[IS1_Inv1_M1]:[IS1_Inv2_M4]])</f>
        <v>45732</v>
      </c>
      <c r="AU65" s="82">
        <f>SUM(RD[[#This Row],[IS2_Inv1]:[IS2_Inv2]])</f>
        <v>13669</v>
      </c>
      <c r="AV65" s="80"/>
      <c r="AW65" s="83"/>
      <c r="AX65" s="80"/>
      <c r="AY65" s="80"/>
      <c r="AZ65" s="80"/>
      <c r="BA65" s="83">
        <f>IFERROR(SUM(RD[[#This Row],[PSEGPL]:[O2R10]]),"")</f>
        <v>98903</v>
      </c>
      <c r="BB65" s="80">
        <v>1473</v>
      </c>
      <c r="BC65" s="83">
        <v>230811</v>
      </c>
      <c r="BD65" s="83">
        <v>1279</v>
      </c>
      <c r="BE65" s="83">
        <v>208298</v>
      </c>
      <c r="BF65" s="83">
        <v>1829</v>
      </c>
      <c r="BG65" s="83">
        <v>238226</v>
      </c>
      <c r="BH65" s="83">
        <v>2833</v>
      </c>
      <c r="BI65" s="83">
        <v>227180</v>
      </c>
      <c r="BJ65" s="101">
        <f>IF((RD[[#This Row],[33 kV F5 Export Reading_Gss End]]-AM64)*1000&lt;0,0,(RD[[#This Row],[33 kV F5 Export Reading_Gss End]]-AM64)*1000)</f>
        <v>98449.800000002142</v>
      </c>
      <c r="BK65" s="83">
        <f>IF((RD[[#This Row],[33 kV F5 Import Reading_GSS End2]]-AN64)*1000&lt;0,0,(RD[[#This Row],[33 kV F5 Import Reading_GSS End2]]-AN64)*1000)</f>
        <v>704.70000000000255</v>
      </c>
      <c r="BL65" s="84">
        <f>RD[[#This Row],[Export  (kWh)]]-RD[[#This Row],[Import (kWh)]]</f>
        <v>97745.100000002145</v>
      </c>
      <c r="BM65" s="84">
        <f>RD[[#This Row],[Inverters Generation ( kWh)]]-RD[[#This Row],[Export  (kWh)]]</f>
        <v>453.19999999785796</v>
      </c>
      <c r="BN65">
        <f t="shared" si="12"/>
        <v>39195</v>
      </c>
      <c r="BO65">
        <f t="shared" si="13"/>
        <v>270</v>
      </c>
      <c r="BP65" s="185">
        <f t="shared" si="14"/>
        <v>57000</v>
      </c>
      <c r="BQ65" s="185">
        <f t="shared" si="15"/>
        <v>748.8</v>
      </c>
      <c r="BR65" s="185">
        <f t="shared" si="11"/>
        <v>11.866666666666667</v>
      </c>
    </row>
    <row r="66" spans="1:70" ht="15" customHeight="1" x14ac:dyDescent="0.35">
      <c r="A66" s="85">
        <f t="shared" si="8"/>
        <v>45807</v>
      </c>
      <c r="B66" s="80">
        <f>YEAR(RD[[#This Row],[Date]])+IF(MONTH(RD[[#This Row],[Date]])&gt;=4,1,0)</f>
        <v>2026</v>
      </c>
      <c r="C66" s="80">
        <f>YEAR(RD[[#This Row],[Month Year]])</f>
        <v>2025</v>
      </c>
      <c r="D66" s="99" t="s">
        <v>4</v>
      </c>
      <c r="E66" s="99" t="s">
        <v>4</v>
      </c>
      <c r="F66" s="80" t="str">
        <f t="shared" si="10"/>
        <v>May-25</v>
      </c>
      <c r="G66" s="79">
        <f>DAY(EOMONTH(RD[[#This Row],[Month Year]],0))</f>
        <v>31</v>
      </c>
      <c r="H66" s="100">
        <v>24.303100000000001</v>
      </c>
      <c r="I66" s="315">
        <v>0.2590277777777778</v>
      </c>
      <c r="J66" s="315">
        <v>0.77847222222222223</v>
      </c>
      <c r="K66" s="79">
        <v>4287</v>
      </c>
      <c r="L66" s="79">
        <v>4864</v>
      </c>
      <c r="M66" s="79">
        <v>3908</v>
      </c>
      <c r="N66" s="179">
        <v>4392</v>
      </c>
      <c r="O66" s="179">
        <v>4993</v>
      </c>
      <c r="P66" s="179">
        <v>4173</v>
      </c>
      <c r="Q66" s="179">
        <v>0</v>
      </c>
      <c r="R66" s="179">
        <v>3716</v>
      </c>
      <c r="S66" s="179">
        <v>4163</v>
      </c>
      <c r="T66" s="179">
        <v>3895</v>
      </c>
      <c r="U66" s="79">
        <v>5210</v>
      </c>
      <c r="V66" s="79">
        <v>5233</v>
      </c>
      <c r="W66" s="79">
        <v>5376</v>
      </c>
      <c r="X66" s="79">
        <v>5373</v>
      </c>
      <c r="Y66" s="79">
        <v>5380</v>
      </c>
      <c r="Z66" s="79">
        <v>5246</v>
      </c>
      <c r="AA66" s="79">
        <v>5358</v>
      </c>
      <c r="AB66" s="79">
        <v>5258</v>
      </c>
      <c r="AC66" s="79">
        <v>6340</v>
      </c>
      <c r="AD66" s="79">
        <v>6789</v>
      </c>
      <c r="AE66" s="79"/>
      <c r="AF66" s="79"/>
      <c r="AG66" s="79"/>
      <c r="AH66" s="79"/>
      <c r="AI66" s="79"/>
      <c r="AJ66" s="79"/>
      <c r="AK66" s="79"/>
      <c r="AL66" s="79"/>
      <c r="AM66" s="80">
        <v>150176.81090000001</v>
      </c>
      <c r="AN66" s="80">
        <v>618.05460000000005</v>
      </c>
      <c r="AO66" s="80"/>
      <c r="AP66" s="80">
        <v>4.968</v>
      </c>
      <c r="AQ66" s="82">
        <v>4.907</v>
      </c>
      <c r="AR66" s="82">
        <f>IF(RD[[#This Row],[POA(kWh/m2)_O2R6]]="",RD[[#This Row],[POA(kWh/m2)_PSEGPL]],(RD[[#This Row],[POA(kWh/m2)_PSEGPL]]*('Basic Data'!$V$2/'Basic Data'!$V$4))+(RD[[#This Row],[POA(kWh/m2)_O2R6]]*('Basic Data'!$V$3/'Basic Data'!$V$4)))</f>
        <v>4.9358996293245472</v>
      </c>
      <c r="AS66" s="82">
        <f>SUM(RD[[#This Row],[G1 Inv1]:[G5 Inv10]])</f>
        <v>38391</v>
      </c>
      <c r="AT66" s="82">
        <f>SUM(RD[[#This Row],[IS1_Inv1_M1]:[IS1_Inv2_M4]])</f>
        <v>42434</v>
      </c>
      <c r="AU66" s="82">
        <f>SUM(RD[[#This Row],[IS2_Inv1]:[IS2_Inv2]])</f>
        <v>13129</v>
      </c>
      <c r="AV66" s="80"/>
      <c r="AW66" s="83"/>
      <c r="AX66" s="80"/>
      <c r="AY66" s="80"/>
      <c r="AZ66" s="80"/>
      <c r="BA66" s="83">
        <f>IFERROR(SUM(RD[[#This Row],[PSEGPL]:[O2R10]]),"")</f>
        <v>93954</v>
      </c>
      <c r="BB66" s="80">
        <v>1475</v>
      </c>
      <c r="BC66" s="83">
        <v>231253</v>
      </c>
      <c r="BD66" s="83">
        <v>1281</v>
      </c>
      <c r="BE66" s="83">
        <v>208557</v>
      </c>
      <c r="BF66" s="83">
        <v>1833</v>
      </c>
      <c r="BG66" s="83">
        <v>238704</v>
      </c>
      <c r="BH66" s="83">
        <v>2842</v>
      </c>
      <c r="BI66" s="83">
        <v>227722</v>
      </c>
      <c r="BJ66" s="101">
        <f>IF((RD[[#This Row],[33 kV F5 Export Reading_Gss End]]-AM65)*1000&lt;0,0,(RD[[#This Row],[33 kV F5 Export Reading_Gss End]]-AM65)*1000)</f>
        <v>93748.600000020815</v>
      </c>
      <c r="BK66" s="83">
        <f>IF((RD[[#This Row],[33 kV F5 Import Reading_GSS End2]]-AN65)*1000&lt;0,0,(RD[[#This Row],[33 kV F5 Import Reading_GSS End2]]-AN65)*1000)</f>
        <v>982.30000000000928</v>
      </c>
      <c r="BL66" s="84">
        <f>RD[[#This Row],[Export  (kWh)]]-RD[[#This Row],[Import (kWh)]]</f>
        <v>92766.300000020812</v>
      </c>
      <c r="BM66" s="84">
        <f>RD[[#This Row],[Inverters Generation ( kWh)]]-RD[[#This Row],[Export  (kWh)]]</f>
        <v>205.39999997918494</v>
      </c>
      <c r="BN66">
        <f t="shared" si="12"/>
        <v>38175</v>
      </c>
      <c r="BO66">
        <f t="shared" si="13"/>
        <v>210</v>
      </c>
      <c r="BP66" s="185">
        <f t="shared" si="14"/>
        <v>59280</v>
      </c>
      <c r="BQ66" s="185">
        <f t="shared" si="15"/>
        <v>748.8</v>
      </c>
      <c r="BR66" s="185">
        <f t="shared" si="11"/>
        <v>12.466666666666665</v>
      </c>
    </row>
    <row r="67" spans="1:70" ht="15" customHeight="1" x14ac:dyDescent="0.35">
      <c r="A67" s="85">
        <f t="shared" si="8"/>
        <v>45808</v>
      </c>
      <c r="B67" s="80">
        <f>YEAR(RD[[#This Row],[Date]])+IF(MONTH(RD[[#This Row],[Date]])&gt;=4,1,0)</f>
        <v>2026</v>
      </c>
      <c r="C67" s="80">
        <f>YEAR(RD[[#This Row],[Month Year]])</f>
        <v>2025</v>
      </c>
      <c r="D67" s="99" t="s">
        <v>4</v>
      </c>
      <c r="E67" s="99" t="s">
        <v>4</v>
      </c>
      <c r="F67" s="80" t="str">
        <f t="shared" si="10"/>
        <v>May-25</v>
      </c>
      <c r="G67" s="79">
        <f>DAY(EOMONTH(RD[[#This Row],[Month Year]],0))</f>
        <v>31</v>
      </c>
      <c r="H67" s="100">
        <v>24.303100000000001</v>
      </c>
      <c r="I67" s="315">
        <v>0.25624999999999998</v>
      </c>
      <c r="J67" s="315">
        <v>0.77638888888888891</v>
      </c>
      <c r="K67" s="79">
        <v>5374</v>
      </c>
      <c r="L67" s="79">
        <v>6070</v>
      </c>
      <c r="M67" s="79">
        <v>4833</v>
      </c>
      <c r="N67" s="179">
        <v>3534</v>
      </c>
      <c r="O67" s="179">
        <v>6138</v>
      </c>
      <c r="P67" s="179">
        <v>5093</v>
      </c>
      <c r="Q67" s="179">
        <v>0</v>
      </c>
      <c r="R67" s="179">
        <v>4979</v>
      </c>
      <c r="S67" s="179">
        <v>5145</v>
      </c>
      <c r="T67" s="179">
        <v>5262</v>
      </c>
      <c r="U67" s="79">
        <v>6586</v>
      </c>
      <c r="V67" s="79">
        <v>6595</v>
      </c>
      <c r="W67" s="79">
        <v>6743</v>
      </c>
      <c r="X67" s="79">
        <v>6754</v>
      </c>
      <c r="Y67" s="79">
        <v>6741</v>
      </c>
      <c r="Z67" s="79">
        <v>6585</v>
      </c>
      <c r="AA67" s="79">
        <v>6746</v>
      </c>
      <c r="AB67" s="79">
        <v>6625</v>
      </c>
      <c r="AC67" s="79">
        <v>7751</v>
      </c>
      <c r="AD67" s="79">
        <v>8078</v>
      </c>
      <c r="AE67" s="79"/>
      <c r="AF67" s="79"/>
      <c r="AG67" s="79"/>
      <c r="AH67" s="79"/>
      <c r="AI67" s="79"/>
      <c r="AJ67" s="79"/>
      <c r="AK67" s="79"/>
      <c r="AL67" s="79"/>
      <c r="AM67" s="80">
        <v>150291.64120000001</v>
      </c>
      <c r="AN67" s="80">
        <v>618.82119999999998</v>
      </c>
      <c r="AO67" s="80"/>
      <c r="AP67" s="80">
        <v>6.4290000000000003</v>
      </c>
      <c r="AQ67" s="82">
        <v>6.165</v>
      </c>
      <c r="AR67" s="82">
        <f>IF(RD[[#This Row],[POA(kWh/m2)_O2R6]]="",RD[[#This Row],[POA(kWh/m2)_PSEGPL]],(RD[[#This Row],[POA(kWh/m2)_PSEGPL]]*('Basic Data'!$V$2/'Basic Data'!$V$4))+(RD[[#This Row],[POA(kWh/m2)_O2R6]]*('Basic Data'!$V$3/'Basic Data'!$V$4)))</f>
        <v>6.2900738056013186</v>
      </c>
      <c r="AS67" s="82">
        <f>SUM(RD[[#This Row],[G1 Inv1]:[G5 Inv10]])</f>
        <v>46428</v>
      </c>
      <c r="AT67" s="82">
        <f>SUM(RD[[#This Row],[IS1_Inv1_M1]:[IS1_Inv2_M4]])</f>
        <v>53375</v>
      </c>
      <c r="AU67" s="82">
        <f>SUM(RD[[#This Row],[IS2_Inv1]:[IS2_Inv2]])</f>
        <v>15829</v>
      </c>
      <c r="AV67" s="80"/>
      <c r="AW67" s="83"/>
      <c r="AX67" s="80"/>
      <c r="AY67" s="80"/>
      <c r="AZ67" s="80"/>
      <c r="BA67" s="83">
        <f>IFERROR(SUM(RD[[#This Row],[PSEGPL]:[O2R10]]),"")</f>
        <v>115632</v>
      </c>
      <c r="BB67" s="80">
        <v>1478</v>
      </c>
      <c r="BC67" s="83">
        <v>231768</v>
      </c>
      <c r="BD67" s="83">
        <v>1283</v>
      </c>
      <c r="BE67" s="83">
        <v>208895</v>
      </c>
      <c r="BF67" s="83">
        <v>1837</v>
      </c>
      <c r="BG67" s="83">
        <v>239301</v>
      </c>
      <c r="BH67" s="83">
        <v>2851</v>
      </c>
      <c r="BI67" s="83">
        <v>228253</v>
      </c>
      <c r="BJ67" s="101">
        <f>IF((RD[[#This Row],[33 kV F5 Export Reading_Gss End]]-AM66)*1000&lt;0,0,(RD[[#This Row],[33 kV F5 Export Reading_Gss End]]-AM66)*1000)</f>
        <v>114830.30000000144</v>
      </c>
      <c r="BK67" s="83">
        <f>IF((RD[[#This Row],[33 kV F5 Import Reading_GSS End2]]-AN66)*1000&lt;0,0,(RD[[#This Row],[33 kV F5 Import Reading_GSS End2]]-AN66)*1000)</f>
        <v>766.59999999992579</v>
      </c>
      <c r="BL67" s="84">
        <f>RD[[#This Row],[Export  (kWh)]]-RD[[#This Row],[Import (kWh)]]</f>
        <v>114063.70000000153</v>
      </c>
      <c r="BM67" s="84">
        <f>RD[[#This Row],[Inverters Generation ( kWh)]]-RD[[#This Row],[Export  (kWh)]]</f>
        <v>801.69999999855645</v>
      </c>
      <c r="BN67">
        <f t="shared" si="12"/>
        <v>46110</v>
      </c>
      <c r="BO67">
        <f t="shared" si="13"/>
        <v>270</v>
      </c>
      <c r="BP67" s="185">
        <f t="shared" si="14"/>
        <v>69660</v>
      </c>
      <c r="BQ67" s="185">
        <f t="shared" si="15"/>
        <v>748.8</v>
      </c>
      <c r="BR67" s="185">
        <f t="shared" si="11"/>
        <v>12.483333333333334</v>
      </c>
    </row>
    <row r="68" spans="1:70" ht="15" customHeight="1" x14ac:dyDescent="0.35">
      <c r="A68" s="85">
        <f t="shared" si="8"/>
        <v>45809</v>
      </c>
      <c r="B68" s="80">
        <f>YEAR(RD[[#This Row],[Date]])+IF(MONTH(RD[[#This Row],[Date]])&gt;=4,1,0)</f>
        <v>2026</v>
      </c>
      <c r="C68" s="80">
        <f>YEAR(RD[[#This Row],[Month Year]])</f>
        <v>2025</v>
      </c>
      <c r="D68" s="99" t="s">
        <v>4</v>
      </c>
      <c r="E68" s="99" t="s">
        <v>4</v>
      </c>
      <c r="F68" s="80" t="str">
        <f t="shared" si="10"/>
        <v>Jun-25</v>
      </c>
      <c r="G68" s="79">
        <f>DAY(EOMONTH(RD[[#This Row],[Month Year]],0))</f>
        <v>30</v>
      </c>
      <c r="H68" s="100">
        <v>24.303100000000001</v>
      </c>
      <c r="I68" s="315">
        <v>0.25555555555555554</v>
      </c>
      <c r="J68" s="315">
        <v>0.77638888888888891</v>
      </c>
      <c r="K68" s="79">
        <v>5135</v>
      </c>
      <c r="L68" s="79">
        <v>5828</v>
      </c>
      <c r="M68" s="79">
        <v>4656</v>
      </c>
      <c r="N68" s="179">
        <v>5744</v>
      </c>
      <c r="O68" s="179">
        <v>5981</v>
      </c>
      <c r="P68" s="179">
        <v>4979</v>
      </c>
      <c r="Q68" s="179">
        <v>0</v>
      </c>
      <c r="R68" s="179">
        <v>4927</v>
      </c>
      <c r="S68" s="179">
        <v>5095</v>
      </c>
      <c r="T68" s="179">
        <v>5305</v>
      </c>
      <c r="U68" s="79">
        <v>6007</v>
      </c>
      <c r="V68" s="79">
        <v>6087</v>
      </c>
      <c r="W68" s="79">
        <v>6262</v>
      </c>
      <c r="X68" s="79">
        <v>6277</v>
      </c>
      <c r="Y68" s="79">
        <v>6245</v>
      </c>
      <c r="Z68" s="79">
        <v>6080</v>
      </c>
      <c r="AA68" s="79">
        <v>6194</v>
      </c>
      <c r="AB68" s="79">
        <v>6028</v>
      </c>
      <c r="AC68" s="79">
        <v>7381</v>
      </c>
      <c r="AD68" s="79">
        <v>7791</v>
      </c>
      <c r="AE68" s="79"/>
      <c r="AF68" s="79"/>
      <c r="AG68" s="79"/>
      <c r="AH68" s="79"/>
      <c r="AI68" s="79"/>
      <c r="AJ68" s="79"/>
      <c r="AK68" s="79"/>
      <c r="AL68" s="79"/>
      <c r="AM68" s="80">
        <v>150403.0373</v>
      </c>
      <c r="AN68" s="80">
        <v>619.65160000000003</v>
      </c>
      <c r="AO68" s="80"/>
      <c r="AP68" s="80">
        <v>5.8150000000000004</v>
      </c>
      <c r="AQ68" s="82">
        <v>5.766</v>
      </c>
      <c r="AR68" s="82">
        <f>IF(RD[[#This Row],[POA(kWh/m2)_O2R6]]="",RD[[#This Row],[POA(kWh/m2)_PSEGPL]],(RD[[#This Row],[POA(kWh/m2)_PSEGPL]]*('Basic Data'!$V$2/'Basic Data'!$V$4))+(RD[[#This Row],[POA(kWh/m2)_O2R6]]*('Basic Data'!$V$3/'Basic Data'!$V$4)))</f>
        <v>5.7892144563426688</v>
      </c>
      <c r="AS68" s="82">
        <f>SUM(RD[[#This Row],[G1 Inv1]:[G5 Inv10]])</f>
        <v>47650</v>
      </c>
      <c r="AT68" s="82">
        <f>SUM(RD[[#This Row],[IS1_Inv1_M1]:[IS1_Inv2_M4]])</f>
        <v>49180</v>
      </c>
      <c r="AU68" s="82">
        <f>SUM(RD[[#This Row],[IS2_Inv1]:[IS2_Inv2]])</f>
        <v>15172</v>
      </c>
      <c r="AV68" s="80"/>
      <c r="AW68" s="83"/>
      <c r="AX68" s="80"/>
      <c r="AY68" s="80"/>
      <c r="AZ68" s="80"/>
      <c r="BA68" s="83">
        <f>IFERROR(SUM(RD[[#This Row],[PSEGPL]:[O2R10]]),"")</f>
        <v>112002</v>
      </c>
      <c r="BB68" s="80">
        <v>1480</v>
      </c>
      <c r="BC68" s="83">
        <v>232304</v>
      </c>
      <c r="BD68" s="83">
        <v>1285</v>
      </c>
      <c r="BE68" s="83">
        <v>209232</v>
      </c>
      <c r="BF68" s="83">
        <v>1841</v>
      </c>
      <c r="BG68" s="83">
        <v>239852</v>
      </c>
      <c r="BH68" s="83">
        <v>2860</v>
      </c>
      <c r="BI68" s="83">
        <v>228763</v>
      </c>
      <c r="BJ68" s="101">
        <f>IF((RD[[#This Row],[33 kV F5 Export Reading_Gss End]]-AM67)*1000&lt;0,0,(RD[[#This Row],[33 kV F5 Export Reading_Gss End]]-AM67)*1000)</f>
        <v>111396.09999998356</v>
      </c>
      <c r="BK68" s="83">
        <f>IF((RD[[#This Row],[33 kV F5 Import Reading_GSS End2]]-AN67)*1000&lt;0,0,(RD[[#This Row],[33 kV F5 Import Reading_GSS End2]]-AN67)*1000)</f>
        <v>830.40000000005421</v>
      </c>
      <c r="BL68" s="84">
        <f>RD[[#This Row],[Export  (kWh)]]-RD[[#This Row],[Import (kWh)]]</f>
        <v>110565.69999998351</v>
      </c>
      <c r="BM68" s="84">
        <f>RD[[#This Row],[Inverters Generation ( kWh)]]-RD[[#This Row],[Export  (kWh)]]</f>
        <v>605.90000001643784</v>
      </c>
      <c r="BN68">
        <f t="shared" si="12"/>
        <v>47325</v>
      </c>
      <c r="BO68">
        <f t="shared" si="13"/>
        <v>210</v>
      </c>
      <c r="BP68" s="185">
        <f t="shared" si="14"/>
        <v>64890</v>
      </c>
      <c r="BQ68" s="185">
        <f t="shared" si="15"/>
        <v>748.8</v>
      </c>
      <c r="BR68" s="185">
        <f t="shared" si="11"/>
        <v>12.5</v>
      </c>
    </row>
    <row r="69" spans="1:70" ht="15" customHeight="1" x14ac:dyDescent="0.35">
      <c r="A69" s="85">
        <f t="shared" si="8"/>
        <v>45810</v>
      </c>
      <c r="B69" s="80">
        <f>YEAR(RD[[#This Row],[Date]])+IF(MONTH(RD[[#This Row],[Date]])&gt;=4,1,0)</f>
        <v>2026</v>
      </c>
      <c r="C69" s="80">
        <f>YEAR(RD[[#This Row],[Month Year]])</f>
        <v>2025</v>
      </c>
      <c r="D69" s="99" t="s">
        <v>4</v>
      </c>
      <c r="E69" s="99" t="s">
        <v>4</v>
      </c>
      <c r="F69" s="80" t="str">
        <f t="shared" si="10"/>
        <v>Jun-25</v>
      </c>
      <c r="G69" s="79">
        <f>DAY(EOMONTH(RD[[#This Row],[Month Year]],0))</f>
        <v>30</v>
      </c>
      <c r="H69" s="100">
        <v>24.303100000000001</v>
      </c>
      <c r="I69" s="315">
        <v>0.25416666666666665</v>
      </c>
      <c r="J69" s="315">
        <v>0.78194444444444444</v>
      </c>
      <c r="K69" s="79">
        <v>5023</v>
      </c>
      <c r="L69" s="79">
        <v>5592</v>
      </c>
      <c r="M69" s="79">
        <v>4629</v>
      </c>
      <c r="N69" s="179">
        <v>5689</v>
      </c>
      <c r="O69" s="179">
        <v>5945</v>
      </c>
      <c r="P69" s="179">
        <v>4836</v>
      </c>
      <c r="Q69" s="179">
        <v>0</v>
      </c>
      <c r="R69" s="179">
        <v>4814</v>
      </c>
      <c r="S69" s="179">
        <v>5330</v>
      </c>
      <c r="T69" s="179">
        <v>5134</v>
      </c>
      <c r="U69" s="79">
        <v>6180</v>
      </c>
      <c r="V69" s="79">
        <v>6181</v>
      </c>
      <c r="W69" s="79">
        <v>6307</v>
      </c>
      <c r="X69" s="79">
        <v>6283</v>
      </c>
      <c r="Y69" s="79">
        <v>6312</v>
      </c>
      <c r="Z69" s="79">
        <v>6184</v>
      </c>
      <c r="AA69" s="79">
        <v>6343</v>
      </c>
      <c r="AB69" s="79">
        <v>6230</v>
      </c>
      <c r="AC69" s="79">
        <v>7205</v>
      </c>
      <c r="AD69" s="79">
        <v>7648</v>
      </c>
      <c r="AE69" s="79"/>
      <c r="AF69" s="79"/>
      <c r="AG69" s="79"/>
      <c r="AH69" s="79"/>
      <c r="AI69" s="79"/>
      <c r="AJ69" s="79"/>
      <c r="AK69" s="79"/>
      <c r="AL69" s="79"/>
      <c r="AM69" s="80">
        <v>150514.1845</v>
      </c>
      <c r="AN69" s="80">
        <v>620.57330000000002</v>
      </c>
      <c r="AO69" s="80"/>
      <c r="AP69" s="80">
        <v>6.0410000000000004</v>
      </c>
      <c r="AQ69" s="82">
        <v>5.7409999999999997</v>
      </c>
      <c r="AR69" s="82">
        <f>IF(RD[[#This Row],[POA(kWh/m2)_O2R6]]="",RD[[#This Row],[POA(kWh/m2)_PSEGPL]],(RD[[#This Row],[POA(kWh/m2)_PSEGPL]]*('Basic Data'!$V$2/'Basic Data'!$V$4))+(RD[[#This Row],[POA(kWh/m2)_O2R6]]*('Basic Data'!$V$3/'Basic Data'!$V$4)))</f>
        <v>5.8831293245469514</v>
      </c>
      <c r="AS69" s="82">
        <f>SUM(RD[[#This Row],[G1 Inv1]:[G5 Inv10]])</f>
        <v>46992</v>
      </c>
      <c r="AT69" s="82">
        <f>SUM(RD[[#This Row],[IS1_Inv1_M1]:[IS1_Inv2_M4]])</f>
        <v>50020</v>
      </c>
      <c r="AU69" s="82">
        <f>SUM(RD[[#This Row],[IS2_Inv1]:[IS2_Inv2]])</f>
        <v>14853</v>
      </c>
      <c r="AV69" s="80"/>
      <c r="AW69" s="83"/>
      <c r="AX69" s="80"/>
      <c r="AY69" s="80"/>
      <c r="AZ69" s="80"/>
      <c r="BA69" s="83">
        <f>IFERROR(SUM(RD[[#This Row],[PSEGPL]:[O2R10]]),"")</f>
        <v>111865</v>
      </c>
      <c r="BB69" s="80">
        <v>1482</v>
      </c>
      <c r="BC69" s="83">
        <v>232830</v>
      </c>
      <c r="BD69" s="83">
        <v>1287</v>
      </c>
      <c r="BE69" s="83">
        <v>209568</v>
      </c>
      <c r="BF69" s="83">
        <v>1845</v>
      </c>
      <c r="BG69" s="83">
        <v>240411</v>
      </c>
      <c r="BH69" s="83">
        <v>2868</v>
      </c>
      <c r="BI69" s="83">
        <v>229262</v>
      </c>
      <c r="BJ69" s="101">
        <f>IF((RD[[#This Row],[33 kV F5 Export Reading_Gss End]]-AM68)*1000&lt;0,0,(RD[[#This Row],[33 kV F5 Export Reading_Gss End]]-AM68)*1000)</f>
        <v>111147.20000000671</v>
      </c>
      <c r="BK69" s="83">
        <f>IF((RD[[#This Row],[33 kV F5 Import Reading_GSS End2]]-AN68)*1000&lt;0,0,(RD[[#This Row],[33 kV F5 Import Reading_GSS End2]]-AN68)*1000)</f>
        <v>921.69999999998709</v>
      </c>
      <c r="BL69" s="84">
        <f>RD[[#This Row],[Export  (kWh)]]-RD[[#This Row],[Import (kWh)]]</f>
        <v>110225.50000000672</v>
      </c>
      <c r="BM69" s="84">
        <f>RD[[#This Row],[Inverters Generation ( kWh)]]-RD[[#This Row],[Export  (kWh)]]</f>
        <v>717.79999999329448</v>
      </c>
      <c r="BN69">
        <f t="shared" si="12"/>
        <v>46680</v>
      </c>
      <c r="BO69">
        <f t="shared" si="13"/>
        <v>210</v>
      </c>
      <c r="BP69" s="185">
        <f t="shared" si="14"/>
        <v>65280</v>
      </c>
      <c r="BQ69" s="185">
        <f t="shared" si="15"/>
        <v>718.8</v>
      </c>
      <c r="BR69" s="185">
        <f t="shared" si="11"/>
        <v>12.666666666666668</v>
      </c>
    </row>
    <row r="70" spans="1:70" ht="15" customHeight="1" x14ac:dyDescent="0.35">
      <c r="A70" s="85">
        <f t="shared" si="8"/>
        <v>45811</v>
      </c>
      <c r="B70" s="80">
        <f>YEAR(RD[[#This Row],[Date]])+IF(MONTH(RD[[#This Row],[Date]])&gt;=4,1,0)</f>
        <v>2026</v>
      </c>
      <c r="C70" s="80">
        <f>YEAR(RD[[#This Row],[Month Year]])</f>
        <v>2025</v>
      </c>
      <c r="D70" s="99" t="s">
        <v>4</v>
      </c>
      <c r="E70" s="99" t="s">
        <v>4</v>
      </c>
      <c r="F70" s="80" t="str">
        <f t="shared" si="10"/>
        <v>Jun-25</v>
      </c>
      <c r="G70" s="79">
        <f>DAY(EOMONTH(RD[[#This Row],[Month Year]],0))</f>
        <v>30</v>
      </c>
      <c r="H70" s="100">
        <v>24.303100000000001</v>
      </c>
      <c r="I70" s="315">
        <v>0.25416666666666665</v>
      </c>
      <c r="J70" s="315">
        <v>0.78194444444444444</v>
      </c>
      <c r="K70" s="79">
        <v>4995</v>
      </c>
      <c r="L70" s="79">
        <v>5631</v>
      </c>
      <c r="M70" s="79">
        <v>4550</v>
      </c>
      <c r="N70" s="179">
        <v>5535</v>
      </c>
      <c r="O70" s="179">
        <v>5678</v>
      </c>
      <c r="P70" s="179">
        <v>4634</v>
      </c>
      <c r="Q70" s="179">
        <v>0</v>
      </c>
      <c r="R70" s="179">
        <v>4659</v>
      </c>
      <c r="S70" s="179">
        <v>5240</v>
      </c>
      <c r="T70" s="179">
        <v>5082</v>
      </c>
      <c r="U70" s="79">
        <v>6068</v>
      </c>
      <c r="V70" s="79">
        <v>6013</v>
      </c>
      <c r="W70" s="79">
        <v>6146</v>
      </c>
      <c r="X70" s="79">
        <v>6154</v>
      </c>
      <c r="Y70" s="79">
        <v>6138</v>
      </c>
      <c r="Z70" s="79">
        <v>6028</v>
      </c>
      <c r="AA70" s="79">
        <v>6218</v>
      </c>
      <c r="AB70" s="79">
        <v>6168</v>
      </c>
      <c r="AC70" s="79">
        <v>7172</v>
      </c>
      <c r="AD70" s="79">
        <v>7516</v>
      </c>
      <c r="AE70" s="79"/>
      <c r="AF70" s="79"/>
      <c r="AG70" s="79"/>
      <c r="AH70" s="79"/>
      <c r="AI70" s="79"/>
      <c r="AJ70" s="79"/>
      <c r="AK70" s="79"/>
      <c r="AL70" s="79"/>
      <c r="AM70" s="80">
        <v>150623.17910000001</v>
      </c>
      <c r="AN70" s="80">
        <v>621.8442</v>
      </c>
      <c r="AO70" s="80"/>
      <c r="AP70" s="80">
        <v>5.82</v>
      </c>
      <c r="AQ70" s="82">
        <v>5.7329999999999997</v>
      </c>
      <c r="AR70" s="82">
        <f>IF(RD[[#This Row],[POA(kWh/m2)_O2R6]]="",RD[[#This Row],[POA(kWh/m2)_PSEGPL]],(RD[[#This Row],[POA(kWh/m2)_PSEGPL]]*('Basic Data'!$V$2/'Basic Data'!$V$4))+(RD[[#This Row],[POA(kWh/m2)_O2R6]]*('Basic Data'!$V$3/'Basic Data'!$V$4)))</f>
        <v>5.7742175041186155</v>
      </c>
      <c r="AS70" s="82">
        <f>SUM(RD[[#This Row],[G1 Inv1]:[G5 Inv10]])</f>
        <v>46004</v>
      </c>
      <c r="AT70" s="82">
        <f>SUM(RD[[#This Row],[IS1_Inv1_M1]:[IS1_Inv2_M4]])</f>
        <v>48933</v>
      </c>
      <c r="AU70" s="82">
        <f>SUM(RD[[#This Row],[IS2_Inv1]:[IS2_Inv2]])</f>
        <v>14688</v>
      </c>
      <c r="AV70" s="80"/>
      <c r="AW70" s="83"/>
      <c r="AX70" s="80"/>
      <c r="AY70" s="80"/>
      <c r="AZ70" s="80"/>
      <c r="BA70" s="83">
        <f>IFERROR(SUM(RD[[#This Row],[PSEGPL]:[O2R10]]),"")</f>
        <v>109625</v>
      </c>
      <c r="BB70" s="80">
        <v>1485</v>
      </c>
      <c r="BC70" s="83">
        <v>233345</v>
      </c>
      <c r="BD70" s="83">
        <v>1288</v>
      </c>
      <c r="BE70" s="83">
        <v>209897</v>
      </c>
      <c r="BF70" s="83">
        <v>1849</v>
      </c>
      <c r="BG70" s="83">
        <v>240960</v>
      </c>
      <c r="BH70" s="83">
        <v>2877</v>
      </c>
      <c r="BI70" s="83">
        <v>229755</v>
      </c>
      <c r="BJ70" s="101">
        <f>IF((RD[[#This Row],[33 kV F5 Export Reading_Gss End]]-AM69)*1000&lt;0,0,(RD[[#This Row],[33 kV F5 Export Reading_Gss End]]-AM69)*1000)</f>
        <v>108994.60000000545</v>
      </c>
      <c r="BK70" s="83">
        <f>IF((RD[[#This Row],[33 kV F5 Import Reading_GSS End2]]-AN69)*1000&lt;0,0,(RD[[#This Row],[33 kV F5 Import Reading_GSS End2]]-AN69)*1000)</f>
        <v>1270.8999999999833</v>
      </c>
      <c r="BL70" s="84">
        <f>RD[[#This Row],[Export  (kWh)]]-RD[[#This Row],[Import (kWh)]]</f>
        <v>107723.70000000547</v>
      </c>
      <c r="BM70" s="84">
        <f>RD[[#This Row],[Inverters Generation ( kWh)]]-RD[[#This Row],[Export  (kWh)]]</f>
        <v>630.39999999455176</v>
      </c>
      <c r="BN70">
        <f t="shared" si="12"/>
        <v>45705</v>
      </c>
      <c r="BO70">
        <f t="shared" si="13"/>
        <v>225</v>
      </c>
      <c r="BP70" s="185">
        <f t="shared" ref="BP70:BP101" si="16">IF(AND(BG70="",BI70=""),"",(((BG70-BG69)*MF_Cap_O2RE6)+((BI70-BI69)*MF_Cap_O2RE10)))</f>
        <v>64200</v>
      </c>
      <c r="BQ70" s="185">
        <f t="shared" si="15"/>
        <v>748.8</v>
      </c>
      <c r="BR70" s="185">
        <f t="shared" si="11"/>
        <v>12.666666666666668</v>
      </c>
    </row>
    <row r="71" spans="1:70" ht="15" customHeight="1" x14ac:dyDescent="0.35">
      <c r="A71" s="85">
        <f t="shared" si="8"/>
        <v>45812</v>
      </c>
      <c r="B71" s="80">
        <f>YEAR(RD[[#This Row],[Date]])+IF(MONTH(RD[[#This Row],[Date]])&gt;=4,1,0)</f>
        <v>2026</v>
      </c>
      <c r="C71" s="80">
        <f>YEAR(RD[[#This Row],[Month Year]])</f>
        <v>2025</v>
      </c>
      <c r="D71" s="99" t="s">
        <v>4</v>
      </c>
      <c r="E71" s="99" t="s">
        <v>4</v>
      </c>
      <c r="F71" s="80" t="str">
        <f t="shared" si="10"/>
        <v>Jun-25</v>
      </c>
      <c r="G71" s="79">
        <f>DAY(EOMONTH(RD[[#This Row],[Month Year]],0))</f>
        <v>30</v>
      </c>
      <c r="H71" s="100">
        <v>24.303100000000001</v>
      </c>
      <c r="I71" s="315">
        <v>0.25694444444444442</v>
      </c>
      <c r="J71" s="315">
        <v>0.75069444444444444</v>
      </c>
      <c r="K71" s="79">
        <v>3890</v>
      </c>
      <c r="L71" s="79">
        <v>4386</v>
      </c>
      <c r="M71" s="79">
        <v>3540</v>
      </c>
      <c r="N71" s="179">
        <v>4383</v>
      </c>
      <c r="O71" s="179">
        <v>4499</v>
      </c>
      <c r="P71" s="179">
        <v>3754</v>
      </c>
      <c r="Q71" s="179">
        <v>0</v>
      </c>
      <c r="R71" s="179">
        <v>3719</v>
      </c>
      <c r="S71" s="179">
        <v>4323</v>
      </c>
      <c r="T71" s="179">
        <v>3930</v>
      </c>
      <c r="U71" s="79">
        <v>4441</v>
      </c>
      <c r="V71" s="79">
        <v>4521</v>
      </c>
      <c r="W71" s="79">
        <v>4665</v>
      </c>
      <c r="X71" s="79">
        <v>4660</v>
      </c>
      <c r="Y71" s="79">
        <v>4664</v>
      </c>
      <c r="Z71" s="79">
        <v>4547</v>
      </c>
      <c r="AA71" s="79">
        <v>4592</v>
      </c>
      <c r="AB71" s="79">
        <v>4471</v>
      </c>
      <c r="AC71" s="79">
        <v>5619</v>
      </c>
      <c r="AD71" s="79">
        <v>6010</v>
      </c>
      <c r="AE71" s="79"/>
      <c r="AF71" s="79"/>
      <c r="AG71" s="79"/>
      <c r="AH71" s="79"/>
      <c r="AI71" s="79"/>
      <c r="AJ71" s="79"/>
      <c r="AK71" s="79"/>
      <c r="AL71" s="79"/>
      <c r="AM71" s="80">
        <v>150707.6611</v>
      </c>
      <c r="AN71" s="80">
        <v>622.15650000000005</v>
      </c>
      <c r="AO71" s="80"/>
      <c r="AP71" s="80">
        <v>4.1790000000000003</v>
      </c>
      <c r="AQ71" s="82">
        <v>4.2359999999999998</v>
      </c>
      <c r="AR71" s="82">
        <f>IF(RD[[#This Row],[POA(kWh/m2)_O2R6]]="",RD[[#This Row],[POA(kWh/m2)_PSEGPL]],(RD[[#This Row],[POA(kWh/m2)_PSEGPL]]*('Basic Data'!$V$2/'Basic Data'!$V$4))+(RD[[#This Row],[POA(kWh/m2)_O2R6]]*('Basic Data'!$V$3/'Basic Data'!$V$4)))</f>
        <v>4.2089954283360793</v>
      </c>
      <c r="AS71" s="82">
        <f>SUM(RD[[#This Row],[G1 Inv1]:[G5 Inv10]])</f>
        <v>36424</v>
      </c>
      <c r="AT71" s="82">
        <f>SUM(RD[[#This Row],[IS1_Inv1_M1]:[IS1_Inv2_M4]])</f>
        <v>36561</v>
      </c>
      <c r="AU71" s="82">
        <f>SUM(RD[[#This Row],[IS2_Inv1]:[IS2_Inv2]])</f>
        <v>11629</v>
      </c>
      <c r="AV71" s="80"/>
      <c r="AW71" s="83"/>
      <c r="AX71" s="80"/>
      <c r="AY71" s="80"/>
      <c r="AZ71" s="80"/>
      <c r="BA71" s="83">
        <f>IFERROR(SUM(RD[[#This Row],[PSEGPL]:[O2R10]]),"")</f>
        <v>84614</v>
      </c>
      <c r="BB71" s="80">
        <v>1487</v>
      </c>
      <c r="BC71" s="83">
        <v>233751</v>
      </c>
      <c r="BD71" s="83">
        <v>1290</v>
      </c>
      <c r="BE71" s="83">
        <v>210160</v>
      </c>
      <c r="BF71" s="83">
        <v>1853</v>
      </c>
      <c r="BG71" s="83">
        <v>241372</v>
      </c>
      <c r="BH71" s="83">
        <v>2886</v>
      </c>
      <c r="BI71" s="83">
        <v>230148</v>
      </c>
      <c r="BJ71" s="101">
        <f>IF((RD[[#This Row],[33 kV F5 Export Reading_Gss End]]-AM70)*1000&lt;0,0,(RD[[#This Row],[33 kV F5 Export Reading_Gss End]]-AM70)*1000)</f>
        <v>84481.999999989057</v>
      </c>
      <c r="BK71" s="83">
        <f>IF((RD[[#This Row],[33 kV F5 Import Reading_GSS End2]]-AN70)*1000&lt;0,0,(RD[[#This Row],[33 kV F5 Import Reading_GSS End2]]-AN70)*1000)</f>
        <v>312.3000000000502</v>
      </c>
      <c r="BL71" s="84">
        <f>RD[[#This Row],[Export  (kWh)]]-RD[[#This Row],[Import (kWh)]]</f>
        <v>84169.69999998901</v>
      </c>
      <c r="BM71" s="84">
        <f>RD[[#This Row],[Inverters Generation ( kWh)]]-RD[[#This Row],[Export  (kWh)]]</f>
        <v>132.00000001094304</v>
      </c>
      <c r="BN71">
        <f t="shared" si="12"/>
        <v>36195</v>
      </c>
      <c r="BO71">
        <f t="shared" si="13"/>
        <v>210</v>
      </c>
      <c r="BP71" s="185">
        <f t="shared" si="16"/>
        <v>48870</v>
      </c>
      <c r="BQ71" s="185">
        <f t="shared" si="15"/>
        <v>748.8</v>
      </c>
      <c r="BR71" s="185">
        <f t="shared" si="11"/>
        <v>11.850000000000001</v>
      </c>
    </row>
    <row r="72" spans="1:70" ht="15" customHeight="1" x14ac:dyDescent="0.35">
      <c r="A72" s="85">
        <f t="shared" si="8"/>
        <v>45813</v>
      </c>
      <c r="B72" s="80">
        <f>YEAR(RD[[#This Row],[Date]])+IF(MONTH(RD[[#This Row],[Date]])&gt;=4,1,0)</f>
        <v>2026</v>
      </c>
      <c r="C72" s="80">
        <f>YEAR(RD[[#This Row],[Month Year]])</f>
        <v>2025</v>
      </c>
      <c r="D72" s="99" t="s">
        <v>4</v>
      </c>
      <c r="E72" s="99" t="s">
        <v>4</v>
      </c>
      <c r="F72" s="80" t="str">
        <f t="shared" si="10"/>
        <v>Jun-25</v>
      </c>
      <c r="G72" s="79">
        <f>DAY(EOMONTH(RD[[#This Row],[Month Year]],0))</f>
        <v>30</v>
      </c>
      <c r="H72" s="100">
        <v>24.303100000000001</v>
      </c>
      <c r="I72" s="318">
        <v>0.25416666666666665</v>
      </c>
      <c r="J72" s="315">
        <v>0.77638888888888891</v>
      </c>
      <c r="K72" s="79">
        <v>5364</v>
      </c>
      <c r="L72" s="79">
        <v>6063</v>
      </c>
      <c r="M72" s="79">
        <v>4900</v>
      </c>
      <c r="N72" s="179">
        <v>4582</v>
      </c>
      <c r="O72" s="179">
        <v>6262</v>
      </c>
      <c r="P72" s="179">
        <v>5250</v>
      </c>
      <c r="Q72" s="179">
        <v>0</v>
      </c>
      <c r="R72" s="179">
        <v>5470</v>
      </c>
      <c r="S72" s="179">
        <v>6156</v>
      </c>
      <c r="T72" s="179">
        <v>5416</v>
      </c>
      <c r="U72" s="79">
        <v>6349</v>
      </c>
      <c r="V72" s="79">
        <v>6358</v>
      </c>
      <c r="W72" s="79">
        <v>6505</v>
      </c>
      <c r="X72" s="79">
        <v>6523</v>
      </c>
      <c r="Y72" s="79">
        <v>6505</v>
      </c>
      <c r="Z72" s="79">
        <v>6307</v>
      </c>
      <c r="AA72" s="79">
        <v>6416</v>
      </c>
      <c r="AB72" s="79">
        <v>6319</v>
      </c>
      <c r="AC72" s="79">
        <v>7484</v>
      </c>
      <c r="AD72" s="79">
        <v>7900</v>
      </c>
      <c r="AE72" s="79"/>
      <c r="AF72" s="79"/>
      <c r="AG72" s="79"/>
      <c r="AH72" s="79"/>
      <c r="AI72" s="79"/>
      <c r="AJ72" s="79"/>
      <c r="AK72" s="79"/>
      <c r="AL72" s="79"/>
      <c r="AM72" s="80">
        <v>150822.98292000001</v>
      </c>
      <c r="AN72" s="80">
        <v>623.04235000000006</v>
      </c>
      <c r="AO72" s="80"/>
      <c r="AP72" s="80">
        <v>6.14</v>
      </c>
      <c r="AQ72" s="82">
        <v>6.1820000000000004</v>
      </c>
      <c r="AR72" s="82">
        <f>IF(RD[[#This Row],[POA(kWh/m2)_O2R6]]="",RD[[#This Row],[POA(kWh/m2)_PSEGPL]],(RD[[#This Row],[POA(kWh/m2)_PSEGPL]]*('Basic Data'!$V$2/'Basic Data'!$V$4))+(RD[[#This Row],[POA(kWh/m2)_O2R6]]*('Basic Data'!$V$3/'Basic Data'!$V$4)))</f>
        <v>6.1621018945634258</v>
      </c>
      <c r="AS72" s="82">
        <f>SUM(RD[[#This Row],[G1 Inv1]:[G5 Inv10]])</f>
        <v>49463</v>
      </c>
      <c r="AT72" s="82">
        <f>SUM(RD[[#This Row],[IS1_Inv1_M1]:[IS1_Inv2_M4]])</f>
        <v>51282</v>
      </c>
      <c r="AU72" s="82">
        <f>SUM(RD[[#This Row],[IS2_Inv1]:[IS2_Inv2]])</f>
        <v>15384</v>
      </c>
      <c r="AV72" s="80"/>
      <c r="AW72" s="83"/>
      <c r="AX72" s="80"/>
      <c r="AY72" s="80"/>
      <c r="AZ72" s="80"/>
      <c r="BA72" s="83">
        <f>IFERROR(SUM(RD[[#This Row],[PSEGPL]:[O2R10]]),"")</f>
        <v>116129</v>
      </c>
      <c r="BB72" s="80">
        <v>1489</v>
      </c>
      <c r="BC72" s="83">
        <v>234289</v>
      </c>
      <c r="BD72" s="83">
        <v>1292</v>
      </c>
      <c r="BE72" s="83">
        <v>210535</v>
      </c>
      <c r="BF72" s="83">
        <v>1857</v>
      </c>
      <c r="BG72" s="83">
        <v>241945</v>
      </c>
      <c r="BH72" s="83">
        <v>2895</v>
      </c>
      <c r="BI72" s="83">
        <v>230664</v>
      </c>
      <c r="BJ72" s="101">
        <f>IF((RD[[#This Row],[33 kV F5 Export Reading_Gss End]]-AM71)*1000&lt;0,0,(RD[[#This Row],[33 kV F5 Export Reading_Gss End]]-AM71)*1000)</f>
        <v>115321.82000001194</v>
      </c>
      <c r="BK72" s="83">
        <f>IF((RD[[#This Row],[33 kV F5 Import Reading_GSS End2]]-AN71)*1000&lt;0,0,(RD[[#This Row],[33 kV F5 Import Reading_GSS End2]]-AN71)*1000)</f>
        <v>885.85000000000491</v>
      </c>
      <c r="BL72" s="84">
        <f>RD[[#This Row],[Export  (kWh)]]-RD[[#This Row],[Import (kWh)]]</f>
        <v>114435.97000001193</v>
      </c>
      <c r="BM72" s="84">
        <f>RD[[#This Row],[Inverters Generation ( kWh)]]-RD[[#This Row],[Export  (kWh)]]</f>
        <v>807.17999998806044</v>
      </c>
      <c r="BN72">
        <f t="shared" si="12"/>
        <v>49155</v>
      </c>
      <c r="BO72">
        <f t="shared" si="13"/>
        <v>210</v>
      </c>
      <c r="BP72" s="185">
        <f t="shared" si="16"/>
        <v>67050</v>
      </c>
      <c r="BQ72" s="185">
        <f t="shared" si="15"/>
        <v>748.8</v>
      </c>
      <c r="BR72" s="185">
        <f t="shared" si="11"/>
        <v>12.533333333333335</v>
      </c>
    </row>
    <row r="73" spans="1:70" ht="15" customHeight="1" x14ac:dyDescent="0.35">
      <c r="A73" s="85">
        <f t="shared" si="8"/>
        <v>45814</v>
      </c>
      <c r="B73" s="80">
        <f>YEAR(RD[[#This Row],[Date]])+IF(MONTH(RD[[#This Row],[Date]])&gt;=4,1,0)</f>
        <v>2026</v>
      </c>
      <c r="C73" s="80">
        <f>YEAR(RD[[#This Row],[Month Year]])</f>
        <v>2025</v>
      </c>
      <c r="D73" s="99" t="s">
        <v>4</v>
      </c>
      <c r="E73" s="99" t="s">
        <v>4</v>
      </c>
      <c r="F73" s="80" t="str">
        <f t="shared" si="10"/>
        <v>Jun-25</v>
      </c>
      <c r="G73" s="79">
        <f>DAY(EOMONTH(RD[[#This Row],[Month Year]],0))</f>
        <v>30</v>
      </c>
      <c r="H73" s="100">
        <v>24.303100000000001</v>
      </c>
      <c r="I73" s="315">
        <v>0.25694444444444442</v>
      </c>
      <c r="J73" s="315">
        <v>0.77708333333333335</v>
      </c>
      <c r="K73" s="79">
        <v>5497</v>
      </c>
      <c r="L73" s="79">
        <v>6256</v>
      </c>
      <c r="M73" s="79">
        <v>5032</v>
      </c>
      <c r="N73" s="179">
        <v>6388</v>
      </c>
      <c r="O73" s="179">
        <v>6453</v>
      </c>
      <c r="P73" s="179">
        <v>5367</v>
      </c>
      <c r="Q73" s="179">
        <v>0</v>
      </c>
      <c r="R73" s="179">
        <v>5618</v>
      </c>
      <c r="S73" s="179">
        <v>6395</v>
      </c>
      <c r="T73" s="179">
        <v>5633</v>
      </c>
      <c r="U73" s="79">
        <v>6598</v>
      </c>
      <c r="V73" s="79">
        <v>6625</v>
      </c>
      <c r="W73" s="79">
        <v>6783</v>
      </c>
      <c r="X73" s="79">
        <v>6816</v>
      </c>
      <c r="Y73" s="79">
        <v>6753</v>
      </c>
      <c r="Z73" s="79">
        <v>6593</v>
      </c>
      <c r="AA73" s="79">
        <v>6737</v>
      </c>
      <c r="AB73" s="79">
        <v>6634</v>
      </c>
      <c r="AC73" s="79">
        <v>7997</v>
      </c>
      <c r="AD73" s="79">
        <v>8512</v>
      </c>
      <c r="AE73" s="79"/>
      <c r="AF73" s="79"/>
      <c r="AG73" s="79"/>
      <c r="AH73" s="79"/>
      <c r="AI73" s="79"/>
      <c r="AJ73" s="79"/>
      <c r="AK73" s="79"/>
      <c r="AL73" s="79"/>
      <c r="AM73" s="80">
        <v>150944.6623</v>
      </c>
      <c r="AN73" s="80">
        <v>623.81240000000003</v>
      </c>
      <c r="AO73" s="80"/>
      <c r="AP73" s="80">
        <v>6.4580000000000002</v>
      </c>
      <c r="AQ73" s="82">
        <v>6.4779999999999998</v>
      </c>
      <c r="AR73" s="82">
        <f>IF(RD[[#This Row],[POA(kWh/m2)_O2R6]]="",RD[[#This Row],[POA(kWh/m2)_PSEGPL]],(RD[[#This Row],[POA(kWh/m2)_PSEGPL]]*('Basic Data'!$V$2/'Basic Data'!$V$4))+(RD[[#This Row],[POA(kWh/m2)_O2R6]]*('Basic Data'!$V$3/'Basic Data'!$V$4)))</f>
        <v>6.4685247116968689</v>
      </c>
      <c r="AS73" s="82">
        <f>SUM(RD[[#This Row],[G1 Inv1]:[G5 Inv10]])</f>
        <v>52639</v>
      </c>
      <c r="AT73" s="82">
        <f>SUM(RD[[#This Row],[IS1_Inv1_M1]:[IS1_Inv2_M4]])</f>
        <v>53539</v>
      </c>
      <c r="AU73" s="82">
        <f>SUM(RD[[#This Row],[IS2_Inv1]:[IS2_Inv2]])</f>
        <v>16509</v>
      </c>
      <c r="AV73" s="80"/>
      <c r="AW73" s="83"/>
      <c r="AX73" s="80"/>
      <c r="AY73" s="80"/>
      <c r="AZ73" s="80"/>
      <c r="BA73" s="83">
        <f>IFERROR(SUM(RD[[#This Row],[PSEGPL]:[O2R10]]),"")</f>
        <v>122687</v>
      </c>
      <c r="BB73" s="80">
        <v>1492</v>
      </c>
      <c r="BC73" s="83">
        <v>234869</v>
      </c>
      <c r="BD73" s="83">
        <v>1294</v>
      </c>
      <c r="BE73" s="83">
        <v>210922</v>
      </c>
      <c r="BF73" s="83">
        <v>1861</v>
      </c>
      <c r="BG73" s="83">
        <v>242543</v>
      </c>
      <c r="BH73" s="83">
        <v>2904</v>
      </c>
      <c r="BI73" s="83">
        <v>231217</v>
      </c>
      <c r="BJ73" s="101">
        <f>IF((RD[[#This Row],[33 kV F5 Export Reading_Gss End]]-AM72)*1000&lt;0,0,(RD[[#This Row],[33 kV F5 Export Reading_Gss End]]-AM72)*1000)</f>
        <v>121679.37999998685</v>
      </c>
      <c r="BK73" s="83">
        <f>IF((RD[[#This Row],[33 kV F5 Import Reading_GSS End2]]-AN72)*1000&lt;0,0,(RD[[#This Row],[33 kV F5 Import Reading_GSS End2]]-AN72)*1000)</f>
        <v>770.04999999996926</v>
      </c>
      <c r="BL73" s="84">
        <f>RD[[#This Row],[Export  (kWh)]]-RD[[#This Row],[Import (kWh)]]</f>
        <v>120909.32999998688</v>
      </c>
      <c r="BM73" s="84">
        <f>RD[[#This Row],[Inverters Generation ( kWh)]]-RD[[#This Row],[Export  (kWh)]]</f>
        <v>1007.6200000131503</v>
      </c>
      <c r="BN73">
        <f t="shared" si="12"/>
        <v>52215</v>
      </c>
      <c r="BO73">
        <f t="shared" si="13"/>
        <v>270</v>
      </c>
      <c r="BP73" s="185">
        <f t="shared" si="16"/>
        <v>70410</v>
      </c>
      <c r="BQ73" s="185">
        <f t="shared" si="15"/>
        <v>748.8</v>
      </c>
      <c r="BR73" s="185">
        <f t="shared" si="11"/>
        <v>12.483333333333334</v>
      </c>
    </row>
    <row r="74" spans="1:70" ht="15" customHeight="1" x14ac:dyDescent="0.35">
      <c r="A74" s="85">
        <f t="shared" si="8"/>
        <v>45815</v>
      </c>
      <c r="B74" s="80">
        <f>YEAR(RD[[#This Row],[Date]])+IF(MONTH(RD[[#This Row],[Date]])&gt;=4,1,0)</f>
        <v>2026</v>
      </c>
      <c r="C74" s="80">
        <f>YEAR(RD[[#This Row],[Month Year]])</f>
        <v>2025</v>
      </c>
      <c r="D74" s="99" t="s">
        <v>4</v>
      </c>
      <c r="E74" s="99" t="s">
        <v>4</v>
      </c>
      <c r="F74" s="80" t="str">
        <f t="shared" si="10"/>
        <v>Jun-25</v>
      </c>
      <c r="G74" s="79">
        <f>DAY(EOMONTH(RD[[#This Row],[Month Year]],0))</f>
        <v>30</v>
      </c>
      <c r="H74" s="100">
        <v>24.303100000000001</v>
      </c>
      <c r="I74" s="315">
        <v>0.25624999999999998</v>
      </c>
      <c r="J74" s="315">
        <v>0.77430555555555558</v>
      </c>
      <c r="K74" s="79">
        <v>4120</v>
      </c>
      <c r="L74" s="79">
        <v>6070</v>
      </c>
      <c r="M74" s="79">
        <v>3455</v>
      </c>
      <c r="N74" s="179">
        <v>6168</v>
      </c>
      <c r="O74" s="179">
        <v>6228</v>
      </c>
      <c r="P74" s="179">
        <v>5184</v>
      </c>
      <c r="Q74" s="179">
        <v>0</v>
      </c>
      <c r="R74" s="179">
        <v>5423</v>
      </c>
      <c r="S74" s="179">
        <v>6200</v>
      </c>
      <c r="T74" s="179">
        <v>5491</v>
      </c>
      <c r="U74" s="79">
        <v>6493</v>
      </c>
      <c r="V74" s="79">
        <v>6526</v>
      </c>
      <c r="W74" s="79">
        <v>6694</v>
      </c>
      <c r="X74" s="79">
        <v>6702</v>
      </c>
      <c r="Y74" s="79">
        <v>6686</v>
      </c>
      <c r="Z74" s="79">
        <v>6537</v>
      </c>
      <c r="AA74" s="79">
        <v>6668</v>
      </c>
      <c r="AB74" s="79">
        <v>6552</v>
      </c>
      <c r="AC74" s="79">
        <v>7865</v>
      </c>
      <c r="AD74" s="79">
        <v>8429</v>
      </c>
      <c r="AE74" s="79"/>
      <c r="AF74" s="79"/>
      <c r="AG74" s="79"/>
      <c r="AH74" s="79"/>
      <c r="AI74" s="79"/>
      <c r="AJ74" s="79"/>
      <c r="AK74" s="79"/>
      <c r="AL74" s="79"/>
      <c r="AM74" s="80">
        <v>151061.1569</v>
      </c>
      <c r="AN74" s="80">
        <v>624.79960000000005</v>
      </c>
      <c r="AO74" s="80"/>
      <c r="AP74" s="80">
        <v>6.2649999999999997</v>
      </c>
      <c r="AQ74" s="82">
        <v>6.2130000000000001</v>
      </c>
      <c r="AR74" s="82">
        <f>IF(RD[[#This Row],[POA(kWh/m2)_O2R6]]="",RD[[#This Row],[POA(kWh/m2)_PSEGPL]],(RD[[#This Row],[POA(kWh/m2)_PSEGPL]]*('Basic Data'!$V$2/'Basic Data'!$V$4))+(RD[[#This Row],[POA(kWh/m2)_O2R6]]*('Basic Data'!$V$3/'Basic Data'!$V$4)))</f>
        <v>6.2376357495881383</v>
      </c>
      <c r="AS74" s="82">
        <f>SUM(RD[[#This Row],[G1 Inv1]:[G5 Inv10]])</f>
        <v>48339</v>
      </c>
      <c r="AT74" s="82">
        <f>SUM(RD[[#This Row],[IS1_Inv1_M1]:[IS1_Inv2_M4]])</f>
        <v>52858</v>
      </c>
      <c r="AU74" s="82">
        <f>SUM(RD[[#This Row],[IS2_Inv1]:[IS2_Inv2]])</f>
        <v>16294</v>
      </c>
      <c r="AV74" s="80"/>
      <c r="AW74" s="83"/>
      <c r="AX74" s="80"/>
      <c r="AY74" s="80"/>
      <c r="AZ74" s="80"/>
      <c r="BA74" s="83">
        <f>IFERROR(SUM(RD[[#This Row],[PSEGPL]:[O2R10]]),"")</f>
        <v>117491</v>
      </c>
      <c r="BB74" s="80">
        <v>1494</v>
      </c>
      <c r="BC74" s="83">
        <v>235386</v>
      </c>
      <c r="BD74" s="83">
        <v>1296</v>
      </c>
      <c r="BE74" s="83">
        <v>211298</v>
      </c>
      <c r="BF74" s="83">
        <v>1865</v>
      </c>
      <c r="BG74" s="83">
        <v>243134</v>
      </c>
      <c r="BH74" s="83">
        <v>2913</v>
      </c>
      <c r="BI74" s="83">
        <v>231763</v>
      </c>
      <c r="BJ74" s="101">
        <f>IF((RD[[#This Row],[33 kV F5 Export Reading_Gss End]]-AM73)*1000&lt;0,0,(RD[[#This Row],[33 kV F5 Export Reading_Gss End]]-AM73)*1000)</f>
        <v>116494.60000000545</v>
      </c>
      <c r="BK74" s="83">
        <f>IF((RD[[#This Row],[33 kV F5 Import Reading_GSS End2]]-AN73)*1000&lt;0,0,(RD[[#This Row],[33 kV F5 Import Reading_GSS End2]]-AN73)*1000)</f>
        <v>987.20000000002983</v>
      </c>
      <c r="BL74" s="84">
        <f>RD[[#This Row],[Export  (kWh)]]-RD[[#This Row],[Import (kWh)]]</f>
        <v>115507.40000000542</v>
      </c>
      <c r="BM74" s="84">
        <f>RD[[#This Row],[Inverters Generation ( kWh)]]-RD[[#This Row],[Export  (kWh)]]</f>
        <v>996.39999999455176</v>
      </c>
      <c r="BN74">
        <f t="shared" si="12"/>
        <v>47940</v>
      </c>
      <c r="BO74">
        <f t="shared" si="13"/>
        <v>210</v>
      </c>
      <c r="BP74" s="185">
        <f t="shared" si="16"/>
        <v>69570</v>
      </c>
      <c r="BQ74" s="185">
        <f t="shared" si="15"/>
        <v>748.8</v>
      </c>
      <c r="BR74" s="185">
        <f t="shared" si="11"/>
        <v>12.433333333333334</v>
      </c>
    </row>
    <row r="75" spans="1:70" ht="15" customHeight="1" x14ac:dyDescent="0.35">
      <c r="A75" s="85">
        <f t="shared" ref="A75:A134" si="17">A74+1</f>
        <v>45816</v>
      </c>
      <c r="B75" s="80">
        <f>YEAR(RD[[#This Row],[Date]])+IF(MONTH(RD[[#This Row],[Date]])&gt;=4,1,0)</f>
        <v>2026</v>
      </c>
      <c r="C75" s="80">
        <f>YEAR(RD[[#This Row],[Month Year]])</f>
        <v>2025</v>
      </c>
      <c r="D75" s="99" t="s">
        <v>4</v>
      </c>
      <c r="E75" s="99" t="s">
        <v>4</v>
      </c>
      <c r="F75" s="80" t="str">
        <f t="shared" si="10"/>
        <v>Jun-25</v>
      </c>
      <c r="G75" s="79">
        <f>DAY(EOMONTH(RD[[#This Row],[Month Year]],0))</f>
        <v>30</v>
      </c>
      <c r="H75" s="100">
        <v>24.303100000000001</v>
      </c>
      <c r="I75" s="315">
        <v>0.26527777777777778</v>
      </c>
      <c r="J75" s="315">
        <v>0.77638888888888891</v>
      </c>
      <c r="K75" s="79">
        <v>5658</v>
      </c>
      <c r="L75" s="79">
        <v>6472</v>
      </c>
      <c r="M75" s="79">
        <v>5191</v>
      </c>
      <c r="N75" s="179">
        <v>6579</v>
      </c>
      <c r="O75" s="179">
        <v>6636</v>
      </c>
      <c r="P75" s="179">
        <v>5511</v>
      </c>
      <c r="Q75" s="179">
        <v>0</v>
      </c>
      <c r="R75" s="179">
        <v>5755</v>
      </c>
      <c r="S75" s="179">
        <v>6570</v>
      </c>
      <c r="T75" s="179">
        <v>5812</v>
      </c>
      <c r="U75" s="79">
        <v>6890</v>
      </c>
      <c r="V75" s="79">
        <v>6925</v>
      </c>
      <c r="W75" s="79">
        <v>7114</v>
      </c>
      <c r="X75" s="79">
        <v>7136</v>
      </c>
      <c r="Y75" s="79">
        <v>7113</v>
      </c>
      <c r="Z75" s="79">
        <v>6933</v>
      </c>
      <c r="AA75" s="79">
        <v>7066</v>
      </c>
      <c r="AB75" s="79">
        <v>6942</v>
      </c>
      <c r="AC75" s="79">
        <v>8350</v>
      </c>
      <c r="AD75" s="79">
        <v>8930</v>
      </c>
      <c r="AE75" s="79"/>
      <c r="AF75" s="79"/>
      <c r="AG75" s="79"/>
      <c r="AH75" s="79"/>
      <c r="AI75" s="79"/>
      <c r="AJ75" s="79"/>
      <c r="AK75" s="79"/>
      <c r="AL75" s="79"/>
      <c r="AM75" s="80">
        <v>151187.67739999999</v>
      </c>
      <c r="AN75" s="80">
        <v>625.63080000000002</v>
      </c>
      <c r="AO75" s="80"/>
      <c r="AP75" s="80">
        <v>6.7619999999999996</v>
      </c>
      <c r="AQ75" s="82">
        <v>6.6909999999999998</v>
      </c>
      <c r="AR75" s="82">
        <f>IF(RD[[#This Row],[POA(kWh/m2)_O2R6]]="",RD[[#This Row],[POA(kWh/m2)_PSEGPL]],(RD[[#This Row],[POA(kWh/m2)_PSEGPL]]*('Basic Data'!$V$2/'Basic Data'!$V$4))+(RD[[#This Row],[POA(kWh/m2)_O2R6]]*('Basic Data'!$V$3/'Basic Data'!$V$4)))</f>
        <v>6.7246372734761106</v>
      </c>
      <c r="AS75" s="82">
        <f>SUM(RD[[#This Row],[G1 Inv1]:[G5 Inv10]])</f>
        <v>54184</v>
      </c>
      <c r="AT75" s="82">
        <f>SUM(RD[[#This Row],[IS1_Inv1_M1]:[IS1_Inv2_M4]])</f>
        <v>56119</v>
      </c>
      <c r="AU75" s="82">
        <f>SUM(RD[[#This Row],[IS2_Inv1]:[IS2_Inv2]])</f>
        <v>17280</v>
      </c>
      <c r="AV75" s="80"/>
      <c r="AW75" s="83"/>
      <c r="AX75" s="80"/>
      <c r="AY75" s="80"/>
      <c r="AZ75" s="80"/>
      <c r="BA75" s="83">
        <f>IFERROR(SUM(RD[[#This Row],[PSEGPL]:[O2R10]]),"")</f>
        <v>127583</v>
      </c>
      <c r="BB75" s="80">
        <v>1496</v>
      </c>
      <c r="BC75" s="83">
        <v>235983</v>
      </c>
      <c r="BD75" s="83">
        <v>1298</v>
      </c>
      <c r="BE75" s="83">
        <v>211697</v>
      </c>
      <c r="BF75" s="83">
        <v>1869</v>
      </c>
      <c r="BG75" s="83">
        <v>243760</v>
      </c>
      <c r="BH75" s="83">
        <v>2923</v>
      </c>
      <c r="BI75" s="83">
        <v>232341</v>
      </c>
      <c r="BJ75" s="101">
        <f>IF((RD[[#This Row],[33 kV F5 Export Reading_Gss End]]-AM74)*1000&lt;0,0,(RD[[#This Row],[33 kV F5 Export Reading_Gss End]]-AM74)*1000)</f>
        <v>126520.49999998417</v>
      </c>
      <c r="BK75" s="83">
        <f>IF((RD[[#This Row],[33 kV F5 Import Reading_GSS End2]]-AN74)*1000&lt;0,0,(RD[[#This Row],[33 kV F5 Import Reading_GSS End2]]-AN74)*1000)</f>
        <v>831.19999999996708</v>
      </c>
      <c r="BL75" s="84">
        <f>RD[[#This Row],[Export  (kWh)]]-RD[[#This Row],[Import (kWh)]]</f>
        <v>125689.2999999842</v>
      </c>
      <c r="BM75" s="84">
        <f>RD[[#This Row],[Inverters Generation ( kWh)]]-RD[[#This Row],[Export  (kWh)]]</f>
        <v>1062.5000000158325</v>
      </c>
      <c r="BN75">
        <f t="shared" si="12"/>
        <v>53775</v>
      </c>
      <c r="BO75">
        <f t="shared" si="13"/>
        <v>210</v>
      </c>
      <c r="BP75" s="185">
        <f t="shared" si="16"/>
        <v>73680</v>
      </c>
      <c r="BQ75" s="185">
        <f t="shared" si="15"/>
        <v>778.8</v>
      </c>
      <c r="BR75" s="185">
        <f t="shared" si="11"/>
        <v>12.266666666666666</v>
      </c>
    </row>
    <row r="76" spans="1:70" ht="15" customHeight="1" x14ac:dyDescent="0.35">
      <c r="A76" s="85">
        <f t="shared" si="17"/>
        <v>45817</v>
      </c>
      <c r="B76" s="80">
        <f>YEAR(RD[[#This Row],[Date]])+IF(MONTH(RD[[#This Row],[Date]])&gt;=4,1,0)</f>
        <v>2026</v>
      </c>
      <c r="C76" s="80">
        <f>YEAR(RD[[#This Row],[Month Year]])</f>
        <v>2025</v>
      </c>
      <c r="D76" s="99" t="s">
        <v>4</v>
      </c>
      <c r="E76" s="99" t="s">
        <v>4</v>
      </c>
      <c r="F76" s="80" t="str">
        <f t="shared" si="10"/>
        <v>Jun-25</v>
      </c>
      <c r="G76" s="79">
        <f>DAY(EOMONTH(RD[[#This Row],[Month Year]],0))</f>
        <v>30</v>
      </c>
      <c r="H76" s="100">
        <v>24.303100000000001</v>
      </c>
      <c r="I76" s="315">
        <v>0.25069444444444444</v>
      </c>
      <c r="J76" s="315">
        <v>0.77638888888888891</v>
      </c>
      <c r="K76" s="79">
        <v>5320</v>
      </c>
      <c r="L76" s="79">
        <v>6075</v>
      </c>
      <c r="M76" s="79">
        <v>4873</v>
      </c>
      <c r="N76" s="179">
        <v>4609</v>
      </c>
      <c r="O76" s="179">
        <v>6256</v>
      </c>
      <c r="P76" s="179">
        <v>4077</v>
      </c>
      <c r="Q76" s="179">
        <v>0</v>
      </c>
      <c r="R76" s="179">
        <v>5454</v>
      </c>
      <c r="S76" s="179">
        <v>6215</v>
      </c>
      <c r="T76" s="179">
        <v>5487</v>
      </c>
      <c r="U76" s="79">
        <v>6232</v>
      </c>
      <c r="V76" s="79">
        <v>6291</v>
      </c>
      <c r="W76" s="79">
        <v>6460</v>
      </c>
      <c r="X76" s="79">
        <v>6513</v>
      </c>
      <c r="Y76" s="79">
        <v>6438</v>
      </c>
      <c r="Z76" s="79">
        <v>6269</v>
      </c>
      <c r="AA76" s="79">
        <v>6373</v>
      </c>
      <c r="AB76" s="79">
        <v>6251</v>
      </c>
      <c r="AC76" s="79">
        <v>7577</v>
      </c>
      <c r="AD76" s="79">
        <v>8031</v>
      </c>
      <c r="AE76" s="79"/>
      <c r="AF76" s="79"/>
      <c r="AG76" s="79"/>
      <c r="AH76" s="79"/>
      <c r="AI76" s="79"/>
      <c r="AJ76" s="79"/>
      <c r="AK76" s="79"/>
      <c r="AL76" s="79"/>
      <c r="AM76" s="80">
        <v>151301.7599</v>
      </c>
      <c r="AN76" s="80">
        <v>626.53099999999995</v>
      </c>
      <c r="AO76" s="80"/>
      <c r="AP76" s="80">
        <v>5.9880000000000004</v>
      </c>
      <c r="AQ76" s="82">
        <v>6.0739999999999998</v>
      </c>
      <c r="AR76" s="82">
        <f>IF(RD[[#This Row],[POA(kWh/m2)_O2R6]]="",RD[[#This Row],[POA(kWh/m2)_PSEGPL]],(RD[[#This Row],[POA(kWh/m2)_PSEGPL]]*('Basic Data'!$V$2/'Basic Data'!$V$4))+(RD[[#This Row],[POA(kWh/m2)_O2R6]]*('Basic Data'!$V$3/'Basic Data'!$V$4)))</f>
        <v>6.0332562602965396</v>
      </c>
      <c r="AS76" s="82">
        <f>SUM(RD[[#This Row],[G1 Inv1]:[G5 Inv10]])</f>
        <v>48366</v>
      </c>
      <c r="AT76" s="82">
        <f>SUM(RD[[#This Row],[IS1_Inv1_M1]:[IS1_Inv2_M4]])</f>
        <v>50827</v>
      </c>
      <c r="AU76" s="82">
        <f>SUM(RD[[#This Row],[IS2_Inv1]:[IS2_Inv2]])</f>
        <v>15608</v>
      </c>
      <c r="AV76" s="80"/>
      <c r="AW76" s="83"/>
      <c r="AX76" s="80"/>
      <c r="AY76" s="80"/>
      <c r="AZ76" s="80"/>
      <c r="BA76" s="83">
        <f>IFERROR(SUM(RD[[#This Row],[PSEGPL]:[O2R10]]),"")</f>
        <v>114801</v>
      </c>
      <c r="BB76" s="80">
        <v>1499</v>
      </c>
      <c r="BC76" s="83">
        <v>236501</v>
      </c>
      <c r="BD76" s="83">
        <v>1300</v>
      </c>
      <c r="BE76" s="83">
        <v>212074</v>
      </c>
      <c r="BF76" s="83">
        <v>1873</v>
      </c>
      <c r="BG76" s="83">
        <v>244329</v>
      </c>
      <c r="BH76" s="83">
        <v>2935</v>
      </c>
      <c r="BI76" s="83">
        <v>232866</v>
      </c>
      <c r="BJ76" s="101">
        <f>IF((RD[[#This Row],[33 kV F5 Export Reading_Gss End]]-AM75)*1000&lt;0,0,(RD[[#This Row],[33 kV F5 Export Reading_Gss End]]-AM75)*1000)</f>
        <v>114082.50000001863</v>
      </c>
      <c r="BK76" s="83">
        <f>IF((RD[[#This Row],[33 kV F5 Import Reading_GSS End2]]-AN75)*1000&lt;0,0,(RD[[#This Row],[33 kV F5 Import Reading_GSS End2]]-AN75)*1000)</f>
        <v>900.19999999992706</v>
      </c>
      <c r="BL76" s="84">
        <f>RD[[#This Row],[Export  (kWh)]]-RD[[#This Row],[Import (kWh)]]</f>
        <v>113182.3000000187</v>
      </c>
      <c r="BM76" s="84">
        <f>RD[[#This Row],[Inverters Generation ( kWh)]]-RD[[#This Row],[Export  (kWh)]]</f>
        <v>718.49999998137355</v>
      </c>
      <c r="BN76">
        <f t="shared" si="12"/>
        <v>48045</v>
      </c>
      <c r="BO76">
        <f t="shared" si="13"/>
        <v>270</v>
      </c>
      <c r="BP76" s="185">
        <f t="shared" si="16"/>
        <v>66960</v>
      </c>
      <c r="BQ76" s="185">
        <f t="shared" si="15"/>
        <v>838.8</v>
      </c>
      <c r="BR76" s="185">
        <f t="shared" si="11"/>
        <v>12.616666666666667</v>
      </c>
    </row>
    <row r="77" spans="1:70" ht="15" customHeight="1" x14ac:dyDescent="0.35">
      <c r="A77" s="85">
        <f t="shared" si="17"/>
        <v>45818</v>
      </c>
      <c r="B77" s="80">
        <f>YEAR(RD[[#This Row],[Date]])+IF(MONTH(RD[[#This Row],[Date]])&gt;=4,1,0)</f>
        <v>2026</v>
      </c>
      <c r="C77" s="80">
        <f>YEAR(RD[[#This Row],[Month Year]])</f>
        <v>2025</v>
      </c>
      <c r="D77" s="99" t="s">
        <v>4</v>
      </c>
      <c r="E77" s="99" t="s">
        <v>4</v>
      </c>
      <c r="F77" s="80" t="str">
        <f t="shared" si="10"/>
        <v>Jun-25</v>
      </c>
      <c r="G77" s="79">
        <f>DAY(EOMONTH(RD[[#This Row],[Month Year]],0))</f>
        <v>30</v>
      </c>
      <c r="H77" s="100">
        <v>24.303100000000001</v>
      </c>
      <c r="I77" s="315">
        <v>0.2673611111111111</v>
      </c>
      <c r="J77" s="315">
        <v>0.78263888888888888</v>
      </c>
      <c r="K77" s="79">
        <v>2009</v>
      </c>
      <c r="L77" s="79">
        <v>2284</v>
      </c>
      <c r="M77" s="79">
        <v>1822</v>
      </c>
      <c r="N77" s="179">
        <v>2307</v>
      </c>
      <c r="O77" s="179">
        <v>2334</v>
      </c>
      <c r="P77" s="179">
        <v>1930</v>
      </c>
      <c r="Q77" s="179">
        <v>0</v>
      </c>
      <c r="R77" s="179">
        <v>2022</v>
      </c>
      <c r="S77" s="179">
        <v>2328</v>
      </c>
      <c r="T77" s="179">
        <v>2064</v>
      </c>
      <c r="U77" s="79">
        <v>2429</v>
      </c>
      <c r="V77" s="79">
        <v>2438</v>
      </c>
      <c r="W77" s="79">
        <v>2505</v>
      </c>
      <c r="X77" s="79">
        <v>2513</v>
      </c>
      <c r="Y77" s="79">
        <v>2502</v>
      </c>
      <c r="Z77" s="79">
        <v>2432</v>
      </c>
      <c r="AA77" s="79">
        <v>2492</v>
      </c>
      <c r="AB77" s="79">
        <v>2450</v>
      </c>
      <c r="AC77" s="79">
        <v>2964</v>
      </c>
      <c r="AD77" s="79">
        <v>3178</v>
      </c>
      <c r="AE77" s="79"/>
      <c r="AF77" s="79"/>
      <c r="AG77" s="79"/>
      <c r="AH77" s="79"/>
      <c r="AI77" s="79"/>
      <c r="AJ77" s="79"/>
      <c r="AK77" s="79"/>
      <c r="AL77" s="79"/>
      <c r="AM77" s="80">
        <v>151347.34229999999</v>
      </c>
      <c r="AN77" s="80">
        <v>627.46439999999996</v>
      </c>
      <c r="AO77" s="80"/>
      <c r="AP77" s="80">
        <v>2.302</v>
      </c>
      <c r="AQ77" s="82">
        <v>2.2789999999999999</v>
      </c>
      <c r="AR77" s="82">
        <f>IF(RD[[#This Row],[POA(kWh/m2)_O2R6]]="",RD[[#This Row],[POA(kWh/m2)_PSEGPL]],(RD[[#This Row],[POA(kWh/m2)_PSEGPL]]*('Basic Data'!$V$2/'Basic Data'!$V$4))+(RD[[#This Row],[POA(kWh/m2)_O2R6]]*('Basic Data'!$V$3/'Basic Data'!$V$4)))</f>
        <v>2.2898965815485992</v>
      </c>
      <c r="AS77" s="82">
        <f>SUM(RD[[#This Row],[G1 Inv1]:[G5 Inv10]])</f>
        <v>19100</v>
      </c>
      <c r="AT77" s="82">
        <f>SUM(RD[[#This Row],[IS1_Inv1_M1]:[IS1_Inv2_M4]])</f>
        <v>19761</v>
      </c>
      <c r="AU77" s="82">
        <f>SUM(RD[[#This Row],[IS2_Inv1]:[IS2_Inv2]])</f>
        <v>6142</v>
      </c>
      <c r="AV77" s="80"/>
      <c r="AW77" s="83"/>
      <c r="AX77" s="80"/>
      <c r="AY77" s="80"/>
      <c r="AZ77" s="80"/>
      <c r="BA77" s="83">
        <f>IFERROR(SUM(RD[[#This Row],[PSEGPL]:[O2R10]]),"")</f>
        <v>45003</v>
      </c>
      <c r="BB77" s="80">
        <v>1501</v>
      </c>
      <c r="BC77" s="83">
        <v>236711</v>
      </c>
      <c r="BD77" s="83">
        <v>1302</v>
      </c>
      <c r="BE77" s="83">
        <v>212215</v>
      </c>
      <c r="BF77" s="83">
        <v>1878</v>
      </c>
      <c r="BG77" s="83">
        <v>244558</v>
      </c>
      <c r="BH77" s="83">
        <v>2943</v>
      </c>
      <c r="BI77" s="83">
        <v>233076</v>
      </c>
      <c r="BJ77" s="101">
        <f>IF((RD[[#This Row],[33 kV F5 Export Reading_Gss End]]-AM76)*1000&lt;0,0,(RD[[#This Row],[33 kV F5 Export Reading_Gss End]]-AM76)*1000)</f>
        <v>45582.399999984773</v>
      </c>
      <c r="BK77" s="83">
        <f>IF((RD[[#This Row],[33 kV F5 Import Reading_GSS End2]]-AN76)*1000&lt;0,0,(RD[[#This Row],[33 kV F5 Import Reading_GSS End2]]-AN76)*1000)</f>
        <v>933.400000000006</v>
      </c>
      <c r="BL77" s="84">
        <f>RD[[#This Row],[Export  (kWh)]]-RD[[#This Row],[Import (kWh)]]</f>
        <v>44648.999999984764</v>
      </c>
      <c r="BM77" s="84">
        <f>RD[[#This Row],[Inverters Generation ( kWh)]]-RD[[#This Row],[Export  (kWh)]]</f>
        <v>-579.39999998477288</v>
      </c>
      <c r="BN77">
        <f t="shared" si="12"/>
        <v>18945</v>
      </c>
      <c r="BO77">
        <f t="shared" si="13"/>
        <v>210</v>
      </c>
      <c r="BP77" s="185">
        <f t="shared" si="16"/>
        <v>26910</v>
      </c>
      <c r="BQ77" s="185">
        <f t="shared" si="15"/>
        <v>838.5</v>
      </c>
      <c r="BR77" s="185">
        <f t="shared" si="11"/>
        <v>12.366666666666665</v>
      </c>
    </row>
    <row r="78" spans="1:70" ht="15" customHeight="1" x14ac:dyDescent="0.35">
      <c r="A78" s="85">
        <f t="shared" si="17"/>
        <v>45819</v>
      </c>
      <c r="B78" s="80">
        <f>YEAR(RD[[#This Row],[Date]])+IF(MONTH(RD[[#This Row],[Date]])&gt;=4,1,0)</f>
        <v>2026</v>
      </c>
      <c r="C78" s="80">
        <f>YEAR(RD[[#This Row],[Month Year]])</f>
        <v>2025</v>
      </c>
      <c r="D78" s="99" t="s">
        <v>4</v>
      </c>
      <c r="E78" s="99" t="s">
        <v>4</v>
      </c>
      <c r="F78" s="80" t="str">
        <f t="shared" si="10"/>
        <v>Jun-25</v>
      </c>
      <c r="G78" s="79">
        <f>DAY(EOMONTH(RD[[#This Row],[Month Year]],0))</f>
        <v>30</v>
      </c>
      <c r="H78" s="100">
        <v>24.303100000000001</v>
      </c>
      <c r="I78" s="315">
        <v>0.26180555555555557</v>
      </c>
      <c r="J78" s="315">
        <v>0.74652777777777779</v>
      </c>
      <c r="K78" s="79">
        <v>1528</v>
      </c>
      <c r="L78" s="79">
        <v>1739</v>
      </c>
      <c r="M78" s="79">
        <v>1391</v>
      </c>
      <c r="N78" s="179">
        <v>1764</v>
      </c>
      <c r="O78" s="179">
        <v>1791</v>
      </c>
      <c r="P78" s="179">
        <v>1479</v>
      </c>
      <c r="Q78" s="179">
        <v>0</v>
      </c>
      <c r="R78" s="179">
        <v>1546</v>
      </c>
      <c r="S78" s="179">
        <v>1777</v>
      </c>
      <c r="T78" s="179">
        <v>1571</v>
      </c>
      <c r="U78" s="79">
        <v>1821</v>
      </c>
      <c r="V78" s="79">
        <v>1809</v>
      </c>
      <c r="W78" s="79">
        <v>1873</v>
      </c>
      <c r="X78" s="79">
        <v>1613</v>
      </c>
      <c r="Y78" s="79">
        <v>1888</v>
      </c>
      <c r="Z78" s="79">
        <v>1839</v>
      </c>
      <c r="AA78" s="79">
        <v>1882</v>
      </c>
      <c r="AB78" s="79">
        <v>1853</v>
      </c>
      <c r="AC78" s="79">
        <v>2249</v>
      </c>
      <c r="AD78" s="79">
        <v>2418</v>
      </c>
      <c r="AE78" s="79"/>
      <c r="AF78" s="79"/>
      <c r="AG78" s="79"/>
      <c r="AH78" s="79"/>
      <c r="AI78" s="79"/>
      <c r="AJ78" s="79"/>
      <c r="AK78" s="79"/>
      <c r="AL78" s="79"/>
      <c r="AM78" s="80">
        <v>151381.709</v>
      </c>
      <c r="AN78" s="80">
        <v>628.39800000000002</v>
      </c>
      <c r="AO78" s="80"/>
      <c r="AP78" s="80">
        <v>1.7350000000000001</v>
      </c>
      <c r="AQ78" s="82">
        <v>1.7010000000000001</v>
      </c>
      <c r="AR78" s="82">
        <f>IF(RD[[#This Row],[POA(kWh/m2)_O2R6]]="",RD[[#This Row],[POA(kWh/m2)_PSEGPL]],(RD[[#This Row],[POA(kWh/m2)_PSEGPL]]*('Basic Data'!$V$2/'Basic Data'!$V$4))+(RD[[#This Row],[POA(kWh/m2)_O2R6]]*('Basic Data'!$V$3/'Basic Data'!$V$4)))</f>
        <v>1.7171079901153212</v>
      </c>
      <c r="AS78" s="82">
        <f>SUM(RD[[#This Row],[G1 Inv1]:[G5 Inv10]])</f>
        <v>14586</v>
      </c>
      <c r="AT78" s="82">
        <f>SUM(RD[[#This Row],[IS1_Inv1_M1]:[IS1_Inv2_M4]])</f>
        <v>14578</v>
      </c>
      <c r="AU78" s="82">
        <f>SUM(RD[[#This Row],[IS2_Inv1]:[IS2_Inv2]])</f>
        <v>4667</v>
      </c>
      <c r="AV78" s="80"/>
      <c r="AW78" s="83"/>
      <c r="AX78" s="80"/>
      <c r="AY78" s="80"/>
      <c r="AZ78" s="80"/>
      <c r="BA78" s="83">
        <f>IFERROR(SUM(RD[[#This Row],[PSEGPL]:[O2R10]]),"")</f>
        <v>33831</v>
      </c>
      <c r="BB78" s="80">
        <v>1504</v>
      </c>
      <c r="BC78" s="83">
        <v>236872</v>
      </c>
      <c r="BD78" s="83">
        <v>1304</v>
      </c>
      <c r="BE78" s="83">
        <v>212322</v>
      </c>
      <c r="BF78" s="83">
        <v>1882</v>
      </c>
      <c r="BG78" s="83">
        <v>244728</v>
      </c>
      <c r="BH78" s="83">
        <v>2953</v>
      </c>
      <c r="BI78" s="83">
        <v>233240</v>
      </c>
      <c r="BJ78" s="101">
        <f>IF((RD[[#This Row],[33 kV F5 Export Reading_Gss End]]-AM77)*1000&lt;0,0,(RD[[#This Row],[33 kV F5 Export Reading_Gss End]]-AM77)*1000)</f>
        <v>34366.700000013225</v>
      </c>
      <c r="BK78" s="83">
        <f>IF((RD[[#This Row],[33 kV F5 Import Reading_GSS End2]]-AN77)*1000&lt;0,0,(RD[[#This Row],[33 kV F5 Import Reading_GSS End2]]-AN77)*1000)</f>
        <v>933.60000000006949</v>
      </c>
      <c r="BL78" s="84">
        <f>RD[[#This Row],[Export  (kWh)]]-RD[[#This Row],[Import (kWh)]]</f>
        <v>33433.100000013153</v>
      </c>
      <c r="BM78" s="84">
        <f>RD[[#This Row],[Inverters Generation ( kWh)]]-RD[[#This Row],[Export  (kWh)]]</f>
        <v>-535.70000001322478</v>
      </c>
      <c r="BN78">
        <f t="shared" si="12"/>
        <v>14475</v>
      </c>
      <c r="BO78">
        <f t="shared" si="13"/>
        <v>270</v>
      </c>
      <c r="BP78" s="185">
        <f t="shared" si="16"/>
        <v>20220</v>
      </c>
      <c r="BQ78" s="185">
        <f t="shared" si="15"/>
        <v>778.8</v>
      </c>
      <c r="BR78" s="185">
        <f t="shared" si="11"/>
        <v>11.633333333333333</v>
      </c>
    </row>
    <row r="79" spans="1:70" ht="15" customHeight="1" x14ac:dyDescent="0.35">
      <c r="A79" s="85">
        <f t="shared" si="17"/>
        <v>45820</v>
      </c>
      <c r="B79" s="80">
        <f>YEAR(RD[[#This Row],[Date]])+IF(MONTH(RD[[#This Row],[Date]])&gt;=4,1,0)</f>
        <v>2026</v>
      </c>
      <c r="C79" s="80">
        <f>YEAR(RD[[#This Row],[Month Year]])</f>
        <v>2025</v>
      </c>
      <c r="D79" s="99" t="s">
        <v>4</v>
      </c>
      <c r="E79" s="99" t="s">
        <v>4</v>
      </c>
      <c r="F79" s="80" t="str">
        <f t="shared" si="10"/>
        <v>Jun-25</v>
      </c>
      <c r="G79" s="79">
        <f>DAY(EOMONTH(RD[[#This Row],[Month Year]],0))</f>
        <v>30</v>
      </c>
      <c r="H79" s="100">
        <v>24.303100000000001</v>
      </c>
      <c r="I79" s="315">
        <v>0.27361111111111114</v>
      </c>
      <c r="J79" s="315">
        <v>0.73611111111111116</v>
      </c>
      <c r="K79" s="79">
        <v>2550</v>
      </c>
      <c r="L79" s="79">
        <v>2909</v>
      </c>
      <c r="M79" s="79">
        <v>2273</v>
      </c>
      <c r="N79" s="179">
        <v>2925</v>
      </c>
      <c r="O79" s="179">
        <v>1275</v>
      </c>
      <c r="P79" s="179">
        <v>867</v>
      </c>
      <c r="Q79" s="179">
        <v>0</v>
      </c>
      <c r="R79" s="179">
        <v>2730</v>
      </c>
      <c r="S79" s="179">
        <v>3129</v>
      </c>
      <c r="T79" s="179">
        <v>2773</v>
      </c>
      <c r="U79" s="79">
        <v>4087</v>
      </c>
      <c r="V79" s="79">
        <v>4090</v>
      </c>
      <c r="W79" s="79">
        <v>4180</v>
      </c>
      <c r="X79" s="79">
        <v>4193</v>
      </c>
      <c r="Y79" s="79">
        <v>4175</v>
      </c>
      <c r="Z79" s="79">
        <v>4073</v>
      </c>
      <c r="AA79" s="79">
        <v>4169</v>
      </c>
      <c r="AB79" s="79">
        <v>4109</v>
      </c>
      <c r="AC79" s="79">
        <v>4878</v>
      </c>
      <c r="AD79" s="79">
        <v>5222</v>
      </c>
      <c r="AE79" s="79"/>
      <c r="AF79" s="79"/>
      <c r="AG79" s="79"/>
      <c r="AH79" s="79"/>
      <c r="AI79" s="79"/>
      <c r="AJ79" s="79"/>
      <c r="AK79" s="79"/>
      <c r="AL79" s="79"/>
      <c r="AM79" s="80">
        <v>151446.53969999999</v>
      </c>
      <c r="AN79" s="80">
        <v>629.32899999999995</v>
      </c>
      <c r="AO79" s="80"/>
      <c r="AP79" s="80">
        <v>4.2270000000000003</v>
      </c>
      <c r="AQ79" s="82">
        <v>4.1219999999999999</v>
      </c>
      <c r="AR79" s="82">
        <f>IF(RD[[#This Row],[POA(kWh/m2)_O2R6]]="",RD[[#This Row],[POA(kWh/m2)_PSEGPL]],(RD[[#This Row],[POA(kWh/m2)_PSEGPL]]*('Basic Data'!$V$2/'Basic Data'!$V$4))+(RD[[#This Row],[POA(kWh/m2)_O2R6]]*('Basic Data'!$V$3/'Basic Data'!$V$4)))</f>
        <v>4.1717452635914327</v>
      </c>
      <c r="AS79" s="82">
        <f>SUM(RD[[#This Row],[G1 Inv1]:[G5 Inv10]])</f>
        <v>21431</v>
      </c>
      <c r="AT79" s="82">
        <f>SUM(RD[[#This Row],[IS1_Inv1_M1]:[IS1_Inv2_M4]])</f>
        <v>33076</v>
      </c>
      <c r="AU79" s="82">
        <f>SUM(RD[[#This Row],[IS2_Inv1]:[IS2_Inv2]])</f>
        <v>10100</v>
      </c>
      <c r="AV79" s="80"/>
      <c r="AW79" s="83"/>
      <c r="AX79" s="80"/>
      <c r="AY79" s="80"/>
      <c r="AZ79" s="80"/>
      <c r="BA79" s="83">
        <f>IFERROR(SUM(RD[[#This Row],[PSEGPL]:[O2R10]]),"")</f>
        <v>64607</v>
      </c>
      <c r="BB79" s="80">
        <v>1507</v>
      </c>
      <c r="BC79" s="83">
        <v>237084</v>
      </c>
      <c r="BD79" s="83">
        <v>1307</v>
      </c>
      <c r="BE79" s="83">
        <v>212512</v>
      </c>
      <c r="BF79" s="83">
        <v>1886</v>
      </c>
      <c r="BG79" s="83">
        <v>245101</v>
      </c>
      <c r="BH79" s="83">
        <v>2962</v>
      </c>
      <c r="BI79" s="83">
        <v>233581</v>
      </c>
      <c r="BJ79" s="101">
        <f>IF((RD[[#This Row],[33 kV F5 Export Reading_Gss End]]-AM78)*1000&lt;0,0,(RD[[#This Row],[33 kV F5 Export Reading_Gss End]]-AM78)*1000)</f>
        <v>64830.699999991339</v>
      </c>
      <c r="BK79" s="83">
        <f>IF((RD[[#This Row],[33 kV F5 Import Reading_GSS End2]]-AN78)*1000&lt;0,0,(RD[[#This Row],[33 kV F5 Import Reading_GSS End2]]-AN78)*1000)</f>
        <v>930.99999999992633</v>
      </c>
      <c r="BL79" s="84">
        <f>RD[[#This Row],[Export  (kWh)]]-RD[[#This Row],[Import (kWh)]]</f>
        <v>63899.699999991411</v>
      </c>
      <c r="BM79" s="84">
        <f>RD[[#This Row],[Inverters Generation ( kWh)]]-RD[[#This Row],[Export  (kWh)]]</f>
        <v>-223.6999999913387</v>
      </c>
      <c r="BN79">
        <f t="shared" si="12"/>
        <v>21270</v>
      </c>
      <c r="BO79">
        <f t="shared" si="13"/>
        <v>315</v>
      </c>
      <c r="BP79" s="185">
        <f t="shared" si="16"/>
        <v>43800</v>
      </c>
      <c r="BQ79" s="185">
        <f t="shared" si="15"/>
        <v>748.8</v>
      </c>
      <c r="BR79" s="185">
        <f t="shared" si="11"/>
        <v>11.100000000000001</v>
      </c>
    </row>
    <row r="80" spans="1:70" ht="15" customHeight="1" x14ac:dyDescent="0.35">
      <c r="A80" s="85">
        <f t="shared" si="17"/>
        <v>45821</v>
      </c>
      <c r="B80" s="80">
        <f>YEAR(RD[[#This Row],[Date]])+IF(MONTH(RD[[#This Row],[Date]])&gt;=4,1,0)</f>
        <v>2026</v>
      </c>
      <c r="C80" s="80">
        <f>YEAR(RD[[#This Row],[Month Year]])</f>
        <v>2025</v>
      </c>
      <c r="D80" s="99" t="s">
        <v>4</v>
      </c>
      <c r="E80" s="99" t="s">
        <v>4</v>
      </c>
      <c r="F80" s="80" t="str">
        <f t="shared" si="10"/>
        <v>Jun-25</v>
      </c>
      <c r="G80" s="79">
        <f>DAY(EOMONTH(RD[[#This Row],[Month Year]],0))</f>
        <v>30</v>
      </c>
      <c r="H80" s="100">
        <v>24.303100000000001</v>
      </c>
      <c r="I80" s="315">
        <v>0.25833333333333336</v>
      </c>
      <c r="J80" s="315">
        <v>0.7729166666666667</v>
      </c>
      <c r="K80" s="79">
        <v>3592</v>
      </c>
      <c r="L80" s="79">
        <v>4123</v>
      </c>
      <c r="M80" s="79">
        <v>865</v>
      </c>
      <c r="N80" s="179">
        <v>3080</v>
      </c>
      <c r="O80" s="179">
        <v>4091</v>
      </c>
      <c r="P80" s="179">
        <v>2926</v>
      </c>
      <c r="Q80" s="179">
        <v>0</v>
      </c>
      <c r="R80" s="179">
        <v>3668</v>
      </c>
      <c r="S80" s="179">
        <v>4181</v>
      </c>
      <c r="T80" s="179">
        <v>3679</v>
      </c>
      <c r="U80" s="79">
        <v>4218</v>
      </c>
      <c r="V80" s="79">
        <v>4260</v>
      </c>
      <c r="W80" s="79">
        <v>4392</v>
      </c>
      <c r="X80" s="179">
        <v>4415</v>
      </c>
      <c r="Y80" s="179">
        <v>4387</v>
      </c>
      <c r="Z80" s="179">
        <v>4253</v>
      </c>
      <c r="AA80" s="79">
        <v>4331</v>
      </c>
      <c r="AB80" s="79">
        <v>4262</v>
      </c>
      <c r="AC80" s="79">
        <v>5329</v>
      </c>
      <c r="AD80" s="79">
        <v>5786</v>
      </c>
      <c r="AE80" s="79"/>
      <c r="AF80" s="79"/>
      <c r="AG80" s="79"/>
      <c r="AH80" s="79"/>
      <c r="AI80" s="79"/>
      <c r="AJ80" s="79"/>
      <c r="AK80" s="79"/>
      <c r="AL80" s="79"/>
      <c r="AM80" s="80">
        <v>151522.31020000001</v>
      </c>
      <c r="AN80" s="80">
        <v>630.29420000000005</v>
      </c>
      <c r="AO80" s="80"/>
      <c r="AP80" s="80">
        <v>4.2830000000000004</v>
      </c>
      <c r="AQ80" s="82">
        <v>4.4459999999999997</v>
      </c>
      <c r="AR80" s="82">
        <f>IF(RD[[#This Row],[POA(kWh/m2)_O2R6]]="",RD[[#This Row],[POA(kWh/m2)_PSEGPL]],(RD[[#This Row],[POA(kWh/m2)_PSEGPL]]*('Basic Data'!$V$2/'Basic Data'!$V$4))+(RD[[#This Row],[POA(kWh/m2)_O2R6]]*('Basic Data'!$V$3/'Basic Data'!$V$4)))</f>
        <v>4.3687764003294891</v>
      </c>
      <c r="AS80" s="82">
        <f>SUM(RD[[#This Row],[G1 Inv1]:[G5 Inv10]])</f>
        <v>30205</v>
      </c>
      <c r="AT80" s="82">
        <f>SUM(RD[[#This Row],[IS1_Inv1_M1]:[IS1_Inv2_M4]])</f>
        <v>34518</v>
      </c>
      <c r="AU80" s="82">
        <f>SUM(RD[[#This Row],[IS2_Inv1]:[IS2_Inv2]])</f>
        <v>11115</v>
      </c>
      <c r="AV80" s="80"/>
      <c r="AW80" s="83"/>
      <c r="AX80" s="80"/>
      <c r="AY80" s="80"/>
      <c r="AZ80" s="80"/>
      <c r="BA80" s="83">
        <f>IFERROR(SUM(RD[[#This Row],[PSEGPL]:[O2R10]]),"")</f>
        <v>75838</v>
      </c>
      <c r="BB80" s="80">
        <v>1510</v>
      </c>
      <c r="BC80" s="83">
        <v>237393</v>
      </c>
      <c r="BD80" s="83">
        <v>1309</v>
      </c>
      <c r="BE80" s="83">
        <v>212765</v>
      </c>
      <c r="BF80" s="83">
        <v>1891</v>
      </c>
      <c r="BG80" s="83">
        <v>245492</v>
      </c>
      <c r="BH80" s="83">
        <v>2971</v>
      </c>
      <c r="BI80" s="83">
        <v>233956</v>
      </c>
      <c r="BJ80" s="101">
        <f>IF((RD[[#This Row],[33 kV F5 Export Reading_Gss End]]-AM79)*1000&lt;0,0,(RD[[#This Row],[33 kV F5 Export Reading_Gss End]]-AM79)*1000)</f>
        <v>75770.500000013271</v>
      </c>
      <c r="BK80" s="83">
        <f>IF((RD[[#This Row],[33 kV F5 Import Reading_GSS End2]]-AN79)*1000&lt;0,0,(RD[[#This Row],[33 kV F5 Import Reading_GSS End2]]-AN79)*1000)</f>
        <v>965.20000000009532</v>
      </c>
      <c r="BL80" s="84">
        <f>RD[[#This Row],[Export  (kWh)]]-RD[[#This Row],[Import (kWh)]]</f>
        <v>74805.300000013172</v>
      </c>
      <c r="BM80" s="84">
        <f>RD[[#This Row],[Inverters Generation ( kWh)]]-RD[[#This Row],[Export  (kWh)]]</f>
        <v>67.499999986728653</v>
      </c>
      <c r="BN80">
        <f t="shared" si="12"/>
        <v>29925</v>
      </c>
      <c r="BO80">
        <f t="shared" si="13"/>
        <v>270</v>
      </c>
      <c r="BP80" s="185">
        <f t="shared" si="16"/>
        <v>46440</v>
      </c>
      <c r="BQ80" s="185">
        <f t="shared" si="15"/>
        <v>868.5</v>
      </c>
      <c r="BR80" s="185">
        <f t="shared" si="11"/>
        <v>12.350000000000001</v>
      </c>
    </row>
    <row r="81" spans="1:70" ht="15" customHeight="1" x14ac:dyDescent="0.35">
      <c r="A81" s="85">
        <f t="shared" si="17"/>
        <v>45822</v>
      </c>
      <c r="B81" s="80">
        <f>YEAR(RD[[#This Row],[Date]])+IF(MONTH(RD[[#This Row],[Date]])&gt;=4,1,0)</f>
        <v>2026</v>
      </c>
      <c r="C81" s="80">
        <f>YEAR(RD[[#This Row],[Month Year]])</f>
        <v>2025</v>
      </c>
      <c r="D81" s="99" t="s">
        <v>4</v>
      </c>
      <c r="E81" s="99" t="s">
        <v>4</v>
      </c>
      <c r="F81" s="80" t="str">
        <f t="shared" si="10"/>
        <v>Jun-25</v>
      </c>
      <c r="G81" s="79">
        <f>DAY(EOMONTH(RD[[#This Row],[Month Year]],0))</f>
        <v>30</v>
      </c>
      <c r="H81" s="100">
        <v>24.303100000000001</v>
      </c>
      <c r="I81" s="315">
        <v>0.25555555555555554</v>
      </c>
      <c r="J81" s="315">
        <v>0.77430555555555558</v>
      </c>
      <c r="K81" s="79">
        <v>4252</v>
      </c>
      <c r="L81" s="79">
        <v>4849</v>
      </c>
      <c r="M81" s="79">
        <v>3768</v>
      </c>
      <c r="N81" s="179">
        <v>4700</v>
      </c>
      <c r="O81" s="179">
        <v>405</v>
      </c>
      <c r="P81" s="179">
        <v>286</v>
      </c>
      <c r="Q81" s="179">
        <v>0</v>
      </c>
      <c r="R81" s="179">
        <v>4204</v>
      </c>
      <c r="S81" s="179">
        <v>4910</v>
      </c>
      <c r="T81" s="179">
        <v>4394</v>
      </c>
      <c r="U81" s="79">
        <v>5387</v>
      </c>
      <c r="V81" s="79">
        <v>5425</v>
      </c>
      <c r="W81" s="79">
        <v>5575</v>
      </c>
      <c r="X81" s="79">
        <v>5586</v>
      </c>
      <c r="Y81" s="79">
        <v>5566</v>
      </c>
      <c r="Z81" s="79">
        <v>5391</v>
      </c>
      <c r="AA81" s="79">
        <v>5459</v>
      </c>
      <c r="AB81" s="79">
        <v>5357</v>
      </c>
      <c r="AC81" s="79">
        <v>6103</v>
      </c>
      <c r="AD81" s="79">
        <v>6444</v>
      </c>
      <c r="AE81" s="79"/>
      <c r="AF81" s="79"/>
      <c r="AG81" s="79"/>
      <c r="AH81" s="79"/>
      <c r="AI81" s="79"/>
      <c r="AJ81" s="79"/>
      <c r="AK81" s="79"/>
      <c r="AL81" s="79"/>
      <c r="AM81" s="80">
        <v>151609.97949999999</v>
      </c>
      <c r="AN81" s="80">
        <v>631.11850000000004</v>
      </c>
      <c r="AO81" s="80"/>
      <c r="AP81" s="80">
        <v>5.5810000000000004</v>
      </c>
      <c r="AQ81" s="82">
        <v>5.1479999999999997</v>
      </c>
      <c r="AR81" s="82">
        <f>IF(RD[[#This Row],[POA(kWh/m2)_O2R6]]="",RD[[#This Row],[POA(kWh/m2)_PSEGPL]],(RD[[#This Row],[POA(kWh/m2)_PSEGPL]]*('Basic Data'!$V$2/'Basic Data'!$V$4))+(RD[[#This Row],[POA(kWh/m2)_O2R6]]*('Basic Data'!$V$3/'Basic Data'!$V$4)))</f>
        <v>5.3531399917627676</v>
      </c>
      <c r="AS81" s="82">
        <f>SUM(RD[[#This Row],[G1 Inv1]:[G5 Inv10]])</f>
        <v>31768</v>
      </c>
      <c r="AT81" s="82">
        <f>SUM(RD[[#This Row],[IS1_Inv1_M1]:[IS1_Inv2_M4]])</f>
        <v>43746</v>
      </c>
      <c r="AU81" s="82">
        <f>SUM(RD[[#This Row],[IS2_Inv1]:[IS2_Inv2]])</f>
        <v>12547</v>
      </c>
      <c r="AV81" s="80"/>
      <c r="AW81" s="83"/>
      <c r="AX81" s="80"/>
      <c r="AY81" s="80"/>
      <c r="AZ81" s="80"/>
      <c r="BA81" s="83">
        <f>IFERROR(SUM(RD[[#This Row],[PSEGPL]:[O2R10]]),"")</f>
        <v>88061</v>
      </c>
      <c r="BB81" s="80">
        <v>1512</v>
      </c>
      <c r="BC81" s="83">
        <v>237695</v>
      </c>
      <c r="BD81" s="83">
        <v>1311</v>
      </c>
      <c r="BE81" s="83">
        <v>213062</v>
      </c>
      <c r="BF81" s="83">
        <v>1895</v>
      </c>
      <c r="BG81" s="83">
        <v>245982</v>
      </c>
      <c r="BH81" s="83">
        <v>2982</v>
      </c>
      <c r="BI81" s="83">
        <v>234380</v>
      </c>
      <c r="BJ81" s="101">
        <f>IF((RD[[#This Row],[33 kV F5 Export Reading_Gss End]]-AM80)*1000&lt;0,0,(RD[[#This Row],[33 kV F5 Export Reading_Gss End]]-AM80)*1000)</f>
        <v>87669.299999979557</v>
      </c>
      <c r="BK81" s="83">
        <f>IF((RD[[#This Row],[33 kV F5 Import Reading_GSS End2]]-AN80)*1000&lt;0,0,(RD[[#This Row],[33 kV F5 Import Reading_GSS End2]]-AN80)*1000)</f>
        <v>824.29999999999382</v>
      </c>
      <c r="BL81" s="84">
        <f>RD[[#This Row],[Export  (kWh)]]-RD[[#This Row],[Import (kWh)]]</f>
        <v>86844.999999979569</v>
      </c>
      <c r="BM81" s="84">
        <f>RD[[#This Row],[Inverters Generation ( kWh)]]-RD[[#This Row],[Export  (kWh)]]</f>
        <v>391.70000002044253</v>
      </c>
      <c r="BN81">
        <f t="shared" si="12"/>
        <v>31485</v>
      </c>
      <c r="BO81">
        <f t="shared" si="13"/>
        <v>210</v>
      </c>
      <c r="BP81" s="185">
        <f t="shared" si="16"/>
        <v>56820</v>
      </c>
      <c r="BQ81" s="185">
        <f t="shared" si="15"/>
        <v>808.8</v>
      </c>
      <c r="BR81" s="185">
        <f t="shared" si="11"/>
        <v>12.450000000000001</v>
      </c>
    </row>
    <row r="82" spans="1:70" ht="15" customHeight="1" x14ac:dyDescent="0.35">
      <c r="A82" s="85">
        <f t="shared" si="17"/>
        <v>45823</v>
      </c>
      <c r="B82" s="80">
        <f>YEAR(RD[[#This Row],[Date]])+IF(MONTH(RD[[#This Row],[Date]])&gt;=4,1,0)</f>
        <v>2026</v>
      </c>
      <c r="C82" s="80">
        <f>YEAR(RD[[#This Row],[Month Year]])</f>
        <v>2025</v>
      </c>
      <c r="D82" s="99" t="s">
        <v>4</v>
      </c>
      <c r="E82" s="99" t="s">
        <v>4</v>
      </c>
      <c r="F82" s="80" t="str">
        <f t="shared" si="10"/>
        <v>Jun-25</v>
      </c>
      <c r="G82" s="79">
        <f>DAY(EOMONTH(RD[[#This Row],[Month Year]],0))</f>
        <v>30</v>
      </c>
      <c r="H82" s="100">
        <v>24.303100000000001</v>
      </c>
      <c r="I82" s="315">
        <v>0.25624999999999998</v>
      </c>
      <c r="J82" s="315">
        <v>0.77638888888888891</v>
      </c>
      <c r="K82" s="79">
        <v>3457</v>
      </c>
      <c r="L82" s="79">
        <v>3900</v>
      </c>
      <c r="M82" s="79">
        <v>56</v>
      </c>
      <c r="N82" s="179">
        <v>75</v>
      </c>
      <c r="O82" s="179">
        <v>1779</v>
      </c>
      <c r="P82" s="179">
        <v>1237</v>
      </c>
      <c r="Q82" s="179">
        <v>0</v>
      </c>
      <c r="R82" s="179">
        <v>3394</v>
      </c>
      <c r="S82" s="179">
        <v>3815</v>
      </c>
      <c r="T82" s="179">
        <v>3382</v>
      </c>
      <c r="U82" s="79">
        <v>4109</v>
      </c>
      <c r="V82" s="79">
        <v>4136</v>
      </c>
      <c r="W82" s="79">
        <v>4261</v>
      </c>
      <c r="X82" s="79">
        <v>4260</v>
      </c>
      <c r="Y82" s="79">
        <v>4278</v>
      </c>
      <c r="Z82" s="79">
        <v>4176</v>
      </c>
      <c r="AA82" s="79">
        <v>4242</v>
      </c>
      <c r="AB82" s="79">
        <v>4203</v>
      </c>
      <c r="AC82" s="79">
        <v>4922</v>
      </c>
      <c r="AD82" s="79">
        <v>5119</v>
      </c>
      <c r="AE82" s="79"/>
      <c r="AF82" s="79"/>
      <c r="AG82" s="79"/>
      <c r="AH82" s="79"/>
      <c r="AI82" s="79"/>
      <c r="AJ82" s="79"/>
      <c r="AK82" s="79"/>
      <c r="AL82" s="79"/>
      <c r="AM82" s="80">
        <v>151674.49</v>
      </c>
      <c r="AN82" s="80">
        <v>631.79</v>
      </c>
      <c r="AO82" s="80"/>
      <c r="AP82" s="80">
        <v>4.7160000000000002</v>
      </c>
      <c r="AQ82" s="82">
        <v>4.6909999999999998</v>
      </c>
      <c r="AR82" s="82">
        <f>IF(RD[[#This Row],[POA(kWh/m2)_O2R6]]="",RD[[#This Row],[POA(kWh/m2)_PSEGPL]],(RD[[#This Row],[POA(kWh/m2)_PSEGPL]]*('Basic Data'!$V$2/'Basic Data'!$V$4))+(RD[[#This Row],[POA(kWh/m2)_O2R6]]*('Basic Data'!$V$3/'Basic Data'!$V$4)))</f>
        <v>4.702844110378912</v>
      </c>
      <c r="AS82" s="82">
        <f>SUM(RD[[#This Row],[G1 Inv1]:[G5 Inv10]])</f>
        <v>21095</v>
      </c>
      <c r="AT82" s="82">
        <f>SUM(RD[[#This Row],[IS1_Inv1_M1]:[IS1_Inv2_M4]])</f>
        <v>33665</v>
      </c>
      <c r="AU82" s="82">
        <f>SUM(RD[[#This Row],[IS2_Inv1]:[IS2_Inv2]])</f>
        <v>10041</v>
      </c>
      <c r="AV82" s="80"/>
      <c r="AW82" s="83"/>
      <c r="AX82" s="80"/>
      <c r="AY82" s="80"/>
      <c r="AZ82" s="80"/>
      <c r="BA82" s="83">
        <f>IFERROR(SUM(RD[[#This Row],[PSEGPL]:[O2R10]]),"")</f>
        <v>64801</v>
      </c>
      <c r="BB82" s="80">
        <v>1514</v>
      </c>
      <c r="BC82" s="83">
        <v>237869</v>
      </c>
      <c r="BD82" s="83">
        <v>1312</v>
      </c>
      <c r="BE82" s="83">
        <v>213294</v>
      </c>
      <c r="BF82" s="83">
        <v>1898</v>
      </c>
      <c r="BG82" s="83">
        <v>246360</v>
      </c>
      <c r="BH82" s="83">
        <v>2988</v>
      </c>
      <c r="BI82" s="83">
        <v>234717</v>
      </c>
      <c r="BJ82" s="101">
        <f>IF((RD[[#This Row],[33 kV F5 Export Reading_Gss End]]-AM81)*1000&lt;0,0,(RD[[#This Row],[33 kV F5 Export Reading_Gss End]]-AM81)*1000)</f>
        <v>64510.500000003958</v>
      </c>
      <c r="BK82" s="83">
        <f>IF((RD[[#This Row],[33 kV F5 Import Reading_GSS End2]]-AN81)*1000&lt;0,0,(RD[[#This Row],[33 kV F5 Import Reading_GSS End2]]-AN81)*1000)</f>
        <v>671.4999999999236</v>
      </c>
      <c r="BL82" s="84">
        <f>RD[[#This Row],[Export  (kWh)]]-RD[[#This Row],[Import (kWh)]]</f>
        <v>63839.000000004031</v>
      </c>
      <c r="BM82" s="84">
        <f>RD[[#This Row],[Inverters Generation ( kWh)]]-RD[[#This Row],[Export  (kWh)]]</f>
        <v>290.49999999604188</v>
      </c>
      <c r="BN82">
        <f t="shared" si="12"/>
        <v>20880</v>
      </c>
      <c r="BO82">
        <f t="shared" si="13"/>
        <v>165</v>
      </c>
      <c r="BP82" s="185">
        <f t="shared" si="16"/>
        <v>44130</v>
      </c>
      <c r="BQ82" s="185">
        <f t="shared" ref="BQ82:BQ113" si="18">IF(AND(BF82="",BH82=""),"",((((BF82-BF81)*MF_Cap_O2RE6)*1.33)+((BH82-BH81)*MF_Cap_O2RE10)))</f>
        <v>539.1</v>
      </c>
      <c r="BR82" s="185">
        <f t="shared" si="11"/>
        <v>12.483333333333334</v>
      </c>
    </row>
    <row r="83" spans="1:70" ht="15" customHeight="1" x14ac:dyDescent="0.35">
      <c r="A83" s="85">
        <f t="shared" si="17"/>
        <v>45824</v>
      </c>
      <c r="B83" s="80">
        <f>YEAR(RD[[#This Row],[Date]])+IF(MONTH(RD[[#This Row],[Date]])&gt;=4,1,0)</f>
        <v>2026</v>
      </c>
      <c r="C83" s="80">
        <f>YEAR(RD[[#This Row],[Month Year]])</f>
        <v>2025</v>
      </c>
      <c r="D83" s="99" t="s">
        <v>4</v>
      </c>
      <c r="E83" s="99" t="s">
        <v>4</v>
      </c>
      <c r="F83" s="80" t="str">
        <f t="shared" si="10"/>
        <v>Jun-25</v>
      </c>
      <c r="G83" s="79">
        <f>DAY(EOMONTH(RD[[#This Row],[Month Year]],0))</f>
        <v>30</v>
      </c>
      <c r="H83" s="100">
        <v>24.303100000000001</v>
      </c>
      <c r="I83" s="315">
        <v>0.25624999999999998</v>
      </c>
      <c r="J83" s="315">
        <v>0.7680555555555556</v>
      </c>
      <c r="K83" s="79">
        <v>4426</v>
      </c>
      <c r="L83" s="79">
        <v>5029</v>
      </c>
      <c r="M83" s="79">
        <v>4087</v>
      </c>
      <c r="N83" s="179">
        <v>5057</v>
      </c>
      <c r="O83" s="179">
        <v>5081</v>
      </c>
      <c r="P83" s="179">
        <v>2897</v>
      </c>
      <c r="Q83" s="179">
        <v>0</v>
      </c>
      <c r="R83" s="179">
        <v>4533</v>
      </c>
      <c r="S83" s="179">
        <v>5077</v>
      </c>
      <c r="T83" s="179">
        <v>4548</v>
      </c>
      <c r="U83" s="79">
        <v>5235</v>
      </c>
      <c r="V83" s="79">
        <v>5260</v>
      </c>
      <c r="W83" s="79">
        <v>5407</v>
      </c>
      <c r="X83" s="79">
        <v>5424</v>
      </c>
      <c r="Y83" s="79">
        <v>5399</v>
      </c>
      <c r="Z83" s="79">
        <v>5251</v>
      </c>
      <c r="AA83" s="79">
        <v>5345</v>
      </c>
      <c r="AB83" s="79">
        <v>5249</v>
      </c>
      <c r="AC83" s="79">
        <v>6349</v>
      </c>
      <c r="AD83" s="79">
        <v>6781</v>
      </c>
      <c r="AE83" s="79"/>
      <c r="AF83" s="79"/>
      <c r="AG83" s="79"/>
      <c r="AH83" s="79"/>
      <c r="AI83" s="79"/>
      <c r="AJ83" s="79"/>
      <c r="AK83" s="79"/>
      <c r="AL83" s="79"/>
      <c r="AM83" s="80">
        <v>151770.7322</v>
      </c>
      <c r="AN83" s="80">
        <v>632.66890000000001</v>
      </c>
      <c r="AO83" s="80"/>
      <c r="AP83" s="80">
        <v>4.9960000000000004</v>
      </c>
      <c r="AQ83" s="82">
        <v>5.0830000000000002</v>
      </c>
      <c r="AR83" s="82">
        <f>IF(RD[[#This Row],[POA(kWh/m2)_O2R6]]="",RD[[#This Row],[POA(kWh/m2)_PSEGPL]],(RD[[#This Row],[POA(kWh/m2)_PSEGPL]]*('Basic Data'!$V$2/'Basic Data'!$V$4))+(RD[[#This Row],[POA(kWh/m2)_O2R6]]*('Basic Data'!$V$3/'Basic Data'!$V$4)))</f>
        <v>5.0417824958813835</v>
      </c>
      <c r="AS83" s="82">
        <f>SUM(RD[[#This Row],[G1 Inv1]:[G5 Inv10]])</f>
        <v>40735</v>
      </c>
      <c r="AT83" s="82">
        <f>SUM(RD[[#This Row],[IS1_Inv1_M1]:[IS1_Inv2_M4]])</f>
        <v>42570</v>
      </c>
      <c r="AU83" s="82">
        <f>SUM(RD[[#This Row],[IS2_Inv1]:[IS2_Inv2]])</f>
        <v>13130</v>
      </c>
      <c r="AV83" s="80"/>
      <c r="AW83" s="83"/>
      <c r="AX83" s="80"/>
      <c r="AY83" s="80"/>
      <c r="AZ83" s="80"/>
      <c r="BA83" s="83">
        <f>IFERROR(SUM(RD[[#This Row],[PSEGPL]:[O2R10]]),"")</f>
        <v>96435</v>
      </c>
      <c r="BB83" s="80">
        <v>1516</v>
      </c>
      <c r="BC83" s="83">
        <v>238311</v>
      </c>
      <c r="BD83" s="83">
        <v>1314</v>
      </c>
      <c r="BE83" s="83">
        <v>213606</v>
      </c>
      <c r="BF83" s="83">
        <v>1902</v>
      </c>
      <c r="BG83" s="83">
        <v>246839</v>
      </c>
      <c r="BH83" s="83">
        <v>2997</v>
      </c>
      <c r="BI83" s="83">
        <v>235160</v>
      </c>
      <c r="BJ83" s="101">
        <f>IF((RD[[#This Row],[33 kV F5 Export Reading_Gss End]]-AM82)*1000&lt;0,0,(RD[[#This Row],[33 kV F5 Export Reading_Gss End]]-AM82)*1000)</f>
        <v>96242.20000000787</v>
      </c>
      <c r="BK83" s="83">
        <f>IF((RD[[#This Row],[33 kV F5 Import Reading_GSS End2]]-AN82)*1000&lt;0,0,(RD[[#This Row],[33 kV F5 Import Reading_GSS End2]]-AN82)*1000)</f>
        <v>878.9000000000442</v>
      </c>
      <c r="BL83" s="84">
        <f>RD[[#This Row],[Export  (kWh)]]-RD[[#This Row],[Import (kWh)]]</f>
        <v>95363.300000007832</v>
      </c>
      <c r="BM83" s="84">
        <f>RD[[#This Row],[Inverters Generation ( kWh)]]-RD[[#This Row],[Export  (kWh)]]</f>
        <v>192.79999999213032</v>
      </c>
      <c r="BN83">
        <f t="shared" si="12"/>
        <v>40560</v>
      </c>
      <c r="BO83">
        <f t="shared" si="13"/>
        <v>210</v>
      </c>
      <c r="BP83" s="185">
        <f t="shared" si="16"/>
        <v>56400</v>
      </c>
      <c r="BQ83" s="185">
        <f t="shared" si="18"/>
        <v>748.8</v>
      </c>
      <c r="BR83" s="185">
        <f t="shared" si="11"/>
        <v>12.283333333333335</v>
      </c>
    </row>
    <row r="84" spans="1:70" ht="15" customHeight="1" x14ac:dyDescent="0.35">
      <c r="A84" s="85">
        <f t="shared" si="17"/>
        <v>45825</v>
      </c>
      <c r="B84" s="80">
        <f>YEAR(RD[[#This Row],[Date]])+IF(MONTH(RD[[#This Row],[Date]])&gt;=4,1,0)</f>
        <v>2026</v>
      </c>
      <c r="C84" s="80">
        <f>YEAR(RD[[#This Row],[Month Year]])</f>
        <v>2025</v>
      </c>
      <c r="D84" s="99" t="s">
        <v>4</v>
      </c>
      <c r="E84" s="99" t="s">
        <v>4</v>
      </c>
      <c r="F84" s="80" t="str">
        <f t="shared" ref="F84:F134" si="19">TEXT(A84,"mmm-yy")</f>
        <v>Jun-25</v>
      </c>
      <c r="G84" s="79">
        <f>DAY(EOMONTH(RD[[#This Row],[Month Year]],0))</f>
        <v>30</v>
      </c>
      <c r="H84" s="100">
        <v>24.303100000000001</v>
      </c>
      <c r="I84" s="315">
        <v>0.25416666666666665</v>
      </c>
      <c r="J84" s="315">
        <v>0.78402777777777777</v>
      </c>
      <c r="K84" s="79">
        <v>5020</v>
      </c>
      <c r="L84" s="79">
        <v>5720</v>
      </c>
      <c r="M84" s="79">
        <v>4654</v>
      </c>
      <c r="N84" s="179">
        <v>5837</v>
      </c>
      <c r="O84" s="179">
        <v>5959</v>
      </c>
      <c r="P84" s="179">
        <v>4234</v>
      </c>
      <c r="Q84" s="179">
        <v>0</v>
      </c>
      <c r="R84" s="179">
        <v>5213</v>
      </c>
      <c r="S84" s="179">
        <v>5842</v>
      </c>
      <c r="T84" s="179">
        <v>5227</v>
      </c>
      <c r="U84" s="79">
        <v>6121</v>
      </c>
      <c r="V84" s="79">
        <v>6117</v>
      </c>
      <c r="W84" s="79">
        <v>6266</v>
      </c>
      <c r="X84" s="79">
        <v>6285</v>
      </c>
      <c r="Y84" s="79">
        <v>6262</v>
      </c>
      <c r="Z84" s="79">
        <v>6138</v>
      </c>
      <c r="AA84" s="79">
        <v>6268</v>
      </c>
      <c r="AB84" s="79">
        <v>6168</v>
      </c>
      <c r="AC84" s="79">
        <v>7257</v>
      </c>
      <c r="AD84" s="79">
        <v>7634</v>
      </c>
      <c r="AE84" s="79"/>
      <c r="AF84" s="79"/>
      <c r="AG84" s="79"/>
      <c r="AH84" s="79"/>
      <c r="AI84" s="79"/>
      <c r="AJ84" s="79"/>
      <c r="AK84" s="79"/>
      <c r="AL84" s="79"/>
      <c r="AM84" s="80">
        <v>151882.41329999999</v>
      </c>
      <c r="AN84" s="80">
        <v>633.76340000000005</v>
      </c>
      <c r="AO84" s="80"/>
      <c r="AP84" s="80">
        <v>6.0490000000000004</v>
      </c>
      <c r="AQ84" s="82">
        <v>6.069</v>
      </c>
      <c r="AR84" s="82">
        <f>IF(RD[[#This Row],[POA(kWh/m2)_O2R6]]="",RD[[#This Row],[POA(kWh/m2)_PSEGPL]],(RD[[#This Row],[POA(kWh/m2)_PSEGPL]]*('Basic Data'!$V$2/'Basic Data'!$V$4))+(RD[[#This Row],[POA(kWh/m2)_O2R6]]*('Basic Data'!$V$3/'Basic Data'!$V$4)))</f>
        <v>6.05952471169687</v>
      </c>
      <c r="AS84" s="82">
        <f>SUM(RD[[#This Row],[G1 Inv1]:[G5 Inv10]])</f>
        <v>47706</v>
      </c>
      <c r="AT84" s="82">
        <f>SUM(RD[[#This Row],[IS1_Inv1_M1]:[IS1_Inv2_M4]])</f>
        <v>49625</v>
      </c>
      <c r="AU84" s="82">
        <f>SUM(RD[[#This Row],[IS2_Inv1]:[IS2_Inv2]])</f>
        <v>14891</v>
      </c>
      <c r="AV84" s="80"/>
      <c r="AW84" s="83"/>
      <c r="AX84" s="80"/>
      <c r="AY84" s="80"/>
      <c r="AZ84" s="80"/>
      <c r="BA84" s="83">
        <f>IFERROR(SUM(RD[[#This Row],[PSEGPL]:[O2R10]]),"")</f>
        <v>112222</v>
      </c>
      <c r="BB84" s="80">
        <v>1519</v>
      </c>
      <c r="BC84" s="83">
        <v>238831</v>
      </c>
      <c r="BD84" s="83">
        <v>1317</v>
      </c>
      <c r="BE84" s="83">
        <v>213963</v>
      </c>
      <c r="BF84" s="83">
        <v>1910</v>
      </c>
      <c r="BG84" s="83">
        <v>247394</v>
      </c>
      <c r="BH84" s="83">
        <v>3008</v>
      </c>
      <c r="BI84" s="83">
        <v>235661</v>
      </c>
      <c r="BJ84" s="101">
        <f>IF((RD[[#This Row],[33 kV F5 Export Reading_Gss End]]-AM83)*1000&lt;0,0,(RD[[#This Row],[33 kV F5 Export Reading_Gss End]]-AM83)*1000)</f>
        <v>111681.09999998705</v>
      </c>
      <c r="BK84" s="83">
        <f>IF((RD[[#This Row],[33 kV F5 Import Reading_GSS End2]]-AN83)*1000&lt;0,0,(RD[[#This Row],[33 kV F5 Import Reading_GSS End2]]-AN83)*1000)</f>
        <v>1094.5000000000391</v>
      </c>
      <c r="BL84" s="84">
        <f>RD[[#This Row],[Export  (kWh)]]-RD[[#This Row],[Import (kWh)]]</f>
        <v>110586.59999998701</v>
      </c>
      <c r="BM84" s="84">
        <f>RD[[#This Row],[Inverters Generation ( kWh)]]-RD[[#This Row],[Export  (kWh)]]</f>
        <v>540.90000001294538</v>
      </c>
      <c r="BN84">
        <f t="shared" si="12"/>
        <v>47265</v>
      </c>
      <c r="BO84">
        <f t="shared" si="13"/>
        <v>315</v>
      </c>
      <c r="BP84" s="185">
        <f t="shared" si="16"/>
        <v>64980</v>
      </c>
      <c r="BQ84" s="185">
        <f t="shared" si="18"/>
        <v>1287.5999999999999</v>
      </c>
      <c r="BR84" s="185">
        <f t="shared" ref="BR84:BR134" si="20">IFERROR((J84-I84)*24,"")</f>
        <v>12.716666666666667</v>
      </c>
    </row>
    <row r="85" spans="1:70" ht="15" customHeight="1" x14ac:dyDescent="0.35">
      <c r="A85" s="85">
        <f t="shared" si="17"/>
        <v>45826</v>
      </c>
      <c r="B85" s="80">
        <f>YEAR(RD[[#This Row],[Date]])+IF(MONTH(RD[[#This Row],[Date]])&gt;=4,1,0)</f>
        <v>2026</v>
      </c>
      <c r="C85" s="80">
        <f>YEAR(RD[[#This Row],[Month Year]])</f>
        <v>2025</v>
      </c>
      <c r="D85" s="99" t="s">
        <v>4</v>
      </c>
      <c r="E85" s="99" t="s">
        <v>4</v>
      </c>
      <c r="F85" s="80" t="str">
        <f t="shared" si="19"/>
        <v>Jun-25</v>
      </c>
      <c r="G85" s="79">
        <f>DAY(EOMONTH(RD[[#This Row],[Month Year]],0))</f>
        <v>30</v>
      </c>
      <c r="H85" s="100">
        <v>24.303100000000001</v>
      </c>
      <c r="I85" s="315">
        <v>0.25555555555555554</v>
      </c>
      <c r="J85" s="315">
        <v>0.78263888888888888</v>
      </c>
      <c r="K85" s="79">
        <v>3730</v>
      </c>
      <c r="L85" s="79">
        <v>4228</v>
      </c>
      <c r="M85" s="79">
        <v>3412</v>
      </c>
      <c r="N85" s="179">
        <v>4251</v>
      </c>
      <c r="O85" s="179">
        <v>4346</v>
      </c>
      <c r="P85" s="179">
        <v>3245</v>
      </c>
      <c r="Q85" s="179">
        <v>0</v>
      </c>
      <c r="R85" s="179">
        <v>3776</v>
      </c>
      <c r="S85" s="179">
        <v>4305</v>
      </c>
      <c r="T85" s="179">
        <v>3885</v>
      </c>
      <c r="U85" s="79">
        <v>4593</v>
      </c>
      <c r="V85" s="79">
        <v>4629</v>
      </c>
      <c r="W85" s="79">
        <v>4755</v>
      </c>
      <c r="X85" s="79">
        <v>4758</v>
      </c>
      <c r="Y85" s="79">
        <v>4752</v>
      </c>
      <c r="Z85" s="79">
        <v>4637</v>
      </c>
      <c r="AA85" s="79">
        <v>4701</v>
      </c>
      <c r="AB85" s="79">
        <v>4615</v>
      </c>
      <c r="AC85" s="79">
        <v>5461</v>
      </c>
      <c r="AD85" s="79">
        <v>5737</v>
      </c>
      <c r="AE85" s="79"/>
      <c r="AF85" s="79"/>
      <c r="AG85" s="79"/>
      <c r="AH85" s="79"/>
      <c r="AI85" s="79"/>
      <c r="AJ85" s="79"/>
      <c r="AK85" s="79"/>
      <c r="AL85" s="79"/>
      <c r="AM85" s="80">
        <v>151966.25659999999</v>
      </c>
      <c r="AN85" s="80">
        <v>634.56209999999999</v>
      </c>
      <c r="AO85" s="80"/>
      <c r="AP85" s="80">
        <v>4.3470000000000004</v>
      </c>
      <c r="AQ85" s="82">
        <v>4.2469999999999999</v>
      </c>
      <c r="AR85" s="82">
        <f>IF(RD[[#This Row],[POA(kWh/m2)_O2R6]]="",RD[[#This Row],[POA(kWh/m2)_PSEGPL]],(RD[[#This Row],[POA(kWh/m2)_PSEGPL]]*('Basic Data'!$V$2/'Basic Data'!$V$4))+(RD[[#This Row],[POA(kWh/m2)_O2R6]]*('Basic Data'!$V$3/'Basic Data'!$V$4)))</f>
        <v>4.2943764415156505</v>
      </c>
      <c r="AS85" s="82">
        <f>SUM(RD[[#This Row],[G1 Inv1]:[G5 Inv10]])</f>
        <v>35178</v>
      </c>
      <c r="AT85" s="82">
        <f>SUM(RD[[#This Row],[IS1_Inv1_M1]:[IS1_Inv2_M4]])</f>
        <v>37440</v>
      </c>
      <c r="AU85" s="82">
        <f>SUM(RD[[#This Row],[IS2_Inv1]:[IS2_Inv2]])</f>
        <v>11198</v>
      </c>
      <c r="AV85" s="80"/>
      <c r="AW85" s="83"/>
      <c r="AX85" s="80"/>
      <c r="AY85" s="80"/>
      <c r="AZ85" s="80"/>
      <c r="BA85" s="83">
        <f>IFERROR(SUM(RD[[#This Row],[PSEGPL]:[O2R10]]),"")</f>
        <v>83816</v>
      </c>
      <c r="BB85" s="80">
        <v>1521</v>
      </c>
      <c r="BC85" s="83">
        <v>239217</v>
      </c>
      <c r="BD85" s="83">
        <v>1319</v>
      </c>
      <c r="BE85" s="83">
        <v>214226</v>
      </c>
      <c r="BF85" s="83">
        <v>1918</v>
      </c>
      <c r="BG85" s="83">
        <v>247816</v>
      </c>
      <c r="BH85" s="83">
        <v>3015</v>
      </c>
      <c r="BI85" s="83">
        <v>236039</v>
      </c>
      <c r="BJ85" s="101">
        <f>IF((RD[[#This Row],[33 kV F5 Export Reading_Gss End]]-AM84)*1000&lt;0,0,(RD[[#This Row],[33 kV F5 Export Reading_Gss End]]-AM84)*1000)</f>
        <v>83843.30000000773</v>
      </c>
      <c r="BK85" s="83">
        <f>IF((RD[[#This Row],[33 kV F5 Import Reading_GSS End2]]-AN84)*1000&lt;0,0,(RD[[#This Row],[33 kV F5 Import Reading_GSS End2]]-AN84)*1000)</f>
        <v>798.69999999993979</v>
      </c>
      <c r="BL85" s="84">
        <f>RD[[#This Row],[Export  (kWh)]]-RD[[#This Row],[Import (kWh)]]</f>
        <v>83044.600000007791</v>
      </c>
      <c r="BM85" s="84">
        <f>RD[[#This Row],[Inverters Generation ( kWh)]]-RD[[#This Row],[Export  (kWh)]]</f>
        <v>-27.300000007729977</v>
      </c>
      <c r="BN85">
        <f t="shared" ref="BN85:BN134" si="21">IF(AND(BC85="",BE85=""),"",(((BC85-BC84)*MF_Cap_HCCB)+((BE85-BE84)*MF_Cap_Pepsico)))</f>
        <v>34995</v>
      </c>
      <c r="BO85">
        <f t="shared" ref="BO85:BO134" si="22">IF(AND(BB85="",BD85=""),"",(((BB85-BB84)*MF_Cap_HCCB)+((BD85-BD84)*MF_Cap_Pepsico)))</f>
        <v>210</v>
      </c>
      <c r="BP85" s="185">
        <f t="shared" si="16"/>
        <v>49320</v>
      </c>
      <c r="BQ85" s="185">
        <f t="shared" si="18"/>
        <v>1167.5999999999999</v>
      </c>
      <c r="BR85" s="185">
        <f t="shared" si="20"/>
        <v>12.65</v>
      </c>
    </row>
    <row r="86" spans="1:70" ht="15" customHeight="1" x14ac:dyDescent="0.35">
      <c r="A86" s="85">
        <f t="shared" si="17"/>
        <v>45827</v>
      </c>
      <c r="B86" s="80">
        <f>YEAR(RD[[#This Row],[Date]])+IF(MONTH(RD[[#This Row],[Date]])&gt;=4,1,0)</f>
        <v>2026</v>
      </c>
      <c r="C86" s="80">
        <f>YEAR(RD[[#This Row],[Month Year]])</f>
        <v>2025</v>
      </c>
      <c r="D86" s="99" t="s">
        <v>4</v>
      </c>
      <c r="E86" s="99" t="s">
        <v>4</v>
      </c>
      <c r="F86" s="80" t="str">
        <f t="shared" si="19"/>
        <v>Jun-25</v>
      </c>
      <c r="G86" s="79">
        <f>DAY(EOMONTH(RD[[#This Row],[Month Year]],0))</f>
        <v>30</v>
      </c>
      <c r="H86" s="100">
        <v>24.303100000000001</v>
      </c>
      <c r="I86" s="315">
        <v>0.25347222222222221</v>
      </c>
      <c r="J86" s="315">
        <v>0.78472222222222221</v>
      </c>
      <c r="K86" s="79">
        <v>3206</v>
      </c>
      <c r="L86" s="79">
        <v>3625</v>
      </c>
      <c r="M86" s="79">
        <v>3038</v>
      </c>
      <c r="N86" s="179">
        <v>3656</v>
      </c>
      <c r="O86" s="179">
        <v>3710</v>
      </c>
      <c r="P86" s="179">
        <v>2966</v>
      </c>
      <c r="Q86" s="179">
        <v>2121</v>
      </c>
      <c r="R86" s="179">
        <v>3350</v>
      </c>
      <c r="S86" s="179">
        <v>3757</v>
      </c>
      <c r="T86" s="179">
        <v>3365</v>
      </c>
      <c r="U86" s="79">
        <v>3890</v>
      </c>
      <c r="V86" s="79">
        <v>3904</v>
      </c>
      <c r="W86" s="79">
        <v>4013</v>
      </c>
      <c r="X86" s="79">
        <v>4017</v>
      </c>
      <c r="Y86" s="79">
        <v>4006</v>
      </c>
      <c r="Z86" s="79">
        <v>3903</v>
      </c>
      <c r="AA86" s="79">
        <v>3980</v>
      </c>
      <c r="AB86" s="79">
        <v>3911</v>
      </c>
      <c r="AC86" s="79">
        <v>4736</v>
      </c>
      <c r="AD86" s="79">
        <v>5013</v>
      </c>
      <c r="AE86" s="79"/>
      <c r="AF86" s="79"/>
      <c r="AG86" s="79"/>
      <c r="AH86" s="79"/>
      <c r="AI86" s="79"/>
      <c r="AJ86" s="79"/>
      <c r="AK86" s="79"/>
      <c r="AL86" s="79"/>
      <c r="AM86" s="80">
        <v>152040.56839999999</v>
      </c>
      <c r="AN86" s="80">
        <v>635.66610000000003</v>
      </c>
      <c r="AO86" s="80"/>
      <c r="AP86" s="80">
        <v>3.653</v>
      </c>
      <c r="AQ86" s="82">
        <v>3.6880000000000002</v>
      </c>
      <c r="AR86" s="82">
        <f>IF(RD[[#This Row],[POA(kWh/m2)_O2R6]]="",RD[[#This Row],[POA(kWh/m2)_PSEGPL]],(RD[[#This Row],[POA(kWh/m2)_PSEGPL]]*('Basic Data'!$V$2/'Basic Data'!$V$4))+(RD[[#This Row],[POA(kWh/m2)_O2R6]]*('Basic Data'!$V$3/'Basic Data'!$V$4)))</f>
        <v>3.6714182454695221</v>
      </c>
      <c r="AS86" s="82">
        <f>SUM(RD[[#This Row],[G1 Inv1]:[G5 Inv10]])</f>
        <v>32794</v>
      </c>
      <c r="AT86" s="82">
        <f>SUM(RD[[#This Row],[IS1_Inv1_M1]:[IS1_Inv2_M4]])</f>
        <v>31624</v>
      </c>
      <c r="AU86" s="82">
        <f>SUM(RD[[#This Row],[IS2_Inv1]:[IS2_Inv2]])</f>
        <v>9749</v>
      </c>
      <c r="AV86" s="80"/>
      <c r="AW86" s="83"/>
      <c r="AX86" s="80"/>
      <c r="AY86" s="80"/>
      <c r="AZ86" s="80"/>
      <c r="BA86" s="83">
        <f>IFERROR(SUM(RD[[#This Row],[PSEGPL]:[O2R10]]),"")</f>
        <v>74167</v>
      </c>
      <c r="BB86" s="80">
        <v>1524</v>
      </c>
      <c r="BC86" s="83">
        <v>239631</v>
      </c>
      <c r="BD86" s="83">
        <v>1320</v>
      </c>
      <c r="BE86" s="83">
        <v>214504</v>
      </c>
      <c r="BF86" s="83">
        <v>1914</v>
      </c>
      <c r="BG86" s="83">
        <v>248178</v>
      </c>
      <c r="BH86" s="83">
        <v>3024</v>
      </c>
      <c r="BI86" s="83">
        <v>236372</v>
      </c>
      <c r="BJ86" s="101">
        <f>IF((RD[[#This Row],[33 kV F5 Export Reading_Gss End]]-AM85)*1000&lt;0,0,(RD[[#This Row],[33 kV F5 Export Reading_Gss End]]-AM85)*1000)</f>
        <v>74311.799999995856</v>
      </c>
      <c r="BK86" s="83">
        <f>IF((RD[[#This Row],[33 kV F5 Import Reading_GSS End2]]-AN85)*1000&lt;0,0,(RD[[#This Row],[33 kV F5 Import Reading_GSS End2]]-AN85)*1000)</f>
        <v>1104.0000000000418</v>
      </c>
      <c r="BL86" s="84">
        <f>RD[[#This Row],[Export  (kWh)]]-RD[[#This Row],[Import (kWh)]]</f>
        <v>73207.799999995812</v>
      </c>
      <c r="BM86" s="84">
        <f>RD[[#This Row],[Inverters Generation ( kWh)]]-RD[[#This Row],[Export  (kWh)]]</f>
        <v>-144.79999999585561</v>
      </c>
      <c r="BN86">
        <f t="shared" si="21"/>
        <v>37350</v>
      </c>
      <c r="BO86">
        <f t="shared" si="22"/>
        <v>225</v>
      </c>
      <c r="BP86" s="185">
        <f t="shared" si="16"/>
        <v>42570</v>
      </c>
      <c r="BQ86" s="185">
        <f t="shared" si="18"/>
        <v>-208.8</v>
      </c>
      <c r="BR86" s="185">
        <f t="shared" si="20"/>
        <v>12.75</v>
      </c>
    </row>
    <row r="87" spans="1:70" ht="15" customHeight="1" x14ac:dyDescent="0.35">
      <c r="A87" s="85">
        <f t="shared" si="17"/>
        <v>45828</v>
      </c>
      <c r="B87" s="80">
        <f>YEAR(RD[[#This Row],[Date]])+IF(MONTH(RD[[#This Row],[Date]])&gt;=4,1,0)</f>
        <v>2026</v>
      </c>
      <c r="C87" s="80">
        <f>YEAR(RD[[#This Row],[Month Year]])</f>
        <v>2025</v>
      </c>
      <c r="D87" s="99" t="s">
        <v>4</v>
      </c>
      <c r="E87" s="99" t="s">
        <v>4</v>
      </c>
      <c r="F87" s="80" t="str">
        <f t="shared" si="19"/>
        <v>Jun-25</v>
      </c>
      <c r="G87" s="79">
        <f>DAY(EOMONTH(RD[[#This Row],[Month Year]],0))</f>
        <v>30</v>
      </c>
      <c r="H87" s="100">
        <v>24.303100000000001</v>
      </c>
      <c r="I87" s="315">
        <v>0.25972222222222224</v>
      </c>
      <c r="J87" s="315">
        <v>0.78541666666666665</v>
      </c>
      <c r="K87" s="79">
        <v>4808</v>
      </c>
      <c r="L87" s="79">
        <v>5439</v>
      </c>
      <c r="M87" s="79">
        <v>4667</v>
      </c>
      <c r="N87" s="179">
        <v>5476</v>
      </c>
      <c r="O87" s="179">
        <v>5426</v>
      </c>
      <c r="P87" s="179">
        <v>4476</v>
      </c>
      <c r="Q87" s="179">
        <v>5176</v>
      </c>
      <c r="R87" s="179">
        <v>5001</v>
      </c>
      <c r="S87" s="179">
        <v>5615</v>
      </c>
      <c r="T87" s="179">
        <v>5030</v>
      </c>
      <c r="U87" s="79">
        <v>6013</v>
      </c>
      <c r="V87" s="79">
        <v>5992</v>
      </c>
      <c r="W87" s="79">
        <v>6139</v>
      </c>
      <c r="X87" s="79">
        <v>6123</v>
      </c>
      <c r="Y87" s="79">
        <v>6145</v>
      </c>
      <c r="Z87" s="79">
        <v>5993</v>
      </c>
      <c r="AA87" s="79">
        <v>6127</v>
      </c>
      <c r="AB87" s="79">
        <v>6042</v>
      </c>
      <c r="AC87" s="79">
        <v>7051</v>
      </c>
      <c r="AD87" s="79">
        <v>7339</v>
      </c>
      <c r="AE87" s="79"/>
      <c r="AF87" s="79"/>
      <c r="AG87" s="79"/>
      <c r="AH87" s="79"/>
      <c r="AI87" s="79"/>
      <c r="AJ87" s="79"/>
      <c r="AK87" s="79"/>
      <c r="AL87" s="79"/>
      <c r="AM87" s="80">
        <v>152153.3352</v>
      </c>
      <c r="AN87" s="80">
        <v>636.06240000000003</v>
      </c>
      <c r="AO87" s="80"/>
      <c r="AP87" s="80">
        <v>5.6520000000000001</v>
      </c>
      <c r="AQ87" s="82">
        <v>5.5810000000000004</v>
      </c>
      <c r="AR87" s="82">
        <f>IF(RD[[#This Row],[POA(kWh/m2)_O2R6]]="",RD[[#This Row],[POA(kWh/m2)_PSEGPL]],(RD[[#This Row],[POA(kWh/m2)_PSEGPL]]*('Basic Data'!$V$2/'Basic Data'!$V$4))+(RD[[#This Row],[POA(kWh/m2)_O2R6]]*('Basic Data'!$V$3/'Basic Data'!$V$4)))</f>
        <v>5.6146372734761121</v>
      </c>
      <c r="AS87" s="82">
        <f>SUM(RD[[#This Row],[G1 Inv1]:[G5 Inv10]])</f>
        <v>51114</v>
      </c>
      <c r="AT87" s="82">
        <f>SUM(RD[[#This Row],[IS1_Inv1_M1]:[IS1_Inv2_M4]])</f>
        <v>48574</v>
      </c>
      <c r="AU87" s="82">
        <f>SUM(RD[[#This Row],[IS2_Inv1]:[IS2_Inv2]])</f>
        <v>14390</v>
      </c>
      <c r="AV87" s="80"/>
      <c r="AW87" s="83"/>
      <c r="AX87" s="80"/>
      <c r="AY87" s="80"/>
      <c r="AZ87" s="80"/>
      <c r="BA87" s="83">
        <f>IFERROR(SUM(RD[[#This Row],[PSEGPL]:[O2R10]]),"")</f>
        <v>114078</v>
      </c>
      <c r="BB87" s="80">
        <v>1526</v>
      </c>
      <c r="BC87" s="83">
        <v>240041</v>
      </c>
      <c r="BD87" s="83">
        <v>1322</v>
      </c>
      <c r="BE87" s="83">
        <v>214963</v>
      </c>
      <c r="BF87" s="83">
        <v>1918</v>
      </c>
      <c r="BG87" s="83">
        <v>248722</v>
      </c>
      <c r="BH87" s="83">
        <v>3032</v>
      </c>
      <c r="BI87" s="83">
        <v>236856</v>
      </c>
      <c r="BJ87" s="101">
        <f>IF((RD[[#This Row],[33 kV F5 Export Reading_Gss End]]-AM86)*1000&lt;0,0,(RD[[#This Row],[33 kV F5 Export Reading_Gss End]]-AM86)*1000)</f>
        <v>112766.80000001215</v>
      </c>
      <c r="BK87" s="83">
        <f>IF((RD[[#This Row],[33 kV F5 Import Reading_GSS End2]]-AN86)*1000&lt;0,0,(RD[[#This Row],[33 kV F5 Import Reading_GSS End2]]-AN86)*1000)</f>
        <v>396.29999999999654</v>
      </c>
      <c r="BL87" s="84">
        <f>RD[[#This Row],[Export  (kWh)]]-RD[[#This Row],[Import (kWh)]]</f>
        <v>112370.50000001215</v>
      </c>
      <c r="BM87" s="84">
        <f>RD[[#This Row],[Inverters Generation ( kWh)]]-RD[[#This Row],[Export  (kWh)]]</f>
        <v>1311.1999999878462</v>
      </c>
      <c r="BN87">
        <f t="shared" si="21"/>
        <v>45255</v>
      </c>
      <c r="BO87">
        <f t="shared" si="22"/>
        <v>210</v>
      </c>
      <c r="BP87" s="185">
        <f t="shared" si="16"/>
        <v>63480</v>
      </c>
      <c r="BQ87" s="185">
        <f t="shared" si="18"/>
        <v>718.8</v>
      </c>
      <c r="BR87" s="185">
        <f t="shared" si="20"/>
        <v>12.616666666666667</v>
      </c>
    </row>
    <row r="88" spans="1:70" ht="15" customHeight="1" x14ac:dyDescent="0.35">
      <c r="A88" s="85">
        <f t="shared" si="17"/>
        <v>45829</v>
      </c>
      <c r="B88" s="80">
        <f>YEAR(RD[[#This Row],[Date]])+IF(MONTH(RD[[#This Row],[Date]])&gt;=4,1,0)</f>
        <v>2026</v>
      </c>
      <c r="C88" s="80">
        <f>YEAR(RD[[#This Row],[Month Year]])</f>
        <v>2025</v>
      </c>
      <c r="D88" s="99" t="s">
        <v>4</v>
      </c>
      <c r="E88" s="99" t="s">
        <v>4</v>
      </c>
      <c r="F88" s="80" t="str">
        <f t="shared" si="19"/>
        <v>Jun-25</v>
      </c>
      <c r="G88" s="79">
        <f>DAY(EOMONTH(RD[[#This Row],[Month Year]],0))</f>
        <v>30</v>
      </c>
      <c r="H88" s="100">
        <v>24.303100000000001</v>
      </c>
      <c r="I88" s="315">
        <v>0.25624999999999998</v>
      </c>
      <c r="J88" s="315">
        <v>0.78680555555555554</v>
      </c>
      <c r="K88" s="79">
        <v>4772</v>
      </c>
      <c r="L88" s="79">
        <v>5404</v>
      </c>
      <c r="M88" s="79">
        <v>4793</v>
      </c>
      <c r="N88" s="179">
        <v>5356</v>
      </c>
      <c r="O88" s="179">
        <v>5481</v>
      </c>
      <c r="P88" s="179">
        <v>4613</v>
      </c>
      <c r="Q88" s="179">
        <v>5554</v>
      </c>
      <c r="R88" s="179">
        <v>5034</v>
      </c>
      <c r="S88" s="179">
        <v>5632</v>
      </c>
      <c r="T88" s="179">
        <v>5087</v>
      </c>
      <c r="U88" s="79">
        <v>5933</v>
      </c>
      <c r="V88" s="79">
        <v>5980</v>
      </c>
      <c r="W88" s="79">
        <v>6142</v>
      </c>
      <c r="X88" s="79">
        <v>6152</v>
      </c>
      <c r="Y88" s="79">
        <v>6130</v>
      </c>
      <c r="Z88" s="79">
        <v>5967</v>
      </c>
      <c r="AA88" s="79">
        <v>6061</v>
      </c>
      <c r="AB88" s="79">
        <v>5944</v>
      </c>
      <c r="AC88" s="79">
        <v>7040</v>
      </c>
      <c r="AD88" s="79">
        <v>7304</v>
      </c>
      <c r="AE88" s="79"/>
      <c r="AF88" s="79"/>
      <c r="AG88" s="79"/>
      <c r="AH88" s="79"/>
      <c r="AI88" s="79"/>
      <c r="AJ88" s="79"/>
      <c r="AK88" s="79"/>
      <c r="AL88" s="79"/>
      <c r="AM88" s="80">
        <v>152267.12479999999</v>
      </c>
      <c r="AN88" s="80">
        <v>636.9366</v>
      </c>
      <c r="AO88" s="80"/>
      <c r="AP88" s="80">
        <v>5.742</v>
      </c>
      <c r="AQ88" s="82">
        <v>5.8449999999999998</v>
      </c>
      <c r="AR88" s="82">
        <f>IF(RD[[#This Row],[POA(kWh/m2)_O2R6]]="",RD[[#This Row],[POA(kWh/m2)_PSEGPL]],(RD[[#This Row],[POA(kWh/m2)_PSEGPL]]*('Basic Data'!$V$2/'Basic Data'!$V$4))+(RD[[#This Row],[POA(kWh/m2)_O2R6]]*('Basic Data'!$V$3/'Basic Data'!$V$4)))</f>
        <v>5.7962022652388789</v>
      </c>
      <c r="AS88" s="82">
        <f>SUM(RD[[#This Row],[G1 Inv1]:[G5 Inv10]])</f>
        <v>51726</v>
      </c>
      <c r="AT88" s="82">
        <f>SUM(RD[[#This Row],[IS1_Inv1_M1]:[IS1_Inv2_M4]])</f>
        <v>48309</v>
      </c>
      <c r="AU88" s="82">
        <f>SUM(RD[[#This Row],[IS2_Inv1]:[IS2_Inv2]])</f>
        <v>14344</v>
      </c>
      <c r="AV88" s="80"/>
      <c r="AW88" s="83"/>
      <c r="AX88" s="80"/>
      <c r="AY88" s="80"/>
      <c r="AZ88" s="80"/>
      <c r="BA88" s="83">
        <f>IFERROR(SUM(RD[[#This Row],[PSEGPL]:[O2R10]]),"")</f>
        <v>114379</v>
      </c>
      <c r="BB88" s="80">
        <v>1528</v>
      </c>
      <c r="BC88" s="83">
        <v>240546</v>
      </c>
      <c r="BD88" s="83">
        <v>1324</v>
      </c>
      <c r="BE88" s="83">
        <v>215433</v>
      </c>
      <c r="BF88" s="83">
        <v>1922</v>
      </c>
      <c r="BG88" s="83">
        <v>249264</v>
      </c>
      <c r="BH88" s="83">
        <v>3041</v>
      </c>
      <c r="BI88" s="83">
        <v>237339</v>
      </c>
      <c r="BJ88" s="101">
        <f>IF((RD[[#This Row],[33 kV F5 Export Reading_Gss End]]-AM87)*1000&lt;0,0,(RD[[#This Row],[33 kV F5 Export Reading_Gss End]]-AM87)*1000)</f>
        <v>113789.59999998915</v>
      </c>
      <c r="BK88" s="83">
        <f>IF((RD[[#This Row],[33 kV F5 Import Reading_GSS End2]]-AN87)*1000&lt;0,0,(RD[[#This Row],[33 kV F5 Import Reading_GSS End2]]-AN87)*1000)</f>
        <v>874.19999999997344</v>
      </c>
      <c r="BL88" s="84">
        <f>RD[[#This Row],[Export  (kWh)]]-RD[[#This Row],[Import (kWh)]]</f>
        <v>112915.39999998918</v>
      </c>
      <c r="BM88" s="84">
        <f>RD[[#This Row],[Inverters Generation ( kWh)]]-RD[[#This Row],[Export  (kWh)]]</f>
        <v>589.40000001084991</v>
      </c>
      <c r="BN88">
        <f t="shared" si="21"/>
        <v>51450</v>
      </c>
      <c r="BO88">
        <f t="shared" si="22"/>
        <v>210</v>
      </c>
      <c r="BP88" s="185">
        <f t="shared" si="16"/>
        <v>63270</v>
      </c>
      <c r="BQ88" s="185">
        <f t="shared" si="18"/>
        <v>748.8</v>
      </c>
      <c r="BR88" s="185">
        <f t="shared" si="20"/>
        <v>12.733333333333334</v>
      </c>
    </row>
    <row r="89" spans="1:70" ht="15" customHeight="1" x14ac:dyDescent="0.35">
      <c r="A89" s="85">
        <f t="shared" si="17"/>
        <v>45830</v>
      </c>
      <c r="B89" s="80">
        <f>YEAR(RD[[#This Row],[Date]])+IF(MONTH(RD[[#This Row],[Date]])&gt;=4,1,0)</f>
        <v>2026</v>
      </c>
      <c r="C89" s="80">
        <f>YEAR(RD[[#This Row],[Month Year]])</f>
        <v>2025</v>
      </c>
      <c r="D89" s="99" t="s">
        <v>4</v>
      </c>
      <c r="E89" s="99" t="s">
        <v>4</v>
      </c>
      <c r="F89" s="80" t="str">
        <f t="shared" si="19"/>
        <v>Jun-25</v>
      </c>
      <c r="G89" s="79">
        <f>DAY(EOMONTH(RD[[#This Row],[Month Year]],0))</f>
        <v>30</v>
      </c>
      <c r="H89" s="100">
        <v>24.303100000000001</v>
      </c>
      <c r="I89" s="315">
        <v>0.2590277777777778</v>
      </c>
      <c r="J89" s="315">
        <v>0.77708333333333335</v>
      </c>
      <c r="K89" s="79">
        <v>3955</v>
      </c>
      <c r="L89" s="79">
        <v>4492</v>
      </c>
      <c r="M89" s="79">
        <v>3948</v>
      </c>
      <c r="N89" s="179">
        <v>4558</v>
      </c>
      <c r="O89" s="179">
        <v>4482</v>
      </c>
      <c r="P89" s="179">
        <v>3790</v>
      </c>
      <c r="Q89" s="179">
        <v>4564</v>
      </c>
      <c r="R89" s="179">
        <v>4118</v>
      </c>
      <c r="S89" s="179">
        <v>4607</v>
      </c>
      <c r="T89" s="179">
        <v>4141</v>
      </c>
      <c r="U89" s="79">
        <v>4715</v>
      </c>
      <c r="V89" s="79">
        <v>4743</v>
      </c>
      <c r="W89" s="79">
        <v>4892</v>
      </c>
      <c r="X89" s="79">
        <v>4895</v>
      </c>
      <c r="Y89" s="79">
        <v>4876</v>
      </c>
      <c r="Z89" s="79">
        <v>4757</v>
      </c>
      <c r="AA89" s="79">
        <v>4837</v>
      </c>
      <c r="AB89" s="79">
        <v>4746</v>
      </c>
      <c r="AC89" s="79">
        <v>5781</v>
      </c>
      <c r="AD89" s="79">
        <v>6121</v>
      </c>
      <c r="AE89" s="79"/>
      <c r="AF89" s="79"/>
      <c r="AG89" s="79"/>
      <c r="AH89" s="79"/>
      <c r="AI89" s="79"/>
      <c r="AJ89" s="79"/>
      <c r="AK89" s="79"/>
      <c r="AL89" s="79"/>
      <c r="AM89" s="80">
        <v>152359.49729999999</v>
      </c>
      <c r="AN89" s="80">
        <v>637.7346</v>
      </c>
      <c r="AO89" s="80"/>
      <c r="AP89" s="80">
        <v>4.3079999999999998</v>
      </c>
      <c r="AQ89" s="82">
        <v>4.5339999999999998</v>
      </c>
      <c r="AR89" s="82">
        <f>IF(RD[[#This Row],[POA(kWh/m2)_O2R6]]="",RD[[#This Row],[POA(kWh/m2)_PSEGPL]],(RD[[#This Row],[POA(kWh/m2)_PSEGPL]]*('Basic Data'!$V$2/'Basic Data'!$V$4))+(RD[[#This Row],[POA(kWh/m2)_O2R6]]*('Basic Data'!$V$3/'Basic Data'!$V$4)))</f>
        <v>4.4269292421746282</v>
      </c>
      <c r="AS89" s="82">
        <f>SUM(RD[[#This Row],[G1 Inv1]:[G5 Inv10]])</f>
        <v>42655</v>
      </c>
      <c r="AT89" s="82">
        <f>SUM(RD[[#This Row],[IS1_Inv1_M1]:[IS1_Inv2_M4]])</f>
        <v>38461</v>
      </c>
      <c r="AU89" s="82">
        <f>SUM(RD[[#This Row],[IS2_Inv1]:[IS2_Inv2]])</f>
        <v>11902</v>
      </c>
      <c r="AV89" s="80"/>
      <c r="AW89" s="83"/>
      <c r="AX89" s="80"/>
      <c r="AY89" s="80"/>
      <c r="AZ89" s="80"/>
      <c r="BA89" s="83">
        <f>IFERROR(SUM(RD[[#This Row],[PSEGPL]:[O2R10]]),"")</f>
        <v>93018</v>
      </c>
      <c r="BB89" s="80">
        <v>1531</v>
      </c>
      <c r="BC89" s="83">
        <v>240953</v>
      </c>
      <c r="BD89" s="83">
        <v>1326</v>
      </c>
      <c r="BE89" s="83">
        <v>215819</v>
      </c>
      <c r="BF89" s="83">
        <v>1926</v>
      </c>
      <c r="BG89" s="83">
        <v>249698</v>
      </c>
      <c r="BH89" s="83">
        <v>3049</v>
      </c>
      <c r="BI89" s="83">
        <v>237742</v>
      </c>
      <c r="BJ89" s="101">
        <f>IF((RD[[#This Row],[33 kV F5 Export Reading_Gss End]]-AM88)*1000&lt;0,0,(RD[[#This Row],[33 kV F5 Export Reading_Gss End]]-AM88)*1000)</f>
        <v>92372.499999997672</v>
      </c>
      <c r="BK89" s="83">
        <f>IF((RD[[#This Row],[33 kV F5 Import Reading_GSS End2]]-AN88)*1000&lt;0,0,(RD[[#This Row],[33 kV F5 Import Reading_GSS End2]]-AN88)*1000)</f>
        <v>798.00000000000182</v>
      </c>
      <c r="BL89" s="84">
        <f>RD[[#This Row],[Export  (kWh)]]-RD[[#This Row],[Import (kWh)]]</f>
        <v>91574.499999997672</v>
      </c>
      <c r="BM89" s="84">
        <f>RD[[#This Row],[Inverters Generation ( kWh)]]-RD[[#This Row],[Export  (kWh)]]</f>
        <v>645.50000000232831</v>
      </c>
      <c r="BN89">
        <f t="shared" si="21"/>
        <v>41790</v>
      </c>
      <c r="BO89">
        <f t="shared" si="22"/>
        <v>270</v>
      </c>
      <c r="BP89" s="185">
        <f t="shared" si="16"/>
        <v>51150</v>
      </c>
      <c r="BQ89" s="185">
        <f t="shared" si="18"/>
        <v>718.8</v>
      </c>
      <c r="BR89" s="185">
        <f t="shared" si="20"/>
        <v>12.433333333333332</v>
      </c>
    </row>
    <row r="90" spans="1:70" ht="15" customHeight="1" x14ac:dyDescent="0.35">
      <c r="A90" s="85">
        <f t="shared" si="17"/>
        <v>45831</v>
      </c>
      <c r="B90" s="80">
        <f>YEAR(RD[[#This Row],[Date]])+IF(MONTH(RD[[#This Row],[Date]])&gt;=4,1,0)</f>
        <v>2026</v>
      </c>
      <c r="C90" s="80">
        <f>YEAR(RD[[#This Row],[Month Year]])</f>
        <v>2025</v>
      </c>
      <c r="D90" s="99" t="s">
        <v>4</v>
      </c>
      <c r="E90" s="99" t="s">
        <v>4</v>
      </c>
      <c r="F90" s="80" t="str">
        <f t="shared" si="19"/>
        <v>Jun-25</v>
      </c>
      <c r="G90" s="79">
        <f>DAY(EOMONTH(RD[[#This Row],[Month Year]],0))</f>
        <v>30</v>
      </c>
      <c r="H90" s="100">
        <v>24.303100000000001</v>
      </c>
      <c r="I90" s="315">
        <v>0.26180555555555557</v>
      </c>
      <c r="J90" s="315">
        <v>0.78263888888888888</v>
      </c>
      <c r="K90" s="79">
        <v>4241</v>
      </c>
      <c r="L90" s="79">
        <v>4833</v>
      </c>
      <c r="M90" s="79">
        <v>4216</v>
      </c>
      <c r="N90" s="179">
        <v>4813</v>
      </c>
      <c r="O90" s="179">
        <v>4877</v>
      </c>
      <c r="P90" s="179">
        <v>4179</v>
      </c>
      <c r="Q90" s="179">
        <v>4974</v>
      </c>
      <c r="R90" s="179">
        <v>4500</v>
      </c>
      <c r="S90" s="179">
        <v>4900</v>
      </c>
      <c r="T90" s="179">
        <v>4408</v>
      </c>
      <c r="U90" s="79">
        <v>5134</v>
      </c>
      <c r="V90" s="79">
        <v>5154</v>
      </c>
      <c r="W90" s="79">
        <v>5309</v>
      </c>
      <c r="X90" s="79">
        <v>5321</v>
      </c>
      <c r="Y90" s="79">
        <v>5289</v>
      </c>
      <c r="Z90" s="79">
        <v>5135</v>
      </c>
      <c r="AA90" s="79">
        <v>5221</v>
      </c>
      <c r="AB90" s="79">
        <v>5147</v>
      </c>
      <c r="AC90" s="79">
        <v>6204</v>
      </c>
      <c r="AD90" s="79">
        <v>6550</v>
      </c>
      <c r="AE90" s="79"/>
      <c r="AF90" s="79"/>
      <c r="AG90" s="79"/>
      <c r="AH90" s="79"/>
      <c r="AI90" s="79"/>
      <c r="AJ90" s="79"/>
      <c r="AK90" s="79"/>
      <c r="AL90" s="79"/>
      <c r="AM90" s="80">
        <v>152459.03709999999</v>
      </c>
      <c r="AN90" s="80">
        <v>638.59569999999997</v>
      </c>
      <c r="AO90" s="80"/>
      <c r="AP90" s="80">
        <v>4.8940000000000001</v>
      </c>
      <c r="AQ90" s="82">
        <v>4.7880000000000003</v>
      </c>
      <c r="AR90" s="82">
        <f>IF(RD[[#This Row],[POA(kWh/m2)_O2R6]]="",RD[[#This Row],[POA(kWh/m2)_PSEGPL]],(RD[[#This Row],[POA(kWh/m2)_PSEGPL]]*('Basic Data'!$V$2/'Basic Data'!$V$4))+(RD[[#This Row],[POA(kWh/m2)_O2R6]]*('Basic Data'!$V$3/'Basic Data'!$V$4)))</f>
        <v>4.8382190280065895</v>
      </c>
      <c r="AS90" s="82">
        <f>SUM(RD[[#This Row],[G1 Inv1]:[G5 Inv10]])</f>
        <v>45941</v>
      </c>
      <c r="AT90" s="82">
        <f>SUM(RD[[#This Row],[IS1_Inv1_M1]:[IS1_Inv2_M4]])</f>
        <v>41710</v>
      </c>
      <c r="AU90" s="82">
        <f>SUM(RD[[#This Row],[IS2_Inv1]:[IS2_Inv2]])</f>
        <v>12754</v>
      </c>
      <c r="AV90" s="80"/>
      <c r="AW90" s="83"/>
      <c r="AX90" s="80"/>
      <c r="AY90" s="80"/>
      <c r="AZ90" s="80"/>
      <c r="BA90" s="83">
        <f>IFERROR(SUM(RD[[#This Row],[PSEGPL]:[O2R10]]),"")</f>
        <v>100405</v>
      </c>
      <c r="BB90" s="80">
        <v>1533</v>
      </c>
      <c r="BC90" s="83">
        <v>241394</v>
      </c>
      <c r="BD90" s="83">
        <v>1328</v>
      </c>
      <c r="BE90" s="83">
        <v>216234</v>
      </c>
      <c r="BF90" s="83">
        <v>1930</v>
      </c>
      <c r="BG90" s="83">
        <v>250168</v>
      </c>
      <c r="BH90" s="83">
        <v>3059</v>
      </c>
      <c r="BI90" s="83">
        <v>238181</v>
      </c>
      <c r="BJ90" s="101">
        <f>IF((RD[[#This Row],[33 kV F5 Export Reading_Gss End]]-AM89)*1000&lt;0,0,(RD[[#This Row],[33 kV F5 Export Reading_Gss End]]-AM89)*1000)</f>
        <v>99539.79999999865</v>
      </c>
      <c r="BK90" s="83">
        <f>IF((RD[[#This Row],[33 kV F5 Import Reading_GSS End2]]-AN89)*1000&lt;0,0,(RD[[#This Row],[33 kV F5 Import Reading_GSS End2]]-AN89)*1000)</f>
        <v>861.09999999996489</v>
      </c>
      <c r="BL90" s="84">
        <f>RD[[#This Row],[Export  (kWh)]]-RD[[#This Row],[Import (kWh)]]</f>
        <v>98678.699999998687</v>
      </c>
      <c r="BM90" s="84">
        <f>RD[[#This Row],[Inverters Generation ( kWh)]]-RD[[#This Row],[Export  (kWh)]]</f>
        <v>865.20000000135042</v>
      </c>
      <c r="BN90">
        <f t="shared" si="21"/>
        <v>45135</v>
      </c>
      <c r="BO90">
        <f t="shared" si="22"/>
        <v>210</v>
      </c>
      <c r="BP90" s="185">
        <f t="shared" si="16"/>
        <v>55470</v>
      </c>
      <c r="BQ90" s="185">
        <f t="shared" si="18"/>
        <v>778.8</v>
      </c>
      <c r="BR90" s="185">
        <f t="shared" si="20"/>
        <v>12.499999999999998</v>
      </c>
    </row>
    <row r="91" spans="1:70" ht="15" customHeight="1" x14ac:dyDescent="0.35">
      <c r="A91" s="85">
        <f t="shared" si="17"/>
        <v>45832</v>
      </c>
      <c r="B91" s="80">
        <f>YEAR(RD[[#This Row],[Date]])+IF(MONTH(RD[[#This Row],[Date]])&gt;=4,1,0)</f>
        <v>2026</v>
      </c>
      <c r="C91" s="80">
        <f>YEAR(RD[[#This Row],[Month Year]])</f>
        <v>2025</v>
      </c>
      <c r="D91" s="99" t="s">
        <v>4</v>
      </c>
      <c r="E91" s="99" t="s">
        <v>4</v>
      </c>
      <c r="F91" s="80" t="str">
        <f t="shared" si="19"/>
        <v>Jun-25</v>
      </c>
      <c r="G91" s="79">
        <f>DAY(EOMONTH(RD[[#This Row],[Month Year]],0))</f>
        <v>30</v>
      </c>
      <c r="H91" s="100">
        <v>24.303100000000001</v>
      </c>
      <c r="I91" s="315">
        <v>0.26666666666666666</v>
      </c>
      <c r="J91" s="315">
        <v>0.75972222222222219</v>
      </c>
      <c r="K91" s="79">
        <v>3038</v>
      </c>
      <c r="L91" s="79">
        <v>3458</v>
      </c>
      <c r="M91" s="79">
        <v>3049</v>
      </c>
      <c r="N91" s="179">
        <v>3489</v>
      </c>
      <c r="O91" s="179">
        <v>3533</v>
      </c>
      <c r="P91" s="179">
        <v>2960</v>
      </c>
      <c r="Q91" s="179">
        <v>3504</v>
      </c>
      <c r="R91" s="179">
        <v>3245</v>
      </c>
      <c r="S91" s="179">
        <v>3522</v>
      </c>
      <c r="T91" s="179">
        <v>3152</v>
      </c>
      <c r="U91" s="79">
        <v>3688</v>
      </c>
      <c r="V91" s="79">
        <v>3721</v>
      </c>
      <c r="W91" s="79">
        <v>3839</v>
      </c>
      <c r="X91" s="79">
        <v>3842</v>
      </c>
      <c r="Y91" s="79">
        <v>3831</v>
      </c>
      <c r="Z91" s="79">
        <v>3726</v>
      </c>
      <c r="AA91" s="79">
        <v>3793</v>
      </c>
      <c r="AB91" s="79">
        <v>3713</v>
      </c>
      <c r="AC91" s="79">
        <v>4556</v>
      </c>
      <c r="AD91" s="79">
        <v>4845</v>
      </c>
      <c r="AE91" s="79"/>
      <c r="AF91" s="79"/>
      <c r="AG91" s="79"/>
      <c r="AH91" s="79"/>
      <c r="AI91" s="79"/>
      <c r="AJ91" s="79"/>
      <c r="AK91" s="79"/>
      <c r="AL91" s="79"/>
      <c r="AM91" s="80">
        <v>152531.66800000001</v>
      </c>
      <c r="AN91" s="80">
        <v>639.71569999999997</v>
      </c>
      <c r="AO91" s="80"/>
      <c r="AP91" s="80">
        <v>3.569</v>
      </c>
      <c r="AQ91" s="82">
        <v>3.6059999999999999</v>
      </c>
      <c r="AR91" s="82">
        <f>IF(RD[[#This Row],[POA(kWh/m2)_O2R6]]="",RD[[#This Row],[POA(kWh/m2)_PSEGPL]],(RD[[#This Row],[POA(kWh/m2)_PSEGPL]]*('Basic Data'!$V$2/'Basic Data'!$V$4))+(RD[[#This Row],[POA(kWh/m2)_O2R6]]*('Basic Data'!$V$3/'Basic Data'!$V$4)))</f>
        <v>3.5884707166392089</v>
      </c>
      <c r="AS91" s="82">
        <f>SUM(RD[[#This Row],[G1 Inv1]:[G5 Inv10]])</f>
        <v>32950</v>
      </c>
      <c r="AT91" s="82">
        <f>SUM(RD[[#This Row],[IS1_Inv1_M1]:[IS1_Inv2_M4]])</f>
        <v>30153</v>
      </c>
      <c r="AU91" s="82">
        <f>SUM(RD[[#This Row],[IS2_Inv1]:[IS2_Inv2]])</f>
        <v>9401</v>
      </c>
      <c r="AV91" s="80"/>
      <c r="AW91" s="83"/>
      <c r="AX91" s="80"/>
      <c r="AY91" s="80"/>
      <c r="AZ91" s="80"/>
      <c r="BA91" s="83">
        <f>IFERROR(SUM(RD[[#This Row],[PSEGPL]:[O2R10]]),"")</f>
        <v>72504</v>
      </c>
      <c r="BB91" s="80">
        <v>1536</v>
      </c>
      <c r="BC91" s="83">
        <v>241719</v>
      </c>
      <c r="BD91" s="83">
        <v>1330</v>
      </c>
      <c r="BE91" s="83">
        <v>216530</v>
      </c>
      <c r="BF91" s="83">
        <v>1934</v>
      </c>
      <c r="BG91" s="83">
        <v>250510</v>
      </c>
      <c r="BH91" s="83">
        <v>3070</v>
      </c>
      <c r="BI91" s="83">
        <v>238491</v>
      </c>
      <c r="BJ91" s="101">
        <f>IF((RD[[#This Row],[33 kV F5 Export Reading_Gss End]]-AM90)*1000&lt;0,0,(RD[[#This Row],[33 kV F5 Export Reading_Gss End]]-AM90)*1000)</f>
        <v>72630.9000000183</v>
      </c>
      <c r="BK91" s="83">
        <f>IF((RD[[#This Row],[33 kV F5 Import Reading_GSS End2]]-AN90)*1000&lt;0,0,(RD[[#This Row],[33 kV F5 Import Reading_GSS End2]]-AN90)*1000)</f>
        <v>1120.0000000000045</v>
      </c>
      <c r="BL91" s="84">
        <f>RD[[#This Row],[Export  (kWh)]]-RD[[#This Row],[Import (kWh)]]</f>
        <v>71510.9000000183</v>
      </c>
      <c r="BM91" s="84">
        <f>RD[[#This Row],[Inverters Generation ( kWh)]]-RD[[#This Row],[Export  (kWh)]]</f>
        <v>-126.90000001830049</v>
      </c>
      <c r="BN91">
        <f t="shared" si="21"/>
        <v>32820</v>
      </c>
      <c r="BO91">
        <f t="shared" si="22"/>
        <v>270</v>
      </c>
      <c r="BP91" s="185">
        <f t="shared" si="16"/>
        <v>40080</v>
      </c>
      <c r="BQ91" s="185">
        <f t="shared" si="18"/>
        <v>808.8</v>
      </c>
      <c r="BR91" s="185">
        <f t="shared" si="20"/>
        <v>11.833333333333332</v>
      </c>
    </row>
    <row r="92" spans="1:70" ht="15" customHeight="1" x14ac:dyDescent="0.35">
      <c r="A92" s="85">
        <f t="shared" si="17"/>
        <v>45833</v>
      </c>
      <c r="B92" s="80">
        <f>YEAR(RD[[#This Row],[Date]])+IF(MONTH(RD[[#This Row],[Date]])&gt;=4,1,0)</f>
        <v>2026</v>
      </c>
      <c r="C92" s="80">
        <f>YEAR(RD[[#This Row],[Month Year]])</f>
        <v>2025</v>
      </c>
      <c r="D92" s="99" t="s">
        <v>4</v>
      </c>
      <c r="E92" s="99" t="s">
        <v>4</v>
      </c>
      <c r="F92" s="80" t="str">
        <f t="shared" si="19"/>
        <v>Jun-25</v>
      </c>
      <c r="G92" s="79">
        <f>DAY(EOMONTH(RD[[#This Row],[Month Year]],0))</f>
        <v>30</v>
      </c>
      <c r="H92" s="100">
        <v>24.303100000000001</v>
      </c>
      <c r="I92" s="315">
        <v>0.25694444444444442</v>
      </c>
      <c r="J92" s="315">
        <v>0.76458333333333328</v>
      </c>
      <c r="K92" s="79">
        <v>2312</v>
      </c>
      <c r="L92" s="79">
        <v>2623</v>
      </c>
      <c r="M92" s="79">
        <v>2302</v>
      </c>
      <c r="N92" s="179">
        <v>2453</v>
      </c>
      <c r="O92" s="179">
        <v>2662</v>
      </c>
      <c r="P92" s="179">
        <v>2280</v>
      </c>
      <c r="Q92" s="179">
        <v>2676</v>
      </c>
      <c r="R92" s="179">
        <v>2394</v>
      </c>
      <c r="S92" s="179">
        <v>2621</v>
      </c>
      <c r="T92" s="179">
        <v>2376</v>
      </c>
      <c r="U92" s="79">
        <v>2708</v>
      </c>
      <c r="V92" s="79">
        <v>2708</v>
      </c>
      <c r="W92" s="79">
        <v>2792</v>
      </c>
      <c r="X92" s="79">
        <v>2788</v>
      </c>
      <c r="Y92" s="79">
        <v>2775</v>
      </c>
      <c r="Z92" s="79">
        <v>2724</v>
      </c>
      <c r="AA92" s="79">
        <v>2782</v>
      </c>
      <c r="AB92" s="79">
        <v>2743</v>
      </c>
      <c r="AC92" s="79">
        <v>3304</v>
      </c>
      <c r="AD92" s="79">
        <v>3512</v>
      </c>
      <c r="AE92" s="79"/>
      <c r="AF92" s="79"/>
      <c r="AG92" s="79"/>
      <c r="AH92" s="79"/>
      <c r="AI92" s="79"/>
      <c r="AJ92" s="79"/>
      <c r="AK92" s="79"/>
      <c r="AL92" s="79"/>
      <c r="AM92" s="80">
        <v>152585.73000000001</v>
      </c>
      <c r="AN92" s="80">
        <v>640.6105</v>
      </c>
      <c r="AO92" s="80"/>
      <c r="AP92" s="80">
        <v>2.5670000000000002</v>
      </c>
      <c r="AQ92" s="82">
        <v>2.5430000000000001</v>
      </c>
      <c r="AR92" s="82">
        <f>IF(RD[[#This Row],[POA(kWh/m2)_O2R6]]="",RD[[#This Row],[POA(kWh/m2)_PSEGPL]],(RD[[#This Row],[POA(kWh/m2)_PSEGPL]]*('Basic Data'!$V$2/'Basic Data'!$V$4))+(RD[[#This Row],[POA(kWh/m2)_O2R6]]*('Basic Data'!$V$3/'Basic Data'!$V$4)))</f>
        <v>2.5543703459637559</v>
      </c>
      <c r="AS92" s="82">
        <f>SUM(RD[[#This Row],[G1 Inv1]:[G5 Inv10]])</f>
        <v>24699</v>
      </c>
      <c r="AT92" s="82">
        <f>SUM(RD[[#This Row],[IS1_Inv1_M1]:[IS1_Inv2_M4]])</f>
        <v>22020</v>
      </c>
      <c r="AU92" s="82">
        <f>SUM(RD[[#This Row],[IS2_Inv1]:[IS2_Inv2]])</f>
        <v>6816</v>
      </c>
      <c r="AV92" s="80"/>
      <c r="AW92" s="83"/>
      <c r="AX92" s="80"/>
      <c r="AY92" s="80"/>
      <c r="AZ92" s="80"/>
      <c r="BA92" s="83">
        <f>IFERROR(SUM(RD[[#This Row],[PSEGPL]:[O2R10]]),"")</f>
        <v>53535</v>
      </c>
      <c r="BB92" s="80">
        <v>1538</v>
      </c>
      <c r="BC92" s="83">
        <v>241961</v>
      </c>
      <c r="BD92" s="83">
        <v>1332</v>
      </c>
      <c r="BE92" s="83">
        <v>216752</v>
      </c>
      <c r="BF92" s="83">
        <v>1938</v>
      </c>
      <c r="BG92" s="83">
        <v>250764</v>
      </c>
      <c r="BH92" s="83">
        <v>3078</v>
      </c>
      <c r="BI92" s="83">
        <v>238726</v>
      </c>
      <c r="BJ92" s="101">
        <f>IF((RD[[#This Row],[33 kV F5 Export Reading_Gss End]]-AM91)*1000&lt;0,0,(RD[[#This Row],[33 kV F5 Export Reading_Gss End]]-AM91)*1000)</f>
        <v>54062.000000005355</v>
      </c>
      <c r="BK92" s="83">
        <f>IF((RD[[#This Row],[33 kV F5 Import Reading_GSS End2]]-AN91)*1000&lt;0,0,(RD[[#This Row],[33 kV F5 Import Reading_GSS End2]]-AN91)*1000)</f>
        <v>894.80000000003201</v>
      </c>
      <c r="BL92" s="84">
        <f>RD[[#This Row],[Export  (kWh)]]-RD[[#This Row],[Import (kWh)]]</f>
        <v>53167.200000005323</v>
      </c>
      <c r="BM92" s="84">
        <f>RD[[#This Row],[Inverters Generation ( kWh)]]-RD[[#This Row],[Export  (kWh)]]</f>
        <v>-527.0000000053551</v>
      </c>
      <c r="BN92">
        <f t="shared" si="21"/>
        <v>24510</v>
      </c>
      <c r="BO92">
        <f t="shared" si="22"/>
        <v>210</v>
      </c>
      <c r="BP92" s="185">
        <f t="shared" si="16"/>
        <v>29910</v>
      </c>
      <c r="BQ92" s="185">
        <f t="shared" si="18"/>
        <v>718.8</v>
      </c>
      <c r="BR92" s="185">
        <f t="shared" si="20"/>
        <v>12.183333333333334</v>
      </c>
    </row>
    <row r="93" spans="1:70" ht="15" customHeight="1" x14ac:dyDescent="0.35">
      <c r="A93" s="85">
        <f t="shared" si="17"/>
        <v>45834</v>
      </c>
      <c r="B93" s="80">
        <f>YEAR(RD[[#This Row],[Date]])+IF(MONTH(RD[[#This Row],[Date]])&gt;=4,1,0)</f>
        <v>2026</v>
      </c>
      <c r="C93" s="80">
        <f>YEAR(RD[[#This Row],[Month Year]])</f>
        <v>2025</v>
      </c>
      <c r="D93" s="99" t="s">
        <v>4</v>
      </c>
      <c r="E93" s="99" t="s">
        <v>4</v>
      </c>
      <c r="F93" s="80" t="str">
        <f t="shared" si="19"/>
        <v>Jun-25</v>
      </c>
      <c r="G93" s="79">
        <f>DAY(EOMONTH(RD[[#This Row],[Month Year]],0))</f>
        <v>30</v>
      </c>
      <c r="H93" s="100">
        <v>24.303100000000001</v>
      </c>
      <c r="I93" s="315">
        <v>0.30208333333333331</v>
      </c>
      <c r="J93" s="315">
        <v>0.76527777777777772</v>
      </c>
      <c r="K93" s="79">
        <v>880</v>
      </c>
      <c r="L93" s="79">
        <v>991</v>
      </c>
      <c r="M93" s="79">
        <v>0</v>
      </c>
      <c r="N93" s="179">
        <v>0</v>
      </c>
      <c r="O93" s="179">
        <v>0</v>
      </c>
      <c r="P93" s="179">
        <v>0</v>
      </c>
      <c r="Q93" s="179">
        <v>875</v>
      </c>
      <c r="R93" s="179">
        <v>907</v>
      </c>
      <c r="S93" s="179">
        <v>993</v>
      </c>
      <c r="T93" s="179">
        <v>898</v>
      </c>
      <c r="U93" s="79">
        <v>1053.0999999999999</v>
      </c>
      <c r="V93" s="79">
        <v>1080.5</v>
      </c>
      <c r="W93" s="79">
        <v>1064.5999999999999</v>
      </c>
      <c r="X93" s="79">
        <v>1052</v>
      </c>
      <c r="Y93" s="79">
        <v>1071.3</v>
      </c>
      <c r="Z93" s="79">
        <v>1047.5999999999999</v>
      </c>
      <c r="AA93" s="79">
        <v>1057.4000000000001</v>
      </c>
      <c r="AB93" s="79">
        <v>1025</v>
      </c>
      <c r="AC93" s="79">
        <v>1262</v>
      </c>
      <c r="AD93" s="79">
        <v>1326.7</v>
      </c>
      <c r="AE93" s="79"/>
      <c r="AF93" s="79"/>
      <c r="AG93" s="79"/>
      <c r="AH93" s="79"/>
      <c r="AI93" s="79"/>
      <c r="AJ93" s="79"/>
      <c r="AK93" s="79"/>
      <c r="AL93" s="79"/>
      <c r="AM93" s="80">
        <v>152602.67589000001</v>
      </c>
      <c r="AN93" s="80">
        <v>641.39697999999999</v>
      </c>
      <c r="AO93" s="80"/>
      <c r="AP93" s="80">
        <v>1.206</v>
      </c>
      <c r="AQ93" s="82">
        <v>1.165</v>
      </c>
      <c r="AR93" s="82">
        <f>IF(RD[[#This Row],[POA(kWh/m2)_O2R6]]="",RD[[#This Row],[POA(kWh/m2)_PSEGPL]],(RD[[#This Row],[POA(kWh/m2)_PSEGPL]]*('Basic Data'!$V$2/'Basic Data'!$V$4))+(RD[[#This Row],[POA(kWh/m2)_O2R6]]*('Basic Data'!$V$3/'Basic Data'!$V$4)))</f>
        <v>1.1844243410214168</v>
      </c>
      <c r="AS93" s="82">
        <f>SUM(RD[[#This Row],[G1 Inv1]:[G5 Inv10]])</f>
        <v>5544</v>
      </c>
      <c r="AT93" s="82">
        <f>SUM(RD[[#This Row],[IS1_Inv1_M1]:[IS1_Inv2_M4]])</f>
        <v>8451.5</v>
      </c>
      <c r="AU93" s="82">
        <f>SUM(RD[[#This Row],[IS2_Inv1]:[IS2_Inv2]])</f>
        <v>2588.6999999999998</v>
      </c>
      <c r="AV93" s="80"/>
      <c r="AW93" s="83"/>
      <c r="AX93" s="80"/>
      <c r="AY93" s="80"/>
      <c r="AZ93" s="80"/>
      <c r="BA93" s="83">
        <f>IFERROR(SUM(RD[[#This Row],[PSEGPL]:[O2R10]]),"")</f>
        <v>16584.2</v>
      </c>
      <c r="BB93" s="80">
        <v>1541</v>
      </c>
      <c r="BC93" s="83">
        <v>241993</v>
      </c>
      <c r="BD93" s="83">
        <v>1334</v>
      </c>
      <c r="BE93" s="83">
        <v>216828</v>
      </c>
      <c r="BF93" s="83">
        <v>1942</v>
      </c>
      <c r="BG93" s="83">
        <v>250864</v>
      </c>
      <c r="BH93" s="83">
        <v>3088</v>
      </c>
      <c r="BI93" s="83">
        <v>238818</v>
      </c>
      <c r="BJ93" s="101">
        <f>IF((RD[[#This Row],[33 kV F5 Export Reading_Gss End]]-AM92)*1000&lt;0,0,(RD[[#This Row],[33 kV F5 Export Reading_Gss End]]-AM92)*1000)</f>
        <v>16945.890000002692</v>
      </c>
      <c r="BK93" s="83">
        <f>IF((RD[[#This Row],[33 kV F5 Import Reading_GSS End2]]-AN92)*1000&lt;0,0,(RD[[#This Row],[33 kV F5 Import Reading_GSS End2]]-AN92)*1000)</f>
        <v>786.47999999998319</v>
      </c>
      <c r="BL93" s="84">
        <f>RD[[#This Row],[Export  (kWh)]]-RD[[#This Row],[Import (kWh)]]</f>
        <v>16159.410000002708</v>
      </c>
      <c r="BM93" s="84">
        <f>RD[[#This Row],[Inverters Generation ( kWh)]]-RD[[#This Row],[Export  (kWh)]]</f>
        <v>-361.69000000269079</v>
      </c>
      <c r="BN93">
        <f t="shared" si="21"/>
        <v>5340</v>
      </c>
      <c r="BO93">
        <f t="shared" si="22"/>
        <v>270</v>
      </c>
      <c r="BP93" s="185">
        <f t="shared" si="16"/>
        <v>11760</v>
      </c>
      <c r="BQ93" s="185">
        <f t="shared" si="18"/>
        <v>778.8</v>
      </c>
      <c r="BR93" s="185">
        <f t="shared" si="20"/>
        <v>11.116666666666665</v>
      </c>
    </row>
    <row r="94" spans="1:70" ht="15" customHeight="1" x14ac:dyDescent="0.35">
      <c r="A94" s="85">
        <f t="shared" si="17"/>
        <v>45835</v>
      </c>
      <c r="B94" s="80">
        <f>YEAR(RD[[#This Row],[Date]])+IF(MONTH(RD[[#This Row],[Date]])&gt;=4,1,0)</f>
        <v>2026</v>
      </c>
      <c r="C94" s="80">
        <f>YEAR(RD[[#This Row],[Month Year]])</f>
        <v>2025</v>
      </c>
      <c r="D94" s="99" t="s">
        <v>4</v>
      </c>
      <c r="E94" s="99" t="s">
        <v>4</v>
      </c>
      <c r="F94" s="80" t="str">
        <f t="shared" si="19"/>
        <v>Jun-25</v>
      </c>
      <c r="G94" s="79">
        <f>DAY(EOMONTH(RD[[#This Row],[Month Year]],0))</f>
        <v>30</v>
      </c>
      <c r="H94" s="100">
        <v>24.303100000000001</v>
      </c>
      <c r="I94" s="315">
        <v>0.26319444444444445</v>
      </c>
      <c r="J94" s="315">
        <v>0.78541666666666665</v>
      </c>
      <c r="K94" s="79">
        <v>4544</v>
      </c>
      <c r="L94" s="79">
        <v>5107</v>
      </c>
      <c r="M94" s="79">
        <v>3356</v>
      </c>
      <c r="N94" s="179">
        <v>3572</v>
      </c>
      <c r="O94" s="179">
        <v>3310</v>
      </c>
      <c r="P94" s="179">
        <v>2636</v>
      </c>
      <c r="Q94" s="179">
        <v>5162</v>
      </c>
      <c r="R94" s="179">
        <v>4675</v>
      </c>
      <c r="S94" s="179">
        <v>5120</v>
      </c>
      <c r="T94" s="179">
        <v>4707</v>
      </c>
      <c r="U94" s="79">
        <v>5611.3</v>
      </c>
      <c r="V94" s="79">
        <v>5603.6</v>
      </c>
      <c r="W94" s="79">
        <v>5732.4</v>
      </c>
      <c r="X94" s="79">
        <v>5752.9</v>
      </c>
      <c r="Y94" s="79">
        <v>5721</v>
      </c>
      <c r="Z94" s="79">
        <v>5577.7</v>
      </c>
      <c r="AA94" s="79">
        <v>5691.1</v>
      </c>
      <c r="AB94" s="79">
        <v>5613.6</v>
      </c>
      <c r="AC94" s="79">
        <v>6598.6</v>
      </c>
      <c r="AD94" s="79">
        <v>6912.3</v>
      </c>
      <c r="AE94" s="79"/>
      <c r="AF94" s="79"/>
      <c r="AG94" s="79"/>
      <c r="AH94" s="79"/>
      <c r="AI94" s="79"/>
      <c r="AJ94" s="79"/>
      <c r="AK94" s="79"/>
      <c r="AL94" s="79"/>
      <c r="AM94" s="80">
        <v>152703.44820000001</v>
      </c>
      <c r="AN94" s="80">
        <v>642.64610000000005</v>
      </c>
      <c r="AO94" s="80"/>
      <c r="AP94" s="80">
        <v>5.258</v>
      </c>
      <c r="AQ94" s="82">
        <v>5.343</v>
      </c>
      <c r="AR94" s="82">
        <f>IF(RD[[#This Row],[POA(kWh/m2)_O2R6]]="",RD[[#This Row],[POA(kWh/m2)_PSEGPL]],(RD[[#This Row],[POA(kWh/m2)_PSEGPL]]*('Basic Data'!$V$2/'Basic Data'!$V$4))+(RD[[#This Row],[POA(kWh/m2)_O2R6]]*('Basic Data'!$V$3/'Basic Data'!$V$4)))</f>
        <v>5.3027300247116962</v>
      </c>
      <c r="AS94" s="82">
        <f>SUM(RD[[#This Row],[G1 Inv1]:[G5 Inv10]])</f>
        <v>42189</v>
      </c>
      <c r="AT94" s="82">
        <f>SUM(RD[[#This Row],[IS1_Inv1_M1]:[IS1_Inv2_M4]])</f>
        <v>45303.6</v>
      </c>
      <c r="AU94" s="82">
        <f>SUM(RD[[#This Row],[IS2_Inv1]:[IS2_Inv2]])</f>
        <v>13510.900000000001</v>
      </c>
      <c r="AV94" s="80"/>
      <c r="AW94" s="83"/>
      <c r="AX94" s="80"/>
      <c r="AY94" s="80"/>
      <c r="AZ94" s="80"/>
      <c r="BA94" s="83">
        <f>IFERROR(SUM(RD[[#This Row],[PSEGPL]:[O2R10]]),"")</f>
        <v>101003.5</v>
      </c>
      <c r="BB94" s="80">
        <v>1542</v>
      </c>
      <c r="BC94" s="83">
        <v>242367</v>
      </c>
      <c r="BD94" s="83">
        <v>1336</v>
      </c>
      <c r="BE94" s="83">
        <v>217262</v>
      </c>
      <c r="BF94" s="83">
        <v>1946</v>
      </c>
      <c r="BG94" s="83">
        <v>251373</v>
      </c>
      <c r="BH94" s="83">
        <v>3097</v>
      </c>
      <c r="BI94" s="83">
        <v>239274</v>
      </c>
      <c r="BJ94" s="101">
        <f>IF((RD[[#This Row],[33 kV F5 Export Reading_Gss End]]-AM93)*1000&lt;0,0,(RD[[#This Row],[33 kV F5 Export Reading_Gss End]]-AM93)*1000)</f>
        <v>100772.31000000029</v>
      </c>
      <c r="BK94" s="83">
        <f>IF((RD[[#This Row],[33 kV F5 Import Reading_GSS End2]]-AN93)*1000&lt;0,0,(RD[[#This Row],[33 kV F5 Import Reading_GSS End2]]-AN93)*1000)</f>
        <v>1249.1200000000617</v>
      </c>
      <c r="BL94" s="84">
        <f>RD[[#This Row],[Export  (kWh)]]-RD[[#This Row],[Import (kWh)]]</f>
        <v>99523.190000000221</v>
      </c>
      <c r="BM94" s="84">
        <f>RD[[#This Row],[Inverters Generation ( kWh)]]-RD[[#This Row],[Export  (kWh)]]</f>
        <v>231.18999999971129</v>
      </c>
      <c r="BN94">
        <f t="shared" si="21"/>
        <v>41970</v>
      </c>
      <c r="BO94">
        <f t="shared" si="22"/>
        <v>150</v>
      </c>
      <c r="BP94" s="185">
        <f t="shared" si="16"/>
        <v>59490</v>
      </c>
      <c r="BQ94" s="185">
        <f t="shared" si="18"/>
        <v>748.8</v>
      </c>
      <c r="BR94" s="185">
        <f t="shared" si="20"/>
        <v>12.533333333333331</v>
      </c>
    </row>
    <row r="95" spans="1:70" ht="15" customHeight="1" x14ac:dyDescent="0.35">
      <c r="A95" s="85">
        <f t="shared" si="17"/>
        <v>45836</v>
      </c>
      <c r="B95" s="80">
        <f>YEAR(RD[[#This Row],[Date]])+IF(MONTH(RD[[#This Row],[Date]])&gt;=4,1,0)</f>
        <v>2026</v>
      </c>
      <c r="C95" s="80">
        <f>YEAR(RD[[#This Row],[Month Year]])</f>
        <v>2025</v>
      </c>
      <c r="D95" s="99" t="s">
        <v>4</v>
      </c>
      <c r="E95" s="99" t="s">
        <v>4</v>
      </c>
      <c r="F95" s="80" t="str">
        <f t="shared" si="19"/>
        <v>Jun-25</v>
      </c>
      <c r="G95" s="79">
        <f>DAY(EOMONTH(RD[[#This Row],[Month Year]],0))</f>
        <v>30</v>
      </c>
      <c r="H95" s="100">
        <v>24.303100000000001</v>
      </c>
      <c r="I95" s="315">
        <v>0.25763888888888886</v>
      </c>
      <c r="J95" s="315">
        <v>0.76875000000000004</v>
      </c>
      <c r="K95" s="79">
        <v>4533</v>
      </c>
      <c r="L95" s="79">
        <v>5134</v>
      </c>
      <c r="M95" s="79">
        <v>4493</v>
      </c>
      <c r="N95" s="179">
        <v>5160</v>
      </c>
      <c r="O95" s="179">
        <v>5209</v>
      </c>
      <c r="P95" s="179">
        <v>4157</v>
      </c>
      <c r="Q95" s="179">
        <v>5217</v>
      </c>
      <c r="R95" s="179">
        <v>4723</v>
      </c>
      <c r="S95" s="179">
        <v>5140</v>
      </c>
      <c r="T95" s="179">
        <v>4656</v>
      </c>
      <c r="U95" s="79">
        <v>5295.1</v>
      </c>
      <c r="V95" s="79">
        <v>5332.1</v>
      </c>
      <c r="W95" s="79">
        <v>5482</v>
      </c>
      <c r="X95" s="79">
        <v>5502.4</v>
      </c>
      <c r="Y95" s="79">
        <v>5460</v>
      </c>
      <c r="Z95" s="79">
        <v>5340.7</v>
      </c>
      <c r="AA95" s="79">
        <v>5436.1</v>
      </c>
      <c r="AB95" s="79">
        <v>5325.9</v>
      </c>
      <c r="AC95" s="79">
        <v>6444.6</v>
      </c>
      <c r="AD95" s="79">
        <v>6770.4</v>
      </c>
      <c r="AE95" s="79"/>
      <c r="AF95" s="79"/>
      <c r="AG95" s="79"/>
      <c r="AH95" s="79"/>
      <c r="AI95" s="79"/>
      <c r="AJ95" s="79"/>
      <c r="AK95" s="79"/>
      <c r="AL95" s="79"/>
      <c r="AM95" s="80">
        <v>152808.0434</v>
      </c>
      <c r="AN95" s="80">
        <v>643.03369999999995</v>
      </c>
      <c r="AO95" s="80"/>
      <c r="AP95" s="80">
        <v>5.0289999999999999</v>
      </c>
      <c r="AQ95" s="82">
        <v>5.0119999999999996</v>
      </c>
      <c r="AR95" s="82">
        <f>IF(RD[[#This Row],[POA(kWh/m2)_O2R6]]="",RD[[#This Row],[POA(kWh/m2)_PSEGPL]],(RD[[#This Row],[POA(kWh/m2)_PSEGPL]]*('Basic Data'!$V$2/'Basic Data'!$V$4))+(RD[[#This Row],[POA(kWh/m2)_O2R6]]*('Basic Data'!$V$3/'Basic Data'!$V$4)))</f>
        <v>5.0200539950576601</v>
      </c>
      <c r="AS95" s="82">
        <f>SUM(RD[[#This Row],[G1 Inv1]:[G5 Inv10]])</f>
        <v>48422</v>
      </c>
      <c r="AT95" s="82">
        <f>SUM(RD[[#This Row],[IS1_Inv1_M1]:[IS1_Inv2_M4]])</f>
        <v>43174.3</v>
      </c>
      <c r="AU95" s="82">
        <f>SUM(RD[[#This Row],[IS2_Inv1]:[IS2_Inv2]])</f>
        <v>13215</v>
      </c>
      <c r="AV95" s="80"/>
      <c r="AW95" s="83"/>
      <c r="AX95" s="80"/>
      <c r="AY95" s="80"/>
      <c r="AZ95" s="80"/>
      <c r="BA95" s="83">
        <f>IFERROR(SUM(RD[[#This Row],[PSEGPL]:[O2R10]]),"")</f>
        <v>104811.3</v>
      </c>
      <c r="BB95" s="80">
        <v>1544</v>
      </c>
      <c r="BC95" s="83">
        <v>242843</v>
      </c>
      <c r="BD95" s="83">
        <v>1338</v>
      </c>
      <c r="BE95" s="83">
        <v>217697</v>
      </c>
      <c r="BF95" s="83">
        <v>1950</v>
      </c>
      <c r="BG95" s="83">
        <v>251858</v>
      </c>
      <c r="BH95" s="83">
        <v>3106</v>
      </c>
      <c r="BI95" s="83">
        <v>239719</v>
      </c>
      <c r="BJ95" s="101">
        <f>IF((RD[[#This Row],[33 kV F5 Export Reading_Gss End]]-AM94)*1000&lt;0,0,(RD[[#This Row],[33 kV F5 Export Reading_Gss End]]-AM94)*1000)</f>
        <v>104595.19999998156</v>
      </c>
      <c r="BK95" s="83">
        <f>IF((RD[[#This Row],[33 kV F5 Import Reading_GSS End2]]-AN94)*1000&lt;0,0,(RD[[#This Row],[33 kV F5 Import Reading_GSS End2]]-AN94)*1000)</f>
        <v>387.59999999990669</v>
      </c>
      <c r="BL95" s="84">
        <f>RD[[#This Row],[Export  (kWh)]]-RD[[#This Row],[Import (kWh)]]</f>
        <v>104207.59999998166</v>
      </c>
      <c r="BM95" s="84">
        <f>RD[[#This Row],[Inverters Generation ( kWh)]]-RD[[#This Row],[Export  (kWh)]]</f>
        <v>216.1000000184431</v>
      </c>
      <c r="BN95">
        <f t="shared" si="21"/>
        <v>48135</v>
      </c>
      <c r="BO95">
        <f t="shared" si="22"/>
        <v>210</v>
      </c>
      <c r="BP95" s="185">
        <f t="shared" si="16"/>
        <v>57000</v>
      </c>
      <c r="BQ95" s="185">
        <f t="shared" si="18"/>
        <v>748.8</v>
      </c>
      <c r="BR95" s="185">
        <f t="shared" si="20"/>
        <v>12.266666666666669</v>
      </c>
    </row>
    <row r="96" spans="1:70" ht="15" customHeight="1" x14ac:dyDescent="0.35">
      <c r="A96" s="85">
        <f t="shared" si="17"/>
        <v>45837</v>
      </c>
      <c r="B96" s="80">
        <f>YEAR(RD[[#This Row],[Date]])+IF(MONTH(RD[[#This Row],[Date]])&gt;=4,1,0)</f>
        <v>2026</v>
      </c>
      <c r="C96" s="80">
        <f>YEAR(RD[[#This Row],[Month Year]])</f>
        <v>2025</v>
      </c>
      <c r="D96" s="99" t="s">
        <v>4</v>
      </c>
      <c r="E96" s="99" t="s">
        <v>4</v>
      </c>
      <c r="F96" s="80" t="str">
        <f t="shared" si="19"/>
        <v>Jun-25</v>
      </c>
      <c r="G96" s="79">
        <f>DAY(EOMONTH(RD[[#This Row],[Month Year]],0))</f>
        <v>30</v>
      </c>
      <c r="H96" s="100">
        <v>24.303100000000001</v>
      </c>
      <c r="I96" s="315">
        <v>0.26458333333333334</v>
      </c>
      <c r="J96" s="315">
        <v>0.78472222222222221</v>
      </c>
      <c r="K96" s="79">
        <v>3020</v>
      </c>
      <c r="L96" s="79">
        <v>3426</v>
      </c>
      <c r="M96" s="79">
        <v>3008</v>
      </c>
      <c r="N96" s="179">
        <v>3409</v>
      </c>
      <c r="O96" s="179">
        <v>3511</v>
      </c>
      <c r="P96" s="179">
        <v>2940</v>
      </c>
      <c r="Q96" s="179">
        <v>3516</v>
      </c>
      <c r="R96" s="179">
        <v>3170</v>
      </c>
      <c r="S96" s="179">
        <v>3469</v>
      </c>
      <c r="T96" s="179">
        <v>3142</v>
      </c>
      <c r="U96" s="79">
        <v>3640.2</v>
      </c>
      <c r="V96" s="79">
        <v>3668.1</v>
      </c>
      <c r="W96" s="79">
        <v>3796.9</v>
      </c>
      <c r="X96" s="79">
        <v>3807.4</v>
      </c>
      <c r="Y96" s="79">
        <v>3780.9</v>
      </c>
      <c r="Z96" s="79">
        <v>3665.6</v>
      </c>
      <c r="AA96" s="79">
        <v>3729.7</v>
      </c>
      <c r="AB96" s="79">
        <v>3654.8</v>
      </c>
      <c r="AC96" s="79">
        <v>4468.2</v>
      </c>
      <c r="AD96" s="79">
        <v>4710.6000000000004</v>
      </c>
      <c r="AE96" s="79"/>
      <c r="AF96" s="79"/>
      <c r="AG96" s="79"/>
      <c r="AH96" s="79"/>
      <c r="AI96" s="79"/>
      <c r="AJ96" s="79"/>
      <c r="AK96" s="79"/>
      <c r="AL96" s="79"/>
      <c r="AM96" s="80">
        <v>152879.86189999999</v>
      </c>
      <c r="AN96" s="80">
        <v>643.79390000000001</v>
      </c>
      <c r="AO96" s="80"/>
      <c r="AP96" s="80">
        <v>3.3610000000000002</v>
      </c>
      <c r="AQ96" s="82">
        <v>3.3879999999999999</v>
      </c>
      <c r="AR96" s="82">
        <f>IF(RD[[#This Row],[POA(kWh/m2)_O2R6]]="",RD[[#This Row],[POA(kWh/m2)_PSEGPL]],(RD[[#This Row],[POA(kWh/m2)_PSEGPL]]*('Basic Data'!$V$2/'Basic Data'!$V$4))+(RD[[#This Row],[POA(kWh/m2)_O2R6]]*('Basic Data'!$V$3/'Basic Data'!$V$4)))</f>
        <v>3.3752083607907739</v>
      </c>
      <c r="AS96" s="82">
        <f>SUM(RD[[#This Row],[G1 Inv1]:[G5 Inv10]])</f>
        <v>32611</v>
      </c>
      <c r="AT96" s="82">
        <f>SUM(RD[[#This Row],[IS1_Inv1_M1]:[IS1_Inv2_M4]])</f>
        <v>29743.599999999999</v>
      </c>
      <c r="AU96" s="82">
        <f>SUM(RD[[#This Row],[IS2_Inv1]:[IS2_Inv2]])</f>
        <v>9178.7999999999993</v>
      </c>
      <c r="AV96" s="80"/>
      <c r="AW96" s="83"/>
      <c r="AX96" s="80"/>
      <c r="AY96" s="80"/>
      <c r="AZ96" s="80"/>
      <c r="BA96" s="83">
        <f>IFERROR(SUM(RD[[#This Row],[PSEGPL]:[O2R10]]),"")</f>
        <v>71533.399999999994</v>
      </c>
      <c r="BB96" s="80">
        <v>1547</v>
      </c>
      <c r="BC96" s="83">
        <v>243164</v>
      </c>
      <c r="BD96" s="83">
        <v>1340</v>
      </c>
      <c r="BE96" s="83">
        <v>217990</v>
      </c>
      <c r="BF96" s="83">
        <v>1954</v>
      </c>
      <c r="BG96" s="83">
        <v>252198</v>
      </c>
      <c r="BH96" s="83">
        <v>3115</v>
      </c>
      <c r="BI96" s="83">
        <v>240032</v>
      </c>
      <c r="BJ96" s="101">
        <f>IF((RD[[#This Row],[33 kV F5 Export Reading_Gss End]]-AM95)*1000&lt;0,0,(RD[[#This Row],[33 kV F5 Export Reading_Gss End]]-AM95)*1000)</f>
        <v>71818.499999993946</v>
      </c>
      <c r="BK96" s="83">
        <f>IF((RD[[#This Row],[33 kV F5 Import Reading_GSS End2]]-AN95)*1000&lt;0,0,(RD[[#This Row],[33 kV F5 Import Reading_GSS End2]]-AN95)*1000)</f>
        <v>760.20000000005439</v>
      </c>
      <c r="BL96" s="84">
        <f>RD[[#This Row],[Export  (kWh)]]-RD[[#This Row],[Import (kWh)]]</f>
        <v>71058.299999993891</v>
      </c>
      <c r="BM96" s="84">
        <f>RD[[#This Row],[Inverters Generation ( kWh)]]-RD[[#This Row],[Export  (kWh)]]</f>
        <v>-285.09999999395222</v>
      </c>
      <c r="BN96">
        <f t="shared" si="21"/>
        <v>32445</v>
      </c>
      <c r="BO96">
        <f t="shared" si="22"/>
        <v>270</v>
      </c>
      <c r="BP96" s="185">
        <f t="shared" si="16"/>
        <v>39990</v>
      </c>
      <c r="BQ96" s="185">
        <f t="shared" si="18"/>
        <v>748.8</v>
      </c>
      <c r="BR96" s="185">
        <f t="shared" si="20"/>
        <v>12.483333333333334</v>
      </c>
    </row>
    <row r="97" spans="1:74" ht="15" customHeight="1" x14ac:dyDescent="0.35">
      <c r="A97" s="85">
        <f t="shared" si="17"/>
        <v>45838</v>
      </c>
      <c r="B97" s="80">
        <f>YEAR(RD[[#This Row],[Date]])+IF(MONTH(RD[[#This Row],[Date]])&gt;=4,1,0)</f>
        <v>2026</v>
      </c>
      <c r="C97" s="80">
        <f>YEAR(RD[[#This Row],[Month Year]])</f>
        <v>2025</v>
      </c>
      <c r="D97" s="99" t="s">
        <v>4</v>
      </c>
      <c r="E97" s="99" t="s">
        <v>4</v>
      </c>
      <c r="F97" s="80" t="str">
        <f t="shared" si="19"/>
        <v>Jun-25</v>
      </c>
      <c r="G97" s="79">
        <f>DAY(EOMONTH(RD[[#This Row],[Month Year]],0))</f>
        <v>30</v>
      </c>
      <c r="H97" s="100">
        <v>24.303100000000001</v>
      </c>
      <c r="I97" s="315">
        <v>0.26319444444444445</v>
      </c>
      <c r="J97" s="315">
        <v>0.78333333333333333</v>
      </c>
      <c r="K97" s="79">
        <v>2687</v>
      </c>
      <c r="L97" s="79">
        <v>3061</v>
      </c>
      <c r="M97" s="79">
        <v>2676</v>
      </c>
      <c r="N97" s="179">
        <v>3060</v>
      </c>
      <c r="O97" s="179">
        <v>3055</v>
      </c>
      <c r="P97" s="179">
        <v>2624</v>
      </c>
      <c r="Q97" s="179">
        <v>3111</v>
      </c>
      <c r="R97" s="179">
        <v>2792</v>
      </c>
      <c r="S97" s="179">
        <v>3076</v>
      </c>
      <c r="T97" s="179">
        <v>2770</v>
      </c>
      <c r="U97" s="79">
        <v>3282.7</v>
      </c>
      <c r="V97" s="79">
        <v>3289.7</v>
      </c>
      <c r="W97" s="79">
        <v>3380.7</v>
      </c>
      <c r="X97" s="79">
        <v>3384.8</v>
      </c>
      <c r="Y97" s="79">
        <v>3373</v>
      </c>
      <c r="Z97" s="79">
        <v>3289.4</v>
      </c>
      <c r="AA97" s="79">
        <v>3369.3</v>
      </c>
      <c r="AB97" s="79">
        <v>3315</v>
      </c>
      <c r="AC97" s="79">
        <v>3965.5</v>
      </c>
      <c r="AD97" s="79">
        <v>4185.6000000000004</v>
      </c>
      <c r="AE97" s="79"/>
      <c r="AF97" s="79"/>
      <c r="AG97" s="79"/>
      <c r="AH97" s="79"/>
      <c r="AI97" s="79"/>
      <c r="AJ97" s="79"/>
      <c r="AK97" s="79"/>
      <c r="AL97" s="79"/>
      <c r="AM97" s="80">
        <v>152943.87700000001</v>
      </c>
      <c r="AN97" s="80">
        <v>644.76909999999998</v>
      </c>
      <c r="AO97" s="80"/>
      <c r="AP97" s="80">
        <v>2.9969999999999999</v>
      </c>
      <c r="AQ97" s="82">
        <v>2.9780000000000002</v>
      </c>
      <c r="AR97" s="82">
        <f>IF(RD[[#This Row],[POA(kWh/m2)_O2R6]]="",RD[[#This Row],[POA(kWh/m2)_PSEGPL]],(RD[[#This Row],[POA(kWh/m2)_PSEGPL]]*('Basic Data'!$V$2/'Basic Data'!$V$4))+(RD[[#This Row],[POA(kWh/m2)_O2R6]]*('Basic Data'!$V$3/'Basic Data'!$V$4)))</f>
        <v>2.9870015238879732</v>
      </c>
      <c r="AS97" s="82">
        <f>SUM(RD[[#This Row],[G1 Inv1]:[G5 Inv10]])</f>
        <v>28912</v>
      </c>
      <c r="AT97" s="82">
        <f>SUM(RD[[#This Row],[IS1_Inv1_M1]:[IS1_Inv2_M4]])</f>
        <v>26684.6</v>
      </c>
      <c r="AU97" s="82">
        <f>SUM(RD[[#This Row],[IS2_Inv1]:[IS2_Inv2]])</f>
        <v>8151.1</v>
      </c>
      <c r="AV97" s="80"/>
      <c r="AW97" s="83"/>
      <c r="AX97" s="80"/>
      <c r="AY97" s="80"/>
      <c r="AZ97" s="80"/>
      <c r="BA97" s="83">
        <f>IFERROR(SUM(RD[[#This Row],[PSEGPL]:[O2R10]]),"")</f>
        <v>63747.7</v>
      </c>
      <c r="BB97" s="80">
        <v>1549</v>
      </c>
      <c r="BC97" s="83">
        <v>243447</v>
      </c>
      <c r="BD97" s="83">
        <v>1342</v>
      </c>
      <c r="BE97" s="83">
        <v>218250</v>
      </c>
      <c r="BF97" s="83">
        <v>1958</v>
      </c>
      <c r="BG97" s="83">
        <v>252502</v>
      </c>
      <c r="BH97" s="83">
        <v>3124</v>
      </c>
      <c r="BI97" s="83">
        <v>240310</v>
      </c>
      <c r="BJ97" s="101">
        <f>IF((RD[[#This Row],[33 kV F5 Export Reading_Gss End]]-AM96)*1000&lt;0,0,(RD[[#This Row],[33 kV F5 Export Reading_Gss End]]-AM96)*1000)</f>
        <v>64015.10000001872</v>
      </c>
      <c r="BK97" s="83">
        <f>IF((RD[[#This Row],[33 kV F5 Import Reading_GSS End2]]-AN96)*1000&lt;0,0,(RD[[#This Row],[33 kV F5 Import Reading_GSS End2]]-AN96)*1000)</f>
        <v>975.19999999997253</v>
      </c>
      <c r="BL97" s="84">
        <f>RD[[#This Row],[Export  (kWh)]]-RD[[#This Row],[Import (kWh)]]</f>
        <v>63039.900000018744</v>
      </c>
      <c r="BM97" s="84">
        <f>RD[[#This Row],[Inverters Generation ( kWh)]]-RD[[#This Row],[Export  (kWh)]]</f>
        <v>-267.40000001872249</v>
      </c>
      <c r="BN97">
        <f t="shared" si="21"/>
        <v>28680</v>
      </c>
      <c r="BO97">
        <f t="shared" si="22"/>
        <v>210</v>
      </c>
      <c r="BP97" s="185">
        <f t="shared" si="16"/>
        <v>35700</v>
      </c>
      <c r="BQ97" s="185">
        <f t="shared" si="18"/>
        <v>748.8</v>
      </c>
      <c r="BR97" s="185">
        <f t="shared" si="20"/>
        <v>12.483333333333334</v>
      </c>
    </row>
    <row r="98" spans="1:74" ht="15" customHeight="1" x14ac:dyDescent="0.35">
      <c r="A98" s="85">
        <f t="shared" si="17"/>
        <v>45839</v>
      </c>
      <c r="B98" s="80">
        <f>YEAR(RD[[#This Row],[Date]])+IF(MONTH(RD[[#This Row],[Date]])&gt;=4,1,0)</f>
        <v>2026</v>
      </c>
      <c r="C98" s="80">
        <f>YEAR(RD[[#This Row],[Month Year]])</f>
        <v>2025</v>
      </c>
      <c r="D98" s="99" t="s">
        <v>4</v>
      </c>
      <c r="E98" s="99" t="s">
        <v>4</v>
      </c>
      <c r="F98" s="80" t="str">
        <f t="shared" si="19"/>
        <v>Jul-25</v>
      </c>
      <c r="G98" s="79">
        <f>DAY(EOMONTH(RD[[#This Row],[Month Year]],0))</f>
        <v>31</v>
      </c>
      <c r="H98" s="100">
        <v>24.303100000000001</v>
      </c>
      <c r="I98" s="315">
        <v>0.26111111111111113</v>
      </c>
      <c r="J98" s="315">
        <v>0.77847222222222223</v>
      </c>
      <c r="K98" s="79">
        <v>1908</v>
      </c>
      <c r="L98" s="79">
        <v>2184</v>
      </c>
      <c r="M98" s="79">
        <v>1911</v>
      </c>
      <c r="N98" s="179">
        <v>2190</v>
      </c>
      <c r="O98" s="179">
        <v>2223</v>
      </c>
      <c r="P98" s="179">
        <v>1877</v>
      </c>
      <c r="Q98" s="179">
        <v>2239</v>
      </c>
      <c r="R98" s="179">
        <v>2006</v>
      </c>
      <c r="S98" s="179">
        <v>2199</v>
      </c>
      <c r="T98" s="179">
        <v>1979</v>
      </c>
      <c r="U98" s="79">
        <v>2312.5</v>
      </c>
      <c r="V98" s="79">
        <v>2321.3000000000002</v>
      </c>
      <c r="W98" s="79">
        <v>2393.8000000000002</v>
      </c>
      <c r="X98" s="79">
        <v>2398.6</v>
      </c>
      <c r="Y98" s="79">
        <v>2388.9</v>
      </c>
      <c r="Z98" s="79">
        <v>2322.1999999999998</v>
      </c>
      <c r="AA98" s="79">
        <v>2377.6</v>
      </c>
      <c r="AB98" s="79">
        <v>2335.8000000000002</v>
      </c>
      <c r="AC98" s="79">
        <v>2859.2</v>
      </c>
      <c r="AD98" s="79">
        <v>3022.8</v>
      </c>
      <c r="AE98" s="79"/>
      <c r="AF98" s="79"/>
      <c r="AG98" s="79"/>
      <c r="AH98" s="79"/>
      <c r="AI98" s="79"/>
      <c r="AJ98" s="79"/>
      <c r="AK98" s="79"/>
      <c r="AL98" s="79"/>
      <c r="AM98" s="80">
        <v>152989.9154</v>
      </c>
      <c r="AN98" s="80">
        <v>645.70280000000002</v>
      </c>
      <c r="AO98" s="80"/>
      <c r="AP98" s="80">
        <v>2.121</v>
      </c>
      <c r="AQ98" s="82">
        <v>2.1429999999999998</v>
      </c>
      <c r="AR98" s="82">
        <f>IF(RD[[#This Row],[POA(kWh/m2)_O2R6]]="",RD[[#This Row],[POA(kWh/m2)_PSEGPL]],(RD[[#This Row],[POA(kWh/m2)_PSEGPL]]*('Basic Data'!$V$2/'Basic Data'!$V$4))+(RD[[#This Row],[POA(kWh/m2)_O2R6]]*('Basic Data'!$V$3/'Basic Data'!$V$4)))</f>
        <v>2.1325771828665565</v>
      </c>
      <c r="AS98" s="82">
        <f>SUM(RD[[#This Row],[G1 Inv1]:[G5 Inv10]])</f>
        <v>20716</v>
      </c>
      <c r="AT98" s="82">
        <f>SUM(RD[[#This Row],[IS1_Inv1_M1]:[IS1_Inv2_M4]])</f>
        <v>18850.699999999997</v>
      </c>
      <c r="AU98" s="82">
        <f>SUM(RD[[#This Row],[IS2_Inv1]:[IS2_Inv2]])</f>
        <v>5882</v>
      </c>
      <c r="AV98" s="80"/>
      <c r="AW98" s="83"/>
      <c r="AX98" s="80"/>
      <c r="AY98" s="80"/>
      <c r="AZ98" s="80"/>
      <c r="BA98" s="83">
        <f>IFERROR(SUM(RD[[#This Row],[PSEGPL]:[O2R10]]),"")</f>
        <v>45448.7</v>
      </c>
      <c r="BB98" s="80">
        <v>1552</v>
      </c>
      <c r="BC98" s="83">
        <v>243650</v>
      </c>
      <c r="BD98" s="83">
        <v>1344</v>
      </c>
      <c r="BE98" s="83">
        <v>218435</v>
      </c>
      <c r="BF98" s="83">
        <v>1962</v>
      </c>
      <c r="BG98" s="83">
        <v>252722</v>
      </c>
      <c r="BH98" s="83">
        <v>3132</v>
      </c>
      <c r="BI98" s="83">
        <v>240514</v>
      </c>
      <c r="BJ98" s="101">
        <f>IF((RD[[#This Row],[33 kV F5 Export Reading_Gss End]]-AM97)*1000&lt;0,0,(RD[[#This Row],[33 kV F5 Export Reading_Gss End]]-AM97)*1000)</f>
        <v>46038.399999990361</v>
      </c>
      <c r="BK98" s="83">
        <f>IF((RD[[#This Row],[33 kV F5 Import Reading_GSS End2]]-AN97)*1000&lt;0,0,(RD[[#This Row],[33 kV F5 Import Reading_GSS End2]]-AN97)*1000)</f>
        <v>933.70000000004438</v>
      </c>
      <c r="BL98" s="84">
        <f>RD[[#This Row],[Export  (kWh)]]-RD[[#This Row],[Import (kWh)]]</f>
        <v>45104.69999999032</v>
      </c>
      <c r="BM98" s="84">
        <f>RD[[#This Row],[Inverters Generation ( kWh)]]-RD[[#This Row],[Export  (kWh)]]</f>
        <v>-589.69999999036372</v>
      </c>
      <c r="BN98">
        <f t="shared" si="21"/>
        <v>20505</v>
      </c>
      <c r="BO98">
        <f t="shared" si="22"/>
        <v>270</v>
      </c>
      <c r="BP98" s="185">
        <f t="shared" si="16"/>
        <v>25920</v>
      </c>
      <c r="BQ98" s="185">
        <f t="shared" si="18"/>
        <v>718.8</v>
      </c>
      <c r="BR98" s="185">
        <f t="shared" si="20"/>
        <v>12.416666666666668</v>
      </c>
    </row>
    <row r="99" spans="1:74" ht="15" customHeight="1" x14ac:dyDescent="0.35">
      <c r="A99" s="85">
        <f t="shared" si="17"/>
        <v>45840</v>
      </c>
      <c r="B99" s="80">
        <f>YEAR(RD[[#This Row],[Date]])+IF(MONTH(RD[[#This Row],[Date]])&gt;=4,1,0)</f>
        <v>2026</v>
      </c>
      <c r="C99" s="80">
        <f>YEAR(RD[[#This Row],[Month Year]])</f>
        <v>2025</v>
      </c>
      <c r="D99" s="99" t="s">
        <v>4</v>
      </c>
      <c r="E99" s="99" t="s">
        <v>4</v>
      </c>
      <c r="F99" s="80" t="str">
        <f t="shared" si="19"/>
        <v>Jul-25</v>
      </c>
      <c r="G99" s="79">
        <f>DAY(EOMONTH(RD[[#This Row],[Month Year]],0))</f>
        <v>31</v>
      </c>
      <c r="H99" s="100">
        <v>24.303100000000001</v>
      </c>
      <c r="I99" s="315">
        <v>0.26944444444444443</v>
      </c>
      <c r="J99" s="315">
        <v>0.77777777777777779</v>
      </c>
      <c r="K99" s="79">
        <v>2457</v>
      </c>
      <c r="L99" s="79">
        <v>2798</v>
      </c>
      <c r="M99" s="79">
        <v>2433</v>
      </c>
      <c r="N99" s="179">
        <v>2796</v>
      </c>
      <c r="O99" s="179">
        <v>2865</v>
      </c>
      <c r="P99" s="179">
        <v>2404</v>
      </c>
      <c r="Q99" s="179">
        <v>2860</v>
      </c>
      <c r="R99" s="179">
        <v>2583</v>
      </c>
      <c r="S99" s="179">
        <v>2865</v>
      </c>
      <c r="T99" s="179">
        <v>2604</v>
      </c>
      <c r="U99" s="79">
        <v>3114.9</v>
      </c>
      <c r="V99" s="79">
        <v>3132.8</v>
      </c>
      <c r="W99" s="79">
        <v>3231.9</v>
      </c>
      <c r="X99" s="79">
        <v>3240.4</v>
      </c>
      <c r="Y99" s="79">
        <v>3226.1</v>
      </c>
      <c r="Z99" s="79">
        <v>3126.3</v>
      </c>
      <c r="AA99" s="79">
        <v>3198</v>
      </c>
      <c r="AB99" s="79">
        <v>3137</v>
      </c>
      <c r="AC99" s="79">
        <v>3702.9</v>
      </c>
      <c r="AD99" s="79">
        <v>3874.8</v>
      </c>
      <c r="AE99" s="79"/>
      <c r="AF99" s="79"/>
      <c r="AG99" s="79"/>
      <c r="AH99" s="79"/>
      <c r="AI99" s="79"/>
      <c r="AJ99" s="79"/>
      <c r="AK99" s="79"/>
      <c r="AL99" s="79"/>
      <c r="AM99" s="80">
        <v>153049.9039</v>
      </c>
      <c r="AN99" s="80">
        <v>646.34709999999995</v>
      </c>
      <c r="AO99" s="80"/>
      <c r="AP99" s="80">
        <v>2.907</v>
      </c>
      <c r="AQ99" s="82">
        <v>2.83</v>
      </c>
      <c r="AR99" s="82">
        <f>IF(RD[[#This Row],[POA(kWh/m2)_O2R6]]="",RD[[#This Row],[POA(kWh/m2)_PSEGPL]],(RD[[#This Row],[POA(kWh/m2)_PSEGPL]]*('Basic Data'!$V$2/'Basic Data'!$V$4))+(RD[[#This Row],[POA(kWh/m2)_O2R6]]*('Basic Data'!$V$3/'Basic Data'!$V$4)))</f>
        <v>2.8664798599670509</v>
      </c>
      <c r="AS99" s="82">
        <f>SUM(RD[[#This Row],[G1 Inv1]:[G5 Inv10]])</f>
        <v>26665</v>
      </c>
      <c r="AT99" s="82">
        <f>SUM(RD[[#This Row],[IS1_Inv1_M1]:[IS1_Inv2_M4]])</f>
        <v>25407.4</v>
      </c>
      <c r="AU99" s="82">
        <f>SUM(RD[[#This Row],[IS2_Inv1]:[IS2_Inv2]])</f>
        <v>7577.7000000000007</v>
      </c>
      <c r="AV99" s="80"/>
      <c r="AW99" s="83"/>
      <c r="AX99" s="80"/>
      <c r="AY99" s="80"/>
      <c r="AZ99" s="80"/>
      <c r="BA99" s="83">
        <f>IFERROR(SUM(RD[[#This Row],[PSEGPL]:[O2R10]]),"")</f>
        <v>59650.100000000006</v>
      </c>
      <c r="BB99" s="80">
        <v>1554</v>
      </c>
      <c r="BC99" s="83">
        <v>243910</v>
      </c>
      <c r="BD99" s="83">
        <v>1346</v>
      </c>
      <c r="BE99" s="83">
        <v>218675</v>
      </c>
      <c r="BF99" s="83">
        <v>1966</v>
      </c>
      <c r="BG99" s="83">
        <v>253013</v>
      </c>
      <c r="BH99" s="83">
        <v>3140</v>
      </c>
      <c r="BI99" s="83">
        <v>240774</v>
      </c>
      <c r="BJ99" s="101">
        <f>IF((RD[[#This Row],[33 kV F5 Export Reading_Gss End]]-AM98)*1000&lt;0,0,(RD[[#This Row],[33 kV F5 Export Reading_Gss End]]-AM98)*1000)</f>
        <v>59988.500000006752</v>
      </c>
      <c r="BK99" s="83">
        <f>IF((RD[[#This Row],[33 kV F5 Import Reading_GSS End2]]-AN98)*1000&lt;0,0,(RD[[#This Row],[33 kV F5 Import Reading_GSS End2]]-AN98)*1000)</f>
        <v>644.29999999993015</v>
      </c>
      <c r="BL99" s="84">
        <f>RD[[#This Row],[Export  (kWh)]]-RD[[#This Row],[Import (kWh)]]</f>
        <v>59344.200000006822</v>
      </c>
      <c r="BM99" s="84">
        <f>RD[[#This Row],[Inverters Generation ( kWh)]]-RD[[#This Row],[Export  (kWh)]]</f>
        <v>-338.40000000674627</v>
      </c>
      <c r="BN99">
        <f t="shared" si="21"/>
        <v>26400</v>
      </c>
      <c r="BO99">
        <f t="shared" si="22"/>
        <v>210</v>
      </c>
      <c r="BP99" s="185">
        <f t="shared" si="16"/>
        <v>33990</v>
      </c>
      <c r="BQ99" s="185">
        <f t="shared" si="18"/>
        <v>718.8</v>
      </c>
      <c r="BR99" s="185">
        <f t="shared" si="20"/>
        <v>12.2</v>
      </c>
    </row>
    <row r="100" spans="1:74" ht="15" customHeight="1" x14ac:dyDescent="0.35">
      <c r="A100" s="85">
        <f t="shared" si="17"/>
        <v>45841</v>
      </c>
      <c r="B100" s="80">
        <f>YEAR(RD[[#This Row],[Date]])+IF(MONTH(RD[[#This Row],[Date]])&gt;=4,1,0)</f>
        <v>2026</v>
      </c>
      <c r="C100" s="80">
        <f>YEAR(RD[[#This Row],[Month Year]])</f>
        <v>2025</v>
      </c>
      <c r="D100" s="99" t="s">
        <v>4</v>
      </c>
      <c r="E100" s="99" t="s">
        <v>4</v>
      </c>
      <c r="F100" s="80" t="str">
        <f t="shared" si="19"/>
        <v>Jul-25</v>
      </c>
      <c r="G100" s="79">
        <f>DAY(EOMONTH(RD[[#This Row],[Month Year]],0))</f>
        <v>31</v>
      </c>
      <c r="H100" s="100">
        <v>24.303100000000001</v>
      </c>
      <c r="I100" s="315">
        <v>0.26180555555555557</v>
      </c>
      <c r="J100" s="315">
        <v>0.78055555555555556</v>
      </c>
      <c r="K100" s="79">
        <v>2902</v>
      </c>
      <c r="L100" s="79">
        <v>3304</v>
      </c>
      <c r="M100" s="79">
        <v>2902</v>
      </c>
      <c r="N100" s="179">
        <v>3298</v>
      </c>
      <c r="O100" s="179">
        <v>3345</v>
      </c>
      <c r="P100" s="179">
        <v>2840</v>
      </c>
      <c r="Q100" s="179">
        <v>3382</v>
      </c>
      <c r="R100" s="179">
        <v>3032</v>
      </c>
      <c r="S100" s="179">
        <v>3329</v>
      </c>
      <c r="T100" s="179">
        <v>2988</v>
      </c>
      <c r="U100" s="79">
        <v>3580.8</v>
      </c>
      <c r="V100" s="79">
        <v>3567.2</v>
      </c>
      <c r="W100" s="79">
        <v>3659.7</v>
      </c>
      <c r="X100" s="79">
        <v>3660</v>
      </c>
      <c r="Y100" s="79">
        <v>3652.6</v>
      </c>
      <c r="Z100" s="79">
        <v>3571.5</v>
      </c>
      <c r="AA100" s="79">
        <v>3656.1</v>
      </c>
      <c r="AB100" s="79">
        <v>3619.7</v>
      </c>
      <c r="AC100" s="79">
        <v>4305.3</v>
      </c>
      <c r="AD100" s="79">
        <v>4613.2</v>
      </c>
      <c r="AE100" s="79"/>
      <c r="AF100" s="79"/>
      <c r="AG100" s="79"/>
      <c r="AH100" s="79"/>
      <c r="AI100" s="79"/>
      <c r="AJ100" s="79"/>
      <c r="AK100" s="79"/>
      <c r="AL100" s="79"/>
      <c r="AM100" s="80">
        <v>153119.3829</v>
      </c>
      <c r="AN100" s="80">
        <v>647.21780000000001</v>
      </c>
      <c r="AO100" s="80"/>
      <c r="AP100" s="80">
        <v>3.3010000000000002</v>
      </c>
      <c r="AQ100" s="82">
        <v>3.278</v>
      </c>
      <c r="AR100" s="82">
        <f>IF(RD[[#This Row],[POA(kWh/m2)_O2R6]]="",RD[[#This Row],[POA(kWh/m2)_PSEGPL]],(RD[[#This Row],[POA(kWh/m2)_PSEGPL]]*('Basic Data'!$V$2/'Basic Data'!$V$4))+(RD[[#This Row],[POA(kWh/m2)_O2R6]]*('Basic Data'!$V$3/'Basic Data'!$V$4)))</f>
        <v>3.2888965815485998</v>
      </c>
      <c r="AS100" s="82">
        <f>SUM(RD[[#This Row],[G1 Inv1]:[G5 Inv10]])</f>
        <v>31322</v>
      </c>
      <c r="AT100" s="82">
        <f>SUM(RD[[#This Row],[IS1_Inv1_M1]:[IS1_Inv2_M4]])</f>
        <v>28967.599999999999</v>
      </c>
      <c r="AU100" s="82">
        <f>SUM(RD[[#This Row],[IS2_Inv1]:[IS2_Inv2]])</f>
        <v>8918.5</v>
      </c>
      <c r="AV100" s="80"/>
      <c r="AW100" s="83"/>
      <c r="AX100" s="80"/>
      <c r="AY100" s="80"/>
      <c r="AZ100" s="80"/>
      <c r="BA100" s="83">
        <f>IFERROR(SUM(RD[[#This Row],[PSEGPL]:[O2R10]]),"")</f>
        <v>69208.100000000006</v>
      </c>
      <c r="BB100" s="80">
        <v>1557</v>
      </c>
      <c r="BC100" s="83">
        <v>244218</v>
      </c>
      <c r="BD100" s="83">
        <v>1348</v>
      </c>
      <c r="BE100" s="83">
        <v>218956</v>
      </c>
      <c r="BF100" s="83">
        <v>1970</v>
      </c>
      <c r="BG100" s="83">
        <v>253343</v>
      </c>
      <c r="BH100" s="83">
        <v>3151</v>
      </c>
      <c r="BI100" s="83">
        <v>241078</v>
      </c>
      <c r="BJ100" s="101">
        <f>IF((RD[[#This Row],[33 kV F5 Export Reading_Gss End]]-AM99)*1000&lt;0,0,(RD[[#This Row],[33 kV F5 Export Reading_Gss End]]-AM99)*1000)</f>
        <v>69478.999999992084</v>
      </c>
      <c r="BK100" s="83">
        <f>IF((RD[[#This Row],[33 kV F5 Import Reading_GSS End2]]-AN99)*1000&lt;0,0,(RD[[#This Row],[33 kV F5 Import Reading_GSS End2]]-AN99)*1000)</f>
        <v>870.70000000005621</v>
      </c>
      <c r="BL100" s="84">
        <f>RD[[#This Row],[Export  (kWh)]]-RD[[#This Row],[Import (kWh)]]</f>
        <v>68608.299999992028</v>
      </c>
      <c r="BM100" s="84">
        <f>RD[[#This Row],[Inverters Generation ( kWh)]]-RD[[#This Row],[Export  (kWh)]]</f>
        <v>-270.89999999207794</v>
      </c>
      <c r="BN100">
        <f t="shared" si="21"/>
        <v>31125</v>
      </c>
      <c r="BO100">
        <f t="shared" si="22"/>
        <v>270</v>
      </c>
      <c r="BP100" s="185">
        <f t="shared" si="16"/>
        <v>38820</v>
      </c>
      <c r="BQ100" s="185">
        <f t="shared" si="18"/>
        <v>808.8</v>
      </c>
      <c r="BR100" s="185">
        <f t="shared" si="20"/>
        <v>12.450000000000001</v>
      </c>
    </row>
    <row r="101" spans="1:74" ht="15" customHeight="1" x14ac:dyDescent="0.35">
      <c r="A101" s="85">
        <f t="shared" si="17"/>
        <v>45842</v>
      </c>
      <c r="B101" s="80">
        <f>YEAR(RD[[#This Row],[Date]])+IF(MONTH(RD[[#This Row],[Date]])&gt;=4,1,0)</f>
        <v>2026</v>
      </c>
      <c r="C101" s="80">
        <f>YEAR(RD[[#This Row],[Month Year]])</f>
        <v>2025</v>
      </c>
      <c r="D101" s="99" t="s">
        <v>4</v>
      </c>
      <c r="E101" s="99" t="s">
        <v>4</v>
      </c>
      <c r="F101" s="80" t="str">
        <f t="shared" si="19"/>
        <v>Jul-25</v>
      </c>
      <c r="G101" s="79">
        <f>DAY(EOMONTH(RD[[#This Row],[Month Year]],0))</f>
        <v>31</v>
      </c>
      <c r="H101" s="100">
        <v>24.303100000000001</v>
      </c>
      <c r="I101" s="315">
        <v>0.26041666666666669</v>
      </c>
      <c r="J101" s="315">
        <v>0.77986111111111112</v>
      </c>
      <c r="K101" s="79">
        <v>3458</v>
      </c>
      <c r="L101" s="79">
        <v>3947</v>
      </c>
      <c r="M101" s="79">
        <v>3443</v>
      </c>
      <c r="N101" s="179">
        <v>3925</v>
      </c>
      <c r="O101" s="179">
        <v>3982</v>
      </c>
      <c r="P101" s="179">
        <v>3393</v>
      </c>
      <c r="Q101" s="179">
        <v>4013</v>
      </c>
      <c r="R101" s="179">
        <v>3615</v>
      </c>
      <c r="S101" s="179">
        <v>3999</v>
      </c>
      <c r="T101" s="179">
        <v>3630</v>
      </c>
      <c r="U101" s="79">
        <v>4480.8999999999996</v>
      </c>
      <c r="V101" s="79">
        <v>4472.5</v>
      </c>
      <c r="W101" s="79">
        <v>4575.6000000000004</v>
      </c>
      <c r="X101" s="79">
        <v>4561.2</v>
      </c>
      <c r="Y101" s="79">
        <v>4575.8</v>
      </c>
      <c r="Z101" s="79">
        <v>4474</v>
      </c>
      <c r="AA101" s="79">
        <v>4578.7</v>
      </c>
      <c r="AB101" s="79">
        <v>4516.5</v>
      </c>
      <c r="AC101" s="79">
        <v>5206.5</v>
      </c>
      <c r="AD101" s="79">
        <v>5428</v>
      </c>
      <c r="AE101" s="79"/>
      <c r="AF101" s="79"/>
      <c r="AG101" s="79"/>
      <c r="AH101" s="79"/>
      <c r="AI101" s="79"/>
      <c r="AJ101" s="79"/>
      <c r="AK101" s="79"/>
      <c r="AL101" s="79" t="s">
        <v>20</v>
      </c>
      <c r="AM101" s="80">
        <v>153203.45079999999</v>
      </c>
      <c r="AN101" s="80">
        <v>648.36320000000001</v>
      </c>
      <c r="AO101" s="80"/>
      <c r="AP101" s="80">
        <v>4.2030000000000003</v>
      </c>
      <c r="AQ101" s="82">
        <v>3.9820000000000002</v>
      </c>
      <c r="AR101" s="82">
        <f>IF(RD[[#This Row],[POA(kWh/m2)_O2R6]]="",RD[[#This Row],[POA(kWh/m2)_PSEGPL]],(RD[[#This Row],[POA(kWh/m2)_PSEGPL]]*('Basic Data'!$V$2/'Basic Data'!$V$4))+(RD[[#This Row],[POA(kWh/m2)_O2R6]]*('Basic Data'!$V$3/'Basic Data'!$V$4)))</f>
        <v>4.0867019357495877</v>
      </c>
      <c r="AS101" s="82">
        <f>SUM(RD[[#This Row],[G1 Inv1]:[G5 Inv10]])</f>
        <v>37405</v>
      </c>
      <c r="AT101" s="82">
        <f>SUM(RD[[#This Row],[IS1_Inv1_M1]:[IS1_Inv2_M4]])</f>
        <v>36235.199999999997</v>
      </c>
      <c r="AU101" s="82">
        <f>SUM(RD[[#This Row],[IS2_Inv1]:[IS2_Inv2]])</f>
        <v>10634.5</v>
      </c>
      <c r="AV101" s="80"/>
      <c r="AW101" s="83"/>
      <c r="AX101" s="80"/>
      <c r="AY101" s="80"/>
      <c r="AZ101" s="80"/>
      <c r="BA101" s="83">
        <f>IFERROR(SUM(RD[[#This Row],[PSEGPL]:[O2R10]]),"")</f>
        <v>84274.7</v>
      </c>
      <c r="BB101" s="80">
        <v>1559</v>
      </c>
      <c r="BC101" s="83">
        <v>244582</v>
      </c>
      <c r="BD101" s="83">
        <v>1350</v>
      </c>
      <c r="BE101" s="83">
        <v>219292</v>
      </c>
      <c r="BF101" s="83">
        <v>1974</v>
      </c>
      <c r="BG101" s="83">
        <v>253752</v>
      </c>
      <c r="BH101" s="83">
        <v>3159</v>
      </c>
      <c r="BI101" s="83">
        <v>241438</v>
      </c>
      <c r="BJ101" s="101">
        <f>IF((RD[[#This Row],[33 kV F5 Export Reading_Gss End]]-AM100)*1000&lt;0,0,(RD[[#This Row],[33 kV F5 Export Reading_Gss End]]-AM100)*1000)</f>
        <v>84067.899999994552</v>
      </c>
      <c r="BK101" s="83">
        <f>IF((RD[[#This Row],[33 kV F5 Import Reading_GSS End2]]-AN100)*1000&lt;0,0,(RD[[#This Row],[33 kV F5 Import Reading_GSS End2]]-AN100)*1000)</f>
        <v>1145.3999999999951</v>
      </c>
      <c r="BL101" s="84">
        <f>RD[[#This Row],[Export  (kWh)]]-RD[[#This Row],[Import (kWh)]]</f>
        <v>82922.499999994558</v>
      </c>
      <c r="BM101" s="84">
        <f>RD[[#This Row],[Inverters Generation ( kWh)]]-RD[[#This Row],[Export  (kWh)]]</f>
        <v>206.80000000544533</v>
      </c>
      <c r="BN101">
        <f t="shared" si="21"/>
        <v>36960</v>
      </c>
      <c r="BO101">
        <f t="shared" si="22"/>
        <v>210</v>
      </c>
      <c r="BP101" s="185">
        <f t="shared" si="16"/>
        <v>47610</v>
      </c>
      <c r="BQ101" s="185">
        <f t="shared" si="18"/>
        <v>718.8</v>
      </c>
      <c r="BR101" s="185">
        <f t="shared" si="20"/>
        <v>12.466666666666665</v>
      </c>
    </row>
    <row r="102" spans="1:74" ht="15" customHeight="1" x14ac:dyDescent="0.35">
      <c r="A102" s="85">
        <f t="shared" si="17"/>
        <v>45843</v>
      </c>
      <c r="B102" s="80">
        <f>YEAR(RD[[#This Row],[Date]])+IF(MONTH(RD[[#This Row],[Date]])&gt;=4,1,0)</f>
        <v>2026</v>
      </c>
      <c r="C102" s="80">
        <f>YEAR(RD[[#This Row],[Month Year]])</f>
        <v>2025</v>
      </c>
      <c r="D102" s="99" t="s">
        <v>4</v>
      </c>
      <c r="E102" s="99" t="s">
        <v>4</v>
      </c>
      <c r="F102" s="80" t="str">
        <f t="shared" si="19"/>
        <v>Jul-25</v>
      </c>
      <c r="G102" s="79">
        <f>DAY(EOMONTH(RD[[#This Row],[Month Year]],0))</f>
        <v>31</v>
      </c>
      <c r="H102" s="100">
        <v>24.303100000000001</v>
      </c>
      <c r="I102" s="315">
        <v>0.2638888888888889</v>
      </c>
      <c r="J102" s="315">
        <v>0.78472222222222221</v>
      </c>
      <c r="K102" s="79">
        <v>3345</v>
      </c>
      <c r="L102" s="79">
        <v>3821</v>
      </c>
      <c r="M102" s="79">
        <v>3347</v>
      </c>
      <c r="N102" s="179">
        <v>3792</v>
      </c>
      <c r="O102" s="179">
        <v>3878</v>
      </c>
      <c r="P102" s="179">
        <v>3262</v>
      </c>
      <c r="Q102" s="179">
        <v>3897</v>
      </c>
      <c r="R102" s="179">
        <v>3502</v>
      </c>
      <c r="S102" s="179">
        <v>3842</v>
      </c>
      <c r="T102" s="179">
        <v>3469</v>
      </c>
      <c r="U102" s="79">
        <v>4078</v>
      </c>
      <c r="V102" s="79">
        <v>4104.3</v>
      </c>
      <c r="W102" s="79">
        <v>4235.3</v>
      </c>
      <c r="X102" s="79">
        <v>4246.8</v>
      </c>
      <c r="Y102" s="79">
        <v>4218.6000000000004</v>
      </c>
      <c r="Z102" s="79">
        <v>4096.5</v>
      </c>
      <c r="AA102" s="79">
        <v>4173.6000000000004</v>
      </c>
      <c r="AB102" s="79">
        <v>4097.2</v>
      </c>
      <c r="AC102" s="79">
        <v>5025</v>
      </c>
      <c r="AD102" s="79">
        <v>5180.6000000000004</v>
      </c>
      <c r="AE102" s="79"/>
      <c r="AF102" s="79"/>
      <c r="AG102" s="79"/>
      <c r="AH102" s="79"/>
      <c r="AI102" s="79"/>
      <c r="AJ102" s="79"/>
      <c r="AK102" s="79"/>
      <c r="AL102" s="79"/>
      <c r="AM102" s="80">
        <v>153283.196</v>
      </c>
      <c r="AN102" s="80">
        <v>649.15449999999998</v>
      </c>
      <c r="AO102" s="80"/>
      <c r="AP102" s="80">
        <v>3.76</v>
      </c>
      <c r="AQ102" s="82">
        <v>3.843</v>
      </c>
      <c r="AR102" s="82">
        <f>IF(RD[[#This Row],[POA(kWh/m2)_O2R6]]="",RD[[#This Row],[POA(kWh/m2)_PSEGPL]],(RD[[#This Row],[POA(kWh/m2)_PSEGPL]]*('Basic Data'!$V$2/'Basic Data'!$V$4))+(RD[[#This Row],[POA(kWh/m2)_O2R6]]*('Basic Data'!$V$3/'Basic Data'!$V$4)))</f>
        <v>3.8036775535420091</v>
      </c>
      <c r="AS102" s="82">
        <f>SUM(RD[[#This Row],[G1 Inv1]:[G5 Inv10]])</f>
        <v>36155</v>
      </c>
      <c r="AT102" s="82">
        <f>SUM(RD[[#This Row],[IS1_Inv1_M1]:[IS1_Inv2_M4]])</f>
        <v>33250.299999999996</v>
      </c>
      <c r="AU102" s="82">
        <f>SUM(RD[[#This Row],[IS2_Inv1]:[IS2_Inv2]])</f>
        <v>10205.6</v>
      </c>
      <c r="AV102" s="80"/>
      <c r="AW102" s="83"/>
      <c r="AX102" s="80"/>
      <c r="AY102" s="80"/>
      <c r="AZ102" s="80"/>
      <c r="BA102" s="83">
        <f>IFERROR(SUM(RD[[#This Row],[PSEGPL]:[O2R10]]),"")</f>
        <v>79610.899999999994</v>
      </c>
      <c r="BB102" s="80">
        <v>1562</v>
      </c>
      <c r="BC102" s="83">
        <v>244937</v>
      </c>
      <c r="BD102" s="83">
        <v>1352</v>
      </c>
      <c r="BE102" s="83">
        <v>219617</v>
      </c>
      <c r="BF102" s="83">
        <v>1978</v>
      </c>
      <c r="BG102" s="83">
        <v>254129</v>
      </c>
      <c r="BH102" s="83">
        <v>3167</v>
      </c>
      <c r="BI102" s="83">
        <v>241785</v>
      </c>
      <c r="BJ102" s="101">
        <f>IF((RD[[#This Row],[33 kV F5 Export Reading_Gss End]]-AM101)*1000&lt;0,0,(RD[[#This Row],[33 kV F5 Export Reading_Gss End]]-AM101)*1000)</f>
        <v>79745.200000004843</v>
      </c>
      <c r="BK102" s="83">
        <f>IF((RD[[#This Row],[33 kV F5 Import Reading_GSS End2]]-AN101)*1000&lt;0,0,(RD[[#This Row],[33 kV F5 Import Reading_GSS End2]]-AN101)*1000)</f>
        <v>791.29999999997835</v>
      </c>
      <c r="BL102" s="84">
        <f>RD[[#This Row],[Export  (kWh)]]-RD[[#This Row],[Import (kWh)]]</f>
        <v>78953.900000004869</v>
      </c>
      <c r="BM102" s="84">
        <f>RD[[#This Row],[Inverters Generation ( kWh)]]-RD[[#This Row],[Export  (kWh)]]</f>
        <v>-134.3000000048487</v>
      </c>
      <c r="BN102">
        <f t="shared" si="21"/>
        <v>35925</v>
      </c>
      <c r="BO102">
        <f t="shared" si="22"/>
        <v>270</v>
      </c>
      <c r="BP102" s="185">
        <f t="shared" ref="BP102:BP135" si="23">IF(AND(BG102="",BI102=""),"",(((BG102-BG101)*MF_Cap_O2RE6)+((BI102-BI101)*MF_Cap_O2RE10)))</f>
        <v>44340</v>
      </c>
      <c r="BQ102" s="185">
        <f t="shared" si="18"/>
        <v>718.8</v>
      </c>
      <c r="BR102" s="185">
        <f t="shared" si="20"/>
        <v>12.499999999999998</v>
      </c>
    </row>
    <row r="103" spans="1:74" ht="15" customHeight="1" x14ac:dyDescent="0.35">
      <c r="A103" s="85">
        <f t="shared" si="17"/>
        <v>45844</v>
      </c>
      <c r="B103" s="80">
        <f>YEAR(RD[[#This Row],[Date]])+IF(MONTH(RD[[#This Row],[Date]])&gt;=4,1,0)</f>
        <v>2026</v>
      </c>
      <c r="C103" s="80">
        <f>YEAR(RD[[#This Row],[Month Year]])</f>
        <v>2025</v>
      </c>
      <c r="D103" s="99" t="s">
        <v>4</v>
      </c>
      <c r="E103" s="99" t="s">
        <v>4</v>
      </c>
      <c r="F103" s="80" t="str">
        <f t="shared" si="19"/>
        <v>Jul-25</v>
      </c>
      <c r="G103" s="79">
        <f>DAY(EOMONTH(RD[[#This Row],[Month Year]],0))</f>
        <v>31</v>
      </c>
      <c r="H103" s="100">
        <v>24.303100000000001</v>
      </c>
      <c r="I103" s="315">
        <v>0.26458333333333334</v>
      </c>
      <c r="J103" s="315">
        <v>0.77916666666666667</v>
      </c>
      <c r="K103" s="79">
        <v>2801</v>
      </c>
      <c r="L103" s="79">
        <v>3205</v>
      </c>
      <c r="M103" s="79">
        <v>2816</v>
      </c>
      <c r="N103" s="179">
        <v>3201</v>
      </c>
      <c r="O103" s="179">
        <v>3253</v>
      </c>
      <c r="P103" s="179">
        <v>2743</v>
      </c>
      <c r="Q103" s="179">
        <v>3233</v>
      </c>
      <c r="R103" s="179">
        <v>2907</v>
      </c>
      <c r="S103" s="179">
        <v>3211</v>
      </c>
      <c r="T103" s="179">
        <v>2897</v>
      </c>
      <c r="U103" s="79">
        <v>3410.9</v>
      </c>
      <c r="V103" s="79">
        <v>3423.1</v>
      </c>
      <c r="W103" s="79">
        <v>3530.6</v>
      </c>
      <c r="X103" s="79">
        <v>3538.4</v>
      </c>
      <c r="Y103" s="79">
        <v>3515.6</v>
      </c>
      <c r="Z103" s="79">
        <v>3418</v>
      </c>
      <c r="AA103" s="79">
        <v>3488.4</v>
      </c>
      <c r="AB103" s="79">
        <v>3434.9</v>
      </c>
      <c r="AC103" s="79">
        <v>4146.8</v>
      </c>
      <c r="AD103" s="79">
        <v>4219.5</v>
      </c>
      <c r="AE103" s="79"/>
      <c r="AF103" s="79"/>
      <c r="AG103" s="79"/>
      <c r="AH103" s="79"/>
      <c r="AI103" s="79"/>
      <c r="AJ103" s="79"/>
      <c r="AK103" s="79"/>
      <c r="AL103" s="79"/>
      <c r="AM103" s="80">
        <v>153349.9431</v>
      </c>
      <c r="AN103" s="80">
        <v>649.78309999999999</v>
      </c>
      <c r="AO103" s="80"/>
      <c r="AP103" s="80">
        <v>3.097</v>
      </c>
      <c r="AQ103" s="82">
        <v>3.0910000000000002</v>
      </c>
      <c r="AR103" s="82">
        <f>IF(RD[[#This Row],[POA(kWh/m2)_O2R6]]="",RD[[#This Row],[POA(kWh/m2)_PSEGPL]],(RD[[#This Row],[POA(kWh/m2)_PSEGPL]]*('Basic Data'!$V$2/'Basic Data'!$V$4))+(RD[[#This Row],[POA(kWh/m2)_O2R6]]*('Basic Data'!$V$3/'Basic Data'!$V$4)))</f>
        <v>3.0938425864909389</v>
      </c>
      <c r="AS103" s="82">
        <f>SUM(RD[[#This Row],[G1 Inv1]:[G5 Inv10]])</f>
        <v>30267</v>
      </c>
      <c r="AT103" s="82">
        <f>SUM(RD[[#This Row],[IS1_Inv1_M1]:[IS1_Inv2_M4]])</f>
        <v>27759.9</v>
      </c>
      <c r="AU103" s="82">
        <f>SUM(RD[[#This Row],[IS2_Inv1]:[IS2_Inv2]])</f>
        <v>8366.2999999999993</v>
      </c>
      <c r="AV103" s="80"/>
      <c r="AW103" s="83"/>
      <c r="AX103" s="80"/>
      <c r="AY103" s="80"/>
      <c r="AZ103" s="80"/>
      <c r="BA103" s="83">
        <f>IFERROR(SUM(RD[[#This Row],[PSEGPL]:[O2R10]]),"")</f>
        <v>66393.2</v>
      </c>
      <c r="BB103" s="80">
        <v>1564</v>
      </c>
      <c r="BC103" s="83">
        <v>245236</v>
      </c>
      <c r="BD103" s="83">
        <v>1354</v>
      </c>
      <c r="BE103" s="83">
        <v>219887</v>
      </c>
      <c r="BF103" s="83">
        <v>1982</v>
      </c>
      <c r="BG103" s="83">
        <v>254446</v>
      </c>
      <c r="BH103" s="83">
        <v>3176</v>
      </c>
      <c r="BI103" s="83">
        <v>242071</v>
      </c>
      <c r="BJ103" s="101">
        <f>IF((RD[[#This Row],[33 kV F5 Export Reading_Gss End]]-AM102)*1000&lt;0,0,(RD[[#This Row],[33 kV F5 Export Reading_Gss End]]-AM102)*1000)</f>
        <v>66747.100000007777</v>
      </c>
      <c r="BK103" s="83">
        <f>IF((RD[[#This Row],[33 kV F5 Import Reading_GSS End2]]-AN102)*1000&lt;0,0,(RD[[#This Row],[33 kV F5 Import Reading_GSS End2]]-AN102)*1000)</f>
        <v>628.60000000000582</v>
      </c>
      <c r="BL103" s="84">
        <f>RD[[#This Row],[Export  (kWh)]]-RD[[#This Row],[Import (kWh)]]</f>
        <v>66118.500000007771</v>
      </c>
      <c r="BM103" s="84">
        <f>RD[[#This Row],[Inverters Generation ( kWh)]]-RD[[#This Row],[Export  (kWh)]]</f>
        <v>-353.90000000777945</v>
      </c>
      <c r="BN103">
        <f t="shared" si="21"/>
        <v>30090</v>
      </c>
      <c r="BO103">
        <f t="shared" si="22"/>
        <v>210</v>
      </c>
      <c r="BP103" s="185">
        <f t="shared" si="23"/>
        <v>37110</v>
      </c>
      <c r="BQ103" s="185">
        <f t="shared" si="18"/>
        <v>748.8</v>
      </c>
      <c r="BR103" s="185">
        <f t="shared" si="20"/>
        <v>12.350000000000001</v>
      </c>
    </row>
    <row r="104" spans="1:74" ht="15" customHeight="1" x14ac:dyDescent="0.35">
      <c r="A104" s="85">
        <f t="shared" si="17"/>
        <v>45845</v>
      </c>
      <c r="B104" s="80">
        <f>YEAR(RD[[#This Row],[Date]])+IF(MONTH(RD[[#This Row],[Date]])&gt;=4,1,0)</f>
        <v>2026</v>
      </c>
      <c r="C104" s="80">
        <f>YEAR(RD[[#This Row],[Month Year]])</f>
        <v>2025</v>
      </c>
      <c r="D104" s="99" t="s">
        <v>4</v>
      </c>
      <c r="E104" s="99" t="s">
        <v>4</v>
      </c>
      <c r="F104" s="80" t="str">
        <f t="shared" si="19"/>
        <v>Jul-25</v>
      </c>
      <c r="G104" s="79">
        <f>DAY(EOMONTH(RD[[#This Row],[Month Year]],0))</f>
        <v>31</v>
      </c>
      <c r="H104" s="100">
        <v>24.303100000000001</v>
      </c>
      <c r="I104" s="315">
        <v>0.27916666666666667</v>
      </c>
      <c r="J104" s="315">
        <v>0.77430555555555558</v>
      </c>
      <c r="K104" s="79">
        <v>1540</v>
      </c>
      <c r="L104" s="79">
        <v>1759</v>
      </c>
      <c r="M104" s="79">
        <v>1540</v>
      </c>
      <c r="N104" s="179">
        <v>1759</v>
      </c>
      <c r="O104" s="179">
        <v>1788</v>
      </c>
      <c r="P104" s="179">
        <v>1530</v>
      </c>
      <c r="Q104" s="179">
        <v>1784</v>
      </c>
      <c r="R104" s="179">
        <v>1595</v>
      </c>
      <c r="S104" s="179">
        <v>1772</v>
      </c>
      <c r="T104" s="179">
        <v>1581</v>
      </c>
      <c r="U104" s="79">
        <v>1799.8</v>
      </c>
      <c r="V104" s="79">
        <v>1802.7</v>
      </c>
      <c r="W104" s="79">
        <v>1854.7</v>
      </c>
      <c r="X104" s="79">
        <v>1856.2</v>
      </c>
      <c r="Y104" s="79">
        <v>1852.8</v>
      </c>
      <c r="Z104" s="79">
        <v>1802.4</v>
      </c>
      <c r="AA104" s="79">
        <v>1851.1</v>
      </c>
      <c r="AB104" s="79">
        <v>1821</v>
      </c>
      <c r="AC104" s="79">
        <v>2206.3000000000002</v>
      </c>
      <c r="AD104" s="79">
        <v>2255.6</v>
      </c>
      <c r="AE104" s="79"/>
      <c r="AF104" s="79"/>
      <c r="AG104" s="79"/>
      <c r="AH104" s="79"/>
      <c r="AI104" s="79"/>
      <c r="AJ104" s="79"/>
      <c r="AK104" s="79"/>
      <c r="AL104" s="79"/>
      <c r="AM104" s="80">
        <v>153386.11979999999</v>
      </c>
      <c r="AN104" s="80">
        <v>650.48440000000005</v>
      </c>
      <c r="AO104" s="80"/>
      <c r="AP104" s="80">
        <v>1.5920000000000001</v>
      </c>
      <c r="AQ104" s="82">
        <v>1.6</v>
      </c>
      <c r="AR104" s="82">
        <f>IF(RD[[#This Row],[POA(kWh/m2)_O2R6]]="",RD[[#This Row],[POA(kWh/m2)_PSEGPL]],(RD[[#This Row],[POA(kWh/m2)_PSEGPL]]*('Basic Data'!$V$2/'Basic Data'!$V$4))+(RD[[#This Row],[POA(kWh/m2)_O2R6]]*('Basic Data'!$V$3/'Basic Data'!$V$4)))</f>
        <v>1.596209884678748</v>
      </c>
      <c r="AS104" s="82">
        <f>SUM(RD[[#This Row],[G1 Inv1]:[G5 Inv10]])</f>
        <v>16648</v>
      </c>
      <c r="AT104" s="82">
        <f>SUM(RD[[#This Row],[IS1_Inv1_M1]:[IS1_Inv2_M4]])</f>
        <v>14640.699999999999</v>
      </c>
      <c r="AU104" s="82">
        <f>SUM(RD[[#This Row],[IS2_Inv1]:[IS2_Inv2]])</f>
        <v>4461.8999999999996</v>
      </c>
      <c r="AV104" s="80"/>
      <c r="AW104" s="83"/>
      <c r="AX104" s="80"/>
      <c r="AY104" s="80"/>
      <c r="AZ104" s="80"/>
      <c r="BA104" s="83">
        <f>IFERROR(SUM(RD[[#This Row],[PSEGPL]:[O2R10]]),"")</f>
        <v>35750.6</v>
      </c>
      <c r="BB104" s="80">
        <v>1567</v>
      </c>
      <c r="BC104" s="83">
        <v>245400</v>
      </c>
      <c r="BD104" s="83">
        <v>1356</v>
      </c>
      <c r="BE104" s="83">
        <v>220034</v>
      </c>
      <c r="BF104" s="83">
        <v>1986</v>
      </c>
      <c r="BG104" s="83">
        <v>254618</v>
      </c>
      <c r="BH104" s="83">
        <v>3184</v>
      </c>
      <c r="BI104" s="83">
        <v>242227</v>
      </c>
      <c r="BJ104" s="101">
        <f>IF((RD[[#This Row],[33 kV F5 Export Reading_Gss End]]-AM103)*1000&lt;0,0,(RD[[#This Row],[33 kV F5 Export Reading_Gss End]]-AM103)*1000)</f>
        <v>36176.699999981793</v>
      </c>
      <c r="BK104" s="83">
        <f>IF((RD[[#This Row],[33 kV F5 Import Reading_GSS End2]]-AN103)*1000&lt;0,0,(RD[[#This Row],[33 kV F5 Import Reading_GSS End2]]-AN103)*1000)</f>
        <v>701.30000000006021</v>
      </c>
      <c r="BL104" s="84">
        <f>RD[[#This Row],[Export  (kWh)]]-RD[[#This Row],[Import (kWh)]]</f>
        <v>35475.399999981732</v>
      </c>
      <c r="BM104" s="84">
        <f>RD[[#This Row],[Inverters Generation ( kWh)]]-RD[[#This Row],[Export  (kWh)]]</f>
        <v>-426.0999999817941</v>
      </c>
      <c r="BN104">
        <f t="shared" si="21"/>
        <v>16455</v>
      </c>
      <c r="BO104">
        <f t="shared" si="22"/>
        <v>270</v>
      </c>
      <c r="BP104" s="185">
        <f t="shared" si="23"/>
        <v>20160</v>
      </c>
      <c r="BQ104" s="185">
        <f t="shared" si="18"/>
        <v>718.8</v>
      </c>
      <c r="BR104" s="185">
        <f t="shared" si="20"/>
        <v>11.883333333333333</v>
      </c>
    </row>
    <row r="105" spans="1:74" ht="15" customHeight="1" x14ac:dyDescent="0.35">
      <c r="A105" s="85">
        <f t="shared" si="17"/>
        <v>45846</v>
      </c>
      <c r="B105" s="80">
        <f>YEAR(RD[[#This Row],[Date]])+IF(MONTH(RD[[#This Row],[Date]])&gt;=4,1,0)</f>
        <v>2026</v>
      </c>
      <c r="C105" s="80">
        <f>YEAR(RD[[#This Row],[Month Year]])</f>
        <v>2025</v>
      </c>
      <c r="D105" s="99" t="s">
        <v>4</v>
      </c>
      <c r="E105" s="99" t="s">
        <v>4</v>
      </c>
      <c r="F105" s="80" t="str">
        <f t="shared" si="19"/>
        <v>Jul-25</v>
      </c>
      <c r="G105" s="79">
        <f>DAY(EOMONTH(RD[[#This Row],[Month Year]],0))</f>
        <v>31</v>
      </c>
      <c r="H105" s="100">
        <v>24.303100000000001</v>
      </c>
      <c r="I105" s="315">
        <v>0.27361111111111114</v>
      </c>
      <c r="J105" s="315">
        <v>0.78333333333333333</v>
      </c>
      <c r="K105" s="79">
        <v>2158</v>
      </c>
      <c r="L105" s="79">
        <v>2416</v>
      </c>
      <c r="M105" s="79">
        <v>2150</v>
      </c>
      <c r="N105" s="179">
        <v>2436</v>
      </c>
      <c r="O105" s="179">
        <v>2333</v>
      </c>
      <c r="P105" s="179">
        <v>1995</v>
      </c>
      <c r="Q105" s="179">
        <v>2479</v>
      </c>
      <c r="R105" s="179">
        <v>2222</v>
      </c>
      <c r="S105" s="179">
        <v>2481</v>
      </c>
      <c r="T105" s="179">
        <v>2219</v>
      </c>
      <c r="U105" s="79">
        <v>2617.6999999999998</v>
      </c>
      <c r="V105" s="79">
        <v>2622.9</v>
      </c>
      <c r="W105" s="79">
        <v>2696.6</v>
      </c>
      <c r="X105" s="79">
        <v>2698.4</v>
      </c>
      <c r="Y105" s="79">
        <v>2691.8</v>
      </c>
      <c r="Z105" s="79">
        <v>2619.4</v>
      </c>
      <c r="AA105" s="79">
        <v>2680.8</v>
      </c>
      <c r="AB105" s="79">
        <v>2637.6</v>
      </c>
      <c r="AC105" s="79">
        <v>3145.8</v>
      </c>
      <c r="AD105" s="79">
        <v>3195.6</v>
      </c>
      <c r="AE105" s="79"/>
      <c r="AF105" s="79"/>
      <c r="AG105" s="79"/>
      <c r="AH105" s="79"/>
      <c r="AI105" s="79"/>
      <c r="AJ105" s="79"/>
      <c r="AK105" s="79"/>
      <c r="AL105" s="79"/>
      <c r="AM105" s="80">
        <v>153437.37650000001</v>
      </c>
      <c r="AN105" s="80">
        <v>651.49659999999994</v>
      </c>
      <c r="AO105" s="80"/>
      <c r="AP105" s="80">
        <v>2.3199999999999998</v>
      </c>
      <c r="AQ105" s="82">
        <v>2.2650000000000001</v>
      </c>
      <c r="AR105" s="82">
        <f>IF(RD[[#This Row],[POA(kWh/m2)_O2R6]]="",RD[[#This Row],[POA(kWh/m2)_PSEGPL]],(RD[[#This Row],[POA(kWh/m2)_PSEGPL]]*('Basic Data'!$V$2/'Basic Data'!$V$4))+(RD[[#This Row],[POA(kWh/m2)_O2R6]]*('Basic Data'!$V$3/'Basic Data'!$V$4)))</f>
        <v>2.2910570428336077</v>
      </c>
      <c r="AS105" s="82">
        <f>SUM(RD[[#This Row],[G1 Inv1]:[G5 Inv10]])</f>
        <v>22889</v>
      </c>
      <c r="AT105" s="82">
        <f>SUM(RD[[#This Row],[IS1_Inv1_M1]:[IS1_Inv2_M4]])</f>
        <v>21265.200000000001</v>
      </c>
      <c r="AU105" s="82">
        <f>SUM(RD[[#This Row],[IS2_Inv1]:[IS2_Inv2]])</f>
        <v>6341.4</v>
      </c>
      <c r="AV105" s="80"/>
      <c r="AW105" s="83"/>
      <c r="AX105" s="80"/>
      <c r="AY105" s="80"/>
      <c r="AZ105" s="80"/>
      <c r="BA105" s="83">
        <f>IFERROR(SUM(RD[[#This Row],[PSEGPL]:[O2R10]]),"")</f>
        <v>50495.6</v>
      </c>
      <c r="BB105" s="80">
        <v>1569</v>
      </c>
      <c r="BC105" s="83">
        <v>245623</v>
      </c>
      <c r="BD105" s="83">
        <v>1358</v>
      </c>
      <c r="BE105" s="83">
        <v>220242</v>
      </c>
      <c r="BF105" s="83">
        <v>1990</v>
      </c>
      <c r="BG105" s="83">
        <v>254864</v>
      </c>
      <c r="BH105" s="83">
        <v>3201</v>
      </c>
      <c r="BI105" s="83">
        <v>242446</v>
      </c>
      <c r="BJ105" s="101">
        <f>IF((RD[[#This Row],[33 kV F5 Export Reading_Gss End]]-AM104)*1000&lt;0,0,(RD[[#This Row],[33 kV F5 Export Reading_Gss End]]-AM104)*1000)</f>
        <v>51256.700000027195</v>
      </c>
      <c r="BK105" s="83">
        <f>IF((RD[[#This Row],[33 kV F5 Import Reading_GSS End2]]-AN104)*1000&lt;0,0,(RD[[#This Row],[33 kV F5 Import Reading_GSS End2]]-AN104)*1000)</f>
        <v>1012.1999999998934</v>
      </c>
      <c r="BL105" s="84">
        <f>RD[[#This Row],[Export  (kWh)]]-RD[[#This Row],[Import (kWh)]]</f>
        <v>50244.500000027299</v>
      </c>
      <c r="BM105" s="84">
        <f>RD[[#This Row],[Inverters Generation ( kWh)]]-RD[[#This Row],[Export  (kWh)]]</f>
        <v>-761.10000002719607</v>
      </c>
      <c r="BN105">
        <f t="shared" si="21"/>
        <v>22740</v>
      </c>
      <c r="BO105">
        <f t="shared" si="22"/>
        <v>210</v>
      </c>
      <c r="BP105" s="185">
        <f t="shared" si="23"/>
        <v>28710</v>
      </c>
      <c r="BQ105" s="185">
        <f t="shared" si="18"/>
        <v>988.8</v>
      </c>
      <c r="BR105" s="185">
        <f t="shared" si="20"/>
        <v>12.233333333333333</v>
      </c>
    </row>
    <row r="106" spans="1:74" ht="15" customHeight="1" x14ac:dyDescent="0.35">
      <c r="A106" s="85">
        <f t="shared" si="17"/>
        <v>45847</v>
      </c>
      <c r="B106" s="80">
        <f>YEAR(RD[[#This Row],[Date]])+IF(MONTH(RD[[#This Row],[Date]])&gt;=4,1,0)</f>
        <v>2026</v>
      </c>
      <c r="C106" s="80">
        <f>YEAR(RD[[#This Row],[Month Year]])</f>
        <v>2025</v>
      </c>
      <c r="D106" s="99" t="s">
        <v>4</v>
      </c>
      <c r="E106" s="99" t="s">
        <v>4</v>
      </c>
      <c r="F106" s="80" t="str">
        <f t="shared" si="19"/>
        <v>Jul-25</v>
      </c>
      <c r="G106" s="79">
        <f>DAY(EOMONTH(RD[[#This Row],[Month Year]],0))</f>
        <v>31</v>
      </c>
      <c r="H106" s="100">
        <v>24.303100000000001</v>
      </c>
      <c r="I106" s="315">
        <v>0.27430555555555558</v>
      </c>
      <c r="J106" s="315">
        <v>0.77013888888888893</v>
      </c>
      <c r="K106" s="79">
        <v>2037</v>
      </c>
      <c r="L106" s="79">
        <v>2316</v>
      </c>
      <c r="M106" s="79">
        <v>2038</v>
      </c>
      <c r="N106" s="179">
        <v>2317</v>
      </c>
      <c r="O106" s="179">
        <v>2357</v>
      </c>
      <c r="P106" s="179">
        <v>1996</v>
      </c>
      <c r="Q106" s="179">
        <v>2361</v>
      </c>
      <c r="R106" s="179">
        <v>2118</v>
      </c>
      <c r="S106" s="179">
        <v>2356</v>
      </c>
      <c r="T106" s="179">
        <v>2119</v>
      </c>
      <c r="U106" s="79">
        <v>2512.3000000000002</v>
      </c>
      <c r="V106" s="79">
        <v>2516.1</v>
      </c>
      <c r="W106" s="79">
        <v>2587.1</v>
      </c>
      <c r="X106" s="79">
        <v>2587.4</v>
      </c>
      <c r="Y106" s="79">
        <v>2580.9</v>
      </c>
      <c r="Z106" s="79">
        <v>2513.8000000000002</v>
      </c>
      <c r="AA106" s="79">
        <v>2574.3000000000002</v>
      </c>
      <c r="AB106" s="79">
        <v>2533.1</v>
      </c>
      <c r="AC106" s="79">
        <v>3015.6</v>
      </c>
      <c r="AD106" s="79">
        <v>3062.9</v>
      </c>
      <c r="AE106" s="79"/>
      <c r="AF106" s="79"/>
      <c r="AG106" s="79"/>
      <c r="AH106" s="79"/>
      <c r="AI106" s="79"/>
      <c r="AJ106" s="79"/>
      <c r="AK106" s="79"/>
      <c r="AL106" s="79"/>
      <c r="AM106" s="80">
        <v>153486.40489999999</v>
      </c>
      <c r="AN106" s="80">
        <v>652.34400000000005</v>
      </c>
      <c r="AO106" s="80"/>
      <c r="AP106" s="80">
        <v>2.2639999999999998</v>
      </c>
      <c r="AQ106" s="82">
        <v>2.2000000000000002</v>
      </c>
      <c r="AR106" s="82">
        <f>IF(RD[[#This Row],[POA(kWh/m2)_O2R6]]="",RD[[#This Row],[POA(kWh/m2)_PSEGPL]],(RD[[#This Row],[POA(kWh/m2)_PSEGPL]]*('Basic Data'!$V$2/'Basic Data'!$V$4))+(RD[[#This Row],[POA(kWh/m2)_O2R6]]*('Basic Data'!$V$3/'Basic Data'!$V$4)))</f>
        <v>2.2303209225700162</v>
      </c>
      <c r="AS106" s="82">
        <f>SUM(RD[[#This Row],[G1 Inv1]:[G5 Inv10]])</f>
        <v>22015</v>
      </c>
      <c r="AT106" s="82">
        <f>SUM(RD[[#This Row],[IS1_Inv1_M1]:[IS1_Inv2_M4]])</f>
        <v>20404.999999999996</v>
      </c>
      <c r="AU106" s="82">
        <f>SUM(RD[[#This Row],[IS2_Inv1]:[IS2_Inv2]])</f>
        <v>6078.5</v>
      </c>
      <c r="AV106" s="80"/>
      <c r="AW106" s="83"/>
      <c r="AX106" s="80"/>
      <c r="AY106" s="80"/>
      <c r="AZ106" s="80"/>
      <c r="BA106" s="83">
        <f>IFERROR(SUM(RD[[#This Row],[PSEGPL]:[O2R10]]),"")</f>
        <v>48498.5</v>
      </c>
      <c r="BB106" s="80">
        <v>1572</v>
      </c>
      <c r="BC106" s="83">
        <v>245839</v>
      </c>
      <c r="BD106" s="83">
        <v>1360</v>
      </c>
      <c r="BE106" s="83">
        <v>220438</v>
      </c>
      <c r="BF106" s="83">
        <v>1994</v>
      </c>
      <c r="BG106" s="83">
        <v>255099</v>
      </c>
      <c r="BH106" s="83">
        <v>3201</v>
      </c>
      <c r="BI106" s="83">
        <v>242656</v>
      </c>
      <c r="BJ106" s="101">
        <f>IF((RD[[#This Row],[33 kV F5 Export Reading_Gss End]]-AM105)*1000&lt;0,0,(RD[[#This Row],[33 kV F5 Export Reading_Gss End]]-AM105)*1000)</f>
        <v>49028.399999981048</v>
      </c>
      <c r="BK106" s="83">
        <f>IF((RD[[#This Row],[33 kV F5 Import Reading_GSS End2]]-AN105)*1000&lt;0,0,(RD[[#This Row],[33 kV F5 Import Reading_GSS End2]]-AN105)*1000)</f>
        <v>847.40000000010696</v>
      </c>
      <c r="BL106" s="84">
        <f>RD[[#This Row],[Export  (kWh)]]-RD[[#This Row],[Import (kWh)]]</f>
        <v>48180.999999980937</v>
      </c>
      <c r="BM106" s="84">
        <f>RD[[#This Row],[Inverters Generation ( kWh)]]-RD[[#This Row],[Export  (kWh)]]</f>
        <v>-529.89999998104759</v>
      </c>
      <c r="BN106">
        <f t="shared" si="21"/>
        <v>21780</v>
      </c>
      <c r="BO106">
        <f t="shared" si="22"/>
        <v>270</v>
      </c>
      <c r="BP106" s="185">
        <f t="shared" si="23"/>
        <v>27450</v>
      </c>
      <c r="BQ106" s="185">
        <f t="shared" si="18"/>
        <v>478.8</v>
      </c>
      <c r="BR106" s="185">
        <f t="shared" si="20"/>
        <v>11.9</v>
      </c>
    </row>
    <row r="107" spans="1:74" ht="15" customHeight="1" x14ac:dyDescent="0.35">
      <c r="A107" s="85">
        <f t="shared" si="17"/>
        <v>45848</v>
      </c>
      <c r="B107" s="80">
        <f>YEAR(RD[[#This Row],[Date]])+IF(MONTH(RD[[#This Row],[Date]])&gt;=4,1,0)</f>
        <v>2026</v>
      </c>
      <c r="C107" s="80">
        <f>YEAR(RD[[#This Row],[Month Year]])</f>
        <v>2025</v>
      </c>
      <c r="D107" s="99" t="s">
        <v>4</v>
      </c>
      <c r="E107" s="99" t="s">
        <v>4</v>
      </c>
      <c r="F107" s="80" t="str">
        <f t="shared" si="19"/>
        <v>Jul-25</v>
      </c>
      <c r="G107" s="79">
        <f>DAY(EOMONTH(RD[[#This Row],[Month Year]],0))</f>
        <v>31</v>
      </c>
      <c r="H107" s="100">
        <v>24.303100000000001</v>
      </c>
      <c r="I107" s="315">
        <v>0.26597222222222222</v>
      </c>
      <c r="J107" s="315">
        <v>0.78055555555555556</v>
      </c>
      <c r="K107" s="79">
        <v>1716</v>
      </c>
      <c r="L107" s="79">
        <v>1904</v>
      </c>
      <c r="M107" s="79">
        <v>1698</v>
      </c>
      <c r="N107" s="179">
        <v>1678</v>
      </c>
      <c r="O107" s="179">
        <v>1938</v>
      </c>
      <c r="P107" s="179">
        <v>1667</v>
      </c>
      <c r="Q107" s="179">
        <v>1518</v>
      </c>
      <c r="R107" s="179">
        <v>1517</v>
      </c>
      <c r="S107" s="179">
        <v>1653</v>
      </c>
      <c r="T107" s="179">
        <v>1402</v>
      </c>
      <c r="U107" s="79">
        <v>2195.1999999999998</v>
      </c>
      <c r="V107" s="79">
        <v>2198.4</v>
      </c>
      <c r="W107" s="79">
        <v>2264.6999999999998</v>
      </c>
      <c r="X107" s="79">
        <v>2269.5</v>
      </c>
      <c r="Y107" s="79">
        <v>2265.5</v>
      </c>
      <c r="Z107" s="79">
        <v>2197.6999999999998</v>
      </c>
      <c r="AA107" s="79">
        <v>2247.1999999999998</v>
      </c>
      <c r="AB107" s="79">
        <v>2207.1</v>
      </c>
      <c r="AC107" s="79">
        <v>2654</v>
      </c>
      <c r="AD107" s="79">
        <v>2694</v>
      </c>
      <c r="AE107" s="79"/>
      <c r="AF107" s="79"/>
      <c r="AG107" s="79"/>
      <c r="AH107" s="79"/>
      <c r="AI107" s="79"/>
      <c r="AJ107" s="79"/>
      <c r="AK107" s="79"/>
      <c r="AL107" s="79"/>
      <c r="AM107" s="80">
        <v>153526.58059999999</v>
      </c>
      <c r="AN107" s="80">
        <v>653.19320000000005</v>
      </c>
      <c r="AO107" s="80"/>
      <c r="AP107" s="80">
        <v>5.7510000000000003</v>
      </c>
      <c r="AQ107" s="82">
        <v>5.6230000000000002</v>
      </c>
      <c r="AR107" s="82">
        <f>IF(RD[[#This Row],[POA(kWh/m2)_O2R6]]="",RD[[#This Row],[POA(kWh/m2)_PSEGPL]],(RD[[#This Row],[POA(kWh/m2)_PSEGPL]]*('Basic Data'!$V$2/'Basic Data'!$V$4))+(RD[[#This Row],[POA(kWh/m2)_O2R6]]*('Basic Data'!$V$3/'Basic Data'!$V$4)))</f>
        <v>5.6836418451400332</v>
      </c>
      <c r="AS107" s="82">
        <f>SUM(RD[[#This Row],[G1 Inv1]:[G5 Inv10]])</f>
        <v>16691</v>
      </c>
      <c r="AT107" s="82">
        <f>SUM(RD[[#This Row],[IS1_Inv1_M1]:[IS1_Inv2_M4]])</f>
        <v>17845.3</v>
      </c>
      <c r="AU107" s="82">
        <f>SUM(RD[[#This Row],[IS2_Inv1]:[IS2_Inv2]])</f>
        <v>5348</v>
      </c>
      <c r="AV107" s="80"/>
      <c r="AW107" s="83"/>
      <c r="AX107" s="80"/>
      <c r="AY107" s="80"/>
      <c r="AZ107" s="80"/>
      <c r="BA107" s="83">
        <f>IFERROR(SUM(RD[[#This Row],[PSEGPL]:[O2R10]]),"")</f>
        <v>39884.300000000003</v>
      </c>
      <c r="BB107" s="80">
        <v>1574</v>
      </c>
      <c r="BC107" s="83">
        <v>246017</v>
      </c>
      <c r="BD107" s="83">
        <v>1362</v>
      </c>
      <c r="BE107" s="83">
        <v>220573</v>
      </c>
      <c r="BF107" s="83">
        <v>1998</v>
      </c>
      <c r="BG107" s="83">
        <v>255303</v>
      </c>
      <c r="BH107" s="83">
        <v>3210</v>
      </c>
      <c r="BI107" s="83">
        <v>242838</v>
      </c>
      <c r="BJ107" s="101">
        <f>IF((RD[[#This Row],[33 kV F5 Export Reading_Gss End]]-AM106)*1000&lt;0,0,(RD[[#This Row],[33 kV F5 Export Reading_Gss End]]-AM106)*1000)</f>
        <v>40175.699999992503</v>
      </c>
      <c r="BK107" s="83">
        <f>IF((RD[[#This Row],[33 kV F5 Import Reading_GSS End2]]-AN106)*1000&lt;0,0,(RD[[#This Row],[33 kV F5 Import Reading_GSS End2]]-AN106)*1000)</f>
        <v>849.19999999999618</v>
      </c>
      <c r="BL107" s="84">
        <f>RD[[#This Row],[Export  (kWh)]]-RD[[#This Row],[Import (kWh)]]</f>
        <v>39326.499999992506</v>
      </c>
      <c r="BM107" s="84">
        <f>RD[[#This Row],[Inverters Generation ( kWh)]]-RD[[#This Row],[Export  (kWh)]]</f>
        <v>-291.39999999249994</v>
      </c>
      <c r="BN107">
        <f t="shared" si="21"/>
        <v>16755</v>
      </c>
      <c r="BO107">
        <f t="shared" si="22"/>
        <v>210</v>
      </c>
      <c r="BP107" s="185">
        <f t="shared" si="23"/>
        <v>23820</v>
      </c>
      <c r="BQ107" s="185">
        <f t="shared" si="18"/>
        <v>748.8</v>
      </c>
      <c r="BR107" s="185">
        <f t="shared" si="20"/>
        <v>12.350000000000001</v>
      </c>
    </row>
    <row r="108" spans="1:74" ht="15" customHeight="1" x14ac:dyDescent="0.35">
      <c r="A108" s="85">
        <f t="shared" si="17"/>
        <v>45849</v>
      </c>
      <c r="B108" s="80">
        <f>YEAR(RD[[#This Row],[Date]])+IF(MONTH(RD[[#This Row],[Date]])&gt;=4,1,0)</f>
        <v>2026</v>
      </c>
      <c r="C108" s="80">
        <f>YEAR(RD[[#This Row],[Month Year]])</f>
        <v>2025</v>
      </c>
      <c r="D108" s="99" t="s">
        <v>4</v>
      </c>
      <c r="E108" s="99" t="s">
        <v>4</v>
      </c>
      <c r="F108" s="80" t="str">
        <f t="shared" si="19"/>
        <v>Jul-25</v>
      </c>
      <c r="G108" s="79">
        <f>DAY(EOMONTH(RD[[#This Row],[Month Year]],0))</f>
        <v>31</v>
      </c>
      <c r="H108" s="100">
        <v>24.303100000000001</v>
      </c>
      <c r="I108" s="315">
        <v>0.27083333333333331</v>
      </c>
      <c r="J108" s="315">
        <v>0.77916666666666667</v>
      </c>
      <c r="K108" s="79">
        <v>3507</v>
      </c>
      <c r="L108" s="79">
        <v>3941</v>
      </c>
      <c r="M108" s="79">
        <v>3506</v>
      </c>
      <c r="N108" s="179">
        <v>3316</v>
      </c>
      <c r="O108" s="179">
        <v>4072</v>
      </c>
      <c r="P108" s="179">
        <v>3442</v>
      </c>
      <c r="Q108" s="179">
        <v>4118</v>
      </c>
      <c r="R108" s="179">
        <v>3674</v>
      </c>
      <c r="S108" s="179">
        <v>4047</v>
      </c>
      <c r="T108" s="179">
        <v>3718</v>
      </c>
      <c r="U108" s="79">
        <v>4558</v>
      </c>
      <c r="V108" s="79">
        <v>4540.8999999999996</v>
      </c>
      <c r="W108" s="79">
        <v>4692.7</v>
      </c>
      <c r="X108" s="79">
        <v>4294.7</v>
      </c>
      <c r="Y108" s="79">
        <v>4749</v>
      </c>
      <c r="Z108" s="79">
        <v>4621</v>
      </c>
      <c r="AA108" s="79">
        <v>4713.3999999999996</v>
      </c>
      <c r="AB108" s="79">
        <v>4634.1000000000004</v>
      </c>
      <c r="AC108" s="79">
        <v>5412.1</v>
      </c>
      <c r="AD108" s="79">
        <v>5544.6</v>
      </c>
      <c r="AE108" s="79"/>
      <c r="AF108" s="79"/>
      <c r="AG108" s="79"/>
      <c r="AH108" s="79"/>
      <c r="AI108" s="79"/>
      <c r="AJ108" s="79"/>
      <c r="AK108" s="79"/>
      <c r="AL108" s="79"/>
      <c r="AM108" s="80">
        <v>153611.46679999999</v>
      </c>
      <c r="AN108" s="80">
        <v>654.02329999999995</v>
      </c>
      <c r="AO108" s="80"/>
      <c r="AP108" s="80">
        <v>4.4530000000000003</v>
      </c>
      <c r="AQ108" s="82">
        <v>4.3209999999999997</v>
      </c>
      <c r="AR108" s="82">
        <f>IF(RD[[#This Row],[POA(kWh/m2)_O2R6]]="",RD[[#This Row],[POA(kWh/m2)_PSEGPL]],(RD[[#This Row],[POA(kWh/m2)_PSEGPL]]*('Basic Data'!$V$2/'Basic Data'!$V$4))+(RD[[#This Row],[POA(kWh/m2)_O2R6]]*('Basic Data'!$V$3/'Basic Data'!$V$4)))</f>
        <v>4.3835369028006586</v>
      </c>
      <c r="AS108" s="82">
        <f>SUM(RD[[#This Row],[G1 Inv1]:[G5 Inv10]])</f>
        <v>37341</v>
      </c>
      <c r="AT108" s="82">
        <f>SUM(RD[[#This Row],[IS1_Inv1_M1]:[IS1_Inv2_M4]])</f>
        <v>36803.799999999996</v>
      </c>
      <c r="AU108" s="82">
        <f>SUM(RD[[#This Row],[IS2_Inv1]:[IS2_Inv2]])</f>
        <v>10956.7</v>
      </c>
      <c r="AV108" s="80"/>
      <c r="AW108" s="83"/>
      <c r="AX108" s="80"/>
      <c r="AY108" s="80"/>
      <c r="AZ108" s="80"/>
      <c r="BA108" s="83">
        <f>IFERROR(SUM(RD[[#This Row],[PSEGPL]:[O2R10]]),"")</f>
        <v>85101.499999999985</v>
      </c>
      <c r="BB108" s="80">
        <v>1577</v>
      </c>
      <c r="BC108" s="83">
        <v>246379</v>
      </c>
      <c r="BD108" s="83">
        <v>1364</v>
      </c>
      <c r="BE108" s="83">
        <v>220916</v>
      </c>
      <c r="BF108" s="83">
        <v>2002</v>
      </c>
      <c r="BG108" s="83">
        <v>255718</v>
      </c>
      <c r="BH108" s="83">
        <v>3219</v>
      </c>
      <c r="BI108" s="83">
        <v>243208</v>
      </c>
      <c r="BJ108" s="101">
        <f>IF((RD[[#This Row],[33 kV F5 Export Reading_Gss End]]-AM107)*1000&lt;0,0,(RD[[#This Row],[33 kV F5 Export Reading_Gss End]]-AM107)*1000)</f>
        <v>84886.200000008103</v>
      </c>
      <c r="BK108" s="83">
        <f>IF((RD[[#This Row],[33 kV F5 Import Reading_GSS End2]]-AN107)*1000&lt;0,0,(RD[[#This Row],[33 kV F5 Import Reading_GSS End2]]-AN107)*1000)</f>
        <v>830.09999999990214</v>
      </c>
      <c r="BL108" s="84">
        <f>RD[[#This Row],[Export  (kWh)]]-RD[[#This Row],[Import (kWh)]]</f>
        <v>84056.100000008199</v>
      </c>
      <c r="BM108" s="84">
        <f>RD[[#This Row],[Inverters Generation ( kWh)]]-RD[[#This Row],[Export  (kWh)]]</f>
        <v>215.29999999188294</v>
      </c>
      <c r="BN108">
        <f t="shared" si="21"/>
        <v>37155</v>
      </c>
      <c r="BO108">
        <f t="shared" si="22"/>
        <v>270</v>
      </c>
      <c r="BP108" s="185">
        <f t="shared" si="23"/>
        <v>48450</v>
      </c>
      <c r="BQ108" s="185">
        <f t="shared" si="18"/>
        <v>748.8</v>
      </c>
      <c r="BR108" s="185">
        <f t="shared" si="20"/>
        <v>12.2</v>
      </c>
    </row>
    <row r="109" spans="1:74" ht="15" customHeight="1" x14ac:dyDescent="0.35">
      <c r="A109" s="85">
        <f t="shared" si="17"/>
        <v>45850</v>
      </c>
      <c r="B109" s="80">
        <f>YEAR(RD[[#This Row],[Date]])+IF(MONTH(RD[[#This Row],[Date]])&gt;=4,1,0)</f>
        <v>2026</v>
      </c>
      <c r="C109" s="80">
        <f>YEAR(RD[[#This Row],[Month Year]])</f>
        <v>2025</v>
      </c>
      <c r="D109" s="99" t="s">
        <v>4</v>
      </c>
      <c r="E109" s="99" t="s">
        <v>4</v>
      </c>
      <c r="F109" s="80" t="str">
        <f t="shared" si="19"/>
        <v>Jul-25</v>
      </c>
      <c r="G109" s="79">
        <f>DAY(EOMONTH(RD[[#This Row],[Month Year]],0))</f>
        <v>31</v>
      </c>
      <c r="H109" s="100">
        <v>24.303100000000001</v>
      </c>
      <c r="I109" s="315">
        <v>0.26111111111111113</v>
      </c>
      <c r="J109" s="315">
        <v>0.77777777777777779</v>
      </c>
      <c r="K109" s="79">
        <v>3800</v>
      </c>
      <c r="L109" s="79">
        <v>4310</v>
      </c>
      <c r="M109" s="79">
        <v>3803</v>
      </c>
      <c r="N109" s="179">
        <v>4341</v>
      </c>
      <c r="O109" s="179">
        <v>4430</v>
      </c>
      <c r="P109" s="179">
        <v>3715</v>
      </c>
      <c r="Q109" s="179">
        <v>4393</v>
      </c>
      <c r="R109" s="179">
        <v>3906</v>
      </c>
      <c r="S109" s="179">
        <v>4294</v>
      </c>
      <c r="T109" s="179">
        <v>3892</v>
      </c>
      <c r="U109" s="79">
        <v>4750.6000000000004</v>
      </c>
      <c r="V109" s="79">
        <v>4744.1000000000004</v>
      </c>
      <c r="W109" s="79">
        <v>4869.8</v>
      </c>
      <c r="X109" s="79">
        <v>4805.2</v>
      </c>
      <c r="Y109" s="79">
        <v>4866</v>
      </c>
      <c r="Z109" s="79">
        <v>4754.8999999999996</v>
      </c>
      <c r="AA109" s="79">
        <v>4849.5</v>
      </c>
      <c r="AB109" s="79">
        <v>4780.2</v>
      </c>
      <c r="AC109" s="79">
        <v>5824.1</v>
      </c>
      <c r="AD109" s="79">
        <v>5954.4</v>
      </c>
      <c r="AE109" s="79"/>
      <c r="AF109" s="79"/>
      <c r="AG109" s="79"/>
      <c r="AH109" s="79"/>
      <c r="AI109" s="79"/>
      <c r="AJ109" s="79"/>
      <c r="AK109" s="79"/>
      <c r="AL109" s="79"/>
      <c r="AM109" s="80">
        <v>153702.4313</v>
      </c>
      <c r="AN109" s="80">
        <v>654.92639999999994</v>
      </c>
      <c r="AO109" s="80"/>
      <c r="AP109" s="80">
        <v>5.468</v>
      </c>
      <c r="AQ109" s="82">
        <v>5.7220000000000004</v>
      </c>
      <c r="AR109" s="82">
        <f>IF(RD[[#This Row],[POA(kWh/m2)_O2R6]]="",RD[[#This Row],[POA(kWh/m2)_PSEGPL]],(RD[[#This Row],[POA(kWh/m2)_PSEGPL]]*('Basic Data'!$V$2/'Basic Data'!$V$4))+(RD[[#This Row],[POA(kWh/m2)_O2R6]]*('Basic Data'!$V$3/'Basic Data'!$V$4)))</f>
        <v>5.6016638385502464</v>
      </c>
      <c r="AS109" s="82">
        <f>SUM(RD[[#This Row],[G1 Inv1]:[G5 Inv10]])</f>
        <v>40884</v>
      </c>
      <c r="AT109" s="82">
        <f>SUM(RD[[#This Row],[IS1_Inv1_M1]:[IS1_Inv2_M4]])</f>
        <v>38420.299999999996</v>
      </c>
      <c r="AU109" s="82">
        <f>SUM(RD[[#This Row],[IS2_Inv1]:[IS2_Inv2]])</f>
        <v>11778.5</v>
      </c>
      <c r="AV109" s="80"/>
      <c r="AW109" s="83"/>
      <c r="AX109" s="80"/>
      <c r="AY109" s="80"/>
      <c r="AZ109" s="80"/>
      <c r="BA109" s="83">
        <f>IFERROR(SUM(RD[[#This Row],[PSEGPL]:[O2R10]]),"")</f>
        <v>91082.799999999988</v>
      </c>
      <c r="BB109" s="80">
        <v>1579</v>
      </c>
      <c r="BC109" s="83">
        <v>246787</v>
      </c>
      <c r="BD109" s="83">
        <v>1366</v>
      </c>
      <c r="BE109" s="83">
        <v>221279</v>
      </c>
      <c r="BF109" s="83">
        <v>2006</v>
      </c>
      <c r="BG109" s="83">
        <v>256149</v>
      </c>
      <c r="BH109" s="83">
        <v>3226</v>
      </c>
      <c r="BI109" s="83">
        <v>243606</v>
      </c>
      <c r="BJ109" s="101">
        <f>IF((RD[[#This Row],[33 kV F5 Export Reading_Gss End]]-AM108)*1000&lt;0,0,(RD[[#This Row],[33 kV F5 Export Reading_Gss End]]-AM108)*1000)</f>
        <v>90964.500000001863</v>
      </c>
      <c r="BK109" s="83">
        <f>IF((RD[[#This Row],[33 kV F5 Import Reading_GSS End2]]-AN108)*1000&lt;0,0,(RD[[#This Row],[33 kV F5 Import Reading_GSS End2]]-AN108)*1000)</f>
        <v>903.09999999999491</v>
      </c>
      <c r="BL109" s="84">
        <f>RD[[#This Row],[Export  (kWh)]]-RD[[#This Row],[Import (kWh)]]</f>
        <v>90061.400000001871</v>
      </c>
      <c r="BM109" s="84">
        <f>RD[[#This Row],[Inverters Generation ( kWh)]]-RD[[#This Row],[Export  (kWh)]]</f>
        <v>118.29999999812571</v>
      </c>
      <c r="BN109">
        <f t="shared" si="21"/>
        <v>40815</v>
      </c>
      <c r="BO109">
        <f t="shared" si="22"/>
        <v>210</v>
      </c>
      <c r="BP109" s="185">
        <f t="shared" si="23"/>
        <v>50730</v>
      </c>
      <c r="BQ109" s="185">
        <f t="shared" si="18"/>
        <v>688.8</v>
      </c>
      <c r="BR109" s="185">
        <f t="shared" si="20"/>
        <v>12.399999999999999</v>
      </c>
      <c r="BT109" s="185">
        <f>RD[[#This Row],[PSEGPL2_Export]]</f>
        <v>50730</v>
      </c>
      <c r="BU109" s="336">
        <f>RD[[#This Row],[O2R10]]+RD[[#This Row],[O2R6]]</f>
        <v>50198.799999999996</v>
      </c>
      <c r="BV109" s="336">
        <f>BT109-BU109</f>
        <v>531.20000000000437</v>
      </c>
    </row>
    <row r="110" spans="1:74" ht="15" customHeight="1" x14ac:dyDescent="0.35">
      <c r="A110" s="85">
        <f t="shared" si="17"/>
        <v>45851</v>
      </c>
      <c r="B110" s="80">
        <f>YEAR(RD[[#This Row],[Date]])+IF(MONTH(RD[[#This Row],[Date]])&gt;=4,1,0)</f>
        <v>2026</v>
      </c>
      <c r="C110" s="80">
        <f>YEAR(RD[[#This Row],[Month Year]])</f>
        <v>2025</v>
      </c>
      <c r="D110" s="99" t="s">
        <v>4</v>
      </c>
      <c r="E110" s="99" t="s">
        <v>4</v>
      </c>
      <c r="F110" s="80" t="str">
        <f t="shared" si="19"/>
        <v>Jul-25</v>
      </c>
      <c r="G110" s="79">
        <f>DAY(EOMONTH(RD[[#This Row],[Month Year]],0))</f>
        <v>31</v>
      </c>
      <c r="H110" s="100">
        <v>24.303100000000001</v>
      </c>
      <c r="I110" s="315">
        <v>0.26319444444444445</v>
      </c>
      <c r="J110" s="315">
        <v>0.7680555555555556</v>
      </c>
      <c r="K110" s="79">
        <v>3552</v>
      </c>
      <c r="L110" s="79">
        <v>4040</v>
      </c>
      <c r="M110" s="79">
        <v>3566</v>
      </c>
      <c r="N110" s="179">
        <v>4045</v>
      </c>
      <c r="O110" s="179">
        <v>4136</v>
      </c>
      <c r="P110" s="179">
        <v>3533</v>
      </c>
      <c r="Q110" s="179">
        <v>4132</v>
      </c>
      <c r="R110" s="179">
        <v>3696</v>
      </c>
      <c r="S110" s="179">
        <v>4096</v>
      </c>
      <c r="T110" s="179">
        <v>3738</v>
      </c>
      <c r="U110" s="79">
        <v>4528.2</v>
      </c>
      <c r="V110" s="79">
        <v>4546.2</v>
      </c>
      <c r="W110" s="79">
        <v>4702.7</v>
      </c>
      <c r="X110" s="79">
        <v>4649.8</v>
      </c>
      <c r="Y110" s="79">
        <v>4700.1000000000004</v>
      </c>
      <c r="Z110" s="79">
        <v>4550</v>
      </c>
      <c r="AA110" s="79">
        <v>4625.1000000000004</v>
      </c>
      <c r="AB110" s="79">
        <v>4534.2</v>
      </c>
      <c r="AC110" s="79">
        <v>5493.4</v>
      </c>
      <c r="AD110" s="79">
        <v>5579.8</v>
      </c>
      <c r="AE110" s="79"/>
      <c r="AF110" s="79"/>
      <c r="AG110" s="79"/>
      <c r="AH110" s="79"/>
      <c r="AI110" s="79"/>
      <c r="AJ110" s="79"/>
      <c r="AK110" s="79"/>
      <c r="AL110" s="79"/>
      <c r="AM110" s="80">
        <v>153788.85690000001</v>
      </c>
      <c r="AN110" s="80">
        <v>655.60090000000002</v>
      </c>
      <c r="AO110" s="80"/>
      <c r="AP110" s="80">
        <v>4.2830000000000004</v>
      </c>
      <c r="AQ110" s="82">
        <v>4.202</v>
      </c>
      <c r="AR110" s="82">
        <f>IF(RD[[#This Row],[POA(kWh/m2)_O2R6]]="",RD[[#This Row],[POA(kWh/m2)_PSEGPL]],(RD[[#This Row],[POA(kWh/m2)_PSEGPL]]*('Basic Data'!$V$2/'Basic Data'!$V$4))+(RD[[#This Row],[POA(kWh/m2)_O2R6]]*('Basic Data'!$V$3/'Basic Data'!$V$4)))</f>
        <v>4.240374917627677</v>
      </c>
      <c r="AS110" s="82">
        <f>SUM(RD[[#This Row],[G1 Inv1]:[G5 Inv10]])</f>
        <v>38534</v>
      </c>
      <c r="AT110" s="82">
        <f>SUM(RD[[#This Row],[IS1_Inv1_M1]:[IS1_Inv2_M4]])</f>
        <v>36836.299999999996</v>
      </c>
      <c r="AU110" s="82">
        <f>SUM(RD[[#This Row],[IS2_Inv1]:[IS2_Inv2]])</f>
        <v>11073.2</v>
      </c>
      <c r="AV110" s="80"/>
      <c r="AW110" s="83"/>
      <c r="AX110" s="80"/>
      <c r="AY110" s="80"/>
      <c r="AZ110" s="80"/>
      <c r="BA110" s="83">
        <f>IFERROR(SUM(RD[[#This Row],[PSEGPL]:[O2R10]]),"")</f>
        <v>86443.499999999985</v>
      </c>
      <c r="BB110" s="80">
        <v>1582</v>
      </c>
      <c r="BC110" s="83">
        <v>247167</v>
      </c>
      <c r="BD110" s="83">
        <v>1368</v>
      </c>
      <c r="BE110" s="83">
        <v>221625</v>
      </c>
      <c r="BF110" s="83">
        <v>2009</v>
      </c>
      <c r="BG110" s="83">
        <v>256565</v>
      </c>
      <c r="BH110" s="83">
        <v>3234</v>
      </c>
      <c r="BI110" s="83">
        <v>243981</v>
      </c>
      <c r="BJ110" s="101">
        <f>IF((RD[[#This Row],[33 kV F5 Export Reading_Gss End]]-AM109)*1000&lt;0,0,(RD[[#This Row],[33 kV F5 Export Reading_Gss End]]-AM109)*1000)</f>
        <v>86425.600000016857</v>
      </c>
      <c r="BK110" s="83">
        <f>IF((RD[[#This Row],[33 kV F5 Import Reading_GSS End2]]-AN109)*1000&lt;0,0,(RD[[#This Row],[33 kV F5 Import Reading_GSS End2]]-AN109)*1000)</f>
        <v>674.50000000008004</v>
      </c>
      <c r="BL110" s="84">
        <f>RD[[#This Row],[Export  (kWh)]]-RD[[#This Row],[Import (kWh)]]</f>
        <v>85751.10000001677</v>
      </c>
      <c r="BM110" s="84">
        <f>RD[[#This Row],[Inverters Generation ( kWh)]]-RD[[#This Row],[Export  (kWh)]]</f>
        <v>17.899999983128509</v>
      </c>
      <c r="BN110">
        <f t="shared" si="21"/>
        <v>38370</v>
      </c>
      <c r="BO110">
        <f t="shared" si="22"/>
        <v>270</v>
      </c>
      <c r="BP110" s="185">
        <f t="shared" si="23"/>
        <v>48690</v>
      </c>
      <c r="BQ110" s="185">
        <f t="shared" si="18"/>
        <v>599.1</v>
      </c>
      <c r="BR110" s="185">
        <f t="shared" si="20"/>
        <v>12.116666666666669</v>
      </c>
      <c r="BT110" s="185">
        <f>RD[[#This Row],[PSEGPL2_Export]]</f>
        <v>48690</v>
      </c>
      <c r="BU110" s="336">
        <f>RD[[#This Row],[O2R10]]+RD[[#This Row],[O2R6]]</f>
        <v>47909.5</v>
      </c>
    </row>
    <row r="111" spans="1:74" ht="15" customHeight="1" x14ac:dyDescent="0.35">
      <c r="A111" s="85">
        <f t="shared" si="17"/>
        <v>45852</v>
      </c>
      <c r="B111" s="80">
        <f>YEAR(RD[[#This Row],[Date]])+IF(MONTH(RD[[#This Row],[Date]])&gt;=4,1,0)</f>
        <v>2026</v>
      </c>
      <c r="C111" s="80">
        <f>YEAR(RD[[#This Row],[Month Year]])</f>
        <v>2025</v>
      </c>
      <c r="D111" s="99" t="s">
        <v>4</v>
      </c>
      <c r="E111" s="99" t="s">
        <v>4</v>
      </c>
      <c r="F111" s="80" t="str">
        <f t="shared" si="19"/>
        <v>Jul-25</v>
      </c>
      <c r="G111" s="79">
        <f>DAY(EOMONTH(RD[[#This Row],[Month Year]],0))</f>
        <v>31</v>
      </c>
      <c r="H111" s="100">
        <v>24.303100000000001</v>
      </c>
      <c r="I111" s="315">
        <v>0.26319444444444445</v>
      </c>
      <c r="J111" s="315">
        <v>0.78194444444444444</v>
      </c>
      <c r="K111" s="79">
        <v>3786</v>
      </c>
      <c r="L111" s="79">
        <v>4202</v>
      </c>
      <c r="M111" s="79">
        <v>3758</v>
      </c>
      <c r="N111" s="179">
        <v>4264</v>
      </c>
      <c r="O111" s="179">
        <v>3027</v>
      </c>
      <c r="P111" s="179">
        <v>2639</v>
      </c>
      <c r="Q111" s="179">
        <v>3498</v>
      </c>
      <c r="R111" s="179">
        <v>3779</v>
      </c>
      <c r="S111" s="179">
        <v>4259</v>
      </c>
      <c r="T111" s="179">
        <v>3824</v>
      </c>
      <c r="U111" s="79">
        <v>4728</v>
      </c>
      <c r="V111" s="79">
        <v>4676.3</v>
      </c>
      <c r="W111" s="79">
        <v>4900.3</v>
      </c>
      <c r="X111" s="79">
        <v>4913</v>
      </c>
      <c r="Y111" s="79">
        <v>4889.8</v>
      </c>
      <c r="Z111" s="79">
        <v>4756.8999999999996</v>
      </c>
      <c r="AA111" s="79">
        <v>4823</v>
      </c>
      <c r="AB111" s="79">
        <v>4751.6000000000004</v>
      </c>
      <c r="AC111" s="79">
        <v>5740.8</v>
      </c>
      <c r="AD111" s="79">
        <v>5828.6</v>
      </c>
      <c r="AE111" s="79"/>
      <c r="AF111" s="79"/>
      <c r="AG111" s="79"/>
      <c r="AH111" s="79"/>
      <c r="AI111" s="79"/>
      <c r="AJ111" s="79"/>
      <c r="AK111" s="79"/>
      <c r="AL111" s="79"/>
      <c r="AM111" s="80">
        <v>153875.77989999999</v>
      </c>
      <c r="AN111" s="80">
        <v>656.41560000000004</v>
      </c>
      <c r="AO111" s="80"/>
      <c r="AP111" s="80">
        <v>4.6120000000000001</v>
      </c>
      <c r="AQ111" s="82">
        <v>4.4249999999999998</v>
      </c>
      <c r="AR111" s="82">
        <f>IF(RD[[#This Row],[POA(kWh/m2)_O2R6]]="",RD[[#This Row],[POA(kWh/m2)_PSEGPL]],(RD[[#This Row],[POA(kWh/m2)_PSEGPL]]*('Basic Data'!$V$2/'Basic Data'!$V$4))+(RD[[#This Row],[POA(kWh/m2)_O2R6]]*('Basic Data'!$V$3/'Basic Data'!$V$4)))</f>
        <v>4.5135939456342662</v>
      </c>
      <c r="AS111" s="82">
        <f>SUM(RD[[#This Row],[G1 Inv1]:[G5 Inv10]])</f>
        <v>37036</v>
      </c>
      <c r="AT111" s="82">
        <f>SUM(RD[[#This Row],[IS1_Inv1_M1]:[IS1_Inv2_M4]])</f>
        <v>38438.899999999994</v>
      </c>
      <c r="AU111" s="82">
        <f>SUM(RD[[#This Row],[IS2_Inv1]:[IS2_Inv2]])</f>
        <v>11569.400000000001</v>
      </c>
      <c r="AV111" s="80"/>
      <c r="AW111" s="83"/>
      <c r="AX111" s="80"/>
      <c r="AY111" s="80"/>
      <c r="AZ111" s="80"/>
      <c r="BA111" s="83">
        <f>IFERROR(SUM(RD[[#This Row],[PSEGPL]:[O2R10]]),"")</f>
        <v>87044.299999999988</v>
      </c>
      <c r="BB111" s="80">
        <v>1584</v>
      </c>
      <c r="BC111" s="83">
        <v>247527</v>
      </c>
      <c r="BD111" s="83">
        <v>1370</v>
      </c>
      <c r="BE111" s="83">
        <v>221964</v>
      </c>
      <c r="BF111" s="83">
        <v>2013</v>
      </c>
      <c r="BG111" s="83">
        <v>256999</v>
      </c>
      <c r="BH111" s="83">
        <v>3242</v>
      </c>
      <c r="BI111" s="83">
        <v>244372</v>
      </c>
      <c r="BJ111" s="101">
        <f>IF((RD[[#This Row],[33 kV F5 Export Reading_Gss End]]-AM110)*1000&lt;0,0,(RD[[#This Row],[33 kV F5 Export Reading_Gss End]]-AM110)*1000)</f>
        <v>86922.999999980675</v>
      </c>
      <c r="BK111" s="83">
        <f>IF((RD[[#This Row],[33 kV F5 Import Reading_GSS End2]]-AN110)*1000&lt;0,0,(RD[[#This Row],[33 kV F5 Import Reading_GSS End2]]-AN110)*1000)</f>
        <v>814.70000000001619</v>
      </c>
      <c r="BL111" s="84">
        <f>RD[[#This Row],[Export  (kWh)]]-RD[[#This Row],[Import (kWh)]]</f>
        <v>86108.299999980663</v>
      </c>
      <c r="BM111" s="84">
        <f>RD[[#This Row],[Inverters Generation ( kWh)]]-RD[[#This Row],[Export  (kWh)]]</f>
        <v>121.3000000193133</v>
      </c>
      <c r="BN111">
        <f t="shared" si="21"/>
        <v>36855</v>
      </c>
      <c r="BO111">
        <f t="shared" si="22"/>
        <v>210</v>
      </c>
      <c r="BP111" s="185">
        <f t="shared" si="23"/>
        <v>50790</v>
      </c>
      <c r="BQ111" s="185">
        <f t="shared" si="18"/>
        <v>718.8</v>
      </c>
      <c r="BR111" s="185">
        <f t="shared" si="20"/>
        <v>12.450000000000001</v>
      </c>
      <c r="BT111" s="185">
        <f>RD[[#This Row],[PSEGPL2_Export]]</f>
        <v>50790</v>
      </c>
      <c r="BU111" s="336">
        <f>RD[[#This Row],[O2R10]]+RD[[#This Row],[O2R6]]</f>
        <v>50008.299999999996</v>
      </c>
    </row>
    <row r="112" spans="1:74" ht="15" customHeight="1" x14ac:dyDescent="0.35">
      <c r="A112" s="85">
        <f t="shared" si="17"/>
        <v>45853</v>
      </c>
      <c r="B112" s="80">
        <f>YEAR(RD[[#This Row],[Date]])+IF(MONTH(RD[[#This Row],[Date]])&gt;=4,1,0)</f>
        <v>2026</v>
      </c>
      <c r="C112" s="80">
        <f>YEAR(RD[[#This Row],[Month Year]])</f>
        <v>2025</v>
      </c>
      <c r="D112" s="99" t="s">
        <v>4</v>
      </c>
      <c r="E112" s="99" t="s">
        <v>4</v>
      </c>
      <c r="F112" s="80" t="str">
        <f t="shared" si="19"/>
        <v>Jul-25</v>
      </c>
      <c r="G112" s="79">
        <f>DAY(EOMONTH(RD[[#This Row],[Month Year]],0))</f>
        <v>31</v>
      </c>
      <c r="H112" s="100">
        <v>24.303100000000001</v>
      </c>
      <c r="I112" s="315">
        <v>0.26527777777777778</v>
      </c>
      <c r="J112" s="315">
        <v>0.78263888888888888</v>
      </c>
      <c r="K112" s="79">
        <v>3391</v>
      </c>
      <c r="L112" s="79">
        <v>3937</v>
      </c>
      <c r="M112" s="79">
        <v>3445</v>
      </c>
      <c r="N112" s="179">
        <v>3914</v>
      </c>
      <c r="O112" s="179">
        <v>4016</v>
      </c>
      <c r="P112" s="179">
        <v>3360</v>
      </c>
      <c r="Q112" s="179">
        <v>3981</v>
      </c>
      <c r="R112" s="179">
        <v>3509</v>
      </c>
      <c r="S112" s="179">
        <v>3894</v>
      </c>
      <c r="T112" s="179">
        <v>3491</v>
      </c>
      <c r="U112" s="79">
        <v>4148</v>
      </c>
      <c r="V112" s="79">
        <v>4022.1</v>
      </c>
      <c r="W112" s="79">
        <v>4236.2</v>
      </c>
      <c r="X112" s="79">
        <v>4234.8</v>
      </c>
      <c r="Y112" s="79">
        <v>4226.3999999999996</v>
      </c>
      <c r="Z112" s="79">
        <v>4133.2</v>
      </c>
      <c r="AA112" s="79">
        <v>4232.3999999999996</v>
      </c>
      <c r="AB112" s="79">
        <v>4169.3</v>
      </c>
      <c r="AC112" s="79">
        <v>5064.6000000000004</v>
      </c>
      <c r="AD112" s="79">
        <v>5232.2</v>
      </c>
      <c r="AE112" s="79"/>
      <c r="AF112" s="79"/>
      <c r="AG112" s="79"/>
      <c r="AH112" s="79"/>
      <c r="AI112" s="79"/>
      <c r="AJ112" s="79"/>
      <c r="AK112" s="79"/>
      <c r="AL112" s="79"/>
      <c r="AM112" s="80">
        <v>153956.46840000001</v>
      </c>
      <c r="AN112" s="80">
        <v>657.46540000000005</v>
      </c>
      <c r="AO112" s="80"/>
      <c r="AP112" s="80">
        <v>3.9660000000000002</v>
      </c>
      <c r="AQ112" s="82">
        <v>3.0760000000000001</v>
      </c>
      <c r="AR112" s="82">
        <f>IF(RD[[#This Row],[POA(kWh/m2)_O2R6]]="",RD[[#This Row],[POA(kWh/m2)_PSEGPL]],(RD[[#This Row],[POA(kWh/m2)_PSEGPL]]*('Basic Data'!$V$2/'Basic Data'!$V$4))+(RD[[#This Row],[POA(kWh/m2)_O2R6]]*('Basic Data'!$V$3/'Basic Data'!$V$4)))</f>
        <v>3.4976503294892916</v>
      </c>
      <c r="AS112" s="82">
        <f>SUM(RD[[#This Row],[G1 Inv1]:[G5 Inv10]])</f>
        <v>36938</v>
      </c>
      <c r="AT112" s="82">
        <f>SUM(RD[[#This Row],[IS1_Inv1_M1]:[IS1_Inv2_M4]])</f>
        <v>33402.400000000001</v>
      </c>
      <c r="AU112" s="82">
        <f>SUM(RD[[#This Row],[IS2_Inv1]:[IS2_Inv2]])</f>
        <v>10296.799999999999</v>
      </c>
      <c r="AV112" s="80"/>
      <c r="AW112" s="83"/>
      <c r="AX112" s="80"/>
      <c r="AY112" s="80"/>
      <c r="AZ112" s="80"/>
      <c r="BA112" s="83">
        <f>IFERROR(SUM(RD[[#This Row],[PSEGPL]:[O2R10]]),"")</f>
        <v>80637.2</v>
      </c>
      <c r="BB112" s="80">
        <v>1586</v>
      </c>
      <c r="BC112" s="83">
        <v>247893</v>
      </c>
      <c r="BD112" s="83">
        <v>1372</v>
      </c>
      <c r="BE112" s="83">
        <v>222292</v>
      </c>
      <c r="BF112" s="83">
        <v>2017</v>
      </c>
      <c r="BG112" s="83">
        <v>257377</v>
      </c>
      <c r="BH112" s="83">
        <v>3251</v>
      </c>
      <c r="BI112" s="83">
        <v>244722</v>
      </c>
      <c r="BJ112" s="101">
        <f>IF((RD[[#This Row],[33 kV F5 Export Reading_Gss End]]-AM111)*1000&lt;0,0,(RD[[#This Row],[33 kV F5 Export Reading_Gss End]]-AM111)*1000)</f>
        <v>80688.500000018394</v>
      </c>
      <c r="BK112" s="83">
        <f>IF((RD[[#This Row],[33 kV F5 Import Reading_GSS End2]]-AN111)*1000&lt;0,0,(RD[[#This Row],[33 kV F5 Import Reading_GSS End2]]-AN111)*1000)</f>
        <v>1049.8000000000047</v>
      </c>
      <c r="BL112" s="84">
        <f>RD[[#This Row],[Export  (kWh)]]-RD[[#This Row],[Import (kWh)]]</f>
        <v>79638.700000018391</v>
      </c>
      <c r="BM112" s="84">
        <f>RD[[#This Row],[Inverters Generation ( kWh)]]-RD[[#This Row],[Export  (kWh)]]</f>
        <v>-51.300000018396531</v>
      </c>
      <c r="BN112">
        <f t="shared" si="21"/>
        <v>36720</v>
      </c>
      <c r="BO112">
        <f t="shared" si="22"/>
        <v>210</v>
      </c>
      <c r="BP112" s="185">
        <f t="shared" si="23"/>
        <v>44520</v>
      </c>
      <c r="BQ112" s="185">
        <f t="shared" si="18"/>
        <v>748.8</v>
      </c>
      <c r="BR112" s="185">
        <f t="shared" si="20"/>
        <v>12.416666666666668</v>
      </c>
      <c r="BT112" s="185">
        <f>RD[[#This Row],[PSEGPL2_Export]]</f>
        <v>44520</v>
      </c>
      <c r="BU112" s="336">
        <f>RD[[#This Row],[O2R10]]+RD[[#This Row],[O2R6]]</f>
        <v>43699.199999999997</v>
      </c>
    </row>
    <row r="113" spans="1:73" ht="15" customHeight="1" x14ac:dyDescent="0.35">
      <c r="A113" s="85">
        <f t="shared" si="17"/>
        <v>45854</v>
      </c>
      <c r="B113" s="80">
        <f>YEAR(RD[[#This Row],[Date]])+IF(MONTH(RD[[#This Row],[Date]])&gt;=4,1,0)</f>
        <v>2026</v>
      </c>
      <c r="C113" s="80">
        <f>YEAR(RD[[#This Row],[Month Year]])</f>
        <v>2025</v>
      </c>
      <c r="D113" s="99" t="s">
        <v>4</v>
      </c>
      <c r="E113" s="99" t="s">
        <v>4</v>
      </c>
      <c r="F113" s="80" t="str">
        <f t="shared" si="19"/>
        <v>Jul-25</v>
      </c>
      <c r="G113" s="79">
        <f>DAY(EOMONTH(RD[[#This Row],[Month Year]],0))</f>
        <v>31</v>
      </c>
      <c r="H113" s="100">
        <v>24.303100000000001</v>
      </c>
      <c r="I113" s="315">
        <v>0.26597222222222222</v>
      </c>
      <c r="J113" s="315">
        <v>0.78125</v>
      </c>
      <c r="K113" s="79">
        <v>4502</v>
      </c>
      <c r="L113" s="79">
        <v>5162</v>
      </c>
      <c r="M113" s="79">
        <v>4485</v>
      </c>
      <c r="N113" s="179">
        <v>4571</v>
      </c>
      <c r="O113" s="179">
        <v>5218</v>
      </c>
      <c r="P113" s="179">
        <v>4420</v>
      </c>
      <c r="Q113" s="179">
        <v>5128</v>
      </c>
      <c r="R113" s="179">
        <v>4725</v>
      </c>
      <c r="S113" s="179">
        <v>5224</v>
      </c>
      <c r="T113" s="179">
        <v>4756</v>
      </c>
      <c r="U113" s="79">
        <v>5771.2</v>
      </c>
      <c r="V113" s="79">
        <v>5579.6</v>
      </c>
      <c r="W113" s="79">
        <v>5859.6</v>
      </c>
      <c r="X113" s="79">
        <v>5866.9</v>
      </c>
      <c r="Y113" s="79">
        <v>5850.8</v>
      </c>
      <c r="Z113" s="79">
        <v>5713.7</v>
      </c>
      <c r="AA113" s="79">
        <v>5876.6</v>
      </c>
      <c r="AB113" s="79">
        <v>5802.9</v>
      </c>
      <c r="AC113" s="79">
        <v>6775</v>
      </c>
      <c r="AD113" s="79">
        <v>6973.7</v>
      </c>
      <c r="AE113" s="79"/>
      <c r="AF113" s="79"/>
      <c r="AG113" s="79"/>
      <c r="AH113" s="79"/>
      <c r="AI113" s="79"/>
      <c r="AJ113" s="79"/>
      <c r="AK113" s="79"/>
      <c r="AL113" s="79"/>
      <c r="AM113" s="80">
        <v>154064.24369999999</v>
      </c>
      <c r="AN113" s="80">
        <v>658.28390000000002</v>
      </c>
      <c r="AO113" s="80"/>
      <c r="AP113" s="80">
        <v>5.4870000000000001</v>
      </c>
      <c r="AQ113" s="82">
        <v>4.3559999999999999</v>
      </c>
      <c r="AR113" s="82">
        <f>IF(RD[[#This Row],[POA(kWh/m2)_O2R6]]="",RD[[#This Row],[POA(kWh/m2)_PSEGPL]],(RD[[#This Row],[POA(kWh/m2)_PSEGPL]]*('Basic Data'!$V$2/'Basic Data'!$V$4))+(RD[[#This Row],[POA(kWh/m2)_O2R6]]*('Basic Data'!$V$3/'Basic Data'!$V$4)))</f>
        <v>4.8918275535420097</v>
      </c>
      <c r="AS113" s="82">
        <f>SUM(RD[[#This Row],[G1 Inv1]:[G5 Inv10]])</f>
        <v>48191</v>
      </c>
      <c r="AT113" s="82">
        <f>SUM(RD[[#This Row],[IS1_Inv1_M1]:[IS1_Inv2_M4]])</f>
        <v>46321.3</v>
      </c>
      <c r="AU113" s="82">
        <f>SUM(RD[[#This Row],[IS2_Inv1]:[IS2_Inv2]])</f>
        <v>13748.7</v>
      </c>
      <c r="AV113" s="80"/>
      <c r="AW113" s="83"/>
      <c r="AX113" s="80"/>
      <c r="AY113" s="80"/>
      <c r="AZ113" s="80"/>
      <c r="BA113" s="83">
        <f>IFERROR(SUM(RD[[#This Row],[PSEGPL]:[O2R10]]),"")</f>
        <v>108261</v>
      </c>
      <c r="BB113" s="80">
        <v>1589</v>
      </c>
      <c r="BC113" s="83">
        <v>248364</v>
      </c>
      <c r="BD113" s="83">
        <v>1374</v>
      </c>
      <c r="BE113" s="83">
        <v>222729</v>
      </c>
      <c r="BF113" s="83">
        <v>2021</v>
      </c>
      <c r="BG113" s="83">
        <v>257897</v>
      </c>
      <c r="BH113" s="83">
        <v>3259</v>
      </c>
      <c r="BI113" s="83">
        <v>245184</v>
      </c>
      <c r="BJ113" s="101">
        <f>IF((RD[[#This Row],[33 kV F5 Export Reading_Gss End]]-AM112)*1000&lt;0,0,(RD[[#This Row],[33 kV F5 Export Reading_Gss End]]-AM112)*1000)</f>
        <v>107775.29999997932</v>
      </c>
      <c r="BK113" s="83">
        <f>IF((RD[[#This Row],[33 kV F5 Import Reading_GSS End2]]-AN112)*1000&lt;0,0,(RD[[#This Row],[33 kV F5 Import Reading_GSS End2]]-AN112)*1000)</f>
        <v>818.49999999997181</v>
      </c>
      <c r="BL113" s="84">
        <f>RD[[#This Row],[Export  (kWh)]]-RD[[#This Row],[Import (kWh)]]</f>
        <v>106956.79999997935</v>
      </c>
      <c r="BM113" s="84">
        <f>RD[[#This Row],[Inverters Generation ( kWh)]]-RD[[#This Row],[Export  (kWh)]]</f>
        <v>485.70000002067536</v>
      </c>
      <c r="BN113">
        <f t="shared" si="21"/>
        <v>47925</v>
      </c>
      <c r="BO113">
        <f t="shared" si="22"/>
        <v>270</v>
      </c>
      <c r="BP113" s="185">
        <f t="shared" si="23"/>
        <v>60660</v>
      </c>
      <c r="BQ113" s="185">
        <f t="shared" si="18"/>
        <v>718.8</v>
      </c>
      <c r="BR113" s="185">
        <f t="shared" si="20"/>
        <v>12.366666666666665</v>
      </c>
      <c r="BT113" s="185">
        <f>RD[[#This Row],[PSEGPL2_Export]]</f>
        <v>60660</v>
      </c>
      <c r="BU113" s="336">
        <f>RD[[#This Row],[O2R10]]+RD[[#This Row],[O2R6]]</f>
        <v>60070</v>
      </c>
    </row>
    <row r="114" spans="1:73" ht="15" customHeight="1" x14ac:dyDescent="0.35">
      <c r="A114" s="85">
        <f t="shared" si="17"/>
        <v>45855</v>
      </c>
      <c r="B114" s="80">
        <f>YEAR(RD[[#This Row],[Date]])+IF(MONTH(RD[[#This Row],[Date]])&gt;=4,1,0)</f>
        <v>2026</v>
      </c>
      <c r="C114" s="80">
        <f>YEAR(RD[[#This Row],[Month Year]])</f>
        <v>2025</v>
      </c>
      <c r="D114" s="99" t="s">
        <v>4</v>
      </c>
      <c r="E114" s="99" t="s">
        <v>4</v>
      </c>
      <c r="F114" s="80" t="str">
        <f t="shared" si="19"/>
        <v>Jul-25</v>
      </c>
      <c r="G114" s="79">
        <f>DAY(EOMONTH(RD[[#This Row],[Month Year]],0))</f>
        <v>31</v>
      </c>
      <c r="H114" s="100">
        <v>24.303100000000001</v>
      </c>
      <c r="I114" s="315">
        <v>0.30833333333333335</v>
      </c>
      <c r="J114" s="315">
        <v>0.77777777777777779</v>
      </c>
      <c r="K114" s="79">
        <v>2889</v>
      </c>
      <c r="L114" s="79">
        <v>2872</v>
      </c>
      <c r="M114" s="79">
        <v>3060</v>
      </c>
      <c r="N114" s="179">
        <v>3466</v>
      </c>
      <c r="O114" s="179">
        <v>3520</v>
      </c>
      <c r="P114" s="179">
        <v>2997</v>
      </c>
      <c r="Q114" s="179">
        <v>3193</v>
      </c>
      <c r="R114" s="179">
        <v>3170</v>
      </c>
      <c r="S114" s="179">
        <v>3517</v>
      </c>
      <c r="T114" s="179">
        <v>3228</v>
      </c>
      <c r="U114" s="79">
        <v>3926.4</v>
      </c>
      <c r="V114" s="79">
        <v>3837.4</v>
      </c>
      <c r="W114" s="79">
        <v>4067.7</v>
      </c>
      <c r="X114" s="79">
        <v>4067.2</v>
      </c>
      <c r="Y114" s="79">
        <v>4068.7</v>
      </c>
      <c r="Z114" s="79">
        <v>3942.2</v>
      </c>
      <c r="AA114" s="79">
        <v>4012.9</v>
      </c>
      <c r="AB114" s="79">
        <v>3925.5</v>
      </c>
      <c r="AC114" s="79">
        <v>4773.6000000000004</v>
      </c>
      <c r="AD114" s="79">
        <v>5071.2299999999996</v>
      </c>
      <c r="AE114" s="79"/>
      <c r="AF114" s="79"/>
      <c r="AG114" s="79"/>
      <c r="AH114" s="79"/>
      <c r="AI114" s="79"/>
      <c r="AJ114" s="79"/>
      <c r="AK114" s="79"/>
      <c r="AL114" s="79"/>
      <c r="AM114" s="80">
        <v>154137.92660000001</v>
      </c>
      <c r="AN114" s="80">
        <v>659.43439999999998</v>
      </c>
      <c r="AO114" s="80"/>
      <c r="AP114" s="80">
        <v>3.7</v>
      </c>
      <c r="AQ114" s="82">
        <v>3.6749999999999998</v>
      </c>
      <c r="AR114" s="82">
        <f>IF(RD[[#This Row],[POA(kWh/m2)_O2R6]]="",RD[[#This Row],[POA(kWh/m2)_PSEGPL]],(RD[[#This Row],[POA(kWh/m2)_PSEGPL]]*('Basic Data'!$V$2/'Basic Data'!$V$4))+(RD[[#This Row],[POA(kWh/m2)_O2R6]]*('Basic Data'!$V$3/'Basic Data'!$V$4)))</f>
        <v>3.6868441103789125</v>
      </c>
      <c r="AS114" s="82">
        <f>SUM(RD[[#This Row],[G1 Inv1]:[G5 Inv10]])</f>
        <v>31912</v>
      </c>
      <c r="AT114" s="82">
        <f>SUM(RD[[#This Row],[IS1_Inv1_M1]:[IS1_Inv2_M4]])</f>
        <v>31848.000000000004</v>
      </c>
      <c r="AU114" s="82">
        <f>SUM(RD[[#This Row],[IS2_Inv1]:[IS2_Inv2]])</f>
        <v>9844.83</v>
      </c>
      <c r="AV114" s="80"/>
      <c r="AW114" s="83"/>
      <c r="AX114" s="80"/>
      <c r="AY114" s="80"/>
      <c r="AZ114" s="80"/>
      <c r="BA114" s="83">
        <f>IFERROR(SUM(RD[[#This Row],[PSEGPL]:[O2R10]]),"")</f>
        <v>73604.83</v>
      </c>
      <c r="BB114" s="80">
        <v>1591</v>
      </c>
      <c r="BC114" s="83">
        <v>248676</v>
      </c>
      <c r="BD114" s="83">
        <v>1376</v>
      </c>
      <c r="BE114" s="83">
        <v>223019</v>
      </c>
      <c r="BF114" s="83">
        <v>2025</v>
      </c>
      <c r="BG114" s="83">
        <v>258258</v>
      </c>
      <c r="BH114" s="83">
        <v>3273</v>
      </c>
      <c r="BI114" s="83">
        <v>245519</v>
      </c>
      <c r="BJ114" s="101">
        <f>IF((RD[[#This Row],[33 kV F5 Export Reading_Gss End]]-AM113)*1000&lt;0,0,(RD[[#This Row],[33 kV F5 Export Reading_Gss End]]-AM113)*1000)</f>
        <v>73682.900000014342</v>
      </c>
      <c r="BK114" s="83">
        <f>IF((RD[[#This Row],[33 kV F5 Import Reading_GSS End2]]-AN113)*1000&lt;0,0,(RD[[#This Row],[33 kV F5 Import Reading_GSS End2]]-AN113)*1000)</f>
        <v>1150.4999999999654</v>
      </c>
      <c r="BL114" s="84">
        <f>RD[[#This Row],[Export  (kWh)]]-RD[[#This Row],[Import (kWh)]]</f>
        <v>72532.400000014371</v>
      </c>
      <c r="BM114" s="84">
        <f>RD[[#This Row],[Inverters Generation ( kWh)]]-RD[[#This Row],[Export  (kWh)]]</f>
        <v>-78.070000014340621</v>
      </c>
      <c r="BN114">
        <f t="shared" si="21"/>
        <v>31770</v>
      </c>
      <c r="BO114">
        <f t="shared" si="22"/>
        <v>210</v>
      </c>
      <c r="BP114" s="185">
        <f t="shared" si="23"/>
        <v>42540</v>
      </c>
      <c r="BQ114" s="185">
        <f t="shared" ref="BQ114:BQ134" si="24">IF(AND(BF114="",BH114=""),"",((((BF114-BF113)*MF_Cap_O2RE6)*1.33)+((BH114-BH113)*MF_Cap_O2RE10)))</f>
        <v>898.8</v>
      </c>
      <c r="BR114" s="185">
        <f t="shared" si="20"/>
        <v>11.266666666666666</v>
      </c>
      <c r="BT114" s="185">
        <f>RD[[#This Row],[PSEGPL2_Export]]</f>
        <v>42540</v>
      </c>
      <c r="BU114" s="336">
        <f>RD[[#This Row],[O2R10]]+RD[[#This Row],[O2R6]]</f>
        <v>41692.83</v>
      </c>
    </row>
    <row r="115" spans="1:73" ht="15" customHeight="1" x14ac:dyDescent="0.35">
      <c r="A115" s="85">
        <f t="shared" si="17"/>
        <v>45856</v>
      </c>
      <c r="B115" s="80">
        <f>YEAR(RD[[#This Row],[Date]])+IF(MONTH(RD[[#This Row],[Date]])&gt;=4,1,0)</f>
        <v>2026</v>
      </c>
      <c r="C115" s="80">
        <f>YEAR(RD[[#This Row],[Month Year]])</f>
        <v>2025</v>
      </c>
      <c r="D115" s="99" t="s">
        <v>4</v>
      </c>
      <c r="E115" s="99" t="s">
        <v>4</v>
      </c>
      <c r="F115" s="80" t="str">
        <f t="shared" si="19"/>
        <v>Jul-25</v>
      </c>
      <c r="G115" s="79">
        <f>DAY(EOMONTH(RD[[#This Row],[Month Year]],0))</f>
        <v>31</v>
      </c>
      <c r="H115" s="100">
        <v>24.303100000000001</v>
      </c>
      <c r="I115" s="315">
        <v>0.27291666666666664</v>
      </c>
      <c r="J115" s="315">
        <v>0.78055555555555556</v>
      </c>
      <c r="K115" s="79">
        <v>2960</v>
      </c>
      <c r="L115" s="79">
        <v>3401</v>
      </c>
      <c r="M115" s="79">
        <v>2985</v>
      </c>
      <c r="N115" s="179">
        <v>3410</v>
      </c>
      <c r="O115" s="179">
        <v>3444</v>
      </c>
      <c r="P115" s="179">
        <v>2908</v>
      </c>
      <c r="Q115" s="179">
        <v>3504</v>
      </c>
      <c r="R115" s="179">
        <v>3137</v>
      </c>
      <c r="S115" s="179">
        <v>3448</v>
      </c>
      <c r="T115" s="179">
        <v>3166</v>
      </c>
      <c r="U115" s="79">
        <v>3885.7</v>
      </c>
      <c r="V115" s="79">
        <v>3822.2</v>
      </c>
      <c r="W115" s="79">
        <v>3987.6</v>
      </c>
      <c r="X115" s="79">
        <v>3989.8</v>
      </c>
      <c r="Y115" s="79">
        <v>3985.8</v>
      </c>
      <c r="Z115" s="79">
        <v>3877.2</v>
      </c>
      <c r="AA115" s="79">
        <v>3968.7</v>
      </c>
      <c r="AB115" s="79">
        <v>3894.6</v>
      </c>
      <c r="AC115" s="79">
        <v>4582.5</v>
      </c>
      <c r="AD115" s="79">
        <v>4855.6000000000004</v>
      </c>
      <c r="AE115" s="79"/>
      <c r="AF115" s="79"/>
      <c r="AG115" s="79"/>
      <c r="AH115" s="79"/>
      <c r="AI115" s="79"/>
      <c r="AJ115" s="79"/>
      <c r="AK115" s="79"/>
      <c r="AL115" s="79"/>
      <c r="AM115" s="80">
        <v>154211.3879</v>
      </c>
      <c r="AN115" s="80">
        <v>659.92399999999998</v>
      </c>
      <c r="AO115" s="80"/>
      <c r="AP115" s="80">
        <v>3.6179999999999999</v>
      </c>
      <c r="AQ115" s="82">
        <v>3.5779999999999998</v>
      </c>
      <c r="AR115" s="82">
        <f>IF(RD[[#This Row],[POA(kWh/m2)_O2R6]]="",RD[[#This Row],[POA(kWh/m2)_PSEGPL]],(RD[[#This Row],[POA(kWh/m2)_PSEGPL]]*('Basic Data'!$V$2/'Basic Data'!$V$4))+(RD[[#This Row],[POA(kWh/m2)_O2R6]]*('Basic Data'!$V$3/'Basic Data'!$V$4)))</f>
        <v>3.5969505766062602</v>
      </c>
      <c r="AS115" s="82">
        <f>SUM(RD[[#This Row],[G1 Inv1]:[G5 Inv10]])</f>
        <v>32363</v>
      </c>
      <c r="AT115" s="82">
        <f>SUM(RD[[#This Row],[IS1_Inv1_M1]:[IS1_Inv2_M4]])</f>
        <v>31411.599999999999</v>
      </c>
      <c r="AU115" s="82">
        <f>SUM(RD[[#This Row],[IS2_Inv1]:[IS2_Inv2]])</f>
        <v>9438.1</v>
      </c>
      <c r="AV115" s="80"/>
      <c r="AW115" s="83"/>
      <c r="AX115" s="80"/>
      <c r="AY115" s="80"/>
      <c r="AZ115" s="80"/>
      <c r="BA115" s="83">
        <f>IFERROR(SUM(RD[[#This Row],[PSEGPL]:[O2R10]]),"")</f>
        <v>73212.7</v>
      </c>
      <c r="BB115" s="80">
        <v>1594</v>
      </c>
      <c r="BC115" s="83">
        <v>248994</v>
      </c>
      <c r="BD115" s="83">
        <v>1378</v>
      </c>
      <c r="BE115" s="83">
        <v>223311</v>
      </c>
      <c r="BF115" s="83">
        <v>2030</v>
      </c>
      <c r="BG115" s="83">
        <v>258615</v>
      </c>
      <c r="BH115" s="83">
        <v>3280</v>
      </c>
      <c r="BI115" s="83">
        <v>245840</v>
      </c>
      <c r="BJ115" s="101">
        <f>IF((RD[[#This Row],[33 kV F5 Export Reading_Gss End]]-AM114)*1000&lt;0,0,(RD[[#This Row],[33 kV F5 Export Reading_Gss End]]-AM114)*1000)</f>
        <v>73461.29999999539</v>
      </c>
      <c r="BK115" s="83">
        <f>IF((RD[[#This Row],[33 kV F5 Import Reading_GSS End2]]-AN114)*1000&lt;0,0,(RD[[#This Row],[33 kV F5 Import Reading_GSS End2]]-AN114)*1000)</f>
        <v>489.59999999999582</v>
      </c>
      <c r="BL115" s="84">
        <f>RD[[#This Row],[Export  (kWh)]]-RD[[#This Row],[Import (kWh)]]</f>
        <v>72971.699999995399</v>
      </c>
      <c r="BM115" s="84">
        <f>RD[[#This Row],[Inverters Generation ( kWh)]]-RD[[#This Row],[Export  (kWh)]]</f>
        <v>-248.59999999539286</v>
      </c>
      <c r="BN115">
        <f t="shared" si="21"/>
        <v>32220</v>
      </c>
      <c r="BO115">
        <f t="shared" si="22"/>
        <v>270</v>
      </c>
      <c r="BP115" s="185">
        <f t="shared" si="23"/>
        <v>41760</v>
      </c>
      <c r="BQ115" s="185">
        <f t="shared" si="24"/>
        <v>808.5</v>
      </c>
      <c r="BR115" s="185">
        <f t="shared" si="20"/>
        <v>12.183333333333335</v>
      </c>
      <c r="BT115" s="185">
        <f>RD[[#This Row],[PSEGPL2_Export]]</f>
        <v>41760</v>
      </c>
      <c r="BU115" s="336">
        <f>RD[[#This Row],[O2R10]]+RD[[#This Row],[O2R6]]</f>
        <v>40849.699999999997</v>
      </c>
    </row>
    <row r="116" spans="1:73" ht="15" customHeight="1" x14ac:dyDescent="0.35">
      <c r="A116" s="85">
        <f t="shared" si="17"/>
        <v>45857</v>
      </c>
      <c r="B116" s="80">
        <f>YEAR(RD[[#This Row],[Date]])+IF(MONTH(RD[[#This Row],[Date]])&gt;=4,1,0)</f>
        <v>2026</v>
      </c>
      <c r="C116" s="80">
        <f>YEAR(RD[[#This Row],[Month Year]])</f>
        <v>2025</v>
      </c>
      <c r="D116" s="99" t="s">
        <v>4</v>
      </c>
      <c r="E116" s="99" t="s">
        <v>4</v>
      </c>
      <c r="F116" s="80" t="str">
        <f t="shared" si="19"/>
        <v>Jul-25</v>
      </c>
      <c r="G116" s="79">
        <f>DAY(EOMONTH(RD[[#This Row],[Month Year]],0))</f>
        <v>31</v>
      </c>
      <c r="H116" s="100">
        <v>24.303100000000001</v>
      </c>
      <c r="I116" s="315">
        <v>0.26319444444444445</v>
      </c>
      <c r="J116" s="315">
        <v>0.78472222222222221</v>
      </c>
      <c r="K116" s="79">
        <v>3973</v>
      </c>
      <c r="L116" s="79">
        <v>4518</v>
      </c>
      <c r="M116" s="79">
        <v>3974</v>
      </c>
      <c r="N116" s="179">
        <v>4539</v>
      </c>
      <c r="O116" s="179">
        <v>4563</v>
      </c>
      <c r="P116" s="179">
        <v>3885</v>
      </c>
      <c r="Q116" s="179">
        <v>4643</v>
      </c>
      <c r="R116" s="179">
        <v>4151</v>
      </c>
      <c r="S116" s="179">
        <v>4531</v>
      </c>
      <c r="T116" s="179">
        <v>4150</v>
      </c>
      <c r="U116" s="79">
        <v>4967.1000000000004</v>
      </c>
      <c r="V116" s="79">
        <v>4969.8</v>
      </c>
      <c r="W116" s="79">
        <v>5102.3</v>
      </c>
      <c r="X116" s="79">
        <v>5087.8</v>
      </c>
      <c r="Y116" s="79">
        <v>5103.7</v>
      </c>
      <c r="Z116" s="79">
        <v>4981.6000000000004</v>
      </c>
      <c r="AA116" s="79">
        <v>5094.1000000000004</v>
      </c>
      <c r="AB116" s="79">
        <v>5012.8</v>
      </c>
      <c r="AC116" s="79">
        <v>5905.4</v>
      </c>
      <c r="AD116" s="79">
        <v>6290.8</v>
      </c>
      <c r="AE116" s="79"/>
      <c r="AF116" s="79"/>
      <c r="AG116" s="79"/>
      <c r="AH116" s="79"/>
      <c r="AI116" s="79"/>
      <c r="AJ116" s="79"/>
      <c r="AK116" s="79"/>
      <c r="AL116" s="79"/>
      <c r="AM116" s="80">
        <v>154306.60500000001</v>
      </c>
      <c r="AN116" s="80">
        <v>660.75599999999997</v>
      </c>
      <c r="AO116" s="80"/>
      <c r="AP116" s="80">
        <v>4.7889999999999997</v>
      </c>
      <c r="AQ116" s="82">
        <v>4.6749999999999998</v>
      </c>
      <c r="AR116" s="82">
        <f>IF(RD[[#This Row],[POA(kWh/m2)_O2R6]]="",RD[[#This Row],[POA(kWh/m2)_PSEGPL]],(RD[[#This Row],[POA(kWh/m2)_PSEGPL]]*('Basic Data'!$V$2/'Basic Data'!$V$4))+(RD[[#This Row],[POA(kWh/m2)_O2R6]]*('Basic Data'!$V$3/'Basic Data'!$V$4)))</f>
        <v>4.7290091433278416</v>
      </c>
      <c r="AS116" s="82">
        <f>SUM(RD[[#This Row],[G1 Inv1]:[G5 Inv10]])</f>
        <v>42927</v>
      </c>
      <c r="AT116" s="82">
        <f>SUM(RD[[#This Row],[IS1_Inv1_M1]:[IS1_Inv2_M4]])</f>
        <v>40319.200000000004</v>
      </c>
      <c r="AU116" s="82">
        <f>SUM(RD[[#This Row],[IS2_Inv1]:[IS2_Inv2]])</f>
        <v>12196.2</v>
      </c>
      <c r="AV116" s="80"/>
      <c r="AW116" s="83"/>
      <c r="AX116" s="80"/>
      <c r="AY116" s="80"/>
      <c r="AZ116" s="80"/>
      <c r="BA116" s="83">
        <f>IFERROR(SUM(RD[[#This Row],[PSEGPL]:[O2R10]]),"")</f>
        <v>95442.400000000009</v>
      </c>
      <c r="BB116" s="80">
        <v>1596</v>
      </c>
      <c r="BC116" s="83">
        <v>249416</v>
      </c>
      <c r="BD116" s="83">
        <v>1380</v>
      </c>
      <c r="BE116" s="83">
        <v>223696</v>
      </c>
      <c r="BF116" s="83">
        <v>2033</v>
      </c>
      <c r="BG116" s="83">
        <v>259069</v>
      </c>
      <c r="BH116" s="83">
        <v>3288</v>
      </c>
      <c r="BI116" s="83">
        <v>246252</v>
      </c>
      <c r="BJ116" s="101">
        <f>IF((RD[[#This Row],[33 kV F5 Export Reading_Gss End]]-AM115)*1000&lt;0,0,(RD[[#This Row],[33 kV F5 Export Reading_Gss End]]-AM115)*1000)</f>
        <v>95217.100000008941</v>
      </c>
      <c r="BK116" s="83">
        <f>IF((RD[[#This Row],[33 kV F5 Import Reading_GSS End2]]-AN115)*1000&lt;0,0,(RD[[#This Row],[33 kV F5 Import Reading_GSS End2]]-AN115)*1000)</f>
        <v>831.99999999999363</v>
      </c>
      <c r="BL116" s="84">
        <f>RD[[#This Row],[Export  (kWh)]]-RD[[#This Row],[Import (kWh)]]</f>
        <v>94385.100000008941</v>
      </c>
      <c r="BM116" s="84">
        <f>RD[[#This Row],[Inverters Generation ( kWh)]]-RD[[#This Row],[Export  (kWh)]]</f>
        <v>225.29999999106803</v>
      </c>
      <c r="BN116">
        <f t="shared" si="21"/>
        <v>42645</v>
      </c>
      <c r="BO116">
        <f t="shared" si="22"/>
        <v>210</v>
      </c>
      <c r="BP116" s="185">
        <f t="shared" si="23"/>
        <v>53220</v>
      </c>
      <c r="BQ116" s="185">
        <f t="shared" si="24"/>
        <v>599.1</v>
      </c>
      <c r="BR116" s="185">
        <f t="shared" si="20"/>
        <v>12.516666666666667</v>
      </c>
      <c r="BT116" s="185">
        <f>RD[[#This Row],[PSEGPL2_Export]]</f>
        <v>53220</v>
      </c>
      <c r="BU116" s="336">
        <f>RD[[#This Row],[O2R10]]+RD[[#This Row],[O2R6]]</f>
        <v>52515.400000000009</v>
      </c>
    </row>
    <row r="117" spans="1:73" ht="15" customHeight="1" x14ac:dyDescent="0.35">
      <c r="A117" s="85">
        <f t="shared" si="17"/>
        <v>45858</v>
      </c>
      <c r="B117" s="80">
        <f>YEAR(RD[[#This Row],[Date]])+IF(MONTH(RD[[#This Row],[Date]])&gt;=4,1,0)</f>
        <v>2026</v>
      </c>
      <c r="C117" s="80">
        <f>YEAR(RD[[#This Row],[Month Year]])</f>
        <v>2025</v>
      </c>
      <c r="D117" s="99" t="s">
        <v>4</v>
      </c>
      <c r="E117" s="99" t="s">
        <v>4</v>
      </c>
      <c r="F117" s="80" t="str">
        <f t="shared" si="19"/>
        <v>Jul-25</v>
      </c>
      <c r="G117" s="79">
        <f>DAY(EOMONTH(RD[[#This Row],[Month Year]],0))</f>
        <v>31</v>
      </c>
      <c r="H117" s="100">
        <v>24.303100000000001</v>
      </c>
      <c r="I117" s="315">
        <v>0.26597222222222222</v>
      </c>
      <c r="J117" s="315">
        <v>0.78194444444444444</v>
      </c>
      <c r="K117" s="79">
        <v>4999</v>
      </c>
      <c r="L117" s="79">
        <v>4656</v>
      </c>
      <c r="M117" s="79">
        <v>5004</v>
      </c>
      <c r="N117" s="179">
        <v>5748</v>
      </c>
      <c r="O117" s="179">
        <v>5843</v>
      </c>
      <c r="P117" s="179">
        <v>5001</v>
      </c>
      <c r="Q117" s="179">
        <v>5911</v>
      </c>
      <c r="R117" s="179">
        <v>5294</v>
      </c>
      <c r="S117" s="179">
        <v>5731</v>
      </c>
      <c r="T117" s="179">
        <v>5242</v>
      </c>
      <c r="U117" s="79">
        <v>6635.2</v>
      </c>
      <c r="V117" s="79">
        <v>6629.6</v>
      </c>
      <c r="W117" s="79">
        <v>6795.9</v>
      </c>
      <c r="X117" s="79">
        <v>6755.2</v>
      </c>
      <c r="Y117" s="79">
        <v>6787</v>
      </c>
      <c r="Z117" s="79">
        <v>6655.8</v>
      </c>
      <c r="AA117" s="79">
        <v>6801.4</v>
      </c>
      <c r="AB117" s="79">
        <v>6685.6</v>
      </c>
      <c r="AC117" s="79">
        <v>7686.2</v>
      </c>
      <c r="AD117" s="79">
        <v>8081</v>
      </c>
      <c r="AE117" s="79"/>
      <c r="AF117" s="79"/>
      <c r="AG117" s="79"/>
      <c r="AH117" s="79"/>
      <c r="AI117" s="79"/>
      <c r="AJ117" s="79"/>
      <c r="AK117" s="79"/>
      <c r="AL117" s="79"/>
      <c r="AM117" s="80">
        <v>154428.63990000001</v>
      </c>
      <c r="AN117" s="80">
        <v>661.68079999999998</v>
      </c>
      <c r="AO117" s="80"/>
      <c r="AP117" s="80">
        <v>6.34</v>
      </c>
      <c r="AQ117" s="82">
        <v>6.3209999999999997</v>
      </c>
      <c r="AR117" s="82">
        <f>IF(RD[[#This Row],[POA(kWh/m2)_O2R6]]="",RD[[#This Row],[POA(kWh/m2)_PSEGPL]],(RD[[#This Row],[POA(kWh/m2)_PSEGPL]]*('Basic Data'!$V$2/'Basic Data'!$V$4))+(RD[[#This Row],[POA(kWh/m2)_O2R6]]*('Basic Data'!$V$3/'Basic Data'!$V$4)))</f>
        <v>6.3300015238879723</v>
      </c>
      <c r="AS117" s="82">
        <f>SUM(RD[[#This Row],[G1 Inv1]:[G5 Inv10]])</f>
        <v>53429</v>
      </c>
      <c r="AT117" s="82">
        <f>SUM(RD[[#This Row],[IS1_Inv1_M1]:[IS1_Inv2_M4]])</f>
        <v>53745.7</v>
      </c>
      <c r="AU117" s="82">
        <f>SUM(RD[[#This Row],[IS2_Inv1]:[IS2_Inv2]])</f>
        <v>15767.2</v>
      </c>
      <c r="AV117" s="80"/>
      <c r="AW117" s="83"/>
      <c r="AX117" s="80"/>
      <c r="AY117" s="80"/>
      <c r="AZ117" s="80"/>
      <c r="BA117" s="83">
        <f>IFERROR(SUM(RD[[#This Row],[PSEGPL]:[O2R10]]),"")</f>
        <v>122941.9</v>
      </c>
      <c r="BB117" s="80">
        <v>1599</v>
      </c>
      <c r="BC117" s="83">
        <v>249935</v>
      </c>
      <c r="BD117" s="83">
        <v>1382</v>
      </c>
      <c r="BE117" s="83">
        <v>224185</v>
      </c>
      <c r="BF117" s="83">
        <v>2037</v>
      </c>
      <c r="BG117" s="83">
        <v>259670</v>
      </c>
      <c r="BH117" s="83">
        <v>3298</v>
      </c>
      <c r="BI117" s="83">
        <v>246781</v>
      </c>
      <c r="BJ117" s="101">
        <f>IF((RD[[#This Row],[33 kV F5 Export Reading_Gss End]]-AM116)*1000&lt;0,0,(RD[[#This Row],[33 kV F5 Export Reading_Gss End]]-AM116)*1000)</f>
        <v>122034.89999999874</v>
      </c>
      <c r="BK117" s="83">
        <f>IF((RD[[#This Row],[33 kV F5 Import Reading_GSS End2]]-AN116)*1000&lt;0,0,(RD[[#This Row],[33 kV F5 Import Reading_GSS End2]]-AN116)*1000)</f>
        <v>924.80000000000473</v>
      </c>
      <c r="BL117" s="84">
        <f>RD[[#This Row],[Export  (kWh)]]-RD[[#This Row],[Import (kWh)]]</f>
        <v>121110.09999999874</v>
      </c>
      <c r="BM117" s="84">
        <f>RD[[#This Row],[Inverters Generation ( kWh)]]-RD[[#This Row],[Export  (kWh)]]</f>
        <v>907.00000000125146</v>
      </c>
      <c r="BN117">
        <f t="shared" si="21"/>
        <v>53145</v>
      </c>
      <c r="BO117">
        <f t="shared" si="22"/>
        <v>270</v>
      </c>
      <c r="BP117" s="185">
        <f t="shared" si="23"/>
        <v>69960</v>
      </c>
      <c r="BQ117" s="185">
        <f t="shared" si="24"/>
        <v>778.8</v>
      </c>
      <c r="BR117" s="185">
        <f t="shared" si="20"/>
        <v>12.383333333333335</v>
      </c>
      <c r="BT117" s="185">
        <f>RD[[#This Row],[PSEGPL2_Export]]</f>
        <v>69960</v>
      </c>
      <c r="BU117" s="336">
        <f>RD[[#This Row],[O2R10]]+RD[[#This Row],[O2R6]]</f>
        <v>69512.899999999994</v>
      </c>
    </row>
    <row r="118" spans="1:73" ht="15" customHeight="1" x14ac:dyDescent="0.35">
      <c r="A118" s="85">
        <f t="shared" si="17"/>
        <v>45859</v>
      </c>
      <c r="B118" s="80">
        <f>YEAR(RD[[#This Row],[Date]])+IF(MONTH(RD[[#This Row],[Date]])&gt;=4,1,0)</f>
        <v>2026</v>
      </c>
      <c r="C118" s="80">
        <f>YEAR(RD[[#This Row],[Month Year]])</f>
        <v>2025</v>
      </c>
      <c r="D118" s="99" t="s">
        <v>4</v>
      </c>
      <c r="E118" s="99" t="s">
        <v>4</v>
      </c>
      <c r="F118" s="80" t="str">
        <f t="shared" si="19"/>
        <v>Jul-25</v>
      </c>
      <c r="G118" s="79">
        <f>DAY(EOMONTH(RD[[#This Row],[Month Year]],0))</f>
        <v>31</v>
      </c>
      <c r="H118" s="100">
        <v>24.303100000000001</v>
      </c>
      <c r="I118" s="315">
        <v>0.2722222222222222</v>
      </c>
      <c r="J118" s="315">
        <v>0.78541666666666665</v>
      </c>
      <c r="K118" s="79">
        <v>5097</v>
      </c>
      <c r="L118" s="79">
        <v>5726</v>
      </c>
      <c r="M118" s="79">
        <v>5103</v>
      </c>
      <c r="N118" s="179">
        <v>5908</v>
      </c>
      <c r="O118" s="179">
        <v>6024</v>
      </c>
      <c r="P118" s="179">
        <v>5007</v>
      </c>
      <c r="Q118" s="179">
        <v>6043</v>
      </c>
      <c r="R118" s="179">
        <v>5253</v>
      </c>
      <c r="S118" s="179">
        <v>5014</v>
      </c>
      <c r="T118" s="179">
        <v>5304</v>
      </c>
      <c r="U118" s="79">
        <v>6443</v>
      </c>
      <c r="V118" s="79">
        <v>6466.4</v>
      </c>
      <c r="W118" s="79">
        <v>6658.2</v>
      </c>
      <c r="X118" s="79">
        <v>6659.9</v>
      </c>
      <c r="Y118" s="79">
        <v>6646.5</v>
      </c>
      <c r="Z118" s="79">
        <v>6548.3</v>
      </c>
      <c r="AA118" s="79">
        <v>6580.3</v>
      </c>
      <c r="AB118" s="79">
        <v>6559.2</v>
      </c>
      <c r="AC118" s="79">
        <v>7488.2</v>
      </c>
      <c r="AD118" s="79">
        <v>7959.7</v>
      </c>
      <c r="AE118" s="79"/>
      <c r="AF118" s="79"/>
      <c r="AG118" s="79"/>
      <c r="AH118" s="79"/>
      <c r="AI118" s="79"/>
      <c r="AJ118" s="79"/>
      <c r="AK118" s="79"/>
      <c r="AL118" s="79"/>
      <c r="AM118" s="80">
        <v>154550.0557</v>
      </c>
      <c r="AN118" s="80">
        <v>662.45929999999998</v>
      </c>
      <c r="AO118" s="80"/>
      <c r="AP118" s="80">
        <v>6.266</v>
      </c>
      <c r="AQ118" s="82">
        <v>6.2169999999999996</v>
      </c>
      <c r="AR118" s="82">
        <f>IF(RD[[#This Row],[POA(kWh/m2)_O2R6]]="",RD[[#This Row],[POA(kWh/m2)_PSEGPL]],(RD[[#This Row],[POA(kWh/m2)_PSEGPL]]*('Basic Data'!$V$2/'Basic Data'!$V$4))+(RD[[#This Row],[POA(kWh/m2)_O2R6]]*('Basic Data'!$V$3/'Basic Data'!$V$4)))</f>
        <v>6.2402144563426685</v>
      </c>
      <c r="AS118" s="82">
        <f>SUM(RD[[#This Row],[G1 Inv1]:[G5 Inv10]])</f>
        <v>54479</v>
      </c>
      <c r="AT118" s="82">
        <f>SUM(RD[[#This Row],[IS1_Inv1_M1]:[IS1_Inv2_M4]])</f>
        <v>52561.8</v>
      </c>
      <c r="AU118" s="82">
        <f>SUM(RD[[#This Row],[IS2_Inv1]:[IS2_Inv2]])</f>
        <v>15447.9</v>
      </c>
      <c r="AV118" s="80"/>
      <c r="AW118" s="83"/>
      <c r="AX118" s="80"/>
      <c r="AY118" s="80"/>
      <c r="AZ118" s="80"/>
      <c r="BA118" s="83">
        <f>IFERROR(SUM(RD[[#This Row],[PSEGPL]:[O2R10]]),"")</f>
        <v>122488.7</v>
      </c>
      <c r="BB118" s="80">
        <v>1601</v>
      </c>
      <c r="BC118" s="83">
        <v>250479</v>
      </c>
      <c r="BD118" s="83">
        <v>1384</v>
      </c>
      <c r="BE118" s="83">
        <v>224660</v>
      </c>
      <c r="BF118" s="83">
        <v>2041</v>
      </c>
      <c r="BG118" s="83">
        <v>260256</v>
      </c>
      <c r="BH118" s="83">
        <v>3306</v>
      </c>
      <c r="BI118" s="83">
        <v>247300</v>
      </c>
      <c r="BJ118" s="101">
        <f>IF((RD[[#This Row],[33 kV F5 Export Reading_Gss End]]-AM117)*1000&lt;0,0,(RD[[#This Row],[33 kV F5 Export Reading_Gss End]]-AM117)*1000)</f>
        <v>121415.79999998794</v>
      </c>
      <c r="BK118" s="83">
        <f>IF((RD[[#This Row],[33 kV F5 Import Reading_GSS End2]]-AN117)*1000&lt;0,0,(RD[[#This Row],[33 kV F5 Import Reading_GSS End2]]-AN117)*1000)</f>
        <v>778.50000000000819</v>
      </c>
      <c r="BL118" s="84">
        <f>RD[[#This Row],[Export  (kWh)]]-RD[[#This Row],[Import (kWh)]]</f>
        <v>120637.29999998792</v>
      </c>
      <c r="BM118" s="84">
        <f>RD[[#This Row],[Inverters Generation ( kWh)]]-RD[[#This Row],[Export  (kWh)]]</f>
        <v>1072.9000000120577</v>
      </c>
      <c r="BN118">
        <f t="shared" si="21"/>
        <v>54015</v>
      </c>
      <c r="BO118">
        <f t="shared" si="22"/>
        <v>210</v>
      </c>
      <c r="BP118" s="185">
        <f t="shared" si="23"/>
        <v>68310</v>
      </c>
      <c r="BQ118" s="185">
        <f t="shared" si="24"/>
        <v>718.8</v>
      </c>
      <c r="BR118" s="185">
        <f t="shared" si="20"/>
        <v>12.316666666666668</v>
      </c>
      <c r="BT118" s="185">
        <f>RD[[#This Row],[PSEGPL2_Export]]</f>
        <v>68310</v>
      </c>
      <c r="BU118" s="336">
        <f>RD[[#This Row],[O2R10]]+RD[[#This Row],[O2R6]]</f>
        <v>68009.7</v>
      </c>
    </row>
    <row r="119" spans="1:73" ht="15" customHeight="1" x14ac:dyDescent="0.35">
      <c r="A119" s="85">
        <f t="shared" si="17"/>
        <v>45860</v>
      </c>
      <c r="B119" s="80">
        <f>YEAR(RD[[#This Row],[Date]])+IF(MONTH(RD[[#This Row],[Date]])&gt;=4,1,0)</f>
        <v>2026</v>
      </c>
      <c r="C119" s="80">
        <f>YEAR(RD[[#This Row],[Month Year]])</f>
        <v>2025</v>
      </c>
      <c r="D119" s="99" t="s">
        <v>4</v>
      </c>
      <c r="E119" s="99" t="s">
        <v>4</v>
      </c>
      <c r="F119" s="80" t="str">
        <f t="shared" si="19"/>
        <v>Jul-25</v>
      </c>
      <c r="G119" s="79">
        <f>DAY(EOMONTH(RD[[#This Row],[Month Year]],0))</f>
        <v>31</v>
      </c>
      <c r="H119" s="100">
        <v>24.303100000000001</v>
      </c>
      <c r="I119" s="315">
        <v>0.30902777777777779</v>
      </c>
      <c r="J119" s="315">
        <v>0.78263888888888888</v>
      </c>
      <c r="K119" s="79">
        <v>3411</v>
      </c>
      <c r="L119" s="79">
        <v>3982</v>
      </c>
      <c r="M119" s="79">
        <v>3414</v>
      </c>
      <c r="N119" s="179">
        <v>3974</v>
      </c>
      <c r="O119" s="179">
        <v>3961</v>
      </c>
      <c r="P119" s="179">
        <v>3310</v>
      </c>
      <c r="Q119" s="179">
        <v>4048</v>
      </c>
      <c r="R119" s="179">
        <v>3553</v>
      </c>
      <c r="S119" s="179">
        <v>4007</v>
      </c>
      <c r="T119" s="179">
        <v>3530</v>
      </c>
      <c r="U119" s="79">
        <v>4304.7</v>
      </c>
      <c r="V119" s="79">
        <v>4362.3</v>
      </c>
      <c r="W119" s="79">
        <v>4487.2</v>
      </c>
      <c r="X119" s="79">
        <v>4524.1000000000004</v>
      </c>
      <c r="Y119" s="79">
        <v>4472.1000000000004</v>
      </c>
      <c r="Z119" s="79">
        <v>4364.8</v>
      </c>
      <c r="AA119" s="79">
        <v>4383.7</v>
      </c>
      <c r="AB119" s="79">
        <v>4349.3999999999996</v>
      </c>
      <c r="AC119" s="79">
        <v>4953.3999999999996</v>
      </c>
      <c r="AD119" s="79">
        <v>5298.7</v>
      </c>
      <c r="AE119" s="79"/>
      <c r="AF119" s="79"/>
      <c r="AG119" s="79"/>
      <c r="AH119" s="79"/>
      <c r="AI119" s="79"/>
      <c r="AJ119" s="79"/>
      <c r="AK119" s="79"/>
      <c r="AL119" s="79"/>
      <c r="AM119" s="80">
        <v>154631.2787</v>
      </c>
      <c r="AN119" s="80">
        <v>663.40369999999996</v>
      </c>
      <c r="AO119" s="80"/>
      <c r="AP119" s="80">
        <v>4.1100000000000003</v>
      </c>
      <c r="AQ119" s="82">
        <v>4.0229999999999997</v>
      </c>
      <c r="AR119" s="82">
        <f>IF(RD[[#This Row],[POA(kWh/m2)_O2R6]]="",RD[[#This Row],[POA(kWh/m2)_PSEGPL]],(RD[[#This Row],[POA(kWh/m2)_PSEGPL]]*('Basic Data'!$V$2/'Basic Data'!$V$4))+(RD[[#This Row],[POA(kWh/m2)_O2R6]]*('Basic Data'!$V$3/'Basic Data'!$V$4)))</f>
        <v>4.0642175041186155</v>
      </c>
      <c r="AS119" s="82">
        <f>SUM(RD[[#This Row],[G1 Inv1]:[G5 Inv10]])</f>
        <v>37190</v>
      </c>
      <c r="AT119" s="82">
        <f>SUM(RD[[#This Row],[IS1_Inv1_M1]:[IS1_Inv2_M4]])</f>
        <v>35248.300000000003</v>
      </c>
      <c r="AU119" s="82">
        <f>SUM(RD[[#This Row],[IS2_Inv1]:[IS2_Inv2]])</f>
        <v>10252.099999999999</v>
      </c>
      <c r="AV119" s="80"/>
      <c r="AW119" s="83"/>
      <c r="AX119" s="80"/>
      <c r="AY119" s="80"/>
      <c r="AZ119" s="80"/>
      <c r="BA119" s="83">
        <f>IFERROR(SUM(RD[[#This Row],[PSEGPL]:[O2R10]]),"")</f>
        <v>82690.399999999994</v>
      </c>
      <c r="BB119" s="80">
        <v>1604</v>
      </c>
      <c r="BC119" s="83">
        <v>250823</v>
      </c>
      <c r="BD119" s="83">
        <v>1386</v>
      </c>
      <c r="BE119" s="83">
        <v>224996</v>
      </c>
      <c r="BF119" s="83">
        <v>2046</v>
      </c>
      <c r="BG119" s="83">
        <v>260655</v>
      </c>
      <c r="BH119" s="83">
        <v>3314</v>
      </c>
      <c r="BI119" s="83">
        <v>247651</v>
      </c>
      <c r="BJ119" s="101">
        <f>IF((RD[[#This Row],[33 kV F5 Export Reading_Gss End]]-AM118)*1000&lt;0,0,(RD[[#This Row],[33 kV F5 Export Reading_Gss End]]-AM118)*1000)</f>
        <v>81222.999999998137</v>
      </c>
      <c r="BK119" s="83">
        <f>IF((RD[[#This Row],[33 kV F5 Import Reading_GSS End2]]-AN118)*1000&lt;0,0,(RD[[#This Row],[33 kV F5 Import Reading_GSS End2]]-AN118)*1000)</f>
        <v>944.39999999997326</v>
      </c>
      <c r="BL119" s="84">
        <f>RD[[#This Row],[Export  (kWh)]]-RD[[#This Row],[Import (kWh)]]</f>
        <v>80278.599999998158</v>
      </c>
      <c r="BM119" s="84">
        <f>RD[[#This Row],[Inverters Generation ( kWh)]]-RD[[#This Row],[Export  (kWh)]]</f>
        <v>1467.4000000018568</v>
      </c>
      <c r="BN119">
        <f t="shared" si="21"/>
        <v>35760</v>
      </c>
      <c r="BO119">
        <f t="shared" si="22"/>
        <v>270</v>
      </c>
      <c r="BP119" s="185">
        <f t="shared" si="23"/>
        <v>46440</v>
      </c>
      <c r="BQ119" s="185">
        <f t="shared" si="24"/>
        <v>838.5</v>
      </c>
      <c r="BR119" s="185">
        <f t="shared" si="20"/>
        <v>11.366666666666667</v>
      </c>
      <c r="BT119" s="185">
        <f>RD[[#This Row],[PSEGPL2_Export]]</f>
        <v>46440</v>
      </c>
      <c r="BU119" s="336">
        <f>RD[[#This Row],[O2R10]]+RD[[#This Row],[O2R6]]</f>
        <v>45500.4</v>
      </c>
    </row>
    <row r="120" spans="1:73" ht="15" customHeight="1" x14ac:dyDescent="0.35">
      <c r="A120" s="85">
        <f t="shared" si="17"/>
        <v>45861</v>
      </c>
      <c r="B120" s="80">
        <f>YEAR(RD[[#This Row],[Date]])+IF(MONTH(RD[[#This Row],[Date]])&gt;=4,1,0)</f>
        <v>2026</v>
      </c>
      <c r="C120" s="80">
        <f>YEAR(RD[[#This Row],[Month Year]])</f>
        <v>2025</v>
      </c>
      <c r="D120" s="99" t="s">
        <v>4</v>
      </c>
      <c r="E120" s="99" t="s">
        <v>4</v>
      </c>
      <c r="F120" s="80" t="str">
        <f t="shared" si="19"/>
        <v>Jul-25</v>
      </c>
      <c r="G120" s="79">
        <f>DAY(EOMONTH(RD[[#This Row],[Month Year]],0))</f>
        <v>31</v>
      </c>
      <c r="H120" s="100">
        <v>24.303100000000001</v>
      </c>
      <c r="I120" s="315">
        <v>0.27708333333333335</v>
      </c>
      <c r="J120" s="315">
        <v>0.74236111111111114</v>
      </c>
      <c r="K120" s="79">
        <v>2345</v>
      </c>
      <c r="L120" s="79">
        <v>2667</v>
      </c>
      <c r="M120" s="79">
        <v>2362</v>
      </c>
      <c r="N120" s="179">
        <v>2676</v>
      </c>
      <c r="O120" s="179">
        <v>2733</v>
      </c>
      <c r="P120" s="179">
        <v>2306</v>
      </c>
      <c r="Q120" s="179">
        <v>2715</v>
      </c>
      <c r="R120" s="179">
        <v>2388</v>
      </c>
      <c r="S120" s="179">
        <v>2704</v>
      </c>
      <c r="T120" s="179">
        <v>2391</v>
      </c>
      <c r="U120" s="79">
        <v>2889.1</v>
      </c>
      <c r="V120" s="79">
        <v>2899.4</v>
      </c>
      <c r="W120" s="79">
        <v>2999</v>
      </c>
      <c r="X120" s="79">
        <v>3001.1</v>
      </c>
      <c r="Y120" s="79">
        <v>2993.7</v>
      </c>
      <c r="Z120" s="79">
        <v>2938.8</v>
      </c>
      <c r="AA120" s="79">
        <v>2963.3</v>
      </c>
      <c r="AB120" s="79">
        <v>2945.9</v>
      </c>
      <c r="AC120" s="79">
        <v>3561.5</v>
      </c>
      <c r="AD120" s="79">
        <v>3837.8</v>
      </c>
      <c r="AE120" s="79"/>
      <c r="AF120" s="79"/>
      <c r="AG120" s="79"/>
      <c r="AH120" s="79"/>
      <c r="AI120" s="79"/>
      <c r="AJ120" s="79"/>
      <c r="AK120" s="79"/>
      <c r="AL120" s="79"/>
      <c r="AM120" s="80">
        <v>154688.07930000001</v>
      </c>
      <c r="AN120" s="80">
        <v>664.41600000000005</v>
      </c>
      <c r="AO120" s="80"/>
      <c r="AP120" s="80">
        <v>2.589</v>
      </c>
      <c r="AQ120" s="82">
        <v>2.5779999999999998</v>
      </c>
      <c r="AR120" s="82">
        <f>IF(RD[[#This Row],[POA(kWh/m2)_O2R6]]="",RD[[#This Row],[POA(kWh/m2)_PSEGPL]],(RD[[#This Row],[POA(kWh/m2)_PSEGPL]]*('Basic Data'!$V$2/'Basic Data'!$V$4))+(RD[[#This Row],[POA(kWh/m2)_O2R6]]*('Basic Data'!$V$3/'Basic Data'!$V$4)))</f>
        <v>2.5832114085667213</v>
      </c>
      <c r="AS120" s="82">
        <f>SUM(RD[[#This Row],[G1 Inv1]:[G5 Inv10]])</f>
        <v>25287</v>
      </c>
      <c r="AT120" s="82">
        <f>SUM(RD[[#This Row],[IS1_Inv1_M1]:[IS1_Inv2_M4]])</f>
        <v>23630.3</v>
      </c>
      <c r="AU120" s="82">
        <f>SUM(RD[[#This Row],[IS2_Inv1]:[IS2_Inv2]])</f>
        <v>7399.3</v>
      </c>
      <c r="AV120" s="80"/>
      <c r="AW120" s="83"/>
      <c r="AX120" s="80"/>
      <c r="AY120" s="80"/>
      <c r="AZ120" s="80"/>
      <c r="BA120" s="83">
        <f>IFERROR(SUM(RD[[#This Row],[PSEGPL]:[O2R10]]),"")</f>
        <v>56316.600000000006</v>
      </c>
      <c r="BB120" s="80">
        <v>1606</v>
      </c>
      <c r="BC120" s="83">
        <v>251074</v>
      </c>
      <c r="BD120" s="83">
        <v>1388</v>
      </c>
      <c r="BE120" s="83">
        <v>225221</v>
      </c>
      <c r="BF120" s="83">
        <v>2050</v>
      </c>
      <c r="BG120" s="83">
        <v>260926</v>
      </c>
      <c r="BH120" s="83">
        <v>3324</v>
      </c>
      <c r="BI120" s="83">
        <v>247901</v>
      </c>
      <c r="BJ120" s="101">
        <f>IF((RD[[#This Row],[33 kV F5 Export Reading_Gss End]]-AM119)*1000&lt;0,0,(RD[[#This Row],[33 kV F5 Export Reading_Gss End]]-AM119)*1000)</f>
        <v>56800.600000016857</v>
      </c>
      <c r="BK120" s="83">
        <f>IF((RD[[#This Row],[33 kV F5 Import Reading_GSS End2]]-AN119)*1000&lt;0,0,(RD[[#This Row],[33 kV F5 Import Reading_GSS End2]]-AN119)*1000)</f>
        <v>1012.3000000000957</v>
      </c>
      <c r="BL120" s="84">
        <f>RD[[#This Row],[Export  (kWh)]]-RD[[#This Row],[Import (kWh)]]</f>
        <v>55788.300000016759</v>
      </c>
      <c r="BM120" s="84">
        <f>RD[[#This Row],[Inverters Generation ( kWh)]]-RD[[#This Row],[Export  (kWh)]]</f>
        <v>-484.00000001685112</v>
      </c>
      <c r="BN120">
        <f t="shared" si="21"/>
        <v>25185</v>
      </c>
      <c r="BO120">
        <f t="shared" si="22"/>
        <v>210</v>
      </c>
      <c r="BP120" s="185">
        <f t="shared" si="23"/>
        <v>31890</v>
      </c>
      <c r="BQ120" s="185">
        <f t="shared" si="24"/>
        <v>778.8</v>
      </c>
      <c r="BR120" s="185">
        <f t="shared" si="20"/>
        <v>11.166666666666668</v>
      </c>
      <c r="BT120" s="185">
        <f>RD[[#This Row],[PSEGPL2_Export]]</f>
        <v>31890</v>
      </c>
      <c r="BU120" s="336">
        <f>RD[[#This Row],[O2R10]]+RD[[#This Row],[O2R6]]</f>
        <v>31029.599999999999</v>
      </c>
    </row>
    <row r="121" spans="1:73" ht="15" customHeight="1" x14ac:dyDescent="0.35">
      <c r="A121" s="85">
        <f t="shared" si="17"/>
        <v>45862</v>
      </c>
      <c r="B121" s="80">
        <f>YEAR(RD[[#This Row],[Date]])+IF(MONTH(RD[[#This Row],[Date]])&gt;=4,1,0)</f>
        <v>2026</v>
      </c>
      <c r="C121" s="80">
        <f>YEAR(RD[[#This Row],[Month Year]])</f>
        <v>2025</v>
      </c>
      <c r="D121" s="99" t="s">
        <v>4</v>
      </c>
      <c r="E121" s="99" t="s">
        <v>4</v>
      </c>
      <c r="F121" s="80" t="str">
        <f t="shared" si="19"/>
        <v>Jul-25</v>
      </c>
      <c r="G121" s="79">
        <f>DAY(EOMONTH(RD[[#This Row],[Month Year]],0))</f>
        <v>31</v>
      </c>
      <c r="H121" s="100">
        <v>24.303100000000001</v>
      </c>
      <c r="I121" s="315">
        <v>0.26597222222222222</v>
      </c>
      <c r="J121" s="315">
        <v>0.73611111111111116</v>
      </c>
      <c r="K121" s="79">
        <v>2808</v>
      </c>
      <c r="L121" s="79">
        <v>3164</v>
      </c>
      <c r="M121" s="79">
        <v>2831</v>
      </c>
      <c r="N121" s="179">
        <v>3148</v>
      </c>
      <c r="O121" s="179">
        <v>3233</v>
      </c>
      <c r="P121" s="179">
        <v>2729</v>
      </c>
      <c r="Q121" s="179">
        <v>3260</v>
      </c>
      <c r="R121" s="179">
        <v>2858</v>
      </c>
      <c r="S121" s="179">
        <v>3240</v>
      </c>
      <c r="T121" s="179">
        <v>2823</v>
      </c>
      <c r="U121" s="79">
        <v>3558.8</v>
      </c>
      <c r="V121" s="79">
        <v>3560</v>
      </c>
      <c r="W121" s="79">
        <v>3656.8</v>
      </c>
      <c r="X121" s="79">
        <v>3654.7</v>
      </c>
      <c r="Y121" s="79">
        <v>3658.6</v>
      </c>
      <c r="Z121" s="79">
        <v>3607.4</v>
      </c>
      <c r="AA121" s="79">
        <v>3640.2</v>
      </c>
      <c r="AB121" s="79">
        <v>3615.9</v>
      </c>
      <c r="AC121" s="79">
        <v>4217.3</v>
      </c>
      <c r="AD121" s="79">
        <v>4495.2</v>
      </c>
      <c r="AE121" s="79"/>
      <c r="AF121" s="79"/>
      <c r="AG121" s="79"/>
      <c r="AH121" s="79"/>
      <c r="AI121" s="79"/>
      <c r="AJ121" s="79"/>
      <c r="AK121" s="79"/>
      <c r="AL121" s="79"/>
      <c r="AM121" s="80">
        <v>154756.1495</v>
      </c>
      <c r="AN121" s="80">
        <v>665.62139999999999</v>
      </c>
      <c r="AO121" s="80"/>
      <c r="AP121" s="80">
        <v>3.2890000000000001</v>
      </c>
      <c r="AQ121" s="82">
        <v>3.3119999999999998</v>
      </c>
      <c r="AR121" s="82">
        <f>IF(RD[[#This Row],[POA(kWh/m2)_O2R6]]="",RD[[#This Row],[POA(kWh/m2)_PSEGPL]],(RD[[#This Row],[POA(kWh/m2)_PSEGPL]]*('Basic Data'!$V$2/'Basic Data'!$V$4))+(RD[[#This Row],[POA(kWh/m2)_O2R6]]*('Basic Data'!$V$3/'Basic Data'!$V$4)))</f>
        <v>3.3011034184514001</v>
      </c>
      <c r="AS121" s="82">
        <f>SUM(RD[[#This Row],[G1 Inv1]:[G5 Inv10]])</f>
        <v>30094</v>
      </c>
      <c r="AT121" s="82">
        <f>SUM(RD[[#This Row],[IS1_Inv1_M1]:[IS1_Inv2_M4]])</f>
        <v>28952.400000000001</v>
      </c>
      <c r="AU121" s="82">
        <f>SUM(RD[[#This Row],[IS2_Inv1]:[IS2_Inv2]])</f>
        <v>8712.5</v>
      </c>
      <c r="AV121" s="80"/>
      <c r="AW121" s="83"/>
      <c r="AX121" s="80"/>
      <c r="AY121" s="80"/>
      <c r="AZ121" s="80"/>
      <c r="BA121" s="83">
        <f>IFERROR(SUM(RD[[#This Row],[PSEGPL]:[O2R10]]),"")</f>
        <v>67758.899999999994</v>
      </c>
      <c r="BB121" s="80">
        <v>1609</v>
      </c>
      <c r="BC121" s="83">
        <v>251371</v>
      </c>
      <c r="BD121" s="83">
        <v>1390</v>
      </c>
      <c r="BE121" s="83">
        <v>225490</v>
      </c>
      <c r="BF121" s="83">
        <v>2054</v>
      </c>
      <c r="BG121" s="83">
        <v>261256</v>
      </c>
      <c r="BH121" s="83">
        <v>3333</v>
      </c>
      <c r="BI121" s="83">
        <v>248199</v>
      </c>
      <c r="BJ121" s="101">
        <f>IF((RD[[#This Row],[33 kV F5 Export Reading_Gss End]]-AM120)*1000&lt;0,0,(RD[[#This Row],[33 kV F5 Export Reading_Gss End]]-AM120)*1000)</f>
        <v>68070.199999987381</v>
      </c>
      <c r="BK121" s="83">
        <f>IF((RD[[#This Row],[33 kV F5 Import Reading_GSS End2]]-AN120)*1000&lt;0,0,(RD[[#This Row],[33 kV F5 Import Reading_GSS End2]]-AN120)*1000)</f>
        <v>1205.3999999999405</v>
      </c>
      <c r="BL121" s="84">
        <f>RD[[#This Row],[Export  (kWh)]]-RD[[#This Row],[Import (kWh)]]</f>
        <v>66864.799999987445</v>
      </c>
      <c r="BM121" s="84">
        <f>RD[[#This Row],[Inverters Generation ( kWh)]]-RD[[#This Row],[Export  (kWh)]]</f>
        <v>-311.2999999873864</v>
      </c>
      <c r="BN121">
        <f t="shared" si="21"/>
        <v>29925</v>
      </c>
      <c r="BO121">
        <f t="shared" si="22"/>
        <v>270</v>
      </c>
      <c r="BP121" s="185">
        <f t="shared" si="23"/>
        <v>38640</v>
      </c>
      <c r="BQ121" s="185">
        <f t="shared" si="24"/>
        <v>748.8</v>
      </c>
      <c r="BR121" s="185">
        <f t="shared" si="20"/>
        <v>11.283333333333335</v>
      </c>
      <c r="BT121" s="185">
        <f>RD[[#This Row],[PSEGPL2_Export]]</f>
        <v>38640</v>
      </c>
      <c r="BU121" s="336">
        <f>RD[[#This Row],[O2R10]]+RD[[#This Row],[O2R6]]</f>
        <v>37664.9</v>
      </c>
    </row>
    <row r="122" spans="1:73" ht="15" customHeight="1" x14ac:dyDescent="0.35">
      <c r="A122" s="85">
        <f t="shared" si="17"/>
        <v>45863</v>
      </c>
      <c r="B122" s="80">
        <f>YEAR(RD[[#This Row],[Date]])+IF(MONTH(RD[[#This Row],[Date]])&gt;=4,1,0)</f>
        <v>2026</v>
      </c>
      <c r="C122" s="80">
        <f>YEAR(RD[[#This Row],[Month Year]])</f>
        <v>2025</v>
      </c>
      <c r="D122" s="99" t="s">
        <v>4</v>
      </c>
      <c r="E122" s="99" t="s">
        <v>4</v>
      </c>
      <c r="F122" s="80" t="str">
        <f t="shared" si="19"/>
        <v>Jul-25</v>
      </c>
      <c r="G122" s="79">
        <f>DAY(EOMONTH(RD[[#This Row],[Month Year]],0))</f>
        <v>31</v>
      </c>
      <c r="H122" s="100">
        <v>24.303100000000001</v>
      </c>
      <c r="I122" s="315">
        <v>0.27777777777777779</v>
      </c>
      <c r="J122" s="315">
        <v>0.76041666666666663</v>
      </c>
      <c r="K122" s="79">
        <v>1431</v>
      </c>
      <c r="L122" s="79">
        <v>1633</v>
      </c>
      <c r="M122" s="79">
        <v>1424</v>
      </c>
      <c r="N122" s="179">
        <v>1599</v>
      </c>
      <c r="O122" s="179">
        <v>1647</v>
      </c>
      <c r="P122" s="179">
        <v>1399</v>
      </c>
      <c r="Q122" s="179">
        <v>1627</v>
      </c>
      <c r="R122" s="179">
        <v>1452</v>
      </c>
      <c r="S122" s="179">
        <v>1651</v>
      </c>
      <c r="T122" s="179">
        <v>1455</v>
      </c>
      <c r="U122" s="79">
        <v>1767.4</v>
      </c>
      <c r="V122" s="79">
        <v>1762.9</v>
      </c>
      <c r="W122" s="79">
        <v>1809.6</v>
      </c>
      <c r="X122" s="79">
        <v>1809.6</v>
      </c>
      <c r="Y122" s="79">
        <v>1812.4</v>
      </c>
      <c r="Z122" s="79">
        <v>1785.9</v>
      </c>
      <c r="AA122" s="79">
        <v>1817.6</v>
      </c>
      <c r="AB122" s="79">
        <v>1807.6</v>
      </c>
      <c r="AC122" s="79">
        <v>2099.1999999999998</v>
      </c>
      <c r="AD122" s="79">
        <v>2246.6</v>
      </c>
      <c r="AE122" s="79"/>
      <c r="AF122" s="79"/>
      <c r="AG122" s="79"/>
      <c r="AH122" s="79"/>
      <c r="AI122" s="79"/>
      <c r="AJ122" s="79"/>
      <c r="AK122" s="79"/>
      <c r="AL122" s="79"/>
      <c r="AM122" s="80">
        <v>154790.8377</v>
      </c>
      <c r="AN122" s="80">
        <v>666.02620000000002</v>
      </c>
      <c r="AO122" s="80"/>
      <c r="AP122" s="80">
        <v>1.6120000000000001</v>
      </c>
      <c r="AQ122" s="82">
        <v>1.7230000000000001</v>
      </c>
      <c r="AR122" s="82">
        <f>IF(RD[[#This Row],[POA(kWh/m2)_O2R6]]="",RD[[#This Row],[POA(kWh/m2)_PSEGPL]],(RD[[#This Row],[POA(kWh/m2)_PSEGPL]]*('Basic Data'!$V$2/'Basic Data'!$V$4))+(RD[[#This Row],[POA(kWh/m2)_O2R6]]*('Basic Data'!$V$3/'Basic Data'!$V$4)))</f>
        <v>1.6704121499176277</v>
      </c>
      <c r="AS122" s="82">
        <f>SUM(RD[[#This Row],[G1 Inv1]:[G5 Inv10]])</f>
        <v>15318</v>
      </c>
      <c r="AT122" s="82">
        <f>SUM(RD[[#This Row],[IS1_Inv1_M1]:[IS1_Inv2_M4]])</f>
        <v>14373</v>
      </c>
      <c r="AU122" s="82">
        <f>SUM(RD[[#This Row],[IS2_Inv1]:[IS2_Inv2]])</f>
        <v>4345.7999999999993</v>
      </c>
      <c r="AV122" s="80"/>
      <c r="AW122" s="83"/>
      <c r="AX122" s="80"/>
      <c r="AY122" s="80"/>
      <c r="AZ122" s="80"/>
      <c r="BA122" s="83">
        <f>IFERROR(SUM(RD[[#This Row],[PSEGPL]:[O2R10]]),"")</f>
        <v>34036.800000000003</v>
      </c>
      <c r="BB122" s="80">
        <v>1612</v>
      </c>
      <c r="BC122" s="83">
        <v>251521</v>
      </c>
      <c r="BD122" s="83">
        <v>1392</v>
      </c>
      <c r="BE122" s="83">
        <v>225626</v>
      </c>
      <c r="BF122" s="83">
        <v>2058</v>
      </c>
      <c r="BG122" s="83">
        <v>261425</v>
      </c>
      <c r="BH122" s="83">
        <v>3340</v>
      </c>
      <c r="BI122" s="83">
        <v>248352</v>
      </c>
      <c r="BJ122" s="101">
        <f>IF((RD[[#This Row],[33 kV F5 Export Reading_Gss End]]-AM121)*1000&lt;0,0,(RD[[#This Row],[33 kV F5 Export Reading_Gss End]]-AM121)*1000)</f>
        <v>34688.200000004144</v>
      </c>
      <c r="BK122" s="83">
        <f>IF((RD[[#This Row],[33 kV F5 Import Reading_GSS End2]]-AN121)*1000&lt;0,0,(RD[[#This Row],[33 kV F5 Import Reading_GSS End2]]-AN121)*1000)</f>
        <v>404.80000000002292</v>
      </c>
      <c r="BL122" s="84">
        <f>RD[[#This Row],[Export  (kWh)]]-RD[[#This Row],[Import (kWh)]]</f>
        <v>34283.40000000412</v>
      </c>
      <c r="BM122" s="84">
        <f>RD[[#This Row],[Inverters Generation ( kWh)]]-RD[[#This Row],[Export  (kWh)]]</f>
        <v>-651.40000000414148</v>
      </c>
      <c r="BN122">
        <f t="shared" si="21"/>
        <v>15120</v>
      </c>
      <c r="BO122">
        <f t="shared" si="22"/>
        <v>270</v>
      </c>
      <c r="BP122" s="185">
        <f t="shared" si="23"/>
        <v>19800</v>
      </c>
      <c r="BQ122" s="185">
        <f t="shared" si="24"/>
        <v>688.8</v>
      </c>
      <c r="BR122" s="185">
        <f t="shared" si="20"/>
        <v>11.583333333333332</v>
      </c>
      <c r="BT122" s="185">
        <f>RD[[#This Row],[PSEGPL2_Export]]</f>
        <v>19800</v>
      </c>
      <c r="BU122" s="336">
        <f>RD[[#This Row],[O2R10]]+RD[[#This Row],[O2R6]]</f>
        <v>18718.8</v>
      </c>
    </row>
    <row r="123" spans="1:73" ht="15" customHeight="1" x14ac:dyDescent="0.35">
      <c r="A123" s="85">
        <f t="shared" si="17"/>
        <v>45864</v>
      </c>
      <c r="B123" s="80">
        <f>YEAR(RD[[#This Row],[Date]])+IF(MONTH(RD[[#This Row],[Date]])&gt;=4,1,0)</f>
        <v>2026</v>
      </c>
      <c r="C123" s="80">
        <f>YEAR(RD[[#This Row],[Month Year]])</f>
        <v>2025</v>
      </c>
      <c r="D123" s="99" t="s">
        <v>4</v>
      </c>
      <c r="E123" s="99" t="s">
        <v>4</v>
      </c>
      <c r="F123" s="80" t="str">
        <f t="shared" si="19"/>
        <v>Jul-25</v>
      </c>
      <c r="G123" s="79">
        <f>DAY(EOMONTH(RD[[#This Row],[Month Year]],0))</f>
        <v>31</v>
      </c>
      <c r="H123" s="100">
        <v>24.303100000000001</v>
      </c>
      <c r="I123" s="315">
        <v>0.28958333333333336</v>
      </c>
      <c r="J123" s="315">
        <v>0.7680555555555556</v>
      </c>
      <c r="K123" s="79">
        <v>1020</v>
      </c>
      <c r="L123" s="79">
        <v>1157</v>
      </c>
      <c r="M123" s="79">
        <v>1009</v>
      </c>
      <c r="N123" s="179">
        <v>1138</v>
      </c>
      <c r="O123" s="179">
        <v>300</v>
      </c>
      <c r="P123" s="179">
        <v>300</v>
      </c>
      <c r="Q123" s="179">
        <v>1393</v>
      </c>
      <c r="R123" s="179">
        <v>1251</v>
      </c>
      <c r="S123" s="179">
        <v>1395</v>
      </c>
      <c r="T123" s="179">
        <v>1222</v>
      </c>
      <c r="U123" s="79">
        <v>1515.3</v>
      </c>
      <c r="V123" s="79">
        <v>1516.8</v>
      </c>
      <c r="W123" s="79">
        <v>1565.3</v>
      </c>
      <c r="X123" s="79">
        <v>1565.9</v>
      </c>
      <c r="Y123" s="79">
        <v>1565.9</v>
      </c>
      <c r="Z123" s="79">
        <v>1536.5</v>
      </c>
      <c r="AA123" s="79">
        <v>1559.8</v>
      </c>
      <c r="AB123" s="79">
        <v>1552.5</v>
      </c>
      <c r="AC123" s="79">
        <v>1870.5</v>
      </c>
      <c r="AD123" s="79">
        <v>2024.6</v>
      </c>
      <c r="AE123" s="79"/>
      <c r="AF123" s="79"/>
      <c r="AG123" s="79"/>
      <c r="AH123" s="79"/>
      <c r="AI123" s="79"/>
      <c r="AJ123" s="79"/>
      <c r="AK123" s="79"/>
      <c r="AL123" s="79"/>
      <c r="AM123" s="80">
        <v>154817.9731</v>
      </c>
      <c r="AN123" s="80">
        <v>666.3691</v>
      </c>
      <c r="AO123" s="80"/>
      <c r="AP123" s="80">
        <v>1.395</v>
      </c>
      <c r="AQ123" s="82">
        <v>1.3759999999999999</v>
      </c>
      <c r="AR123" s="82">
        <f>IF(RD[[#This Row],[POA(kWh/m2)_O2R6]]="",RD[[#This Row],[POA(kWh/m2)_PSEGPL]],(RD[[#This Row],[POA(kWh/m2)_PSEGPL]]*('Basic Data'!$V$2/'Basic Data'!$V$4))+(RD[[#This Row],[POA(kWh/m2)_O2R6]]*('Basic Data'!$V$3/'Basic Data'!$V$4)))</f>
        <v>1.3850015238879734</v>
      </c>
      <c r="AS123" s="82">
        <f>SUM(RD[[#This Row],[G1 Inv1]:[G5 Inv10]])</f>
        <v>10185</v>
      </c>
      <c r="AT123" s="82">
        <f>SUM(RD[[#This Row],[IS1_Inv1_M1]:[IS1_Inv2_M4]])</f>
        <v>12377.999999999998</v>
      </c>
      <c r="AU123" s="82">
        <f>SUM(RD[[#This Row],[IS2_Inv1]:[IS2_Inv2]])</f>
        <v>3895.1</v>
      </c>
      <c r="AV123" s="80"/>
      <c r="AW123" s="83"/>
      <c r="AX123" s="80"/>
      <c r="AY123" s="80"/>
      <c r="AZ123" s="80"/>
      <c r="BA123" s="83">
        <f>IFERROR(SUM(RD[[#This Row],[PSEGPL]:[O2R10]]),"")</f>
        <v>26458.1</v>
      </c>
      <c r="BB123" s="80">
        <v>1613</v>
      </c>
      <c r="BC123" s="83">
        <v>251602</v>
      </c>
      <c r="BD123" s="83">
        <v>1393</v>
      </c>
      <c r="BE123" s="83">
        <v>225741</v>
      </c>
      <c r="BF123" s="83">
        <v>2059</v>
      </c>
      <c r="BG123" s="83">
        <v>261572</v>
      </c>
      <c r="BH123" s="83">
        <v>3345</v>
      </c>
      <c r="BI123" s="83">
        <v>248487</v>
      </c>
      <c r="BJ123" s="101">
        <f>IF((RD[[#This Row],[33 kV F5 Export Reading_Gss End]]-AM122)*1000&lt;0,0,(RD[[#This Row],[33 kV F5 Export Reading_Gss End]]-AM122)*1000)</f>
        <v>27135.399999999208</v>
      </c>
      <c r="BK123" s="83">
        <f>IF((RD[[#This Row],[33 kV F5 Import Reading_GSS End2]]-AN122)*1000&lt;0,0,(RD[[#This Row],[33 kV F5 Import Reading_GSS End2]]-AN122)*1000)</f>
        <v>342.89999999998599</v>
      </c>
      <c r="BL123" s="84">
        <f>RD[[#This Row],[Export  (kWh)]]-RD[[#This Row],[Import (kWh)]]</f>
        <v>26792.499999999221</v>
      </c>
      <c r="BM123" s="84">
        <f>RD[[#This Row],[Inverters Generation ( kWh)]]-RD[[#This Row],[Export  (kWh)]]</f>
        <v>-677.29999999920983</v>
      </c>
      <c r="BN123">
        <f t="shared" si="21"/>
        <v>10035</v>
      </c>
      <c r="BO123">
        <f t="shared" si="22"/>
        <v>105</v>
      </c>
      <c r="BP123" s="185">
        <f t="shared" si="23"/>
        <v>17280</v>
      </c>
      <c r="BQ123" s="185">
        <f t="shared" si="24"/>
        <v>269.7</v>
      </c>
      <c r="BR123" s="185">
        <f t="shared" si="20"/>
        <v>11.483333333333334</v>
      </c>
      <c r="BT123" s="185">
        <f>RD[[#This Row],[PSEGPL2_Export]]</f>
        <v>17280</v>
      </c>
      <c r="BU123" s="336">
        <f>RD[[#This Row],[O2R10]]+RD[[#This Row],[O2R6]]</f>
        <v>16273.099999999999</v>
      </c>
    </row>
    <row r="124" spans="1:73" ht="15" customHeight="1" x14ac:dyDescent="0.35">
      <c r="A124" s="85">
        <f t="shared" si="17"/>
        <v>45865</v>
      </c>
      <c r="B124" s="80">
        <f>YEAR(RD[[#This Row],[Date]])+IF(MONTH(RD[[#This Row],[Date]])&gt;=4,1,0)</f>
        <v>2026</v>
      </c>
      <c r="C124" s="80">
        <f>YEAR(RD[[#This Row],[Month Year]])</f>
        <v>2025</v>
      </c>
      <c r="D124" s="99" t="s">
        <v>4</v>
      </c>
      <c r="E124" s="99" t="s">
        <v>4</v>
      </c>
      <c r="F124" s="80" t="str">
        <f t="shared" si="19"/>
        <v>Jul-25</v>
      </c>
      <c r="G124" s="79">
        <f>DAY(EOMONTH(RD[[#This Row],[Month Year]],0))</f>
        <v>31</v>
      </c>
      <c r="H124" s="100">
        <v>24.303100000000001</v>
      </c>
      <c r="I124" s="315">
        <v>0.27638888888888891</v>
      </c>
      <c r="J124" s="315">
        <v>0.78055555555555556</v>
      </c>
      <c r="K124" s="79">
        <v>2585</v>
      </c>
      <c r="L124" s="79">
        <v>1385</v>
      </c>
      <c r="M124" s="79">
        <v>2586</v>
      </c>
      <c r="N124" s="179">
        <v>2932</v>
      </c>
      <c r="O124" s="179">
        <v>308</v>
      </c>
      <c r="P124" s="179">
        <v>262</v>
      </c>
      <c r="Q124" s="179">
        <v>3008</v>
      </c>
      <c r="R124" s="179">
        <v>2606</v>
      </c>
      <c r="S124" s="179">
        <v>3011</v>
      </c>
      <c r="T124" s="179">
        <v>2645</v>
      </c>
      <c r="U124" s="79">
        <v>3235.4</v>
      </c>
      <c r="V124" s="79">
        <v>3241.9</v>
      </c>
      <c r="W124" s="79">
        <v>3343.7</v>
      </c>
      <c r="X124" s="79">
        <v>3348.9</v>
      </c>
      <c r="Y124" s="79">
        <v>3337.5</v>
      </c>
      <c r="Z124" s="79">
        <v>3275.2</v>
      </c>
      <c r="AA124" s="79">
        <v>3308.3</v>
      </c>
      <c r="AB124" s="79">
        <v>3291.2</v>
      </c>
      <c r="AC124" s="79">
        <v>3662</v>
      </c>
      <c r="AD124" s="79">
        <v>4260.6000000000004</v>
      </c>
      <c r="AE124" s="79"/>
      <c r="AF124" s="79"/>
      <c r="AG124" s="79"/>
      <c r="AH124" s="79"/>
      <c r="AI124" s="79"/>
      <c r="AJ124" s="79"/>
      <c r="AK124" s="79"/>
      <c r="AL124" s="79"/>
      <c r="AM124" s="80">
        <v>154874.2818</v>
      </c>
      <c r="AN124" s="80">
        <v>667.16089999999997</v>
      </c>
      <c r="AO124" s="80"/>
      <c r="AP124" s="80">
        <v>3.1040000000000001</v>
      </c>
      <c r="AQ124" s="82">
        <v>3.234</v>
      </c>
      <c r="AR124" s="82">
        <f>IF(RD[[#This Row],[POA(kWh/m2)_O2R6]]="",RD[[#This Row],[POA(kWh/m2)_PSEGPL]],(RD[[#This Row],[POA(kWh/m2)_PSEGPL]]*('Basic Data'!$V$2/'Basic Data'!$V$4))+(RD[[#This Row],[POA(kWh/m2)_O2R6]]*('Basic Data'!$V$3/'Basic Data'!$V$4)))</f>
        <v>3.1724106260296541</v>
      </c>
      <c r="AS124" s="82">
        <f>SUM(RD[[#This Row],[G1 Inv1]:[G5 Inv10]])</f>
        <v>21328</v>
      </c>
      <c r="AT124" s="82">
        <f>SUM(RD[[#This Row],[IS1_Inv1_M1]:[IS1_Inv2_M4]])</f>
        <v>26382.100000000002</v>
      </c>
      <c r="AU124" s="82">
        <f>SUM(RD[[#This Row],[IS2_Inv1]:[IS2_Inv2]])</f>
        <v>7922.6</v>
      </c>
      <c r="AV124" s="80"/>
      <c r="AW124" s="83"/>
      <c r="AX124" s="80"/>
      <c r="AY124" s="80"/>
      <c r="AZ124" s="80"/>
      <c r="BA124" s="83">
        <f>IFERROR(SUM(RD[[#This Row],[PSEGPL]:[O2R10]]),"")</f>
        <v>55632.700000000004</v>
      </c>
      <c r="BB124" s="80">
        <v>1615</v>
      </c>
      <c r="BC124" s="83">
        <v>252026</v>
      </c>
      <c r="BD124" s="83">
        <v>1395</v>
      </c>
      <c r="BE124" s="83">
        <v>225989</v>
      </c>
      <c r="BF124" s="83">
        <v>2063</v>
      </c>
      <c r="BG124" s="83">
        <v>261874</v>
      </c>
      <c r="BH124" s="83">
        <v>3356</v>
      </c>
      <c r="BI124" s="83">
        <v>248768</v>
      </c>
      <c r="BJ124" s="101">
        <f>IF((RD[[#This Row],[33 kV F5 Export Reading_Gss End]]-AM123)*1000&lt;0,0,(RD[[#This Row],[33 kV F5 Export Reading_Gss End]]-AM123)*1000)</f>
        <v>56308.699999994133</v>
      </c>
      <c r="BK124" s="83">
        <f>IF((RD[[#This Row],[33 kV F5 Import Reading_GSS End2]]-AN123)*1000&lt;0,0,(RD[[#This Row],[33 kV F5 Import Reading_GSS End2]]-AN123)*1000)</f>
        <v>791.79999999996653</v>
      </c>
      <c r="BL124" s="84">
        <f>RD[[#This Row],[Export  (kWh)]]-RD[[#This Row],[Import (kWh)]]</f>
        <v>55516.899999994166</v>
      </c>
      <c r="BM124" s="84">
        <f>RD[[#This Row],[Inverters Generation ( kWh)]]-RD[[#This Row],[Export  (kWh)]]</f>
        <v>-675.9999999941283</v>
      </c>
      <c r="BN124">
        <f t="shared" si="21"/>
        <v>36600</v>
      </c>
      <c r="BO124">
        <f t="shared" si="22"/>
        <v>210</v>
      </c>
      <c r="BP124" s="185">
        <f t="shared" si="23"/>
        <v>35610</v>
      </c>
      <c r="BQ124" s="185">
        <f t="shared" si="24"/>
        <v>808.8</v>
      </c>
      <c r="BR124" s="185">
        <f t="shared" si="20"/>
        <v>12.1</v>
      </c>
      <c r="BT124" s="185">
        <f>RD[[#This Row],[PSEGPL2_Export]]</f>
        <v>35610</v>
      </c>
      <c r="BU124" s="336">
        <f>RD[[#This Row],[O2R10]]+RD[[#This Row],[O2R6]]</f>
        <v>34304.700000000004</v>
      </c>
    </row>
    <row r="125" spans="1:73" ht="15" customHeight="1" x14ac:dyDescent="0.35">
      <c r="A125" s="85">
        <f t="shared" si="17"/>
        <v>45866</v>
      </c>
      <c r="B125" s="80">
        <f>YEAR(RD[[#This Row],[Date]])+IF(MONTH(RD[[#This Row],[Date]])&gt;=4,1,0)</f>
        <v>2026</v>
      </c>
      <c r="C125" s="80">
        <f>YEAR(RD[[#This Row],[Month Year]])</f>
        <v>2025</v>
      </c>
      <c r="D125" s="99" t="s">
        <v>4</v>
      </c>
      <c r="E125" s="99" t="s">
        <v>4</v>
      </c>
      <c r="F125" s="80" t="str">
        <f t="shared" si="19"/>
        <v>Jul-25</v>
      </c>
      <c r="G125" s="79">
        <f>DAY(EOMONTH(RD[[#This Row],[Month Year]],0))</f>
        <v>31</v>
      </c>
      <c r="H125" s="100">
        <v>24.303100000000001</v>
      </c>
      <c r="I125" s="315">
        <v>0.2638888888888889</v>
      </c>
      <c r="J125" s="315">
        <v>0.7680555555555556</v>
      </c>
      <c r="K125" s="79">
        <v>3877</v>
      </c>
      <c r="L125" s="79">
        <v>4342</v>
      </c>
      <c r="M125" s="79">
        <v>3864</v>
      </c>
      <c r="N125" s="179">
        <v>4405</v>
      </c>
      <c r="O125" s="179">
        <v>4501</v>
      </c>
      <c r="P125" s="179">
        <v>3800</v>
      </c>
      <c r="Q125" s="179">
        <v>4483</v>
      </c>
      <c r="R125" s="179">
        <v>3932</v>
      </c>
      <c r="S125" s="179">
        <v>4330</v>
      </c>
      <c r="T125" s="179">
        <v>3935</v>
      </c>
      <c r="U125" s="79">
        <v>4886.2</v>
      </c>
      <c r="V125" s="79">
        <v>4867</v>
      </c>
      <c r="W125" s="79">
        <v>5008</v>
      </c>
      <c r="X125" s="79">
        <v>4997</v>
      </c>
      <c r="Y125" s="79">
        <v>4993.2</v>
      </c>
      <c r="Z125" s="79">
        <v>4949.1000000000004</v>
      </c>
      <c r="AA125" s="79">
        <v>5008.3999999999996</v>
      </c>
      <c r="AB125" s="79">
        <v>5007.6000000000004</v>
      </c>
      <c r="AC125" s="79">
        <v>5801</v>
      </c>
      <c r="AD125" s="79">
        <v>6141.8</v>
      </c>
      <c r="AE125" s="79"/>
      <c r="AF125" s="79"/>
      <c r="AG125" s="79"/>
      <c r="AH125" s="79"/>
      <c r="AI125" s="79"/>
      <c r="AJ125" s="79"/>
      <c r="AK125" s="79"/>
      <c r="AL125" s="79"/>
      <c r="AM125" s="80">
        <v>154967.15520000001</v>
      </c>
      <c r="AN125" s="80">
        <v>668.02329999999995</v>
      </c>
      <c r="AO125" s="80"/>
      <c r="AP125" s="80">
        <v>4.694</v>
      </c>
      <c r="AQ125" s="82">
        <v>4.2539999999999996</v>
      </c>
      <c r="AR125" s="82">
        <f>IF(RD[[#This Row],[POA(kWh/m2)_O2R6]]="",RD[[#This Row],[POA(kWh/m2)_PSEGPL]],(RD[[#This Row],[POA(kWh/m2)_PSEGPL]]*('Basic Data'!$V$2/'Basic Data'!$V$4))+(RD[[#This Row],[POA(kWh/m2)_O2R6]]*('Basic Data'!$V$3/'Basic Data'!$V$4)))</f>
        <v>4.4624563426688626</v>
      </c>
      <c r="AS125" s="82">
        <f>SUM(RD[[#This Row],[G1 Inv1]:[G5 Inv10]])</f>
        <v>41469</v>
      </c>
      <c r="AT125" s="82">
        <f>SUM(RD[[#This Row],[IS1_Inv1_M1]:[IS1_Inv2_M4]])</f>
        <v>39716.5</v>
      </c>
      <c r="AU125" s="82">
        <f>SUM(RD[[#This Row],[IS2_Inv1]:[IS2_Inv2]])</f>
        <v>11942.8</v>
      </c>
      <c r="AV125" s="80"/>
      <c r="AW125" s="83"/>
      <c r="AX125" s="80"/>
      <c r="AY125" s="80"/>
      <c r="AZ125" s="80"/>
      <c r="BA125" s="83">
        <f>IFERROR(SUM(RD[[#This Row],[PSEGPL]:[O2R10]]),"")</f>
        <v>93128.3</v>
      </c>
      <c r="BB125" s="80">
        <v>1617</v>
      </c>
      <c r="BC125" s="83">
        <v>252118</v>
      </c>
      <c r="BD125" s="83">
        <v>1397</v>
      </c>
      <c r="BE125" s="83">
        <v>226357</v>
      </c>
      <c r="BF125" s="83">
        <v>2067</v>
      </c>
      <c r="BG125" s="83">
        <v>262321</v>
      </c>
      <c r="BH125" s="83">
        <v>3363</v>
      </c>
      <c r="BI125" s="83">
        <v>249172</v>
      </c>
      <c r="BJ125" s="101">
        <f>IF((RD[[#This Row],[33 kV F5 Export Reading_Gss End]]-AM124)*1000&lt;0,0,(RD[[#This Row],[33 kV F5 Export Reading_Gss End]]-AM124)*1000)</f>
        <v>92873.400000011316</v>
      </c>
      <c r="BK125" s="83">
        <f>IF((RD[[#This Row],[33 kV F5 Import Reading_GSS End2]]-AN124)*1000&lt;0,0,(RD[[#This Row],[33 kV F5 Import Reading_GSS End2]]-AN124)*1000)</f>
        <v>862.39999999997963</v>
      </c>
      <c r="BL125" s="84">
        <f>RD[[#This Row],[Export  (kWh)]]-RD[[#This Row],[Import (kWh)]]</f>
        <v>92011.000000011336</v>
      </c>
      <c r="BM125" s="84">
        <f>RD[[#This Row],[Inverters Generation ( kWh)]]-RD[[#This Row],[Export  (kWh)]]</f>
        <v>254.89999998868734</v>
      </c>
      <c r="BN125">
        <f t="shared" si="21"/>
        <v>22080</v>
      </c>
      <c r="BO125">
        <f t="shared" si="22"/>
        <v>210</v>
      </c>
      <c r="BP125" s="185">
        <f t="shared" si="23"/>
        <v>52350</v>
      </c>
      <c r="BQ125" s="185">
        <f t="shared" si="24"/>
        <v>688.8</v>
      </c>
      <c r="BR125" s="185">
        <f t="shared" si="20"/>
        <v>12.1</v>
      </c>
      <c r="BT125" s="185">
        <f>RD[[#This Row],[PSEGPL2_Export]]</f>
        <v>52350</v>
      </c>
      <c r="BU125" s="336">
        <f>RD[[#This Row],[O2R10]]+RD[[#This Row],[O2R6]]</f>
        <v>51659.3</v>
      </c>
    </row>
    <row r="126" spans="1:73" ht="15" customHeight="1" x14ac:dyDescent="0.35">
      <c r="A126" s="85">
        <f t="shared" si="17"/>
        <v>45867</v>
      </c>
      <c r="B126" s="80">
        <f>YEAR(RD[[#This Row],[Date]])+IF(MONTH(RD[[#This Row],[Date]])&gt;=4,1,0)</f>
        <v>2026</v>
      </c>
      <c r="C126" s="80">
        <f>YEAR(RD[[#This Row],[Month Year]])</f>
        <v>2025</v>
      </c>
      <c r="D126" s="99" t="s">
        <v>4</v>
      </c>
      <c r="E126" s="99" t="s">
        <v>4</v>
      </c>
      <c r="F126" s="80" t="str">
        <f t="shared" si="19"/>
        <v>Jul-25</v>
      </c>
      <c r="G126" s="79">
        <f>DAY(EOMONTH(RD[[#This Row],[Month Year]],0))</f>
        <v>31</v>
      </c>
      <c r="H126" s="100">
        <v>24.303100000000001</v>
      </c>
      <c r="I126" s="315">
        <v>0.27569444444444446</v>
      </c>
      <c r="J126" s="315">
        <v>0.76736111111111116</v>
      </c>
      <c r="K126" s="79">
        <v>2208</v>
      </c>
      <c r="L126" s="79">
        <v>2498</v>
      </c>
      <c r="M126" s="79">
        <v>2255</v>
      </c>
      <c r="N126" s="179">
        <v>2568</v>
      </c>
      <c r="O126" s="79">
        <v>2604</v>
      </c>
      <c r="P126" s="179">
        <v>2216</v>
      </c>
      <c r="Q126" s="179">
        <v>2576</v>
      </c>
      <c r="R126" s="179">
        <v>2276</v>
      </c>
      <c r="S126" s="179">
        <v>2540</v>
      </c>
      <c r="T126" s="179">
        <v>2257</v>
      </c>
      <c r="U126" s="79">
        <v>2874</v>
      </c>
      <c r="V126" s="79">
        <v>2872.9</v>
      </c>
      <c r="W126" s="79">
        <v>2957.6</v>
      </c>
      <c r="X126" s="79">
        <v>2956.7</v>
      </c>
      <c r="Y126" s="79">
        <v>2953.8</v>
      </c>
      <c r="Z126" s="79">
        <v>2908.2</v>
      </c>
      <c r="AA126" s="79">
        <v>2939.7</v>
      </c>
      <c r="AB126" s="79">
        <v>2930.7</v>
      </c>
      <c r="AC126" s="79">
        <v>3454.6</v>
      </c>
      <c r="AD126" s="79">
        <v>3700.5</v>
      </c>
      <c r="AE126" s="79"/>
      <c r="AF126" s="79"/>
      <c r="AG126" s="79"/>
      <c r="AH126" s="79"/>
      <c r="AI126" s="79"/>
      <c r="AJ126" s="79"/>
      <c r="AK126" s="79"/>
      <c r="AL126" s="79"/>
      <c r="AM126" s="80">
        <v>155022.1746</v>
      </c>
      <c r="AN126" s="80">
        <v>669.11659999999995</v>
      </c>
      <c r="AO126" s="80"/>
      <c r="AP126" s="80">
        <v>2.64</v>
      </c>
      <c r="AQ126" s="82">
        <v>2.78</v>
      </c>
      <c r="AR126" s="82">
        <f>IF(RD[[#This Row],[POA(kWh/m2)_O2R6]]="",RD[[#This Row],[POA(kWh/m2)_PSEGPL]],(RD[[#This Row],[POA(kWh/m2)_PSEGPL]]*('Basic Data'!$V$2/'Basic Data'!$V$4))+(RD[[#This Row],[POA(kWh/m2)_O2R6]]*('Basic Data'!$V$3/'Basic Data'!$V$4)))</f>
        <v>2.7136729818780889</v>
      </c>
      <c r="AS126" s="82">
        <f>SUM(RD[[#This Row],[G1 Inv1]:[G5 Inv10]])</f>
        <v>23998</v>
      </c>
      <c r="AT126" s="82">
        <f>SUM(RD[[#This Row],[IS1_Inv1_M1]:[IS1_Inv2_M4]])</f>
        <v>23393.600000000002</v>
      </c>
      <c r="AU126" s="82">
        <f>SUM(RD[[#This Row],[IS2_Inv1]:[IS2_Inv2]])</f>
        <v>7155.1</v>
      </c>
      <c r="AV126" s="80"/>
      <c r="AW126" s="83"/>
      <c r="AX126" s="80"/>
      <c r="AY126" s="80"/>
      <c r="AZ126" s="80"/>
      <c r="BA126" s="83">
        <f>IFERROR(SUM(RD[[#This Row],[PSEGPL]:[O2R10]]),"")</f>
        <v>54546.700000000004</v>
      </c>
      <c r="BB126" s="80">
        <v>1620</v>
      </c>
      <c r="BC126" s="83">
        <v>252419</v>
      </c>
      <c r="BD126" s="83">
        <v>1400</v>
      </c>
      <c r="BE126" s="83">
        <v>226569</v>
      </c>
      <c r="BF126" s="83">
        <v>2072</v>
      </c>
      <c r="BG126" s="83">
        <v>262590</v>
      </c>
      <c r="BH126" s="83">
        <v>3372</v>
      </c>
      <c r="BI126" s="83">
        <v>249417</v>
      </c>
      <c r="BJ126" s="101">
        <f>IF((RD[[#This Row],[33 kV F5 Export Reading_Gss End]]-AM125)*1000&lt;0,0,(RD[[#This Row],[33 kV F5 Export Reading_Gss End]]-AM125)*1000)</f>
        <v>55019.399999990128</v>
      </c>
      <c r="BK126" s="83">
        <f>IF((RD[[#This Row],[33 kV F5 Import Reading_GSS End2]]-AN125)*1000&lt;0,0,(RD[[#This Row],[33 kV F5 Import Reading_GSS End2]]-AN125)*1000)</f>
        <v>1093.2999999999993</v>
      </c>
      <c r="BL126" s="84">
        <f>RD[[#This Row],[Export  (kWh)]]-RD[[#This Row],[Import (kWh)]]</f>
        <v>53926.099999990125</v>
      </c>
      <c r="BM126" s="84">
        <f>RD[[#This Row],[Inverters Generation ( kWh)]]-RD[[#This Row],[Export  (kWh)]]</f>
        <v>-472.69999999012362</v>
      </c>
      <c r="BN126">
        <f t="shared" si="21"/>
        <v>27600</v>
      </c>
      <c r="BO126">
        <f t="shared" si="22"/>
        <v>315</v>
      </c>
      <c r="BP126" s="185">
        <f t="shared" ref="BP126:BP128" si="25">IF(AND(BG126="",BI126=""),"",(((BG126-BG125)*MF_Cap_O2RE6)+((BI126-BI125)*MF_Cap_O2RE10)))</f>
        <v>31560</v>
      </c>
      <c r="BQ126" s="185">
        <f t="shared" ref="BQ126:BQ128" si="26">IF(AND(BF126="",BH126=""),"",((((BF126-BF125)*MF_Cap_O2RE6)*1.33)+((BH126-BH125)*MF_Cap_O2RE10)))</f>
        <v>868.5</v>
      </c>
      <c r="BR126" s="185">
        <f t="shared" si="20"/>
        <v>11.8</v>
      </c>
      <c r="BT126" s="185">
        <f>RD[[#This Row],[PSEGPL2_Export]]</f>
        <v>31560</v>
      </c>
      <c r="BU126" s="336">
        <f>RD[[#This Row],[O2R10]]+RD[[#This Row],[O2R6]]</f>
        <v>30548.700000000004</v>
      </c>
    </row>
    <row r="127" spans="1:73" ht="15" customHeight="1" x14ac:dyDescent="0.35">
      <c r="A127" s="85">
        <f t="shared" si="17"/>
        <v>45868</v>
      </c>
      <c r="B127" s="80">
        <f>YEAR(RD[[#This Row],[Date]])+IF(MONTH(RD[[#This Row],[Date]])&gt;=4,1,0)</f>
        <v>2026</v>
      </c>
      <c r="C127" s="80">
        <f>YEAR(RD[[#This Row],[Month Year]])</f>
        <v>2025</v>
      </c>
      <c r="D127" s="99" t="s">
        <v>4</v>
      </c>
      <c r="E127" s="99" t="s">
        <v>4</v>
      </c>
      <c r="F127" s="80" t="str">
        <f t="shared" si="19"/>
        <v>Jul-25</v>
      </c>
      <c r="G127" s="79">
        <f>DAY(EOMONTH(RD[[#This Row],[Month Year]],0))</f>
        <v>31</v>
      </c>
      <c r="H127" s="100">
        <v>24.303100000000001</v>
      </c>
      <c r="I127" s="315">
        <v>0.28055555555555556</v>
      </c>
      <c r="J127" s="315">
        <v>0.7729166666666667</v>
      </c>
      <c r="K127" s="79">
        <v>2369</v>
      </c>
      <c r="L127" s="79">
        <v>2651</v>
      </c>
      <c r="M127" s="79">
        <v>2368</v>
      </c>
      <c r="N127" s="179">
        <v>2702</v>
      </c>
      <c r="O127" s="179">
        <v>2782</v>
      </c>
      <c r="P127" s="179">
        <v>2306</v>
      </c>
      <c r="Q127" s="179">
        <v>2731</v>
      </c>
      <c r="R127" s="179">
        <v>2426</v>
      </c>
      <c r="S127" s="179">
        <v>2669</v>
      </c>
      <c r="T127" s="179">
        <v>2363</v>
      </c>
      <c r="U127" s="79">
        <v>3068</v>
      </c>
      <c r="V127" s="79">
        <v>3068.7</v>
      </c>
      <c r="W127" s="79">
        <v>3153.6</v>
      </c>
      <c r="X127" s="79">
        <v>3153.4</v>
      </c>
      <c r="Y127" s="79">
        <v>3146.9</v>
      </c>
      <c r="Z127" s="79">
        <v>3097.7</v>
      </c>
      <c r="AA127" s="79">
        <v>3131.6</v>
      </c>
      <c r="AB127" s="79">
        <v>3119.8</v>
      </c>
      <c r="AC127" s="79">
        <v>3627.5</v>
      </c>
      <c r="AD127" s="79">
        <v>3895.8</v>
      </c>
      <c r="AE127" s="79"/>
      <c r="AF127" s="79"/>
      <c r="AG127" s="79"/>
      <c r="AH127" s="79"/>
      <c r="AI127" s="79"/>
      <c r="AJ127" s="79"/>
      <c r="AK127" s="79"/>
      <c r="AL127" s="79"/>
      <c r="AM127" s="80">
        <v>155080.44</v>
      </c>
      <c r="AN127" s="80">
        <v>669.84</v>
      </c>
      <c r="AO127" s="80"/>
      <c r="AP127" s="80">
        <v>2.8650000000000002</v>
      </c>
      <c r="AQ127" s="82">
        <v>2.9</v>
      </c>
      <c r="AR127" s="82">
        <f>IF(RD[[#This Row],[POA(kWh/m2)_O2R6]]="",RD[[#This Row],[POA(kWh/m2)_PSEGPL]],(RD[[#This Row],[POA(kWh/m2)_PSEGPL]]*('Basic Data'!$V$2/'Basic Data'!$V$4))+(RD[[#This Row],[POA(kWh/m2)_O2R6]]*('Basic Data'!$V$3/'Basic Data'!$V$4)))</f>
        <v>2.8834182454695219</v>
      </c>
      <c r="AS127" s="82">
        <f>SUM(RD[[#This Row],[G1 Inv1]:[G5 Inv10]])</f>
        <v>25367</v>
      </c>
      <c r="AT127" s="82">
        <f>SUM(RD[[#This Row],[IS1_Inv1_M1]:[IS1_Inv2_M4]])</f>
        <v>24939.699999999997</v>
      </c>
      <c r="AU127" s="82">
        <f>SUM(RD[[#This Row],[IS2_Inv1]:[IS2_Inv2]])</f>
        <v>7523.3</v>
      </c>
      <c r="AV127" s="80"/>
      <c r="AW127" s="83"/>
      <c r="AX127" s="80"/>
      <c r="AY127" s="80"/>
      <c r="AZ127" s="80"/>
      <c r="BA127" s="83">
        <f>IFERROR(SUM(RD[[#This Row],[PSEGPL]:[O2R10]]),"")</f>
        <v>57830</v>
      </c>
      <c r="BB127" s="80">
        <v>1622</v>
      </c>
      <c r="BC127" s="83">
        <v>252671</v>
      </c>
      <c r="BD127" s="83">
        <v>1402</v>
      </c>
      <c r="BE127" s="83">
        <v>226794</v>
      </c>
      <c r="BF127" s="83">
        <v>2076</v>
      </c>
      <c r="BG127" s="83">
        <v>262875</v>
      </c>
      <c r="BH127" s="83">
        <v>3382</v>
      </c>
      <c r="BI127" s="83">
        <v>249675</v>
      </c>
      <c r="BJ127" s="101">
        <f>IF((RD[[#This Row],[33 kV F5 Export Reading_Gss End]]-AM126)*1000&lt;0,0,(RD[[#This Row],[33 kV F5 Export Reading_Gss End]]-AM126)*1000)</f>
        <v>58265.400000003865</v>
      </c>
      <c r="BK127" s="83">
        <f>IF((RD[[#This Row],[33 kV F5 Import Reading_GSS End2]]-AN126)*1000&lt;0,0,(RD[[#This Row],[33 kV F5 Import Reading_GSS End2]]-AN126)*1000)</f>
        <v>723.40000000008331</v>
      </c>
      <c r="BL127" s="84">
        <f>RD[[#This Row],[Export  (kWh)]]-RD[[#This Row],[Import (kWh)]]</f>
        <v>57542.000000003783</v>
      </c>
      <c r="BM127" s="84">
        <f>RD[[#This Row],[Inverters Generation ( kWh)]]-RD[[#This Row],[Export  (kWh)]]</f>
        <v>-435.40000000386499</v>
      </c>
      <c r="BN127">
        <f t="shared" si="21"/>
        <v>25245</v>
      </c>
      <c r="BO127">
        <f t="shared" si="22"/>
        <v>210</v>
      </c>
      <c r="BP127" s="185">
        <f t="shared" si="25"/>
        <v>33390</v>
      </c>
      <c r="BQ127" s="185">
        <f t="shared" si="26"/>
        <v>778.8</v>
      </c>
      <c r="BR127" s="185">
        <f t="shared" si="20"/>
        <v>11.816666666666666</v>
      </c>
      <c r="BT127" s="185">
        <f>RD[[#This Row],[PSEGPL2_Export]]</f>
        <v>33390</v>
      </c>
      <c r="BU127" s="336">
        <f>RD[[#This Row],[O2R10]]+RD[[#This Row],[O2R6]]</f>
        <v>32462.999999999996</v>
      </c>
    </row>
    <row r="128" spans="1:73" ht="15" customHeight="1" x14ac:dyDescent="0.35">
      <c r="A128" s="85">
        <f t="shared" si="17"/>
        <v>45869</v>
      </c>
      <c r="B128" s="80">
        <f>YEAR(RD[[#This Row],[Date]])+IF(MONTH(RD[[#This Row],[Date]])&gt;=4,1,0)</f>
        <v>2026</v>
      </c>
      <c r="C128" s="80">
        <f>YEAR(RD[[#This Row],[Month Year]])</f>
        <v>2025</v>
      </c>
      <c r="D128" s="99" t="s">
        <v>4</v>
      </c>
      <c r="E128" s="99" t="s">
        <v>4</v>
      </c>
      <c r="F128" s="80" t="str">
        <f t="shared" si="19"/>
        <v>Jul-25</v>
      </c>
      <c r="G128" s="79">
        <f>DAY(EOMONTH(RD[[#This Row],[Month Year]],0))</f>
        <v>31</v>
      </c>
      <c r="H128" s="100">
        <v>24.303100000000001</v>
      </c>
      <c r="I128" s="315">
        <v>0.2722222222222222</v>
      </c>
      <c r="J128" s="315">
        <v>0.78472222222222221</v>
      </c>
      <c r="K128" s="79">
        <v>3730</v>
      </c>
      <c r="L128" s="79">
        <v>4278</v>
      </c>
      <c r="M128" s="79">
        <v>3684</v>
      </c>
      <c r="N128" s="179">
        <v>4220</v>
      </c>
      <c r="O128" s="179">
        <v>4343</v>
      </c>
      <c r="P128" s="179">
        <v>3550</v>
      </c>
      <c r="Q128" s="179">
        <v>4168</v>
      </c>
      <c r="R128" s="179">
        <v>3666</v>
      </c>
      <c r="S128" s="179">
        <v>4079</v>
      </c>
      <c r="T128" s="179">
        <v>3674</v>
      </c>
      <c r="U128" s="79">
        <v>4669.3</v>
      </c>
      <c r="V128" s="79">
        <v>4672</v>
      </c>
      <c r="W128" s="79">
        <v>4817.1000000000004</v>
      </c>
      <c r="X128" s="79">
        <v>4816.6000000000004</v>
      </c>
      <c r="Y128" s="79">
        <v>4809.3999999999996</v>
      </c>
      <c r="Z128" s="79">
        <v>4728.7</v>
      </c>
      <c r="AA128" s="79">
        <v>4762.1000000000004</v>
      </c>
      <c r="AB128" s="79">
        <v>4741.6000000000004</v>
      </c>
      <c r="AC128" s="79">
        <v>5606.4</v>
      </c>
      <c r="AD128" s="79">
        <v>6017.9</v>
      </c>
      <c r="AE128" s="79"/>
      <c r="AF128" s="79"/>
      <c r="AG128" s="79"/>
      <c r="AH128" s="79"/>
      <c r="AI128" s="79"/>
      <c r="AJ128" s="79"/>
      <c r="AK128" s="79"/>
      <c r="AL128" s="79"/>
      <c r="AM128" s="80">
        <v>155169.52420000001</v>
      </c>
      <c r="AN128" s="80">
        <v>670.90380000000005</v>
      </c>
      <c r="AO128" s="80"/>
      <c r="AP128" s="80">
        <v>4.4400000000000004</v>
      </c>
      <c r="AQ128" s="82">
        <v>4.532</v>
      </c>
      <c r="AR128" s="82">
        <f>IF(RD[[#This Row],[POA(kWh/m2)_O2R6]]="",RD[[#This Row],[POA(kWh/m2)_PSEGPL]],(RD[[#This Row],[POA(kWh/m2)_PSEGPL]]*('Basic Data'!$V$2/'Basic Data'!$V$4))+(RD[[#This Row],[POA(kWh/m2)_O2R6]]*('Basic Data'!$V$3/'Basic Data'!$V$4)))</f>
        <v>4.4884136738056011</v>
      </c>
      <c r="AS128" s="82">
        <f>SUM(RD[[#This Row],[G1 Inv1]:[G5 Inv10]])</f>
        <v>39392</v>
      </c>
      <c r="AT128" s="82">
        <f>SUM(RD[[#This Row],[IS1_Inv1_M1]:[IS1_Inv2_M4]])</f>
        <v>38016.800000000003</v>
      </c>
      <c r="AU128" s="82">
        <f>SUM(RD[[#This Row],[IS2_Inv1]:[IS2_Inv2]])</f>
        <v>11624.3</v>
      </c>
      <c r="AV128" s="80"/>
      <c r="AW128" s="83"/>
      <c r="AX128" s="80"/>
      <c r="AY128" s="80"/>
      <c r="AZ128" s="80"/>
      <c r="BA128" s="83">
        <f>IFERROR(SUM(RD[[#This Row],[PSEGPL]:[O2R10]]),"")</f>
        <v>89033.1</v>
      </c>
      <c r="BB128" s="80">
        <v>1625</v>
      </c>
      <c r="BC128" s="83">
        <v>253068</v>
      </c>
      <c r="BD128" s="83">
        <v>1404</v>
      </c>
      <c r="BE128" s="83">
        <v>227138</v>
      </c>
      <c r="BF128" s="83">
        <v>2080</v>
      </c>
      <c r="BG128" s="83">
        <v>263305</v>
      </c>
      <c r="BH128" s="83">
        <v>3392</v>
      </c>
      <c r="BI128" s="83">
        <v>250068</v>
      </c>
      <c r="BJ128" s="101">
        <f>IF((RD[[#This Row],[33 kV F5 Export Reading_Gss End]]-AM127)*1000&lt;0,0,(RD[[#This Row],[33 kV F5 Export Reading_Gss End]]-AM127)*1000)</f>
        <v>89084.200000012061</v>
      </c>
      <c r="BK128" s="83">
        <f>IF((RD[[#This Row],[33 kV F5 Import Reading_GSS End2]]-AN127)*1000&lt;0,0,(RD[[#This Row],[33 kV F5 Import Reading_GSS End2]]-AN127)*1000)</f>
        <v>1063.8000000000147</v>
      </c>
      <c r="BL128" s="84">
        <f>RD[[#This Row],[Export  (kWh)]]-RD[[#This Row],[Import (kWh)]]</f>
        <v>88020.400000012043</v>
      </c>
      <c r="BM128" s="84">
        <f>RD[[#This Row],[Inverters Generation ( kWh)]]-RD[[#This Row],[Export  (kWh)]]</f>
        <v>-51.100000012054807</v>
      </c>
      <c r="BN128">
        <f t="shared" si="21"/>
        <v>39300</v>
      </c>
      <c r="BO128">
        <f t="shared" si="22"/>
        <v>270</v>
      </c>
      <c r="BP128" s="185">
        <f t="shared" si="25"/>
        <v>50490</v>
      </c>
      <c r="BQ128" s="185">
        <f t="shared" si="26"/>
        <v>778.8</v>
      </c>
      <c r="BR128" s="185">
        <f t="shared" si="20"/>
        <v>12.299999999999999</v>
      </c>
      <c r="BT128" s="185">
        <f>RD[[#This Row],[PSEGPL2_Export]]</f>
        <v>50490</v>
      </c>
      <c r="BU128" s="336">
        <f>RD[[#This Row],[O2R10]]+RD[[#This Row],[O2R6]]</f>
        <v>49641.100000000006</v>
      </c>
    </row>
    <row r="129" spans="1:73" ht="15" customHeight="1" x14ac:dyDescent="0.35">
      <c r="A129" s="85">
        <f t="shared" si="17"/>
        <v>45870</v>
      </c>
      <c r="B129" s="80">
        <f>YEAR(RD[[#This Row],[Date]])+IF(MONTH(RD[[#This Row],[Date]])&gt;=4,1,0)</f>
        <v>2026</v>
      </c>
      <c r="C129" s="80">
        <f>YEAR(RD[[#This Row],[Month Year]])</f>
        <v>2025</v>
      </c>
      <c r="D129" s="99" t="s">
        <v>4</v>
      </c>
      <c r="E129" s="99" t="s">
        <v>4</v>
      </c>
      <c r="F129" s="80" t="str">
        <f t="shared" si="19"/>
        <v>Aug-25</v>
      </c>
      <c r="G129" s="79">
        <f>DAY(EOMONTH(RD[[#This Row],[Month Year]],0))</f>
        <v>31</v>
      </c>
      <c r="H129" s="100">
        <v>24.303100000000001</v>
      </c>
      <c r="I129" s="315">
        <v>0.2673611111111111</v>
      </c>
      <c r="J129" s="315">
        <v>0.78055555555555556</v>
      </c>
      <c r="K129" s="79">
        <v>4220</v>
      </c>
      <c r="L129" s="79">
        <v>4772</v>
      </c>
      <c r="M129" s="79">
        <v>4207</v>
      </c>
      <c r="N129" s="179">
        <v>4867</v>
      </c>
      <c r="O129" s="179">
        <v>4898</v>
      </c>
      <c r="P129" s="179">
        <v>4130</v>
      </c>
      <c r="Q129" s="179">
        <v>4708</v>
      </c>
      <c r="R129" s="179">
        <v>4129</v>
      </c>
      <c r="S129" s="179">
        <v>4649</v>
      </c>
      <c r="T129" s="179">
        <v>4115</v>
      </c>
      <c r="U129" s="79">
        <v>5434</v>
      </c>
      <c r="V129" s="79">
        <v>5439.4</v>
      </c>
      <c r="W129" s="79">
        <v>5574.3</v>
      </c>
      <c r="X129" s="79">
        <v>5548.7</v>
      </c>
      <c r="Y129" s="79">
        <v>5561.9</v>
      </c>
      <c r="Z129" s="79">
        <v>5520.5</v>
      </c>
      <c r="AA129" s="79">
        <v>5576.2</v>
      </c>
      <c r="AB129" s="79">
        <v>5558.5</v>
      </c>
      <c r="AC129" s="79">
        <v>6375.8</v>
      </c>
      <c r="AD129" s="79">
        <v>6898.3</v>
      </c>
      <c r="AE129" s="79"/>
      <c r="AF129" s="79"/>
      <c r="AG129" s="79"/>
      <c r="AH129" s="79"/>
      <c r="AI129" s="79"/>
      <c r="AJ129" s="79"/>
      <c r="AK129" s="79"/>
      <c r="AL129" s="79"/>
      <c r="AM129" s="80">
        <v>155271.35829999999</v>
      </c>
      <c r="AN129" s="80">
        <v>671.67100000000005</v>
      </c>
      <c r="AO129" s="80"/>
      <c r="AP129" s="80">
        <v>5.2629999999999999</v>
      </c>
      <c r="AQ129" s="82">
        <v>5.1230000000000002</v>
      </c>
      <c r="AR129" s="82">
        <f>IF(RD[[#This Row],[POA(kWh/m2)_O2R6]]="",RD[[#This Row],[POA(kWh/m2)_PSEGPL]],(RD[[#This Row],[POA(kWh/m2)_PSEGPL]]*('Basic Data'!$V$2/'Basic Data'!$V$4))+(RD[[#This Row],[POA(kWh/m2)_O2R6]]*('Basic Data'!$V$3/'Basic Data'!$V$4)))</f>
        <v>5.1893270181219115</v>
      </c>
      <c r="AS129" s="82">
        <f>SUM(RD[[#This Row],[G1 Inv1]:[G5 Inv10]])</f>
        <v>44695</v>
      </c>
      <c r="AT129" s="82">
        <f>SUM(RD[[#This Row],[IS1_Inv1_M1]:[IS1_Inv2_M4]])</f>
        <v>44213.5</v>
      </c>
      <c r="AU129" s="82">
        <f>SUM(RD[[#This Row],[IS2_Inv1]:[IS2_Inv2]])</f>
        <v>13274.1</v>
      </c>
      <c r="AV129" s="80"/>
      <c r="AW129" s="83"/>
      <c r="AX129" s="80"/>
      <c r="AY129" s="80"/>
      <c r="AZ129" s="80"/>
      <c r="BA129" s="83">
        <f>IFERROR(SUM(RD[[#This Row],[PSEGPL]:[O2R10]]),"")</f>
        <v>102182.6</v>
      </c>
      <c r="BB129" s="80">
        <v>1628</v>
      </c>
      <c r="BC129" s="83">
        <v>253518</v>
      </c>
      <c r="BD129" s="83">
        <v>1406</v>
      </c>
      <c r="BE129" s="83">
        <v>227527</v>
      </c>
      <c r="BF129" s="83">
        <v>2084</v>
      </c>
      <c r="BG129" s="83">
        <v>263802</v>
      </c>
      <c r="BH129" s="83">
        <v>3399</v>
      </c>
      <c r="BI129" s="83">
        <v>250516</v>
      </c>
      <c r="BJ129" s="101">
        <f>IF((RD[[#This Row],[33 kV F5 Export Reading_Gss End]]-AM128)*1000&lt;0,0,(RD[[#This Row],[33 kV F5 Export Reading_Gss End]]-AM128)*1000)</f>
        <v>101834.09999997821</v>
      </c>
      <c r="BK129" s="83">
        <f>IF((RD[[#This Row],[33 kV F5 Import Reading_GSS End2]]-AN128)*1000&lt;0,0,(RD[[#This Row],[33 kV F5 Import Reading_GSS End2]]-AN128)*1000)</f>
        <v>767.20000000000255</v>
      </c>
      <c r="BL129" s="84">
        <f>RD[[#This Row],[Export  (kWh)]]-RD[[#This Row],[Import (kWh)]]</f>
        <v>101066.89999997821</v>
      </c>
      <c r="BM129" s="84">
        <f>RD[[#This Row],[Inverters Generation ( kWh)]]-RD[[#This Row],[Export  (kWh)]]</f>
        <v>348.50000002179877</v>
      </c>
      <c r="BN129">
        <f t="shared" si="21"/>
        <v>44505</v>
      </c>
      <c r="BO129">
        <f t="shared" si="22"/>
        <v>270</v>
      </c>
      <c r="BP129" s="185">
        <f t="shared" si="23"/>
        <v>58170</v>
      </c>
      <c r="BQ129" s="185">
        <f t="shared" si="24"/>
        <v>688.8</v>
      </c>
      <c r="BR129" s="185">
        <f t="shared" si="20"/>
        <v>12.316666666666668</v>
      </c>
      <c r="BT129" s="185">
        <f>RD[[#This Row],[PSEGPL2_Export]]</f>
        <v>58170</v>
      </c>
      <c r="BU129" s="336">
        <f>RD[[#This Row],[O2R10]]+RD[[#This Row],[O2R6]]</f>
        <v>57487.6</v>
      </c>
    </row>
    <row r="130" spans="1:73" ht="15" customHeight="1" x14ac:dyDescent="0.35">
      <c r="A130" s="85">
        <f t="shared" si="17"/>
        <v>45871</v>
      </c>
      <c r="B130" s="80">
        <f>YEAR(RD[[#This Row],[Date]])+IF(MONTH(RD[[#This Row],[Date]])&gt;=4,1,0)</f>
        <v>2026</v>
      </c>
      <c r="C130" s="80">
        <f>YEAR(RD[[#This Row],[Month Year]])</f>
        <v>2025</v>
      </c>
      <c r="D130" s="99" t="s">
        <v>4</v>
      </c>
      <c r="E130" s="99" t="s">
        <v>4</v>
      </c>
      <c r="F130" s="80" t="str">
        <f t="shared" si="19"/>
        <v>Aug-25</v>
      </c>
      <c r="G130" s="79">
        <f>DAY(EOMONTH(RD[[#This Row],[Month Year]],0))</f>
        <v>31</v>
      </c>
      <c r="H130" s="100">
        <v>24.303100000000001</v>
      </c>
      <c r="I130" s="315">
        <v>0.26527777777777778</v>
      </c>
      <c r="J130" s="315">
        <v>0.78333333333333333</v>
      </c>
      <c r="K130" s="79">
        <v>4303</v>
      </c>
      <c r="L130" s="79">
        <v>5091</v>
      </c>
      <c r="M130" s="79">
        <v>4352</v>
      </c>
      <c r="N130" s="179">
        <v>4971</v>
      </c>
      <c r="O130" s="179">
        <v>5018</v>
      </c>
      <c r="P130" s="179">
        <v>4306</v>
      </c>
      <c r="Q130" s="179">
        <v>4744</v>
      </c>
      <c r="R130" s="179">
        <v>4200</v>
      </c>
      <c r="S130" s="179">
        <v>4750</v>
      </c>
      <c r="T130" s="179">
        <v>4190</v>
      </c>
      <c r="U130" s="79">
        <v>5493.3</v>
      </c>
      <c r="V130" s="79">
        <v>5523.4</v>
      </c>
      <c r="W130" s="79">
        <v>5728.7</v>
      </c>
      <c r="X130" s="79">
        <v>5724.4</v>
      </c>
      <c r="Y130" s="79">
        <v>5725.2</v>
      </c>
      <c r="Z130" s="79">
        <v>5618.4</v>
      </c>
      <c r="AA130" s="79">
        <v>5638.1</v>
      </c>
      <c r="AB130" s="79">
        <v>5610.8</v>
      </c>
      <c r="AC130" s="79">
        <v>6746</v>
      </c>
      <c r="AD130" s="79">
        <v>7190.9</v>
      </c>
      <c r="AE130" s="79"/>
      <c r="AF130" s="79"/>
      <c r="AG130" s="79"/>
      <c r="AH130" s="79"/>
      <c r="AI130" s="79"/>
      <c r="AJ130" s="79"/>
      <c r="AK130" s="79"/>
      <c r="AL130" s="79"/>
      <c r="AM130" s="80">
        <v>155375.76190000001</v>
      </c>
      <c r="AN130" s="80">
        <v>672.55359999999996</v>
      </c>
      <c r="AO130" s="80"/>
      <c r="AP130" s="80">
        <v>5.484</v>
      </c>
      <c r="AQ130" s="82">
        <v>5.3410000000000002</v>
      </c>
      <c r="AR130" s="82">
        <f>IF(RD[[#This Row],[POA(kWh/m2)_O2R6]]="",RD[[#This Row],[POA(kWh/m2)_PSEGPL]],(RD[[#This Row],[POA(kWh/m2)_PSEGPL]]*('Basic Data'!$V$2/'Basic Data'!$V$4))+(RD[[#This Row],[POA(kWh/m2)_O2R6]]*('Basic Data'!$V$3/'Basic Data'!$V$4)))</f>
        <v>5.4087483113673809</v>
      </c>
      <c r="AS130" s="82">
        <f>SUM(RD[[#This Row],[G1 Inv1]:[G5 Inv10]])</f>
        <v>45925</v>
      </c>
      <c r="AT130" s="82">
        <f>SUM(RD[[#This Row],[IS1_Inv1_M1]:[IS1_Inv2_M4]])</f>
        <v>45062.3</v>
      </c>
      <c r="AU130" s="82">
        <f>SUM(RD[[#This Row],[IS2_Inv1]:[IS2_Inv2]])</f>
        <v>13936.9</v>
      </c>
      <c r="AV130" s="80"/>
      <c r="AW130" s="83"/>
      <c r="AX130" s="80"/>
      <c r="AY130" s="80"/>
      <c r="AZ130" s="80"/>
      <c r="BA130" s="83">
        <f>IFERROR(SUM(RD[[#This Row],[PSEGPL]:[O2R10]]),"")</f>
        <v>104924.2</v>
      </c>
      <c r="BB130" s="80">
        <v>1630</v>
      </c>
      <c r="BC130" s="83">
        <v>253984</v>
      </c>
      <c r="BD130" s="83">
        <v>1408</v>
      </c>
      <c r="BE130" s="83">
        <v>227921</v>
      </c>
      <c r="BF130" s="83">
        <v>2088</v>
      </c>
      <c r="BG130" s="83">
        <v>264307</v>
      </c>
      <c r="BH130" s="83">
        <v>3407</v>
      </c>
      <c r="BI130" s="83">
        <v>250985</v>
      </c>
      <c r="BJ130" s="101">
        <f>IF((RD[[#This Row],[33 kV F5 Export Reading_Gss End]]-AM129)*1000&lt;0,0,(RD[[#This Row],[33 kV F5 Export Reading_Gss End]]-AM129)*1000)</f>
        <v>104403.60000001965</v>
      </c>
      <c r="BK130" s="83">
        <f>IF((RD[[#This Row],[33 kV F5 Import Reading_GSS End2]]-AN129)*1000&lt;0,0,(RD[[#This Row],[33 kV F5 Import Reading_GSS End2]]-AN129)*1000)</f>
        <v>882.59999999991123</v>
      </c>
      <c r="BL130" s="84">
        <f>RD[[#This Row],[Export  (kWh)]]-RD[[#This Row],[Import (kWh)]]</f>
        <v>103521.00000001973</v>
      </c>
      <c r="BM130" s="84">
        <f>RD[[#This Row],[Inverters Generation ( kWh)]]-RD[[#This Row],[Export  (kWh)]]</f>
        <v>520.59999998034618</v>
      </c>
      <c r="BN130">
        <f t="shared" si="21"/>
        <v>45690</v>
      </c>
      <c r="BO130">
        <f t="shared" si="22"/>
        <v>210</v>
      </c>
      <c r="BP130" s="185">
        <f t="shared" si="23"/>
        <v>59520</v>
      </c>
      <c r="BQ130" s="185">
        <f t="shared" si="24"/>
        <v>718.8</v>
      </c>
      <c r="BR130" s="185">
        <f t="shared" si="20"/>
        <v>12.433333333333332</v>
      </c>
      <c r="BS130" t="s">
        <v>666</v>
      </c>
    </row>
    <row r="131" spans="1:73" ht="15" customHeight="1" x14ac:dyDescent="0.35">
      <c r="A131" s="85">
        <f t="shared" si="17"/>
        <v>45872</v>
      </c>
      <c r="B131" s="80">
        <f>YEAR(RD[[#This Row],[Date]])+IF(MONTH(RD[[#This Row],[Date]])&gt;=4,1,0)</f>
        <v>2026</v>
      </c>
      <c r="C131" s="80">
        <f>YEAR(RD[[#This Row],[Month Year]])</f>
        <v>2025</v>
      </c>
      <c r="D131" s="99" t="s">
        <v>4</v>
      </c>
      <c r="E131" s="99" t="s">
        <v>4</v>
      </c>
      <c r="F131" s="80" t="str">
        <f t="shared" si="19"/>
        <v>Aug-25</v>
      </c>
      <c r="G131" s="79">
        <f>DAY(EOMONTH(RD[[#This Row],[Month Year]],0))</f>
        <v>31</v>
      </c>
      <c r="H131" s="100">
        <v>24.303100000000001</v>
      </c>
      <c r="I131" s="315">
        <v>0.2673611111111111</v>
      </c>
      <c r="J131" s="315">
        <v>0.77777777777777779</v>
      </c>
      <c r="K131" s="79">
        <v>4093</v>
      </c>
      <c r="L131" s="79">
        <v>4704</v>
      </c>
      <c r="M131" s="79">
        <v>4051</v>
      </c>
      <c r="N131" s="179">
        <v>4583</v>
      </c>
      <c r="O131" s="179">
        <v>4832</v>
      </c>
      <c r="P131" s="179">
        <v>4100</v>
      </c>
      <c r="Q131" s="179">
        <v>4557</v>
      </c>
      <c r="R131" s="179">
        <v>4001</v>
      </c>
      <c r="S131" s="179">
        <v>4542</v>
      </c>
      <c r="T131" s="179">
        <v>4009</v>
      </c>
      <c r="U131" s="79">
        <v>5312.6</v>
      </c>
      <c r="V131" s="79">
        <v>5347.7</v>
      </c>
      <c r="W131" s="79">
        <v>5484.2</v>
      </c>
      <c r="X131" s="79">
        <v>5486</v>
      </c>
      <c r="Y131" s="79">
        <v>5481.5</v>
      </c>
      <c r="Z131" s="79">
        <v>5404.9</v>
      </c>
      <c r="AA131" s="79">
        <v>5414</v>
      </c>
      <c r="AB131" s="79">
        <v>5351.2</v>
      </c>
      <c r="AC131" s="79">
        <v>6243.4</v>
      </c>
      <c r="AD131" s="79">
        <v>6679.7</v>
      </c>
      <c r="AE131" s="79"/>
      <c r="AF131" s="79"/>
      <c r="AG131" s="79"/>
      <c r="AH131" s="79"/>
      <c r="AI131" s="79"/>
      <c r="AJ131" s="79"/>
      <c r="AK131" s="79"/>
      <c r="AL131" s="79"/>
      <c r="AM131" s="80">
        <v>155475.09229999999</v>
      </c>
      <c r="AN131" s="80">
        <v>673.25459999999998</v>
      </c>
      <c r="AO131" s="80"/>
      <c r="AP131" s="80">
        <v>5.0780000000000003</v>
      </c>
      <c r="AQ131" s="82">
        <v>5.1189999999999998</v>
      </c>
      <c r="AR131" s="82">
        <f>IF(RD[[#This Row],[POA(kWh/m2)_O2R6]]="",RD[[#This Row],[POA(kWh/m2)_PSEGPL]],(RD[[#This Row],[POA(kWh/m2)_PSEGPL]]*('Basic Data'!$V$2/'Basic Data'!$V$4))+(RD[[#This Row],[POA(kWh/m2)_O2R6]]*('Basic Data'!$V$3/'Basic Data'!$V$4)))</f>
        <v>5.0995756589785826</v>
      </c>
      <c r="AS131" s="82">
        <f>SUM(RD[[#This Row],[G1 Inv1]:[G5 Inv10]])</f>
        <v>43472</v>
      </c>
      <c r="AT131" s="82">
        <f>SUM(RD[[#This Row],[IS1_Inv1_M1]:[IS1_Inv2_M4]])</f>
        <v>43282.1</v>
      </c>
      <c r="AU131" s="82">
        <f>SUM(RD[[#This Row],[IS2_Inv1]:[IS2_Inv2]])</f>
        <v>12923.099999999999</v>
      </c>
      <c r="AV131" s="80"/>
      <c r="AW131" s="83"/>
      <c r="AX131" s="80"/>
      <c r="AY131" s="80"/>
      <c r="AZ131" s="80"/>
      <c r="BA131" s="83">
        <f>IFERROR(SUM(RD[[#This Row],[PSEGPL]:[O2R10]]),"")</f>
        <v>99677.200000000012</v>
      </c>
      <c r="BB131" s="80">
        <v>1633</v>
      </c>
      <c r="BC131" s="83">
        <v>254421</v>
      </c>
      <c r="BD131" s="83">
        <v>1410</v>
      </c>
      <c r="BE131" s="83">
        <v>228299</v>
      </c>
      <c r="BF131" s="83">
        <v>2092</v>
      </c>
      <c r="BG131" s="83">
        <v>264794</v>
      </c>
      <c r="BH131" s="83">
        <v>3416</v>
      </c>
      <c r="BI131" s="83">
        <v>251421</v>
      </c>
      <c r="BJ131" s="101">
        <f>IF((RD[[#This Row],[33 kV F5 Export Reading_Gss End]]-AM130)*1000&lt;0,0,(RD[[#This Row],[33 kV F5 Export Reading_Gss End]]-AM130)*1000)</f>
        <v>99330.399999977089</v>
      </c>
      <c r="BK131" s="83">
        <f>IF((RD[[#This Row],[33 kV F5 Import Reading_GSS End2]]-AN130)*1000&lt;0,0,(RD[[#This Row],[33 kV F5 Import Reading_GSS End2]]-AN130)*1000)</f>
        <v>701.00000000002183</v>
      </c>
      <c r="BL131" s="84">
        <f>RD[[#This Row],[Export  (kWh)]]-RD[[#This Row],[Import (kWh)]]</f>
        <v>98629.39999997706</v>
      </c>
      <c r="BM131" s="84">
        <f>RD[[#This Row],[Inverters Generation ( kWh)]]-RD[[#This Row],[Export  (kWh)]]</f>
        <v>346.80000002292218</v>
      </c>
      <c r="BN131">
        <f t="shared" si="21"/>
        <v>43230</v>
      </c>
      <c r="BO131">
        <f t="shared" si="22"/>
        <v>270</v>
      </c>
      <c r="BP131" s="185">
        <f t="shared" si="23"/>
        <v>56910</v>
      </c>
      <c r="BQ131" s="185">
        <f t="shared" si="24"/>
        <v>748.8</v>
      </c>
      <c r="BR131" s="185">
        <f t="shared" si="20"/>
        <v>12.250000000000002</v>
      </c>
      <c r="BS131" t="s">
        <v>666</v>
      </c>
    </row>
    <row r="132" spans="1:73" ht="15" customHeight="1" x14ac:dyDescent="0.35">
      <c r="A132" s="85">
        <f t="shared" si="17"/>
        <v>45873</v>
      </c>
      <c r="B132" s="80">
        <f>YEAR(RD[[#This Row],[Date]])+IF(MONTH(RD[[#This Row],[Date]])&gt;=4,1,0)</f>
        <v>2026</v>
      </c>
      <c r="C132" s="80">
        <f>YEAR(RD[[#This Row],[Month Year]])</f>
        <v>2025</v>
      </c>
      <c r="D132" s="99" t="s">
        <v>4</v>
      </c>
      <c r="E132" s="99" t="s">
        <v>4</v>
      </c>
      <c r="F132" s="80" t="str">
        <f t="shared" si="19"/>
        <v>Aug-25</v>
      </c>
      <c r="G132" s="79">
        <f>DAY(EOMONTH(RD[[#This Row],[Month Year]],0))</f>
        <v>31</v>
      </c>
      <c r="H132" s="100">
        <v>24.303100000000001</v>
      </c>
      <c r="I132" s="136"/>
      <c r="J132" s="136"/>
      <c r="K132" s="79"/>
      <c r="L132" s="79"/>
      <c r="M132" s="79"/>
      <c r="N132" s="179"/>
      <c r="O132" s="179"/>
      <c r="P132" s="179"/>
      <c r="Q132" s="179"/>
      <c r="R132" s="179"/>
      <c r="S132" s="179"/>
      <c r="T132" s="1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80"/>
      <c r="AN132" s="80"/>
      <c r="AO132" s="80"/>
      <c r="AP132" s="80"/>
      <c r="AQ132" s="82"/>
      <c r="AR132" s="82">
        <f>IF(RD[[#This Row],[POA(kWh/m2)_O2R6]]="",RD[[#This Row],[POA(kWh/m2)_PSEGPL]],(RD[[#This Row],[POA(kWh/m2)_PSEGPL]]*('Basic Data'!$V$2/'Basic Data'!$V$4))+(RD[[#This Row],[POA(kWh/m2)_O2R6]]*('Basic Data'!$V$3/'Basic Data'!$V$4)))</f>
        <v>0</v>
      </c>
      <c r="AS132" s="82">
        <f>SUM(RD[[#This Row],[G1 Inv1]:[G5 Inv10]])</f>
        <v>0</v>
      </c>
      <c r="AT132" s="82">
        <f>SUM(RD[[#This Row],[IS1_Inv1_M1]:[IS1_Inv2_M4]])</f>
        <v>0</v>
      </c>
      <c r="AU132" s="82">
        <f>SUM(RD[[#This Row],[IS2_Inv1]:[IS2_Inv2]])</f>
        <v>0</v>
      </c>
      <c r="AV132" s="80"/>
      <c r="AW132" s="83"/>
      <c r="AX132" s="80"/>
      <c r="AY132" s="80"/>
      <c r="AZ132" s="80"/>
      <c r="BA132" s="80"/>
      <c r="BB132" s="80"/>
      <c r="BC132" s="83"/>
      <c r="BD132" s="83"/>
      <c r="BE132" s="83"/>
      <c r="BF132" s="83"/>
      <c r="BG132" s="83"/>
      <c r="BH132" s="83"/>
      <c r="BI132" s="83"/>
      <c r="BJ132" s="101">
        <f>IF((RD[[#This Row],[33 kV F5 Export Reading_Gss End]]-AM131)*1000&lt;0,0,(RD[[#This Row],[33 kV F5 Export Reading_Gss End]]-AM131)*1000)</f>
        <v>0</v>
      </c>
      <c r="BK132" s="83">
        <f>IF((RD[[#This Row],[33 kV F5 Import Reading_GSS End2]]-AN131)*1000&lt;0,0,(RD[[#This Row],[33 kV F5 Import Reading_GSS End2]]-AN131)*1000)</f>
        <v>0</v>
      </c>
      <c r="BL132" s="84">
        <f>RD[[#This Row],[Export  (kWh)]]-RD[[#This Row],[Import (kWh)]]</f>
        <v>0</v>
      </c>
      <c r="BM132" s="84">
        <f>RD[[#This Row],[Inverters Generation ( kWh)]]-RD[[#This Row],[Export  (kWh)]]</f>
        <v>0</v>
      </c>
      <c r="BN132" t="str">
        <f t="shared" si="21"/>
        <v/>
      </c>
      <c r="BO132" t="str">
        <f t="shared" si="22"/>
        <v/>
      </c>
      <c r="BP132" s="185" t="str">
        <f t="shared" si="23"/>
        <v/>
      </c>
      <c r="BQ132" s="185" t="str">
        <f t="shared" si="24"/>
        <v/>
      </c>
      <c r="BR132" s="185">
        <f t="shared" si="20"/>
        <v>0</v>
      </c>
    </row>
    <row r="133" spans="1:73" ht="21.75" customHeight="1" x14ac:dyDescent="0.35">
      <c r="A133" s="85">
        <f t="shared" si="17"/>
        <v>45874</v>
      </c>
      <c r="B133" s="80">
        <f>YEAR(RD[[#This Row],[Date]])+IF(MONTH(RD[[#This Row],[Date]])&gt;=4,1,0)</f>
        <v>2026</v>
      </c>
      <c r="C133" s="80">
        <f>YEAR(RD[[#This Row],[Month Year]])</f>
        <v>2025</v>
      </c>
      <c r="D133" s="99" t="s">
        <v>4</v>
      </c>
      <c r="E133" s="99" t="s">
        <v>4</v>
      </c>
      <c r="F133" s="80" t="str">
        <f t="shared" si="19"/>
        <v>Aug-25</v>
      </c>
      <c r="G133" s="79">
        <f>DAY(EOMONTH(RD[[#This Row],[Month Year]],0))</f>
        <v>31</v>
      </c>
      <c r="H133" s="100">
        <v>24.303100000000001</v>
      </c>
      <c r="I133" s="136"/>
      <c r="J133" s="136"/>
      <c r="K133" s="79"/>
      <c r="L133" s="79"/>
      <c r="M133" s="79"/>
      <c r="N133" s="179"/>
      <c r="O133" s="179"/>
      <c r="P133" s="179"/>
      <c r="Q133" s="179"/>
      <c r="R133" s="179"/>
      <c r="S133" s="179"/>
      <c r="T133" s="1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80"/>
      <c r="AN133" s="80"/>
      <c r="AO133" s="80"/>
      <c r="AP133" s="80"/>
      <c r="AQ133" s="82"/>
      <c r="AR133" s="82">
        <f>IF(RD[[#This Row],[POA(kWh/m2)_O2R6]]="",RD[[#This Row],[POA(kWh/m2)_PSEGPL]],(RD[[#This Row],[POA(kWh/m2)_PSEGPL]]*('Basic Data'!$V$2/'Basic Data'!$V$4))+(RD[[#This Row],[POA(kWh/m2)_O2R6]]*('Basic Data'!$V$3/'Basic Data'!$V$4)))</f>
        <v>0</v>
      </c>
      <c r="AS133" s="82">
        <f>SUM(RD[[#This Row],[G1 Inv1]:[G5 Inv10]])</f>
        <v>0</v>
      </c>
      <c r="AT133" s="82">
        <f>SUM(RD[[#This Row],[IS1_Inv1_M1]:[IS1_Inv2_M4]])</f>
        <v>0</v>
      </c>
      <c r="AU133" s="82">
        <f>SUM(RD[[#This Row],[IS2_Inv1]:[IS2_Inv2]])</f>
        <v>0</v>
      </c>
      <c r="AV133" s="80"/>
      <c r="AW133" s="83"/>
      <c r="AX133" s="80"/>
      <c r="AY133" s="80"/>
      <c r="AZ133" s="80"/>
      <c r="BA133" s="80"/>
      <c r="BB133" s="80"/>
      <c r="BC133" s="83"/>
      <c r="BD133" s="83"/>
      <c r="BE133" s="83"/>
      <c r="BF133" s="83"/>
      <c r="BG133" s="83"/>
      <c r="BH133" s="83"/>
      <c r="BI133" s="83"/>
      <c r="BJ133" s="101">
        <f>IF((RD[[#This Row],[33 kV F5 Export Reading_Gss End]]-AM132)*1000&lt;0,0,(RD[[#This Row],[33 kV F5 Export Reading_Gss End]]-AM132)*1000)</f>
        <v>0</v>
      </c>
      <c r="BK133" s="83">
        <f>IF((RD[[#This Row],[33 kV F5 Import Reading_GSS End2]]-AN132)*1000&lt;0,0,(RD[[#This Row],[33 kV F5 Import Reading_GSS End2]]-AN132)*1000)</f>
        <v>0</v>
      </c>
      <c r="BL133" s="84">
        <f>RD[[#This Row],[Export  (kWh)]]-RD[[#This Row],[Import (kWh)]]</f>
        <v>0</v>
      </c>
      <c r="BM133" s="84">
        <f>RD[[#This Row],[Inverters Generation ( kWh)]]-RD[[#This Row],[Export  (kWh)]]</f>
        <v>0</v>
      </c>
      <c r="BN133" t="str">
        <f t="shared" si="21"/>
        <v/>
      </c>
      <c r="BO133" t="str">
        <f t="shared" si="22"/>
        <v/>
      </c>
      <c r="BP133" s="185" t="str">
        <f t="shared" si="23"/>
        <v/>
      </c>
      <c r="BQ133" s="185" t="str">
        <f t="shared" si="24"/>
        <v/>
      </c>
      <c r="BR133" s="185">
        <f t="shared" si="20"/>
        <v>0</v>
      </c>
    </row>
    <row r="134" spans="1:73" ht="21.75" customHeight="1" x14ac:dyDescent="0.35">
      <c r="A134" s="85">
        <f t="shared" si="17"/>
        <v>45875</v>
      </c>
      <c r="B134" s="80">
        <f>YEAR(RD[[#This Row],[Date]])+IF(MONTH(RD[[#This Row],[Date]])&gt;=4,1,0)</f>
        <v>2026</v>
      </c>
      <c r="C134" s="80">
        <f>YEAR(RD[[#This Row],[Month Year]])</f>
        <v>2025</v>
      </c>
      <c r="D134" s="99" t="s">
        <v>4</v>
      </c>
      <c r="E134" s="99" t="s">
        <v>4</v>
      </c>
      <c r="F134" s="80" t="str">
        <f t="shared" si="19"/>
        <v>Aug-25</v>
      </c>
      <c r="G134" s="79">
        <f>DAY(EOMONTH(RD[[#This Row],[Month Year]],0))</f>
        <v>31</v>
      </c>
      <c r="H134" s="100">
        <v>24.303100000000001</v>
      </c>
      <c r="I134" s="136"/>
      <c r="J134" s="136"/>
      <c r="K134" s="79"/>
      <c r="L134" s="79"/>
      <c r="M134" s="79"/>
      <c r="N134" s="179"/>
      <c r="O134" s="179"/>
      <c r="P134" s="179"/>
      <c r="Q134" s="179"/>
      <c r="R134" s="179"/>
      <c r="S134" s="179"/>
      <c r="T134" s="1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80"/>
      <c r="AN134" s="80"/>
      <c r="AO134" s="80"/>
      <c r="AP134" s="80"/>
      <c r="AQ134" s="82"/>
      <c r="AR134" s="82">
        <f>IF(RD[[#This Row],[POA(kWh/m2)_O2R6]]="",RD[[#This Row],[POA(kWh/m2)_PSEGPL]],(RD[[#This Row],[POA(kWh/m2)_PSEGPL]]*('Basic Data'!$V$2/'Basic Data'!$V$4))+(RD[[#This Row],[POA(kWh/m2)_O2R6]]*('Basic Data'!$V$3/'Basic Data'!$V$4)))</f>
        <v>0</v>
      </c>
      <c r="AS134" s="82">
        <f>SUM(RD[[#This Row],[G1 Inv1]:[G5 Inv10]])</f>
        <v>0</v>
      </c>
      <c r="AT134" s="82">
        <f>SUM(RD[[#This Row],[IS1_Inv1_M1]:[IS1_Inv2_M4]])</f>
        <v>0</v>
      </c>
      <c r="AU134" s="82">
        <f>SUM(RD[[#This Row],[IS2_Inv1]:[IS2_Inv2]])</f>
        <v>0</v>
      </c>
      <c r="AV134" s="80"/>
      <c r="AW134" s="83"/>
      <c r="AX134" s="80"/>
      <c r="AY134" s="80"/>
      <c r="AZ134" s="80"/>
      <c r="BA134" s="80"/>
      <c r="BB134" s="80"/>
      <c r="BC134" s="83"/>
      <c r="BD134" s="83"/>
      <c r="BE134" s="83"/>
      <c r="BF134" s="83"/>
      <c r="BG134" s="83"/>
      <c r="BH134" s="83"/>
      <c r="BI134" s="83"/>
      <c r="BJ134" s="101">
        <f>IF((RD[[#This Row],[33 kV F5 Export Reading_Gss End]]-AM133)*1000&lt;0,0,(RD[[#This Row],[33 kV F5 Export Reading_Gss End]]-AM133)*1000)</f>
        <v>0</v>
      </c>
      <c r="BK134" s="83">
        <f>IF((RD[[#This Row],[33 kV F5 Import Reading_GSS End2]]-AN133)*1000&lt;0,0,(RD[[#This Row],[33 kV F5 Import Reading_GSS End2]]-AN133)*1000)</f>
        <v>0</v>
      </c>
      <c r="BL134" s="84">
        <f>RD[[#This Row],[Export  (kWh)]]-RD[[#This Row],[Import (kWh)]]</f>
        <v>0</v>
      </c>
      <c r="BM134" s="84">
        <f>RD[[#This Row],[Inverters Generation ( kWh)]]-RD[[#This Row],[Export  (kWh)]]</f>
        <v>0</v>
      </c>
      <c r="BN134" t="str">
        <f t="shared" si="21"/>
        <v/>
      </c>
      <c r="BO134" t="str">
        <f t="shared" si="22"/>
        <v/>
      </c>
      <c r="BP134" s="185" t="str">
        <f t="shared" si="23"/>
        <v/>
      </c>
      <c r="BQ134" s="185" t="str">
        <f t="shared" si="24"/>
        <v/>
      </c>
      <c r="BR134" s="185">
        <f t="shared" si="20"/>
        <v>0</v>
      </c>
    </row>
    <row r="135" spans="1:73" ht="21.75" customHeight="1" x14ac:dyDescent="0.35">
      <c r="A135" s="285"/>
      <c r="B135" s="79"/>
      <c r="C135" s="79"/>
      <c r="D135" s="79"/>
      <c r="E135" s="79"/>
      <c r="F135" s="80" t="str">
        <f>TEXT(A135,"mmm-yy")</f>
        <v>Jan-00</v>
      </c>
      <c r="G135" s="79">
        <f>DAY(EOMONTH(RD[[#This Row],[Month Year]],0))</f>
        <v>31</v>
      </c>
      <c r="H135" s="81">
        <f>Modelling!$Q$1</f>
        <v>11.5031</v>
      </c>
      <c r="I135" s="136"/>
      <c r="J135" s="136"/>
      <c r="K135" s="79"/>
      <c r="L135" s="79"/>
      <c r="M135" s="79"/>
      <c r="N135" s="179"/>
      <c r="O135" s="179"/>
      <c r="P135" s="179"/>
      <c r="Q135" s="179"/>
      <c r="R135" s="179"/>
      <c r="S135" s="179"/>
      <c r="T135" s="1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80"/>
      <c r="AN135" s="80"/>
      <c r="AO135" s="80"/>
      <c r="AP135" s="80"/>
      <c r="AQ135" s="82"/>
      <c r="AR135" s="82">
        <f>IF(RD[[#This Row],[POA(kWh/m2)_O2R6]]="",RD[[#This Row],[POA(kWh/m2)_PSEGPL]],(RD[[#This Row],[POA(kWh/m2)_PSEGPL]]*('Basic Data'!$V$2/'Basic Data'!$V$4))+(RD[[#This Row],[POA(kWh/m2)_O2R6]]*('Basic Data'!$V$3/'Basic Data'!$V$4)))</f>
        <v>0</v>
      </c>
      <c r="AS135" s="82">
        <f>SUM(RD[[#This Row],[G1 Inv1]:[G5 Inv10]])</f>
        <v>0</v>
      </c>
      <c r="AT135" s="82">
        <f>SUM(RD[[#This Row],[IS1_Inv1_M1]:[IS1_Inv2_M4]])</f>
        <v>0</v>
      </c>
      <c r="AU135" s="82">
        <f>SUM(RD[[#This Row],[IS2_Inv1]:[IS2_Inv2]])</f>
        <v>0</v>
      </c>
      <c r="AV135" s="80"/>
      <c r="AW135" s="83">
        <f>RD[[#This Row],[Inverters Generation ( kWh)]]-RD[[#This Row],[Avg. Wind Speed (m/s)_o2R6]]</f>
        <v>0</v>
      </c>
      <c r="AX135" s="80"/>
      <c r="AY135" s="80"/>
      <c r="AZ135" s="80"/>
      <c r="BA135" s="83">
        <f>IFERROR(SUM(RD[[#This Row],[G1 Inv1]:[IS2_Inv2]]),"")</f>
        <v>0</v>
      </c>
      <c r="BB135" s="83">
        <f>IF((RD[[#This Row],[PSEGPL_HCCB_33KV_Export Reading]]-AE132)*1000&lt;0,0,(RD[[#This Row],[PSEGPL_HCCB_33KV_Export Reading]]-AE132)*1000)</f>
        <v>0</v>
      </c>
      <c r="BC135" s="83"/>
      <c r="BD135" s="83"/>
      <c r="BE135" s="83"/>
      <c r="BF135" s="83"/>
      <c r="BG135" s="83"/>
      <c r="BH135" s="83"/>
      <c r="BI135" s="83"/>
      <c r="BJ135" s="83">
        <f>(RD[[#This Row],[33 kV F5 Export Reading_Gss End]]-AM134)*1000</f>
        <v>0</v>
      </c>
      <c r="BK135" s="83">
        <f>(RD[[#This Row],[33 kV F5 Import Reading_GSS End2]]-AN134)*1000</f>
        <v>0</v>
      </c>
      <c r="BL135" s="84">
        <f>RD[[#This Row],[Export  (kWh)]]-RD[[#This Row],[Import (kWh)]]</f>
        <v>0</v>
      </c>
      <c r="BM135" s="84">
        <f>RD[[#This Row],[Inverters Generation ( kWh)]]-RD[[#This Row],[Export  (kWh)]]</f>
        <v>0</v>
      </c>
      <c r="BN135">
        <f>(((BE135-BE134)*45)-((BD135-BD134)*45))+(((BC135-BC134)*60)-((BB135-BB134)*60))</f>
        <v>0</v>
      </c>
      <c r="BO135">
        <f>BB134-RD[[#This Row],[HCCB_Export (KWh)]]*60</f>
        <v>0</v>
      </c>
      <c r="BP135" s="185" t="str">
        <f t="shared" si="23"/>
        <v/>
      </c>
      <c r="BQ135" s="185" t="str">
        <f>IF(AND(BF135="",BH135=""),"",(((BF135-BF134)*MF_Cap_O2RE6)+((BH135-BH134)*MF_Cap_O2RE10)))</f>
        <v/>
      </c>
      <c r="BR135" s="185">
        <f>IFERROR((J135-I135)*24,"")</f>
        <v>0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I243"/>
  <sheetViews>
    <sheetView topLeftCell="A3" zoomScale="90" zoomScaleNormal="90" workbookViewId="0">
      <pane xSplit="9" ySplit="1" topLeftCell="AB188" activePane="bottomRight" state="frozen"/>
      <selection pane="topRight" activeCell="I3" sqref="I3"/>
      <selection pane="bottomLeft" activeCell="A4" sqref="A4"/>
      <selection pane="bottomRight" activeCell="AG204" sqref="AG204"/>
    </sheetView>
  </sheetViews>
  <sheetFormatPr defaultColWidth="8.81640625" defaultRowHeight="14.5" x14ac:dyDescent="0.35"/>
  <cols>
    <col min="1" max="1" width="9" style="2" customWidth="1"/>
    <col min="2" max="2" width="11.453125" style="6" customWidth="1"/>
    <col min="3" max="3" width="9.81640625" style="6" customWidth="1"/>
    <col min="4" max="7" width="9" customWidth="1"/>
    <col min="8" max="8" width="9" style="6" customWidth="1"/>
    <col min="9" max="9" width="12.453125" customWidth="1"/>
    <col min="10" max="11" width="10.1796875" customWidth="1"/>
    <col min="12" max="12" width="24.26953125" style="2" customWidth="1"/>
    <col min="13" max="13" width="11" customWidth="1"/>
    <col min="14" max="14" width="11.1796875" style="2" customWidth="1"/>
    <col min="15" max="15" width="20.26953125" customWidth="1"/>
    <col min="16" max="16" width="17.1796875" style="2" customWidth="1"/>
    <col min="17" max="17" width="28.1796875" customWidth="1"/>
    <col min="18" max="18" width="90.453125" customWidth="1"/>
    <col min="19" max="19" width="18.1796875" customWidth="1"/>
    <col min="20" max="20" width="11.81640625" customWidth="1"/>
    <col min="21" max="21" width="11.1796875" customWidth="1"/>
    <col min="22" max="22" width="9.81640625" customWidth="1"/>
    <col min="23" max="23" width="12" customWidth="1"/>
    <col min="24" max="24" width="10" style="2" customWidth="1"/>
    <col min="25" max="26" width="10.1796875" style="2" customWidth="1"/>
    <col min="27" max="27" width="118.81640625" style="2" customWidth="1"/>
    <col min="28" max="28" width="20.453125" style="2" customWidth="1"/>
    <col min="29" max="29" width="9.81640625" style="2" customWidth="1"/>
    <col min="30" max="30" width="15.1796875" style="2" customWidth="1"/>
    <col min="31" max="31" width="14.81640625" style="2" bestFit="1" customWidth="1"/>
    <col min="32" max="32" width="13.1796875" style="2" customWidth="1"/>
    <col min="35" max="35" width="12" bestFit="1" customWidth="1"/>
    <col min="36" max="36" width="13" customWidth="1"/>
  </cols>
  <sheetData>
    <row r="1" spans="1:34" x14ac:dyDescent="0.35">
      <c r="M1" s="2"/>
      <c r="N1"/>
      <c r="O1" s="2"/>
      <c r="P1"/>
      <c r="W1" s="2"/>
      <c r="AC1" s="96">
        <f>IFERROR(PA[[#This Row],[Breakdown Time]]*PA[[#This Row],[Plant Equivalent Weightage]],)</f>
        <v>0</v>
      </c>
      <c r="AF1"/>
    </row>
    <row r="2" spans="1:34" x14ac:dyDescent="0.35">
      <c r="M2" s="2"/>
      <c r="N2"/>
      <c r="O2" s="2"/>
      <c r="P2"/>
      <c r="W2" s="2"/>
      <c r="AC2" s="96">
        <f>IFERROR(PA[[#This Row],[Breakdown Time]]*PA[[#This Row],[Plant Equivalent Weightage]],)</f>
        <v>0</v>
      </c>
      <c r="AF2"/>
    </row>
    <row r="3" spans="1:34" ht="43.5" x14ac:dyDescent="0.35">
      <c r="A3" s="172" t="s">
        <v>7</v>
      </c>
      <c r="B3" s="173" t="s">
        <v>72</v>
      </c>
      <c r="C3" s="174" t="s">
        <v>116</v>
      </c>
      <c r="D3" s="174" t="s">
        <v>118</v>
      </c>
      <c r="E3" s="174" t="s">
        <v>119</v>
      </c>
      <c r="F3" s="174" t="s">
        <v>120</v>
      </c>
      <c r="G3" s="174" t="s">
        <v>75</v>
      </c>
      <c r="H3" s="174" t="s">
        <v>40</v>
      </c>
      <c r="I3" s="174" t="s">
        <v>145</v>
      </c>
      <c r="J3" s="174" t="s">
        <v>146</v>
      </c>
      <c r="K3" s="174" t="s">
        <v>147</v>
      </c>
      <c r="L3" s="175" t="s">
        <v>148</v>
      </c>
      <c r="M3" s="174" t="s">
        <v>149</v>
      </c>
      <c r="N3" s="174" t="s">
        <v>152</v>
      </c>
      <c r="O3" s="175" t="s">
        <v>150</v>
      </c>
      <c r="P3" s="174" t="s">
        <v>667</v>
      </c>
      <c r="Q3" s="174" t="s">
        <v>153</v>
      </c>
      <c r="R3" s="174" t="s">
        <v>154</v>
      </c>
      <c r="S3" s="174" t="s">
        <v>155</v>
      </c>
      <c r="T3" s="174" t="s">
        <v>156</v>
      </c>
      <c r="U3" s="174" t="s">
        <v>157</v>
      </c>
      <c r="V3" s="174" t="s">
        <v>158</v>
      </c>
      <c r="W3" s="174" t="s">
        <v>159</v>
      </c>
      <c r="X3" s="174" t="s">
        <v>160</v>
      </c>
      <c r="Y3" s="174" t="s">
        <v>161</v>
      </c>
      <c r="Z3" s="174" t="s">
        <v>668</v>
      </c>
      <c r="AA3" s="174" t="s">
        <v>162</v>
      </c>
      <c r="AB3" s="174" t="s">
        <v>163</v>
      </c>
      <c r="AC3" s="176" t="s">
        <v>669</v>
      </c>
      <c r="AD3" s="174" t="s">
        <v>670</v>
      </c>
      <c r="AE3" s="177" t="s">
        <v>166</v>
      </c>
      <c r="AF3" s="174" t="s">
        <v>671</v>
      </c>
      <c r="AG3" s="174" t="s">
        <v>672</v>
      </c>
      <c r="AH3" s="174" t="s">
        <v>673</v>
      </c>
    </row>
    <row r="4" spans="1:34" x14ac:dyDescent="0.35">
      <c r="A4" s="147">
        <v>1</v>
      </c>
      <c r="B4" s="183">
        <v>45760</v>
      </c>
      <c r="C4" s="180">
        <f>YEAR(PA[[#This Row],[Date]])+IF(MONTH(PA[[#This Row],[Date]])&gt;=4,1,0)</f>
        <v>2026</v>
      </c>
      <c r="D4" s="155">
        <f>YEAR(PA[[#This Row],[Date]])</f>
        <v>2025</v>
      </c>
      <c r="E4" s="149" t="s">
        <v>4</v>
      </c>
      <c r="F4" s="149" t="s">
        <v>4</v>
      </c>
      <c r="G4" s="228">
        <f>PA[[#This Row],[Date]]-DAY(PA[[#This Row],[Date]])+1</f>
        <v>45748</v>
      </c>
      <c r="H4" s="155">
        <f>DAY(EOMONTH(PA[[#This Row],[Month Year]],0))</f>
        <v>30</v>
      </c>
      <c r="I4" s="151">
        <f>_xlfn.XLOOKUP(PA[[#This Row],[Date]],RD[Date],RD[Sunrise Time (POA&gt;20 W/m2)],0)</f>
        <v>0.26805555555555555</v>
      </c>
      <c r="J4" s="151">
        <f>_xlfn.XLOOKUP(PA[[#This Row],[Date]],RD[Date],RD[Sunset Time (POA&lt;20 W/m2)],0)</f>
        <v>0.76666666666666672</v>
      </c>
      <c r="K4" s="152">
        <f>IFERROR((PA[[#This Row],[Sunset Time (POA&lt;20 W/m2)]]-PA[[#This Row],[Sunrise Time (POA&gt;20 W/m2)]])*24,"")</f>
        <v>11.966666666666669</v>
      </c>
      <c r="L4" s="149" t="s">
        <v>479</v>
      </c>
      <c r="M4" s="150">
        <v>1548.8900000000003</v>
      </c>
      <c r="N4" s="178">
        <v>6.3792833607907759E-2</v>
      </c>
      <c r="O4" s="166" t="s">
        <v>479</v>
      </c>
      <c r="P4" s="149" t="s">
        <v>215</v>
      </c>
      <c r="Q4" s="149" t="s">
        <v>674</v>
      </c>
      <c r="R4" s="149" t="s">
        <v>675</v>
      </c>
      <c r="S4" s="187">
        <v>0.60069444444444442</v>
      </c>
      <c r="T4" s="187">
        <v>0.60416666666666663</v>
      </c>
      <c r="U4" s="187">
        <v>0.60416666666666663</v>
      </c>
      <c r="V4" s="187">
        <v>0.60416666666666663</v>
      </c>
      <c r="W4" s="150">
        <f>IF(PA[[#This Row],[Acknowledgemnet Time ]]="NA","",(PA[[#This Row],[Acknowledgemnet Time ]]-PA[[#This Row],[Fault Time]])*24)</f>
        <v>8.3333333333333037E-2</v>
      </c>
      <c r="X4" s="150">
        <f>IF(PA[[#This Row],[Work Start time on Fault]]="NA","",(PA[[#This Row],[Work Start time on Fault]]-PA[[#This Row],[Fault Time]])*24)</f>
        <v>8.3333333333333037E-2</v>
      </c>
      <c r="Y4" s="152">
        <f>(PA[[#This Row],[Work Completiuon time on fualt]]-PA[[#This Row],[Fault Time]])*24</f>
        <v>8.3333333333333037E-2</v>
      </c>
      <c r="Z4" s="152">
        <f>IFERROR((PA[[#This Row],[Work Completiuon time on fualt]]-PA[[#This Row],[Fault Time]])*24,"")</f>
        <v>8.3333333333333037E-2</v>
      </c>
      <c r="AA4" s="149" t="s">
        <v>676</v>
      </c>
      <c r="AB4" s="149" t="s">
        <v>173</v>
      </c>
      <c r="AC4" s="152">
        <f>IFERROR(PA[[#This Row],[Breakdown Time]]*PA[[#This Row],[Plant Equivalent Weightage]],)</f>
        <v>5.3160694673256275E-3</v>
      </c>
      <c r="AD4" s="153">
        <v>3.4</v>
      </c>
      <c r="AE4" s="163">
        <f>IFERROR(_xlfn.XLOOKUP(PA[[#This Row],[Month Year]],'Modelling New'!$D:$D,'Modelling New'!$O:$O)*M4*PA[[#This Row],[Lost PoA(kWh/m2)]],"")</f>
        <v>3942.285184212039</v>
      </c>
      <c r="AF4" s="150"/>
      <c r="AG4" s="150"/>
      <c r="AH4" s="335"/>
    </row>
    <row r="5" spans="1:34" ht="29" x14ac:dyDescent="0.35">
      <c r="A5" s="147">
        <f t="shared" ref="A5:A21" si="0">A4+1</f>
        <v>2</v>
      </c>
      <c r="B5" s="183">
        <v>45770</v>
      </c>
      <c r="C5" s="180">
        <f>YEAR(PA[[#This Row],[Date]])+IF(MONTH(PA[[#This Row],[Date]])&gt;=4,1,0)</f>
        <v>2026</v>
      </c>
      <c r="D5" s="155">
        <f>YEAR(PA[[#This Row],[Date]])</f>
        <v>2025</v>
      </c>
      <c r="E5" s="149" t="s">
        <v>4</v>
      </c>
      <c r="F5" s="149" t="s">
        <v>4</v>
      </c>
      <c r="G5" s="228">
        <f>PA[[#This Row],[Date]]-DAY(PA[[#This Row],[Date]])+1</f>
        <v>45748</v>
      </c>
      <c r="H5" s="155">
        <f>DAY(EOMONTH(PA[[#This Row],[Month Year]],0))</f>
        <v>30</v>
      </c>
      <c r="I5" s="151">
        <f>_xlfn.XLOOKUP(PA[[#This Row],[Date]],RD[Date],RD[Sunrise Time (POA&gt;20 W/m2)],0)</f>
        <v>0.26805555555555555</v>
      </c>
      <c r="J5" s="151">
        <f>_xlfn.XLOOKUP(PA[[#This Row],[Date]],RD[Date],RD[Sunset Time (POA&lt;20 W/m2)],0)</f>
        <v>0.77083333333333337</v>
      </c>
      <c r="K5" s="152">
        <f>IFERROR((PA[[#This Row],[Sunset Time (POA&lt;20 W/m2)]]-PA[[#This Row],[Sunrise Time (POA&gt;20 W/m2)]])*24,"")</f>
        <v>12.066666666666666</v>
      </c>
      <c r="L5" s="217" t="s">
        <v>472</v>
      </c>
      <c r="M5" s="150">
        <f>IFERROR(VLOOKUP(PA[[#This Row],[Affceted Equipment]],'Basic Data'!$A$2:$B$125,2,0),"")</f>
        <v>6.4</v>
      </c>
      <c r="N5" s="178">
        <f>IFERROR(VLOOKUP(PA[[#This Row],[Affceted Equipment]],'Basic Data'!$A$1:$C$128,3,0),"")</f>
        <v>2.6359143327841849E-4</v>
      </c>
      <c r="O5" s="149" t="s">
        <v>336</v>
      </c>
      <c r="P5" s="306" t="s">
        <v>677</v>
      </c>
      <c r="Q5" s="305" t="s">
        <v>678</v>
      </c>
      <c r="R5" s="149" t="s">
        <v>679</v>
      </c>
      <c r="S5" s="304">
        <v>0.26805555555555555</v>
      </c>
      <c r="T5" s="304">
        <v>0.49305555555555558</v>
      </c>
      <c r="U5" s="304">
        <v>0.49305555555555558</v>
      </c>
      <c r="V5" s="304">
        <v>0.53472222222222221</v>
      </c>
      <c r="W5" s="150">
        <f>IF(PA[[#This Row],[Acknowledgemnet Time ]]="NA","",(PA[[#This Row],[Acknowledgemnet Time ]]-PA[[#This Row],[Fault Time]])*24)</f>
        <v>5.4</v>
      </c>
      <c r="X5" s="150">
        <f>IF(PA[[#This Row],[Work Start time on Fault]]="NA","",(PA[[#This Row],[Work Start time on Fault]]-PA[[#This Row],[Fault Time]])*24)</f>
        <v>5.4</v>
      </c>
      <c r="Y5" s="152">
        <f>(PA[[#This Row],[Work Completiuon time on fualt]]-PA[[#This Row],[Fault Time]])*24</f>
        <v>6.4</v>
      </c>
      <c r="Z5" s="152">
        <f>IFERROR((PA[[#This Row],[Work Completiuon time on fualt]]-PA[[#This Row],[Fault Time]])*24,"")</f>
        <v>6.4</v>
      </c>
      <c r="AA5" s="305" t="s">
        <v>680</v>
      </c>
      <c r="AB5" s="149" t="s">
        <v>173</v>
      </c>
      <c r="AC5" s="152">
        <f>IFERROR(PA[[#This Row],[Breakdown Time]]*PA[[#This Row],[Plant Equivalent Weightage]],)</f>
        <v>1.6869851729818784E-3</v>
      </c>
      <c r="AD5" s="153">
        <v>1.89</v>
      </c>
      <c r="AE5" s="163">
        <f>IFERROR(_xlfn.XLOOKUP(PA[[#This Row],[Month Year]],'Modelling New'!$D:$D,'Modelling New'!$O:$O)*M5*PA[[#This Row],[Lost PoA(kWh/m2)]],"")</f>
        <v>9.0550389573536751</v>
      </c>
      <c r="AF5" s="150">
        <v>3350</v>
      </c>
      <c r="AG5" s="150"/>
      <c r="AH5" s="150"/>
    </row>
    <row r="6" spans="1:34" ht="29" x14ac:dyDescent="0.35">
      <c r="A6" s="147">
        <f t="shared" si="0"/>
        <v>3</v>
      </c>
      <c r="B6" s="183">
        <v>45770</v>
      </c>
      <c r="C6" s="180">
        <f>YEAR(PA[[#This Row],[Date]])+IF(MONTH(PA[[#This Row],[Date]])&gt;=4,1,0)</f>
        <v>2026</v>
      </c>
      <c r="D6" s="155">
        <f>YEAR(PA[[#This Row],[Date]])</f>
        <v>2025</v>
      </c>
      <c r="E6" s="149" t="s">
        <v>4</v>
      </c>
      <c r="F6" s="149" t="s">
        <v>4</v>
      </c>
      <c r="G6" s="228">
        <f>PA[[#This Row],[Date]]-DAY(PA[[#This Row],[Date]])+1</f>
        <v>45748</v>
      </c>
      <c r="H6" s="155">
        <f>DAY(EOMONTH(PA[[#This Row],[Month Year]],0))</f>
        <v>30</v>
      </c>
      <c r="I6" s="151">
        <f>_xlfn.XLOOKUP(PA[[#This Row],[Date]],RD[Date],RD[Sunrise Time (POA&gt;20 W/m2)],0)</f>
        <v>0.26805555555555555</v>
      </c>
      <c r="J6" s="151">
        <f>_xlfn.XLOOKUP(PA[[#This Row],[Date]],RD[Date],RD[Sunset Time (POA&lt;20 W/m2)],0)</f>
        <v>0.77083333333333337</v>
      </c>
      <c r="K6" s="152">
        <f>IFERROR((PA[[#This Row],[Sunset Time (POA&lt;20 W/m2)]]-PA[[#This Row],[Sunrise Time (POA&gt;20 W/m2)]])*24,"")</f>
        <v>12.066666666666666</v>
      </c>
      <c r="L6" s="217" t="s">
        <v>472</v>
      </c>
      <c r="M6" s="150">
        <f>IFERROR(VLOOKUP(PA[[#This Row],[Affceted Equipment]],'Basic Data'!$A$2:$B$125,2,0),"")</f>
        <v>6.4</v>
      </c>
      <c r="N6" s="178">
        <f>IFERROR(VLOOKUP(PA[[#This Row],[Affceted Equipment]],'Basic Data'!$A$1:$C$128,3,0),"")</f>
        <v>2.6359143327841849E-4</v>
      </c>
      <c r="O6" s="149" t="s">
        <v>336</v>
      </c>
      <c r="P6" s="306" t="s">
        <v>677</v>
      </c>
      <c r="Q6" s="305" t="s">
        <v>678</v>
      </c>
      <c r="R6" s="149" t="s">
        <v>681</v>
      </c>
      <c r="S6" s="304">
        <v>0.26805555555555555</v>
      </c>
      <c r="T6" s="304">
        <v>0.49305555555555558</v>
      </c>
      <c r="U6" s="304">
        <v>0.49305555555555558</v>
      </c>
      <c r="V6" s="187">
        <v>0.57291666666666663</v>
      </c>
      <c r="W6" s="150">
        <f>IF(PA[[#This Row],[Acknowledgemnet Time ]]="NA","",(PA[[#This Row],[Acknowledgemnet Time ]]-PA[[#This Row],[Fault Time]])*24)</f>
        <v>5.4</v>
      </c>
      <c r="X6" s="150">
        <f>IF(PA[[#This Row],[Work Start time on Fault]]="NA","",(PA[[#This Row],[Work Start time on Fault]]-PA[[#This Row],[Fault Time]])*24)</f>
        <v>5.4</v>
      </c>
      <c r="Y6" s="152">
        <f>(PA[[#This Row],[Work Completiuon time on fualt]]-PA[[#This Row],[Fault Time]])*24</f>
        <v>7.3166666666666664</v>
      </c>
      <c r="Z6" s="152">
        <f>IFERROR((PA[[#This Row],[Work Completiuon time on fualt]]-PA[[#This Row],[Fault Time]])*24,"")</f>
        <v>7.3166666666666664</v>
      </c>
      <c r="AA6" s="305" t="s">
        <v>682</v>
      </c>
      <c r="AB6" s="149" t="s">
        <v>173</v>
      </c>
      <c r="AC6" s="152">
        <f>IFERROR(PA[[#This Row],[Breakdown Time]]*PA[[#This Row],[Plant Equivalent Weightage]],)</f>
        <v>1.9286106534870953E-3</v>
      </c>
      <c r="AD6" s="153">
        <v>1.36</v>
      </c>
      <c r="AE6" s="163">
        <f>IFERROR(_xlfn.XLOOKUP(PA[[#This Row],[Month Year]],'Modelling New'!$D:$D,'Modelling New'!$O:$O)*M6*PA[[#This Row],[Lost PoA(kWh/m2)]],"")</f>
        <v>6.5157952285719576</v>
      </c>
      <c r="AF6" s="150">
        <v>3350</v>
      </c>
      <c r="AG6" s="150"/>
      <c r="AH6" s="150"/>
    </row>
    <row r="7" spans="1:34" ht="29" x14ac:dyDescent="0.35">
      <c r="A7" s="147">
        <f t="shared" si="0"/>
        <v>4</v>
      </c>
      <c r="B7" s="183">
        <v>45770</v>
      </c>
      <c r="C7" s="180">
        <f>YEAR(PA[[#This Row],[Date]])+IF(MONTH(PA[[#This Row],[Date]])&gt;=4,1,0)</f>
        <v>2026</v>
      </c>
      <c r="D7" s="155">
        <f>YEAR(PA[[#This Row],[Date]])</f>
        <v>2025</v>
      </c>
      <c r="E7" s="149" t="s">
        <v>4</v>
      </c>
      <c r="F7" s="149" t="s">
        <v>4</v>
      </c>
      <c r="G7" s="228">
        <f>PA[[#This Row],[Date]]-DAY(PA[[#This Row],[Date]])+1</f>
        <v>45748</v>
      </c>
      <c r="H7" s="155">
        <f>DAY(EOMONTH(PA[[#This Row],[Month Year]],0))</f>
        <v>30</v>
      </c>
      <c r="I7" s="151">
        <f>_xlfn.XLOOKUP(PA[[#This Row],[Date]],RD[Date],RD[Sunrise Time (POA&gt;20 W/m2)],0)</f>
        <v>0.26805555555555555</v>
      </c>
      <c r="J7" s="151">
        <f>_xlfn.XLOOKUP(PA[[#This Row],[Date]],RD[Date],RD[Sunset Time (POA&lt;20 W/m2)],0)</f>
        <v>0.77083333333333337</v>
      </c>
      <c r="K7" s="152">
        <f>IFERROR((PA[[#This Row],[Sunset Time (POA&lt;20 W/m2)]]-PA[[#This Row],[Sunrise Time (POA&gt;20 W/m2)]])*24,"")</f>
        <v>12.066666666666666</v>
      </c>
      <c r="L7" s="217" t="s">
        <v>472</v>
      </c>
      <c r="M7" s="150">
        <f>IFERROR(VLOOKUP(PA[[#This Row],[Affceted Equipment]],'Basic Data'!$A$2:$B$125,2,0),"")</f>
        <v>6.4</v>
      </c>
      <c r="N7" s="178">
        <f>IFERROR(VLOOKUP(PA[[#This Row],[Affceted Equipment]],'Basic Data'!$A$1:$C$128,3,0),"")</f>
        <v>2.6359143327841849E-4</v>
      </c>
      <c r="O7" s="149" t="s">
        <v>336</v>
      </c>
      <c r="P7" s="306" t="s">
        <v>677</v>
      </c>
      <c r="Q7" s="305" t="s">
        <v>678</v>
      </c>
      <c r="R7" s="149" t="s">
        <v>683</v>
      </c>
      <c r="S7" s="304">
        <v>0.26805555555555555</v>
      </c>
      <c r="T7" s="304">
        <v>0.49305555555555558</v>
      </c>
      <c r="U7" s="304">
        <v>0.49305555555555558</v>
      </c>
      <c r="V7" s="187">
        <v>0.59166666666666667</v>
      </c>
      <c r="W7" s="150">
        <f>IF(PA[[#This Row],[Acknowledgemnet Time ]]="NA","",(PA[[#This Row],[Acknowledgemnet Time ]]-PA[[#This Row],[Fault Time]])*24)</f>
        <v>5.4</v>
      </c>
      <c r="X7" s="150">
        <f>IF(PA[[#This Row],[Work Start time on Fault]]="NA","",(PA[[#This Row],[Work Start time on Fault]]-PA[[#This Row],[Fault Time]])*24)</f>
        <v>5.4</v>
      </c>
      <c r="Y7" s="152">
        <f>(PA[[#This Row],[Work Completiuon time on fualt]]-PA[[#This Row],[Fault Time]])*24</f>
        <v>7.7666666666666675</v>
      </c>
      <c r="Z7" s="152">
        <f>IFERROR((PA[[#This Row],[Work Completiuon time on fualt]]-PA[[#This Row],[Fault Time]])*24,"")</f>
        <v>7.7666666666666675</v>
      </c>
      <c r="AA7" s="305" t="s">
        <v>684</v>
      </c>
      <c r="AB7" s="149" t="s">
        <v>173</v>
      </c>
      <c r="AC7" s="152">
        <f>IFERROR(PA[[#This Row],[Breakdown Time]]*PA[[#This Row],[Plant Equivalent Weightage]],)</f>
        <v>2.047226798462384E-3</v>
      </c>
      <c r="AD7" s="153">
        <v>2.34</v>
      </c>
      <c r="AE7" s="163">
        <f>IFERROR(_xlfn.XLOOKUP(PA[[#This Row],[Month Year]],'Modelling New'!$D:$D,'Modelling New'!$O:$O)*M7*PA[[#This Row],[Lost PoA(kWh/m2)]],"")</f>
        <v>11.211000613866455</v>
      </c>
      <c r="AF7" s="150">
        <v>3350</v>
      </c>
      <c r="AG7" s="150"/>
      <c r="AH7" s="150"/>
    </row>
    <row r="8" spans="1:34" ht="29" x14ac:dyDescent="0.35">
      <c r="A8" s="147">
        <f t="shared" si="0"/>
        <v>5</v>
      </c>
      <c r="B8" s="183">
        <v>45770</v>
      </c>
      <c r="C8" s="180">
        <f>YEAR(PA[[#This Row],[Date]])+IF(MONTH(PA[[#This Row],[Date]])&gt;=4,1,0)</f>
        <v>2026</v>
      </c>
      <c r="D8" s="155">
        <f>YEAR(PA[[#This Row],[Date]])</f>
        <v>2025</v>
      </c>
      <c r="E8" s="149" t="s">
        <v>4</v>
      </c>
      <c r="F8" s="149" t="s">
        <v>4</v>
      </c>
      <c r="G8" s="228">
        <f>PA[[#This Row],[Date]]-DAY(PA[[#This Row],[Date]])+1</f>
        <v>45748</v>
      </c>
      <c r="H8" s="155">
        <f>DAY(EOMONTH(PA[[#This Row],[Month Year]],0))</f>
        <v>30</v>
      </c>
      <c r="I8" s="151">
        <f>_xlfn.XLOOKUP(PA[[#This Row],[Date]],RD[Date],RD[Sunrise Time (POA&gt;20 W/m2)],0)</f>
        <v>0.26805555555555555</v>
      </c>
      <c r="J8" s="151">
        <f>_xlfn.XLOOKUP(PA[[#This Row],[Date]],RD[Date],RD[Sunset Time (POA&lt;20 W/m2)],0)</f>
        <v>0.77083333333333337</v>
      </c>
      <c r="K8" s="152">
        <f>IFERROR((PA[[#This Row],[Sunset Time (POA&lt;20 W/m2)]]-PA[[#This Row],[Sunrise Time (POA&gt;20 W/m2)]])*24,"")</f>
        <v>12.066666666666666</v>
      </c>
      <c r="L8" s="217" t="s">
        <v>472</v>
      </c>
      <c r="M8" s="150">
        <f>IFERROR(VLOOKUP(PA[[#This Row],[Affceted Equipment]],'Basic Data'!$A$2:$B$125,2,0),"")</f>
        <v>6.4</v>
      </c>
      <c r="N8" s="178">
        <f>IFERROR(VLOOKUP(PA[[#This Row],[Affceted Equipment]],'Basic Data'!$A$1:$C$128,3,0),"")</f>
        <v>2.6359143327841849E-4</v>
      </c>
      <c r="O8" s="149" t="s">
        <v>357</v>
      </c>
      <c r="P8" s="306" t="s">
        <v>677</v>
      </c>
      <c r="Q8" s="305" t="s">
        <v>678</v>
      </c>
      <c r="R8" s="149" t="s">
        <v>685</v>
      </c>
      <c r="S8" s="304">
        <v>0.26805555555555555</v>
      </c>
      <c r="T8" s="187">
        <v>0.60416666666666663</v>
      </c>
      <c r="U8" s="187">
        <v>0.60416666666666663</v>
      </c>
      <c r="V8" s="187">
        <v>0.65</v>
      </c>
      <c r="W8" s="150">
        <f>IF(PA[[#This Row],[Acknowledgemnet Time ]]="NA","",(PA[[#This Row],[Acknowledgemnet Time ]]-PA[[#This Row],[Fault Time]])*24)</f>
        <v>8.0666666666666664</v>
      </c>
      <c r="X8" s="150">
        <f>IF(PA[[#This Row],[Work Start time on Fault]]="NA","",(PA[[#This Row],[Work Start time on Fault]]-PA[[#This Row],[Fault Time]])*24)</f>
        <v>8.0666666666666664</v>
      </c>
      <c r="Y8" s="152">
        <f>(PA[[#This Row],[Work Completiuon time on fualt]]-PA[[#This Row],[Fault Time]])*24</f>
        <v>9.1666666666666679</v>
      </c>
      <c r="Z8" s="152">
        <f>IFERROR((PA[[#This Row],[Work Completiuon time on fualt]]-PA[[#This Row],[Fault Time]])*24,"")</f>
        <v>9.1666666666666679</v>
      </c>
      <c r="AA8" s="309" t="s">
        <v>686</v>
      </c>
      <c r="AB8" s="149" t="s">
        <v>173</v>
      </c>
      <c r="AC8" s="152">
        <f>IFERROR(PA[[#This Row],[Breakdown Time]]*PA[[#This Row],[Plant Equivalent Weightage]],)</f>
        <v>2.41625480505217E-3</v>
      </c>
      <c r="AD8" s="153">
        <v>3.87</v>
      </c>
      <c r="AE8" s="163">
        <f>IFERROR(_xlfn.XLOOKUP(PA[[#This Row],[Month Year]],'Modelling New'!$D:$D,'Modelling New'!$O:$O)*M8*PA[[#This Row],[Lost PoA(kWh/m2)]],"")</f>
        <v>18.541270246009908</v>
      </c>
      <c r="AF8" s="150">
        <v>3350</v>
      </c>
      <c r="AG8" s="150"/>
      <c r="AH8" s="150"/>
    </row>
    <row r="9" spans="1:34" ht="29" x14ac:dyDescent="0.35">
      <c r="A9" s="147">
        <f t="shared" si="0"/>
        <v>6</v>
      </c>
      <c r="B9" s="183">
        <v>45772</v>
      </c>
      <c r="C9" s="180">
        <f>YEAR(PA[[#This Row],[Date]])+IF(MONTH(PA[[#This Row],[Date]])&gt;=4,1,0)</f>
        <v>2026</v>
      </c>
      <c r="D9" s="155">
        <f>YEAR(PA[[#This Row],[Date]])</f>
        <v>2025</v>
      </c>
      <c r="E9" s="149" t="s">
        <v>4</v>
      </c>
      <c r="F9" s="149" t="s">
        <v>4</v>
      </c>
      <c r="G9" s="228">
        <f>PA[[#This Row],[Date]]-DAY(PA[[#This Row],[Date]])+1</f>
        <v>45748</v>
      </c>
      <c r="H9" s="155">
        <f>DAY(EOMONTH(PA[[#This Row],[Month Year]],0))</f>
        <v>30</v>
      </c>
      <c r="I9" s="151">
        <f>_xlfn.XLOOKUP(PA[[#This Row],[Date]],RD[Date],RD[Sunrise Time (POA&gt;20 W/m2)],0)</f>
        <v>0.26666666666666666</v>
      </c>
      <c r="J9" s="151">
        <f>_xlfn.XLOOKUP(PA[[#This Row],[Date]],RD[Date],RD[Sunset Time (POA&lt;20 W/m2)],0)</f>
        <v>0.7680555555555556</v>
      </c>
      <c r="K9" s="152">
        <f>IFERROR((PA[[#This Row],[Sunset Time (POA&lt;20 W/m2)]]-PA[[#This Row],[Sunrise Time (POA&gt;20 W/m2)]])*24,"")</f>
        <v>12.033333333333333</v>
      </c>
      <c r="L9" s="217" t="s">
        <v>472</v>
      </c>
      <c r="M9" s="150">
        <f>IFERROR(VLOOKUP(PA[[#This Row],[Affceted Equipment]],'Basic Data'!$A$2:$B$125,2,0),"")</f>
        <v>6.4</v>
      </c>
      <c r="N9" s="178">
        <f>IFERROR(VLOOKUP(PA[[#This Row],[Affceted Equipment]],'Basic Data'!$A$1:$C$128,3,0),"")</f>
        <v>2.6359143327841849E-4</v>
      </c>
      <c r="O9" s="149" t="s">
        <v>399</v>
      </c>
      <c r="P9" s="306" t="s">
        <v>677</v>
      </c>
      <c r="Q9" s="305" t="s">
        <v>678</v>
      </c>
      <c r="R9" s="149" t="s">
        <v>687</v>
      </c>
      <c r="S9" s="304">
        <v>0.26666666666666666</v>
      </c>
      <c r="T9" s="304">
        <v>0.49305555555555558</v>
      </c>
      <c r="U9" s="304">
        <v>0.49305555555555558</v>
      </c>
      <c r="V9" s="187">
        <v>0.57291666666666663</v>
      </c>
      <c r="W9" s="150">
        <f>IF(PA[[#This Row],[Acknowledgemnet Time ]]="NA","",(PA[[#This Row],[Acknowledgemnet Time ]]-PA[[#This Row],[Fault Time]])*24)</f>
        <v>5.4333333333333336</v>
      </c>
      <c r="X9" s="150">
        <f>IF(PA[[#This Row],[Work Start time on Fault]]="NA","",(PA[[#This Row],[Work Start time on Fault]]-PA[[#This Row],[Fault Time]])*24)</f>
        <v>5.4333333333333336</v>
      </c>
      <c r="Y9" s="152">
        <f>(PA[[#This Row],[Work Completiuon time on fualt]]-PA[[#This Row],[Fault Time]])*24</f>
        <v>7.35</v>
      </c>
      <c r="Z9" s="308">
        <f>IFERROR((PA[[#This Row],[Work Completiuon time on fualt]]-PA[[#This Row],[Fault Time]])*24,"")</f>
        <v>7.35</v>
      </c>
      <c r="AA9" s="307" t="s">
        <v>688</v>
      </c>
      <c r="AB9" s="147" t="s">
        <v>173</v>
      </c>
      <c r="AC9" s="152">
        <f>IFERROR(PA[[#This Row],[Breakdown Time]]*PA[[#This Row],[Plant Equivalent Weightage]],)</f>
        <v>1.9373970345963759E-3</v>
      </c>
      <c r="AD9" s="153">
        <v>3.85</v>
      </c>
      <c r="AE9" s="163">
        <f>IFERROR(_xlfn.XLOOKUP(PA[[#This Row],[Month Year]],'Modelling New'!$D:$D,'Modelling New'!$O:$O)*M9*PA[[#This Row],[Lost PoA(kWh/m2)]],"")</f>
        <v>18.445449727942673</v>
      </c>
      <c r="AF9" s="150">
        <v>3383</v>
      </c>
      <c r="AG9" s="150"/>
      <c r="AH9" s="150"/>
    </row>
    <row r="10" spans="1:34" ht="29" x14ac:dyDescent="0.35">
      <c r="A10" s="147">
        <f t="shared" si="0"/>
        <v>7</v>
      </c>
      <c r="B10" s="183">
        <v>45772</v>
      </c>
      <c r="C10" s="180">
        <f>YEAR(PA[[#This Row],[Date]])+IF(MONTH(PA[[#This Row],[Date]])&gt;=4,1,0)</f>
        <v>2026</v>
      </c>
      <c r="D10" s="155">
        <f>YEAR(PA[[#This Row],[Date]])</f>
        <v>2025</v>
      </c>
      <c r="E10" s="149" t="s">
        <v>4</v>
      </c>
      <c r="F10" s="149" t="s">
        <v>4</v>
      </c>
      <c r="G10" s="228">
        <f>PA[[#This Row],[Date]]-DAY(PA[[#This Row],[Date]])+1</f>
        <v>45748</v>
      </c>
      <c r="H10" s="155">
        <f>DAY(EOMONTH(PA[[#This Row],[Month Year]],0))</f>
        <v>30</v>
      </c>
      <c r="I10" s="151">
        <f>_xlfn.XLOOKUP(PA[[#This Row],[Date]],RD[Date],RD[Sunrise Time (POA&gt;20 W/m2)],0)</f>
        <v>0.26666666666666666</v>
      </c>
      <c r="J10" s="151">
        <f>_xlfn.XLOOKUP(PA[[#This Row],[Date]],RD[Date],RD[Sunset Time (POA&lt;20 W/m2)],0)</f>
        <v>0.7680555555555556</v>
      </c>
      <c r="K10" s="152">
        <f>IFERROR((PA[[#This Row],[Sunset Time (POA&lt;20 W/m2)]]-PA[[#This Row],[Sunrise Time (POA&gt;20 W/m2)]])*24,"")</f>
        <v>12.033333333333333</v>
      </c>
      <c r="L10" s="217" t="s">
        <v>472</v>
      </c>
      <c r="M10" s="150">
        <f>IFERROR(VLOOKUP(PA[[#This Row],[Affceted Equipment]],'Basic Data'!$A$2:$B$125,2,0),"")</f>
        <v>6.4</v>
      </c>
      <c r="N10" s="178">
        <f>IFERROR(VLOOKUP(PA[[#This Row],[Affceted Equipment]],'Basic Data'!$A$1:$C$128,3,0),"")</f>
        <v>2.6359143327841849E-4</v>
      </c>
      <c r="O10" s="149" t="s">
        <v>423</v>
      </c>
      <c r="P10" s="306" t="s">
        <v>677</v>
      </c>
      <c r="Q10" s="305" t="s">
        <v>678</v>
      </c>
      <c r="R10" s="149" t="s">
        <v>689</v>
      </c>
      <c r="S10" s="304">
        <v>0.26666666666666666</v>
      </c>
      <c r="T10" s="187">
        <v>0.57638888888888884</v>
      </c>
      <c r="U10" s="187">
        <v>0.57638888888888884</v>
      </c>
      <c r="V10" s="187">
        <v>0.6118055555555556</v>
      </c>
      <c r="W10" s="150">
        <f>IF(PA[[#This Row],[Acknowledgemnet Time ]]="NA","",(PA[[#This Row],[Acknowledgemnet Time ]]-PA[[#This Row],[Fault Time]])*24)</f>
        <v>7.4333333333333318</v>
      </c>
      <c r="X10" s="150">
        <f>IF(PA[[#This Row],[Work Start time on Fault]]="NA","",(PA[[#This Row],[Work Start time on Fault]]-PA[[#This Row],[Fault Time]])*24)</f>
        <v>7.4333333333333318</v>
      </c>
      <c r="Y10" s="152">
        <f>(PA[[#This Row],[Work Completiuon time on fualt]]-PA[[#This Row],[Fault Time]])*24</f>
        <v>8.283333333333335</v>
      </c>
      <c r="Z10" s="308">
        <f>IFERROR((PA[[#This Row],[Work Completiuon time on fualt]]-PA[[#This Row],[Fault Time]])*24,"")</f>
        <v>8.283333333333335</v>
      </c>
      <c r="AA10" s="307" t="s">
        <v>690</v>
      </c>
      <c r="AB10" s="147" t="s">
        <v>173</v>
      </c>
      <c r="AC10" s="152">
        <f>IFERROR(PA[[#This Row],[Breakdown Time]]*PA[[#This Row],[Plant Equivalent Weightage]],)</f>
        <v>2.1834157056562337E-3</v>
      </c>
      <c r="AD10" s="153">
        <v>2.79</v>
      </c>
      <c r="AE10" s="163">
        <f>IFERROR(_xlfn.XLOOKUP(PA[[#This Row],[Month Year]],'Modelling New'!$D:$D,'Modelling New'!$O:$O)*M10*PA[[#This Row],[Lost PoA(kWh/m2)]],"")</f>
        <v>13.366962270379236</v>
      </c>
      <c r="AF10" s="150">
        <v>3383</v>
      </c>
      <c r="AG10" s="150"/>
      <c r="AH10" s="150"/>
    </row>
    <row r="11" spans="1:34" ht="29" x14ac:dyDescent="0.35">
      <c r="A11" s="147">
        <f t="shared" si="0"/>
        <v>8</v>
      </c>
      <c r="B11" s="183">
        <v>45772</v>
      </c>
      <c r="C11" s="180">
        <f>YEAR(PA[[#This Row],[Date]])+IF(MONTH(PA[[#This Row],[Date]])&gt;=4,1,0)</f>
        <v>2026</v>
      </c>
      <c r="D11" s="155">
        <f>YEAR(PA[[#This Row],[Date]])</f>
        <v>2025</v>
      </c>
      <c r="E11" s="149" t="s">
        <v>4</v>
      </c>
      <c r="F11" s="149" t="s">
        <v>4</v>
      </c>
      <c r="G11" s="228">
        <f>PA[[#This Row],[Date]]-DAY(PA[[#This Row],[Date]])+1</f>
        <v>45748</v>
      </c>
      <c r="H11" s="155">
        <f>DAY(EOMONTH(PA[[#This Row],[Month Year]],0))</f>
        <v>30</v>
      </c>
      <c r="I11" s="151">
        <f>_xlfn.XLOOKUP(PA[[#This Row],[Date]],RD[Date],RD[Sunrise Time (POA&gt;20 W/m2)],0)</f>
        <v>0.26666666666666666</v>
      </c>
      <c r="J11" s="151">
        <f>_xlfn.XLOOKUP(PA[[#This Row],[Date]],RD[Date],RD[Sunset Time (POA&lt;20 W/m2)],0)</f>
        <v>0.7680555555555556</v>
      </c>
      <c r="K11" s="152">
        <f>IFERROR((PA[[#This Row],[Sunset Time (POA&lt;20 W/m2)]]-PA[[#This Row],[Sunrise Time (POA&gt;20 W/m2)]])*24,"")</f>
        <v>12.033333333333333</v>
      </c>
      <c r="L11" s="217" t="s">
        <v>472</v>
      </c>
      <c r="M11" s="150">
        <f>IFERROR(VLOOKUP(PA[[#This Row],[Affceted Equipment]],'Basic Data'!$A$2:$B$125,2,0),"")</f>
        <v>6.4</v>
      </c>
      <c r="N11" s="178">
        <f>IFERROR(VLOOKUP(PA[[#This Row],[Affceted Equipment]],'Basic Data'!$A$1:$C$128,3,0),"")</f>
        <v>2.6359143327841849E-4</v>
      </c>
      <c r="O11" s="149" t="s">
        <v>423</v>
      </c>
      <c r="P11" s="306" t="s">
        <v>677</v>
      </c>
      <c r="Q11" s="305" t="s">
        <v>678</v>
      </c>
      <c r="R11" s="149" t="s">
        <v>691</v>
      </c>
      <c r="S11" s="304">
        <v>0.26666666666666666</v>
      </c>
      <c r="T11" s="187">
        <v>0.57638888888888884</v>
      </c>
      <c r="U11" s="187">
        <v>0.57638888888888884</v>
      </c>
      <c r="V11" s="187">
        <v>0.6118055555555556</v>
      </c>
      <c r="W11" s="150">
        <f>IF(PA[[#This Row],[Acknowledgemnet Time ]]="NA","",(PA[[#This Row],[Acknowledgemnet Time ]]-PA[[#This Row],[Fault Time]])*24)</f>
        <v>7.4333333333333318</v>
      </c>
      <c r="X11" s="150">
        <f>IF(PA[[#This Row],[Work Start time on Fault]]="NA","",(PA[[#This Row],[Work Start time on Fault]]-PA[[#This Row],[Fault Time]])*24)</f>
        <v>7.4333333333333318</v>
      </c>
      <c r="Y11" s="152">
        <f>(PA[[#This Row],[Work Completiuon time on fualt]]-PA[[#This Row],[Fault Time]])*24</f>
        <v>8.283333333333335</v>
      </c>
      <c r="Z11" s="308">
        <f>IFERROR((PA[[#This Row],[Work Completiuon time on fualt]]-PA[[#This Row],[Fault Time]])*24,"")</f>
        <v>8.283333333333335</v>
      </c>
      <c r="AA11" s="307" t="s">
        <v>692</v>
      </c>
      <c r="AB11" s="147" t="s">
        <v>173</v>
      </c>
      <c r="AC11" s="152">
        <f>IFERROR(PA[[#This Row],[Breakdown Time]]*PA[[#This Row],[Plant Equivalent Weightage]],)</f>
        <v>2.1834157056562337E-3</v>
      </c>
      <c r="AD11" s="153">
        <v>2.79</v>
      </c>
      <c r="AE11" s="163">
        <f>IFERROR(_xlfn.XLOOKUP(PA[[#This Row],[Month Year]],'Modelling New'!$D:$D,'Modelling New'!$O:$O)*M11*PA[[#This Row],[Lost PoA(kWh/m2)]],"")</f>
        <v>13.366962270379236</v>
      </c>
      <c r="AF11" s="150">
        <v>3383</v>
      </c>
      <c r="AG11" s="150"/>
      <c r="AH11" s="150"/>
    </row>
    <row r="12" spans="1:34" ht="24.75" customHeight="1" x14ac:dyDescent="0.35">
      <c r="A12" s="147">
        <f t="shared" si="0"/>
        <v>9</v>
      </c>
      <c r="B12" s="183">
        <v>45772</v>
      </c>
      <c r="C12" s="180">
        <f>YEAR(PA[[#This Row],[Date]])+IF(MONTH(PA[[#This Row],[Date]])&gt;=4,1,0)</f>
        <v>2026</v>
      </c>
      <c r="D12" s="155">
        <f>YEAR(PA[[#This Row],[Date]])</f>
        <v>2025</v>
      </c>
      <c r="E12" s="149" t="s">
        <v>4</v>
      </c>
      <c r="F12" s="149" t="s">
        <v>4</v>
      </c>
      <c r="G12" s="310">
        <f>PA[[#This Row],[Date]]-DAY(PA[[#This Row],[Date]])+1</f>
        <v>45748</v>
      </c>
      <c r="H12" s="155">
        <f>DAY(EOMONTH(PA[[#This Row],[Month Year]],0))</f>
        <v>30</v>
      </c>
      <c r="I12" s="151">
        <f>_xlfn.XLOOKUP(PA[[#This Row],[Date]],RD[Date],RD[Sunrise Time (POA&gt;20 W/m2)],0)</f>
        <v>0.26666666666666666</v>
      </c>
      <c r="J12" s="151">
        <f>_xlfn.XLOOKUP(PA[[#This Row],[Date]],RD[Date],RD[Sunset Time (POA&lt;20 W/m2)],0)</f>
        <v>0.7680555555555556</v>
      </c>
      <c r="K12" s="152">
        <f>IFERROR((PA[[#This Row],[Sunset Time (POA&lt;20 W/m2)]]-PA[[#This Row],[Sunrise Time (POA&gt;20 W/m2)]])*24,"")</f>
        <v>12.033333333333333</v>
      </c>
      <c r="L12" s="217" t="s">
        <v>472</v>
      </c>
      <c r="M12" s="180">
        <f>IFERROR(VLOOKUP(PA[[#This Row],[Affceted Equipment]],'Basic Data'!$A$2:$B$125,2,0),"")</f>
        <v>6.4</v>
      </c>
      <c r="N12" s="181">
        <f>IFERROR(VLOOKUP(PA[[#This Row],[Affceted Equipment]],'Basic Data'!$A$1:$C$128,3,0),"")</f>
        <v>2.6359143327841849E-4</v>
      </c>
      <c r="O12" s="149" t="s">
        <v>423</v>
      </c>
      <c r="P12" s="306" t="s">
        <v>677</v>
      </c>
      <c r="Q12" s="305" t="s">
        <v>678</v>
      </c>
      <c r="R12" s="149" t="s">
        <v>693</v>
      </c>
      <c r="S12" s="304">
        <v>0.26666666666666666</v>
      </c>
      <c r="T12" s="187">
        <v>0.57638888888888884</v>
      </c>
      <c r="U12" s="187">
        <v>0.57638888888888884</v>
      </c>
      <c r="V12" s="187">
        <v>0.6118055555555556</v>
      </c>
      <c r="W12" s="182">
        <f>IF(PA[[#This Row],[Acknowledgemnet Time ]]="NA","",(PA[[#This Row],[Acknowledgemnet Time ]]-PA[[#This Row],[Fault Time]])*24)</f>
        <v>7.4333333333333318</v>
      </c>
      <c r="X12" s="182">
        <f>IF(PA[[#This Row],[Work Start time on Fault]]="NA","",(PA[[#This Row],[Work Start time on Fault]]-PA[[#This Row],[Fault Time]])*24)</f>
        <v>7.4333333333333318</v>
      </c>
      <c r="Y12" s="153">
        <f>(PA[[#This Row],[Work Completiuon time on fualt]]-PA[[#This Row],[Fault Time]])*24</f>
        <v>8.283333333333335</v>
      </c>
      <c r="Z12" s="153">
        <f>IFERROR((PA[[#This Row],[Work Completiuon time on fualt]]-PA[[#This Row],[Fault Time]])*24,"")</f>
        <v>8.283333333333335</v>
      </c>
      <c r="AA12" s="307" t="s">
        <v>694</v>
      </c>
      <c r="AB12" s="147" t="s">
        <v>173</v>
      </c>
      <c r="AC12" s="152">
        <f>IFERROR(PA[[#This Row],[Breakdown Time]]*PA[[#This Row],[Plant Equivalent Weightage]],)</f>
        <v>2.1834157056562337E-3</v>
      </c>
      <c r="AD12" s="153">
        <v>2.79</v>
      </c>
      <c r="AE12" s="163">
        <f>IFERROR(_xlfn.XLOOKUP(PA[[#This Row],[Month Year]],'Modelling New'!$D:$D,'Modelling New'!$O:$O)*M12*PA[[#This Row],[Lost PoA(kWh/m2)]],"")</f>
        <v>13.366962270379236</v>
      </c>
      <c r="AF12" s="150">
        <v>3383</v>
      </c>
      <c r="AG12" s="150"/>
      <c r="AH12" s="150"/>
    </row>
    <row r="13" spans="1:34" ht="29" x14ac:dyDescent="0.35">
      <c r="A13" s="147">
        <f t="shared" si="0"/>
        <v>10</v>
      </c>
      <c r="B13" s="183">
        <v>45772</v>
      </c>
      <c r="C13" s="180">
        <f>YEAR(PA[[#This Row],[Date]])+IF(MONTH(PA[[#This Row],[Date]])&gt;=4,1,0)</f>
        <v>2026</v>
      </c>
      <c r="D13" s="155">
        <f>YEAR(PA[[#This Row],[Date]])</f>
        <v>2025</v>
      </c>
      <c r="E13" s="149" t="s">
        <v>4</v>
      </c>
      <c r="F13" s="149" t="s">
        <v>4</v>
      </c>
      <c r="G13" s="228">
        <f>PA[[#This Row],[Date]]-DAY(PA[[#This Row],[Date]])+1</f>
        <v>45748</v>
      </c>
      <c r="H13" s="155">
        <f>DAY(EOMONTH(PA[[#This Row],[Month Year]],0))</f>
        <v>30</v>
      </c>
      <c r="I13" s="151">
        <f>_xlfn.XLOOKUP(PA[[#This Row],[Date]],RD[Date],RD[Sunrise Time (POA&gt;20 W/m2)],0)</f>
        <v>0.26666666666666666</v>
      </c>
      <c r="J13" s="151">
        <f>_xlfn.XLOOKUP(PA[[#This Row],[Date]],RD[Date],RD[Sunset Time (POA&lt;20 W/m2)],0)</f>
        <v>0.7680555555555556</v>
      </c>
      <c r="K13" s="152">
        <f>IFERROR((PA[[#This Row],[Sunset Time (POA&lt;20 W/m2)]]-PA[[#This Row],[Sunrise Time (POA&gt;20 W/m2)]])*24,"")</f>
        <v>12.033333333333333</v>
      </c>
      <c r="L13" s="217" t="s">
        <v>472</v>
      </c>
      <c r="M13" s="150">
        <f>IFERROR(VLOOKUP(PA[[#This Row],[Affceted Equipment]],'Basic Data'!$A$2:$B$125,2,0),"")</f>
        <v>6.4</v>
      </c>
      <c r="N13" s="178">
        <f>IFERROR(VLOOKUP(PA[[#This Row],[Affceted Equipment]],'Basic Data'!$A$1:$C$128,3,0),"")</f>
        <v>2.6359143327841849E-4</v>
      </c>
      <c r="O13" s="149" t="s">
        <v>423</v>
      </c>
      <c r="P13" s="306" t="s">
        <v>677</v>
      </c>
      <c r="Q13" s="305" t="s">
        <v>678</v>
      </c>
      <c r="R13" s="149" t="s">
        <v>695</v>
      </c>
      <c r="S13" s="304">
        <v>0.26666666666666666</v>
      </c>
      <c r="T13" s="187">
        <v>0.57638888888888884</v>
      </c>
      <c r="U13" s="187">
        <v>0.57638888888888884</v>
      </c>
      <c r="V13" s="187">
        <v>0.6118055555555556</v>
      </c>
      <c r="W13" s="150">
        <f>IF(PA[[#This Row],[Acknowledgemnet Time ]]="NA","",(PA[[#This Row],[Acknowledgemnet Time ]]-PA[[#This Row],[Fault Time]])*24)</f>
        <v>7.4333333333333318</v>
      </c>
      <c r="X13" s="150">
        <f>IF(PA[[#This Row],[Work Start time on Fault]]="NA","",(PA[[#This Row],[Work Start time on Fault]]-PA[[#This Row],[Fault Time]])*24)</f>
        <v>7.4333333333333318</v>
      </c>
      <c r="Y13" s="152">
        <f>(PA[[#This Row],[Work Completiuon time on fualt]]-PA[[#This Row],[Fault Time]])*24</f>
        <v>8.283333333333335</v>
      </c>
      <c r="Z13" s="308">
        <f>IFERROR((PA[[#This Row],[Work Completiuon time on fualt]]-PA[[#This Row],[Fault Time]])*24,"")</f>
        <v>8.283333333333335</v>
      </c>
      <c r="AA13" s="307" t="s">
        <v>696</v>
      </c>
      <c r="AB13" s="147" t="s">
        <v>173</v>
      </c>
      <c r="AC13" s="152">
        <f>IFERROR(PA[[#This Row],[Breakdown Time]]*PA[[#This Row],[Plant Equivalent Weightage]],)</f>
        <v>2.1834157056562337E-3</v>
      </c>
      <c r="AD13" s="153">
        <v>2.79</v>
      </c>
      <c r="AE13" s="163">
        <f>IFERROR(_xlfn.XLOOKUP(PA[[#This Row],[Month Year]],'Modelling New'!$D:$D,'Modelling New'!$O:$O)*M13*PA[[#This Row],[Lost PoA(kWh/m2)]],"")</f>
        <v>13.366962270379236</v>
      </c>
      <c r="AF13" s="150">
        <v>3383</v>
      </c>
      <c r="AG13" s="150"/>
      <c r="AH13" s="150"/>
    </row>
    <row r="14" spans="1:34" ht="29" x14ac:dyDescent="0.35">
      <c r="A14" s="147">
        <f t="shared" si="0"/>
        <v>11</v>
      </c>
      <c r="B14" s="183">
        <v>45772</v>
      </c>
      <c r="C14" s="180">
        <f>YEAR(PA[[#This Row],[Date]])+IF(MONTH(PA[[#This Row],[Date]])&gt;=4,1,0)</f>
        <v>2026</v>
      </c>
      <c r="D14" s="155">
        <f>YEAR(PA[[#This Row],[Date]])</f>
        <v>2025</v>
      </c>
      <c r="E14" s="149" t="s">
        <v>4</v>
      </c>
      <c r="F14" s="149" t="s">
        <v>4</v>
      </c>
      <c r="G14" s="228">
        <f>PA[[#This Row],[Date]]-DAY(PA[[#This Row],[Date]])+1</f>
        <v>45748</v>
      </c>
      <c r="H14" s="155">
        <f>DAY(EOMONTH(PA[[#This Row],[Month Year]],0))</f>
        <v>30</v>
      </c>
      <c r="I14" s="151">
        <f>_xlfn.XLOOKUP(PA[[#This Row],[Date]],RD[Date],RD[Sunrise Time (POA&gt;20 W/m2)],0)</f>
        <v>0.26666666666666666</v>
      </c>
      <c r="J14" s="151">
        <f>_xlfn.XLOOKUP(PA[[#This Row],[Date]],RD[Date],RD[Sunset Time (POA&lt;20 W/m2)],0)</f>
        <v>0.7680555555555556</v>
      </c>
      <c r="K14" s="152">
        <f>IFERROR((PA[[#This Row],[Sunset Time (POA&lt;20 W/m2)]]-PA[[#This Row],[Sunrise Time (POA&gt;20 W/m2)]])*24,"")</f>
        <v>12.033333333333333</v>
      </c>
      <c r="L14" s="217" t="s">
        <v>472</v>
      </c>
      <c r="M14" s="150">
        <f>IFERROR(VLOOKUP(PA[[#This Row],[Affceted Equipment]],'Basic Data'!$A$2:$B$125,2,0),"")</f>
        <v>6.4</v>
      </c>
      <c r="N14" s="178">
        <f>IFERROR(VLOOKUP(PA[[#This Row],[Affceted Equipment]],'Basic Data'!$A$1:$C$128,3,0),"")</f>
        <v>2.6359143327841849E-4</v>
      </c>
      <c r="O14" s="149" t="s">
        <v>423</v>
      </c>
      <c r="P14" s="306" t="s">
        <v>677</v>
      </c>
      <c r="Q14" s="305" t="s">
        <v>678</v>
      </c>
      <c r="R14" s="149" t="s">
        <v>697</v>
      </c>
      <c r="S14" s="304">
        <v>0.26666666666666666</v>
      </c>
      <c r="T14" s="187">
        <v>0.6118055555555556</v>
      </c>
      <c r="U14" s="187">
        <v>0.6118055555555556</v>
      </c>
      <c r="V14" s="187">
        <v>0.64583333333333337</v>
      </c>
      <c r="W14" s="150">
        <f>IF(PA[[#This Row],[Acknowledgemnet Time ]]="NA","",(PA[[#This Row],[Acknowledgemnet Time ]]-PA[[#This Row],[Fault Time]])*24)</f>
        <v>8.283333333333335</v>
      </c>
      <c r="X14" s="150">
        <f>IF(PA[[#This Row],[Work Start time on Fault]]="NA","",(PA[[#This Row],[Work Start time on Fault]]-PA[[#This Row],[Fault Time]])*24)</f>
        <v>8.283333333333335</v>
      </c>
      <c r="Y14" s="152">
        <f>(PA[[#This Row],[Work Completiuon time on fualt]]-PA[[#This Row],[Fault Time]])*24</f>
        <v>9.1000000000000014</v>
      </c>
      <c r="Z14" s="152">
        <f>IFERROR((PA[[#This Row],[Work Completiuon time on fualt]]-PA[[#This Row],[Fault Time]])*24,"")</f>
        <v>9.1000000000000014</v>
      </c>
      <c r="AA14" s="307" t="s">
        <v>698</v>
      </c>
      <c r="AB14" s="149" t="s">
        <v>173</v>
      </c>
      <c r="AC14" s="152">
        <f>IFERROR(PA[[#This Row],[Breakdown Time]]*PA[[#This Row],[Plant Equivalent Weightage]],)</f>
        <v>2.3986820428336087E-3</v>
      </c>
      <c r="AD14" s="153">
        <v>2.66</v>
      </c>
      <c r="AE14" s="163">
        <f>IFERROR(_xlfn.XLOOKUP(PA[[#This Row],[Month Year]],'Modelling New'!$D:$D,'Modelling New'!$O:$O)*M14*PA[[#This Row],[Lost PoA(kWh/m2)]],"")</f>
        <v>12.744128902942212</v>
      </c>
      <c r="AF14" s="150">
        <v>3383</v>
      </c>
      <c r="AG14" s="150"/>
      <c r="AH14" s="150"/>
    </row>
    <row r="15" spans="1:34" ht="29" x14ac:dyDescent="0.35">
      <c r="A15" s="147">
        <f t="shared" si="0"/>
        <v>12</v>
      </c>
      <c r="B15" s="183">
        <v>45773</v>
      </c>
      <c r="C15" s="180">
        <f>YEAR(PA[[#This Row],[Date]])+IF(MONTH(PA[[#This Row],[Date]])&gt;=4,1,0)</f>
        <v>2026</v>
      </c>
      <c r="D15" s="155">
        <f>YEAR(PA[[#This Row],[Date]])</f>
        <v>2025</v>
      </c>
      <c r="E15" s="149" t="s">
        <v>4</v>
      </c>
      <c r="F15" s="149" t="s">
        <v>4</v>
      </c>
      <c r="G15" s="228">
        <f>PA[[#This Row],[Date]]-DAY(PA[[#This Row],[Date]])+1</f>
        <v>45748</v>
      </c>
      <c r="H15" s="155">
        <f>DAY(EOMONTH(PA[[#This Row],[Month Year]],0))</f>
        <v>30</v>
      </c>
      <c r="I15" s="151">
        <f>_xlfn.XLOOKUP(PA[[#This Row],[Date]],RD[Date],RD[Sunrise Time (POA&gt;20 W/m2)],0)</f>
        <v>0.26666666666666666</v>
      </c>
      <c r="J15" s="151">
        <f>_xlfn.XLOOKUP(PA[[#This Row],[Date]],RD[Date],RD[Sunset Time (POA&lt;20 W/m2)],0)</f>
        <v>0.76597222222222228</v>
      </c>
      <c r="K15" s="152">
        <f>IFERROR((PA[[#This Row],[Sunset Time (POA&lt;20 W/m2)]]-PA[[#This Row],[Sunrise Time (POA&gt;20 W/m2)]])*24,"")</f>
        <v>11.983333333333334</v>
      </c>
      <c r="L15" s="217" t="s">
        <v>472</v>
      </c>
      <c r="M15" s="150">
        <f>IFERROR(VLOOKUP(PA[[#This Row],[Affceted Equipment]],'Basic Data'!$A$2:$B$125,2,0),"")</f>
        <v>6.4</v>
      </c>
      <c r="N15" s="178">
        <f>IFERROR(VLOOKUP(PA[[#This Row],[Affceted Equipment]],'Basic Data'!$A$1:$C$128,3,0),"")</f>
        <v>2.6359143327841849E-4</v>
      </c>
      <c r="O15" s="149" t="s">
        <v>454</v>
      </c>
      <c r="P15" s="306" t="s">
        <v>677</v>
      </c>
      <c r="Q15" s="305" t="s">
        <v>678</v>
      </c>
      <c r="R15" s="149" t="s">
        <v>699</v>
      </c>
      <c r="S15" s="304">
        <v>0.26666666666666666</v>
      </c>
      <c r="T15" s="304">
        <v>0.49305555555555558</v>
      </c>
      <c r="U15" s="304">
        <v>0.49305555555555558</v>
      </c>
      <c r="V15" s="304">
        <v>0.53472222222222221</v>
      </c>
      <c r="W15" s="150">
        <f>IF(PA[[#This Row],[Acknowledgemnet Time ]]="NA","",(PA[[#This Row],[Acknowledgemnet Time ]]-PA[[#This Row],[Fault Time]])*24)</f>
        <v>5.4333333333333336</v>
      </c>
      <c r="X15" s="150">
        <f>IF(PA[[#This Row],[Work Start time on Fault]]="NA","",(PA[[#This Row],[Work Start time on Fault]]-PA[[#This Row],[Fault Time]])*24)</f>
        <v>5.4333333333333336</v>
      </c>
      <c r="Y15" s="152">
        <f>(PA[[#This Row],[Work Completiuon time on fualt]]-PA[[#This Row],[Fault Time]])*24</f>
        <v>6.4333333333333336</v>
      </c>
      <c r="Z15" s="152">
        <f>IFERROR((PA[[#This Row],[Work Completiuon time on fualt]]-PA[[#This Row],[Fault Time]])*24,"")</f>
        <v>6.4333333333333336</v>
      </c>
      <c r="AA15" s="307" t="s">
        <v>700</v>
      </c>
      <c r="AB15" s="149" t="s">
        <v>173</v>
      </c>
      <c r="AC15" s="152">
        <f>IFERROR(PA[[#This Row],[Breakdown Time]]*PA[[#This Row],[Plant Equivalent Weightage]],)</f>
        <v>1.695771554091159E-3</v>
      </c>
      <c r="AD15" s="153">
        <v>3.26</v>
      </c>
      <c r="AE15" s="163">
        <f>IFERROR(_xlfn.XLOOKUP(PA[[#This Row],[Month Year]],'Modelling New'!$D:$D,'Modelling New'!$O:$O)*M15*PA[[#This Row],[Lost PoA(kWh/m2)]],"")</f>
        <v>15.618744444959249</v>
      </c>
      <c r="AF15" s="150">
        <v>3402</v>
      </c>
      <c r="AG15" s="150"/>
      <c r="AH15" s="150"/>
    </row>
    <row r="16" spans="1:34" ht="29" x14ac:dyDescent="0.35">
      <c r="A16" s="147">
        <f t="shared" si="0"/>
        <v>13</v>
      </c>
      <c r="B16" s="183">
        <v>45773</v>
      </c>
      <c r="C16" s="180">
        <f>YEAR(PA[[#This Row],[Date]])+IF(MONTH(PA[[#This Row],[Date]])&gt;=4,1,0)</f>
        <v>2026</v>
      </c>
      <c r="D16" s="155">
        <f>YEAR(PA[[#This Row],[Date]])</f>
        <v>2025</v>
      </c>
      <c r="E16" s="149" t="s">
        <v>4</v>
      </c>
      <c r="F16" s="149" t="s">
        <v>4</v>
      </c>
      <c r="G16" s="228">
        <f>PA[[#This Row],[Date]]-DAY(PA[[#This Row],[Date]])+1</f>
        <v>45748</v>
      </c>
      <c r="H16" s="155">
        <f>DAY(EOMONTH(PA[[#This Row],[Month Year]],0))</f>
        <v>30</v>
      </c>
      <c r="I16" s="151">
        <f>_xlfn.XLOOKUP(PA[[#This Row],[Date]],RD[Date],RD[Sunrise Time (POA&gt;20 W/m2)],0)</f>
        <v>0.26666666666666666</v>
      </c>
      <c r="J16" s="151">
        <f>_xlfn.XLOOKUP(PA[[#This Row],[Date]],RD[Date],RD[Sunset Time (POA&lt;20 W/m2)],0)</f>
        <v>0.76597222222222228</v>
      </c>
      <c r="K16" s="152">
        <f>IFERROR((PA[[#This Row],[Sunset Time (POA&lt;20 W/m2)]]-PA[[#This Row],[Sunrise Time (POA&gt;20 W/m2)]])*24,"")</f>
        <v>11.983333333333334</v>
      </c>
      <c r="L16" s="217" t="s">
        <v>472</v>
      </c>
      <c r="M16" s="150">
        <f>IFERROR(VLOOKUP(PA[[#This Row],[Affceted Equipment]],'Basic Data'!$A$2:$B$125,2,0),"")</f>
        <v>6.4</v>
      </c>
      <c r="N16" s="178">
        <f>IFERROR(VLOOKUP(PA[[#This Row],[Affceted Equipment]],'Basic Data'!$A$1:$C$128,3,0),"")</f>
        <v>2.6359143327841849E-4</v>
      </c>
      <c r="O16" s="149" t="s">
        <v>439</v>
      </c>
      <c r="P16" s="306" t="s">
        <v>677</v>
      </c>
      <c r="Q16" s="305" t="s">
        <v>678</v>
      </c>
      <c r="R16" s="149" t="s">
        <v>701</v>
      </c>
      <c r="S16" s="304">
        <v>0.26666666666666666</v>
      </c>
      <c r="T16" s="187">
        <v>0.54166666666666663</v>
      </c>
      <c r="U16" s="187">
        <v>0.54166666666666663</v>
      </c>
      <c r="V16" s="187">
        <v>0.61458333333333337</v>
      </c>
      <c r="W16" s="150">
        <f>IF(PA[[#This Row],[Acknowledgemnet Time ]]="NA","",(PA[[#This Row],[Acknowledgemnet Time ]]-PA[[#This Row],[Fault Time]])*24)</f>
        <v>6.6</v>
      </c>
      <c r="X16" s="150">
        <f>IF(PA[[#This Row],[Work Start time on Fault]]="NA","",(PA[[#This Row],[Work Start time on Fault]]-PA[[#This Row],[Fault Time]])*24)</f>
        <v>6.6</v>
      </c>
      <c r="Y16" s="152">
        <f>(PA[[#This Row],[Work Completiuon time on fualt]]-PA[[#This Row],[Fault Time]])*24</f>
        <v>8.3500000000000014</v>
      </c>
      <c r="Z16" s="152">
        <f>IFERROR((PA[[#This Row],[Work Completiuon time on fualt]]-PA[[#This Row],[Fault Time]])*24,"")</f>
        <v>8.3500000000000014</v>
      </c>
      <c r="AA16" s="307" t="s">
        <v>702</v>
      </c>
      <c r="AB16" s="149" t="s">
        <v>173</v>
      </c>
      <c r="AC16" s="152">
        <f>IFERROR(PA[[#This Row],[Breakdown Time]]*PA[[#This Row],[Plant Equivalent Weightage]],)</f>
        <v>2.200988467874795E-3</v>
      </c>
      <c r="AD16" s="153">
        <v>5.31</v>
      </c>
      <c r="AE16" s="163">
        <f>IFERROR(_xlfn.XLOOKUP(PA[[#This Row],[Month Year]],'Modelling New'!$D:$D,'Modelling New'!$O:$O)*M16*PA[[#This Row],[Lost PoA(kWh/m2)]],"")</f>
        <v>25.440347546850802</v>
      </c>
      <c r="AF16" s="150">
        <v>3402</v>
      </c>
      <c r="AG16" s="150"/>
      <c r="AH16" s="150"/>
    </row>
    <row r="17" spans="1:35" ht="29" x14ac:dyDescent="0.35">
      <c r="A17" s="147">
        <f t="shared" si="0"/>
        <v>14</v>
      </c>
      <c r="B17" s="183">
        <v>45773</v>
      </c>
      <c r="C17" s="180">
        <f>YEAR(PA[[#This Row],[Date]])+IF(MONTH(PA[[#This Row],[Date]])&gt;=4,1,0)</f>
        <v>2026</v>
      </c>
      <c r="D17" s="155">
        <f>YEAR(PA[[#This Row],[Date]])</f>
        <v>2025</v>
      </c>
      <c r="E17" s="149" t="s">
        <v>4</v>
      </c>
      <c r="F17" s="149" t="s">
        <v>4</v>
      </c>
      <c r="G17" s="228">
        <f>PA[[#This Row],[Date]]-DAY(PA[[#This Row],[Date]])+1</f>
        <v>45748</v>
      </c>
      <c r="H17" s="155">
        <f>DAY(EOMONTH(PA[[#This Row],[Month Year]],0))</f>
        <v>30</v>
      </c>
      <c r="I17" s="151">
        <f>_xlfn.XLOOKUP(PA[[#This Row],[Date]],RD[Date],RD[Sunrise Time (POA&gt;20 W/m2)],0)</f>
        <v>0.26666666666666666</v>
      </c>
      <c r="J17" s="151">
        <f>_xlfn.XLOOKUP(PA[[#This Row],[Date]],RD[Date],RD[Sunset Time (POA&lt;20 W/m2)],0)</f>
        <v>0.76597222222222228</v>
      </c>
      <c r="K17" s="152">
        <f>IFERROR((PA[[#This Row],[Sunset Time (POA&lt;20 W/m2)]]-PA[[#This Row],[Sunrise Time (POA&gt;20 W/m2)]])*24,"")</f>
        <v>11.983333333333334</v>
      </c>
      <c r="L17" s="217" t="s">
        <v>472</v>
      </c>
      <c r="M17" s="150">
        <f>IFERROR(VLOOKUP(PA[[#This Row],[Affceted Equipment]],'Basic Data'!$A$2:$B$125,2,0),"")</f>
        <v>6.4</v>
      </c>
      <c r="N17" s="178">
        <f>IFERROR(VLOOKUP(PA[[#This Row],[Affceted Equipment]],'Basic Data'!$A$1:$C$128,3,0),"")</f>
        <v>2.6359143327841849E-4</v>
      </c>
      <c r="O17" s="149" t="s">
        <v>433</v>
      </c>
      <c r="P17" s="306" t="s">
        <v>677</v>
      </c>
      <c r="Q17" s="305" t="s">
        <v>678</v>
      </c>
      <c r="R17" s="149" t="s">
        <v>703</v>
      </c>
      <c r="S17" s="304">
        <v>0.26666666666666666</v>
      </c>
      <c r="T17" s="187">
        <v>0.54166666666666663</v>
      </c>
      <c r="U17" s="187">
        <v>0.54166666666666663</v>
      </c>
      <c r="V17" s="187">
        <v>0.6118055555555556</v>
      </c>
      <c r="W17" s="150">
        <f>IF(PA[[#This Row],[Acknowledgemnet Time ]]="NA","",(PA[[#This Row],[Acknowledgemnet Time ]]-PA[[#This Row],[Fault Time]])*24)</f>
        <v>6.6</v>
      </c>
      <c r="X17" s="150">
        <f>IF(PA[[#This Row],[Work Start time on Fault]]="NA","",(PA[[#This Row],[Work Start time on Fault]]-PA[[#This Row],[Fault Time]])*24)</f>
        <v>6.6</v>
      </c>
      <c r="Y17" s="152">
        <f>(PA[[#This Row],[Work Completiuon time on fualt]]-PA[[#This Row],[Fault Time]])*24</f>
        <v>8.283333333333335</v>
      </c>
      <c r="Z17" s="152">
        <f>IFERROR((PA[[#This Row],[Work Completiuon time on fualt]]-PA[[#This Row],[Fault Time]])*24,"")</f>
        <v>8.283333333333335</v>
      </c>
      <c r="AA17" s="307" t="s">
        <v>704</v>
      </c>
      <c r="AB17" s="149" t="s">
        <v>173</v>
      </c>
      <c r="AC17" s="152">
        <f>IFERROR(PA[[#This Row],[Breakdown Time]]*PA[[#This Row],[Plant Equivalent Weightage]],)</f>
        <v>2.1834157056562337E-3</v>
      </c>
      <c r="AD17" s="153">
        <v>5.31</v>
      </c>
      <c r="AE17" s="163">
        <f>IFERROR(_xlfn.XLOOKUP(PA[[#This Row],[Month Year]],'Modelling New'!$D:$D,'Modelling New'!$O:$O)*M17*PA[[#This Row],[Lost PoA(kWh/m2)]],"")</f>
        <v>25.440347546850802</v>
      </c>
      <c r="AF17" s="150">
        <v>3402</v>
      </c>
      <c r="AG17" s="150"/>
      <c r="AH17" s="150"/>
    </row>
    <row r="18" spans="1:35" ht="29" x14ac:dyDescent="0.35">
      <c r="A18" s="147">
        <f t="shared" si="0"/>
        <v>15</v>
      </c>
      <c r="B18" s="183">
        <v>45773</v>
      </c>
      <c r="C18" s="180">
        <f>YEAR(PA[[#This Row],[Date]])+IF(MONTH(PA[[#This Row],[Date]])&gt;=4,1,0)</f>
        <v>2026</v>
      </c>
      <c r="D18" s="155">
        <f>YEAR(PA[[#This Row],[Date]])</f>
        <v>2025</v>
      </c>
      <c r="E18" s="149" t="s">
        <v>4</v>
      </c>
      <c r="F18" s="149" t="s">
        <v>4</v>
      </c>
      <c r="G18" s="228">
        <f>PA[[#This Row],[Date]]-DAY(PA[[#This Row],[Date]])+1</f>
        <v>45748</v>
      </c>
      <c r="H18" s="155">
        <f>DAY(EOMONTH(PA[[#This Row],[Month Year]],0))</f>
        <v>30</v>
      </c>
      <c r="I18" s="151">
        <f>_xlfn.XLOOKUP(PA[[#This Row],[Date]],RD[Date],RD[Sunrise Time (POA&gt;20 W/m2)],0)</f>
        <v>0.26666666666666666</v>
      </c>
      <c r="J18" s="151">
        <f>_xlfn.XLOOKUP(PA[[#This Row],[Date]],RD[Date],RD[Sunset Time (POA&lt;20 W/m2)],0)</f>
        <v>0.76597222222222228</v>
      </c>
      <c r="K18" s="152">
        <f>IFERROR((PA[[#This Row],[Sunset Time (POA&lt;20 W/m2)]]-PA[[#This Row],[Sunrise Time (POA&gt;20 W/m2)]])*24,"")</f>
        <v>11.983333333333334</v>
      </c>
      <c r="L18" s="217" t="s">
        <v>472</v>
      </c>
      <c r="M18" s="150">
        <f>IFERROR(VLOOKUP(PA[[#This Row],[Affceted Equipment]],'Basic Data'!$A$2:$B$125,2,0),"")</f>
        <v>6.4</v>
      </c>
      <c r="N18" s="178">
        <f>IFERROR(VLOOKUP(PA[[#This Row],[Affceted Equipment]],'Basic Data'!$A$1:$C$128,3,0),"")</f>
        <v>2.6359143327841849E-4</v>
      </c>
      <c r="O18" s="149" t="s">
        <v>433</v>
      </c>
      <c r="P18" s="306" t="s">
        <v>677</v>
      </c>
      <c r="Q18" s="305" t="s">
        <v>678</v>
      </c>
      <c r="R18" s="149" t="s">
        <v>705</v>
      </c>
      <c r="S18" s="304">
        <v>0.26666666666666666</v>
      </c>
      <c r="T18" s="187">
        <v>0.54166666666666663</v>
      </c>
      <c r="U18" s="187">
        <v>0.54166666666666663</v>
      </c>
      <c r="V18" s="187">
        <v>0.6118055555555556</v>
      </c>
      <c r="W18" s="150">
        <f>IF(PA[[#This Row],[Acknowledgemnet Time ]]="NA","",(PA[[#This Row],[Acknowledgemnet Time ]]-PA[[#This Row],[Fault Time]])*24)</f>
        <v>6.6</v>
      </c>
      <c r="X18" s="150">
        <f>IF(PA[[#This Row],[Work Start time on Fault]]="NA","",(PA[[#This Row],[Work Start time on Fault]]-PA[[#This Row],[Fault Time]])*24)</f>
        <v>6.6</v>
      </c>
      <c r="Y18" s="152">
        <f>(PA[[#This Row],[Work Completiuon time on fualt]]-PA[[#This Row],[Fault Time]])*24</f>
        <v>8.283333333333335</v>
      </c>
      <c r="Z18" s="152">
        <f>IFERROR((PA[[#This Row],[Work Completiuon time on fualt]]-PA[[#This Row],[Fault Time]])*24,"")</f>
        <v>8.283333333333335</v>
      </c>
      <c r="AA18" s="307" t="s">
        <v>706</v>
      </c>
      <c r="AB18" s="149" t="s">
        <v>173</v>
      </c>
      <c r="AC18" s="152">
        <f>IFERROR(PA[[#This Row],[Breakdown Time]]*PA[[#This Row],[Plant Equivalent Weightage]],)</f>
        <v>2.1834157056562337E-3</v>
      </c>
      <c r="AD18" s="153">
        <v>6.31</v>
      </c>
      <c r="AE18" s="163">
        <f>IFERROR(_xlfn.XLOOKUP(PA[[#This Row],[Month Year]],'Modelling New'!$D:$D,'Modelling New'!$O:$O)*M18*PA[[#This Row],[Lost PoA(kWh/m2)]],"")</f>
        <v>30.231373450212534</v>
      </c>
      <c r="AF18" s="150">
        <v>3402</v>
      </c>
      <c r="AG18" s="150"/>
      <c r="AH18" s="150"/>
    </row>
    <row r="19" spans="1:35" x14ac:dyDescent="0.35">
      <c r="A19" s="147">
        <f t="shared" si="0"/>
        <v>16</v>
      </c>
      <c r="B19" s="183">
        <v>45784</v>
      </c>
      <c r="C19" s="180">
        <f>YEAR(PA[[#This Row],[Date]])+IF(MONTH(PA[[#This Row],[Date]])&gt;=4,1,0)</f>
        <v>2026</v>
      </c>
      <c r="D19" s="155">
        <f>YEAR(PA[[#This Row],[Date]])</f>
        <v>2025</v>
      </c>
      <c r="E19" s="149" t="s">
        <v>4</v>
      </c>
      <c r="F19" s="149" t="s">
        <v>4</v>
      </c>
      <c r="G19" s="228">
        <f>PA[[#This Row],[Date]]-DAY(PA[[#This Row],[Date]])+1</f>
        <v>45778</v>
      </c>
      <c r="H19" s="155">
        <f>DAY(EOMONTH(PA[[#This Row],[Month Year]],0))</f>
        <v>31</v>
      </c>
      <c r="I19" s="151">
        <f>_xlfn.XLOOKUP(PA[[#This Row],[Date]],RD[Date],RD[Sunrise Time (POA&gt;20 W/m2)],0)</f>
        <v>0.26458333333333334</v>
      </c>
      <c r="J19" s="151">
        <f>_xlfn.XLOOKUP(PA[[#This Row],[Date]],RD[Date],RD[Sunset Time (POA&lt;20 W/m2)],0)</f>
        <v>0.77430555555555558</v>
      </c>
      <c r="K19" s="152">
        <f>IFERROR((PA[[#This Row],[Sunset Time (POA&lt;20 W/m2)]]-PA[[#This Row],[Sunrise Time (POA&gt;20 W/m2)]])*24,"")</f>
        <v>12.233333333333333</v>
      </c>
      <c r="L19" s="149" t="s">
        <v>479</v>
      </c>
      <c r="M19" s="150">
        <f>IFERROR(VLOOKUP(PA[[#This Row],[Affceted Equipment]],'Basic Data'!$A$2:$B$125,2,0),"")</f>
        <v>1548.8900000000003</v>
      </c>
      <c r="N19" s="178">
        <f>IFERROR(VLOOKUP(PA[[#This Row],[Affceted Equipment]],'Basic Data'!$A$1:$C$128,3,0),"")</f>
        <v>6.3792833607907759E-2</v>
      </c>
      <c r="O19" s="166" t="s">
        <v>707</v>
      </c>
      <c r="P19" s="149" t="s">
        <v>708</v>
      </c>
      <c r="Q19" s="149" t="s">
        <v>708</v>
      </c>
      <c r="R19" s="149" t="s">
        <v>709</v>
      </c>
      <c r="S19" s="304">
        <v>0.55902777777777779</v>
      </c>
      <c r="T19" s="304">
        <v>0.55902777777777779</v>
      </c>
      <c r="U19" s="304">
        <v>0.55902777777777779</v>
      </c>
      <c r="V19" s="187">
        <v>0.75</v>
      </c>
      <c r="W19" s="150">
        <f>IF(PA[[#This Row],[Acknowledgemnet Time ]]="NA","",(PA[[#This Row],[Acknowledgemnet Time ]]-PA[[#This Row],[Fault Time]])*24)</f>
        <v>0</v>
      </c>
      <c r="X19" s="150">
        <f>IF(PA[[#This Row],[Work Start time on Fault]]="NA","",(PA[[#This Row],[Work Start time on Fault]]-PA[[#This Row],[Fault Time]])*24)</f>
        <v>0</v>
      </c>
      <c r="Y19" s="152">
        <f>(PA[[#This Row],[Work Completiuon time on fualt]]-PA[[#This Row],[Fault Time]])*24</f>
        <v>4.583333333333333</v>
      </c>
      <c r="Z19" s="152">
        <f>IFERROR((PA[[#This Row],[Work Completiuon time on fualt]]-PA[[#This Row],[Fault Time]])*24,"")</f>
        <v>4.583333333333333</v>
      </c>
      <c r="AA19" s="312" t="s">
        <v>710</v>
      </c>
      <c r="AB19" s="149" t="s">
        <v>173</v>
      </c>
      <c r="AC19" s="152">
        <f>IFERROR(PA[[#This Row],[Breakdown Time]]*PA[[#This Row],[Plant Equivalent Weightage]],)</f>
        <v>0.29238382070291052</v>
      </c>
      <c r="AD19" s="153">
        <v>1.1599999999999999</v>
      </c>
      <c r="AE19" s="163">
        <f>IFERROR(_xlfn.XLOOKUP(PA[[#This Row],[Month Year]],'Modelling New'!$D:$D,'Modelling New'!$O:$O)*M19*PA[[#This Row],[Lost PoA(kWh/m2)]],"")</f>
        <v>1357.7129750125946</v>
      </c>
      <c r="AF19" s="150" t="s">
        <v>711</v>
      </c>
      <c r="AG19" s="150"/>
      <c r="AH19" s="150"/>
    </row>
    <row r="20" spans="1:35" x14ac:dyDescent="0.35">
      <c r="A20" s="147">
        <f t="shared" si="0"/>
        <v>17</v>
      </c>
      <c r="B20" s="183">
        <v>45785</v>
      </c>
      <c r="C20" s="180">
        <f>YEAR(PA[[#This Row],[Date]])+IF(MONTH(PA[[#This Row],[Date]])&gt;=4,1,0)</f>
        <v>2026</v>
      </c>
      <c r="D20" s="155">
        <f>YEAR(PA[[#This Row],[Date]])</f>
        <v>2025</v>
      </c>
      <c r="E20" s="149" t="s">
        <v>4</v>
      </c>
      <c r="F20" s="149" t="s">
        <v>4</v>
      </c>
      <c r="G20" s="228">
        <f>PA[[#This Row],[Date]]-DAY(PA[[#This Row],[Date]])+1</f>
        <v>45778</v>
      </c>
      <c r="H20" s="155">
        <f>DAY(EOMONTH(PA[[#This Row],[Month Year]],0))</f>
        <v>31</v>
      </c>
      <c r="I20" s="151">
        <f>_xlfn.XLOOKUP(PA[[#This Row],[Date]],RD[Date],RD[Sunrise Time (POA&gt;20 W/m2)],0)</f>
        <v>0.26597222222222222</v>
      </c>
      <c r="J20" s="151">
        <f>_xlfn.XLOOKUP(PA[[#This Row],[Date]],RD[Date],RD[Sunset Time (POA&lt;20 W/m2)],0)</f>
        <v>0.77430555555555558</v>
      </c>
      <c r="K20" s="152">
        <f>IFERROR((PA[[#This Row],[Sunset Time (POA&lt;20 W/m2)]]-PA[[#This Row],[Sunrise Time (POA&gt;20 W/m2)]])*24,"")</f>
        <v>12.2</v>
      </c>
      <c r="L20" s="149" t="s">
        <v>479</v>
      </c>
      <c r="M20" s="150">
        <f>IFERROR(VLOOKUP(PA[[#This Row],[Affceted Equipment]],'Basic Data'!$A$2:$B$125,2,0),"")</f>
        <v>1548.8900000000003</v>
      </c>
      <c r="N20" s="178">
        <f>IFERROR(VLOOKUP(PA[[#This Row],[Affceted Equipment]],'Basic Data'!$A$1:$C$128,3,0),"")</f>
        <v>6.3792833607907759E-2</v>
      </c>
      <c r="O20" s="166" t="s">
        <v>707</v>
      </c>
      <c r="P20" s="149" t="s">
        <v>708</v>
      </c>
      <c r="Q20" s="149" t="s">
        <v>708</v>
      </c>
      <c r="R20" s="149" t="s">
        <v>709</v>
      </c>
      <c r="S20" s="187">
        <v>0.26250000000000001</v>
      </c>
      <c r="T20" s="187">
        <v>0.26250000000000001</v>
      </c>
      <c r="U20" s="187">
        <v>0.26250000000000001</v>
      </c>
      <c r="V20" s="187">
        <v>0.46319444444444446</v>
      </c>
      <c r="W20" s="150">
        <f>IF(PA[[#This Row],[Acknowledgemnet Time ]]="NA","",(PA[[#This Row],[Acknowledgemnet Time ]]-PA[[#This Row],[Fault Time]])*24)</f>
        <v>0</v>
      </c>
      <c r="X20" s="150">
        <f>IF(PA[[#This Row],[Work Start time on Fault]]="NA","",(PA[[#This Row],[Work Start time on Fault]]-PA[[#This Row],[Fault Time]])*24)</f>
        <v>0</v>
      </c>
      <c r="Y20" s="152">
        <f>(PA[[#This Row],[Work Completiuon time on fualt]]-PA[[#This Row],[Fault Time]])*24</f>
        <v>4.8166666666666664</v>
      </c>
      <c r="Z20" s="152">
        <f>IFERROR((PA[[#This Row],[Work Completiuon time on fualt]]-PA[[#This Row],[Fault Time]])*24,"")</f>
        <v>4.8166666666666664</v>
      </c>
      <c r="AA20" s="312" t="s">
        <v>712</v>
      </c>
      <c r="AB20" s="149" t="s">
        <v>173</v>
      </c>
      <c r="AC20" s="152">
        <f>IFERROR(PA[[#This Row],[Breakdown Time]]*PA[[#This Row],[Plant Equivalent Weightage]],)</f>
        <v>0.30726881521142235</v>
      </c>
      <c r="AD20" s="153">
        <v>1.84</v>
      </c>
      <c r="AE20" s="163">
        <f>IFERROR(_xlfn.XLOOKUP(PA[[#This Row],[Month Year]],'Modelling New'!$D:$D,'Modelling New'!$O:$O)*M20*PA[[#This Row],[Lost PoA(kWh/m2)]],"")</f>
        <v>2153.6136845027363</v>
      </c>
      <c r="AF20" s="150">
        <v>3545</v>
      </c>
      <c r="AG20" s="150"/>
      <c r="AH20" s="150"/>
    </row>
    <row r="21" spans="1:35" x14ac:dyDescent="0.35">
      <c r="A21" s="147">
        <f t="shared" si="0"/>
        <v>18</v>
      </c>
      <c r="B21" s="183">
        <v>45786</v>
      </c>
      <c r="C21" s="180">
        <f>YEAR(PA[[#This Row],[Date]])+IF(MONTH(PA[[#This Row],[Date]])&gt;=4,1,0)</f>
        <v>2026</v>
      </c>
      <c r="D21" s="155">
        <f>YEAR(PA[[#This Row],[Date]])</f>
        <v>2025</v>
      </c>
      <c r="E21" s="149" t="s">
        <v>4</v>
      </c>
      <c r="F21" s="149" t="s">
        <v>4</v>
      </c>
      <c r="G21" s="228">
        <f>PA[[#This Row],[Date]]-DAY(PA[[#This Row],[Date]])+1</f>
        <v>45778</v>
      </c>
      <c r="H21" s="155">
        <f>DAY(EOMONTH(PA[[#This Row],[Month Year]],0))</f>
        <v>31</v>
      </c>
      <c r="I21" s="151">
        <f>_xlfn.XLOOKUP(PA[[#This Row],[Date]],RD[Date],RD[Sunrise Time (POA&gt;20 W/m2)],0)</f>
        <v>0.26041666666666669</v>
      </c>
      <c r="J21" s="151">
        <f>_xlfn.XLOOKUP(PA[[#This Row],[Date]],RD[Date],RD[Sunset Time (POA&lt;20 W/m2)],0)</f>
        <v>0.7729166666666667</v>
      </c>
      <c r="K21" s="152">
        <f>IFERROR((PA[[#This Row],[Sunset Time (POA&lt;20 W/m2)]]-PA[[#This Row],[Sunrise Time (POA&gt;20 W/m2)]])*24,"")</f>
        <v>12.299999999999999</v>
      </c>
      <c r="L21" s="149" t="s">
        <v>539</v>
      </c>
      <c r="M21" s="150">
        <v>9824.91</v>
      </c>
      <c r="N21" s="178">
        <v>0.40358731466227349</v>
      </c>
      <c r="O21" s="149" t="s">
        <v>539</v>
      </c>
      <c r="P21" s="149" t="s">
        <v>713</v>
      </c>
      <c r="Q21" s="149" t="s">
        <v>713</v>
      </c>
      <c r="R21" s="149" t="s">
        <v>714</v>
      </c>
      <c r="S21" s="304">
        <v>0.6875</v>
      </c>
      <c r="T21" s="304">
        <v>0.6875</v>
      </c>
      <c r="U21" s="304">
        <v>0.6875</v>
      </c>
      <c r="V21" s="304">
        <v>0.77083333333333337</v>
      </c>
      <c r="W21" s="150">
        <f>IF(PA[[#This Row],[Acknowledgemnet Time ]]="NA","",(PA[[#This Row],[Acknowledgemnet Time ]]-PA[[#This Row],[Fault Time]])*24)</f>
        <v>0</v>
      </c>
      <c r="X21" s="150">
        <f>IF(PA[[#This Row],[Work Start time on Fault]]="NA","",(PA[[#This Row],[Work Start time on Fault]]-PA[[#This Row],[Fault Time]])*24)</f>
        <v>0</v>
      </c>
      <c r="Y21" s="152">
        <f>(PA[[#This Row],[Work Completiuon time on fualt]]-PA[[#This Row],[Fault Time]])*24</f>
        <v>2.0000000000000009</v>
      </c>
      <c r="Z21" s="152">
        <f>IFERROR((PA[[#This Row],[Work Completiuon time on fualt]]-PA[[#This Row],[Fault Time]])*24,"")</f>
        <v>2.0000000000000009</v>
      </c>
      <c r="AA21" s="312" t="s">
        <v>715</v>
      </c>
      <c r="AB21" s="149" t="s">
        <v>173</v>
      </c>
      <c r="AC21" s="152">
        <f>IFERROR(PA[[#This Row],[Breakdown Time]]*PA[[#This Row],[Plant Equivalent Weightage]],)</f>
        <v>0.80717462932454731</v>
      </c>
      <c r="AD21" s="153">
        <v>0.13</v>
      </c>
      <c r="AE21" s="163">
        <f>IFERROR(_xlfn.XLOOKUP(PA[[#This Row],[Month Year]],'Modelling New'!$D:$D,'Modelling New'!$O:$O)*M21*PA[[#This Row],[Lost PoA(kWh/m2)]],"")</f>
        <v>965.16449271070235</v>
      </c>
      <c r="AF21" s="150">
        <v>3592</v>
      </c>
      <c r="AG21" s="150"/>
      <c r="AH21" s="150"/>
    </row>
    <row r="22" spans="1:35" x14ac:dyDescent="0.35">
      <c r="A22" s="147">
        <f t="shared" ref="A22:A85" si="1">A21+1</f>
        <v>19</v>
      </c>
      <c r="B22" s="183">
        <v>45790</v>
      </c>
      <c r="C22" s="180">
        <f>YEAR(PA[[#This Row],[Date]])+IF(MONTH(PA[[#This Row],[Date]])&gt;=4,1,0)</f>
        <v>2026</v>
      </c>
      <c r="D22" s="155">
        <f>YEAR(PA[[#This Row],[Date]])</f>
        <v>2025</v>
      </c>
      <c r="E22" s="149" t="s">
        <v>4</v>
      </c>
      <c r="F22" s="149" t="s">
        <v>4</v>
      </c>
      <c r="G22" s="228">
        <f>PA[[#This Row],[Date]]-DAY(PA[[#This Row],[Date]])+1</f>
        <v>45778</v>
      </c>
      <c r="H22" s="155">
        <f>DAY(EOMONTH(PA[[#This Row],[Month Year]],0))</f>
        <v>31</v>
      </c>
      <c r="I22" s="151">
        <f>_xlfn.XLOOKUP(PA[[#This Row],[Date]],RD[Date],RD[Sunrise Time (POA&gt;20 W/m2)],0)</f>
        <v>0.26874999999999999</v>
      </c>
      <c r="J22" s="151">
        <f>_xlfn.XLOOKUP(PA[[#This Row],[Date]],RD[Date],RD[Sunset Time (POA&lt;20 W/m2)],0)</f>
        <v>0.77013888888888893</v>
      </c>
      <c r="K22" s="152">
        <f>IFERROR((PA[[#This Row],[Sunset Time (POA&lt;20 W/m2)]]-PA[[#This Row],[Sunrise Time (POA&gt;20 W/m2)]])*24,"")</f>
        <v>12.033333333333333</v>
      </c>
      <c r="L22" s="149" t="s">
        <v>462</v>
      </c>
      <c r="M22" s="150">
        <f>IFERROR(VLOOKUP(PA[[#This Row],[Affceted Equipment]],'Basic Data'!$A$2:$B$125,2,0),"")</f>
        <v>2300</v>
      </c>
      <c r="N22" s="178">
        <f>IFERROR(VLOOKUP(PA[[#This Row],[Affceted Equipment]],'Basic Data'!$A$1:$C$128,3,0),"")</f>
        <v>9.4728171334431635E-2</v>
      </c>
      <c r="O22" s="166" t="s">
        <v>462</v>
      </c>
      <c r="P22" s="149" t="s">
        <v>716</v>
      </c>
      <c r="Q22" s="149" t="s">
        <v>717</v>
      </c>
      <c r="R22" s="149" t="s">
        <v>718</v>
      </c>
      <c r="S22" s="304">
        <v>0.26874999999999999</v>
      </c>
      <c r="T22" s="304">
        <v>0.26874999999999999</v>
      </c>
      <c r="U22" s="304">
        <v>0.26874999999999999</v>
      </c>
      <c r="V22" s="187">
        <v>0.4597222222222222</v>
      </c>
      <c r="W22" s="150">
        <f>IF(PA[[#This Row],[Acknowledgemnet Time ]]="NA","",(PA[[#This Row],[Acknowledgemnet Time ]]-PA[[#This Row],[Fault Time]])*24)</f>
        <v>0</v>
      </c>
      <c r="X22" s="150">
        <f>IF(PA[[#This Row],[Work Start time on Fault]]="NA","",(PA[[#This Row],[Work Start time on Fault]]-PA[[#This Row],[Fault Time]])*24)</f>
        <v>0</v>
      </c>
      <c r="Y22" s="152">
        <f>(PA[[#This Row],[Work Completiuon time on fualt]]-PA[[#This Row],[Fault Time]])*24</f>
        <v>4.583333333333333</v>
      </c>
      <c r="Z22" s="152">
        <f>IFERROR((PA[[#This Row],[Work Completiuon time on fualt]]-PA[[#This Row],[Fault Time]])*24,"")</f>
        <v>4.583333333333333</v>
      </c>
      <c r="AA22" s="312" t="s">
        <v>719</v>
      </c>
      <c r="AB22" s="149" t="s">
        <v>173</v>
      </c>
      <c r="AC22" s="152">
        <f>IFERROR(PA[[#This Row],[Breakdown Time]]*PA[[#This Row],[Plant Equivalent Weightage]],)</f>
        <v>0.43417078528281161</v>
      </c>
      <c r="AD22" s="153">
        <v>1.2</v>
      </c>
      <c r="AE22" s="163">
        <f>IFERROR(_xlfn.XLOOKUP(PA[[#This Row],[Month Year]],'Modelling New'!$D:$D,'Modelling New'!$O:$O)*M22*PA[[#This Row],[Lost PoA(kWh/m2)]],"")</f>
        <v>2085.6358597150888</v>
      </c>
      <c r="AF22" s="150">
        <v>3633</v>
      </c>
      <c r="AG22" s="150"/>
      <c r="AH22" s="150"/>
    </row>
    <row r="23" spans="1:35" x14ac:dyDescent="0.35">
      <c r="A23" s="147">
        <f t="shared" si="1"/>
        <v>20</v>
      </c>
      <c r="B23" s="183">
        <v>45790</v>
      </c>
      <c r="C23" s="180">
        <f>YEAR(PA[[#This Row],[Date]])+IF(MONTH(PA[[#This Row],[Date]])&gt;=4,1,0)</f>
        <v>2026</v>
      </c>
      <c r="D23" s="155">
        <f>YEAR(PA[[#This Row],[Date]])</f>
        <v>2025</v>
      </c>
      <c r="E23" s="149" t="s">
        <v>4</v>
      </c>
      <c r="F23" s="149" t="s">
        <v>4</v>
      </c>
      <c r="G23" s="228">
        <f>PA[[#This Row],[Date]]-DAY(PA[[#This Row],[Date]])+1</f>
        <v>45778</v>
      </c>
      <c r="H23" s="155">
        <f>DAY(EOMONTH(PA[[#This Row],[Month Year]],0))</f>
        <v>31</v>
      </c>
      <c r="I23" s="151">
        <f>_xlfn.XLOOKUP(PA[[#This Row],[Date]],RD[Date],RD[Sunrise Time (POA&gt;20 W/m2)],0)</f>
        <v>0.26874999999999999</v>
      </c>
      <c r="J23" s="151">
        <f>_xlfn.XLOOKUP(PA[[#This Row],[Date]],RD[Date],RD[Sunset Time (POA&lt;20 W/m2)],0)</f>
        <v>0.77013888888888893</v>
      </c>
      <c r="K23" s="152">
        <f>IFERROR((PA[[#This Row],[Sunset Time (POA&lt;20 W/m2)]]-PA[[#This Row],[Sunrise Time (POA&gt;20 W/m2)]])*24,"")</f>
        <v>12.033333333333333</v>
      </c>
      <c r="L23" s="149" t="s">
        <v>463</v>
      </c>
      <c r="M23" s="150">
        <f>IFERROR(VLOOKUP(PA[[#This Row],[Affceted Equipment]],'Basic Data'!$A$2:$B$125,2,0),"")</f>
        <v>2300</v>
      </c>
      <c r="N23" s="178">
        <f>IFERROR(VLOOKUP(PA[[#This Row],[Affceted Equipment]],'Basic Data'!$A$1:$C$128,3,0),"")</f>
        <v>9.4728171334431635E-2</v>
      </c>
      <c r="O23" s="166" t="s">
        <v>463</v>
      </c>
      <c r="P23" s="149" t="s">
        <v>716</v>
      </c>
      <c r="Q23" s="149" t="s">
        <v>717</v>
      </c>
      <c r="R23" s="149" t="s">
        <v>720</v>
      </c>
      <c r="S23" s="304">
        <v>0.26874999999999999</v>
      </c>
      <c r="T23" s="304">
        <v>0.26874999999999999</v>
      </c>
      <c r="U23" s="304">
        <v>0.26874999999999999</v>
      </c>
      <c r="V23" s="187">
        <v>0.4597222222222222</v>
      </c>
      <c r="W23" s="150">
        <f>IF(PA[[#This Row],[Acknowledgemnet Time ]]="NA","",(PA[[#This Row],[Acknowledgemnet Time ]]-PA[[#This Row],[Fault Time]])*24)</f>
        <v>0</v>
      </c>
      <c r="X23" s="150">
        <f>IF(PA[[#This Row],[Work Start time on Fault]]="NA","",(PA[[#This Row],[Work Start time on Fault]]-PA[[#This Row],[Fault Time]])*24)</f>
        <v>0</v>
      </c>
      <c r="Y23" s="152">
        <f>(PA[[#This Row],[Work Completiuon time on fualt]]-PA[[#This Row],[Fault Time]])*24</f>
        <v>4.583333333333333</v>
      </c>
      <c r="Z23" s="152">
        <f>IFERROR((PA[[#This Row],[Work Completiuon time on fualt]]-PA[[#This Row],[Fault Time]])*24,"")</f>
        <v>4.583333333333333</v>
      </c>
      <c r="AA23" s="312" t="s">
        <v>719</v>
      </c>
      <c r="AB23" s="149" t="s">
        <v>173</v>
      </c>
      <c r="AC23" s="152">
        <f>IFERROR(PA[[#This Row],[Breakdown Time]]*PA[[#This Row],[Plant Equivalent Weightage]],)</f>
        <v>0.43417078528281161</v>
      </c>
      <c r="AD23" s="153">
        <v>1.2</v>
      </c>
      <c r="AE23" s="163">
        <f>IFERROR(_xlfn.XLOOKUP(PA[[#This Row],[Month Year]],'Modelling New'!$D:$D,'Modelling New'!$O:$O)*M23*PA[[#This Row],[Lost PoA(kWh/m2)]],"")</f>
        <v>2085.6358597150888</v>
      </c>
      <c r="AF23" s="150">
        <v>3633</v>
      </c>
      <c r="AG23" s="150"/>
      <c r="AH23" s="150"/>
    </row>
    <row r="24" spans="1:35" x14ac:dyDescent="0.35">
      <c r="A24" s="147">
        <f t="shared" si="1"/>
        <v>21</v>
      </c>
      <c r="B24" s="183">
        <v>45790</v>
      </c>
      <c r="C24" s="180">
        <f>YEAR(PA[[#This Row],[Date]])+IF(MONTH(PA[[#This Row],[Date]])&gt;=4,1,0)</f>
        <v>2026</v>
      </c>
      <c r="D24" s="155">
        <f>YEAR(PA[[#This Row],[Date]])</f>
        <v>2025</v>
      </c>
      <c r="E24" s="149" t="s">
        <v>4</v>
      </c>
      <c r="F24" s="149" t="s">
        <v>4</v>
      </c>
      <c r="G24" s="228">
        <f>PA[[#This Row],[Date]]-DAY(PA[[#This Row],[Date]])+1</f>
        <v>45778</v>
      </c>
      <c r="H24" s="155">
        <f>DAY(EOMONTH(PA[[#This Row],[Month Year]],0))</f>
        <v>31</v>
      </c>
      <c r="I24" s="151">
        <f>_xlfn.XLOOKUP(PA[[#This Row],[Date]],RD[Date],RD[Sunrise Time (POA&gt;20 W/m2)],0)</f>
        <v>0.26874999999999999</v>
      </c>
      <c r="J24" s="151">
        <f>_xlfn.XLOOKUP(PA[[#This Row],[Date]],RD[Date],RD[Sunset Time (POA&lt;20 W/m2)],0)</f>
        <v>0.77013888888888893</v>
      </c>
      <c r="K24" s="152">
        <f>IFERROR((PA[[#This Row],[Sunset Time (POA&lt;20 W/m2)]]-PA[[#This Row],[Sunrise Time (POA&gt;20 W/m2)]])*24,"")</f>
        <v>12.033333333333333</v>
      </c>
      <c r="L24" s="149" t="s">
        <v>464</v>
      </c>
      <c r="M24" s="150">
        <f>IFERROR(VLOOKUP(PA[[#This Row],[Affceted Equipment]],'Basic Data'!$A$2:$B$125,2,0),"")</f>
        <v>2300</v>
      </c>
      <c r="N24" s="178">
        <f>IFERROR(VLOOKUP(PA[[#This Row],[Affceted Equipment]],'Basic Data'!$A$1:$C$128,3,0),"")</f>
        <v>9.4728171334431635E-2</v>
      </c>
      <c r="O24" s="166" t="s">
        <v>464</v>
      </c>
      <c r="P24" s="149" t="s">
        <v>716</v>
      </c>
      <c r="Q24" s="149" t="s">
        <v>717</v>
      </c>
      <c r="R24" s="149" t="s">
        <v>721</v>
      </c>
      <c r="S24" s="304">
        <v>0.26874999999999999</v>
      </c>
      <c r="T24" s="304">
        <v>0.26874999999999999</v>
      </c>
      <c r="U24" s="304">
        <v>0.26874999999999999</v>
      </c>
      <c r="V24" s="187">
        <v>0.4597222222222222</v>
      </c>
      <c r="W24" s="150">
        <f>IF(PA[[#This Row],[Acknowledgemnet Time ]]="NA","",(PA[[#This Row],[Acknowledgemnet Time ]]-PA[[#This Row],[Fault Time]])*24)</f>
        <v>0</v>
      </c>
      <c r="X24" s="150">
        <f>IF(PA[[#This Row],[Work Start time on Fault]]="NA","",(PA[[#This Row],[Work Start time on Fault]]-PA[[#This Row],[Fault Time]])*24)</f>
        <v>0</v>
      </c>
      <c r="Y24" s="152">
        <f>(PA[[#This Row],[Work Completiuon time on fualt]]-PA[[#This Row],[Fault Time]])*24</f>
        <v>4.583333333333333</v>
      </c>
      <c r="Z24" s="152">
        <f>IFERROR((PA[[#This Row],[Work Completiuon time on fualt]]-PA[[#This Row],[Fault Time]])*24,"")</f>
        <v>4.583333333333333</v>
      </c>
      <c r="AA24" s="312" t="s">
        <v>719</v>
      </c>
      <c r="AB24" s="149" t="s">
        <v>173</v>
      </c>
      <c r="AC24" s="152">
        <f>IFERROR(PA[[#This Row],[Breakdown Time]]*PA[[#This Row],[Plant Equivalent Weightage]],)</f>
        <v>0.43417078528281161</v>
      </c>
      <c r="AD24" s="153">
        <v>1.2</v>
      </c>
      <c r="AE24" s="163">
        <f>IFERROR(_xlfn.XLOOKUP(PA[[#This Row],[Month Year]],'Modelling New'!$D:$D,'Modelling New'!$O:$O)*M24*PA[[#This Row],[Lost PoA(kWh/m2)]],"")</f>
        <v>2085.6358597150888</v>
      </c>
      <c r="AF24" s="150">
        <v>3633</v>
      </c>
      <c r="AG24" s="150"/>
      <c r="AH24" s="150"/>
    </row>
    <row r="25" spans="1:35" x14ac:dyDescent="0.35">
      <c r="A25" s="147">
        <f t="shared" si="1"/>
        <v>22</v>
      </c>
      <c r="B25" s="183">
        <v>45791</v>
      </c>
      <c r="C25" s="180">
        <f>YEAR(PA[[#This Row],[Date]])+IF(MONTH(PA[[#This Row],[Date]])&gt;=4,1,0)</f>
        <v>2026</v>
      </c>
      <c r="D25" s="155">
        <f>YEAR(PA[[#This Row],[Date]])</f>
        <v>2025</v>
      </c>
      <c r="E25" s="149" t="s">
        <v>4</v>
      </c>
      <c r="F25" s="149" t="s">
        <v>4</v>
      </c>
      <c r="G25" s="228">
        <f>PA[[#This Row],[Date]]-DAY(PA[[#This Row],[Date]])+1</f>
        <v>45778</v>
      </c>
      <c r="H25" s="155">
        <f>DAY(EOMONTH(PA[[#This Row],[Month Year]],0))</f>
        <v>31</v>
      </c>
      <c r="I25" s="151">
        <f>_xlfn.XLOOKUP(PA[[#This Row],[Date]],RD[Date],RD[Sunrise Time (POA&gt;20 W/m2)],0)</f>
        <v>0.26874999999999999</v>
      </c>
      <c r="J25" s="151">
        <f>_xlfn.XLOOKUP(PA[[#This Row],[Date]],RD[Date],RD[Sunset Time (POA&lt;20 W/m2)],0)</f>
        <v>0.76736111111111116</v>
      </c>
      <c r="K25" s="152">
        <f>IFERROR((PA[[#This Row],[Sunset Time (POA&lt;20 W/m2)]]-PA[[#This Row],[Sunrise Time (POA&gt;20 W/m2)]])*24,"")</f>
        <v>11.966666666666669</v>
      </c>
      <c r="L25" s="149" t="s">
        <v>458</v>
      </c>
      <c r="M25" s="150">
        <f>IFERROR(VLOOKUP(PA[[#This Row],[Affceted Equipment]],'Basic Data'!$A$2:$B$125,2,0),"")</f>
        <v>2300</v>
      </c>
      <c r="N25" s="178">
        <f>IFERROR(VLOOKUP(PA[[#This Row],[Affceted Equipment]],'Basic Data'!$A$1:$C$128,3,0),"")</f>
        <v>9.4728171334431635E-2</v>
      </c>
      <c r="O25" s="166" t="s">
        <v>458</v>
      </c>
      <c r="P25" s="149" t="s">
        <v>713</v>
      </c>
      <c r="Q25" s="149" t="s">
        <v>713</v>
      </c>
      <c r="R25" s="166" t="s">
        <v>722</v>
      </c>
      <c r="S25" s="304">
        <v>0.72222222222222221</v>
      </c>
      <c r="T25" s="304">
        <v>0.72222222222222221</v>
      </c>
      <c r="U25" s="304">
        <v>0.72222222222222221</v>
      </c>
      <c r="V25" s="187">
        <v>0.76736111111111116</v>
      </c>
      <c r="W25" s="150">
        <f>IF(PA[[#This Row],[Acknowledgemnet Time ]]="NA","",(PA[[#This Row],[Acknowledgemnet Time ]]-PA[[#This Row],[Fault Time]])*24)</f>
        <v>0</v>
      </c>
      <c r="X25" s="150">
        <f>IF(PA[[#This Row],[Work Start time on Fault]]="NA","",(PA[[#This Row],[Work Start time on Fault]]-PA[[#This Row],[Fault Time]])*24)</f>
        <v>0</v>
      </c>
      <c r="Y25" s="152">
        <f>(PA[[#This Row],[Work Completiuon time on fualt]]-PA[[#This Row],[Fault Time]])*24</f>
        <v>1.0833333333333348</v>
      </c>
      <c r="Z25" s="152">
        <f>IFERROR((PA[[#This Row],[Work Completiuon time on fualt]]-PA[[#This Row],[Fault Time]])*24,"")</f>
        <v>1.0833333333333348</v>
      </c>
      <c r="AA25" s="189" t="s">
        <v>723</v>
      </c>
      <c r="AB25" s="149" t="s">
        <v>173</v>
      </c>
      <c r="AC25" s="152">
        <f>IFERROR(PA[[#This Row],[Breakdown Time]]*PA[[#This Row],[Plant Equivalent Weightage]],)</f>
        <v>0.10262218561230108</v>
      </c>
      <c r="AD25" s="153">
        <v>5.8000000000000003E-2</v>
      </c>
      <c r="AE25" s="163">
        <f>IFERROR(_xlfn.XLOOKUP(PA[[#This Row],[Month Year]],'Modelling New'!$D:$D,'Modelling New'!$O:$O)*M25*PA[[#This Row],[Lost PoA(kWh/m2)]],"")</f>
        <v>100.80573321956263</v>
      </c>
      <c r="AF25" s="150">
        <v>3659</v>
      </c>
      <c r="AG25" s="150"/>
      <c r="AH25" s="150"/>
    </row>
    <row r="26" spans="1:35" x14ac:dyDescent="0.35">
      <c r="A26" s="147">
        <f t="shared" si="1"/>
        <v>23</v>
      </c>
      <c r="B26" s="183">
        <v>45797</v>
      </c>
      <c r="C26" s="180">
        <f>YEAR(PA[[#This Row],[Date]])+IF(MONTH(PA[[#This Row],[Date]])&gt;=4,1,0)</f>
        <v>2026</v>
      </c>
      <c r="D26" s="155">
        <f>YEAR(PA[[#This Row],[Date]])</f>
        <v>2025</v>
      </c>
      <c r="E26" s="149" t="s">
        <v>4</v>
      </c>
      <c r="F26" s="149" t="s">
        <v>4</v>
      </c>
      <c r="G26" s="228">
        <f>PA[[#This Row],[Date]]-DAY(PA[[#This Row],[Date]])+1</f>
        <v>45778</v>
      </c>
      <c r="H26" s="155">
        <f>DAY(EOMONTH(PA[[#This Row],[Month Year]],0))</f>
        <v>31</v>
      </c>
      <c r="I26" s="151">
        <f>_xlfn.XLOOKUP(PA[[#This Row],[Date]],RD[Date],RD[Sunrise Time (POA&gt;20 W/m2)],0)</f>
        <v>0.25624999999999998</v>
      </c>
      <c r="J26" s="151">
        <f>_xlfn.XLOOKUP(PA[[#This Row],[Date]],RD[Date],RD[Sunset Time (POA&lt;20 W/m2)],0)</f>
        <v>0.74652777777777779</v>
      </c>
      <c r="K26" s="152">
        <f>IFERROR((PA[[#This Row],[Sunset Time (POA&lt;20 W/m2)]]-PA[[#This Row],[Sunrise Time (POA&gt;20 W/m2)]])*24,"")</f>
        <v>11.766666666666667</v>
      </c>
      <c r="L26" s="149" t="s">
        <v>208</v>
      </c>
      <c r="M26" s="150">
        <f>IFERROR(VLOOKUP(PA[[#This Row],[Affceted Equipment]],'Basic Data'!$A$2:$B$125,2,0),"")</f>
        <v>1075.2</v>
      </c>
      <c r="N26" s="178">
        <f>IFERROR(VLOOKUP(PA[[#This Row],[Affceted Equipment]],'Basic Data'!$A$1:$C$128,3,0),"")</f>
        <v>4.4283360790774301E-2</v>
      </c>
      <c r="O26" s="166" t="s">
        <v>208</v>
      </c>
      <c r="P26" s="149" t="s">
        <v>724</v>
      </c>
      <c r="Q26" s="149" t="s">
        <v>725</v>
      </c>
      <c r="R26" s="149" t="s">
        <v>726</v>
      </c>
      <c r="S26" s="304">
        <v>0.25624999999999998</v>
      </c>
      <c r="T26" s="304">
        <v>0.26041666666666669</v>
      </c>
      <c r="U26" s="304">
        <v>0.26041666666666669</v>
      </c>
      <c r="V26" s="187">
        <v>0.60486111111111107</v>
      </c>
      <c r="W26" s="150">
        <f>IF(PA[[#This Row],[Acknowledgemnet Time ]]="NA","",(PA[[#This Row],[Acknowledgemnet Time ]]-PA[[#This Row],[Fault Time]])*24)</f>
        <v>0.10000000000000098</v>
      </c>
      <c r="X26" s="150">
        <f>IF(PA[[#This Row],[Work Start time on Fault]]="NA","",(PA[[#This Row],[Work Start time on Fault]]-PA[[#This Row],[Fault Time]])*24)</f>
        <v>0.10000000000000098</v>
      </c>
      <c r="Y26" s="152">
        <f>(PA[[#This Row],[Work Completiuon time on fualt]]-PA[[#This Row],[Fault Time]])*24</f>
        <v>8.3666666666666671</v>
      </c>
      <c r="Z26" s="152">
        <f>IFERROR((PA[[#This Row],[Work Completiuon time on fualt]]-PA[[#This Row],[Fault Time]])*24,"")</f>
        <v>8.3666666666666671</v>
      </c>
      <c r="AA26" s="312" t="s">
        <v>727</v>
      </c>
      <c r="AB26" s="149" t="s">
        <v>173</v>
      </c>
      <c r="AC26" s="152">
        <f>IFERROR(PA[[#This Row],[Breakdown Time]]*PA[[#This Row],[Plant Equivalent Weightage]],)</f>
        <v>0.37050411861614502</v>
      </c>
      <c r="AD26" s="153">
        <v>4.4000000000000004</v>
      </c>
      <c r="AE26" s="163">
        <f>IFERROR(_xlfn.XLOOKUP(PA[[#This Row],[Month Year]],'Modelling New'!$D:$D,'Modelling New'!$O:$O)*M26*PA[[#This Row],[Lost PoA(kWh/m2)]],"")</f>
        <v>3574.9612231916381</v>
      </c>
      <c r="AF26" s="150">
        <v>3757</v>
      </c>
      <c r="AG26" s="150"/>
      <c r="AH26" s="150"/>
    </row>
    <row r="27" spans="1:35" ht="29" x14ac:dyDescent="0.35">
      <c r="A27" s="147">
        <f t="shared" si="1"/>
        <v>24</v>
      </c>
      <c r="B27" s="183">
        <v>45797</v>
      </c>
      <c r="C27" s="180">
        <f>YEAR(PA[[#This Row],[Date]])+IF(MONTH(PA[[#This Row],[Date]])&gt;=4,1,0)</f>
        <v>2026</v>
      </c>
      <c r="D27" s="155">
        <f>YEAR(PA[[#This Row],[Date]])</f>
        <v>2025</v>
      </c>
      <c r="E27" s="149" t="s">
        <v>4</v>
      </c>
      <c r="F27" s="149" t="s">
        <v>4</v>
      </c>
      <c r="G27" s="228">
        <f>PA[[#This Row],[Date]]-DAY(PA[[#This Row],[Date]])+1</f>
        <v>45778</v>
      </c>
      <c r="H27" s="155">
        <f>DAY(EOMONTH(PA[[#This Row],[Month Year]],0))</f>
        <v>31</v>
      </c>
      <c r="I27" s="151">
        <f>_xlfn.XLOOKUP(PA[[#This Row],[Date]],RD[Date],RD[Sunrise Time (POA&gt;20 W/m2)],0)</f>
        <v>0.25624999999999998</v>
      </c>
      <c r="J27" s="151">
        <f>_xlfn.XLOOKUP(PA[[#This Row],[Date]],RD[Date],RD[Sunset Time (POA&lt;20 W/m2)],0)</f>
        <v>0.74652777777777779</v>
      </c>
      <c r="K27" s="152">
        <f>IFERROR((PA[[#This Row],[Sunset Time (POA&lt;20 W/m2)]]-PA[[#This Row],[Sunrise Time (POA&gt;20 W/m2)]])*24,"")</f>
        <v>11.766666666666667</v>
      </c>
      <c r="L27" s="149" t="s">
        <v>229</v>
      </c>
      <c r="M27" s="150">
        <f>IFERROR(VLOOKUP(PA[[#This Row],[Affceted Equipment]],'Basic Data'!$A$2:$B$125,2,0),"")</f>
        <v>1222</v>
      </c>
      <c r="N27" s="178">
        <f>IFERROR(VLOOKUP(PA[[#This Row],[Affceted Equipment]],'Basic Data'!$A$1:$C$128,3,0),"")</f>
        <v>5.0329489291598022E-2</v>
      </c>
      <c r="O27" s="166" t="s">
        <v>229</v>
      </c>
      <c r="P27" s="217" t="s">
        <v>728</v>
      </c>
      <c r="Q27" s="217" t="s">
        <v>729</v>
      </c>
      <c r="R27" s="149" t="s">
        <v>730</v>
      </c>
      <c r="S27" s="304">
        <v>0.67777777777777781</v>
      </c>
      <c r="T27" s="304">
        <v>0.6875</v>
      </c>
      <c r="U27" s="304">
        <v>0.6875</v>
      </c>
      <c r="V27" s="304">
        <v>0.74652777777777779</v>
      </c>
      <c r="W27" s="150">
        <f>IF(PA[[#This Row],[Acknowledgemnet Time ]]="NA","",(PA[[#This Row],[Acknowledgemnet Time ]]-PA[[#This Row],[Fault Time]])*24)</f>
        <v>0.2333333333333325</v>
      </c>
      <c r="X27" s="150">
        <f>IF(PA[[#This Row],[Work Start time on Fault]]="NA","",(PA[[#This Row],[Work Start time on Fault]]-PA[[#This Row],[Fault Time]])*24)</f>
        <v>0.2333333333333325</v>
      </c>
      <c r="Y27" s="152">
        <f>(PA[[#This Row],[Work Completiuon time on fualt]]-PA[[#This Row],[Fault Time]])*24</f>
        <v>1.6499999999999995</v>
      </c>
      <c r="Z27" s="152">
        <f>IFERROR((PA[[#This Row],[Work Completiuon time on fualt]]-PA[[#This Row],[Fault Time]])*24,"")</f>
        <v>1.6499999999999995</v>
      </c>
      <c r="AA27" s="312" t="s">
        <v>731</v>
      </c>
      <c r="AB27" s="149" t="s">
        <v>198</v>
      </c>
      <c r="AC27" s="152">
        <f>IFERROR(PA[[#This Row],[Breakdown Time]]*PA[[#This Row],[Plant Equivalent Weightage]],)</f>
        <v>8.3043657331136708E-2</v>
      </c>
      <c r="AD27" s="153">
        <v>0.43</v>
      </c>
      <c r="AE27" s="163">
        <f>IFERROR(_xlfn.XLOOKUP(PA[[#This Row],[Month Year]],'Modelling New'!$D:$D,'Modelling New'!$O:$O)*M27*PA[[#This Row],[Lost PoA(kWh/m2)]],"")</f>
        <v>397.07181842242409</v>
      </c>
      <c r="AF27" s="150">
        <v>3767</v>
      </c>
      <c r="AG27" s="150"/>
      <c r="AH27" s="150"/>
      <c r="AI27" s="317"/>
    </row>
    <row r="28" spans="1:35" ht="29" x14ac:dyDescent="0.35">
      <c r="A28" s="147">
        <f t="shared" si="1"/>
        <v>25</v>
      </c>
      <c r="B28" s="183">
        <v>45798</v>
      </c>
      <c r="C28" s="180">
        <f>YEAR(PA[[#This Row],[Date]])+IF(MONTH(PA[[#This Row],[Date]])&gt;=4,1,0)</f>
        <v>2026</v>
      </c>
      <c r="D28" s="155">
        <f>YEAR(PA[[#This Row],[Date]])</f>
        <v>2025</v>
      </c>
      <c r="E28" s="149" t="s">
        <v>4</v>
      </c>
      <c r="F28" s="149" t="s">
        <v>4</v>
      </c>
      <c r="G28" s="228">
        <f>PA[[#This Row],[Date]]-DAY(PA[[#This Row],[Date]])+1</f>
        <v>45778</v>
      </c>
      <c r="H28" s="155">
        <f>DAY(EOMONTH(PA[[#This Row],[Month Year]],0))</f>
        <v>31</v>
      </c>
      <c r="I28" s="151">
        <f>_xlfn.XLOOKUP(PA[[#This Row],[Date]],RD[Date],RD[Sunrise Time (POA&gt;20 W/m2)],0)</f>
        <v>0.25763888888888886</v>
      </c>
      <c r="J28" s="151">
        <f>_xlfn.XLOOKUP(PA[[#This Row],[Date]],RD[Date],RD[Sunset Time (POA&lt;20 W/m2)],0)</f>
        <v>0.77638888888888891</v>
      </c>
      <c r="K28" s="152">
        <f>IFERROR((PA[[#This Row],[Sunset Time (POA&lt;20 W/m2)]]-PA[[#This Row],[Sunrise Time (POA&gt;20 W/m2)]])*24,"")</f>
        <v>12.450000000000001</v>
      </c>
      <c r="L28" s="149" t="s">
        <v>229</v>
      </c>
      <c r="M28" s="150">
        <f>IFERROR(VLOOKUP(PA[[#This Row],[Affceted Equipment]],'Basic Data'!$A$2:$B$125,2,0),"")</f>
        <v>1222</v>
      </c>
      <c r="N28" s="178">
        <f>IFERROR(VLOOKUP(PA[[#This Row],[Affceted Equipment]],'Basic Data'!$A$1:$C$128,3,0),"")</f>
        <v>5.0329489291598022E-2</v>
      </c>
      <c r="O28" s="166" t="s">
        <v>229</v>
      </c>
      <c r="P28" s="217" t="s">
        <v>728</v>
      </c>
      <c r="Q28" s="217" t="s">
        <v>729</v>
      </c>
      <c r="R28" s="149" t="s">
        <v>732</v>
      </c>
      <c r="S28" s="187">
        <v>0.25763888888888886</v>
      </c>
      <c r="T28" s="187">
        <v>0.25763888888888886</v>
      </c>
      <c r="U28" s="187">
        <v>0.25763888888888886</v>
      </c>
      <c r="V28" s="187">
        <v>0.77638888888888891</v>
      </c>
      <c r="W28" s="150">
        <f>IF(PA[[#This Row],[Acknowledgemnet Time ]]="NA","",(PA[[#This Row],[Acknowledgemnet Time ]]-PA[[#This Row],[Fault Time]])*24)</f>
        <v>0</v>
      </c>
      <c r="X28" s="150">
        <f>IF(PA[[#This Row],[Work Start time on Fault]]="NA","",(PA[[#This Row],[Work Start time on Fault]]-PA[[#This Row],[Fault Time]])*24)</f>
        <v>0</v>
      </c>
      <c r="Y28" s="152">
        <f>(PA[[#This Row],[Work Completiuon time on fualt]]-PA[[#This Row],[Fault Time]])*24</f>
        <v>12.450000000000001</v>
      </c>
      <c r="Z28" s="152">
        <f>IFERROR((PA[[#This Row],[Work Completiuon time on fualt]]-PA[[#This Row],[Fault Time]])*24,"")</f>
        <v>12.450000000000001</v>
      </c>
      <c r="AA28" s="312" t="s">
        <v>731</v>
      </c>
      <c r="AB28" s="149" t="s">
        <v>198</v>
      </c>
      <c r="AC28" s="152">
        <f>IFERROR(PA[[#This Row],[Breakdown Time]]*PA[[#This Row],[Plant Equivalent Weightage]],)</f>
        <v>0.62660214168039541</v>
      </c>
      <c r="AD28" s="153">
        <v>3.859</v>
      </c>
      <c r="AE28" s="163">
        <f>IFERROR(_xlfn.XLOOKUP(PA[[#This Row],[Month Year]],'Modelling New'!$D:$D,'Modelling New'!$O:$O)*M28*PA[[#This Row],[Lost PoA(kWh/m2)]],"")</f>
        <v>3563.4887146328715</v>
      </c>
      <c r="AF28" s="150"/>
      <c r="AG28" s="150"/>
      <c r="AH28" s="150"/>
      <c r="AI28" s="317"/>
    </row>
    <row r="29" spans="1:35" ht="29" x14ac:dyDescent="0.35">
      <c r="A29" s="147">
        <f t="shared" si="1"/>
        <v>26</v>
      </c>
      <c r="B29" s="183">
        <v>45799</v>
      </c>
      <c r="C29" s="180">
        <f>YEAR(PA[[#This Row],[Date]])+IF(MONTH(PA[[#This Row],[Date]])&gt;=4,1,0)</f>
        <v>2026</v>
      </c>
      <c r="D29" s="155">
        <f>YEAR(PA[[#This Row],[Date]])</f>
        <v>2025</v>
      </c>
      <c r="E29" s="149" t="s">
        <v>4</v>
      </c>
      <c r="F29" s="149" t="s">
        <v>4</v>
      </c>
      <c r="G29" s="228">
        <f>PA[[#This Row],[Date]]-DAY(PA[[#This Row],[Date]])+1</f>
        <v>45778</v>
      </c>
      <c r="H29" s="155">
        <f>DAY(EOMONTH(PA[[#This Row],[Month Year]],0))</f>
        <v>31</v>
      </c>
      <c r="I29" s="151">
        <f>_xlfn.XLOOKUP(PA[[#This Row],[Date]],RD[Date],RD[Sunrise Time (POA&gt;20 W/m2)],0)</f>
        <v>0.27500000000000002</v>
      </c>
      <c r="J29" s="151">
        <f>_xlfn.XLOOKUP(PA[[#This Row],[Date]],RD[Date],RD[Sunset Time (POA&lt;20 W/m2)],0)</f>
        <v>0.76527777777777772</v>
      </c>
      <c r="K29" s="152">
        <f>IFERROR((PA[[#This Row],[Sunset Time (POA&lt;20 W/m2)]]-PA[[#This Row],[Sunrise Time (POA&gt;20 W/m2)]])*24,"")</f>
        <v>11.766666666666666</v>
      </c>
      <c r="L29" s="149" t="s">
        <v>229</v>
      </c>
      <c r="M29" s="150">
        <f>IFERROR(VLOOKUP(PA[[#This Row],[Affceted Equipment]],'Basic Data'!$A$2:$B$125,2,0),"")</f>
        <v>1222</v>
      </c>
      <c r="N29" s="178">
        <f>IFERROR(VLOOKUP(PA[[#This Row],[Affceted Equipment]],'Basic Data'!$A$1:$C$128,3,0),"")</f>
        <v>5.0329489291598022E-2</v>
      </c>
      <c r="O29" s="166" t="s">
        <v>229</v>
      </c>
      <c r="P29" s="217" t="s">
        <v>728</v>
      </c>
      <c r="Q29" s="217" t="s">
        <v>729</v>
      </c>
      <c r="R29" s="149" t="s">
        <v>732</v>
      </c>
      <c r="S29" s="187">
        <v>0.27500000000000002</v>
      </c>
      <c r="T29" s="187">
        <v>0.27500000000000002</v>
      </c>
      <c r="U29" s="187">
        <v>0.27500000000000002</v>
      </c>
      <c r="V29" s="187">
        <v>0.76527777777777772</v>
      </c>
      <c r="W29" s="150">
        <f>IF(PA[[#This Row],[Acknowledgemnet Time ]]="NA","",(PA[[#This Row],[Acknowledgemnet Time ]]-PA[[#This Row],[Fault Time]])*24)</f>
        <v>0</v>
      </c>
      <c r="X29" s="150">
        <f>IF(PA[[#This Row],[Work Start time on Fault]]="NA","",(PA[[#This Row],[Work Start time on Fault]]-PA[[#This Row],[Fault Time]])*24)</f>
        <v>0</v>
      </c>
      <c r="Y29" s="152">
        <f>(PA[[#This Row],[Work Completiuon time on fualt]]-PA[[#This Row],[Fault Time]])*24</f>
        <v>11.766666666666666</v>
      </c>
      <c r="Z29" s="152">
        <f>IFERROR((PA[[#This Row],[Work Completiuon time on fualt]]-PA[[#This Row],[Fault Time]])*24,"")</f>
        <v>11.766666666666666</v>
      </c>
      <c r="AA29" s="312" t="s">
        <v>731</v>
      </c>
      <c r="AB29" s="149" t="s">
        <v>198</v>
      </c>
      <c r="AC29" s="152">
        <f>IFERROR(PA[[#This Row],[Breakdown Time]]*PA[[#This Row],[Plant Equivalent Weightage]],)</f>
        <v>0.59221032399780338</v>
      </c>
      <c r="AD29" s="153">
        <v>4.056</v>
      </c>
      <c r="AE29" s="163">
        <f>IFERROR(_xlfn.XLOOKUP(PA[[#This Row],[Month Year]],'Modelling New'!$D:$D,'Modelling New'!$O:$O)*M29*PA[[#This Row],[Lost PoA(kWh/m2)]],"")</f>
        <v>3745.4030128403542</v>
      </c>
      <c r="AF29" s="150"/>
      <c r="AG29" s="150"/>
      <c r="AH29" s="150"/>
      <c r="AI29" s="317"/>
    </row>
    <row r="30" spans="1:35" ht="29" x14ac:dyDescent="0.35">
      <c r="A30" s="147">
        <f t="shared" si="1"/>
        <v>27</v>
      </c>
      <c r="B30" s="183">
        <v>45800</v>
      </c>
      <c r="C30" s="180">
        <f>YEAR(PA[[#This Row],[Date]])+IF(MONTH(PA[[#This Row],[Date]])&gt;=4,1,0)</f>
        <v>2026</v>
      </c>
      <c r="D30" s="155">
        <f>YEAR(PA[[#This Row],[Date]])</f>
        <v>2025</v>
      </c>
      <c r="E30" s="149" t="s">
        <v>4</v>
      </c>
      <c r="F30" s="149" t="s">
        <v>4</v>
      </c>
      <c r="G30" s="228">
        <f>PA[[#This Row],[Date]]-DAY(PA[[#This Row],[Date]])+1</f>
        <v>45778</v>
      </c>
      <c r="H30" s="155">
        <f>DAY(EOMONTH(PA[[#This Row],[Month Year]],0))</f>
        <v>31</v>
      </c>
      <c r="I30" s="151">
        <f>_xlfn.XLOOKUP(PA[[#This Row],[Date]],RD[Date],RD[Sunrise Time (POA&gt;20 W/m2)],0)</f>
        <v>0.26597222222222222</v>
      </c>
      <c r="J30" s="151">
        <f>_xlfn.XLOOKUP(PA[[#This Row],[Date]],RD[Date],RD[Sunset Time (POA&lt;20 W/m2)],0)</f>
        <v>0.77430555555555558</v>
      </c>
      <c r="K30" s="152">
        <f>IFERROR((PA[[#This Row],[Sunset Time (POA&lt;20 W/m2)]]-PA[[#This Row],[Sunrise Time (POA&gt;20 W/m2)]])*24,"")</f>
        <v>12.2</v>
      </c>
      <c r="L30" s="149" t="s">
        <v>229</v>
      </c>
      <c r="M30" s="150">
        <f>IFERROR(VLOOKUP(PA[[#This Row],[Affceted Equipment]],'Basic Data'!$A$2:$B$125,2,0),"")</f>
        <v>1222</v>
      </c>
      <c r="N30" s="178">
        <f>IFERROR(VLOOKUP(PA[[#This Row],[Affceted Equipment]],'Basic Data'!$A$1:$C$128,3,0),"")</f>
        <v>5.0329489291598022E-2</v>
      </c>
      <c r="O30" s="166" t="s">
        <v>229</v>
      </c>
      <c r="P30" s="217" t="s">
        <v>728</v>
      </c>
      <c r="Q30" s="217" t="s">
        <v>729</v>
      </c>
      <c r="R30" s="149" t="s">
        <v>732</v>
      </c>
      <c r="S30" s="187">
        <v>0.26597222222222222</v>
      </c>
      <c r="T30" s="187">
        <v>0.26597222222222222</v>
      </c>
      <c r="U30" s="187">
        <v>0.26597222222222222</v>
      </c>
      <c r="V30" s="187">
        <v>0.77430555555555558</v>
      </c>
      <c r="W30" s="150">
        <f>IF(PA[[#This Row],[Acknowledgemnet Time ]]="NA","",(PA[[#This Row],[Acknowledgemnet Time ]]-PA[[#This Row],[Fault Time]])*24)</f>
        <v>0</v>
      </c>
      <c r="X30" s="150">
        <f>IF(PA[[#This Row],[Work Start time on Fault]]="NA","",(PA[[#This Row],[Work Start time on Fault]]-PA[[#This Row],[Fault Time]])*24)</f>
        <v>0</v>
      </c>
      <c r="Y30" s="152">
        <f>(PA[[#This Row],[Work Completiuon time on fualt]]-PA[[#This Row],[Fault Time]])*24</f>
        <v>12.2</v>
      </c>
      <c r="Z30" s="152">
        <f>IFERROR((PA[[#This Row],[Work Completiuon time on fualt]]-PA[[#This Row],[Fault Time]])*24,"")</f>
        <v>12.2</v>
      </c>
      <c r="AA30" s="312" t="s">
        <v>731</v>
      </c>
      <c r="AB30" s="149" t="s">
        <v>198</v>
      </c>
      <c r="AC30" s="152">
        <f>IFERROR(PA[[#This Row],[Breakdown Time]]*PA[[#This Row],[Plant Equivalent Weightage]],)</f>
        <v>0.6140197693574958</v>
      </c>
      <c r="AD30" s="153">
        <v>2.1720000000000002</v>
      </c>
      <c r="AE30" s="163">
        <f>IFERROR(_xlfn.XLOOKUP(PA[[#This Row],[Month Year]],'Modelling New'!$D:$D,'Modelling New'!$O:$O)*M30*PA[[#This Row],[Lost PoA(kWh/m2)]],"")</f>
        <v>2005.6743944500122</v>
      </c>
      <c r="AF30" s="150"/>
      <c r="AG30" s="150"/>
      <c r="AH30" s="150"/>
      <c r="AI30" s="317"/>
    </row>
    <row r="31" spans="1:35" ht="29" x14ac:dyDescent="0.35">
      <c r="A31" s="147">
        <f t="shared" si="1"/>
        <v>28</v>
      </c>
      <c r="B31" s="183">
        <v>45801</v>
      </c>
      <c r="C31" s="180">
        <f>YEAR(PA[[#This Row],[Date]])+IF(MONTH(PA[[#This Row],[Date]])&gt;=4,1,0)</f>
        <v>2026</v>
      </c>
      <c r="D31" s="155">
        <f>YEAR(PA[[#This Row],[Date]])</f>
        <v>2025</v>
      </c>
      <c r="E31" s="149" t="s">
        <v>4</v>
      </c>
      <c r="F31" s="149" t="s">
        <v>4</v>
      </c>
      <c r="G31" s="228">
        <f>PA[[#This Row],[Date]]-DAY(PA[[#This Row],[Date]])+1</f>
        <v>45778</v>
      </c>
      <c r="H31" s="155">
        <f>DAY(EOMONTH(PA[[#This Row],[Month Year]],0))</f>
        <v>31</v>
      </c>
      <c r="I31" s="151">
        <f>_xlfn.XLOOKUP(PA[[#This Row],[Date]],RD[Date],RD[Sunrise Time (POA&gt;20 W/m2)],0)</f>
        <v>0.28472222222222221</v>
      </c>
      <c r="J31" s="151">
        <f>_xlfn.XLOOKUP(PA[[#This Row],[Date]],RD[Date],RD[Sunset Time (POA&lt;20 W/m2)],0)</f>
        <v>0.7583333333333333</v>
      </c>
      <c r="K31" s="152">
        <f>IFERROR((PA[[#This Row],[Sunset Time (POA&lt;20 W/m2)]]-PA[[#This Row],[Sunrise Time (POA&gt;20 W/m2)]])*24,"")</f>
        <v>11.366666666666667</v>
      </c>
      <c r="L31" s="149" t="s">
        <v>229</v>
      </c>
      <c r="M31" s="150">
        <f>IFERROR(VLOOKUP(PA[[#This Row],[Affceted Equipment]],'Basic Data'!$A$2:$B$125,2,0),"")</f>
        <v>1222</v>
      </c>
      <c r="N31" s="178">
        <f>IFERROR(VLOOKUP(PA[[#This Row],[Affceted Equipment]],'Basic Data'!$A$1:$C$128,3,0),"")</f>
        <v>5.0329489291598022E-2</v>
      </c>
      <c r="O31" s="166" t="s">
        <v>229</v>
      </c>
      <c r="P31" s="217" t="s">
        <v>728</v>
      </c>
      <c r="Q31" s="217" t="s">
        <v>729</v>
      </c>
      <c r="R31" s="149" t="s">
        <v>732</v>
      </c>
      <c r="S31" s="187">
        <v>0.28472222222222221</v>
      </c>
      <c r="T31" s="187">
        <v>0.28472222222222221</v>
      </c>
      <c r="U31" s="187">
        <v>0.28472222222222221</v>
      </c>
      <c r="V31" s="187">
        <v>0.7583333333333333</v>
      </c>
      <c r="W31" s="150">
        <f>IF(PA[[#This Row],[Acknowledgemnet Time ]]="NA","",(PA[[#This Row],[Acknowledgemnet Time ]]-PA[[#This Row],[Fault Time]])*24)</f>
        <v>0</v>
      </c>
      <c r="X31" s="150">
        <f>IF(PA[[#This Row],[Work Start time on Fault]]="NA","",(PA[[#This Row],[Work Start time on Fault]]-PA[[#This Row],[Fault Time]])*24)</f>
        <v>0</v>
      </c>
      <c r="Y31" s="152">
        <f>(PA[[#This Row],[Work Completiuon time on fualt]]-PA[[#This Row],[Fault Time]])*24</f>
        <v>11.366666666666667</v>
      </c>
      <c r="Z31" s="152">
        <f>IFERROR((PA[[#This Row],[Work Completiuon time on fualt]]-PA[[#This Row],[Fault Time]])*24,"")</f>
        <v>11.366666666666667</v>
      </c>
      <c r="AA31" s="312" t="s">
        <v>731</v>
      </c>
      <c r="AB31" s="149" t="s">
        <v>198</v>
      </c>
      <c r="AC31" s="152">
        <f>IFERROR(PA[[#This Row],[Breakdown Time]]*PA[[#This Row],[Plant Equivalent Weightage]],)</f>
        <v>0.57207852828116423</v>
      </c>
      <c r="AD31" s="153">
        <v>2.9159999999999999</v>
      </c>
      <c r="AE31" s="163">
        <f>IFERROR(_xlfn.XLOOKUP(PA[[#This Row],[Month Year]],'Modelling New'!$D:$D,'Modelling New'!$O:$O)*M31*PA[[#This Row],[Lost PoA(kWh/m2)]],"")</f>
        <v>2692.7009826041599</v>
      </c>
      <c r="AF31" s="150"/>
      <c r="AG31" s="150"/>
      <c r="AH31" s="150"/>
      <c r="AI31" s="317"/>
    </row>
    <row r="32" spans="1:35" ht="29" x14ac:dyDescent="0.35">
      <c r="A32" s="147">
        <f t="shared" si="1"/>
        <v>29</v>
      </c>
      <c r="B32" s="183">
        <v>45802</v>
      </c>
      <c r="C32" s="180">
        <f>YEAR(PA[[#This Row],[Date]])+IF(MONTH(PA[[#This Row],[Date]])&gt;=4,1,0)</f>
        <v>2026</v>
      </c>
      <c r="D32" s="155">
        <f>YEAR(PA[[#This Row],[Date]])</f>
        <v>2025</v>
      </c>
      <c r="E32" s="149" t="s">
        <v>4</v>
      </c>
      <c r="F32" s="149" t="s">
        <v>4</v>
      </c>
      <c r="G32" s="228">
        <f>PA[[#This Row],[Date]]-DAY(PA[[#This Row],[Date]])+1</f>
        <v>45778</v>
      </c>
      <c r="H32" s="155">
        <f>DAY(EOMONTH(PA[[#This Row],[Month Year]],0))</f>
        <v>31</v>
      </c>
      <c r="I32" s="151">
        <f>_xlfn.XLOOKUP(PA[[#This Row],[Date]],RD[Date],RD[Sunrise Time (POA&gt;20 W/m2)],0)</f>
        <v>0.25694444444444442</v>
      </c>
      <c r="J32" s="151">
        <f>_xlfn.XLOOKUP(PA[[#This Row],[Date]],RD[Date],RD[Sunset Time (POA&lt;20 W/m2)],0)</f>
        <v>0.75069444444444444</v>
      </c>
      <c r="K32" s="152">
        <f>IFERROR((PA[[#This Row],[Sunset Time (POA&lt;20 W/m2)]]-PA[[#This Row],[Sunrise Time (POA&gt;20 W/m2)]])*24,"")</f>
        <v>11.850000000000001</v>
      </c>
      <c r="L32" s="149" t="s">
        <v>229</v>
      </c>
      <c r="M32" s="150">
        <f>IFERROR(VLOOKUP(PA[[#This Row],[Affceted Equipment]],'Basic Data'!$A$2:$B$125,2,0),"")</f>
        <v>1222</v>
      </c>
      <c r="N32" s="178">
        <f>IFERROR(VLOOKUP(PA[[#This Row],[Affceted Equipment]],'Basic Data'!$A$1:$C$128,3,0),"")</f>
        <v>5.0329489291598022E-2</v>
      </c>
      <c r="O32" s="166" t="s">
        <v>229</v>
      </c>
      <c r="P32" s="217" t="s">
        <v>728</v>
      </c>
      <c r="Q32" s="217" t="s">
        <v>729</v>
      </c>
      <c r="R32" s="149" t="s">
        <v>732</v>
      </c>
      <c r="S32" s="187">
        <v>0.25694444444444442</v>
      </c>
      <c r="T32" s="187">
        <v>0.25694444444444442</v>
      </c>
      <c r="U32" s="187">
        <v>0.25694444444444442</v>
      </c>
      <c r="V32" s="187">
        <v>0.75069444444444444</v>
      </c>
      <c r="W32" s="150">
        <f>IF(PA[[#This Row],[Acknowledgemnet Time ]]="NA","",(PA[[#This Row],[Acknowledgemnet Time ]]-PA[[#This Row],[Fault Time]])*24)</f>
        <v>0</v>
      </c>
      <c r="X32" s="150">
        <f>IF(PA[[#This Row],[Work Start time on Fault]]="NA","",(PA[[#This Row],[Work Start time on Fault]]-PA[[#This Row],[Fault Time]])*24)</f>
        <v>0</v>
      </c>
      <c r="Y32" s="152">
        <f>(PA[[#This Row],[Work Completiuon time on fualt]]-PA[[#This Row],[Fault Time]])*24</f>
        <v>11.850000000000001</v>
      </c>
      <c r="Z32" s="152">
        <f>IFERROR((PA[[#This Row],[Work Completiuon time on fualt]]-PA[[#This Row],[Fault Time]])*24,"")</f>
        <v>11.850000000000001</v>
      </c>
      <c r="AA32" s="312" t="s">
        <v>731</v>
      </c>
      <c r="AB32" s="149" t="s">
        <v>198</v>
      </c>
      <c r="AC32" s="152">
        <f>IFERROR(PA[[#This Row],[Breakdown Time]]*PA[[#This Row],[Plant Equivalent Weightage]],)</f>
        <v>0.59640444810543658</v>
      </c>
      <c r="AD32" s="153">
        <v>3.7080000000000002</v>
      </c>
      <c r="AE32" s="163">
        <f>IFERROR(_xlfn.XLOOKUP(PA[[#This Row],[Month Year]],'Modelling New'!$D:$D,'Modelling New'!$O:$O)*M32*PA[[#This Row],[Lost PoA(kWh/m2)]],"")</f>
        <v>3424.0518667682527</v>
      </c>
      <c r="AF32" s="150"/>
      <c r="AG32" s="150"/>
      <c r="AH32" s="150"/>
      <c r="AI32" s="317"/>
    </row>
    <row r="33" spans="1:35" ht="29" x14ac:dyDescent="0.35">
      <c r="A33" s="147">
        <f t="shared" si="1"/>
        <v>30</v>
      </c>
      <c r="B33" s="183">
        <v>45803</v>
      </c>
      <c r="C33" s="180">
        <f>YEAR(PA[[#This Row],[Date]])+IF(MONTH(PA[[#This Row],[Date]])&gt;=4,1,0)</f>
        <v>2026</v>
      </c>
      <c r="D33" s="155">
        <f>YEAR(PA[[#This Row],[Date]])</f>
        <v>2025</v>
      </c>
      <c r="E33" s="149" t="s">
        <v>4</v>
      </c>
      <c r="F33" s="149" t="s">
        <v>4</v>
      </c>
      <c r="G33" s="228">
        <f>PA[[#This Row],[Date]]-DAY(PA[[#This Row],[Date]])+1</f>
        <v>45778</v>
      </c>
      <c r="H33" s="155">
        <f>DAY(EOMONTH(PA[[#This Row],[Month Year]],0))</f>
        <v>31</v>
      </c>
      <c r="I33" s="151">
        <f>_xlfn.XLOOKUP(PA[[#This Row],[Date]],RD[Date],RD[Sunrise Time (POA&gt;20 W/m2)],0)</f>
        <v>0.25763888888888886</v>
      </c>
      <c r="J33" s="151">
        <f>_xlfn.XLOOKUP(PA[[#This Row],[Date]],RD[Date],RD[Sunset Time (POA&lt;20 W/m2)],0)</f>
        <v>0.7631944444444444</v>
      </c>
      <c r="K33" s="152">
        <f>IFERROR((PA[[#This Row],[Sunset Time (POA&lt;20 W/m2)]]-PA[[#This Row],[Sunrise Time (POA&gt;20 W/m2)]])*24,"")</f>
        <v>12.133333333333333</v>
      </c>
      <c r="L33" s="149" t="s">
        <v>229</v>
      </c>
      <c r="M33" s="150">
        <f>IFERROR(VLOOKUP(PA[[#This Row],[Affceted Equipment]],'Basic Data'!$A$2:$B$125,2,0),"")</f>
        <v>1222</v>
      </c>
      <c r="N33" s="178">
        <f>IFERROR(VLOOKUP(PA[[#This Row],[Affceted Equipment]],'Basic Data'!$A$1:$C$128,3,0),"")</f>
        <v>5.0329489291598022E-2</v>
      </c>
      <c r="O33" s="166" t="s">
        <v>229</v>
      </c>
      <c r="P33" s="217" t="s">
        <v>728</v>
      </c>
      <c r="Q33" s="217" t="s">
        <v>729</v>
      </c>
      <c r="R33" s="149" t="s">
        <v>732</v>
      </c>
      <c r="S33" s="187">
        <v>0.25763888888888886</v>
      </c>
      <c r="T33" s="187">
        <v>0.25763888888888886</v>
      </c>
      <c r="U33" s="187">
        <v>0.25763888888888886</v>
      </c>
      <c r="V33" s="187">
        <v>0.7631944444444444</v>
      </c>
      <c r="W33" s="150">
        <f>IF(PA[[#This Row],[Acknowledgemnet Time ]]="NA","",(PA[[#This Row],[Acknowledgemnet Time ]]-PA[[#This Row],[Fault Time]])*24)</f>
        <v>0</v>
      </c>
      <c r="X33" s="150">
        <f>IF(PA[[#This Row],[Work Start time on Fault]]="NA","",(PA[[#This Row],[Work Start time on Fault]]-PA[[#This Row],[Fault Time]])*24)</f>
        <v>0</v>
      </c>
      <c r="Y33" s="152">
        <f>(PA[[#This Row],[Work Completiuon time on fualt]]-PA[[#This Row],[Fault Time]])*24</f>
        <v>12.133333333333333</v>
      </c>
      <c r="Z33" s="152">
        <f>IFERROR((PA[[#This Row],[Work Completiuon time on fualt]]-PA[[#This Row],[Fault Time]])*24,"")</f>
        <v>12.133333333333333</v>
      </c>
      <c r="AA33" s="312" t="s">
        <v>731</v>
      </c>
      <c r="AB33" s="149" t="s">
        <v>198</v>
      </c>
      <c r="AC33" s="152">
        <f>IFERROR(PA[[#This Row],[Breakdown Time]]*PA[[#This Row],[Plant Equivalent Weightage]],)</f>
        <v>0.61066447007138935</v>
      </c>
      <c r="AD33" s="153">
        <v>6.0389999999999997</v>
      </c>
      <c r="AE33" s="163">
        <f>IFERROR(_xlfn.XLOOKUP(PA[[#This Row],[Month Year]],'Modelling New'!$D:$D,'Modelling New'!$O:$O)*M33*PA[[#This Row],[Lost PoA(kWh/m2)]],"")</f>
        <v>5576.5504917512071</v>
      </c>
      <c r="AF33" s="150"/>
      <c r="AG33" s="150"/>
      <c r="AH33" s="150"/>
      <c r="AI33" s="317"/>
    </row>
    <row r="34" spans="1:35" ht="29" x14ac:dyDescent="0.35">
      <c r="A34" s="147">
        <f t="shared" si="1"/>
        <v>31</v>
      </c>
      <c r="B34" s="183">
        <v>45804</v>
      </c>
      <c r="C34" s="180">
        <f>YEAR(PA[[#This Row],[Date]])+IF(MONTH(PA[[#This Row],[Date]])&gt;=4,1,0)</f>
        <v>2026</v>
      </c>
      <c r="D34" s="155">
        <f>YEAR(PA[[#This Row],[Date]])</f>
        <v>2025</v>
      </c>
      <c r="E34" s="149" t="s">
        <v>4</v>
      </c>
      <c r="F34" s="149" t="s">
        <v>4</v>
      </c>
      <c r="G34" s="228">
        <f>PA[[#This Row],[Date]]-DAY(PA[[#This Row],[Date]])+1</f>
        <v>45778</v>
      </c>
      <c r="H34" s="155">
        <f>DAY(EOMONTH(PA[[#This Row],[Month Year]],0))</f>
        <v>31</v>
      </c>
      <c r="I34" s="151">
        <f>_xlfn.XLOOKUP(PA[[#This Row],[Date]],RD[Date],RD[Sunrise Time (POA&gt;20 W/m2)],0)</f>
        <v>0.26180555555555557</v>
      </c>
      <c r="J34" s="151">
        <f>_xlfn.XLOOKUP(PA[[#This Row],[Date]],RD[Date],RD[Sunset Time (POA&lt;20 W/m2)],0)</f>
        <v>0.61111111111111116</v>
      </c>
      <c r="K34" s="152">
        <f>IFERROR((PA[[#This Row],[Sunset Time (POA&lt;20 W/m2)]]-PA[[#This Row],[Sunrise Time (POA&gt;20 W/m2)]])*24,"")</f>
        <v>8.3833333333333346</v>
      </c>
      <c r="L34" s="149" t="s">
        <v>229</v>
      </c>
      <c r="M34" s="150">
        <f>IFERROR(VLOOKUP(PA[[#This Row],[Affceted Equipment]],'Basic Data'!$A$2:$B$125,2,0),"")</f>
        <v>1222</v>
      </c>
      <c r="N34" s="178">
        <f>IFERROR(VLOOKUP(PA[[#This Row],[Affceted Equipment]],'Basic Data'!$A$1:$C$128,3,0),"")</f>
        <v>5.0329489291598022E-2</v>
      </c>
      <c r="O34" s="166" t="s">
        <v>229</v>
      </c>
      <c r="P34" s="217" t="s">
        <v>728</v>
      </c>
      <c r="Q34" s="217" t="s">
        <v>729</v>
      </c>
      <c r="R34" s="149" t="s">
        <v>732</v>
      </c>
      <c r="S34" s="187">
        <v>0.26180555555555557</v>
      </c>
      <c r="T34" s="187">
        <v>0.26180555555555557</v>
      </c>
      <c r="U34" s="187">
        <v>0.26180555555555557</v>
      </c>
      <c r="V34" s="187">
        <v>0.61111111111111116</v>
      </c>
      <c r="W34" s="150">
        <f>IF(PA[[#This Row],[Acknowledgemnet Time ]]="NA","",(PA[[#This Row],[Acknowledgemnet Time ]]-PA[[#This Row],[Fault Time]])*24)</f>
        <v>0</v>
      </c>
      <c r="X34" s="150">
        <f>IF(PA[[#This Row],[Work Start time on Fault]]="NA","",(PA[[#This Row],[Work Start time on Fault]]-PA[[#This Row],[Fault Time]])*24)</f>
        <v>0</v>
      </c>
      <c r="Y34" s="152">
        <f>(PA[[#This Row],[Work Completiuon time on fualt]]-PA[[#This Row],[Fault Time]])*24</f>
        <v>8.3833333333333346</v>
      </c>
      <c r="Z34" s="152">
        <f>IFERROR((PA[[#This Row],[Work Completiuon time on fualt]]-PA[[#This Row],[Fault Time]])*24,"")</f>
        <v>8.3833333333333346</v>
      </c>
      <c r="AA34" s="312" t="s">
        <v>731</v>
      </c>
      <c r="AB34" s="149" t="s">
        <v>198</v>
      </c>
      <c r="AC34" s="152">
        <f>IFERROR(PA[[#This Row],[Breakdown Time]]*PA[[#This Row],[Plant Equivalent Weightage]],)</f>
        <v>0.42192888522789679</v>
      </c>
      <c r="AD34" s="153">
        <v>1.1619999999999999</v>
      </c>
      <c r="AE34" s="163">
        <f>IFERROR(_xlfn.XLOOKUP(PA[[#This Row],[Month Year]],'Modelling New'!$D:$D,'Modelling New'!$O:$O)*M34*PA[[#This Row],[Lost PoA(kWh/m2)]],"")</f>
        <v>1073.0173325740855</v>
      </c>
      <c r="AF34" s="150"/>
      <c r="AG34" s="150"/>
      <c r="AH34" s="150"/>
      <c r="AI34" s="317"/>
    </row>
    <row r="35" spans="1:35" ht="29" x14ac:dyDescent="0.35">
      <c r="A35" s="147">
        <f t="shared" si="1"/>
        <v>32</v>
      </c>
      <c r="B35" s="183">
        <v>45805</v>
      </c>
      <c r="C35" s="180">
        <f>YEAR(PA[[#This Row],[Date]])+IF(MONTH(PA[[#This Row],[Date]])&gt;=4,1,0)</f>
        <v>2026</v>
      </c>
      <c r="D35" s="155">
        <f>YEAR(PA[[#This Row],[Date]])</f>
        <v>2025</v>
      </c>
      <c r="E35" s="149" t="s">
        <v>4</v>
      </c>
      <c r="F35" s="149" t="s">
        <v>4</v>
      </c>
      <c r="G35" s="228">
        <f>PA[[#This Row],[Date]]-DAY(PA[[#This Row],[Date]])+1</f>
        <v>45778</v>
      </c>
      <c r="H35" s="155">
        <f>DAY(EOMONTH(PA[[#This Row],[Month Year]],0))</f>
        <v>31</v>
      </c>
      <c r="I35" s="151">
        <f>_xlfn.XLOOKUP(PA[[#This Row],[Date]],RD[Date],RD[Sunrise Time (POA&gt;20 W/m2)],0)</f>
        <v>0.25694444444444442</v>
      </c>
      <c r="J35" s="151">
        <f>_xlfn.XLOOKUP(PA[[#This Row],[Date]],RD[Date],RD[Sunset Time (POA&lt;20 W/m2)],0)</f>
        <v>0.75138888888888888</v>
      </c>
      <c r="K35" s="152">
        <f>IFERROR((PA[[#This Row],[Sunset Time (POA&lt;20 W/m2)]]-PA[[#This Row],[Sunrise Time (POA&gt;20 W/m2)]])*24,"")</f>
        <v>11.866666666666667</v>
      </c>
      <c r="L35" s="149" t="s">
        <v>229</v>
      </c>
      <c r="M35" s="150">
        <f>IFERROR(VLOOKUP(PA[[#This Row],[Affceted Equipment]],'Basic Data'!$A$2:$B$125,2,0),"")</f>
        <v>1222</v>
      </c>
      <c r="N35" s="178">
        <f>IFERROR(VLOOKUP(PA[[#This Row],[Affceted Equipment]],'Basic Data'!$A$1:$C$128,3,0),"")</f>
        <v>5.0329489291598022E-2</v>
      </c>
      <c r="O35" s="166" t="s">
        <v>229</v>
      </c>
      <c r="P35" s="217" t="s">
        <v>728</v>
      </c>
      <c r="Q35" s="217" t="s">
        <v>729</v>
      </c>
      <c r="R35" s="149" t="s">
        <v>732</v>
      </c>
      <c r="S35" s="315">
        <v>0.25694444444444442</v>
      </c>
      <c r="T35" s="315">
        <v>0.25694444444444442</v>
      </c>
      <c r="U35" s="315">
        <v>0.25694444444444442</v>
      </c>
      <c r="V35" s="315">
        <v>0.75138888888888888</v>
      </c>
      <c r="W35" s="150">
        <f>IF(PA[[#This Row],[Acknowledgemnet Time ]]="NA","",(PA[[#This Row],[Acknowledgemnet Time ]]-PA[[#This Row],[Fault Time]])*24)</f>
        <v>0</v>
      </c>
      <c r="X35" s="150">
        <f>IF(PA[[#This Row],[Work Start time on Fault]]="NA","",(PA[[#This Row],[Work Start time on Fault]]-PA[[#This Row],[Fault Time]])*24)</f>
        <v>0</v>
      </c>
      <c r="Y35" s="152">
        <f>(PA[[#This Row],[Work Completiuon time on fualt]]-PA[[#This Row],[Fault Time]])*24</f>
        <v>11.866666666666667</v>
      </c>
      <c r="Z35" s="152">
        <f>IFERROR((PA[[#This Row],[Work Completiuon time on fualt]]-PA[[#This Row],[Fault Time]])*24,"")</f>
        <v>11.866666666666667</v>
      </c>
      <c r="AA35" s="312" t="s">
        <v>731</v>
      </c>
      <c r="AB35" s="149" t="s">
        <v>198</v>
      </c>
      <c r="AC35" s="152">
        <f>IFERROR(PA[[#This Row],[Breakdown Time]]*PA[[#This Row],[Plant Equivalent Weightage]],)</f>
        <v>0.59724327292696322</v>
      </c>
      <c r="AD35" s="153">
        <v>4.351</v>
      </c>
      <c r="AE35" s="163">
        <f>IFERROR(_xlfn.XLOOKUP(PA[[#This Row],[Month Year]],'Modelling New'!$D:$D,'Modelling New'!$O:$O)*M35*PA[[#This Row],[Lost PoA(kWh/m2)]],"")</f>
        <v>4017.8127487348079</v>
      </c>
      <c r="AF35" s="150"/>
      <c r="AG35" s="150"/>
      <c r="AH35" s="150"/>
      <c r="AI35" s="317"/>
    </row>
    <row r="36" spans="1:35" x14ac:dyDescent="0.35">
      <c r="A36" s="147">
        <f t="shared" si="1"/>
        <v>33</v>
      </c>
      <c r="B36" s="183">
        <v>45805</v>
      </c>
      <c r="C36" s="180">
        <f>YEAR(PA[[#This Row],[Date]])+IF(MONTH(PA[[#This Row],[Date]])&gt;=4,1,0)</f>
        <v>2026</v>
      </c>
      <c r="D36" s="155">
        <f>YEAR(PA[[#This Row],[Date]])</f>
        <v>2025</v>
      </c>
      <c r="E36" s="149" t="s">
        <v>4</v>
      </c>
      <c r="F36" s="149" t="s">
        <v>4</v>
      </c>
      <c r="G36" s="228">
        <f>PA[[#This Row],[Date]]-DAY(PA[[#This Row],[Date]])+1</f>
        <v>45778</v>
      </c>
      <c r="H36" s="155">
        <f>DAY(EOMONTH(PA[[#This Row],[Month Year]],0))</f>
        <v>31</v>
      </c>
      <c r="I36" s="151">
        <f>_xlfn.XLOOKUP(PA[[#This Row],[Date]],RD[Date],RD[Sunrise Time (POA&gt;20 W/m2)],0)</f>
        <v>0.25694444444444442</v>
      </c>
      <c r="J36" s="151">
        <f>_xlfn.XLOOKUP(PA[[#This Row],[Date]],RD[Date],RD[Sunset Time (POA&lt;20 W/m2)],0)</f>
        <v>0.75138888888888888</v>
      </c>
      <c r="K36" s="152">
        <f>IFERROR((PA[[#This Row],[Sunset Time (POA&lt;20 W/m2)]]-PA[[#This Row],[Sunrise Time (POA&gt;20 W/m2)]])*24,"")</f>
        <v>11.866666666666667</v>
      </c>
      <c r="L36" s="149" t="s">
        <v>208</v>
      </c>
      <c r="M36" s="150">
        <f>IFERROR(VLOOKUP(PA[[#This Row],[Affceted Equipment]],'Basic Data'!$A$2:$B$125,2,0),"")</f>
        <v>1075.2</v>
      </c>
      <c r="N36" s="178">
        <f>IFERROR(VLOOKUP(PA[[#This Row],[Affceted Equipment]],'Basic Data'!$A$1:$C$128,3,0),"")</f>
        <v>4.4283360790774301E-2</v>
      </c>
      <c r="O36" s="189" t="s">
        <v>208</v>
      </c>
      <c r="P36" s="149" t="s">
        <v>215</v>
      </c>
      <c r="Q36" s="149" t="s">
        <v>733</v>
      </c>
      <c r="R36" s="312" t="s">
        <v>734</v>
      </c>
      <c r="S36" s="187">
        <v>0.38194444444444442</v>
      </c>
      <c r="T36" s="187">
        <v>0.46527777777777779</v>
      </c>
      <c r="U36" s="187">
        <v>0.46527777777777779</v>
      </c>
      <c r="V36" s="187">
        <v>0.48888888888888887</v>
      </c>
      <c r="W36" s="150">
        <f>IF(PA[[#This Row],[Acknowledgemnet Time ]]="NA","",(PA[[#This Row],[Acknowledgemnet Time ]]-PA[[#This Row],[Fault Time]])*24)</f>
        <v>2.0000000000000009</v>
      </c>
      <c r="X36" s="150">
        <f>IF(PA[[#This Row],[Work Start time on Fault]]="NA","",(PA[[#This Row],[Work Start time on Fault]]-PA[[#This Row],[Fault Time]])*24)</f>
        <v>2.0000000000000009</v>
      </c>
      <c r="Y36" s="152">
        <f>(PA[[#This Row],[Work Completiuon time on fualt]]-PA[[#This Row],[Fault Time]])*24</f>
        <v>2.5666666666666669</v>
      </c>
      <c r="Z36" s="152">
        <f>IFERROR((PA[[#This Row],[Work Completiuon time on fualt]]-PA[[#This Row],[Fault Time]])*24,"")</f>
        <v>2.5666666666666669</v>
      </c>
      <c r="AA36" s="312" t="s">
        <v>735</v>
      </c>
      <c r="AB36" s="149" t="s">
        <v>173</v>
      </c>
      <c r="AC36" s="152">
        <f>IFERROR(PA[[#This Row],[Breakdown Time]]*PA[[#This Row],[Plant Equivalent Weightage]],)</f>
        <v>0.11366062602965404</v>
      </c>
      <c r="AD36" s="153">
        <v>1.01</v>
      </c>
      <c r="AE36" s="163">
        <f>IFERROR(_xlfn.XLOOKUP(PA[[#This Row],[Month Year]],'Modelling New'!$D:$D,'Modelling New'!$O:$O)*M36*PA[[#This Row],[Lost PoA(kWh/m2)]],"")</f>
        <v>820.61609895989864</v>
      </c>
      <c r="AF36" s="150"/>
      <c r="AG36" s="150"/>
      <c r="AH36" s="150"/>
      <c r="AI36" s="317"/>
    </row>
    <row r="37" spans="1:35" ht="29" x14ac:dyDescent="0.35">
      <c r="A37" s="147">
        <f t="shared" si="1"/>
        <v>34</v>
      </c>
      <c r="B37" s="183">
        <v>45806</v>
      </c>
      <c r="C37" s="180">
        <f>YEAR(PA[[#This Row],[Date]])+IF(MONTH(PA[[#This Row],[Date]])&gt;=4,1,0)</f>
        <v>2026</v>
      </c>
      <c r="D37" s="155">
        <f>YEAR(PA[[#This Row],[Date]])</f>
        <v>2025</v>
      </c>
      <c r="E37" s="149" t="s">
        <v>4</v>
      </c>
      <c r="F37" s="149" t="s">
        <v>4</v>
      </c>
      <c r="G37" s="228">
        <f>PA[[#This Row],[Date]]-DAY(PA[[#This Row],[Date]])+1</f>
        <v>45778</v>
      </c>
      <c r="H37" s="155">
        <f>DAY(EOMONTH(PA[[#This Row],[Month Year]],0))</f>
        <v>31</v>
      </c>
      <c r="I37" s="151">
        <f>_xlfn.XLOOKUP(PA[[#This Row],[Date]],RD[Date],RD[Sunrise Time (POA&gt;20 W/m2)],0)</f>
        <v>0.25694444444444442</v>
      </c>
      <c r="J37" s="151">
        <f>_xlfn.XLOOKUP(PA[[#This Row],[Date]],RD[Date],RD[Sunset Time (POA&lt;20 W/m2)],0)</f>
        <v>0.75138888888888888</v>
      </c>
      <c r="K37" s="152">
        <f>IFERROR((PA[[#This Row],[Sunset Time (POA&lt;20 W/m2)]]-PA[[#This Row],[Sunrise Time (POA&gt;20 W/m2)]])*24,"")</f>
        <v>11.866666666666667</v>
      </c>
      <c r="L37" s="149" t="s">
        <v>229</v>
      </c>
      <c r="M37" s="150">
        <f>IFERROR(VLOOKUP(PA[[#This Row],[Affceted Equipment]],'Basic Data'!$A$2:$B$125,2,0),"")</f>
        <v>1222</v>
      </c>
      <c r="N37" s="178">
        <f>IFERROR(VLOOKUP(PA[[#This Row],[Affceted Equipment]],'Basic Data'!$A$1:$C$128,3,0),"")</f>
        <v>5.0329489291598022E-2</v>
      </c>
      <c r="O37" s="166" t="s">
        <v>229</v>
      </c>
      <c r="P37" s="217" t="s">
        <v>728</v>
      </c>
      <c r="Q37" s="217" t="s">
        <v>729</v>
      </c>
      <c r="R37" s="149" t="s">
        <v>732</v>
      </c>
      <c r="S37" s="315">
        <v>0.25694444444444442</v>
      </c>
      <c r="T37" s="315">
        <v>0.25694444444444442</v>
      </c>
      <c r="U37" s="315">
        <v>0.25694444444444442</v>
      </c>
      <c r="V37" s="315">
        <v>0.75138888888888888</v>
      </c>
      <c r="W37" s="150">
        <f>IF(PA[[#This Row],[Acknowledgemnet Time ]]="NA","",(PA[[#This Row],[Acknowledgemnet Time ]]-PA[[#This Row],[Fault Time]])*24)</f>
        <v>0</v>
      </c>
      <c r="X37" s="150">
        <f>IF(PA[[#This Row],[Work Start time on Fault]]="NA","",(PA[[#This Row],[Work Start time on Fault]]-PA[[#This Row],[Fault Time]])*24)</f>
        <v>0</v>
      </c>
      <c r="Y37" s="152">
        <f>(PA[[#This Row],[Work Completiuon time on fualt]]-PA[[#This Row],[Fault Time]])*24</f>
        <v>11.866666666666667</v>
      </c>
      <c r="Z37" s="152">
        <f>IFERROR((PA[[#This Row],[Work Completiuon time on fualt]]-PA[[#This Row],[Fault Time]])*24,"")</f>
        <v>11.866666666666667</v>
      </c>
      <c r="AA37" s="312" t="s">
        <v>731</v>
      </c>
      <c r="AB37" s="149" t="s">
        <v>198</v>
      </c>
      <c r="AC37" s="152">
        <f>IFERROR(PA[[#This Row],[Breakdown Time]]*PA[[#This Row],[Plant Equivalent Weightage]],)</f>
        <v>0.59724327292696322</v>
      </c>
      <c r="AD37" s="153">
        <v>5.351</v>
      </c>
      <c r="AE37" s="163">
        <f>IFERROR(_xlfn.XLOOKUP(PA[[#This Row],[Month Year]],'Modelling New'!$D:$D,'Modelling New'!$O:$O)*M37*PA[[#This Row],[Lost PoA(kWh/m2)]],"")</f>
        <v>4941.2355822753289</v>
      </c>
      <c r="AF37" s="150"/>
      <c r="AG37" s="150"/>
      <c r="AH37" s="150"/>
      <c r="AI37" s="317"/>
    </row>
    <row r="38" spans="1:35" ht="29" x14ac:dyDescent="0.35">
      <c r="A38" s="147">
        <f t="shared" si="1"/>
        <v>35</v>
      </c>
      <c r="B38" s="183">
        <v>45806</v>
      </c>
      <c r="C38" s="180">
        <f>YEAR(PA[[#This Row],[Date]])+IF(MONTH(PA[[#This Row],[Date]])&gt;=4,1,0)</f>
        <v>2026</v>
      </c>
      <c r="D38" s="155">
        <f>YEAR(PA[[#This Row],[Date]])</f>
        <v>2025</v>
      </c>
      <c r="E38" s="149" t="s">
        <v>4</v>
      </c>
      <c r="F38" s="149" t="s">
        <v>4</v>
      </c>
      <c r="G38" s="228">
        <f>PA[[#This Row],[Date]]-DAY(PA[[#This Row],[Date]])+1</f>
        <v>45778</v>
      </c>
      <c r="H38" s="155">
        <f>DAY(EOMONTH(PA[[#This Row],[Month Year]],0))</f>
        <v>31</v>
      </c>
      <c r="I38" s="151">
        <f>_xlfn.XLOOKUP(PA[[#This Row],[Date]],RD[Date],RD[Sunrise Time (POA&gt;20 W/m2)],0)</f>
        <v>0.25694444444444442</v>
      </c>
      <c r="J38" s="151">
        <f>_xlfn.XLOOKUP(PA[[#This Row],[Date]],RD[Date],RD[Sunset Time (POA&lt;20 W/m2)],0)</f>
        <v>0.75138888888888888</v>
      </c>
      <c r="K38" s="152">
        <f>IFERROR((PA[[#This Row],[Sunset Time (POA&lt;20 W/m2)]]-PA[[#This Row],[Sunrise Time (POA&gt;20 W/m2)]])*24,"")</f>
        <v>11.866666666666667</v>
      </c>
      <c r="L38" s="149" t="s">
        <v>214</v>
      </c>
      <c r="M38" s="150">
        <f>IFERROR(VLOOKUP(PA[[#This Row],[Affceted Equipment]],'Basic Data'!$A$2:$B$125,2,0),"")</f>
        <v>1228.5</v>
      </c>
      <c r="N38" s="178">
        <f>IFERROR(VLOOKUP(PA[[#This Row],[Affceted Equipment]],'Basic Data'!$A$1:$C$128,3,0),"")</f>
        <v>5.0597199341021415E-2</v>
      </c>
      <c r="O38" s="149" t="s">
        <v>214</v>
      </c>
      <c r="P38" s="217" t="s">
        <v>736</v>
      </c>
      <c r="Q38" s="217" t="s">
        <v>729</v>
      </c>
      <c r="R38" s="149" t="s">
        <v>737</v>
      </c>
      <c r="S38" s="187">
        <v>0.50902777777777775</v>
      </c>
      <c r="T38" s="187">
        <v>0.58333333333333337</v>
      </c>
      <c r="U38" s="187">
        <v>0.58333333333333337</v>
      </c>
      <c r="V38" s="187">
        <v>0.65277777777777779</v>
      </c>
      <c r="W38" s="150">
        <f>IF(PA[[#This Row],[Acknowledgemnet Time ]]="NA","",(PA[[#This Row],[Acknowledgemnet Time ]]-PA[[#This Row],[Fault Time]])*24)</f>
        <v>1.783333333333335</v>
      </c>
      <c r="X38" s="150">
        <f>IF(PA[[#This Row],[Work Start time on Fault]]="NA","",(PA[[#This Row],[Work Start time on Fault]]-PA[[#This Row],[Fault Time]])*24)</f>
        <v>1.783333333333335</v>
      </c>
      <c r="Y38" s="152">
        <f>(PA[[#This Row],[Work Completiuon time on fualt]]-PA[[#This Row],[Fault Time]])*24</f>
        <v>3.4500000000000011</v>
      </c>
      <c r="Z38" s="152">
        <f>IFERROR((PA[[#This Row],[Work Completiuon time on fualt]]-PA[[#This Row],[Fault Time]])*24,"")</f>
        <v>3.4500000000000011</v>
      </c>
      <c r="AA38" s="312" t="s">
        <v>738</v>
      </c>
      <c r="AB38" s="149" t="s">
        <v>173</v>
      </c>
      <c r="AC38" s="152">
        <f>IFERROR(PA[[#This Row],[Breakdown Time]]*PA[[#This Row],[Plant Equivalent Weightage]],)</f>
        <v>0.17456033772652393</v>
      </c>
      <c r="AD38" s="153">
        <v>2.61</v>
      </c>
      <c r="AE38" s="163">
        <f>IFERROR(_xlfn.XLOOKUP(PA[[#This Row],[Month Year]],'Modelling New'!$D:$D,'Modelling New'!$O:$O)*M38*PA[[#This Row],[Lost PoA(kWh/m2)]],"")</f>
        <v>2422.9534550915091</v>
      </c>
      <c r="AF38" s="150"/>
      <c r="AG38" s="150"/>
      <c r="AH38" s="150"/>
      <c r="AI38" s="317"/>
    </row>
    <row r="39" spans="1:35" ht="29" x14ac:dyDescent="0.35">
      <c r="A39" s="147">
        <f t="shared" si="1"/>
        <v>36</v>
      </c>
      <c r="B39" s="183">
        <v>45807</v>
      </c>
      <c r="C39" s="180">
        <f>YEAR(PA[[#This Row],[Date]])+IF(MONTH(PA[[#This Row],[Date]])&gt;=4,1,0)</f>
        <v>2026</v>
      </c>
      <c r="D39" s="155">
        <f>YEAR(PA[[#This Row],[Date]])</f>
        <v>2025</v>
      </c>
      <c r="E39" s="149" t="s">
        <v>4</v>
      </c>
      <c r="F39" s="149" t="s">
        <v>4</v>
      </c>
      <c r="G39" s="228">
        <f>PA[[#This Row],[Date]]-DAY(PA[[#This Row],[Date]])+1</f>
        <v>45778</v>
      </c>
      <c r="H39" s="155">
        <f>DAY(EOMONTH(PA[[#This Row],[Month Year]],0))</f>
        <v>31</v>
      </c>
      <c r="I39" s="151">
        <f>_xlfn.XLOOKUP(PA[[#This Row],[Date]],RD[Date],RD[Sunrise Time (POA&gt;20 W/m2)],0)</f>
        <v>0.2590277777777778</v>
      </c>
      <c r="J39" s="151">
        <f>_xlfn.XLOOKUP(PA[[#This Row],[Date]],RD[Date],RD[Sunset Time (POA&lt;20 W/m2)],0)</f>
        <v>0.77847222222222223</v>
      </c>
      <c r="K39" s="152">
        <f>IFERROR((PA[[#This Row],[Sunset Time (POA&lt;20 W/m2)]]-PA[[#This Row],[Sunrise Time (POA&gt;20 W/m2)]])*24,"")</f>
        <v>12.466666666666665</v>
      </c>
      <c r="L39" s="149" t="s">
        <v>229</v>
      </c>
      <c r="M39" s="150">
        <f>IFERROR(VLOOKUP(PA[[#This Row],[Affceted Equipment]],'Basic Data'!$A$2:$B$125,2,0),"")</f>
        <v>1222</v>
      </c>
      <c r="N39" s="178">
        <f>IFERROR(VLOOKUP(PA[[#This Row],[Affceted Equipment]],'Basic Data'!$A$1:$C$128,3,0),"")</f>
        <v>5.0329489291598022E-2</v>
      </c>
      <c r="O39" s="166" t="s">
        <v>229</v>
      </c>
      <c r="P39" s="217" t="s">
        <v>728</v>
      </c>
      <c r="Q39" s="217" t="s">
        <v>729</v>
      </c>
      <c r="R39" s="149" t="s">
        <v>732</v>
      </c>
      <c r="S39" s="187">
        <v>0.2590277777777778</v>
      </c>
      <c r="T39" s="187">
        <v>0.2590277777777778</v>
      </c>
      <c r="U39" s="187">
        <v>0.2590277777777778</v>
      </c>
      <c r="V39" s="187">
        <v>0.77847222222222223</v>
      </c>
      <c r="W39" s="150">
        <f>IF(PA[[#This Row],[Acknowledgemnet Time ]]="NA","",(PA[[#This Row],[Acknowledgemnet Time ]]-PA[[#This Row],[Fault Time]])*24)</f>
        <v>0</v>
      </c>
      <c r="X39" s="150">
        <f>IF(PA[[#This Row],[Work Start time on Fault]]="NA","",(PA[[#This Row],[Work Start time on Fault]]-PA[[#This Row],[Fault Time]])*24)</f>
        <v>0</v>
      </c>
      <c r="Y39" s="152">
        <f>(PA[[#This Row],[Work Completiuon time on fualt]]-PA[[#This Row],[Fault Time]])*24</f>
        <v>12.466666666666665</v>
      </c>
      <c r="Z39" s="152">
        <f>IFERROR((PA[[#This Row],[Work Completiuon time on fualt]]-PA[[#This Row],[Fault Time]])*24,"")</f>
        <v>12.466666666666665</v>
      </c>
      <c r="AA39" s="312" t="s">
        <v>731</v>
      </c>
      <c r="AB39" s="149" t="s">
        <v>198</v>
      </c>
      <c r="AC39" s="152">
        <f>IFERROR(PA[[#This Row],[Breakdown Time]]*PA[[#This Row],[Plant Equivalent Weightage]],)</f>
        <v>0.62744096650192194</v>
      </c>
      <c r="AD39" s="153">
        <v>4.968</v>
      </c>
      <c r="AE39" s="163">
        <f>IFERROR(_xlfn.XLOOKUP(PA[[#This Row],[Month Year]],'Modelling New'!$D:$D,'Modelling New'!$O:$O)*M39*PA[[#This Row],[Lost PoA(kWh/m2)]],"")</f>
        <v>4587.5646370293089</v>
      </c>
      <c r="AF39" s="150"/>
      <c r="AG39" s="150"/>
      <c r="AH39" s="150"/>
      <c r="AI39" s="317"/>
    </row>
    <row r="40" spans="1:35" x14ac:dyDescent="0.35">
      <c r="A40" s="147">
        <f t="shared" si="1"/>
        <v>37</v>
      </c>
      <c r="B40" s="183">
        <v>45808</v>
      </c>
      <c r="C40" s="180">
        <f>YEAR(PA[[#This Row],[Date]])+IF(MONTH(PA[[#This Row],[Date]])&gt;=4,1,0)</f>
        <v>2026</v>
      </c>
      <c r="D40" s="155">
        <f>YEAR(PA[[#This Row],[Date]])</f>
        <v>2025</v>
      </c>
      <c r="E40" s="149" t="s">
        <v>4</v>
      </c>
      <c r="F40" s="149" t="s">
        <v>4</v>
      </c>
      <c r="G40" s="310">
        <f>PA[[#This Row],[Date]]-DAY(PA[[#This Row],[Date]])+1</f>
        <v>45778</v>
      </c>
      <c r="H40" s="155">
        <f>DAY(EOMONTH(PA[[#This Row],[Month Year]],0))</f>
        <v>31</v>
      </c>
      <c r="I40" s="151">
        <f>_xlfn.XLOOKUP(PA[[#This Row],[Date]],RD[Date],RD[Sunrise Time (POA&gt;20 W/m2)],0)</f>
        <v>0.25624999999999998</v>
      </c>
      <c r="J40" s="151">
        <f>_xlfn.XLOOKUP(PA[[#This Row],[Date]],RD[Date],RD[Sunset Time (POA&lt;20 W/m2)],0)</f>
        <v>0.77638888888888891</v>
      </c>
      <c r="K40" s="152">
        <f>IFERROR((PA[[#This Row],[Sunset Time (POA&lt;20 W/m2)]]-PA[[#This Row],[Sunrise Time (POA&gt;20 W/m2)]])*24,"")</f>
        <v>12.483333333333334</v>
      </c>
      <c r="L40" s="166" t="s">
        <v>214</v>
      </c>
      <c r="M40" s="180">
        <f>IFERROR(VLOOKUP(PA[[#This Row],[Affceted Equipment]],'Basic Data'!$A$2:$B$125,2,0),"")</f>
        <v>1228.5</v>
      </c>
      <c r="N40" s="181">
        <f>IFERROR(VLOOKUP(PA[[#This Row],[Affceted Equipment]],'Basic Data'!$A$1:$C$128,3,0),"")</f>
        <v>5.0597199341021415E-2</v>
      </c>
      <c r="O40" s="166" t="s">
        <v>214</v>
      </c>
      <c r="P40" s="217" t="s">
        <v>739</v>
      </c>
      <c r="Q40" s="217" t="s">
        <v>740</v>
      </c>
      <c r="R40" s="149" t="s">
        <v>741</v>
      </c>
      <c r="S40" s="187">
        <v>0.5131944444444444</v>
      </c>
      <c r="T40" s="187">
        <v>0.58333333333333337</v>
      </c>
      <c r="U40" s="187">
        <v>0.58333333333333337</v>
      </c>
      <c r="V40" s="187">
        <v>0.74583333333333335</v>
      </c>
      <c r="W40" s="182">
        <f>IF(PA[[#This Row],[Acknowledgemnet Time ]]="NA","",(PA[[#This Row],[Acknowledgemnet Time ]]-PA[[#This Row],[Fault Time]])*24)</f>
        <v>1.6833333333333353</v>
      </c>
      <c r="X40" s="182">
        <f>IF(PA[[#This Row],[Work Start time on Fault]]="NA","",(PA[[#This Row],[Work Start time on Fault]]-PA[[#This Row],[Fault Time]])*24)</f>
        <v>1.6833333333333353</v>
      </c>
      <c r="Y40" s="153">
        <f>(PA[[#This Row],[Work Completiuon time on fualt]]-PA[[#This Row],[Fault Time]])*24</f>
        <v>5.5833333333333348</v>
      </c>
      <c r="Z40" s="153">
        <f>IFERROR((PA[[#This Row],[Work Completiuon time on fualt]]-PA[[#This Row],[Fault Time]])*24,"")</f>
        <v>5.5833333333333348</v>
      </c>
      <c r="AA40" s="312" t="s">
        <v>742</v>
      </c>
      <c r="AB40" s="149" t="s">
        <v>173</v>
      </c>
      <c r="AC40" s="152">
        <f>IFERROR(PA[[#This Row],[Breakdown Time]]*PA[[#This Row],[Plant Equivalent Weightage]],)</f>
        <v>0.28250102965403628</v>
      </c>
      <c r="AD40" s="153">
        <v>3.37</v>
      </c>
      <c r="AE40" s="163">
        <f>IFERROR(_xlfn.XLOOKUP(PA[[#This Row],[Month Year]],'Modelling New'!$D:$D,'Modelling New'!$O:$O)*M40*PA[[#This Row],[Lost PoA(kWh/m2)]],"")</f>
        <v>3128.4877945051285</v>
      </c>
      <c r="AF40" s="150"/>
      <c r="AG40" s="150"/>
      <c r="AH40" s="150"/>
      <c r="AI40" s="317"/>
    </row>
    <row r="41" spans="1:35" ht="29" x14ac:dyDescent="0.35">
      <c r="A41" s="147">
        <f t="shared" si="1"/>
        <v>38</v>
      </c>
      <c r="B41" s="183">
        <v>45808</v>
      </c>
      <c r="C41" s="180">
        <f>YEAR(PA[[#This Row],[Date]])+IF(MONTH(PA[[#This Row],[Date]])&gt;=4,1,0)</f>
        <v>2026</v>
      </c>
      <c r="D41" s="155">
        <f>YEAR(PA[[#This Row],[Date]])</f>
        <v>2025</v>
      </c>
      <c r="E41" s="149" t="s">
        <v>4</v>
      </c>
      <c r="F41" s="149" t="s">
        <v>4</v>
      </c>
      <c r="G41" s="228">
        <f>PA[[#This Row],[Date]]-DAY(PA[[#This Row],[Date]])+1</f>
        <v>45778</v>
      </c>
      <c r="H41" s="165">
        <f>DAY(EOMONTH(PA[[#This Row],[Month Year]],0))</f>
        <v>31</v>
      </c>
      <c r="I41" s="160">
        <f>_xlfn.XLOOKUP(PA[[#This Row],[Date]],RD[Date],RD[Sunrise Time (POA&gt;20 W/m2)],0)</f>
        <v>0.25624999999999998</v>
      </c>
      <c r="J41" s="160">
        <f>_xlfn.XLOOKUP(PA[[#This Row],[Date]],RD[Date],RD[Sunset Time (POA&lt;20 W/m2)],0)</f>
        <v>0.77638888888888891</v>
      </c>
      <c r="K41" s="161">
        <f>IFERROR((PA[[#This Row],[Sunset Time (POA&lt;20 W/m2)]]-PA[[#This Row],[Sunrise Time (POA&gt;20 W/m2)]])*24,"")</f>
        <v>12.483333333333334</v>
      </c>
      <c r="L41" s="149" t="s">
        <v>229</v>
      </c>
      <c r="M41" s="150">
        <f>IFERROR(VLOOKUP(PA[[#This Row],[Affceted Equipment]],'Basic Data'!$A$2:$B$125,2,0),"")</f>
        <v>1222</v>
      </c>
      <c r="N41" s="178">
        <f>IFERROR(VLOOKUP(PA[[#This Row],[Affceted Equipment]],'Basic Data'!$A$1:$C$128,3,0),"")</f>
        <v>5.0329489291598022E-2</v>
      </c>
      <c r="O41" s="166" t="s">
        <v>229</v>
      </c>
      <c r="P41" s="217" t="s">
        <v>728</v>
      </c>
      <c r="Q41" s="217" t="s">
        <v>729</v>
      </c>
      <c r="R41" s="149" t="s">
        <v>732</v>
      </c>
      <c r="S41" s="187">
        <v>0.25624999999999998</v>
      </c>
      <c r="T41" s="187">
        <v>0.25624999999999998</v>
      </c>
      <c r="U41" s="187">
        <v>0.25624999999999998</v>
      </c>
      <c r="V41" s="187">
        <v>0.77638888888888891</v>
      </c>
      <c r="W41" s="150">
        <f>IF(PA[[#This Row],[Acknowledgemnet Time ]]="NA","",(PA[[#This Row],[Acknowledgemnet Time ]]-PA[[#This Row],[Fault Time]])*24)</f>
        <v>0</v>
      </c>
      <c r="X41" s="150">
        <f>IF(PA[[#This Row],[Work Start time on Fault]]="NA","",(PA[[#This Row],[Work Start time on Fault]]-PA[[#This Row],[Fault Time]])*24)</f>
        <v>0</v>
      </c>
      <c r="Y41" s="152">
        <f>(PA[[#This Row],[Work Completiuon time on fualt]]-PA[[#This Row],[Fault Time]])*24</f>
        <v>12.483333333333334</v>
      </c>
      <c r="Z41" s="152">
        <f>IFERROR((PA[[#This Row],[Work Completiuon time on fualt]]-PA[[#This Row],[Fault Time]])*24,"")</f>
        <v>12.483333333333334</v>
      </c>
      <c r="AA41" s="312" t="s">
        <v>731</v>
      </c>
      <c r="AB41" s="149" t="s">
        <v>198</v>
      </c>
      <c r="AC41" s="152">
        <f>IFERROR(PA[[#This Row],[Breakdown Time]]*PA[[#This Row],[Plant Equivalent Weightage]],)</f>
        <v>0.62827979132344869</v>
      </c>
      <c r="AD41" s="153">
        <v>6.4290000000000003</v>
      </c>
      <c r="AE41" s="163">
        <f>IFERROR(_xlfn.XLOOKUP(PA[[#This Row],[Month Year]],'Modelling New'!$D:$D,'Modelling New'!$O:$O)*M41*PA[[#This Row],[Lost PoA(kWh/m2)]],"")</f>
        <v>5936.6853968320111</v>
      </c>
      <c r="AF41" s="164"/>
      <c r="AG41" s="164"/>
      <c r="AH41" s="150"/>
    </row>
    <row r="42" spans="1:35" ht="29" x14ac:dyDescent="0.35">
      <c r="A42" s="147">
        <f t="shared" si="1"/>
        <v>39</v>
      </c>
      <c r="B42" s="183">
        <v>45809</v>
      </c>
      <c r="C42" s="180">
        <f>YEAR(PA[[#This Row],[Date]])+IF(MONTH(PA[[#This Row],[Date]])&gt;=4,1,0)</f>
        <v>2026</v>
      </c>
      <c r="D42" s="155">
        <f>YEAR(PA[[#This Row],[Date]])</f>
        <v>2025</v>
      </c>
      <c r="E42" s="149" t="s">
        <v>4</v>
      </c>
      <c r="F42" s="149" t="s">
        <v>4</v>
      </c>
      <c r="G42" s="310">
        <f>PA[[#This Row],[Date]]-DAY(PA[[#This Row],[Date]])+1</f>
        <v>45809</v>
      </c>
      <c r="H42" s="155">
        <f>DAY(EOMONTH(PA[[#This Row],[Month Year]],0))</f>
        <v>30</v>
      </c>
      <c r="I42" s="151">
        <f>_xlfn.XLOOKUP(PA[[#This Row],[Date]],RD[Date],RD[Sunrise Time (POA&gt;20 W/m2)],0)</f>
        <v>0.25555555555555554</v>
      </c>
      <c r="J42" s="151">
        <f>_xlfn.XLOOKUP(PA[[#This Row],[Date]],RD[Date],RD[Sunset Time (POA&lt;20 W/m2)],0)</f>
        <v>0.77638888888888891</v>
      </c>
      <c r="K42" s="152">
        <f>IFERROR((PA[[#This Row],[Sunset Time (POA&lt;20 W/m2)]]-PA[[#This Row],[Sunrise Time (POA&gt;20 W/m2)]])*24,"")</f>
        <v>12.5</v>
      </c>
      <c r="L42" s="149" t="s">
        <v>229</v>
      </c>
      <c r="M42" s="180">
        <f>IFERROR(VLOOKUP(PA[[#This Row],[Affceted Equipment]],'Basic Data'!$A$2:$B$125,2,0),"")</f>
        <v>1222</v>
      </c>
      <c r="N42" s="181">
        <f>IFERROR(VLOOKUP(PA[[#This Row],[Affceted Equipment]],'Basic Data'!$A$1:$C$128,3,0),"")</f>
        <v>5.0329489291598022E-2</v>
      </c>
      <c r="O42" s="166" t="s">
        <v>229</v>
      </c>
      <c r="P42" s="217" t="s">
        <v>728</v>
      </c>
      <c r="Q42" s="217" t="s">
        <v>729</v>
      </c>
      <c r="R42" s="149" t="s">
        <v>732</v>
      </c>
      <c r="S42" s="187">
        <v>0.25555555555555554</v>
      </c>
      <c r="T42" s="187">
        <v>0.25555555555555554</v>
      </c>
      <c r="U42" s="187">
        <v>0.25555555555555554</v>
      </c>
      <c r="V42" s="187">
        <v>0.77638888888888891</v>
      </c>
      <c r="W42" s="182">
        <f>IF(PA[[#This Row],[Acknowledgemnet Time ]]="NA","",(PA[[#This Row],[Acknowledgemnet Time ]]-PA[[#This Row],[Fault Time]])*24)</f>
        <v>0</v>
      </c>
      <c r="X42" s="182">
        <f>IF(PA[[#This Row],[Work Start time on Fault]]="NA","",(PA[[#This Row],[Work Start time on Fault]]-PA[[#This Row],[Fault Time]])*24)</f>
        <v>0</v>
      </c>
      <c r="Y42" s="153">
        <f>(PA[[#This Row],[Work Completiuon time on fualt]]-PA[[#This Row],[Fault Time]])*24</f>
        <v>12.5</v>
      </c>
      <c r="Z42" s="153">
        <f>IFERROR((PA[[#This Row],[Work Completiuon time on fualt]]-PA[[#This Row],[Fault Time]])*24,"")</f>
        <v>12.5</v>
      </c>
      <c r="AA42" s="312" t="s">
        <v>731</v>
      </c>
      <c r="AB42" s="149" t="s">
        <v>198</v>
      </c>
      <c r="AC42" s="152">
        <f>IFERROR(PA[[#This Row],[Breakdown Time]]*PA[[#This Row],[Plant Equivalent Weightage]],)</f>
        <v>0.62911861614497522</v>
      </c>
      <c r="AD42" s="153">
        <v>5.8150000000000004</v>
      </c>
      <c r="AE42" s="163">
        <f>IFERROR(_xlfn.XLOOKUP(PA[[#This Row],[Month Year]],'Modelling New'!$D:$D,'Modelling New'!$O:$O)*M42*PA[[#This Row],[Lost PoA(kWh/m2)]],"")</f>
        <v>5198.5880123100696</v>
      </c>
      <c r="AF42" s="150"/>
      <c r="AG42" s="150"/>
      <c r="AH42" s="150"/>
    </row>
    <row r="43" spans="1:35" ht="29" x14ac:dyDescent="0.35">
      <c r="A43" s="147">
        <f t="shared" si="1"/>
        <v>40</v>
      </c>
      <c r="B43" s="183">
        <v>45809</v>
      </c>
      <c r="C43" s="180">
        <f>YEAR(PA[[#This Row],[Date]])+IF(MONTH(PA[[#This Row],[Date]])&gt;=4,1,0)</f>
        <v>2026</v>
      </c>
      <c r="D43" s="155">
        <f>YEAR(PA[[#This Row],[Date]])</f>
        <v>2025</v>
      </c>
      <c r="E43" s="149" t="s">
        <v>4</v>
      </c>
      <c r="F43" s="149" t="s">
        <v>4</v>
      </c>
      <c r="G43" s="310">
        <f>PA[[#This Row],[Date]]-DAY(PA[[#This Row],[Date]])+1</f>
        <v>45809</v>
      </c>
      <c r="H43" s="155">
        <f>DAY(EOMONTH(PA[[#This Row],[Month Year]],0))</f>
        <v>30</v>
      </c>
      <c r="I43" s="151">
        <f>_xlfn.XLOOKUP(PA[[#This Row],[Date]],RD[Date],RD[Sunrise Time (POA&gt;20 W/m2)],0)</f>
        <v>0.25555555555555554</v>
      </c>
      <c r="J43" s="151">
        <f>_xlfn.XLOOKUP(PA[[#This Row],[Date]],RD[Date],RD[Sunset Time (POA&lt;20 W/m2)],0)</f>
        <v>0.77638888888888891</v>
      </c>
      <c r="K43" s="152">
        <f>IFERROR((PA[[#This Row],[Sunset Time (POA&lt;20 W/m2)]]-PA[[#This Row],[Sunrise Time (POA&gt;20 W/m2)]])*24,"")</f>
        <v>12.5</v>
      </c>
      <c r="L43" s="166" t="s">
        <v>473</v>
      </c>
      <c r="M43" s="180">
        <f>IFERROR(VLOOKUP(PA[[#This Row],[Affceted Equipment]],'Basic Data'!$A$2:$B$125,2,0),"")</f>
        <v>6.5</v>
      </c>
      <c r="N43" s="181">
        <f>IFERROR(VLOOKUP(PA[[#This Row],[Affceted Equipment]],'Basic Data'!$A$1:$C$128,3,0),"")</f>
        <v>2.6771004942339376E-4</v>
      </c>
      <c r="O43" s="166" t="s">
        <v>743</v>
      </c>
      <c r="P43" s="306" t="s">
        <v>677</v>
      </c>
      <c r="Q43" s="305" t="s">
        <v>678</v>
      </c>
      <c r="R43" s="149" t="s">
        <v>744</v>
      </c>
      <c r="S43" s="304">
        <v>0.45833333333333331</v>
      </c>
      <c r="T43" s="304">
        <v>0.45833333333333331</v>
      </c>
      <c r="U43" s="304">
        <v>0.45833333333333331</v>
      </c>
      <c r="V43" s="187">
        <v>0.54166666666666663</v>
      </c>
      <c r="W43" s="182">
        <f>IF(PA[[#This Row],[Acknowledgemnet Time ]]="NA","",(PA[[#This Row],[Acknowledgemnet Time ]]-PA[[#This Row],[Fault Time]])*24)</f>
        <v>0</v>
      </c>
      <c r="X43" s="182">
        <f>IF(PA[[#This Row],[Work Start time on Fault]]="NA","",(PA[[#This Row],[Work Start time on Fault]]-PA[[#This Row],[Fault Time]])*24)</f>
        <v>0</v>
      </c>
      <c r="Y43" s="153">
        <f>(PA[[#This Row],[Work Completiuon time on fualt]]-PA[[#This Row],[Fault Time]])*24</f>
        <v>1.9999999999999996</v>
      </c>
      <c r="Z43" s="153">
        <f>IFERROR((PA[[#This Row],[Work Completiuon time on fualt]]-PA[[#This Row],[Fault Time]])*24,"")</f>
        <v>1.9999999999999996</v>
      </c>
      <c r="AA43" s="312" t="s">
        <v>745</v>
      </c>
      <c r="AB43" s="149" t="s">
        <v>173</v>
      </c>
      <c r="AC43" s="152">
        <f>IFERROR(PA[[#This Row],[Breakdown Time]]*PA[[#This Row],[Plant Equivalent Weightage]],)</f>
        <v>5.3542009884678741E-4</v>
      </c>
      <c r="AD43" s="153">
        <v>2.23</v>
      </c>
      <c r="AE43" s="163">
        <f>IFERROR(_xlfn.XLOOKUP(PA[[#This Row],[Month Year]],'Modelling New'!$D:$D,'Modelling New'!$O:$O)*M43*PA[[#This Row],[Lost PoA(kWh/m2)]],"")</f>
        <v>10.604316850635238</v>
      </c>
      <c r="AF43" s="150"/>
      <c r="AG43" s="150"/>
      <c r="AH43" s="150"/>
    </row>
    <row r="44" spans="1:35" ht="29" x14ac:dyDescent="0.35">
      <c r="A44" s="147">
        <f t="shared" si="1"/>
        <v>41</v>
      </c>
      <c r="B44" s="183">
        <v>45809</v>
      </c>
      <c r="C44" s="180">
        <f>YEAR(PA[[#This Row],[Date]])+IF(MONTH(PA[[#This Row],[Date]])&gt;=4,1,0)</f>
        <v>2026</v>
      </c>
      <c r="D44" s="155">
        <f>YEAR(PA[[#This Row],[Date]])</f>
        <v>2025</v>
      </c>
      <c r="E44" s="149" t="s">
        <v>4</v>
      </c>
      <c r="F44" s="149" t="s">
        <v>4</v>
      </c>
      <c r="G44" s="310">
        <f>PA[[#This Row],[Date]]-DAY(PA[[#This Row],[Date]])+1</f>
        <v>45809</v>
      </c>
      <c r="H44" s="155">
        <f>DAY(EOMONTH(PA[[#This Row],[Month Year]],0))</f>
        <v>30</v>
      </c>
      <c r="I44" s="151">
        <f>_xlfn.XLOOKUP(PA[[#This Row],[Date]],RD[Date],RD[Sunrise Time (POA&gt;20 W/m2)],0)</f>
        <v>0.25555555555555554</v>
      </c>
      <c r="J44" s="151">
        <f>_xlfn.XLOOKUP(PA[[#This Row],[Date]],RD[Date],RD[Sunset Time (POA&lt;20 W/m2)],0)</f>
        <v>0.77638888888888891</v>
      </c>
      <c r="K44" s="152">
        <f>IFERROR((PA[[#This Row],[Sunset Time (POA&lt;20 W/m2)]]-PA[[#This Row],[Sunrise Time (POA&gt;20 W/m2)]])*24,"")</f>
        <v>12.5</v>
      </c>
      <c r="L44" s="166" t="s">
        <v>473</v>
      </c>
      <c r="M44" s="180">
        <f>IFERROR(VLOOKUP(PA[[#This Row],[Affceted Equipment]],'Basic Data'!$A$2:$B$125,2,0),"")</f>
        <v>6.5</v>
      </c>
      <c r="N44" s="181">
        <f>IFERROR(VLOOKUP(PA[[#This Row],[Affceted Equipment]],'Basic Data'!$A$1:$C$128,3,0),"")</f>
        <v>2.6771004942339376E-4</v>
      </c>
      <c r="O44" s="166" t="s">
        <v>743</v>
      </c>
      <c r="P44" s="306" t="s">
        <v>677</v>
      </c>
      <c r="Q44" s="305" t="s">
        <v>678</v>
      </c>
      <c r="R44" s="149" t="s">
        <v>746</v>
      </c>
      <c r="S44" s="304">
        <v>0.45833333333333331</v>
      </c>
      <c r="T44" s="304">
        <v>0.45833333333333331</v>
      </c>
      <c r="U44" s="304">
        <v>0.45833333333333331</v>
      </c>
      <c r="V44" s="187">
        <v>0.6118055555555556</v>
      </c>
      <c r="W44" s="182">
        <f>IF(PA[[#This Row],[Acknowledgemnet Time ]]="NA","",(PA[[#This Row],[Acknowledgemnet Time ]]-PA[[#This Row],[Fault Time]])*24)</f>
        <v>0</v>
      </c>
      <c r="X44" s="182">
        <f>IF(PA[[#This Row],[Work Start time on Fault]]="NA","",(PA[[#This Row],[Work Start time on Fault]]-PA[[#This Row],[Fault Time]])*24)</f>
        <v>0</v>
      </c>
      <c r="Y44" s="153">
        <f>(PA[[#This Row],[Work Completiuon time on fualt]]-PA[[#This Row],[Fault Time]])*24</f>
        <v>3.6833333333333349</v>
      </c>
      <c r="Z44" s="153">
        <f>IFERROR((PA[[#This Row],[Work Completiuon time on fualt]]-PA[[#This Row],[Fault Time]])*24,"")</f>
        <v>3.6833333333333349</v>
      </c>
      <c r="AA44" s="312" t="s">
        <v>747</v>
      </c>
      <c r="AB44" s="149" t="s">
        <v>173</v>
      </c>
      <c r="AC44" s="152">
        <f>IFERROR(PA[[#This Row],[Breakdown Time]]*PA[[#This Row],[Plant Equivalent Weightage]],)</f>
        <v>9.8606534870950067E-4</v>
      </c>
      <c r="AD44" s="153">
        <v>3.78</v>
      </c>
      <c r="AE44" s="163">
        <f>IFERROR(_xlfn.XLOOKUP(PA[[#This Row],[Month Year]],'Modelling New'!$D:$D,'Modelling New'!$O:$O)*M44*PA[[#This Row],[Lost PoA(kWh/m2)]],"")</f>
        <v>17.975030356682151</v>
      </c>
      <c r="AF44" s="150"/>
      <c r="AG44" s="150"/>
      <c r="AH44" s="150"/>
    </row>
    <row r="45" spans="1:35" ht="29" x14ac:dyDescent="0.35">
      <c r="A45" s="147">
        <f t="shared" si="1"/>
        <v>42</v>
      </c>
      <c r="B45" s="183">
        <v>45809</v>
      </c>
      <c r="C45" s="180">
        <f>YEAR(PA[[#This Row],[Date]])+IF(MONTH(PA[[#This Row],[Date]])&gt;=4,1,0)</f>
        <v>2026</v>
      </c>
      <c r="D45" s="155">
        <f>YEAR(PA[[#This Row],[Date]])</f>
        <v>2025</v>
      </c>
      <c r="E45" s="149" t="s">
        <v>4</v>
      </c>
      <c r="F45" s="149" t="s">
        <v>4</v>
      </c>
      <c r="G45" s="310">
        <f>PA[[#This Row],[Date]]-DAY(PA[[#This Row],[Date]])+1</f>
        <v>45809</v>
      </c>
      <c r="H45" s="155">
        <f>DAY(EOMONTH(PA[[#This Row],[Month Year]],0))</f>
        <v>30</v>
      </c>
      <c r="I45" s="151">
        <f>_xlfn.XLOOKUP(PA[[#This Row],[Date]],RD[Date],RD[Sunrise Time (POA&gt;20 W/m2)],0)</f>
        <v>0.25555555555555554</v>
      </c>
      <c r="J45" s="151">
        <f>_xlfn.XLOOKUP(PA[[#This Row],[Date]],RD[Date],RD[Sunset Time (POA&lt;20 W/m2)],0)</f>
        <v>0.77638888888888891</v>
      </c>
      <c r="K45" s="152">
        <f>IFERROR((PA[[#This Row],[Sunset Time (POA&lt;20 W/m2)]]-PA[[#This Row],[Sunrise Time (POA&gt;20 W/m2)]])*24,"")</f>
        <v>12.5</v>
      </c>
      <c r="L45" s="166" t="s">
        <v>473</v>
      </c>
      <c r="M45" s="180">
        <f>IFERROR(VLOOKUP(PA[[#This Row],[Affceted Equipment]],'Basic Data'!$A$2:$B$125,2,0),"")</f>
        <v>6.5</v>
      </c>
      <c r="N45" s="181">
        <f>IFERROR(VLOOKUP(PA[[#This Row],[Affceted Equipment]],'Basic Data'!$A$1:$C$128,3,0),"")</f>
        <v>2.6771004942339376E-4</v>
      </c>
      <c r="O45" s="166" t="s">
        <v>743</v>
      </c>
      <c r="P45" s="306" t="s">
        <v>677</v>
      </c>
      <c r="Q45" s="305" t="s">
        <v>678</v>
      </c>
      <c r="R45" s="149" t="s">
        <v>748</v>
      </c>
      <c r="S45" s="304">
        <v>0.45833333333333331</v>
      </c>
      <c r="T45" s="304">
        <v>0.45833333333333331</v>
      </c>
      <c r="U45" s="304">
        <v>0.45833333333333331</v>
      </c>
      <c r="V45" s="187">
        <v>0.6118055555555556</v>
      </c>
      <c r="W45" s="182">
        <f>IF(PA[[#This Row],[Acknowledgemnet Time ]]="NA","",(PA[[#This Row],[Acknowledgemnet Time ]]-PA[[#This Row],[Fault Time]])*24)</f>
        <v>0</v>
      </c>
      <c r="X45" s="182">
        <f>IF(PA[[#This Row],[Work Start time on Fault]]="NA","",(PA[[#This Row],[Work Start time on Fault]]-PA[[#This Row],[Fault Time]])*24)</f>
        <v>0</v>
      </c>
      <c r="Y45" s="153">
        <f>(PA[[#This Row],[Work Completiuon time on fualt]]-PA[[#This Row],[Fault Time]])*24</f>
        <v>3.6833333333333349</v>
      </c>
      <c r="Z45" s="153">
        <f>IFERROR((PA[[#This Row],[Work Completiuon time on fualt]]-PA[[#This Row],[Fault Time]])*24,"")</f>
        <v>3.6833333333333349</v>
      </c>
      <c r="AA45" s="312" t="s">
        <v>749</v>
      </c>
      <c r="AB45" s="149" t="s">
        <v>173</v>
      </c>
      <c r="AC45" s="152">
        <f>IFERROR(PA[[#This Row],[Breakdown Time]]*PA[[#This Row],[Plant Equivalent Weightage]],)</f>
        <v>9.8606534870950067E-4</v>
      </c>
      <c r="AD45" s="153">
        <v>3.78</v>
      </c>
      <c r="AE45" s="163">
        <f>IFERROR(_xlfn.XLOOKUP(PA[[#This Row],[Month Year]],'Modelling New'!$D:$D,'Modelling New'!$O:$O)*M45*PA[[#This Row],[Lost PoA(kWh/m2)]],"")</f>
        <v>17.975030356682151</v>
      </c>
      <c r="AF45" s="150"/>
      <c r="AG45" s="150"/>
      <c r="AH45" s="150"/>
    </row>
    <row r="46" spans="1:35" ht="29" x14ac:dyDescent="0.35">
      <c r="A46" s="147">
        <f t="shared" si="1"/>
        <v>43</v>
      </c>
      <c r="B46" s="183">
        <v>45809</v>
      </c>
      <c r="C46" s="180">
        <f>YEAR(PA[[#This Row],[Date]])+IF(MONTH(PA[[#This Row],[Date]])&gt;=4,1,0)</f>
        <v>2026</v>
      </c>
      <c r="D46" s="155">
        <f>YEAR(PA[[#This Row],[Date]])</f>
        <v>2025</v>
      </c>
      <c r="E46" s="149" t="s">
        <v>4</v>
      </c>
      <c r="F46" s="149" t="s">
        <v>4</v>
      </c>
      <c r="G46" s="310">
        <f>PA[[#This Row],[Date]]-DAY(PA[[#This Row],[Date]])+1</f>
        <v>45809</v>
      </c>
      <c r="H46" s="155">
        <f>DAY(EOMONTH(PA[[#This Row],[Month Year]],0))</f>
        <v>30</v>
      </c>
      <c r="I46" s="151">
        <f>_xlfn.XLOOKUP(PA[[#This Row],[Date]],RD[Date],RD[Sunrise Time (POA&gt;20 W/m2)],0)</f>
        <v>0.25555555555555554</v>
      </c>
      <c r="J46" s="151">
        <f>_xlfn.XLOOKUP(PA[[#This Row],[Date]],RD[Date],RD[Sunset Time (POA&lt;20 W/m2)],0)</f>
        <v>0.77638888888888891</v>
      </c>
      <c r="K46" s="152">
        <f>IFERROR((PA[[#This Row],[Sunset Time (POA&lt;20 W/m2)]]-PA[[#This Row],[Sunrise Time (POA&gt;20 W/m2)]])*24,"")</f>
        <v>12.5</v>
      </c>
      <c r="L46" s="166" t="s">
        <v>473</v>
      </c>
      <c r="M46" s="180">
        <f>IFERROR(VLOOKUP(PA[[#This Row],[Affceted Equipment]],'Basic Data'!$A$2:$B$125,2,0),"")</f>
        <v>6.5</v>
      </c>
      <c r="N46" s="181">
        <f>IFERROR(VLOOKUP(PA[[#This Row],[Affceted Equipment]],'Basic Data'!$A$1:$C$128,3,0),"")</f>
        <v>2.6771004942339376E-4</v>
      </c>
      <c r="O46" s="166" t="s">
        <v>743</v>
      </c>
      <c r="P46" s="306" t="s">
        <v>677</v>
      </c>
      <c r="Q46" s="305" t="s">
        <v>678</v>
      </c>
      <c r="R46" s="149" t="s">
        <v>750</v>
      </c>
      <c r="S46" s="304">
        <v>0.45833333333333331</v>
      </c>
      <c r="T46" s="304">
        <v>0.45833333333333331</v>
      </c>
      <c r="U46" s="304">
        <v>0.45833333333333331</v>
      </c>
      <c r="V46" s="187">
        <v>0.6118055555555556</v>
      </c>
      <c r="W46" s="182">
        <f>IF(PA[[#This Row],[Acknowledgemnet Time ]]="NA","",(PA[[#This Row],[Acknowledgemnet Time ]]-PA[[#This Row],[Fault Time]])*24)</f>
        <v>0</v>
      </c>
      <c r="X46" s="182">
        <f>IF(PA[[#This Row],[Work Start time on Fault]]="NA","",(PA[[#This Row],[Work Start time on Fault]]-PA[[#This Row],[Fault Time]])*24)</f>
        <v>0</v>
      </c>
      <c r="Y46" s="153">
        <f>(PA[[#This Row],[Work Completiuon time on fualt]]-PA[[#This Row],[Fault Time]])*24</f>
        <v>3.6833333333333349</v>
      </c>
      <c r="Z46" s="153">
        <f>IFERROR((PA[[#This Row],[Work Completiuon time on fualt]]-PA[[#This Row],[Fault Time]])*24,"")</f>
        <v>3.6833333333333349</v>
      </c>
      <c r="AA46" s="312" t="s">
        <v>751</v>
      </c>
      <c r="AB46" s="149" t="s">
        <v>173</v>
      </c>
      <c r="AC46" s="152">
        <f>IFERROR(PA[[#This Row],[Breakdown Time]]*PA[[#This Row],[Plant Equivalent Weightage]],)</f>
        <v>9.8606534870950067E-4</v>
      </c>
      <c r="AD46" s="153">
        <v>3.78</v>
      </c>
      <c r="AE46" s="163">
        <f>IFERROR(_xlfn.XLOOKUP(PA[[#This Row],[Month Year]],'Modelling New'!$D:$D,'Modelling New'!$O:$O)*M46*PA[[#This Row],[Lost PoA(kWh/m2)]],"")</f>
        <v>17.975030356682151</v>
      </c>
      <c r="AF46" s="150"/>
      <c r="AG46" s="150"/>
      <c r="AH46" s="150"/>
    </row>
    <row r="47" spans="1:35" ht="29" x14ac:dyDescent="0.35">
      <c r="A47" s="147">
        <f t="shared" si="1"/>
        <v>44</v>
      </c>
      <c r="B47" s="183">
        <v>45810</v>
      </c>
      <c r="C47" s="180">
        <f>YEAR(PA[[#This Row],[Date]])+IF(MONTH(PA[[#This Row],[Date]])&gt;=4,1,0)</f>
        <v>2026</v>
      </c>
      <c r="D47" s="155">
        <f>YEAR(PA[[#This Row],[Date]])</f>
        <v>2025</v>
      </c>
      <c r="E47" s="149" t="s">
        <v>4</v>
      </c>
      <c r="F47" s="149" t="s">
        <v>4</v>
      </c>
      <c r="G47" s="310">
        <f>PA[[#This Row],[Date]]-DAY(PA[[#This Row],[Date]])+1</f>
        <v>45809</v>
      </c>
      <c r="H47" s="155">
        <f>DAY(EOMONTH(PA[[#This Row],[Month Year]],0))</f>
        <v>30</v>
      </c>
      <c r="I47" s="151">
        <f>_xlfn.XLOOKUP(PA[[#This Row],[Date]],RD[Date],RD[Sunrise Time (POA&gt;20 W/m2)],0)</f>
        <v>0.25416666666666665</v>
      </c>
      <c r="J47" s="151">
        <f>_xlfn.XLOOKUP(PA[[#This Row],[Date]],RD[Date],RD[Sunset Time (POA&lt;20 W/m2)],0)</f>
        <v>0.78194444444444444</v>
      </c>
      <c r="K47" s="152">
        <f>IFERROR((PA[[#This Row],[Sunset Time (POA&lt;20 W/m2)]]-PA[[#This Row],[Sunrise Time (POA&gt;20 W/m2)]])*24,"")</f>
        <v>12.666666666666668</v>
      </c>
      <c r="L47" s="149" t="s">
        <v>229</v>
      </c>
      <c r="M47" s="180">
        <f>IFERROR(VLOOKUP(PA[[#This Row],[Affceted Equipment]],'Basic Data'!$A$2:$B$125,2,0),"")</f>
        <v>1222</v>
      </c>
      <c r="N47" s="181">
        <f>IFERROR(VLOOKUP(PA[[#This Row],[Affceted Equipment]],'Basic Data'!$A$1:$C$128,3,0),"")</f>
        <v>5.0329489291598022E-2</v>
      </c>
      <c r="O47" s="166" t="s">
        <v>229</v>
      </c>
      <c r="P47" s="217" t="s">
        <v>728</v>
      </c>
      <c r="Q47" s="217" t="s">
        <v>729</v>
      </c>
      <c r="R47" s="149" t="s">
        <v>732</v>
      </c>
      <c r="S47" s="187">
        <v>0.25416666666666665</v>
      </c>
      <c r="T47" s="187">
        <v>0.25416666666666665</v>
      </c>
      <c r="U47" s="187">
        <v>0.25416666666666665</v>
      </c>
      <c r="V47" s="187">
        <v>0.78194444444444444</v>
      </c>
      <c r="W47" s="182">
        <f>IF(PA[[#This Row],[Acknowledgemnet Time ]]="NA","",(PA[[#This Row],[Acknowledgemnet Time ]]-PA[[#This Row],[Fault Time]])*24)</f>
        <v>0</v>
      </c>
      <c r="X47" s="182">
        <f>IF(PA[[#This Row],[Work Start time on Fault]]="NA","",(PA[[#This Row],[Work Start time on Fault]]-PA[[#This Row],[Fault Time]])*24)</f>
        <v>0</v>
      </c>
      <c r="Y47" s="153">
        <f>(PA[[#This Row],[Work Completiuon time on fualt]]-PA[[#This Row],[Fault Time]])*24</f>
        <v>12.666666666666668</v>
      </c>
      <c r="Z47" s="153">
        <f>IFERROR((PA[[#This Row],[Work Completiuon time on fualt]]-PA[[#This Row],[Fault Time]])*24,"")</f>
        <v>12.666666666666668</v>
      </c>
      <c r="AA47" s="312" t="s">
        <v>731</v>
      </c>
      <c r="AB47" s="149" t="s">
        <v>198</v>
      </c>
      <c r="AC47" s="152">
        <f>IFERROR(PA[[#This Row],[Breakdown Time]]*PA[[#This Row],[Plant Equivalent Weightage]],)</f>
        <v>0.63750686436024162</v>
      </c>
      <c r="AD47" s="153">
        <v>6.0410000000000004</v>
      </c>
      <c r="AE47" s="163">
        <f>IFERROR(_xlfn.XLOOKUP(PA[[#This Row],[Month Year]],'Modelling New'!$D:$D,'Modelling New'!$O:$O)*M47*PA[[#This Row],[Lost PoA(kWh/m2)]],"")</f>
        <v>5400.6311577584056</v>
      </c>
      <c r="AF47" s="150"/>
      <c r="AG47" s="150"/>
      <c r="AH47" s="150"/>
    </row>
    <row r="48" spans="1:35" ht="29" x14ac:dyDescent="0.35">
      <c r="A48" s="147">
        <f t="shared" si="1"/>
        <v>45</v>
      </c>
      <c r="B48" s="183">
        <v>45811</v>
      </c>
      <c r="C48" s="180">
        <f>YEAR(PA[[#This Row],[Date]])+IF(MONTH(PA[[#This Row],[Date]])&gt;=4,1,0)</f>
        <v>2026</v>
      </c>
      <c r="D48" s="155">
        <f>YEAR(PA[[#This Row],[Date]])</f>
        <v>2025</v>
      </c>
      <c r="E48" s="149" t="s">
        <v>4</v>
      </c>
      <c r="F48" s="149" t="s">
        <v>4</v>
      </c>
      <c r="G48" s="310">
        <f>PA[[#This Row],[Date]]-DAY(PA[[#This Row],[Date]])+1</f>
        <v>45809</v>
      </c>
      <c r="H48" s="155">
        <f>DAY(EOMONTH(PA[[#This Row],[Month Year]],0))</f>
        <v>30</v>
      </c>
      <c r="I48" s="151">
        <f>_xlfn.XLOOKUP(PA[[#This Row],[Date]],RD[Date],RD[Sunrise Time (POA&gt;20 W/m2)],0)</f>
        <v>0.25416666666666665</v>
      </c>
      <c r="J48" s="151">
        <f>_xlfn.XLOOKUP(PA[[#This Row],[Date]],RD[Date],RD[Sunset Time (POA&lt;20 W/m2)],0)</f>
        <v>0.78194444444444444</v>
      </c>
      <c r="K48" s="152">
        <f>IFERROR((PA[[#This Row],[Sunset Time (POA&lt;20 W/m2)]]-PA[[#This Row],[Sunrise Time (POA&gt;20 W/m2)]])*24,"")</f>
        <v>12.666666666666668</v>
      </c>
      <c r="L48" s="149" t="s">
        <v>229</v>
      </c>
      <c r="M48" s="180">
        <f>IFERROR(VLOOKUP(PA[[#This Row],[Affceted Equipment]],'Basic Data'!$A$2:$B$125,2,0),"")</f>
        <v>1222</v>
      </c>
      <c r="N48" s="181">
        <f>IFERROR(VLOOKUP(PA[[#This Row],[Affceted Equipment]],'Basic Data'!$A$1:$C$128,3,0),"")</f>
        <v>5.0329489291598022E-2</v>
      </c>
      <c r="O48" s="166" t="s">
        <v>229</v>
      </c>
      <c r="P48" s="217" t="s">
        <v>728</v>
      </c>
      <c r="Q48" s="217" t="s">
        <v>729</v>
      </c>
      <c r="R48" s="149" t="s">
        <v>732</v>
      </c>
      <c r="S48" s="187">
        <v>0.25416666666666665</v>
      </c>
      <c r="T48" s="187">
        <v>0.25416666666666665</v>
      </c>
      <c r="U48" s="187">
        <v>0.25416666666666665</v>
      </c>
      <c r="V48" s="151">
        <v>0.78194444444444444</v>
      </c>
      <c r="W48" s="182">
        <f>IF(PA[[#This Row],[Acknowledgemnet Time ]]="NA","",(PA[[#This Row],[Acknowledgemnet Time ]]-PA[[#This Row],[Fault Time]])*24)</f>
        <v>0</v>
      </c>
      <c r="X48" s="182">
        <f>IF(PA[[#This Row],[Work Start time on Fault]]="NA","",(PA[[#This Row],[Work Start time on Fault]]-PA[[#This Row],[Fault Time]])*24)</f>
        <v>0</v>
      </c>
      <c r="Y48" s="153">
        <f>(PA[[#This Row],[Work Completiuon time on fualt]]-PA[[#This Row],[Fault Time]])*24</f>
        <v>12.666666666666668</v>
      </c>
      <c r="Z48" s="153">
        <f>IFERROR((PA[[#This Row],[Work Completiuon time on fualt]]-PA[[#This Row],[Fault Time]])*24,"")</f>
        <v>12.666666666666668</v>
      </c>
      <c r="AA48" s="312" t="s">
        <v>731</v>
      </c>
      <c r="AB48" s="149" t="s">
        <v>198</v>
      </c>
      <c r="AC48" s="152">
        <f>IFERROR(PA[[#This Row],[Breakdown Time]]*PA[[#This Row],[Plant Equivalent Weightage]],)</f>
        <v>0.63750686436024162</v>
      </c>
      <c r="AD48" s="153">
        <v>5.82</v>
      </c>
      <c r="AE48" s="163">
        <f>IFERROR(_xlfn.XLOOKUP(PA[[#This Row],[Month Year]],'Modelling New'!$D:$D,'Modelling New'!$O:$O)*M48*PA[[#This Row],[Lost PoA(kWh/m2)]],"")</f>
        <v>5203.0579934040588</v>
      </c>
      <c r="AF48" s="150"/>
      <c r="AG48" s="150"/>
      <c r="AH48" s="150"/>
    </row>
    <row r="49" spans="1:34" ht="29" x14ac:dyDescent="0.35">
      <c r="A49" s="147">
        <f t="shared" si="1"/>
        <v>46</v>
      </c>
      <c r="B49" s="183">
        <v>45812</v>
      </c>
      <c r="C49" s="180">
        <f>YEAR(PA[[#This Row],[Date]])+IF(MONTH(PA[[#This Row],[Date]])&gt;=4,1,0)</f>
        <v>2026</v>
      </c>
      <c r="D49" s="155">
        <f>YEAR(PA[[#This Row],[Date]])</f>
        <v>2025</v>
      </c>
      <c r="E49" s="149" t="s">
        <v>4</v>
      </c>
      <c r="F49" s="149" t="s">
        <v>4</v>
      </c>
      <c r="G49" s="310">
        <f>PA[[#This Row],[Date]]-DAY(PA[[#This Row],[Date]])+1</f>
        <v>45809</v>
      </c>
      <c r="H49" s="155">
        <f>DAY(EOMONTH(PA[[#This Row],[Month Year]],0))</f>
        <v>30</v>
      </c>
      <c r="I49" s="151">
        <f>_xlfn.XLOOKUP(PA[[#This Row],[Date]],RD[Date],RD[Sunrise Time (POA&gt;20 W/m2)],0)</f>
        <v>0.25694444444444442</v>
      </c>
      <c r="J49" s="151">
        <f>_xlfn.XLOOKUP(PA[[#This Row],[Date]],RD[Date],RD[Sunset Time (POA&lt;20 W/m2)],0)</f>
        <v>0.75069444444444444</v>
      </c>
      <c r="K49" s="152">
        <f>IFERROR((PA[[#This Row],[Sunset Time (POA&lt;20 W/m2)]]-PA[[#This Row],[Sunrise Time (POA&gt;20 W/m2)]])*24,"")</f>
        <v>11.850000000000001</v>
      </c>
      <c r="L49" s="149" t="s">
        <v>229</v>
      </c>
      <c r="M49" s="180">
        <f>IFERROR(VLOOKUP(PA[[#This Row],[Affceted Equipment]],'Basic Data'!$A$2:$B$125,2,0),"")</f>
        <v>1222</v>
      </c>
      <c r="N49" s="181">
        <f>IFERROR(VLOOKUP(PA[[#This Row],[Affceted Equipment]],'Basic Data'!$A$1:$C$128,3,0),"")</f>
        <v>5.0329489291598022E-2</v>
      </c>
      <c r="O49" s="166" t="s">
        <v>229</v>
      </c>
      <c r="P49" s="217" t="s">
        <v>728</v>
      </c>
      <c r="Q49" s="217" t="s">
        <v>729</v>
      </c>
      <c r="R49" s="149" t="s">
        <v>732</v>
      </c>
      <c r="S49" s="187">
        <v>0.25694444444444442</v>
      </c>
      <c r="T49" s="187">
        <v>0.25694444444444442</v>
      </c>
      <c r="U49" s="187">
        <v>0.25694444444444442</v>
      </c>
      <c r="V49" s="151">
        <v>0.75069444444444444</v>
      </c>
      <c r="W49" s="182">
        <f>IF(PA[[#This Row],[Acknowledgemnet Time ]]="NA","",(PA[[#This Row],[Acknowledgemnet Time ]]-PA[[#This Row],[Fault Time]])*24)</f>
        <v>0</v>
      </c>
      <c r="X49" s="182">
        <f>IF(PA[[#This Row],[Work Start time on Fault]]="NA","",(PA[[#This Row],[Work Start time on Fault]]-PA[[#This Row],[Fault Time]])*24)</f>
        <v>0</v>
      </c>
      <c r="Y49" s="153">
        <f>(PA[[#This Row],[Work Completiuon time on fualt]]-PA[[#This Row],[Fault Time]])*24</f>
        <v>11.850000000000001</v>
      </c>
      <c r="Z49" s="153">
        <f>IFERROR((PA[[#This Row],[Work Completiuon time on fualt]]-PA[[#This Row],[Fault Time]])*24,"")</f>
        <v>11.850000000000001</v>
      </c>
      <c r="AA49" s="312" t="s">
        <v>731</v>
      </c>
      <c r="AB49" s="149" t="s">
        <v>198</v>
      </c>
      <c r="AC49" s="152">
        <f>IFERROR(PA[[#This Row],[Breakdown Time]]*PA[[#This Row],[Plant Equivalent Weightage]],)</f>
        <v>0.59640444810543658</v>
      </c>
      <c r="AD49" s="153">
        <v>4.1790000000000003</v>
      </c>
      <c r="AE49" s="163">
        <f>IFERROR(_xlfn.XLOOKUP(PA[[#This Row],[Month Year]],'Modelling New'!$D:$D,'Modelling New'!$O:$O)*M49*PA[[#This Row],[Lost PoA(kWh/m2)]],"")</f>
        <v>3736.010198356626</v>
      </c>
      <c r="AF49" s="150"/>
      <c r="AG49" s="150"/>
      <c r="AH49" s="150"/>
    </row>
    <row r="50" spans="1:34" ht="29" x14ac:dyDescent="0.35">
      <c r="A50" s="147">
        <f t="shared" si="1"/>
        <v>47</v>
      </c>
      <c r="B50" s="183">
        <v>45813</v>
      </c>
      <c r="C50" s="180">
        <f>YEAR(PA[[#This Row],[Date]])+IF(MONTH(PA[[#This Row],[Date]])&gt;=4,1,0)</f>
        <v>2026</v>
      </c>
      <c r="D50" s="155">
        <f>YEAR(PA[[#This Row],[Date]])</f>
        <v>2025</v>
      </c>
      <c r="E50" s="149" t="s">
        <v>4</v>
      </c>
      <c r="F50" s="149" t="s">
        <v>4</v>
      </c>
      <c r="G50" s="310">
        <f>PA[[#This Row],[Date]]-DAY(PA[[#This Row],[Date]])+1</f>
        <v>45809</v>
      </c>
      <c r="H50" s="155">
        <f>DAY(EOMONTH(PA[[#This Row],[Month Year]],0))</f>
        <v>30</v>
      </c>
      <c r="I50" s="151">
        <f>_xlfn.XLOOKUP(PA[[#This Row],[Date]],RD[Date],RD[Sunrise Time (POA&gt;20 W/m2)],0)</f>
        <v>0.25416666666666665</v>
      </c>
      <c r="J50" s="151">
        <f>_xlfn.XLOOKUP(PA[[#This Row],[Date]],RD[Date],RD[Sunset Time (POA&lt;20 W/m2)],0)</f>
        <v>0.77638888888888891</v>
      </c>
      <c r="K50" s="152">
        <f>IFERROR((PA[[#This Row],[Sunset Time (POA&lt;20 W/m2)]]-PA[[#This Row],[Sunrise Time (POA&gt;20 W/m2)]])*24,"")</f>
        <v>12.533333333333335</v>
      </c>
      <c r="L50" s="149" t="s">
        <v>229</v>
      </c>
      <c r="M50" s="180">
        <f>IFERROR(VLOOKUP(PA[[#This Row],[Affceted Equipment]],'Basic Data'!$A$2:$B$125,2,0),"")</f>
        <v>1222</v>
      </c>
      <c r="N50" s="181">
        <f>IFERROR(VLOOKUP(PA[[#This Row],[Affceted Equipment]],'Basic Data'!$A$1:$C$128,3,0),"")</f>
        <v>5.0329489291598022E-2</v>
      </c>
      <c r="O50" s="166" t="s">
        <v>229</v>
      </c>
      <c r="P50" s="217" t="s">
        <v>728</v>
      </c>
      <c r="Q50" s="217" t="s">
        <v>729</v>
      </c>
      <c r="R50" s="149" t="s">
        <v>732</v>
      </c>
      <c r="S50" s="187">
        <v>0.25416666666666665</v>
      </c>
      <c r="T50" s="187">
        <v>0.25416666666666665</v>
      </c>
      <c r="U50" s="187">
        <v>0.25416666666666665</v>
      </c>
      <c r="V50" s="151">
        <v>0.77638888888888891</v>
      </c>
      <c r="W50" s="182">
        <f>IF(PA[[#This Row],[Acknowledgemnet Time ]]="NA","",(PA[[#This Row],[Acknowledgemnet Time ]]-PA[[#This Row],[Fault Time]])*24)</f>
        <v>0</v>
      </c>
      <c r="X50" s="182">
        <f>IF(PA[[#This Row],[Work Start time on Fault]]="NA","",(PA[[#This Row],[Work Start time on Fault]]-PA[[#This Row],[Fault Time]])*24)</f>
        <v>0</v>
      </c>
      <c r="Y50" s="153">
        <f>(PA[[#This Row],[Work Completiuon time on fualt]]-PA[[#This Row],[Fault Time]])*24</f>
        <v>12.533333333333335</v>
      </c>
      <c r="Z50" s="153">
        <f>IFERROR((PA[[#This Row],[Work Completiuon time on fualt]]-PA[[#This Row],[Fault Time]])*24,"")</f>
        <v>12.533333333333335</v>
      </c>
      <c r="AA50" s="312" t="s">
        <v>731</v>
      </c>
      <c r="AB50" s="149" t="s">
        <v>198</v>
      </c>
      <c r="AC50" s="152">
        <f>IFERROR(PA[[#This Row],[Breakdown Time]]*PA[[#This Row],[Plant Equivalent Weightage]],)</f>
        <v>0.63079626578802861</v>
      </c>
      <c r="AD50" s="153">
        <v>6.2</v>
      </c>
      <c r="AE50" s="163">
        <f>IFERROR(_xlfn.XLOOKUP(PA[[#This Row],[Month Year]],'Modelling New'!$D:$D,'Modelling New'!$O:$O)*M50*PA[[#This Row],[Lost PoA(kWh/m2)]],"")</f>
        <v>5542.7765565472791</v>
      </c>
      <c r="AF50" s="150"/>
      <c r="AG50" s="150"/>
      <c r="AH50" s="150"/>
    </row>
    <row r="51" spans="1:34" ht="29" x14ac:dyDescent="0.35">
      <c r="A51" s="147">
        <f t="shared" si="1"/>
        <v>48</v>
      </c>
      <c r="B51" s="183">
        <v>45814</v>
      </c>
      <c r="C51" s="180">
        <f>YEAR(PA[[#This Row],[Date]])+IF(MONTH(PA[[#This Row],[Date]])&gt;=4,1,0)</f>
        <v>2026</v>
      </c>
      <c r="D51" s="155">
        <f>YEAR(PA[[#This Row],[Date]])</f>
        <v>2025</v>
      </c>
      <c r="E51" s="149" t="s">
        <v>4</v>
      </c>
      <c r="F51" s="149" t="s">
        <v>4</v>
      </c>
      <c r="G51" s="310">
        <f>PA[[#This Row],[Date]]-DAY(PA[[#This Row],[Date]])+1</f>
        <v>45809</v>
      </c>
      <c r="H51" s="155">
        <f>DAY(EOMONTH(PA[[#This Row],[Month Year]],0))</f>
        <v>30</v>
      </c>
      <c r="I51" s="151">
        <f>_xlfn.XLOOKUP(PA[[#This Row],[Date]],RD[Date],RD[Sunrise Time (POA&gt;20 W/m2)],0)</f>
        <v>0.25694444444444442</v>
      </c>
      <c r="J51" s="151">
        <f>_xlfn.XLOOKUP(PA[[#This Row],[Date]],RD[Date],RD[Sunset Time (POA&lt;20 W/m2)],0)</f>
        <v>0.77708333333333335</v>
      </c>
      <c r="K51" s="152">
        <f>IFERROR((PA[[#This Row],[Sunset Time (POA&lt;20 W/m2)]]-PA[[#This Row],[Sunrise Time (POA&gt;20 W/m2)]])*24,"")</f>
        <v>12.483333333333334</v>
      </c>
      <c r="L51" s="149" t="s">
        <v>229</v>
      </c>
      <c r="M51" s="180">
        <f>IFERROR(VLOOKUP(PA[[#This Row],[Affceted Equipment]],'Basic Data'!$A$2:$B$125,2,0),"")</f>
        <v>1222</v>
      </c>
      <c r="N51" s="181">
        <f>IFERROR(VLOOKUP(PA[[#This Row],[Affceted Equipment]],'Basic Data'!$A$1:$C$128,3,0),"")</f>
        <v>5.0329489291598022E-2</v>
      </c>
      <c r="O51" s="166" t="s">
        <v>229</v>
      </c>
      <c r="P51" s="217" t="s">
        <v>728</v>
      </c>
      <c r="Q51" s="217" t="s">
        <v>729</v>
      </c>
      <c r="R51" s="149" t="s">
        <v>732</v>
      </c>
      <c r="S51" s="187">
        <v>0.25694444444444442</v>
      </c>
      <c r="T51" s="187">
        <v>0.25694444444444442</v>
      </c>
      <c r="U51" s="187">
        <v>0.25694444444444442</v>
      </c>
      <c r="V51" s="151">
        <v>0.77708333333333335</v>
      </c>
      <c r="W51" s="182">
        <f>IF(PA[[#This Row],[Acknowledgemnet Time ]]="NA","",(PA[[#This Row],[Acknowledgemnet Time ]]-PA[[#This Row],[Fault Time]])*24)</f>
        <v>0</v>
      </c>
      <c r="X51" s="182">
        <f>IF(PA[[#This Row],[Work Start time on Fault]]="NA","",(PA[[#This Row],[Work Start time on Fault]]-PA[[#This Row],[Fault Time]])*24)</f>
        <v>0</v>
      </c>
      <c r="Y51" s="153">
        <f>(PA[[#This Row],[Work Completiuon time on fualt]]-PA[[#This Row],[Fault Time]])*24</f>
        <v>12.483333333333334</v>
      </c>
      <c r="Z51" s="153">
        <f>IFERROR((PA[[#This Row],[Work Completiuon time on fualt]]-PA[[#This Row],[Fault Time]])*24,"")</f>
        <v>12.483333333333334</v>
      </c>
      <c r="AA51" s="312" t="s">
        <v>731</v>
      </c>
      <c r="AB51" s="149" t="s">
        <v>198</v>
      </c>
      <c r="AC51" s="152">
        <f>IFERROR(PA[[#This Row],[Breakdown Time]]*PA[[#This Row],[Plant Equivalent Weightage]],)</f>
        <v>0.62827979132344869</v>
      </c>
      <c r="AD51" s="153">
        <v>6.4580000000000002</v>
      </c>
      <c r="AE51" s="163">
        <f>IFERROR(_xlfn.XLOOKUP(PA[[#This Row],[Month Year]],'Modelling New'!$D:$D,'Modelling New'!$O:$O)*M51*PA[[#This Row],[Lost PoA(kWh/m2)]],"")</f>
        <v>5773.4275809971496</v>
      </c>
      <c r="AF51" s="150"/>
      <c r="AG51" s="150"/>
      <c r="AH51" s="150"/>
    </row>
    <row r="52" spans="1:34" ht="29" x14ac:dyDescent="0.35">
      <c r="A52" s="147">
        <f t="shared" si="1"/>
        <v>49</v>
      </c>
      <c r="B52" s="183">
        <v>45815</v>
      </c>
      <c r="C52" s="180">
        <f>YEAR(PA[[#This Row],[Date]])+IF(MONTH(PA[[#This Row],[Date]])&gt;=4,1,0)</f>
        <v>2026</v>
      </c>
      <c r="D52" s="155">
        <f>YEAR(PA[[#This Row],[Date]])</f>
        <v>2025</v>
      </c>
      <c r="E52" s="149" t="s">
        <v>4</v>
      </c>
      <c r="F52" s="149" t="s">
        <v>4</v>
      </c>
      <c r="G52" s="310">
        <f>PA[[#This Row],[Date]]-DAY(PA[[#This Row],[Date]])+1</f>
        <v>45809</v>
      </c>
      <c r="H52" s="155">
        <f>DAY(EOMONTH(PA[[#This Row],[Month Year]],0))</f>
        <v>30</v>
      </c>
      <c r="I52" s="151">
        <f>_xlfn.XLOOKUP(PA[[#This Row],[Date]],RD[Date],RD[Sunrise Time (POA&gt;20 W/m2)],0)</f>
        <v>0.25624999999999998</v>
      </c>
      <c r="J52" s="151">
        <f>_xlfn.XLOOKUP(PA[[#This Row],[Date]],RD[Date],RD[Sunset Time (POA&lt;20 W/m2)],0)</f>
        <v>0.77430555555555558</v>
      </c>
      <c r="K52" s="152">
        <f>IFERROR((PA[[#This Row],[Sunset Time (POA&lt;20 W/m2)]]-PA[[#This Row],[Sunrise Time (POA&gt;20 W/m2)]])*24,"")</f>
        <v>12.433333333333334</v>
      </c>
      <c r="L52" s="149" t="s">
        <v>229</v>
      </c>
      <c r="M52" s="180">
        <f>IFERROR(VLOOKUP(PA[[#This Row],[Affceted Equipment]],'Basic Data'!$A$2:$B$125,2,0),"")</f>
        <v>1222</v>
      </c>
      <c r="N52" s="181">
        <f>IFERROR(VLOOKUP(PA[[#This Row],[Affceted Equipment]],'Basic Data'!$A$1:$C$128,3,0),"")</f>
        <v>5.0329489291598022E-2</v>
      </c>
      <c r="O52" s="166" t="s">
        <v>229</v>
      </c>
      <c r="P52" s="217" t="s">
        <v>728</v>
      </c>
      <c r="Q52" s="217" t="s">
        <v>729</v>
      </c>
      <c r="R52" s="149" t="s">
        <v>732</v>
      </c>
      <c r="S52" s="187">
        <v>0.25624999999999998</v>
      </c>
      <c r="T52" s="187">
        <v>0.25624999999999998</v>
      </c>
      <c r="U52" s="187">
        <v>0.25624999999999998</v>
      </c>
      <c r="V52" s="151">
        <v>0.77430555555555558</v>
      </c>
      <c r="W52" s="182">
        <f>IF(PA[[#This Row],[Acknowledgemnet Time ]]="NA","",(PA[[#This Row],[Acknowledgemnet Time ]]-PA[[#This Row],[Fault Time]])*24)</f>
        <v>0</v>
      </c>
      <c r="X52" s="182">
        <f>IF(PA[[#This Row],[Work Start time on Fault]]="NA","",(PA[[#This Row],[Work Start time on Fault]]-PA[[#This Row],[Fault Time]])*24)</f>
        <v>0</v>
      </c>
      <c r="Y52" s="153">
        <f>(PA[[#This Row],[Work Completiuon time on fualt]]-PA[[#This Row],[Fault Time]])*24</f>
        <v>12.433333333333334</v>
      </c>
      <c r="Z52" s="153">
        <f>IFERROR((PA[[#This Row],[Work Completiuon time on fualt]]-PA[[#This Row],[Fault Time]])*24,"")</f>
        <v>12.433333333333334</v>
      </c>
      <c r="AA52" s="312" t="s">
        <v>731</v>
      </c>
      <c r="AB52" s="149" t="s">
        <v>198</v>
      </c>
      <c r="AC52" s="152">
        <f>IFERROR(PA[[#This Row],[Breakdown Time]]*PA[[#This Row],[Plant Equivalent Weightage]],)</f>
        <v>0.62576331685886877</v>
      </c>
      <c r="AD52" s="153">
        <v>6.2649999999999997</v>
      </c>
      <c r="AE52" s="163">
        <f>IFERROR(_xlfn.XLOOKUP(PA[[#This Row],[Month Year]],'Modelling New'!$D:$D,'Modelling New'!$O:$O)*M52*PA[[#This Row],[Lost PoA(kWh/m2)]],"")</f>
        <v>5600.8863107691459</v>
      </c>
      <c r="AF52" s="150"/>
      <c r="AG52" s="150"/>
      <c r="AH52" s="150"/>
    </row>
    <row r="53" spans="1:34" ht="29" x14ac:dyDescent="0.35">
      <c r="A53" s="147">
        <f t="shared" si="1"/>
        <v>50</v>
      </c>
      <c r="B53" s="183">
        <v>45815</v>
      </c>
      <c r="C53" s="180">
        <f>YEAR(PA[[#This Row],[Date]])+IF(MONTH(PA[[#This Row],[Date]])&gt;=4,1,0)</f>
        <v>2026</v>
      </c>
      <c r="D53" s="155">
        <f>YEAR(PA[[#This Row],[Date]])</f>
        <v>2025</v>
      </c>
      <c r="E53" s="149" t="s">
        <v>4</v>
      </c>
      <c r="F53" s="149" t="s">
        <v>4</v>
      </c>
      <c r="G53" s="310">
        <f>PA[[#This Row],[Date]]-DAY(PA[[#This Row],[Date]])+1</f>
        <v>45809</v>
      </c>
      <c r="H53" s="155">
        <f>DAY(EOMONTH(PA[[#This Row],[Month Year]],0))</f>
        <v>30</v>
      </c>
      <c r="I53" s="151">
        <f>_xlfn.XLOOKUP(PA[[#This Row],[Date]],RD[Date],RD[Sunrise Time (POA&gt;20 W/m2)],0)</f>
        <v>0.25624999999999998</v>
      </c>
      <c r="J53" s="151">
        <f>_xlfn.XLOOKUP(PA[[#This Row],[Date]],RD[Date],RD[Sunset Time (POA&lt;20 W/m2)],0)</f>
        <v>0.77430555555555558</v>
      </c>
      <c r="K53" s="152">
        <f>IFERROR((PA[[#This Row],[Sunset Time (POA&lt;20 W/m2)]]-PA[[#This Row],[Sunrise Time (POA&gt;20 W/m2)]])*24,"")</f>
        <v>12.433333333333334</v>
      </c>
      <c r="L53" s="149" t="s">
        <v>208</v>
      </c>
      <c r="M53" s="180">
        <f>IFERROR(VLOOKUP(PA[[#This Row],[Affceted Equipment]],'Basic Data'!$A$2:$B$125,2,0),"")</f>
        <v>1075.2</v>
      </c>
      <c r="N53" s="181">
        <f>IFERROR(VLOOKUP(PA[[#This Row],[Affceted Equipment]],'Basic Data'!$A$1:$C$128,3,0),"")</f>
        <v>4.4283360790774301E-2</v>
      </c>
      <c r="O53" s="166" t="s">
        <v>208</v>
      </c>
      <c r="P53" s="217" t="s">
        <v>752</v>
      </c>
      <c r="Q53" s="217" t="s">
        <v>752</v>
      </c>
      <c r="R53" s="149" t="s">
        <v>753</v>
      </c>
      <c r="S53" s="187">
        <v>0.27708333333333335</v>
      </c>
      <c r="T53" s="187">
        <v>0.31597222222222221</v>
      </c>
      <c r="U53" s="187">
        <v>0.31597222222222221</v>
      </c>
      <c r="V53" s="151">
        <v>0.43333333333333335</v>
      </c>
      <c r="W53" s="182">
        <f>IF(PA[[#This Row],[Acknowledgemnet Time ]]="NA","",(PA[[#This Row],[Acknowledgemnet Time ]]-PA[[#This Row],[Fault Time]])*24)</f>
        <v>0.93333333333333268</v>
      </c>
      <c r="X53" s="182">
        <f>IF(PA[[#This Row],[Work Start time on Fault]]="NA","",(PA[[#This Row],[Work Start time on Fault]]-PA[[#This Row],[Fault Time]])*24)</f>
        <v>0.93333333333333268</v>
      </c>
      <c r="Y53" s="153">
        <f>(PA[[#This Row],[Work Completiuon time on fualt]]-PA[[#This Row],[Fault Time]])*24</f>
        <v>3.75</v>
      </c>
      <c r="Z53" s="153">
        <f>IFERROR((PA[[#This Row],[Work Completiuon time on fualt]]-PA[[#This Row],[Fault Time]])*24,"")</f>
        <v>3.75</v>
      </c>
      <c r="AA53" s="217" t="s">
        <v>754</v>
      </c>
      <c r="AB53" s="149" t="s">
        <v>173</v>
      </c>
      <c r="AC53" s="152">
        <f>IFERROR(PA[[#This Row],[Breakdown Time]]*PA[[#This Row],[Plant Equivalent Weightage]],)</f>
        <v>0.16606260296540362</v>
      </c>
      <c r="AD53" s="153">
        <v>1.8979999999999999</v>
      </c>
      <c r="AE53" s="163">
        <f>IFERROR(_xlfn.XLOOKUP(PA[[#This Row],[Month Year]],'Modelling New'!$D:$D,'Modelling New'!$O:$O)*M53*PA[[#This Row],[Lost PoA(kWh/m2)]],"")</f>
        <v>1492.9660769141158</v>
      </c>
      <c r="AF53" s="150"/>
      <c r="AG53" s="150"/>
      <c r="AH53" s="150"/>
    </row>
    <row r="54" spans="1:34" x14ac:dyDescent="0.35">
      <c r="A54" s="147">
        <f t="shared" si="1"/>
        <v>51</v>
      </c>
      <c r="B54" s="183">
        <v>45815</v>
      </c>
      <c r="C54" s="180">
        <f>YEAR(PA[[#This Row],[Date]])+IF(MONTH(PA[[#This Row],[Date]])&gt;=4,1,0)</f>
        <v>2026</v>
      </c>
      <c r="D54" s="155">
        <f>YEAR(PA[[#This Row],[Date]])</f>
        <v>2025</v>
      </c>
      <c r="E54" s="149" t="s">
        <v>4</v>
      </c>
      <c r="F54" s="149" t="s">
        <v>4</v>
      </c>
      <c r="G54" s="310">
        <f>PA[[#This Row],[Date]]-DAY(PA[[#This Row],[Date]])+1</f>
        <v>45809</v>
      </c>
      <c r="H54" s="155">
        <f>DAY(EOMONTH(PA[[#This Row],[Month Year]],0))</f>
        <v>30</v>
      </c>
      <c r="I54" s="151">
        <f>_xlfn.XLOOKUP(PA[[#This Row],[Date]],RD[Date],RD[Sunrise Time (POA&gt;20 W/m2)],0)</f>
        <v>0.25624999999999998</v>
      </c>
      <c r="J54" s="151">
        <f>_xlfn.XLOOKUP(PA[[#This Row],[Date]],RD[Date],RD[Sunset Time (POA&lt;20 W/m2)],0)</f>
        <v>0.77430555555555558</v>
      </c>
      <c r="K54" s="152">
        <f>IFERROR((PA[[#This Row],[Sunset Time (POA&lt;20 W/m2)]]-PA[[#This Row],[Sunrise Time (POA&gt;20 W/m2)]])*24,"")</f>
        <v>12.433333333333334</v>
      </c>
      <c r="L54" s="149" t="s">
        <v>194</v>
      </c>
      <c r="M54" s="180">
        <f>IFERROR(VLOOKUP(PA[[#This Row],[Affceted Equipment]],'Basic Data'!$A$2:$B$125,2,0),"")</f>
        <v>1075.2</v>
      </c>
      <c r="N54" s="181">
        <f>IFERROR(VLOOKUP(PA[[#This Row],[Affceted Equipment]],'Basic Data'!$A$1:$C$128,3,0),"")</f>
        <v>4.4283360790774301E-2</v>
      </c>
      <c r="O54" s="149" t="s">
        <v>194</v>
      </c>
      <c r="P54" s="149" t="s">
        <v>755</v>
      </c>
      <c r="Q54" s="149" t="s">
        <v>733</v>
      </c>
      <c r="R54" s="149" t="s">
        <v>756</v>
      </c>
      <c r="S54" s="187">
        <v>0.38333333333333336</v>
      </c>
      <c r="T54" s="187">
        <v>0.40972222222222221</v>
      </c>
      <c r="U54" s="187">
        <v>0.40972222222222221</v>
      </c>
      <c r="V54" s="151">
        <v>0.47499999999999998</v>
      </c>
      <c r="W54" s="182">
        <f>IF(PA[[#This Row],[Acknowledgemnet Time ]]="NA","",(PA[[#This Row],[Acknowledgemnet Time ]]-PA[[#This Row],[Fault Time]])*24)</f>
        <v>0.63333333333333242</v>
      </c>
      <c r="X54" s="182">
        <f>IF(PA[[#This Row],[Work Start time on Fault]]="NA","",(PA[[#This Row],[Work Start time on Fault]]-PA[[#This Row],[Fault Time]])*24)</f>
        <v>0.63333333333333242</v>
      </c>
      <c r="Y54" s="153">
        <f>(PA[[#This Row],[Work Completiuon time on fualt]]-PA[[#This Row],[Fault Time]])*24</f>
        <v>2.1999999999999988</v>
      </c>
      <c r="Z54" s="153">
        <f>IFERROR((PA[[#This Row],[Work Completiuon time on fualt]]-PA[[#This Row],[Fault Time]])*24,"")</f>
        <v>2.1999999999999988</v>
      </c>
      <c r="AA54" s="312" t="s">
        <v>757</v>
      </c>
      <c r="AB54" s="149" t="s">
        <v>173</v>
      </c>
      <c r="AC54" s="152">
        <f>IFERROR(PA[[#This Row],[Breakdown Time]]*PA[[#This Row],[Plant Equivalent Weightage]],)</f>
        <v>9.7423393739703407E-2</v>
      </c>
      <c r="AD54" s="153">
        <v>1.43</v>
      </c>
      <c r="AE54" s="163">
        <f>IFERROR(_xlfn.XLOOKUP(PA[[#This Row],[Month Year]],'Modelling New'!$D:$D,'Modelling New'!$O:$O)*M54*PA[[#This Row],[Lost PoA(kWh/m2)]],"")</f>
        <v>1124.8374552092653</v>
      </c>
      <c r="AF54" s="150"/>
      <c r="AG54" s="150"/>
      <c r="AH54" s="150"/>
    </row>
    <row r="55" spans="1:34" ht="29" x14ac:dyDescent="0.35">
      <c r="A55" s="147">
        <f t="shared" si="1"/>
        <v>52</v>
      </c>
      <c r="B55" s="183">
        <v>45816</v>
      </c>
      <c r="C55" s="180">
        <f>YEAR(PA[[#This Row],[Date]])+IF(MONTH(PA[[#This Row],[Date]])&gt;=4,1,0)</f>
        <v>2026</v>
      </c>
      <c r="D55" s="155">
        <f>YEAR(PA[[#This Row],[Date]])</f>
        <v>2025</v>
      </c>
      <c r="E55" s="149" t="s">
        <v>4</v>
      </c>
      <c r="F55" s="149" t="s">
        <v>4</v>
      </c>
      <c r="G55" s="310">
        <f>PA[[#This Row],[Date]]-DAY(PA[[#This Row],[Date]])+1</f>
        <v>45809</v>
      </c>
      <c r="H55" s="155">
        <f>DAY(EOMONTH(PA[[#This Row],[Month Year]],0))</f>
        <v>30</v>
      </c>
      <c r="I55" s="151">
        <f>_xlfn.XLOOKUP(PA[[#This Row],[Date]],RD[Date],RD[Sunrise Time (POA&gt;20 W/m2)],0)</f>
        <v>0.26527777777777778</v>
      </c>
      <c r="J55" s="151">
        <f>_xlfn.XLOOKUP(PA[[#This Row],[Date]],RD[Date],RD[Sunset Time (POA&lt;20 W/m2)],0)</f>
        <v>0.77638888888888891</v>
      </c>
      <c r="K55" s="152">
        <f>IFERROR((PA[[#This Row],[Sunset Time (POA&lt;20 W/m2)]]-PA[[#This Row],[Sunrise Time (POA&gt;20 W/m2)]])*24,"")</f>
        <v>12.266666666666666</v>
      </c>
      <c r="L55" s="149" t="s">
        <v>229</v>
      </c>
      <c r="M55" s="180">
        <f>IFERROR(VLOOKUP(PA[[#This Row],[Affceted Equipment]],'Basic Data'!$A$2:$B$125,2,0),"")</f>
        <v>1222</v>
      </c>
      <c r="N55" s="181">
        <f>IFERROR(VLOOKUP(PA[[#This Row],[Affceted Equipment]],'Basic Data'!$A$1:$C$128,3,0),"")</f>
        <v>5.0329489291598022E-2</v>
      </c>
      <c r="O55" s="166" t="s">
        <v>229</v>
      </c>
      <c r="P55" s="217" t="s">
        <v>728</v>
      </c>
      <c r="Q55" s="217" t="s">
        <v>729</v>
      </c>
      <c r="R55" s="149" t="s">
        <v>732</v>
      </c>
      <c r="S55" s="187">
        <v>0.26527777777777778</v>
      </c>
      <c r="T55" s="187">
        <v>0.26527777777777778</v>
      </c>
      <c r="U55" s="187">
        <v>0.26527777777777778</v>
      </c>
      <c r="V55" s="151">
        <v>0.77638888888888891</v>
      </c>
      <c r="W55" s="182">
        <f>IF(PA[[#This Row],[Acknowledgemnet Time ]]="NA","",(PA[[#This Row],[Acknowledgemnet Time ]]-PA[[#This Row],[Fault Time]])*24)</f>
        <v>0</v>
      </c>
      <c r="X55" s="182">
        <f>IF(PA[[#This Row],[Work Start time on Fault]]="NA","",(PA[[#This Row],[Work Start time on Fault]]-PA[[#This Row],[Fault Time]])*24)</f>
        <v>0</v>
      </c>
      <c r="Y55" s="153">
        <f>(PA[[#This Row],[Work Completiuon time on fualt]]-PA[[#This Row],[Fault Time]])*24</f>
        <v>12.266666666666666</v>
      </c>
      <c r="Z55" s="153">
        <f>IFERROR((PA[[#This Row],[Work Completiuon time on fualt]]-PA[[#This Row],[Fault Time]])*24,"")</f>
        <v>12.266666666666666</v>
      </c>
      <c r="AA55" s="312" t="s">
        <v>731</v>
      </c>
      <c r="AB55" s="149" t="s">
        <v>198</v>
      </c>
      <c r="AC55" s="152">
        <f>IFERROR(PA[[#This Row],[Breakdown Time]]*PA[[#This Row],[Plant Equivalent Weightage]],)</f>
        <v>0.61737506864360236</v>
      </c>
      <c r="AD55" s="153">
        <v>6.7619999999999996</v>
      </c>
      <c r="AE55" s="163">
        <f>IFERROR(_xlfn.XLOOKUP(PA[[#This Row],[Month Year]],'Modelling New'!$D:$D,'Modelling New'!$O:$O)*M55*PA[[#This Row],[Lost PoA(kWh/m2)]],"")</f>
        <v>6045.202431511726</v>
      </c>
      <c r="AF55" s="150"/>
      <c r="AG55" s="150"/>
      <c r="AH55" s="150"/>
    </row>
    <row r="56" spans="1:34" ht="29" x14ac:dyDescent="0.35">
      <c r="A56" s="147">
        <f t="shared" si="1"/>
        <v>53</v>
      </c>
      <c r="B56" s="183">
        <v>45817</v>
      </c>
      <c r="C56" s="180">
        <f>YEAR(PA[[#This Row],[Date]])+IF(MONTH(PA[[#This Row],[Date]])&gt;=4,1,0)</f>
        <v>2026</v>
      </c>
      <c r="D56" s="155">
        <f>YEAR(PA[[#This Row],[Date]])</f>
        <v>2025</v>
      </c>
      <c r="E56" s="149" t="s">
        <v>4</v>
      </c>
      <c r="F56" s="149" t="s">
        <v>4</v>
      </c>
      <c r="G56" s="310">
        <f>PA[[#This Row],[Date]]-DAY(PA[[#This Row],[Date]])+1</f>
        <v>45809</v>
      </c>
      <c r="H56" s="155">
        <f>DAY(EOMONTH(PA[[#This Row],[Month Year]],0))</f>
        <v>30</v>
      </c>
      <c r="I56" s="151">
        <f>_xlfn.XLOOKUP(PA[[#This Row],[Date]],RD[Date],RD[Sunrise Time (POA&gt;20 W/m2)],0)</f>
        <v>0.25069444444444444</v>
      </c>
      <c r="J56" s="151">
        <f>_xlfn.XLOOKUP(PA[[#This Row],[Date]],RD[Date],RD[Sunset Time (POA&lt;20 W/m2)],0)</f>
        <v>0.77638888888888891</v>
      </c>
      <c r="K56" s="152">
        <f>IFERROR((PA[[#This Row],[Sunset Time (POA&lt;20 W/m2)]]-PA[[#This Row],[Sunrise Time (POA&gt;20 W/m2)]])*24,"")</f>
        <v>12.616666666666667</v>
      </c>
      <c r="L56" s="149" t="s">
        <v>229</v>
      </c>
      <c r="M56" s="180">
        <f>IFERROR(VLOOKUP(PA[[#This Row],[Affceted Equipment]],'Basic Data'!$A$2:$B$125,2,0),"")</f>
        <v>1222</v>
      </c>
      <c r="N56" s="181">
        <f>IFERROR(VLOOKUP(PA[[#This Row],[Affceted Equipment]],'Basic Data'!$A$1:$C$128,3,0),"")</f>
        <v>5.0329489291598022E-2</v>
      </c>
      <c r="O56" s="166" t="s">
        <v>229</v>
      </c>
      <c r="P56" s="217" t="s">
        <v>728</v>
      </c>
      <c r="Q56" s="217" t="s">
        <v>729</v>
      </c>
      <c r="R56" s="149" t="s">
        <v>732</v>
      </c>
      <c r="S56" s="187">
        <v>0.25069444444444444</v>
      </c>
      <c r="T56" s="187">
        <v>0.25069444444444444</v>
      </c>
      <c r="U56" s="187">
        <v>0.25069444444444444</v>
      </c>
      <c r="V56" s="151">
        <v>0.77638888888888891</v>
      </c>
      <c r="W56" s="182">
        <f>IF(PA[[#This Row],[Acknowledgemnet Time ]]="NA","",(PA[[#This Row],[Acknowledgemnet Time ]]-PA[[#This Row],[Fault Time]])*24)</f>
        <v>0</v>
      </c>
      <c r="X56" s="182">
        <f>IF(PA[[#This Row],[Work Start time on Fault]]="NA","",(PA[[#This Row],[Work Start time on Fault]]-PA[[#This Row],[Fault Time]])*24)</f>
        <v>0</v>
      </c>
      <c r="Y56" s="153">
        <f>(PA[[#This Row],[Work Completiuon time on fualt]]-PA[[#This Row],[Fault Time]])*24</f>
        <v>12.616666666666667</v>
      </c>
      <c r="Z56" s="153">
        <f>IFERROR((PA[[#This Row],[Work Completiuon time on fualt]]-PA[[#This Row],[Fault Time]])*24,"")</f>
        <v>12.616666666666667</v>
      </c>
      <c r="AA56" s="312" t="s">
        <v>731</v>
      </c>
      <c r="AB56" s="149" t="s">
        <v>198</v>
      </c>
      <c r="AC56" s="152">
        <f>IFERROR(PA[[#This Row],[Breakdown Time]]*PA[[#This Row],[Plant Equivalent Weightage]],)</f>
        <v>0.6349903898956617</v>
      </c>
      <c r="AD56" s="153">
        <v>5.9880000000000004</v>
      </c>
      <c r="AE56" s="163">
        <f>IFERROR(_xlfn.XLOOKUP(PA[[#This Row],[Month Year]],'Modelling New'!$D:$D,'Modelling New'!$O:$O)*M56*PA[[#This Row],[Lost PoA(kWh/m2)]],"")</f>
        <v>5353.2493581621147</v>
      </c>
      <c r="AF56" s="150"/>
      <c r="AG56" s="150"/>
      <c r="AH56" s="150"/>
    </row>
    <row r="57" spans="1:34" x14ac:dyDescent="0.35">
      <c r="A57" s="147">
        <f t="shared" si="1"/>
        <v>54</v>
      </c>
      <c r="B57" s="183">
        <v>45817</v>
      </c>
      <c r="C57" s="180">
        <f>YEAR(PA[[#This Row],[Date]])+IF(MONTH(PA[[#This Row],[Date]])&gt;=4,1,0)</f>
        <v>2026</v>
      </c>
      <c r="D57" s="155">
        <f>YEAR(PA[[#This Row],[Date]])</f>
        <v>2025</v>
      </c>
      <c r="E57" s="149" t="s">
        <v>4</v>
      </c>
      <c r="F57" s="149" t="s">
        <v>4</v>
      </c>
      <c r="G57" s="310">
        <f>PA[[#This Row],[Date]]-DAY(PA[[#This Row],[Date]])+1</f>
        <v>45809</v>
      </c>
      <c r="H57" s="155">
        <f>DAY(EOMONTH(PA[[#This Row],[Month Year]],0))</f>
        <v>30</v>
      </c>
      <c r="I57" s="151">
        <f>_xlfn.XLOOKUP(PA[[#This Row],[Date]],RD[Date],RD[Sunrise Time (POA&gt;20 W/m2)],0)</f>
        <v>0.25069444444444444</v>
      </c>
      <c r="J57" s="151">
        <f>_xlfn.XLOOKUP(PA[[#This Row],[Date]],RD[Date],RD[Sunset Time (POA&lt;20 W/m2)],0)</f>
        <v>0.77638888888888891</v>
      </c>
      <c r="K57" s="152">
        <f>IFERROR((PA[[#This Row],[Sunset Time (POA&lt;20 W/m2)]]-PA[[#This Row],[Sunrise Time (POA&gt;20 W/m2)]])*24,"")</f>
        <v>12.616666666666667</v>
      </c>
      <c r="L57" s="166" t="s">
        <v>225</v>
      </c>
      <c r="M57" s="180">
        <f>IFERROR(VLOOKUP(PA[[#This Row],[Affceted Equipment]],'Basic Data'!$A$2:$B$125,2,0),"")</f>
        <v>1053</v>
      </c>
      <c r="N57" s="181">
        <f>IFERROR(VLOOKUP(PA[[#This Row],[Affceted Equipment]],'Basic Data'!$A$1:$C$128,3,0),"")</f>
        <v>4.3369028006589788E-2</v>
      </c>
      <c r="O57" s="166" t="s">
        <v>225</v>
      </c>
      <c r="P57" s="149" t="s">
        <v>755</v>
      </c>
      <c r="Q57" s="149" t="s">
        <v>733</v>
      </c>
      <c r="R57" s="149" t="s">
        <v>758</v>
      </c>
      <c r="S57" s="187">
        <v>0.375</v>
      </c>
      <c r="T57" s="187">
        <v>0.45833333333333331</v>
      </c>
      <c r="U57" s="187">
        <v>0.45833333333333331</v>
      </c>
      <c r="V57" s="151">
        <v>0.5229166666666667</v>
      </c>
      <c r="W57" s="182">
        <f>IF(PA[[#This Row],[Acknowledgemnet Time ]]="NA","",(PA[[#This Row],[Acknowledgemnet Time ]]-PA[[#This Row],[Fault Time]])*24)</f>
        <v>1.9999999999999996</v>
      </c>
      <c r="X57" s="182">
        <f>IF(PA[[#This Row],[Work Start time on Fault]]="NA","",(PA[[#This Row],[Work Start time on Fault]]-PA[[#This Row],[Fault Time]])*24)</f>
        <v>1.9999999999999996</v>
      </c>
      <c r="Y57" s="153">
        <f>(PA[[#This Row],[Work Completiuon time on fualt]]-PA[[#This Row],[Fault Time]])*24</f>
        <v>3.5500000000000007</v>
      </c>
      <c r="Z57" s="153">
        <f>IFERROR((PA[[#This Row],[Work Completiuon time on fualt]]-PA[[#This Row],[Fault Time]])*24,"")</f>
        <v>3.5500000000000007</v>
      </c>
      <c r="AA57" s="312" t="s">
        <v>757</v>
      </c>
      <c r="AB57" s="149" t="s">
        <v>173</v>
      </c>
      <c r="AC57" s="152">
        <f>IFERROR(PA[[#This Row],[Breakdown Time]]*PA[[#This Row],[Plant Equivalent Weightage]],)</f>
        <v>0.15396004942339378</v>
      </c>
      <c r="AD57" s="153">
        <v>1.452</v>
      </c>
      <c r="AE57" s="163">
        <f>IFERROR(_xlfn.XLOOKUP(PA[[#This Row],[Month Year]],'Modelling New'!$D:$D,'Modelling New'!$O:$O)*M57*PA[[#This Row],[Lost PoA(kWh/m2)]],"")</f>
        <v>1118.5604604815351</v>
      </c>
      <c r="AF57" s="150"/>
      <c r="AG57" s="150"/>
      <c r="AH57" s="150"/>
    </row>
    <row r="58" spans="1:34" x14ac:dyDescent="0.35">
      <c r="A58" s="147">
        <f t="shared" si="1"/>
        <v>55</v>
      </c>
      <c r="B58" s="183">
        <v>45817</v>
      </c>
      <c r="C58" s="180">
        <f>YEAR(PA[[#This Row],[Date]])+IF(MONTH(PA[[#This Row],[Date]])&gt;=4,1,0)</f>
        <v>2026</v>
      </c>
      <c r="D58" s="155">
        <f>YEAR(PA[[#This Row],[Date]])</f>
        <v>2025</v>
      </c>
      <c r="E58" s="149" t="s">
        <v>4</v>
      </c>
      <c r="F58" s="149" t="s">
        <v>4</v>
      </c>
      <c r="G58" s="310">
        <f>PA[[#This Row],[Date]]-DAY(PA[[#This Row],[Date]])+1</f>
        <v>45809</v>
      </c>
      <c r="H58" s="155">
        <f>DAY(EOMONTH(PA[[#This Row],[Month Year]],0))</f>
        <v>30</v>
      </c>
      <c r="I58" s="151">
        <f>_xlfn.XLOOKUP(PA[[#This Row],[Date]],RD[Date],RD[Sunrise Time (POA&gt;20 W/m2)],0)</f>
        <v>0.25069444444444444</v>
      </c>
      <c r="J58" s="151">
        <f>_xlfn.XLOOKUP(PA[[#This Row],[Date]],RD[Date],RD[Sunset Time (POA&lt;20 W/m2)],0)</f>
        <v>0.77638888888888891</v>
      </c>
      <c r="K58" s="152">
        <f>IFERROR((PA[[#This Row],[Sunset Time (POA&lt;20 W/m2)]]-PA[[#This Row],[Sunrise Time (POA&gt;20 W/m2)]])*24,"")</f>
        <v>12.616666666666667</v>
      </c>
      <c r="L58" s="166" t="s">
        <v>214</v>
      </c>
      <c r="M58" s="180">
        <f>IFERROR(VLOOKUP(PA[[#This Row],[Affceted Equipment]],'Basic Data'!$A$2:$B$125,2,0),"")</f>
        <v>1228.5</v>
      </c>
      <c r="N58" s="181">
        <f>IFERROR(VLOOKUP(PA[[#This Row],[Affceted Equipment]],'Basic Data'!$A$1:$C$128,3,0),"")</f>
        <v>5.0597199341021415E-2</v>
      </c>
      <c r="O58" s="166" t="s">
        <v>214</v>
      </c>
      <c r="P58" s="217" t="s">
        <v>739</v>
      </c>
      <c r="Q58" s="217" t="s">
        <v>740</v>
      </c>
      <c r="R58" s="149" t="s">
        <v>741</v>
      </c>
      <c r="S58" s="187">
        <v>0.44513888888888886</v>
      </c>
      <c r="T58" s="187">
        <v>0.5</v>
      </c>
      <c r="U58" s="187">
        <v>0.5</v>
      </c>
      <c r="V58" s="151">
        <v>0.5625</v>
      </c>
      <c r="W58" s="182">
        <f>IF(PA[[#This Row],[Acknowledgemnet Time ]]="NA","",(PA[[#This Row],[Acknowledgemnet Time ]]-PA[[#This Row],[Fault Time]])*24)</f>
        <v>1.3166666666666673</v>
      </c>
      <c r="X58" s="182">
        <f>IF(PA[[#This Row],[Work Start time on Fault]]="NA","",(PA[[#This Row],[Work Start time on Fault]]-PA[[#This Row],[Fault Time]])*24)</f>
        <v>1.3166666666666673</v>
      </c>
      <c r="Y58" s="153">
        <f>(PA[[#This Row],[Work Completiuon time on fualt]]-PA[[#This Row],[Fault Time]])*24</f>
        <v>2.8166666666666673</v>
      </c>
      <c r="Z58" s="153">
        <f>IFERROR((PA[[#This Row],[Work Completiuon time on fualt]]-PA[[#This Row],[Fault Time]])*24,"")</f>
        <v>2.8166666666666673</v>
      </c>
      <c r="AA58" s="312" t="s">
        <v>742</v>
      </c>
      <c r="AB58" s="149" t="s">
        <v>173</v>
      </c>
      <c r="AC58" s="152">
        <f>IFERROR(PA[[#This Row],[Breakdown Time]]*PA[[#This Row],[Plant Equivalent Weightage]],)</f>
        <v>0.14251544481054368</v>
      </c>
      <c r="AD58" s="153">
        <v>1.67</v>
      </c>
      <c r="AE58" s="163">
        <f>IFERROR(_xlfn.XLOOKUP(PA[[#This Row],[Month Year]],'Modelling New'!$D:$D,'Modelling New'!$O:$O)*M58*PA[[#This Row],[Lost PoA(kWh/m2)]],"")</f>
        <v>1500.9150347829595</v>
      </c>
      <c r="AF58" s="150"/>
      <c r="AG58" s="150"/>
      <c r="AH58" s="150"/>
    </row>
    <row r="59" spans="1:34" ht="29" x14ac:dyDescent="0.35">
      <c r="A59" s="147">
        <f t="shared" si="1"/>
        <v>56</v>
      </c>
      <c r="B59" s="183">
        <v>45818</v>
      </c>
      <c r="C59" s="180">
        <f>YEAR(PA[[#This Row],[Date]])+IF(MONTH(PA[[#This Row],[Date]])&gt;=4,1,0)</f>
        <v>2026</v>
      </c>
      <c r="D59" s="155">
        <f>YEAR(PA[[#This Row],[Date]])</f>
        <v>2025</v>
      </c>
      <c r="E59" s="149" t="s">
        <v>4</v>
      </c>
      <c r="F59" s="149" t="s">
        <v>4</v>
      </c>
      <c r="G59" s="310">
        <f>PA[[#This Row],[Date]]-DAY(PA[[#This Row],[Date]])+1</f>
        <v>45809</v>
      </c>
      <c r="H59" s="155">
        <f>DAY(EOMONTH(PA[[#This Row],[Month Year]],0))</f>
        <v>30</v>
      </c>
      <c r="I59" s="151">
        <f>_xlfn.XLOOKUP(PA[[#This Row],[Date]],RD[Date],RD[Sunrise Time (POA&gt;20 W/m2)],0)</f>
        <v>0.2673611111111111</v>
      </c>
      <c r="J59" s="151">
        <f>_xlfn.XLOOKUP(PA[[#This Row],[Date]],RD[Date],RD[Sunset Time (POA&lt;20 W/m2)],0)</f>
        <v>0.78263888888888888</v>
      </c>
      <c r="K59" s="152">
        <f>IFERROR((PA[[#This Row],[Sunset Time (POA&lt;20 W/m2)]]-PA[[#This Row],[Sunrise Time (POA&gt;20 W/m2)]])*24,"")</f>
        <v>12.366666666666665</v>
      </c>
      <c r="L59" s="149" t="s">
        <v>229</v>
      </c>
      <c r="M59" s="180">
        <f>IFERROR(VLOOKUP(PA[[#This Row],[Affceted Equipment]],'Basic Data'!$A$2:$B$125,2,0),"")</f>
        <v>1222</v>
      </c>
      <c r="N59" s="181">
        <f>IFERROR(VLOOKUP(PA[[#This Row],[Affceted Equipment]],'Basic Data'!$A$1:$C$128,3,0),"")</f>
        <v>5.0329489291598022E-2</v>
      </c>
      <c r="O59" s="166" t="s">
        <v>229</v>
      </c>
      <c r="P59" s="217" t="s">
        <v>728</v>
      </c>
      <c r="Q59" s="217" t="s">
        <v>729</v>
      </c>
      <c r="R59" s="149" t="s">
        <v>732</v>
      </c>
      <c r="S59" s="187">
        <v>0.2673611111111111</v>
      </c>
      <c r="T59" s="187">
        <v>0.2673611111111111</v>
      </c>
      <c r="U59" s="187">
        <v>0.2673611111111111</v>
      </c>
      <c r="V59" s="187">
        <v>0.78263888888888888</v>
      </c>
      <c r="W59" s="182">
        <f>IF(PA[[#This Row],[Acknowledgemnet Time ]]="NA","",(PA[[#This Row],[Acknowledgemnet Time ]]-PA[[#This Row],[Fault Time]])*24)</f>
        <v>0</v>
      </c>
      <c r="X59" s="182">
        <f>IF(PA[[#This Row],[Work Start time on Fault]]="NA","",(PA[[#This Row],[Work Start time on Fault]]-PA[[#This Row],[Fault Time]])*24)</f>
        <v>0</v>
      </c>
      <c r="Y59" s="153">
        <f>(PA[[#This Row],[Work Completiuon time on fualt]]-PA[[#This Row],[Fault Time]])*24</f>
        <v>12.366666666666665</v>
      </c>
      <c r="Z59" s="153">
        <f>IFERROR((PA[[#This Row],[Work Completiuon time on fualt]]-PA[[#This Row],[Fault Time]])*24,"")</f>
        <v>12.366666666666665</v>
      </c>
      <c r="AA59" s="312" t="s">
        <v>731</v>
      </c>
      <c r="AB59" s="149" t="s">
        <v>198</v>
      </c>
      <c r="AC59" s="152">
        <f>IFERROR(PA[[#This Row],[Breakdown Time]]*PA[[#This Row],[Plant Equivalent Weightage]],)</f>
        <v>0.6224080175727621</v>
      </c>
      <c r="AD59" s="153">
        <v>2.302</v>
      </c>
      <c r="AE59" s="163">
        <f>IFERROR(_xlfn.XLOOKUP(PA[[#This Row],[Month Year]],'Modelling New'!$D:$D,'Modelling New'!$O:$O)*M59*PA[[#This Row],[Lost PoA(kWh/m2)]],"")</f>
        <v>2057.979295672877</v>
      </c>
      <c r="AF59" s="150"/>
      <c r="AG59" s="150"/>
      <c r="AH59" s="150"/>
    </row>
    <row r="60" spans="1:34" ht="29" x14ac:dyDescent="0.35">
      <c r="A60" s="147">
        <f t="shared" si="1"/>
        <v>57</v>
      </c>
      <c r="B60" s="183">
        <v>45819</v>
      </c>
      <c r="C60" s="180">
        <f>YEAR(PA[[#This Row],[Date]])+IF(MONTH(PA[[#This Row],[Date]])&gt;=4,1,0)</f>
        <v>2026</v>
      </c>
      <c r="D60" s="155">
        <f>YEAR(PA[[#This Row],[Date]])</f>
        <v>2025</v>
      </c>
      <c r="E60" s="149" t="s">
        <v>4</v>
      </c>
      <c r="F60" s="149" t="s">
        <v>4</v>
      </c>
      <c r="G60" s="310">
        <f>PA[[#This Row],[Date]]-DAY(PA[[#This Row],[Date]])+1</f>
        <v>45809</v>
      </c>
      <c r="H60" s="155">
        <f>DAY(EOMONTH(PA[[#This Row],[Month Year]],0))</f>
        <v>30</v>
      </c>
      <c r="I60" s="151">
        <f>_xlfn.XLOOKUP(PA[[#This Row],[Date]],RD[Date],RD[Sunrise Time (POA&gt;20 W/m2)],0)</f>
        <v>0.26180555555555557</v>
      </c>
      <c r="J60" s="151">
        <f>_xlfn.XLOOKUP(PA[[#This Row],[Date]],RD[Date],RD[Sunset Time (POA&lt;20 W/m2)],0)</f>
        <v>0.74652777777777779</v>
      </c>
      <c r="K60" s="152">
        <f>IFERROR((PA[[#This Row],[Sunset Time (POA&lt;20 W/m2)]]-PA[[#This Row],[Sunrise Time (POA&gt;20 W/m2)]])*24,"")</f>
        <v>11.633333333333333</v>
      </c>
      <c r="L60" s="149" t="s">
        <v>229</v>
      </c>
      <c r="M60" s="180">
        <f>IFERROR(VLOOKUP(PA[[#This Row],[Affceted Equipment]],'Basic Data'!$A$2:$B$125,2,0),"")</f>
        <v>1222</v>
      </c>
      <c r="N60" s="181">
        <f>IFERROR(VLOOKUP(PA[[#This Row],[Affceted Equipment]],'Basic Data'!$A$1:$C$128,3,0),"")</f>
        <v>5.0329489291598022E-2</v>
      </c>
      <c r="O60" s="166" t="s">
        <v>229</v>
      </c>
      <c r="P60" s="217" t="s">
        <v>728</v>
      </c>
      <c r="Q60" s="217" t="s">
        <v>729</v>
      </c>
      <c r="R60" s="149" t="s">
        <v>732</v>
      </c>
      <c r="S60" s="187">
        <v>0.26180555555555557</v>
      </c>
      <c r="T60" s="187">
        <v>0.26180555555555557</v>
      </c>
      <c r="U60" s="187">
        <v>0.26180555555555557</v>
      </c>
      <c r="V60" s="187">
        <v>0.74652777777777779</v>
      </c>
      <c r="W60" s="182">
        <f>IF(PA[[#This Row],[Acknowledgemnet Time ]]="NA","",(PA[[#This Row],[Acknowledgemnet Time ]]-PA[[#This Row],[Fault Time]])*24)</f>
        <v>0</v>
      </c>
      <c r="X60" s="182">
        <f>IF(PA[[#This Row],[Work Start time on Fault]]="NA","",(PA[[#This Row],[Work Start time on Fault]]-PA[[#This Row],[Fault Time]])*24)</f>
        <v>0</v>
      </c>
      <c r="Y60" s="153">
        <f>(PA[[#This Row],[Work Completiuon time on fualt]]-PA[[#This Row],[Fault Time]])*24</f>
        <v>11.633333333333333</v>
      </c>
      <c r="Z60" s="153">
        <f>IFERROR((PA[[#This Row],[Work Completiuon time on fualt]]-PA[[#This Row],[Fault Time]])*24,"")</f>
        <v>11.633333333333333</v>
      </c>
      <c r="AA60" s="312" t="s">
        <v>731</v>
      </c>
      <c r="AB60" s="149" t="s">
        <v>198</v>
      </c>
      <c r="AC60" s="152">
        <f>IFERROR(PA[[#This Row],[Breakdown Time]]*PA[[#This Row],[Plant Equivalent Weightage]],)</f>
        <v>0.58549972542559026</v>
      </c>
      <c r="AD60" s="153">
        <v>1.7350000000000001</v>
      </c>
      <c r="AE60" s="163">
        <f>IFERROR(_xlfn.XLOOKUP(PA[[#This Row],[Month Year]],'Modelling New'!$D:$D,'Modelling New'!$O:$O)*M60*PA[[#This Row],[Lost PoA(kWh/m2)]],"")</f>
        <v>1551.0834396144403</v>
      </c>
      <c r="AF60" s="150"/>
      <c r="AG60" s="150"/>
      <c r="AH60" s="150"/>
    </row>
    <row r="61" spans="1:34" ht="29" x14ac:dyDescent="0.35">
      <c r="A61" s="147">
        <f t="shared" si="1"/>
        <v>58</v>
      </c>
      <c r="B61" s="183">
        <v>45820</v>
      </c>
      <c r="C61" s="180">
        <f>YEAR(PA[[#This Row],[Date]])+IF(MONTH(PA[[#This Row],[Date]])&gt;=4,1,0)</f>
        <v>2026</v>
      </c>
      <c r="D61" s="155">
        <f>YEAR(PA[[#This Row],[Date]])</f>
        <v>2025</v>
      </c>
      <c r="E61" s="149" t="s">
        <v>4</v>
      </c>
      <c r="F61" s="149" t="s">
        <v>4</v>
      </c>
      <c r="G61" s="310">
        <f>PA[[#This Row],[Date]]-DAY(PA[[#This Row],[Date]])+1</f>
        <v>45809</v>
      </c>
      <c r="H61" s="155">
        <f>DAY(EOMONTH(PA[[#This Row],[Month Year]],0))</f>
        <v>30</v>
      </c>
      <c r="I61" s="151">
        <f>_xlfn.XLOOKUP(PA[[#This Row],[Date]],RD[Date],RD[Sunrise Time (POA&gt;20 W/m2)],0)</f>
        <v>0.27361111111111114</v>
      </c>
      <c r="J61" s="151">
        <f>_xlfn.XLOOKUP(PA[[#This Row],[Date]],RD[Date],RD[Sunset Time (POA&lt;20 W/m2)],0)</f>
        <v>0.73611111111111116</v>
      </c>
      <c r="K61" s="152">
        <f>IFERROR((PA[[#This Row],[Sunset Time (POA&lt;20 W/m2)]]-PA[[#This Row],[Sunrise Time (POA&gt;20 W/m2)]])*24,"")</f>
        <v>11.100000000000001</v>
      </c>
      <c r="L61" s="149" t="s">
        <v>229</v>
      </c>
      <c r="M61" s="180">
        <f>IFERROR(VLOOKUP(PA[[#This Row],[Affceted Equipment]],'Basic Data'!$A$2:$B$125,2,0),"")</f>
        <v>1222</v>
      </c>
      <c r="N61" s="181">
        <f>IFERROR(VLOOKUP(PA[[#This Row],[Affceted Equipment]],'Basic Data'!$A$1:$C$128,3,0),"")</f>
        <v>5.0329489291598022E-2</v>
      </c>
      <c r="O61" s="166" t="s">
        <v>229</v>
      </c>
      <c r="P61" s="217" t="s">
        <v>728</v>
      </c>
      <c r="Q61" s="217" t="s">
        <v>729</v>
      </c>
      <c r="R61" s="149" t="s">
        <v>732</v>
      </c>
      <c r="S61" s="187">
        <v>0.27361111111111114</v>
      </c>
      <c r="T61" s="187">
        <v>0.27361111111111114</v>
      </c>
      <c r="U61" s="187">
        <v>0.27361111111111114</v>
      </c>
      <c r="V61" s="187">
        <v>0.73611111111111116</v>
      </c>
      <c r="W61" s="182">
        <f>IF(PA[[#This Row],[Acknowledgemnet Time ]]="NA","",(PA[[#This Row],[Acknowledgemnet Time ]]-PA[[#This Row],[Fault Time]])*24)</f>
        <v>0</v>
      </c>
      <c r="X61" s="182">
        <f>IF(PA[[#This Row],[Work Start time on Fault]]="NA","",(PA[[#This Row],[Work Start time on Fault]]-PA[[#This Row],[Fault Time]])*24)</f>
        <v>0</v>
      </c>
      <c r="Y61" s="153">
        <f>(PA[[#This Row],[Work Completiuon time on fualt]]-PA[[#This Row],[Fault Time]])*24</f>
        <v>11.100000000000001</v>
      </c>
      <c r="Z61" s="153">
        <f>IFERROR((PA[[#This Row],[Work Completiuon time on fualt]]-PA[[#This Row],[Fault Time]])*24,"")</f>
        <v>11.100000000000001</v>
      </c>
      <c r="AA61" s="312" t="s">
        <v>731</v>
      </c>
      <c r="AB61" s="149" t="s">
        <v>198</v>
      </c>
      <c r="AC61" s="152">
        <f>IFERROR(PA[[#This Row],[Breakdown Time]]*PA[[#This Row],[Plant Equivalent Weightage]],)</f>
        <v>0.5586573311367381</v>
      </c>
      <c r="AD61" s="153">
        <v>4.2270000000000003</v>
      </c>
      <c r="AE61" s="163">
        <f>IFERROR(_xlfn.XLOOKUP(PA[[#This Row],[Month Year]],'Modelling New'!$D:$D,'Modelling New'!$O:$O)*M61*PA[[#This Row],[Lost PoA(kWh/m2)]],"")</f>
        <v>3778.9220168589277</v>
      </c>
      <c r="AF61" s="150"/>
      <c r="AG61" s="150"/>
      <c r="AH61" s="150"/>
    </row>
    <row r="62" spans="1:34" x14ac:dyDescent="0.35">
      <c r="A62" s="147">
        <f t="shared" si="1"/>
        <v>59</v>
      </c>
      <c r="B62" s="183">
        <v>45820</v>
      </c>
      <c r="C62" s="180">
        <f>YEAR(PA[[#This Row],[Date]])+IF(MONTH(PA[[#This Row],[Date]])&gt;=4,1,0)</f>
        <v>2026</v>
      </c>
      <c r="D62" s="155">
        <f>YEAR(PA[[#This Row],[Date]])</f>
        <v>2025</v>
      </c>
      <c r="E62" s="149" t="s">
        <v>4</v>
      </c>
      <c r="F62" s="149" t="s">
        <v>4</v>
      </c>
      <c r="G62" s="310">
        <f>PA[[#This Row],[Date]]-DAY(PA[[#This Row],[Date]])+1</f>
        <v>45809</v>
      </c>
      <c r="H62" s="155">
        <f>DAY(EOMONTH(PA[[#This Row],[Month Year]],0))</f>
        <v>30</v>
      </c>
      <c r="I62" s="151">
        <f>_xlfn.XLOOKUP(PA[[#This Row],[Date]],RD[Date],RD[Sunrise Time (POA&gt;20 W/m2)],0)</f>
        <v>0.27361111111111114</v>
      </c>
      <c r="J62" s="151">
        <f>_xlfn.XLOOKUP(PA[[#This Row],[Date]],RD[Date],RD[Sunset Time (POA&lt;20 W/m2)],0)</f>
        <v>0.73611111111111116</v>
      </c>
      <c r="K62" s="152">
        <f>IFERROR((PA[[#This Row],[Sunset Time (POA&lt;20 W/m2)]]-PA[[#This Row],[Sunrise Time (POA&gt;20 W/m2)]])*24,"")</f>
        <v>11.100000000000001</v>
      </c>
      <c r="L62" s="166" t="s">
        <v>469</v>
      </c>
      <c r="M62" s="180">
        <f>IFERROR(VLOOKUP(PA[[#This Row],[Affceted Equipment]],'Basic Data'!$A$2:$B$125,2,0),"")</f>
        <v>2300</v>
      </c>
      <c r="N62" s="181">
        <f>IFERROR(VLOOKUP(PA[[#This Row],[Affceted Equipment]],'Basic Data'!$A$1:$C$128,3,0),"")</f>
        <v>9.4728171334431635E-2</v>
      </c>
      <c r="O62" s="166" t="s">
        <v>469</v>
      </c>
      <c r="P62" s="149" t="s">
        <v>759</v>
      </c>
      <c r="Q62" s="149" t="s">
        <v>760</v>
      </c>
      <c r="R62" s="154" t="s">
        <v>761</v>
      </c>
      <c r="S62" s="187">
        <v>0.39652777777777776</v>
      </c>
      <c r="T62" s="187">
        <v>0.45833333333333331</v>
      </c>
      <c r="U62" s="187">
        <v>0.45833333333333331</v>
      </c>
      <c r="V62" s="187">
        <v>0.52777777777777779</v>
      </c>
      <c r="W62" s="182">
        <f>IF(PA[[#This Row],[Acknowledgemnet Time ]]="NA","",(PA[[#This Row],[Acknowledgemnet Time ]]-PA[[#This Row],[Fault Time]])*24)</f>
        <v>1.4833333333333334</v>
      </c>
      <c r="X62" s="182">
        <f>IF(PA[[#This Row],[Work Start time on Fault]]="NA","",(PA[[#This Row],[Work Start time on Fault]]-PA[[#This Row],[Fault Time]])*24)</f>
        <v>1.4833333333333334</v>
      </c>
      <c r="Y62" s="153">
        <f>(PA[[#This Row],[Work Completiuon time on fualt]]-PA[[#This Row],[Fault Time]])*24</f>
        <v>3.1500000000000008</v>
      </c>
      <c r="Z62" s="153">
        <f>IFERROR((PA[[#This Row],[Work Completiuon time on fualt]]-PA[[#This Row],[Fault Time]])*24,"")</f>
        <v>3.1500000000000008</v>
      </c>
      <c r="AA62" s="312" t="s">
        <v>762</v>
      </c>
      <c r="AB62" s="149" t="s">
        <v>763</v>
      </c>
      <c r="AC62" s="152">
        <f>IFERROR(PA[[#This Row],[Breakdown Time]]*PA[[#This Row],[Plant Equivalent Weightage]],)</f>
        <v>0.29839373970345973</v>
      </c>
      <c r="AD62" s="153">
        <v>1.718</v>
      </c>
      <c r="AE62" s="163">
        <f>IFERROR(_xlfn.XLOOKUP(PA[[#This Row],[Month Year]],'Modelling New'!$D:$D,'Modelling New'!$O:$O)*M62*PA[[#This Row],[Lost PoA(kWh/m2)]],"")</f>
        <v>2890.7828633045929</v>
      </c>
      <c r="AF62" s="150"/>
      <c r="AG62" s="150"/>
      <c r="AH62" s="150"/>
    </row>
    <row r="63" spans="1:34" x14ac:dyDescent="0.35">
      <c r="A63" s="147">
        <f t="shared" si="1"/>
        <v>60</v>
      </c>
      <c r="B63" s="183">
        <v>45820</v>
      </c>
      <c r="C63" s="180">
        <f>YEAR(PA[[#This Row],[Date]])+IF(MONTH(PA[[#This Row],[Date]])&gt;=4,1,0)</f>
        <v>2026</v>
      </c>
      <c r="D63" s="155">
        <f>YEAR(PA[[#This Row],[Date]])</f>
        <v>2025</v>
      </c>
      <c r="E63" s="149" t="s">
        <v>4</v>
      </c>
      <c r="F63" s="149" t="s">
        <v>4</v>
      </c>
      <c r="G63" s="310">
        <f>PA[[#This Row],[Date]]-DAY(PA[[#This Row],[Date]])+1</f>
        <v>45809</v>
      </c>
      <c r="H63" s="155">
        <f>DAY(EOMONTH(PA[[#This Row],[Month Year]],0))</f>
        <v>30</v>
      </c>
      <c r="I63" s="151">
        <f>_xlfn.XLOOKUP(PA[[#This Row],[Date]],RD[Date],RD[Sunrise Time (POA&gt;20 W/m2)],0)</f>
        <v>0.27361111111111114</v>
      </c>
      <c r="J63" s="151">
        <f>_xlfn.XLOOKUP(PA[[#This Row],[Date]],RD[Date],RD[Sunset Time (POA&lt;20 W/m2)],0)</f>
        <v>0.73611111111111116</v>
      </c>
      <c r="K63" s="152">
        <f>IFERROR((PA[[#This Row],[Sunset Time (POA&lt;20 W/m2)]]-PA[[#This Row],[Sunrise Time (POA&gt;20 W/m2)]])*24,"")</f>
        <v>11.100000000000001</v>
      </c>
      <c r="L63" s="166" t="s">
        <v>536</v>
      </c>
      <c r="M63" s="180">
        <v>11503</v>
      </c>
      <c r="N63" s="181">
        <v>0.47376441515650741</v>
      </c>
      <c r="O63" s="166" t="s">
        <v>764</v>
      </c>
      <c r="P63" s="149" t="s">
        <v>713</v>
      </c>
      <c r="Q63" s="149" t="s">
        <v>713</v>
      </c>
      <c r="R63" s="154" t="s">
        <v>761</v>
      </c>
      <c r="S63" s="187">
        <v>0.52847222222222223</v>
      </c>
      <c r="T63" s="187">
        <v>0.52847222222222223</v>
      </c>
      <c r="U63" s="187">
        <v>0.52847222222222223</v>
      </c>
      <c r="V63" s="187">
        <v>0.61805555555555558</v>
      </c>
      <c r="W63" s="182">
        <f>IF(PA[[#This Row],[Acknowledgemnet Time ]]="NA","",(PA[[#This Row],[Acknowledgemnet Time ]]-PA[[#This Row],[Fault Time]])*24)</f>
        <v>0</v>
      </c>
      <c r="X63" s="182">
        <f>IF(PA[[#This Row],[Work Start time on Fault]]="NA","",(PA[[#This Row],[Work Start time on Fault]]-PA[[#This Row],[Fault Time]])*24)</f>
        <v>0</v>
      </c>
      <c r="Y63" s="153">
        <f>(PA[[#This Row],[Work Completiuon time on fualt]]-PA[[#This Row],[Fault Time]])*24</f>
        <v>2.1500000000000004</v>
      </c>
      <c r="Z63" s="153">
        <f>IFERROR((PA[[#This Row],[Work Completiuon time on fualt]]-PA[[#This Row],[Fault Time]])*24,"")</f>
        <v>2.1500000000000004</v>
      </c>
      <c r="AA63" s="312" t="s">
        <v>762</v>
      </c>
      <c r="AB63" s="149" t="s">
        <v>173</v>
      </c>
      <c r="AC63" s="152">
        <f>IFERROR(PA[[#This Row],[Breakdown Time]]*PA[[#This Row],[Plant Equivalent Weightage]],)</f>
        <v>1.018593492586491</v>
      </c>
      <c r="AD63" s="153">
        <v>1.0880000000000001</v>
      </c>
      <c r="AE63" s="163">
        <f>IFERROR(_xlfn.XLOOKUP(PA[[#This Row],[Month Year]],'Modelling New'!$D:$D,'Modelling New'!$O:$O)*M63*PA[[#This Row],[Lost PoA(kWh/m2)]],"")</f>
        <v>9155.9727440737206</v>
      </c>
      <c r="AF63" s="150"/>
      <c r="AG63" s="150"/>
      <c r="AH63" s="150"/>
    </row>
    <row r="64" spans="1:34" x14ac:dyDescent="0.35">
      <c r="A64" s="147">
        <f t="shared" si="1"/>
        <v>61</v>
      </c>
      <c r="B64" s="183">
        <v>45820</v>
      </c>
      <c r="C64" s="180">
        <f>YEAR(PA[[#This Row],[Date]])+IF(MONTH(PA[[#This Row],[Date]])&gt;=4,1,0)</f>
        <v>2026</v>
      </c>
      <c r="D64" s="155">
        <f>YEAR(PA[[#This Row],[Date]])</f>
        <v>2025</v>
      </c>
      <c r="E64" s="149" t="s">
        <v>4</v>
      </c>
      <c r="F64" s="149" t="s">
        <v>4</v>
      </c>
      <c r="G64" s="310">
        <f>PA[[#This Row],[Date]]-DAY(PA[[#This Row],[Date]])+1</f>
        <v>45809</v>
      </c>
      <c r="H64" s="155">
        <f>DAY(EOMONTH(PA[[#This Row],[Month Year]],0))</f>
        <v>30</v>
      </c>
      <c r="I64" s="151">
        <f>_xlfn.XLOOKUP(PA[[#This Row],[Date]],RD[Date],RD[Sunrise Time (POA&gt;20 W/m2)],0)</f>
        <v>0.27361111111111114</v>
      </c>
      <c r="J64" s="151">
        <f>_xlfn.XLOOKUP(PA[[#This Row],[Date]],RD[Date],RD[Sunset Time (POA&lt;20 W/m2)],0)</f>
        <v>0.73611111111111116</v>
      </c>
      <c r="K64" s="152">
        <f>IFERROR((PA[[#This Row],[Sunset Time (POA&lt;20 W/m2)]]-PA[[#This Row],[Sunrise Time (POA&gt;20 W/m2)]])*24,"")</f>
        <v>11.100000000000001</v>
      </c>
      <c r="L64" s="166" t="s">
        <v>225</v>
      </c>
      <c r="M64" s="180">
        <f>IFERROR(VLOOKUP(PA[[#This Row],[Affceted Equipment]],'Basic Data'!$A$2:$B$125,2,0),"")</f>
        <v>1053</v>
      </c>
      <c r="N64" s="181">
        <f>IFERROR(VLOOKUP(PA[[#This Row],[Affceted Equipment]],'Basic Data'!$A$1:$C$128,3,0),"")</f>
        <v>4.3369028006589788E-2</v>
      </c>
      <c r="O64" s="189" t="s">
        <v>225</v>
      </c>
      <c r="P64" s="149" t="s">
        <v>755</v>
      </c>
      <c r="Q64" s="149" t="s">
        <v>733</v>
      </c>
      <c r="R64" s="149" t="s">
        <v>758</v>
      </c>
      <c r="S64" s="187">
        <v>0.625</v>
      </c>
      <c r="T64" s="187">
        <v>0.625</v>
      </c>
      <c r="U64" s="187">
        <v>0.625</v>
      </c>
      <c r="V64" s="187">
        <v>0.70833333333333337</v>
      </c>
      <c r="W64" s="182">
        <f>IF(PA[[#This Row],[Acknowledgemnet Time ]]="NA","",(PA[[#This Row],[Acknowledgemnet Time ]]-PA[[#This Row],[Fault Time]])*24)</f>
        <v>0</v>
      </c>
      <c r="X64" s="182">
        <f>IF(PA[[#This Row],[Work Start time on Fault]]="NA","",(PA[[#This Row],[Work Start time on Fault]]-PA[[#This Row],[Fault Time]])*24)</f>
        <v>0</v>
      </c>
      <c r="Y64" s="153">
        <f>(PA[[#This Row],[Work Completiuon time on fualt]]-PA[[#This Row],[Fault Time]])*24</f>
        <v>2.0000000000000009</v>
      </c>
      <c r="Z64" s="153">
        <f>IFERROR((PA[[#This Row],[Work Completiuon time on fualt]]-PA[[#This Row],[Fault Time]])*24,"")</f>
        <v>2.0000000000000009</v>
      </c>
      <c r="AA64" s="312" t="s">
        <v>762</v>
      </c>
      <c r="AB64" s="149" t="s">
        <v>173</v>
      </c>
      <c r="AC64" s="152">
        <f>IFERROR(PA[[#This Row],[Breakdown Time]]*PA[[#This Row],[Plant Equivalent Weightage]],)</f>
        <v>8.6738056013179618E-2</v>
      </c>
      <c r="AD64" s="153">
        <v>0.84</v>
      </c>
      <c r="AE64" s="163">
        <f>IFERROR(_xlfn.XLOOKUP(PA[[#This Row],[Month Year]],'Modelling New'!$D:$D,'Modelling New'!$O:$O)*M64*PA[[#This Row],[Lost PoA(kWh/m2)]],"")</f>
        <v>647.10109284055738</v>
      </c>
      <c r="AF64" s="150"/>
      <c r="AG64" s="150"/>
      <c r="AH64" s="150"/>
    </row>
    <row r="65" spans="1:34" ht="29" x14ac:dyDescent="0.35">
      <c r="A65" s="147">
        <f t="shared" si="1"/>
        <v>62</v>
      </c>
      <c r="B65" s="183">
        <v>45821</v>
      </c>
      <c r="C65" s="180">
        <f>YEAR(PA[[#This Row],[Date]])+IF(MONTH(PA[[#This Row],[Date]])&gt;=4,1,0)</f>
        <v>2026</v>
      </c>
      <c r="D65" s="155">
        <f>YEAR(PA[[#This Row],[Date]])</f>
        <v>2025</v>
      </c>
      <c r="E65" s="149" t="s">
        <v>4</v>
      </c>
      <c r="F65" s="149" t="s">
        <v>4</v>
      </c>
      <c r="G65" s="310">
        <f>PA[[#This Row],[Date]]-DAY(PA[[#This Row],[Date]])+1</f>
        <v>45809</v>
      </c>
      <c r="H65" s="155">
        <f>DAY(EOMONTH(PA[[#This Row],[Month Year]],0))</f>
        <v>30</v>
      </c>
      <c r="I65" s="151">
        <f>_xlfn.XLOOKUP(PA[[#This Row],[Date]],RD[Date],RD[Sunrise Time (POA&gt;20 W/m2)],0)</f>
        <v>0.25833333333333336</v>
      </c>
      <c r="J65" s="151">
        <f>_xlfn.XLOOKUP(PA[[#This Row],[Date]],RD[Date],RD[Sunset Time (POA&lt;20 W/m2)],0)</f>
        <v>0.7729166666666667</v>
      </c>
      <c r="K65" s="152">
        <f>IFERROR((PA[[#This Row],[Sunset Time (POA&lt;20 W/m2)]]-PA[[#This Row],[Sunrise Time (POA&gt;20 W/m2)]])*24,"")</f>
        <v>12.350000000000001</v>
      </c>
      <c r="L65" s="149" t="s">
        <v>229</v>
      </c>
      <c r="M65" s="180">
        <f>IFERROR(VLOOKUP(PA[[#This Row],[Affceted Equipment]],'Basic Data'!$A$2:$B$125,2,0),"")</f>
        <v>1222</v>
      </c>
      <c r="N65" s="181">
        <f>IFERROR(VLOOKUP(PA[[#This Row],[Affceted Equipment]],'Basic Data'!$A$1:$C$128,3,0),"")</f>
        <v>5.0329489291598022E-2</v>
      </c>
      <c r="O65" s="166" t="s">
        <v>229</v>
      </c>
      <c r="P65" s="217" t="s">
        <v>728</v>
      </c>
      <c r="Q65" s="217" t="s">
        <v>729</v>
      </c>
      <c r="R65" s="149" t="s">
        <v>732</v>
      </c>
      <c r="S65" s="187">
        <v>0.25833333333333336</v>
      </c>
      <c r="T65" s="187">
        <v>0.25833333333333336</v>
      </c>
      <c r="U65" s="187">
        <v>0.25833333333333336</v>
      </c>
      <c r="V65" s="187">
        <v>0.25833333333333336</v>
      </c>
      <c r="W65" s="182">
        <f>IF(PA[[#This Row],[Acknowledgemnet Time ]]="NA","",(PA[[#This Row],[Acknowledgemnet Time ]]-PA[[#This Row],[Fault Time]])*24)</f>
        <v>0</v>
      </c>
      <c r="X65" s="182">
        <f>IF(PA[[#This Row],[Work Start time on Fault]]="NA","",(PA[[#This Row],[Work Start time on Fault]]-PA[[#This Row],[Fault Time]])*24)</f>
        <v>0</v>
      </c>
      <c r="Y65" s="153">
        <f>(PA[[#This Row],[Work Completiuon time on fualt]]-PA[[#This Row],[Fault Time]])*24</f>
        <v>0</v>
      </c>
      <c r="Z65" s="153">
        <f>IFERROR((PA[[#This Row],[Work Completiuon time on fualt]]-PA[[#This Row],[Fault Time]])*24,"")</f>
        <v>0</v>
      </c>
      <c r="AA65" s="312" t="s">
        <v>731</v>
      </c>
      <c r="AB65" s="149" t="s">
        <v>198</v>
      </c>
      <c r="AC65" s="152">
        <f>IFERROR(PA[[#This Row],[Breakdown Time]]*PA[[#This Row],[Plant Equivalent Weightage]],)</f>
        <v>0</v>
      </c>
      <c r="AD65" s="153">
        <v>4.2830000000000004</v>
      </c>
      <c r="AE65" s="163">
        <f>IFERROR(_xlfn.XLOOKUP(PA[[#This Row],[Month Year]],'Modelling New'!$D:$D,'Modelling New'!$O:$O)*M65*PA[[#This Row],[Lost PoA(kWh/m2)]],"")</f>
        <v>3828.9858051116125</v>
      </c>
      <c r="AF65" s="150"/>
      <c r="AG65" s="150"/>
      <c r="AH65" s="150"/>
    </row>
    <row r="66" spans="1:34" ht="29" x14ac:dyDescent="0.35">
      <c r="A66" s="147">
        <f t="shared" si="1"/>
        <v>63</v>
      </c>
      <c r="B66" s="183">
        <v>45821</v>
      </c>
      <c r="C66" s="180">
        <f>YEAR(PA[[#This Row],[Date]])+IF(MONTH(PA[[#This Row],[Date]])&gt;=4,1,0)</f>
        <v>2026</v>
      </c>
      <c r="D66" s="155">
        <f>YEAR(PA[[#This Row],[Date]])</f>
        <v>2025</v>
      </c>
      <c r="E66" s="149" t="s">
        <v>4</v>
      </c>
      <c r="F66" s="149" t="s">
        <v>4</v>
      </c>
      <c r="G66" s="310">
        <f>PA[[#This Row],[Date]]-DAY(PA[[#This Row],[Date]])+1</f>
        <v>45809</v>
      </c>
      <c r="H66" s="155">
        <f>DAY(EOMONTH(PA[[#This Row],[Month Year]],0))</f>
        <v>30</v>
      </c>
      <c r="I66" s="151">
        <f>_xlfn.XLOOKUP(PA[[#This Row],[Date]],RD[Date],RD[Sunrise Time (POA&gt;20 W/m2)],0)</f>
        <v>0.25833333333333336</v>
      </c>
      <c r="J66" s="151">
        <f>_xlfn.XLOOKUP(PA[[#This Row],[Date]],RD[Date],RD[Sunset Time (POA&lt;20 W/m2)],0)</f>
        <v>0.7729166666666667</v>
      </c>
      <c r="K66" s="152">
        <f>IFERROR((PA[[#This Row],[Sunset Time (POA&lt;20 W/m2)]]-PA[[#This Row],[Sunrise Time (POA&gt;20 W/m2)]])*24,"")</f>
        <v>12.350000000000001</v>
      </c>
      <c r="L66" s="166" t="s">
        <v>208</v>
      </c>
      <c r="M66" s="180">
        <f>IFERROR(VLOOKUP(PA[[#This Row],[Affceted Equipment]],'Basic Data'!$A$2:$B$125,2,0),"")</f>
        <v>1075.2</v>
      </c>
      <c r="N66" s="181">
        <f>IFERROR(VLOOKUP(PA[[#This Row],[Affceted Equipment]],'Basic Data'!$A$1:$C$128,3,0),"")</f>
        <v>4.4283360790774301E-2</v>
      </c>
      <c r="O66" s="166" t="s">
        <v>208</v>
      </c>
      <c r="P66" s="217" t="s">
        <v>765</v>
      </c>
      <c r="Q66" s="149" t="s">
        <v>766</v>
      </c>
      <c r="R66" s="154" t="s">
        <v>767</v>
      </c>
      <c r="S66" s="187">
        <v>0.41666666666666669</v>
      </c>
      <c r="T66" s="187">
        <v>0.4375</v>
      </c>
      <c r="U66" s="187">
        <v>0.4375</v>
      </c>
      <c r="V66" s="187">
        <v>0.45833333333333331</v>
      </c>
      <c r="W66" s="182">
        <f>IF(PA[[#This Row],[Acknowledgemnet Time ]]="NA","",(PA[[#This Row],[Acknowledgemnet Time ]]-PA[[#This Row],[Fault Time]])*24)</f>
        <v>0.49999999999999956</v>
      </c>
      <c r="X66" s="182">
        <f>IF(PA[[#This Row],[Work Start time on Fault]]="NA","",(PA[[#This Row],[Work Start time on Fault]]-PA[[#This Row],[Fault Time]])*24)</f>
        <v>0.49999999999999956</v>
      </c>
      <c r="Y66" s="153">
        <f>(PA[[#This Row],[Work Completiuon time on fualt]]-PA[[#This Row],[Fault Time]])*24</f>
        <v>0.99999999999999911</v>
      </c>
      <c r="Z66" s="153">
        <f>IFERROR((PA[[#This Row],[Work Completiuon time on fualt]]-PA[[#This Row],[Fault Time]])*24,"")</f>
        <v>0.99999999999999911</v>
      </c>
      <c r="AA66" s="312" t="s">
        <v>762</v>
      </c>
      <c r="AB66" s="149" t="s">
        <v>173</v>
      </c>
      <c r="AC66" s="152">
        <f>IFERROR(PA[[#This Row],[Breakdown Time]]*PA[[#This Row],[Plant Equivalent Weightage]],)</f>
        <v>4.4283360790774259E-2</v>
      </c>
      <c r="AD66" s="153">
        <v>3.75</v>
      </c>
      <c r="AE66" s="163">
        <f>IFERROR(_xlfn.XLOOKUP(PA[[#This Row],[Month Year]],'Modelling New'!$D:$D,'Modelling New'!$O:$O)*M66*PA[[#This Row],[Lost PoA(kWh/m2)]],"")</f>
        <v>2949.7485713529686</v>
      </c>
      <c r="AF66" s="150"/>
      <c r="AG66" s="150"/>
      <c r="AH66" s="150"/>
    </row>
    <row r="67" spans="1:34" x14ac:dyDescent="0.35">
      <c r="A67" s="147">
        <f t="shared" si="1"/>
        <v>64</v>
      </c>
      <c r="B67" s="183">
        <v>45821</v>
      </c>
      <c r="C67" s="180">
        <f>YEAR(PA[[#This Row],[Date]])+IF(MONTH(PA[[#This Row],[Date]])&gt;=4,1,0)</f>
        <v>2026</v>
      </c>
      <c r="D67" s="155">
        <f>YEAR(PA[[#This Row],[Date]])</f>
        <v>2025</v>
      </c>
      <c r="E67" s="149" t="s">
        <v>4</v>
      </c>
      <c r="F67" s="149" t="s">
        <v>4</v>
      </c>
      <c r="G67" s="310">
        <f>PA[[#This Row],[Date]]-DAY(PA[[#This Row],[Date]])+1</f>
        <v>45809</v>
      </c>
      <c r="H67" s="155">
        <f>DAY(EOMONTH(PA[[#This Row],[Month Year]],0))</f>
        <v>30</v>
      </c>
      <c r="I67" s="151">
        <f>_xlfn.XLOOKUP(PA[[#This Row],[Date]],RD[Date],RD[Sunrise Time (POA&gt;20 W/m2)],0)</f>
        <v>0.25833333333333336</v>
      </c>
      <c r="J67" s="151">
        <f>_xlfn.XLOOKUP(PA[[#This Row],[Date]],RD[Date],RD[Sunset Time (POA&lt;20 W/m2)],0)</f>
        <v>0.7729166666666667</v>
      </c>
      <c r="K67" s="152">
        <f>IFERROR((PA[[#This Row],[Sunset Time (POA&lt;20 W/m2)]]-PA[[#This Row],[Sunrise Time (POA&gt;20 W/m2)]])*24,"")</f>
        <v>12.350000000000001</v>
      </c>
      <c r="L67" s="166" t="s">
        <v>214</v>
      </c>
      <c r="M67" s="180">
        <f>IFERROR(VLOOKUP(PA[[#This Row],[Affceted Equipment]],'Basic Data'!$A$2:$B$125,2,0),"")</f>
        <v>1228.5</v>
      </c>
      <c r="N67" s="181">
        <f>IFERROR(VLOOKUP(PA[[#This Row],[Affceted Equipment]],'Basic Data'!$A$1:$C$128,3,0),"")</f>
        <v>5.0597199341021415E-2</v>
      </c>
      <c r="O67" s="189" t="s">
        <v>214</v>
      </c>
      <c r="P67" s="149" t="s">
        <v>713</v>
      </c>
      <c r="Q67" s="149" t="s">
        <v>713</v>
      </c>
      <c r="R67" s="154" t="s">
        <v>768</v>
      </c>
      <c r="S67" s="187">
        <v>0.58333333333333337</v>
      </c>
      <c r="T67" s="187">
        <v>0.58333333333333337</v>
      </c>
      <c r="U67" s="187">
        <v>0.58333333333333337</v>
      </c>
      <c r="V67" s="187">
        <v>0.59027777777777779</v>
      </c>
      <c r="W67" s="182">
        <f>IF(PA[[#This Row],[Acknowledgemnet Time ]]="NA","",(PA[[#This Row],[Acknowledgemnet Time ]]-PA[[#This Row],[Fault Time]])*24)</f>
        <v>0</v>
      </c>
      <c r="X67" s="182">
        <f>IF(PA[[#This Row],[Work Start time on Fault]]="NA","",(PA[[#This Row],[Work Start time on Fault]]-PA[[#This Row],[Fault Time]])*24)</f>
        <v>0</v>
      </c>
      <c r="Y67" s="153">
        <f>(PA[[#This Row],[Work Completiuon time on fualt]]-PA[[#This Row],[Fault Time]])*24</f>
        <v>0.16666666666666607</v>
      </c>
      <c r="Z67" s="153">
        <f>IFERROR((PA[[#This Row],[Work Completiuon time on fualt]]-PA[[#This Row],[Fault Time]])*24,"")</f>
        <v>0.16666666666666607</v>
      </c>
      <c r="AA67" s="312" t="s">
        <v>762</v>
      </c>
      <c r="AB67" s="149" t="s">
        <v>173</v>
      </c>
      <c r="AC67" s="152">
        <f>IFERROR(PA[[#This Row],[Breakdown Time]]*PA[[#This Row],[Plant Equivalent Weightage]],)</f>
        <v>8.4328665568368724E-3</v>
      </c>
      <c r="AD67" s="153">
        <v>0.53</v>
      </c>
      <c r="AE67" s="163">
        <f>IFERROR(_xlfn.XLOOKUP(PA[[#This Row],[Month Year]],'Modelling New'!$D:$D,'Modelling New'!$O:$O)*M67*PA[[#This Row],[Lost PoA(kWh/m2)]],"")</f>
        <v>476.33830445207701</v>
      </c>
      <c r="AF67" s="150"/>
      <c r="AG67" s="150"/>
      <c r="AH67" s="150"/>
    </row>
    <row r="68" spans="1:34" ht="29" x14ac:dyDescent="0.35">
      <c r="A68" s="147">
        <f t="shared" si="1"/>
        <v>65</v>
      </c>
      <c r="B68" s="183">
        <v>45822</v>
      </c>
      <c r="C68" s="180">
        <f>YEAR(PA[[#This Row],[Date]])+IF(MONTH(PA[[#This Row],[Date]])&gt;=4,1,0)</f>
        <v>2026</v>
      </c>
      <c r="D68" s="155">
        <f>YEAR(PA[[#This Row],[Date]])</f>
        <v>2025</v>
      </c>
      <c r="E68" s="149" t="s">
        <v>4</v>
      </c>
      <c r="F68" s="149" t="s">
        <v>4</v>
      </c>
      <c r="G68" s="310">
        <f>PA[[#This Row],[Date]]-DAY(PA[[#This Row],[Date]])+1</f>
        <v>45809</v>
      </c>
      <c r="H68" s="155">
        <f>DAY(EOMONTH(PA[[#This Row],[Month Year]],0))</f>
        <v>30</v>
      </c>
      <c r="I68" s="151">
        <f>_xlfn.XLOOKUP(PA[[#This Row],[Date]],RD[Date],RD[Sunrise Time (POA&gt;20 W/m2)],0)</f>
        <v>0.25555555555555554</v>
      </c>
      <c r="J68" s="151">
        <f>_xlfn.XLOOKUP(PA[[#This Row],[Date]],RD[Date],RD[Sunset Time (POA&lt;20 W/m2)],0)</f>
        <v>0.77430555555555558</v>
      </c>
      <c r="K68" s="152">
        <f>IFERROR((PA[[#This Row],[Sunset Time (POA&lt;20 W/m2)]]-PA[[#This Row],[Sunrise Time (POA&gt;20 W/m2)]])*24,"")</f>
        <v>12.450000000000001</v>
      </c>
      <c r="L68" s="149" t="s">
        <v>229</v>
      </c>
      <c r="M68" s="180">
        <f>IFERROR(VLOOKUP(PA[[#This Row],[Affceted Equipment]],'Basic Data'!$A$2:$B$125,2,0),"")</f>
        <v>1222</v>
      </c>
      <c r="N68" s="181">
        <f>IFERROR(VLOOKUP(PA[[#This Row],[Affceted Equipment]],'Basic Data'!$A$1:$C$128,3,0),"")</f>
        <v>5.0329489291598022E-2</v>
      </c>
      <c r="O68" s="166" t="s">
        <v>229</v>
      </c>
      <c r="P68" s="217" t="s">
        <v>728</v>
      </c>
      <c r="Q68" s="217" t="s">
        <v>729</v>
      </c>
      <c r="R68" s="149" t="s">
        <v>732</v>
      </c>
      <c r="S68" s="187">
        <v>0.25555555555555554</v>
      </c>
      <c r="T68" s="187">
        <v>0.25555555555555554</v>
      </c>
      <c r="U68" s="187">
        <v>0.25555555555555554</v>
      </c>
      <c r="V68" s="187">
        <v>0.25555555555555554</v>
      </c>
      <c r="W68" s="182">
        <f>IF(PA[[#This Row],[Acknowledgemnet Time ]]="NA","",(PA[[#This Row],[Acknowledgemnet Time ]]-PA[[#This Row],[Fault Time]])*24)</f>
        <v>0</v>
      </c>
      <c r="X68" s="182">
        <f>IF(PA[[#This Row],[Work Start time on Fault]]="NA","",(PA[[#This Row],[Work Start time on Fault]]-PA[[#This Row],[Fault Time]])*24)</f>
        <v>0</v>
      </c>
      <c r="Y68" s="153">
        <f>(PA[[#This Row],[Work Completiuon time on fualt]]-PA[[#This Row],[Fault Time]])*24</f>
        <v>0</v>
      </c>
      <c r="Z68" s="153">
        <f>IFERROR((PA[[#This Row],[Work Completiuon time on fualt]]-PA[[#This Row],[Fault Time]])*24,"")</f>
        <v>0</v>
      </c>
      <c r="AA68" s="312" t="s">
        <v>731</v>
      </c>
      <c r="AB68" s="149" t="s">
        <v>198</v>
      </c>
      <c r="AC68" s="152">
        <f>IFERROR(PA[[#This Row],[Breakdown Time]]*PA[[#This Row],[Plant Equivalent Weightage]],)</f>
        <v>0</v>
      </c>
      <c r="AD68" s="153">
        <v>5.5810000000000004</v>
      </c>
      <c r="AE68" s="163">
        <f>IFERROR(_xlfn.XLOOKUP(PA[[#This Row],[Month Year]],'Modelling New'!$D:$D,'Modelling New'!$O:$O)*M68*PA[[#This Row],[Lost PoA(kWh/m2)]],"")</f>
        <v>4989.3928971113492</v>
      </c>
      <c r="AF68" s="150"/>
      <c r="AG68" s="150"/>
      <c r="AH68" s="150"/>
    </row>
    <row r="69" spans="1:34" x14ac:dyDescent="0.35">
      <c r="A69" s="147">
        <f t="shared" si="1"/>
        <v>66</v>
      </c>
      <c r="B69" s="183">
        <v>45822</v>
      </c>
      <c r="C69" s="180">
        <f>YEAR(PA[[#This Row],[Date]])+IF(MONTH(PA[[#This Row],[Date]])&gt;=4,1,0)</f>
        <v>2026</v>
      </c>
      <c r="D69" s="155">
        <f>YEAR(PA[[#This Row],[Date]])</f>
        <v>2025</v>
      </c>
      <c r="E69" s="149" t="s">
        <v>4</v>
      </c>
      <c r="F69" s="149" t="s">
        <v>4</v>
      </c>
      <c r="G69" s="310">
        <f>PA[[#This Row],[Date]]-DAY(PA[[#This Row],[Date]])+1</f>
        <v>45809</v>
      </c>
      <c r="H69" s="155">
        <f>DAY(EOMONTH(PA[[#This Row],[Month Year]],0))</f>
        <v>30</v>
      </c>
      <c r="I69" s="151">
        <f>_xlfn.XLOOKUP(PA[[#This Row],[Date]],RD[Date],RD[Sunrise Time (POA&gt;20 W/m2)],0)</f>
        <v>0.25555555555555554</v>
      </c>
      <c r="J69" s="151">
        <f>_xlfn.XLOOKUP(PA[[#This Row],[Date]],RD[Date],RD[Sunset Time (POA&lt;20 W/m2)],0)</f>
        <v>0.77430555555555558</v>
      </c>
      <c r="K69" s="152">
        <f>IFERROR((PA[[#This Row],[Sunset Time (POA&lt;20 W/m2)]]-PA[[#This Row],[Sunrise Time (POA&gt;20 W/m2)]])*24,"")</f>
        <v>12.450000000000001</v>
      </c>
      <c r="L69" s="166" t="s">
        <v>469</v>
      </c>
      <c r="M69" s="180">
        <f>IFERROR(VLOOKUP(PA[[#This Row],[Affceted Equipment]],'Basic Data'!$A$2:$B$125,2,0),"")</f>
        <v>2300</v>
      </c>
      <c r="N69" s="181">
        <f>IFERROR(VLOOKUP(PA[[#This Row],[Affceted Equipment]],'Basic Data'!$A$1:$C$128,3,0),"")</f>
        <v>9.4728171334431635E-2</v>
      </c>
      <c r="O69" s="166" t="s">
        <v>469</v>
      </c>
      <c r="P69" s="149" t="s">
        <v>759</v>
      </c>
      <c r="Q69" s="149" t="s">
        <v>769</v>
      </c>
      <c r="R69" s="154" t="s">
        <v>770</v>
      </c>
      <c r="S69" s="187">
        <v>0.37847222222222221</v>
      </c>
      <c r="T69" s="187">
        <v>0.37847222222222221</v>
      </c>
      <c r="U69" s="187">
        <v>0.37847222222222221</v>
      </c>
      <c r="V69" s="187">
        <v>0.37847222222222221</v>
      </c>
      <c r="W69" s="182">
        <f>IF(PA[[#This Row],[Acknowledgemnet Time ]]="NA","",(PA[[#This Row],[Acknowledgemnet Time ]]-PA[[#This Row],[Fault Time]])*24)</f>
        <v>0</v>
      </c>
      <c r="X69" s="182">
        <f>IF(PA[[#This Row],[Work Start time on Fault]]="NA","",(PA[[#This Row],[Work Start time on Fault]]-PA[[#This Row],[Fault Time]])*24)</f>
        <v>0</v>
      </c>
      <c r="Y69" s="153">
        <f>(PA[[#This Row],[Work Completiuon time on fualt]]-PA[[#This Row],[Fault Time]])*24</f>
        <v>0</v>
      </c>
      <c r="Z69" s="153">
        <f>IFERROR((PA[[#This Row],[Work Completiuon time on fualt]]-PA[[#This Row],[Fault Time]])*24,"")</f>
        <v>0</v>
      </c>
      <c r="AA69" s="312" t="s">
        <v>762</v>
      </c>
      <c r="AB69" s="149" t="s">
        <v>173</v>
      </c>
      <c r="AC69" s="152">
        <f>IFERROR(PA[[#This Row],[Breakdown Time]]*PA[[#This Row],[Plant Equivalent Weightage]],)</f>
        <v>0</v>
      </c>
      <c r="AD69" s="153">
        <v>5.31</v>
      </c>
      <c r="AE69" s="163">
        <f>IFERROR(_xlfn.XLOOKUP(PA[[#This Row],[Month Year]],'Modelling New'!$D:$D,'Modelling New'!$O:$O)*M69*PA[[#This Row],[Lost PoA(kWh/m2)]],"")</f>
        <v>8934.8410967097716</v>
      </c>
      <c r="AF69" s="150"/>
      <c r="AG69" s="150"/>
      <c r="AH69" s="150"/>
    </row>
    <row r="70" spans="1:34" ht="29" x14ac:dyDescent="0.35">
      <c r="A70" s="147">
        <f t="shared" si="1"/>
        <v>67</v>
      </c>
      <c r="B70" s="183">
        <v>45823</v>
      </c>
      <c r="C70" s="180">
        <f>YEAR(PA[[#This Row],[Date]])+IF(MONTH(PA[[#This Row],[Date]])&gt;=4,1,0)</f>
        <v>2026</v>
      </c>
      <c r="D70" s="155">
        <f>YEAR(PA[[#This Row],[Date]])</f>
        <v>2025</v>
      </c>
      <c r="E70" s="149" t="s">
        <v>4</v>
      </c>
      <c r="F70" s="149" t="s">
        <v>4</v>
      </c>
      <c r="G70" s="310">
        <f>PA[[#This Row],[Date]]-DAY(PA[[#This Row],[Date]])+1</f>
        <v>45809</v>
      </c>
      <c r="H70" s="155">
        <f>DAY(EOMONTH(PA[[#This Row],[Month Year]],0))</f>
        <v>30</v>
      </c>
      <c r="I70" s="151">
        <f>_xlfn.XLOOKUP(PA[[#This Row],[Date]],RD[Date],RD[Sunrise Time (POA&gt;20 W/m2)],0)</f>
        <v>0.25624999999999998</v>
      </c>
      <c r="J70" s="151">
        <f>_xlfn.XLOOKUP(PA[[#This Row],[Date]],RD[Date],RD[Sunset Time (POA&lt;20 W/m2)],0)</f>
        <v>0.77638888888888891</v>
      </c>
      <c r="K70" s="152">
        <f>IFERROR((PA[[#This Row],[Sunset Time (POA&lt;20 W/m2)]]-PA[[#This Row],[Sunrise Time (POA&gt;20 W/m2)]])*24,"")</f>
        <v>12.483333333333334</v>
      </c>
      <c r="L70" s="149" t="s">
        <v>229</v>
      </c>
      <c r="M70" s="180">
        <f>IFERROR(VLOOKUP(PA[[#This Row],[Affceted Equipment]],'Basic Data'!$A$2:$B$125,2,0),"")</f>
        <v>1222</v>
      </c>
      <c r="N70" s="181">
        <f>IFERROR(VLOOKUP(PA[[#This Row],[Affceted Equipment]],'Basic Data'!$A$1:$C$128,3,0),"")</f>
        <v>5.0329489291598022E-2</v>
      </c>
      <c r="O70" s="166" t="s">
        <v>229</v>
      </c>
      <c r="P70" s="217" t="s">
        <v>728</v>
      </c>
      <c r="Q70" s="217" t="s">
        <v>729</v>
      </c>
      <c r="R70" s="149" t="s">
        <v>732</v>
      </c>
      <c r="S70" s="187">
        <v>0.25624999999999998</v>
      </c>
      <c r="T70" s="187">
        <v>0.25624999999999998</v>
      </c>
      <c r="U70" s="187">
        <v>0.25624999999999998</v>
      </c>
      <c r="V70" s="187">
        <v>0.77638888888888891</v>
      </c>
      <c r="W70" s="182">
        <f>IF(PA[[#This Row],[Acknowledgemnet Time ]]="NA","",(PA[[#This Row],[Acknowledgemnet Time ]]-PA[[#This Row],[Fault Time]])*24)</f>
        <v>0</v>
      </c>
      <c r="X70" s="182">
        <f>IF(PA[[#This Row],[Work Start time on Fault]]="NA","",(PA[[#This Row],[Work Start time on Fault]]-PA[[#This Row],[Fault Time]])*24)</f>
        <v>0</v>
      </c>
      <c r="Y70" s="153">
        <f>(PA[[#This Row],[Work Completiuon time on fualt]]-PA[[#This Row],[Fault Time]])*24</f>
        <v>12.483333333333334</v>
      </c>
      <c r="Z70" s="153">
        <f>IFERROR((PA[[#This Row],[Work Completiuon time on fualt]]-PA[[#This Row],[Fault Time]])*24,"")</f>
        <v>12.483333333333334</v>
      </c>
      <c r="AA70" s="312" t="s">
        <v>742</v>
      </c>
      <c r="AB70" s="149" t="s">
        <v>198</v>
      </c>
      <c r="AC70" s="152">
        <f>IFERROR(PA[[#This Row],[Breakdown Time]]*PA[[#This Row],[Plant Equivalent Weightage]],)</f>
        <v>0.62827979132344869</v>
      </c>
      <c r="AD70" s="153">
        <v>4.7160000000000002</v>
      </c>
      <c r="AE70" s="163">
        <f>IFERROR(_xlfn.XLOOKUP(PA[[#This Row],[Month Year]],'Modelling New'!$D:$D,'Modelling New'!$O:$O)*M70*PA[[#This Row],[Lost PoA(kWh/m2)]],"")</f>
        <v>4216.0861678511237</v>
      </c>
      <c r="AF70" s="150"/>
      <c r="AG70" s="150"/>
      <c r="AH70" s="150"/>
    </row>
    <row r="71" spans="1:34" ht="29" x14ac:dyDescent="0.35">
      <c r="A71" s="147">
        <f t="shared" si="1"/>
        <v>68</v>
      </c>
      <c r="B71" s="183">
        <v>45823</v>
      </c>
      <c r="C71" s="180">
        <f>YEAR(PA[[#This Row],[Date]])+IF(MONTH(PA[[#This Row],[Date]])&gt;=4,1,0)</f>
        <v>2026</v>
      </c>
      <c r="D71" s="155">
        <f>YEAR(PA[[#This Row],[Date]])</f>
        <v>2025</v>
      </c>
      <c r="E71" s="149" t="s">
        <v>4</v>
      </c>
      <c r="F71" s="149" t="s">
        <v>4</v>
      </c>
      <c r="G71" s="310">
        <f>PA[[#This Row],[Date]]-DAY(PA[[#This Row],[Date]])+1</f>
        <v>45809</v>
      </c>
      <c r="H71" s="155">
        <f>DAY(EOMONTH(PA[[#This Row],[Month Year]],0))</f>
        <v>30</v>
      </c>
      <c r="I71" s="151">
        <f>_xlfn.XLOOKUP(PA[[#This Row],[Date]],RD[Date],RD[Sunrise Time (POA&gt;20 W/m2)],0)</f>
        <v>0.25624999999999998</v>
      </c>
      <c r="J71" s="151">
        <f>_xlfn.XLOOKUP(PA[[#This Row],[Date]],RD[Date],RD[Sunset Time (POA&lt;20 W/m2)],0)</f>
        <v>0.77638888888888891</v>
      </c>
      <c r="K71" s="152">
        <f>IFERROR((PA[[#This Row],[Sunset Time (POA&lt;20 W/m2)]]-PA[[#This Row],[Sunrise Time (POA&gt;20 W/m2)]])*24,"")</f>
        <v>12.483333333333334</v>
      </c>
      <c r="L71" s="166" t="s">
        <v>469</v>
      </c>
      <c r="M71" s="180">
        <f>IFERROR(VLOOKUP(PA[[#This Row],[Affceted Equipment]],'Basic Data'!$A$2:$B$125,2,0),"")</f>
        <v>2300</v>
      </c>
      <c r="N71" s="181">
        <f>IFERROR(VLOOKUP(PA[[#This Row],[Affceted Equipment]],'Basic Data'!$A$1:$C$128,3,0),"")</f>
        <v>9.4728171334431635E-2</v>
      </c>
      <c r="O71" s="166" t="s">
        <v>469</v>
      </c>
      <c r="P71" s="217" t="s">
        <v>771</v>
      </c>
      <c r="Q71" s="217" t="s">
        <v>771</v>
      </c>
      <c r="R71" s="154" t="s">
        <v>772</v>
      </c>
      <c r="S71" s="187">
        <v>0.39791666666666664</v>
      </c>
      <c r="T71" s="187">
        <v>0.39791666666666664</v>
      </c>
      <c r="U71" s="187">
        <v>0.39791666666666664</v>
      </c>
      <c r="V71" s="187">
        <v>0.53472222222222221</v>
      </c>
      <c r="W71" s="182">
        <f>IF(PA[[#This Row],[Acknowledgemnet Time ]]="NA","",(PA[[#This Row],[Acknowledgemnet Time ]]-PA[[#This Row],[Fault Time]])*24)</f>
        <v>0</v>
      </c>
      <c r="X71" s="182">
        <f>IF(PA[[#This Row],[Work Start time on Fault]]="NA","",(PA[[#This Row],[Work Start time on Fault]]-PA[[#This Row],[Fault Time]])*24)</f>
        <v>0</v>
      </c>
      <c r="Y71" s="153">
        <f>(PA[[#This Row],[Work Completiuon time on fualt]]-PA[[#This Row],[Fault Time]])*24</f>
        <v>3.2833333333333337</v>
      </c>
      <c r="Z71" s="153">
        <f>IFERROR((PA[[#This Row],[Work Completiuon time on fualt]]-PA[[#This Row],[Fault Time]])*24,"")</f>
        <v>3.2833333333333337</v>
      </c>
      <c r="AA71" s="312" t="s">
        <v>762</v>
      </c>
      <c r="AB71" s="149" t="s">
        <v>173</v>
      </c>
      <c r="AC71" s="152">
        <f>IFERROR(PA[[#This Row],[Breakdown Time]]*PA[[#This Row],[Plant Equivalent Weightage]],)</f>
        <v>0.31102416254805054</v>
      </c>
      <c r="AD71" s="153">
        <v>2.2599999999999998</v>
      </c>
      <c r="AE71" s="163">
        <f>IFERROR(_xlfn.XLOOKUP(PA[[#This Row],[Month Year]],'Modelling New'!$D:$D,'Modelling New'!$O:$O)*M71*PA[[#This Row],[Lost PoA(kWh/m2)]],"")</f>
        <v>3802.7760599932362</v>
      </c>
      <c r="AF71" s="150"/>
      <c r="AG71" s="150"/>
      <c r="AH71" s="150"/>
    </row>
    <row r="72" spans="1:34" ht="29" x14ac:dyDescent="0.35">
      <c r="A72" s="147">
        <f t="shared" si="1"/>
        <v>69</v>
      </c>
      <c r="B72" s="183">
        <v>45823</v>
      </c>
      <c r="C72" s="180">
        <f>YEAR(PA[[#This Row],[Date]])+IF(MONTH(PA[[#This Row],[Date]])&gt;=4,1,0)</f>
        <v>2026</v>
      </c>
      <c r="D72" s="155">
        <f>YEAR(PA[[#This Row],[Date]])</f>
        <v>2025</v>
      </c>
      <c r="E72" s="149" t="s">
        <v>4</v>
      </c>
      <c r="F72" s="149" t="s">
        <v>4</v>
      </c>
      <c r="G72" s="310">
        <f>PA[[#This Row],[Date]]-DAY(PA[[#This Row],[Date]])+1</f>
        <v>45809</v>
      </c>
      <c r="H72" s="155">
        <f>DAY(EOMONTH(PA[[#This Row],[Month Year]],0))</f>
        <v>30</v>
      </c>
      <c r="I72" s="151">
        <f>_xlfn.XLOOKUP(PA[[#This Row],[Date]],RD[Date],RD[Sunrise Time (POA&gt;20 W/m2)],0)</f>
        <v>0.25624999999999998</v>
      </c>
      <c r="J72" s="151">
        <f>_xlfn.XLOOKUP(PA[[#This Row],[Date]],RD[Date],RD[Sunset Time (POA&lt;20 W/m2)],0)</f>
        <v>0.77638888888888891</v>
      </c>
      <c r="K72" s="152">
        <f>IFERROR((PA[[#This Row],[Sunset Time (POA&lt;20 W/m2)]]-PA[[#This Row],[Sunrise Time (POA&gt;20 W/m2)]])*24,"")</f>
        <v>12.483333333333334</v>
      </c>
      <c r="L72" s="166" t="s">
        <v>468</v>
      </c>
      <c r="M72" s="180">
        <f>IFERROR(VLOOKUP(PA[[#This Row],[Affceted Equipment]],'Basic Data'!$A$2:$B$125,2,0),"")</f>
        <v>2300</v>
      </c>
      <c r="N72" s="181">
        <f>IFERROR(VLOOKUP(PA[[#This Row],[Affceted Equipment]],'Basic Data'!$A$1:$C$128,3,0),"")</f>
        <v>9.4728171334431635E-2</v>
      </c>
      <c r="O72" s="166" t="s">
        <v>468</v>
      </c>
      <c r="P72" s="217" t="s">
        <v>771</v>
      </c>
      <c r="Q72" s="217" t="s">
        <v>771</v>
      </c>
      <c r="R72" s="154" t="s">
        <v>772</v>
      </c>
      <c r="S72" s="187">
        <v>0.39791666666666664</v>
      </c>
      <c r="T72" s="187">
        <v>0.39791666666666664</v>
      </c>
      <c r="U72" s="187">
        <v>0.39791666666666664</v>
      </c>
      <c r="V72" s="187">
        <v>0.70833333333333337</v>
      </c>
      <c r="W72" s="182">
        <f>IF(PA[[#This Row],[Acknowledgemnet Time ]]="NA","",(PA[[#This Row],[Acknowledgemnet Time ]]-PA[[#This Row],[Fault Time]])*24)</f>
        <v>0</v>
      </c>
      <c r="X72" s="182">
        <f>IF(PA[[#This Row],[Work Start time on Fault]]="NA","",(PA[[#This Row],[Work Start time on Fault]]-PA[[#This Row],[Fault Time]])*24)</f>
        <v>0</v>
      </c>
      <c r="Y72" s="153">
        <f>(PA[[#This Row],[Work Completiuon time on fualt]]-PA[[#This Row],[Fault Time]])*24</f>
        <v>7.4500000000000011</v>
      </c>
      <c r="Z72" s="153">
        <f>IFERROR((PA[[#This Row],[Work Completiuon time on fualt]]-PA[[#This Row],[Fault Time]])*24,"")</f>
        <v>7.4500000000000011</v>
      </c>
      <c r="AA72" s="312" t="s">
        <v>762</v>
      </c>
      <c r="AB72" s="149" t="s">
        <v>173</v>
      </c>
      <c r="AC72" s="152">
        <f>IFERROR(PA[[#This Row],[Breakdown Time]]*PA[[#This Row],[Plant Equivalent Weightage]],)</f>
        <v>0.70572487644151582</v>
      </c>
      <c r="AD72" s="153">
        <v>3.91</v>
      </c>
      <c r="AE72" s="163">
        <f>IFERROR(_xlfn.XLOOKUP(PA[[#This Row],[Month Year]],'Modelling New'!$D:$D,'Modelling New'!$O:$O)*M72*PA[[#This Row],[Lost PoA(kWh/m2)]],"")</f>
        <v>6579.1391126431663</v>
      </c>
      <c r="AF72" s="150"/>
      <c r="AG72" s="150"/>
      <c r="AH72" s="150"/>
    </row>
    <row r="73" spans="1:34" ht="29" x14ac:dyDescent="0.35">
      <c r="A73" s="147">
        <f t="shared" si="1"/>
        <v>70</v>
      </c>
      <c r="B73" s="183">
        <v>45824</v>
      </c>
      <c r="C73" s="180">
        <f>YEAR(PA[[#This Row],[Date]])+IF(MONTH(PA[[#This Row],[Date]])&gt;=4,1,0)</f>
        <v>2026</v>
      </c>
      <c r="D73" s="155">
        <f>YEAR(PA[[#This Row],[Date]])</f>
        <v>2025</v>
      </c>
      <c r="E73" s="149" t="s">
        <v>4</v>
      </c>
      <c r="F73" s="149" t="s">
        <v>4</v>
      </c>
      <c r="G73" s="310">
        <f>PA[[#This Row],[Date]]-DAY(PA[[#This Row],[Date]])+1</f>
        <v>45809</v>
      </c>
      <c r="H73" s="155">
        <f>DAY(EOMONTH(PA[[#This Row],[Month Year]],0))</f>
        <v>30</v>
      </c>
      <c r="I73" s="151">
        <f>_xlfn.XLOOKUP(PA[[#This Row],[Date]],RD[Date],RD[Sunrise Time (POA&gt;20 W/m2)],0)</f>
        <v>0.25624999999999998</v>
      </c>
      <c r="J73" s="151">
        <f>_xlfn.XLOOKUP(PA[[#This Row],[Date]],RD[Date],RD[Sunset Time (POA&lt;20 W/m2)],0)</f>
        <v>0.7680555555555556</v>
      </c>
      <c r="K73" s="152">
        <f>IFERROR((PA[[#This Row],[Sunset Time (POA&lt;20 W/m2)]]-PA[[#This Row],[Sunrise Time (POA&gt;20 W/m2)]])*24,"")</f>
        <v>12.283333333333335</v>
      </c>
      <c r="L73" s="149" t="s">
        <v>229</v>
      </c>
      <c r="M73" s="180">
        <f>IFERROR(VLOOKUP(PA[[#This Row],[Affceted Equipment]],'Basic Data'!$A$2:$B$125,2,0),"")</f>
        <v>1222</v>
      </c>
      <c r="N73" s="181">
        <f>IFERROR(VLOOKUP(PA[[#This Row],[Affceted Equipment]],'Basic Data'!$A$1:$C$128,3,0),"")</f>
        <v>5.0329489291598022E-2</v>
      </c>
      <c r="O73" s="166" t="s">
        <v>229</v>
      </c>
      <c r="P73" s="217" t="s">
        <v>728</v>
      </c>
      <c r="Q73" s="217" t="s">
        <v>729</v>
      </c>
      <c r="R73" s="149" t="s">
        <v>732</v>
      </c>
      <c r="S73" s="187">
        <v>0.25624999999999998</v>
      </c>
      <c r="T73" s="187">
        <v>0.25624999999999998</v>
      </c>
      <c r="U73" s="187">
        <v>0.25624999999999998</v>
      </c>
      <c r="V73" s="187">
        <v>0.7680555555555556</v>
      </c>
      <c r="W73" s="182">
        <f>IF(PA[[#This Row],[Acknowledgemnet Time ]]="NA","",(PA[[#This Row],[Acknowledgemnet Time ]]-PA[[#This Row],[Fault Time]])*24)</f>
        <v>0</v>
      </c>
      <c r="X73" s="182">
        <f>IF(PA[[#This Row],[Work Start time on Fault]]="NA","",(PA[[#This Row],[Work Start time on Fault]]-PA[[#This Row],[Fault Time]])*24)</f>
        <v>0</v>
      </c>
      <c r="Y73" s="153">
        <f>(PA[[#This Row],[Work Completiuon time on fualt]]-PA[[#This Row],[Fault Time]])*24</f>
        <v>12.283333333333335</v>
      </c>
      <c r="Z73" s="153">
        <f>IFERROR((PA[[#This Row],[Work Completiuon time on fualt]]-PA[[#This Row],[Fault Time]])*24,"")</f>
        <v>12.283333333333335</v>
      </c>
      <c r="AA73" s="312" t="s">
        <v>731</v>
      </c>
      <c r="AB73" s="149" t="s">
        <v>198</v>
      </c>
      <c r="AC73" s="152">
        <f>IFERROR(PA[[#This Row],[Breakdown Time]]*PA[[#This Row],[Plant Equivalent Weightage]],)</f>
        <v>0.61821389346512912</v>
      </c>
      <c r="AD73" s="153">
        <v>4.9960000000000004</v>
      </c>
      <c r="AE73" s="163">
        <f>IFERROR(_xlfn.XLOOKUP(PA[[#This Row],[Month Year]],'Modelling New'!$D:$D,'Modelling New'!$O:$O)*M73*PA[[#This Row],[Lost PoA(kWh/m2)]],"")</f>
        <v>4466.4051091145502</v>
      </c>
      <c r="AF73" s="150"/>
      <c r="AG73" s="150"/>
      <c r="AH73" s="150"/>
    </row>
    <row r="74" spans="1:34" x14ac:dyDescent="0.35">
      <c r="A74" s="147">
        <f t="shared" si="1"/>
        <v>71</v>
      </c>
      <c r="B74" s="183">
        <v>45824</v>
      </c>
      <c r="C74" s="180">
        <f>YEAR(PA[[#This Row],[Date]])+IF(MONTH(PA[[#This Row],[Date]])&gt;=4,1,0)</f>
        <v>2026</v>
      </c>
      <c r="D74" s="155">
        <f>YEAR(PA[[#This Row],[Date]])</f>
        <v>2025</v>
      </c>
      <c r="E74" s="149" t="s">
        <v>4</v>
      </c>
      <c r="F74" s="149" t="s">
        <v>4</v>
      </c>
      <c r="G74" s="310">
        <f>PA[[#This Row],[Date]]-DAY(PA[[#This Row],[Date]])+1</f>
        <v>45809</v>
      </c>
      <c r="H74" s="155">
        <f>DAY(EOMONTH(PA[[#This Row],[Month Year]],0))</f>
        <v>30</v>
      </c>
      <c r="I74" s="151">
        <f>_xlfn.XLOOKUP(PA[[#This Row],[Date]],RD[Date],RD[Sunrise Time (POA&gt;20 W/m2)],0)</f>
        <v>0.25624999999999998</v>
      </c>
      <c r="J74" s="151">
        <f>_xlfn.XLOOKUP(PA[[#This Row],[Date]],RD[Date],RD[Sunset Time (POA&lt;20 W/m2)],0)</f>
        <v>0.7680555555555556</v>
      </c>
      <c r="K74" s="152">
        <f>IFERROR((PA[[#This Row],[Sunset Time (POA&lt;20 W/m2)]]-PA[[#This Row],[Sunrise Time (POA&gt;20 W/m2)]])*24,"")</f>
        <v>12.283333333333335</v>
      </c>
      <c r="L74" s="149" t="s">
        <v>225</v>
      </c>
      <c r="M74" s="180">
        <f>IFERROR(VLOOKUP(PA[[#This Row],[Affceted Equipment]],'Basic Data'!$A$2:$B$125,2,0),"")</f>
        <v>1053</v>
      </c>
      <c r="N74" s="181">
        <f>IFERROR(VLOOKUP(PA[[#This Row],[Affceted Equipment]],'Basic Data'!$A$1:$C$128,3,0),"")</f>
        <v>4.3369028006589788E-2</v>
      </c>
      <c r="O74" s="154" t="s">
        <v>225</v>
      </c>
      <c r="P74" s="149" t="s">
        <v>755</v>
      </c>
      <c r="Q74" s="149" t="s">
        <v>733</v>
      </c>
      <c r="R74" s="149" t="s">
        <v>758</v>
      </c>
      <c r="S74" s="187">
        <v>0.41666666666666669</v>
      </c>
      <c r="T74" s="187">
        <v>0.42708333333333331</v>
      </c>
      <c r="U74" s="187">
        <v>0.42708333333333331</v>
      </c>
      <c r="V74" s="187">
        <v>0.49444444444444446</v>
      </c>
      <c r="W74" s="182">
        <f>IF(PA[[#This Row],[Acknowledgemnet Time ]]="NA","",(PA[[#This Row],[Acknowledgemnet Time ]]-PA[[#This Row],[Fault Time]])*24)</f>
        <v>0.24999999999999911</v>
      </c>
      <c r="X74" s="182">
        <f>IF(PA[[#This Row],[Work Start time on Fault]]="NA","",(PA[[#This Row],[Work Start time on Fault]]-PA[[#This Row],[Fault Time]])*24)</f>
        <v>0.24999999999999911</v>
      </c>
      <c r="Y74" s="153">
        <f>(PA[[#This Row],[Work Completiuon time on fualt]]-PA[[#This Row],[Fault Time]])*24</f>
        <v>1.8666666666666667</v>
      </c>
      <c r="Z74" s="153">
        <f>IFERROR((PA[[#This Row],[Work Completiuon time on fualt]]-PA[[#This Row],[Fault Time]])*24,"")</f>
        <v>1.8666666666666667</v>
      </c>
      <c r="AA74" s="312" t="s">
        <v>757</v>
      </c>
      <c r="AB74" s="149" t="s">
        <v>173</v>
      </c>
      <c r="AC74" s="152">
        <f>IFERROR(PA[[#This Row],[Breakdown Time]]*PA[[#This Row],[Plant Equivalent Weightage]],)</f>
        <v>8.0955518945634269E-2</v>
      </c>
      <c r="AD74" s="153">
        <v>1.59</v>
      </c>
      <c r="AE74" s="163">
        <f>IFERROR(_xlfn.XLOOKUP(PA[[#This Row],[Month Year]],'Modelling New'!$D:$D,'Modelling New'!$O:$O)*M74*PA[[#This Row],[Lost PoA(kWh/m2)]],"")</f>
        <v>1224.8699257339124</v>
      </c>
      <c r="AF74" s="150"/>
      <c r="AG74" s="150"/>
      <c r="AH74" s="150"/>
    </row>
    <row r="75" spans="1:34" ht="29" x14ac:dyDescent="0.35">
      <c r="A75" s="147">
        <f t="shared" si="1"/>
        <v>72</v>
      </c>
      <c r="B75" s="183">
        <v>45825</v>
      </c>
      <c r="C75" s="180">
        <f>YEAR(PA[[#This Row],[Date]])+IF(MONTH(PA[[#This Row],[Date]])&gt;=4,1,0)</f>
        <v>2026</v>
      </c>
      <c r="D75" s="155">
        <f>YEAR(PA[[#This Row],[Date]])</f>
        <v>2025</v>
      </c>
      <c r="E75" s="149" t="s">
        <v>4</v>
      </c>
      <c r="F75" s="149" t="s">
        <v>4</v>
      </c>
      <c r="G75" s="310">
        <f>PA[[#This Row],[Date]]-DAY(PA[[#This Row],[Date]])+1</f>
        <v>45809</v>
      </c>
      <c r="H75" s="155">
        <f>DAY(EOMONTH(PA[[#This Row],[Month Year]],0))</f>
        <v>30</v>
      </c>
      <c r="I75" s="151">
        <f>_xlfn.XLOOKUP(PA[[#This Row],[Date]],RD[Date],RD[Sunrise Time (POA&gt;20 W/m2)],0)</f>
        <v>0.25416666666666665</v>
      </c>
      <c r="J75" s="151">
        <f>_xlfn.XLOOKUP(PA[[#This Row],[Date]],RD[Date],RD[Sunset Time (POA&lt;20 W/m2)],0)</f>
        <v>0.78402777777777777</v>
      </c>
      <c r="K75" s="152">
        <f>IFERROR((PA[[#This Row],[Sunset Time (POA&lt;20 W/m2)]]-PA[[#This Row],[Sunrise Time (POA&gt;20 W/m2)]])*24,"")</f>
        <v>12.716666666666667</v>
      </c>
      <c r="L75" s="149" t="s">
        <v>229</v>
      </c>
      <c r="M75" s="180">
        <f>IFERROR(VLOOKUP(PA[[#This Row],[Affceted Equipment]],'Basic Data'!$A$2:$B$125,2,0),"")</f>
        <v>1222</v>
      </c>
      <c r="N75" s="181">
        <f>IFERROR(VLOOKUP(PA[[#This Row],[Affceted Equipment]],'Basic Data'!$A$1:$C$128,3,0),"")</f>
        <v>5.0329489291598022E-2</v>
      </c>
      <c r="O75" s="166" t="s">
        <v>229</v>
      </c>
      <c r="P75" s="217" t="s">
        <v>728</v>
      </c>
      <c r="Q75" s="217" t="s">
        <v>729</v>
      </c>
      <c r="R75" s="149" t="s">
        <v>732</v>
      </c>
      <c r="S75" s="187">
        <v>0.25416666666666665</v>
      </c>
      <c r="T75" s="187">
        <v>0.25416666666666665</v>
      </c>
      <c r="U75" s="187">
        <v>0.25416666666666665</v>
      </c>
      <c r="V75" s="187">
        <v>0.78402777777777777</v>
      </c>
      <c r="W75" s="182">
        <f>IF(PA[[#This Row],[Acknowledgemnet Time ]]="NA","",(PA[[#This Row],[Acknowledgemnet Time ]]-PA[[#This Row],[Fault Time]])*24)</f>
        <v>0</v>
      </c>
      <c r="X75" s="182">
        <f>IF(PA[[#This Row],[Work Start time on Fault]]="NA","",(PA[[#This Row],[Work Start time on Fault]]-PA[[#This Row],[Fault Time]])*24)</f>
        <v>0</v>
      </c>
      <c r="Y75" s="153">
        <f>(PA[[#This Row],[Work Completiuon time on fualt]]-PA[[#This Row],[Fault Time]])*24</f>
        <v>12.716666666666667</v>
      </c>
      <c r="Z75" s="153">
        <f>IFERROR((PA[[#This Row],[Work Completiuon time on fualt]]-PA[[#This Row],[Fault Time]])*24,"")</f>
        <v>12.716666666666667</v>
      </c>
      <c r="AA75" s="312" t="s">
        <v>731</v>
      </c>
      <c r="AB75" s="149" t="s">
        <v>198</v>
      </c>
      <c r="AC75" s="152">
        <f>IFERROR(PA[[#This Row],[Breakdown Time]]*PA[[#This Row],[Plant Equivalent Weightage]],)</f>
        <v>0.64002333882482154</v>
      </c>
      <c r="AD75" s="153">
        <v>6.0490000000000004</v>
      </c>
      <c r="AE75" s="163">
        <f>IFERROR(_xlfn.XLOOKUP(PA[[#This Row],[Month Year]],'Modelling New'!$D:$D,'Modelling New'!$O:$O)*M75*PA[[#This Row],[Lost PoA(kWh/m2)]],"")</f>
        <v>5407.7831275087892</v>
      </c>
      <c r="AF75" s="150"/>
      <c r="AG75" s="150"/>
      <c r="AH75" s="150"/>
    </row>
    <row r="76" spans="1:34" x14ac:dyDescent="0.35">
      <c r="A76" s="147">
        <f t="shared" si="1"/>
        <v>73</v>
      </c>
      <c r="B76" s="183">
        <v>45825</v>
      </c>
      <c r="C76" s="180">
        <f>YEAR(PA[[#This Row],[Date]])+IF(MONTH(PA[[#This Row],[Date]])&gt;=4,1,0)</f>
        <v>2026</v>
      </c>
      <c r="D76" s="155">
        <f>YEAR(PA[[#This Row],[Date]])</f>
        <v>2025</v>
      </c>
      <c r="E76" s="149" t="s">
        <v>4</v>
      </c>
      <c r="F76" s="149" t="s">
        <v>4</v>
      </c>
      <c r="G76" s="310">
        <f>PA[[#This Row],[Date]]-DAY(PA[[#This Row],[Date]])+1</f>
        <v>45809</v>
      </c>
      <c r="H76" s="155">
        <f>DAY(EOMONTH(PA[[#This Row],[Month Year]],0))</f>
        <v>30</v>
      </c>
      <c r="I76" s="151">
        <f>_xlfn.XLOOKUP(PA[[#This Row],[Date]],RD[Date],RD[Sunrise Time (POA&gt;20 W/m2)],0)</f>
        <v>0.25416666666666665</v>
      </c>
      <c r="J76" s="151">
        <f>_xlfn.XLOOKUP(PA[[#This Row],[Date]],RD[Date],RD[Sunset Time (POA&lt;20 W/m2)],0)</f>
        <v>0.78402777777777777</v>
      </c>
      <c r="K76" s="152">
        <f>IFERROR((PA[[#This Row],[Sunset Time (POA&lt;20 W/m2)]]-PA[[#This Row],[Sunrise Time (POA&gt;20 W/m2)]])*24,"")</f>
        <v>12.716666666666667</v>
      </c>
      <c r="L76" s="149" t="s">
        <v>225</v>
      </c>
      <c r="M76" s="180">
        <f>IFERROR(VLOOKUP(PA[[#This Row],[Affceted Equipment]],'Basic Data'!$A$2:$B$125,2,0),"")</f>
        <v>1053</v>
      </c>
      <c r="N76" s="181">
        <f>IFERROR(VLOOKUP(PA[[#This Row],[Affceted Equipment]],'Basic Data'!$A$1:$C$128,3,0),"")</f>
        <v>4.3369028006589788E-2</v>
      </c>
      <c r="O76" s="154" t="s">
        <v>225</v>
      </c>
      <c r="P76" s="149" t="s">
        <v>755</v>
      </c>
      <c r="Q76" s="149" t="s">
        <v>733</v>
      </c>
      <c r="R76" s="149" t="s">
        <v>758</v>
      </c>
      <c r="S76" s="187">
        <v>0.46666666666666667</v>
      </c>
      <c r="T76" s="187">
        <v>0.5</v>
      </c>
      <c r="U76" s="187">
        <v>0.5</v>
      </c>
      <c r="V76" s="187">
        <v>0.52777777777777779</v>
      </c>
      <c r="W76" s="182">
        <f>IF(PA[[#This Row],[Acknowledgemnet Time ]]="NA","",(PA[[#This Row],[Acknowledgemnet Time ]]-PA[[#This Row],[Fault Time]])*24)</f>
        <v>0.79999999999999982</v>
      </c>
      <c r="X76" s="182">
        <f>IF(PA[[#This Row],[Work Start time on Fault]]="NA","",(PA[[#This Row],[Work Start time on Fault]]-PA[[#This Row],[Fault Time]])*24)</f>
        <v>0.79999999999999982</v>
      </c>
      <c r="Y76" s="153">
        <f>(PA[[#This Row],[Work Completiuon time on fualt]]-PA[[#This Row],[Fault Time]])*24</f>
        <v>1.4666666666666668</v>
      </c>
      <c r="Z76" s="153">
        <f>IFERROR((PA[[#This Row],[Work Completiuon time on fualt]]-PA[[#This Row],[Fault Time]])*24,"")</f>
        <v>1.4666666666666668</v>
      </c>
      <c r="AA76" s="312" t="s">
        <v>757</v>
      </c>
      <c r="AB76" s="149" t="s">
        <v>173</v>
      </c>
      <c r="AC76" s="152">
        <f>IFERROR(PA[[#This Row],[Breakdown Time]]*PA[[#This Row],[Plant Equivalent Weightage]],)</f>
        <v>6.3607907742998362E-2</v>
      </c>
      <c r="AD76" s="153">
        <v>0.67</v>
      </c>
      <c r="AE76" s="163">
        <f>IFERROR(_xlfn.XLOOKUP(PA[[#This Row],[Month Year]],'Modelling New'!$D:$D,'Modelling New'!$O:$O)*M76*PA[[#This Row],[Lost PoA(kWh/m2)]],"")</f>
        <v>516.1401573847304</v>
      </c>
      <c r="AF76" s="150"/>
      <c r="AG76" s="150"/>
      <c r="AH76" s="150"/>
    </row>
    <row r="77" spans="1:34" ht="29" x14ac:dyDescent="0.35">
      <c r="A77" s="147">
        <f t="shared" si="1"/>
        <v>74</v>
      </c>
      <c r="B77" s="183">
        <v>45826</v>
      </c>
      <c r="C77" s="180">
        <f>YEAR(PA[[#This Row],[Date]])+IF(MONTH(PA[[#This Row],[Date]])&gt;=4,1,0)</f>
        <v>2026</v>
      </c>
      <c r="D77" s="155">
        <f>YEAR(PA[[#This Row],[Date]])</f>
        <v>2025</v>
      </c>
      <c r="E77" s="149" t="s">
        <v>4</v>
      </c>
      <c r="F77" s="149" t="s">
        <v>4</v>
      </c>
      <c r="G77" s="310">
        <f>PA[[#This Row],[Date]]-DAY(PA[[#This Row],[Date]])+1</f>
        <v>45809</v>
      </c>
      <c r="H77" s="155">
        <f>DAY(EOMONTH(PA[[#This Row],[Month Year]],0))</f>
        <v>30</v>
      </c>
      <c r="I77" s="151">
        <f>_xlfn.XLOOKUP(PA[[#This Row],[Date]],RD[Date],RD[Sunrise Time (POA&gt;20 W/m2)],0)</f>
        <v>0.25555555555555554</v>
      </c>
      <c r="J77" s="151">
        <f>_xlfn.XLOOKUP(PA[[#This Row],[Date]],RD[Date],RD[Sunset Time (POA&lt;20 W/m2)],0)</f>
        <v>0.78263888888888888</v>
      </c>
      <c r="K77" s="152">
        <f>IFERROR((PA[[#This Row],[Sunset Time (POA&lt;20 W/m2)]]-PA[[#This Row],[Sunrise Time (POA&gt;20 W/m2)]])*24,"")</f>
        <v>12.65</v>
      </c>
      <c r="L77" s="149" t="s">
        <v>229</v>
      </c>
      <c r="M77" s="180">
        <f>IFERROR(VLOOKUP(PA[[#This Row],[Affceted Equipment]],'Basic Data'!$A$2:$B$125,2,0),"")</f>
        <v>1222</v>
      </c>
      <c r="N77" s="181">
        <f>IFERROR(VLOOKUP(PA[[#This Row],[Affceted Equipment]],'Basic Data'!$A$1:$C$128,3,0),"")</f>
        <v>5.0329489291598022E-2</v>
      </c>
      <c r="O77" s="166" t="s">
        <v>229</v>
      </c>
      <c r="P77" s="217" t="s">
        <v>728</v>
      </c>
      <c r="Q77" s="217" t="s">
        <v>729</v>
      </c>
      <c r="R77" s="149" t="s">
        <v>732</v>
      </c>
      <c r="S77" s="187">
        <v>0.25555555555555554</v>
      </c>
      <c r="T77" s="187">
        <v>0.25555555555555554</v>
      </c>
      <c r="U77" s="187">
        <v>0.25555555555555554</v>
      </c>
      <c r="V77" s="187">
        <v>0.78263888888888888</v>
      </c>
      <c r="W77" s="182">
        <f>IF(PA[[#This Row],[Acknowledgemnet Time ]]="NA","",(PA[[#This Row],[Acknowledgemnet Time ]]-PA[[#This Row],[Fault Time]])*24)</f>
        <v>0</v>
      </c>
      <c r="X77" s="182">
        <f>IF(PA[[#This Row],[Work Start time on Fault]]="NA","",(PA[[#This Row],[Work Start time on Fault]]-PA[[#This Row],[Fault Time]])*24)</f>
        <v>0</v>
      </c>
      <c r="Y77" s="153">
        <f>(PA[[#This Row],[Work Completiuon time on fualt]]-PA[[#This Row],[Fault Time]])*24</f>
        <v>12.65</v>
      </c>
      <c r="Z77" s="153">
        <f>IFERROR((PA[[#This Row],[Work Completiuon time on fualt]]-PA[[#This Row],[Fault Time]])*24,"")</f>
        <v>12.65</v>
      </c>
      <c r="AA77" s="312" t="s">
        <v>731</v>
      </c>
      <c r="AB77" s="149" t="s">
        <v>198</v>
      </c>
      <c r="AC77" s="152">
        <f>IFERROR(PA[[#This Row],[Breakdown Time]]*PA[[#This Row],[Plant Equivalent Weightage]],)</f>
        <v>0.63666803953871498</v>
      </c>
      <c r="AD77" s="153">
        <v>4.3470000000000004</v>
      </c>
      <c r="AE77" s="163">
        <f>IFERROR(_xlfn.XLOOKUP(PA[[#This Row],[Month Year]],'Modelling New'!$D:$D,'Modelling New'!$O:$O)*M77*PA[[#This Row],[Lost PoA(kWh/m2)]],"")</f>
        <v>3886.2015631146814</v>
      </c>
      <c r="AF77" s="150"/>
      <c r="AG77" s="150"/>
      <c r="AH77" s="150"/>
    </row>
    <row r="78" spans="1:34" ht="29" x14ac:dyDescent="0.35">
      <c r="A78" s="147">
        <f t="shared" si="1"/>
        <v>75</v>
      </c>
      <c r="B78" s="183">
        <v>45827</v>
      </c>
      <c r="C78" s="180">
        <f>YEAR(PA[[#This Row],[Date]])+IF(MONTH(PA[[#This Row],[Date]])&gt;=4,1,0)</f>
        <v>2026</v>
      </c>
      <c r="D78" s="155">
        <f>YEAR(PA[[#This Row],[Date]])</f>
        <v>2025</v>
      </c>
      <c r="E78" s="149" t="s">
        <v>4</v>
      </c>
      <c r="F78" s="149" t="s">
        <v>4</v>
      </c>
      <c r="G78" s="310">
        <f>PA[[#This Row],[Date]]-DAY(PA[[#This Row],[Date]])+1</f>
        <v>45809</v>
      </c>
      <c r="H78" s="155">
        <f>DAY(EOMONTH(PA[[#This Row],[Month Year]],0))</f>
        <v>30</v>
      </c>
      <c r="I78" s="151">
        <f>_xlfn.XLOOKUP(PA[[#This Row],[Date]],RD[Date],RD[Sunrise Time (POA&gt;20 W/m2)],0)</f>
        <v>0.25347222222222221</v>
      </c>
      <c r="J78" s="151">
        <f>_xlfn.XLOOKUP(PA[[#This Row],[Date]],RD[Date],RD[Sunset Time (POA&lt;20 W/m2)],0)</f>
        <v>0.78472222222222221</v>
      </c>
      <c r="K78" s="152">
        <f>IFERROR((PA[[#This Row],[Sunset Time (POA&lt;20 W/m2)]]-PA[[#This Row],[Sunrise Time (POA&gt;20 W/m2)]])*24,"")</f>
        <v>12.75</v>
      </c>
      <c r="L78" s="149" t="s">
        <v>229</v>
      </c>
      <c r="M78" s="180">
        <f>IFERROR(VLOOKUP(PA[[#This Row],[Affceted Equipment]],'Basic Data'!$A$2:$B$125,2,0),"")</f>
        <v>1222</v>
      </c>
      <c r="N78" s="181">
        <f>IFERROR(VLOOKUP(PA[[#This Row],[Affceted Equipment]],'Basic Data'!$A$1:$C$128,3,0),"")</f>
        <v>5.0329489291598022E-2</v>
      </c>
      <c r="O78" s="166" t="s">
        <v>229</v>
      </c>
      <c r="P78" s="217" t="s">
        <v>728</v>
      </c>
      <c r="Q78" s="217" t="s">
        <v>729</v>
      </c>
      <c r="R78" s="149" t="s">
        <v>732</v>
      </c>
      <c r="S78" s="187">
        <v>0.25347222222222221</v>
      </c>
      <c r="T78" s="187">
        <v>0.25347222222222221</v>
      </c>
      <c r="U78" s="187">
        <v>0.25347222222222221</v>
      </c>
      <c r="V78" s="187">
        <v>0.51388888888888884</v>
      </c>
      <c r="W78" s="182">
        <f>IF(PA[[#This Row],[Acknowledgemnet Time ]]="NA","",(PA[[#This Row],[Acknowledgemnet Time ]]-PA[[#This Row],[Fault Time]])*24)</f>
        <v>0</v>
      </c>
      <c r="X78" s="182">
        <f>IF(PA[[#This Row],[Work Start time on Fault]]="NA","",(PA[[#This Row],[Work Start time on Fault]]-PA[[#This Row],[Fault Time]])*24)</f>
        <v>0</v>
      </c>
      <c r="Y78" s="153">
        <f>(PA[[#This Row],[Work Completiuon time on fualt]]-PA[[#This Row],[Fault Time]])*24</f>
        <v>6.2499999999999991</v>
      </c>
      <c r="Z78" s="153">
        <f>IFERROR((PA[[#This Row],[Work Completiuon time on fualt]]-PA[[#This Row],[Fault Time]])*24,"")</f>
        <v>6.2499999999999991</v>
      </c>
      <c r="AA78" s="312" t="s">
        <v>757</v>
      </c>
      <c r="AB78" s="149" t="s">
        <v>173</v>
      </c>
      <c r="AC78" s="152">
        <f>IFERROR(PA[[#This Row],[Breakdown Time]]*PA[[#This Row],[Plant Equivalent Weightage]],)</f>
        <v>0.31455930807248761</v>
      </c>
      <c r="AD78" s="153">
        <v>1.619</v>
      </c>
      <c r="AE78" s="163">
        <f>IFERROR(_xlfn.XLOOKUP(PA[[#This Row],[Month Year]],'Modelling New'!$D:$D,'Modelling New'!$O:$O)*M78*PA[[#This Row],[Lost PoA(kWh/m2)]],"")</f>
        <v>1447.3798782338781</v>
      </c>
      <c r="AF78" s="150"/>
      <c r="AG78" s="150"/>
      <c r="AH78" s="150"/>
    </row>
    <row r="79" spans="1:34" x14ac:dyDescent="0.35">
      <c r="A79" s="147">
        <f t="shared" si="1"/>
        <v>76</v>
      </c>
      <c r="B79" s="183">
        <v>45828</v>
      </c>
      <c r="C79" s="180">
        <f>YEAR(PA[[#This Row],[Date]])+IF(MONTH(PA[[#This Row],[Date]])&gt;=4,1,0)</f>
        <v>2026</v>
      </c>
      <c r="D79" s="155">
        <f>YEAR(PA[[#This Row],[Date]])</f>
        <v>2025</v>
      </c>
      <c r="E79" s="149" t="s">
        <v>4</v>
      </c>
      <c r="F79" s="149" t="s">
        <v>4</v>
      </c>
      <c r="G79" s="310">
        <f>PA[[#This Row],[Date]]-DAY(PA[[#This Row],[Date]])+1</f>
        <v>45809</v>
      </c>
      <c r="H79" s="155">
        <f>DAY(EOMONTH(PA[[#This Row],[Month Year]],0))</f>
        <v>30</v>
      </c>
      <c r="I79" s="151">
        <f>_xlfn.XLOOKUP(PA[[#This Row],[Date]],RD[Date],RD[Sunrise Time (POA&gt;20 W/m2)],0)</f>
        <v>0.25972222222222224</v>
      </c>
      <c r="J79" s="151">
        <f>_xlfn.XLOOKUP(PA[[#This Row],[Date]],RD[Date],RD[Sunset Time (POA&lt;20 W/m2)],0)</f>
        <v>0.78541666666666665</v>
      </c>
      <c r="K79" s="152">
        <f>IFERROR((PA[[#This Row],[Sunset Time (POA&lt;20 W/m2)]]-PA[[#This Row],[Sunrise Time (POA&gt;20 W/m2)]])*24,"")</f>
        <v>12.616666666666667</v>
      </c>
      <c r="L79" s="149" t="s">
        <v>214</v>
      </c>
      <c r="M79" s="180">
        <f>IFERROR(VLOOKUP(PA[[#This Row],[Affceted Equipment]],'Basic Data'!$A$2:$B$125,2,0),"")</f>
        <v>1228.5</v>
      </c>
      <c r="N79" s="181">
        <f>IFERROR(VLOOKUP(PA[[#This Row],[Affceted Equipment]],'Basic Data'!$A$1:$C$128,3,0),"")</f>
        <v>5.0597199341021415E-2</v>
      </c>
      <c r="O79" s="166" t="s">
        <v>214</v>
      </c>
      <c r="P79" s="217" t="s">
        <v>739</v>
      </c>
      <c r="Q79" s="217" t="s">
        <v>740</v>
      </c>
      <c r="R79" s="149" t="s">
        <v>741</v>
      </c>
      <c r="S79" s="187">
        <v>0.47916666666666669</v>
      </c>
      <c r="T79" s="187">
        <v>0.4861111111111111</v>
      </c>
      <c r="U79" s="187">
        <v>0.4861111111111111</v>
      </c>
      <c r="V79" s="187">
        <v>0.54166666666666663</v>
      </c>
      <c r="W79" s="182">
        <f>IF(PA[[#This Row],[Acknowledgemnet Time ]]="NA","",(PA[[#This Row],[Acknowledgemnet Time ]]-PA[[#This Row],[Fault Time]])*24)</f>
        <v>0.16666666666666607</v>
      </c>
      <c r="X79" s="182">
        <f>IF(PA[[#This Row],[Work Start time on Fault]]="NA","",(PA[[#This Row],[Work Start time on Fault]]-PA[[#This Row],[Fault Time]])*24)</f>
        <v>0.16666666666666607</v>
      </c>
      <c r="Y79" s="153">
        <f>(PA[[#This Row],[Work Completiuon time on fualt]]-PA[[#This Row],[Fault Time]])*24</f>
        <v>1.4999999999999987</v>
      </c>
      <c r="Z79" s="153">
        <f>IFERROR((PA[[#This Row],[Work Completiuon time on fualt]]-PA[[#This Row],[Fault Time]])*24,"")</f>
        <v>1.4999999999999987</v>
      </c>
      <c r="AA79" s="312" t="s">
        <v>742</v>
      </c>
      <c r="AB79" s="149" t="s">
        <v>173</v>
      </c>
      <c r="AC79" s="152">
        <f>IFERROR(PA[[#This Row],[Breakdown Time]]*PA[[#This Row],[Plant Equivalent Weightage]],)</f>
        <v>7.5895799011532053E-2</v>
      </c>
      <c r="AD79" s="153">
        <v>0.95399999999999996</v>
      </c>
      <c r="AE79" s="163">
        <f>IFERROR(_xlfn.XLOOKUP(PA[[#This Row],[Month Year]],'Modelling New'!$D:$D,'Modelling New'!$O:$O)*M79*PA[[#This Row],[Lost PoA(kWh/m2)]],"")</f>
        <v>857.4089480137385</v>
      </c>
      <c r="AF79" s="150"/>
      <c r="AG79" s="150"/>
      <c r="AH79" s="150"/>
    </row>
    <row r="80" spans="1:34" x14ac:dyDescent="0.35">
      <c r="A80" s="147">
        <f t="shared" si="1"/>
        <v>77</v>
      </c>
      <c r="B80" s="183">
        <v>45828</v>
      </c>
      <c r="C80" s="180">
        <f>YEAR(PA[[#This Row],[Date]])+IF(MONTH(PA[[#This Row],[Date]])&gt;=4,1,0)</f>
        <v>2026</v>
      </c>
      <c r="D80" s="155">
        <f>YEAR(PA[[#This Row],[Date]])</f>
        <v>2025</v>
      </c>
      <c r="E80" s="149" t="s">
        <v>4</v>
      </c>
      <c r="F80" s="149" t="s">
        <v>4</v>
      </c>
      <c r="G80" s="310">
        <f>PA[[#This Row],[Date]]-DAY(PA[[#This Row],[Date]])+1</f>
        <v>45809</v>
      </c>
      <c r="H80" s="155">
        <f>DAY(EOMONTH(PA[[#This Row],[Month Year]],0))</f>
        <v>30</v>
      </c>
      <c r="I80" s="151">
        <f>_xlfn.XLOOKUP(PA[[#This Row],[Date]],RD[Date],RD[Sunrise Time (POA&gt;20 W/m2)],0)</f>
        <v>0.25972222222222224</v>
      </c>
      <c r="J80" s="151">
        <f>_xlfn.XLOOKUP(PA[[#This Row],[Date]],RD[Date],RD[Sunset Time (POA&lt;20 W/m2)],0)</f>
        <v>0.78541666666666665</v>
      </c>
      <c r="K80" s="152">
        <f>IFERROR((PA[[#This Row],[Sunset Time (POA&lt;20 W/m2)]]-PA[[#This Row],[Sunrise Time (POA&gt;20 W/m2)]])*24,"")</f>
        <v>12.616666666666667</v>
      </c>
      <c r="L80" s="166" t="s">
        <v>473</v>
      </c>
      <c r="M80" s="180">
        <f>IFERROR(VLOOKUP(PA[[#This Row],[Affceted Equipment]],'Basic Data'!$A$2:$B$125,2,0),"")</f>
        <v>6.5</v>
      </c>
      <c r="N80" s="181">
        <f>IFERROR(VLOOKUP(PA[[#This Row],[Affceted Equipment]],'Basic Data'!$A$1:$C$128,3,0),"")</f>
        <v>2.6771004942339376E-4</v>
      </c>
      <c r="O80" s="166" t="s">
        <v>773</v>
      </c>
      <c r="P80" s="149" t="s">
        <v>774</v>
      </c>
      <c r="Q80" s="149" t="s">
        <v>774</v>
      </c>
      <c r="R80" s="149" t="s">
        <v>775</v>
      </c>
      <c r="S80" s="187">
        <v>0.41666666666666669</v>
      </c>
      <c r="T80" s="187">
        <v>0.43055555555555558</v>
      </c>
      <c r="U80" s="187">
        <v>0.43055555555555558</v>
      </c>
      <c r="V80" s="187">
        <v>0.58333333333333337</v>
      </c>
      <c r="W80" s="182">
        <f>IF(PA[[#This Row],[Acknowledgemnet Time ]]="NA","",(PA[[#This Row],[Acknowledgemnet Time ]]-PA[[#This Row],[Fault Time]])*24)</f>
        <v>0.33333333333333348</v>
      </c>
      <c r="X80" s="182">
        <f>IF(PA[[#This Row],[Work Start time on Fault]]="NA","",(PA[[#This Row],[Work Start time on Fault]]-PA[[#This Row],[Fault Time]])*24)</f>
        <v>0.33333333333333348</v>
      </c>
      <c r="Y80" s="153">
        <f>(PA[[#This Row],[Work Completiuon time on fualt]]-PA[[#This Row],[Fault Time]])*24</f>
        <v>4</v>
      </c>
      <c r="Z80" s="153">
        <f>IFERROR((PA[[#This Row],[Work Completiuon time on fualt]]-PA[[#This Row],[Fault Time]])*24,"")</f>
        <v>4</v>
      </c>
      <c r="AA80" s="307" t="s">
        <v>776</v>
      </c>
      <c r="AB80" s="149" t="s">
        <v>173</v>
      </c>
      <c r="AC80" s="152">
        <f>IFERROR(PA[[#This Row],[Breakdown Time]]*PA[[#This Row],[Plant Equivalent Weightage]],)</f>
        <v>1.070840197693575E-3</v>
      </c>
      <c r="AD80" s="153">
        <v>5.23</v>
      </c>
      <c r="AE80" s="163">
        <f>IFERROR(_xlfn.XLOOKUP(PA[[#This Row],[Month Year]],'Modelling New'!$D:$D,'Modelling New'!$O:$O)*M80*PA[[#This Row],[Lost PoA(kWh/m2)]],"")</f>
        <v>24.870213959113137</v>
      </c>
      <c r="AF80" s="150"/>
      <c r="AG80" s="150"/>
      <c r="AH80" s="150"/>
    </row>
    <row r="81" spans="1:34" x14ac:dyDescent="0.35">
      <c r="A81" s="147">
        <f t="shared" si="1"/>
        <v>78</v>
      </c>
      <c r="B81" s="183">
        <v>45828</v>
      </c>
      <c r="C81" s="180">
        <f>YEAR(PA[[#This Row],[Date]])+IF(MONTH(PA[[#This Row],[Date]])&gt;=4,1,0)</f>
        <v>2026</v>
      </c>
      <c r="D81" s="155">
        <f>YEAR(PA[[#This Row],[Date]])</f>
        <v>2025</v>
      </c>
      <c r="E81" s="149" t="s">
        <v>4</v>
      </c>
      <c r="F81" s="149" t="s">
        <v>4</v>
      </c>
      <c r="G81" s="310">
        <f>PA[[#This Row],[Date]]-DAY(PA[[#This Row],[Date]])+1</f>
        <v>45809</v>
      </c>
      <c r="H81" s="155">
        <f>DAY(EOMONTH(PA[[#This Row],[Month Year]],0))</f>
        <v>30</v>
      </c>
      <c r="I81" s="151">
        <f>_xlfn.XLOOKUP(PA[[#This Row],[Date]],RD[Date],RD[Sunrise Time (POA&gt;20 W/m2)],0)</f>
        <v>0.25972222222222224</v>
      </c>
      <c r="J81" s="151">
        <f>_xlfn.XLOOKUP(PA[[#This Row],[Date]],RD[Date],RD[Sunset Time (POA&lt;20 W/m2)],0)</f>
        <v>0.78541666666666665</v>
      </c>
      <c r="K81" s="152">
        <f>IFERROR((PA[[#This Row],[Sunset Time (POA&lt;20 W/m2)]]-PA[[#This Row],[Sunrise Time (POA&gt;20 W/m2)]])*24,"")</f>
        <v>12.616666666666667</v>
      </c>
      <c r="L81" s="166" t="s">
        <v>473</v>
      </c>
      <c r="M81" s="180">
        <f>IFERROR(VLOOKUP(PA[[#This Row],[Affceted Equipment]],'Basic Data'!$A$2:$B$125,2,0),"")</f>
        <v>6.5</v>
      </c>
      <c r="N81" s="181">
        <f>IFERROR(VLOOKUP(PA[[#This Row],[Affceted Equipment]],'Basic Data'!$A$1:$C$128,3,0),"")</f>
        <v>2.6771004942339376E-4</v>
      </c>
      <c r="O81" s="166" t="s">
        <v>773</v>
      </c>
      <c r="P81" s="149" t="s">
        <v>774</v>
      </c>
      <c r="Q81" s="149" t="s">
        <v>774</v>
      </c>
      <c r="R81" s="149" t="s">
        <v>777</v>
      </c>
      <c r="S81" s="187">
        <v>0.41666666666666669</v>
      </c>
      <c r="T81" s="187">
        <v>0.43055555555555558</v>
      </c>
      <c r="U81" s="187">
        <v>0.43055555555555558</v>
      </c>
      <c r="V81" s="187">
        <v>0.58333333333333337</v>
      </c>
      <c r="W81" s="182">
        <f>IF(PA[[#This Row],[Acknowledgemnet Time ]]="NA","",(PA[[#This Row],[Acknowledgemnet Time ]]-PA[[#This Row],[Fault Time]])*24)</f>
        <v>0.33333333333333348</v>
      </c>
      <c r="X81" s="182">
        <f>IF(PA[[#This Row],[Work Start time on Fault]]="NA","",(PA[[#This Row],[Work Start time on Fault]]-PA[[#This Row],[Fault Time]])*24)</f>
        <v>0.33333333333333348</v>
      </c>
      <c r="Y81" s="153">
        <f>(PA[[#This Row],[Work Completiuon time on fualt]]-PA[[#This Row],[Fault Time]])*24</f>
        <v>4</v>
      </c>
      <c r="Z81" s="153">
        <f>IFERROR((PA[[#This Row],[Work Completiuon time on fualt]]-PA[[#This Row],[Fault Time]])*24,"")</f>
        <v>4</v>
      </c>
      <c r="AA81" s="307" t="s">
        <v>776</v>
      </c>
      <c r="AB81" s="149" t="s">
        <v>173</v>
      </c>
      <c r="AC81" s="152">
        <f>IFERROR(PA[[#This Row],[Breakdown Time]]*PA[[#This Row],[Plant Equivalent Weightage]],)</f>
        <v>1.070840197693575E-3</v>
      </c>
      <c r="AD81" s="153">
        <v>5.23</v>
      </c>
      <c r="AE81" s="163">
        <f>IFERROR(_xlfn.XLOOKUP(PA[[#This Row],[Month Year]],'Modelling New'!$D:$D,'Modelling New'!$O:$O)*M81*PA[[#This Row],[Lost PoA(kWh/m2)]],"")</f>
        <v>24.870213959113137</v>
      </c>
      <c r="AF81" s="150"/>
      <c r="AG81" s="150"/>
      <c r="AH81" s="150"/>
    </row>
    <row r="82" spans="1:34" x14ac:dyDescent="0.35">
      <c r="A82" s="147">
        <f t="shared" si="1"/>
        <v>79</v>
      </c>
      <c r="B82" s="183">
        <v>45828</v>
      </c>
      <c r="C82" s="180">
        <f>YEAR(PA[[#This Row],[Date]])+IF(MONTH(PA[[#This Row],[Date]])&gt;=4,1,0)</f>
        <v>2026</v>
      </c>
      <c r="D82" s="155">
        <f>YEAR(PA[[#This Row],[Date]])</f>
        <v>2025</v>
      </c>
      <c r="E82" s="149" t="s">
        <v>4</v>
      </c>
      <c r="F82" s="149" t="s">
        <v>4</v>
      </c>
      <c r="G82" s="310">
        <f>PA[[#This Row],[Date]]-DAY(PA[[#This Row],[Date]])+1</f>
        <v>45809</v>
      </c>
      <c r="H82" s="155">
        <f>DAY(EOMONTH(PA[[#This Row],[Month Year]],0))</f>
        <v>30</v>
      </c>
      <c r="I82" s="151">
        <f>_xlfn.XLOOKUP(PA[[#This Row],[Date]],RD[Date],RD[Sunrise Time (POA&gt;20 W/m2)],0)</f>
        <v>0.25972222222222224</v>
      </c>
      <c r="J82" s="151">
        <f>_xlfn.XLOOKUP(PA[[#This Row],[Date]],RD[Date],RD[Sunset Time (POA&lt;20 W/m2)],0)</f>
        <v>0.78541666666666665</v>
      </c>
      <c r="K82" s="152">
        <f>IFERROR((PA[[#This Row],[Sunset Time (POA&lt;20 W/m2)]]-PA[[#This Row],[Sunrise Time (POA&gt;20 W/m2)]])*24,"")</f>
        <v>12.616666666666667</v>
      </c>
      <c r="L82" s="166" t="s">
        <v>473</v>
      </c>
      <c r="M82" s="180">
        <f>IFERROR(VLOOKUP(PA[[#This Row],[Affceted Equipment]],'Basic Data'!$A$2:$B$125,2,0),"")</f>
        <v>6.5</v>
      </c>
      <c r="N82" s="181">
        <f>IFERROR(VLOOKUP(PA[[#This Row],[Affceted Equipment]],'Basic Data'!$A$1:$C$128,3,0),"")</f>
        <v>2.6771004942339376E-4</v>
      </c>
      <c r="O82" s="166" t="s">
        <v>773</v>
      </c>
      <c r="P82" s="149" t="s">
        <v>774</v>
      </c>
      <c r="Q82" s="149" t="s">
        <v>774</v>
      </c>
      <c r="R82" s="149" t="s">
        <v>778</v>
      </c>
      <c r="S82" s="187">
        <v>0.41666666666666669</v>
      </c>
      <c r="T82" s="187">
        <v>0.43055555555555558</v>
      </c>
      <c r="U82" s="187">
        <v>0.43055555555555558</v>
      </c>
      <c r="V82" s="187">
        <v>0.58333333333333337</v>
      </c>
      <c r="W82" s="182">
        <f>IF(PA[[#This Row],[Acknowledgemnet Time ]]="NA","",(PA[[#This Row],[Acknowledgemnet Time ]]-PA[[#This Row],[Fault Time]])*24)</f>
        <v>0.33333333333333348</v>
      </c>
      <c r="X82" s="182">
        <f>IF(PA[[#This Row],[Work Start time on Fault]]="NA","",(PA[[#This Row],[Work Start time on Fault]]-PA[[#This Row],[Fault Time]])*24)</f>
        <v>0.33333333333333348</v>
      </c>
      <c r="Y82" s="153">
        <f>(PA[[#This Row],[Work Completiuon time on fualt]]-PA[[#This Row],[Fault Time]])*24</f>
        <v>4</v>
      </c>
      <c r="Z82" s="153">
        <f>IFERROR((PA[[#This Row],[Work Completiuon time on fualt]]-PA[[#This Row],[Fault Time]])*24,"")</f>
        <v>4</v>
      </c>
      <c r="AA82" s="307" t="s">
        <v>776</v>
      </c>
      <c r="AB82" s="149" t="s">
        <v>173</v>
      </c>
      <c r="AC82" s="152">
        <f>IFERROR(PA[[#This Row],[Breakdown Time]]*PA[[#This Row],[Plant Equivalent Weightage]],)</f>
        <v>1.070840197693575E-3</v>
      </c>
      <c r="AD82" s="153">
        <v>5.23</v>
      </c>
      <c r="AE82" s="163">
        <f>IFERROR(_xlfn.XLOOKUP(PA[[#This Row],[Month Year]],'Modelling New'!$D:$D,'Modelling New'!$O:$O)*M82*PA[[#This Row],[Lost PoA(kWh/m2)]],"")</f>
        <v>24.870213959113137</v>
      </c>
      <c r="AF82" s="150"/>
      <c r="AG82" s="150"/>
      <c r="AH82" s="150"/>
    </row>
    <row r="83" spans="1:34" x14ac:dyDescent="0.35">
      <c r="A83" s="147">
        <f t="shared" si="1"/>
        <v>80</v>
      </c>
      <c r="B83" s="183">
        <v>45828</v>
      </c>
      <c r="C83" s="180">
        <f>YEAR(PA[[#This Row],[Date]])+IF(MONTH(PA[[#This Row],[Date]])&gt;=4,1,0)</f>
        <v>2026</v>
      </c>
      <c r="D83" s="155">
        <f>YEAR(PA[[#This Row],[Date]])</f>
        <v>2025</v>
      </c>
      <c r="E83" s="149" t="s">
        <v>4</v>
      </c>
      <c r="F83" s="149" t="s">
        <v>4</v>
      </c>
      <c r="G83" s="310">
        <f>PA[[#This Row],[Date]]-DAY(PA[[#This Row],[Date]])+1</f>
        <v>45809</v>
      </c>
      <c r="H83" s="155">
        <f>DAY(EOMONTH(PA[[#This Row],[Month Year]],0))</f>
        <v>30</v>
      </c>
      <c r="I83" s="151">
        <f>_xlfn.XLOOKUP(PA[[#This Row],[Date]],RD[Date],RD[Sunrise Time (POA&gt;20 W/m2)],0)</f>
        <v>0.25972222222222224</v>
      </c>
      <c r="J83" s="151">
        <f>_xlfn.XLOOKUP(PA[[#This Row],[Date]],RD[Date],RD[Sunset Time (POA&lt;20 W/m2)],0)</f>
        <v>0.78541666666666665</v>
      </c>
      <c r="K83" s="152">
        <f>IFERROR((PA[[#This Row],[Sunset Time (POA&lt;20 W/m2)]]-PA[[#This Row],[Sunrise Time (POA&gt;20 W/m2)]])*24,"")</f>
        <v>12.616666666666667</v>
      </c>
      <c r="L83" s="166" t="s">
        <v>473</v>
      </c>
      <c r="M83" s="180">
        <f>IFERROR(VLOOKUP(PA[[#This Row],[Affceted Equipment]],'Basic Data'!$A$2:$B$125,2,0),"")</f>
        <v>6.5</v>
      </c>
      <c r="N83" s="181">
        <f>IFERROR(VLOOKUP(PA[[#This Row],[Affceted Equipment]],'Basic Data'!$A$1:$C$128,3,0),"")</f>
        <v>2.6771004942339376E-4</v>
      </c>
      <c r="O83" s="166" t="s">
        <v>773</v>
      </c>
      <c r="P83" s="149" t="s">
        <v>774</v>
      </c>
      <c r="Q83" s="149" t="s">
        <v>774</v>
      </c>
      <c r="R83" s="149" t="s">
        <v>779</v>
      </c>
      <c r="S83" s="187">
        <v>0.41666666666666669</v>
      </c>
      <c r="T83" s="187">
        <v>0.43055555555555558</v>
      </c>
      <c r="U83" s="187">
        <v>0.43055555555555558</v>
      </c>
      <c r="V83" s="187">
        <v>0.58333333333333337</v>
      </c>
      <c r="W83" s="182">
        <f>IF(PA[[#This Row],[Acknowledgemnet Time ]]="NA","",(PA[[#This Row],[Acknowledgemnet Time ]]-PA[[#This Row],[Fault Time]])*24)</f>
        <v>0.33333333333333348</v>
      </c>
      <c r="X83" s="182">
        <f>IF(PA[[#This Row],[Work Start time on Fault]]="NA","",(PA[[#This Row],[Work Start time on Fault]]-PA[[#This Row],[Fault Time]])*24)</f>
        <v>0.33333333333333348</v>
      </c>
      <c r="Y83" s="153">
        <f>(PA[[#This Row],[Work Completiuon time on fualt]]-PA[[#This Row],[Fault Time]])*24</f>
        <v>4</v>
      </c>
      <c r="Z83" s="153">
        <f>IFERROR((PA[[#This Row],[Work Completiuon time on fualt]]-PA[[#This Row],[Fault Time]])*24,"")</f>
        <v>4</v>
      </c>
      <c r="AA83" s="307" t="s">
        <v>776</v>
      </c>
      <c r="AB83" s="149" t="s">
        <v>173</v>
      </c>
      <c r="AC83" s="152">
        <f>IFERROR(PA[[#This Row],[Breakdown Time]]*PA[[#This Row],[Plant Equivalent Weightage]],)</f>
        <v>1.070840197693575E-3</v>
      </c>
      <c r="AD83" s="153">
        <v>5.23</v>
      </c>
      <c r="AE83" s="163">
        <f>IFERROR(_xlfn.XLOOKUP(PA[[#This Row],[Month Year]],'Modelling New'!$D:$D,'Modelling New'!$O:$O)*M83*PA[[#This Row],[Lost PoA(kWh/m2)]],"")</f>
        <v>24.870213959113137</v>
      </c>
      <c r="AF83" s="150"/>
      <c r="AG83" s="150"/>
      <c r="AH83" s="150"/>
    </row>
    <row r="84" spans="1:34" x14ac:dyDescent="0.35">
      <c r="A84" s="147">
        <f t="shared" si="1"/>
        <v>81</v>
      </c>
      <c r="B84" s="183">
        <v>45828</v>
      </c>
      <c r="C84" s="180">
        <f>YEAR(PA[[#This Row],[Date]])+IF(MONTH(PA[[#This Row],[Date]])&gt;=4,1,0)</f>
        <v>2026</v>
      </c>
      <c r="D84" s="155">
        <f>YEAR(PA[[#This Row],[Date]])</f>
        <v>2025</v>
      </c>
      <c r="E84" s="149" t="s">
        <v>4</v>
      </c>
      <c r="F84" s="149" t="s">
        <v>4</v>
      </c>
      <c r="G84" s="310">
        <f>PA[[#This Row],[Date]]-DAY(PA[[#This Row],[Date]])+1</f>
        <v>45809</v>
      </c>
      <c r="H84" s="155">
        <f>DAY(EOMONTH(PA[[#This Row],[Month Year]],0))</f>
        <v>30</v>
      </c>
      <c r="I84" s="151">
        <f>_xlfn.XLOOKUP(PA[[#This Row],[Date]],RD[Date],RD[Sunrise Time (POA&gt;20 W/m2)],0)</f>
        <v>0.25972222222222224</v>
      </c>
      <c r="J84" s="151">
        <f>_xlfn.XLOOKUP(PA[[#This Row],[Date]],RD[Date],RD[Sunset Time (POA&lt;20 W/m2)],0)</f>
        <v>0.78541666666666665</v>
      </c>
      <c r="K84" s="152">
        <f>IFERROR((PA[[#This Row],[Sunset Time (POA&lt;20 W/m2)]]-PA[[#This Row],[Sunrise Time (POA&gt;20 W/m2)]])*24,"")</f>
        <v>12.616666666666667</v>
      </c>
      <c r="L84" s="166" t="s">
        <v>473</v>
      </c>
      <c r="M84" s="180">
        <f>IFERROR(VLOOKUP(PA[[#This Row],[Affceted Equipment]],'Basic Data'!$A$2:$B$125,2,0),"")</f>
        <v>6.5</v>
      </c>
      <c r="N84" s="181">
        <f>IFERROR(VLOOKUP(PA[[#This Row],[Affceted Equipment]],'Basic Data'!$A$1:$C$128,3,0),"")</f>
        <v>2.6771004942339376E-4</v>
      </c>
      <c r="O84" s="166" t="s">
        <v>773</v>
      </c>
      <c r="P84" s="149" t="s">
        <v>774</v>
      </c>
      <c r="Q84" s="149" t="s">
        <v>774</v>
      </c>
      <c r="R84" s="149" t="s">
        <v>780</v>
      </c>
      <c r="S84" s="187">
        <v>0.41666666666666669</v>
      </c>
      <c r="T84" s="187">
        <v>0.43055555555555558</v>
      </c>
      <c r="U84" s="187">
        <v>0.43055555555555558</v>
      </c>
      <c r="V84" s="187">
        <v>0.58333333333333337</v>
      </c>
      <c r="W84" s="182">
        <f>IF(PA[[#This Row],[Acknowledgemnet Time ]]="NA","",(PA[[#This Row],[Acknowledgemnet Time ]]-PA[[#This Row],[Fault Time]])*24)</f>
        <v>0.33333333333333348</v>
      </c>
      <c r="X84" s="182">
        <f>IF(PA[[#This Row],[Work Start time on Fault]]="NA","",(PA[[#This Row],[Work Start time on Fault]]-PA[[#This Row],[Fault Time]])*24)</f>
        <v>0.33333333333333348</v>
      </c>
      <c r="Y84" s="153">
        <f>(PA[[#This Row],[Work Completiuon time on fualt]]-PA[[#This Row],[Fault Time]])*24</f>
        <v>4</v>
      </c>
      <c r="Z84" s="153">
        <f>IFERROR((PA[[#This Row],[Work Completiuon time on fualt]]-PA[[#This Row],[Fault Time]])*24,"")</f>
        <v>4</v>
      </c>
      <c r="AA84" s="307" t="s">
        <v>776</v>
      </c>
      <c r="AB84" s="149" t="s">
        <v>173</v>
      </c>
      <c r="AC84" s="152">
        <f>IFERROR(PA[[#This Row],[Breakdown Time]]*PA[[#This Row],[Plant Equivalent Weightage]],)</f>
        <v>1.070840197693575E-3</v>
      </c>
      <c r="AD84" s="153">
        <v>5.23</v>
      </c>
      <c r="AE84" s="163">
        <f>IFERROR(_xlfn.XLOOKUP(PA[[#This Row],[Month Year]],'Modelling New'!$D:$D,'Modelling New'!$O:$O)*M84*PA[[#This Row],[Lost PoA(kWh/m2)]],"")</f>
        <v>24.870213959113137</v>
      </c>
      <c r="AF84" s="150"/>
      <c r="AG84" s="150"/>
      <c r="AH84" s="150"/>
    </row>
    <row r="85" spans="1:34" x14ac:dyDescent="0.35">
      <c r="A85" s="147">
        <f t="shared" si="1"/>
        <v>82</v>
      </c>
      <c r="B85" s="183">
        <v>45830</v>
      </c>
      <c r="C85" s="180">
        <f>YEAR(PA[[#This Row],[Date]])+IF(MONTH(PA[[#This Row],[Date]])&gt;=4,1,0)</f>
        <v>2026</v>
      </c>
      <c r="D85" s="155">
        <f>YEAR(PA[[#This Row],[Date]])</f>
        <v>2025</v>
      </c>
      <c r="E85" s="149" t="s">
        <v>4</v>
      </c>
      <c r="F85" s="149" t="s">
        <v>4</v>
      </c>
      <c r="G85" s="310">
        <f>PA[[#This Row],[Date]]-DAY(PA[[#This Row],[Date]])+1</f>
        <v>45809</v>
      </c>
      <c r="H85" s="155">
        <f>DAY(EOMONTH(PA[[#This Row],[Month Year]],0))</f>
        <v>30</v>
      </c>
      <c r="I85" s="151">
        <f>_xlfn.XLOOKUP(PA[[#This Row],[Date]],RD[Date],RD[Sunrise Time (POA&gt;20 W/m2)],0)</f>
        <v>0.2590277777777778</v>
      </c>
      <c r="J85" s="151">
        <f>_xlfn.XLOOKUP(PA[[#This Row],[Date]],RD[Date],RD[Sunset Time (POA&lt;20 W/m2)],0)</f>
        <v>0.77708333333333335</v>
      </c>
      <c r="K85" s="152">
        <f>IFERROR((PA[[#This Row],[Sunset Time (POA&lt;20 W/m2)]]-PA[[#This Row],[Sunrise Time (POA&gt;20 W/m2)]])*24,"")</f>
        <v>12.433333333333332</v>
      </c>
      <c r="L85" s="149" t="s">
        <v>214</v>
      </c>
      <c r="M85" s="180">
        <f>IFERROR(VLOOKUP(PA[[#This Row],[Affceted Equipment]],'Basic Data'!$A$2:$B$125,2,0),"")</f>
        <v>1228.5</v>
      </c>
      <c r="N85" s="181">
        <f>IFERROR(VLOOKUP(PA[[#This Row],[Affceted Equipment]],'Basic Data'!$A$1:$C$128,3,0),"")</f>
        <v>5.0597199341021415E-2</v>
      </c>
      <c r="O85" s="166" t="s">
        <v>214</v>
      </c>
      <c r="P85" s="217" t="s">
        <v>739</v>
      </c>
      <c r="Q85" s="217" t="s">
        <v>740</v>
      </c>
      <c r="R85" s="149" t="s">
        <v>741</v>
      </c>
      <c r="S85" s="187">
        <v>0.4375</v>
      </c>
      <c r="T85" s="187">
        <v>0.4513888888888889</v>
      </c>
      <c r="U85" s="187">
        <v>0.4513888888888889</v>
      </c>
      <c r="V85" s="187">
        <v>0.4861111111111111</v>
      </c>
      <c r="W85" s="182">
        <f>IF(PA[[#This Row],[Acknowledgemnet Time ]]="NA","",(PA[[#This Row],[Acknowledgemnet Time ]]-PA[[#This Row],[Fault Time]])*24)</f>
        <v>0.33333333333333348</v>
      </c>
      <c r="X85" s="182">
        <f>IF(PA[[#This Row],[Work Start time on Fault]]="NA","",(PA[[#This Row],[Work Start time on Fault]]-PA[[#This Row],[Fault Time]])*24)</f>
        <v>0.33333333333333348</v>
      </c>
      <c r="Y85" s="153">
        <f>(PA[[#This Row],[Work Completiuon time on fualt]]-PA[[#This Row],[Fault Time]])*24</f>
        <v>1.1666666666666665</v>
      </c>
      <c r="Z85" s="153">
        <f>IFERROR((PA[[#This Row],[Work Completiuon time on fualt]]-PA[[#This Row],[Fault Time]])*24,"")</f>
        <v>1.1666666666666665</v>
      </c>
      <c r="AA85" s="312" t="s">
        <v>742</v>
      </c>
      <c r="AB85" s="149" t="s">
        <v>173</v>
      </c>
      <c r="AC85" s="152">
        <f>IFERROR(PA[[#This Row],[Breakdown Time]]*PA[[#This Row],[Plant Equivalent Weightage]],)</f>
        <v>5.9030065897858308E-2</v>
      </c>
      <c r="AD85" s="153">
        <v>0.56699999999999995</v>
      </c>
      <c r="AE85" s="163">
        <f>IFERROR(_xlfn.XLOOKUP(PA[[#This Row],[Month Year]],'Modelling New'!$D:$D,'Modelling New'!$O:$O)*M85*PA[[#This Row],[Lost PoA(kWh/m2)]],"")</f>
        <v>509.59211061193889</v>
      </c>
      <c r="AF85" s="150"/>
      <c r="AG85" s="150"/>
      <c r="AH85" s="150"/>
    </row>
    <row r="86" spans="1:34" x14ac:dyDescent="0.35">
      <c r="A86" s="147">
        <f t="shared" ref="A86:A150" si="2">A85+1</f>
        <v>83</v>
      </c>
      <c r="B86" s="183">
        <v>45830</v>
      </c>
      <c r="C86" s="180">
        <f>YEAR(PA[[#This Row],[Date]])+IF(MONTH(PA[[#This Row],[Date]])&gt;=4,1,0)</f>
        <v>2026</v>
      </c>
      <c r="D86" s="155">
        <f>YEAR(PA[[#This Row],[Date]])</f>
        <v>2025</v>
      </c>
      <c r="E86" s="149" t="s">
        <v>4</v>
      </c>
      <c r="F86" s="149" t="s">
        <v>4</v>
      </c>
      <c r="G86" s="310">
        <f>PA[[#This Row],[Date]]-DAY(PA[[#This Row],[Date]])+1</f>
        <v>45809</v>
      </c>
      <c r="H86" s="155">
        <f>DAY(EOMONTH(PA[[#This Row],[Month Year]],0))</f>
        <v>30</v>
      </c>
      <c r="I86" s="151">
        <f>_xlfn.XLOOKUP(PA[[#This Row],[Date]],RD[Date],RD[Sunrise Time (POA&gt;20 W/m2)],0)</f>
        <v>0.2590277777777778</v>
      </c>
      <c r="J86" s="151">
        <f>_xlfn.XLOOKUP(PA[[#This Row],[Date]],RD[Date],RD[Sunset Time (POA&lt;20 W/m2)],0)</f>
        <v>0.77708333333333335</v>
      </c>
      <c r="K86" s="152">
        <f>IFERROR((PA[[#This Row],[Sunset Time (POA&lt;20 W/m2)]]-PA[[#This Row],[Sunrise Time (POA&gt;20 W/m2)]])*24,"")</f>
        <v>12.433333333333332</v>
      </c>
      <c r="L86" s="166" t="s">
        <v>473</v>
      </c>
      <c r="M86" s="180">
        <f>IFERROR(VLOOKUP(PA[[#This Row],[Affceted Equipment]],'Basic Data'!$A$2:$B$125,2,0),"")</f>
        <v>6.5</v>
      </c>
      <c r="N86" s="181">
        <f>IFERROR(VLOOKUP(PA[[#This Row],[Affceted Equipment]],'Basic Data'!$A$1:$C$128,3,0),"")</f>
        <v>2.6771004942339376E-4</v>
      </c>
      <c r="O86" s="166" t="s">
        <v>781</v>
      </c>
      <c r="P86" s="149" t="s">
        <v>782</v>
      </c>
      <c r="Q86" s="149" t="s">
        <v>782</v>
      </c>
      <c r="R86" s="149" t="s">
        <v>783</v>
      </c>
      <c r="S86" s="187">
        <v>0.4375</v>
      </c>
      <c r="T86" s="187">
        <v>0.4375</v>
      </c>
      <c r="U86" s="187">
        <v>0.4375</v>
      </c>
      <c r="V86" s="187">
        <v>0.6333333333333333</v>
      </c>
      <c r="W86" s="182">
        <f>IF(PA[[#This Row],[Acknowledgemnet Time ]]="NA","",(PA[[#This Row],[Acknowledgemnet Time ]]-PA[[#This Row],[Fault Time]])*24)</f>
        <v>0</v>
      </c>
      <c r="X86" s="182">
        <f>IF(PA[[#This Row],[Work Start time on Fault]]="NA","",(PA[[#This Row],[Work Start time on Fault]]-PA[[#This Row],[Fault Time]])*24)</f>
        <v>0</v>
      </c>
      <c r="Y86" s="153">
        <f>(PA[[#This Row],[Work Completiuon time on fualt]]-PA[[#This Row],[Fault Time]])*24</f>
        <v>4.6999999999999993</v>
      </c>
      <c r="Z86" s="153">
        <f>IFERROR((PA[[#This Row],[Work Completiuon time on fualt]]-PA[[#This Row],[Fault Time]])*24,"")</f>
        <v>4.6999999999999993</v>
      </c>
      <c r="AA86" s="312" t="s">
        <v>784</v>
      </c>
      <c r="AB86" s="149" t="s">
        <v>173</v>
      </c>
      <c r="AC86" s="152">
        <f>IFERROR(PA[[#This Row],[Breakdown Time]]*PA[[#This Row],[Plant Equivalent Weightage]],)</f>
        <v>1.2582372322899505E-3</v>
      </c>
      <c r="AD86" s="153">
        <v>2.34</v>
      </c>
      <c r="AE86" s="163">
        <f>IFERROR(_xlfn.XLOOKUP(PA[[#This Row],[Month Year]],'Modelling New'!$D:$D,'Modelling New'!$O:$O)*M86*PA[[#This Row],[Lost PoA(kWh/m2)]],"")</f>
        <v>11.127399744612759</v>
      </c>
      <c r="AF86" s="150"/>
      <c r="AG86" s="150"/>
      <c r="AH86" s="150"/>
    </row>
    <row r="87" spans="1:34" x14ac:dyDescent="0.35">
      <c r="A87" s="147">
        <f t="shared" si="2"/>
        <v>84</v>
      </c>
      <c r="B87" s="183">
        <v>45830</v>
      </c>
      <c r="C87" s="180">
        <f>YEAR(PA[[#This Row],[Date]])+IF(MONTH(PA[[#This Row],[Date]])&gt;=4,1,0)</f>
        <v>2026</v>
      </c>
      <c r="D87" s="155">
        <f>YEAR(PA[[#This Row],[Date]])</f>
        <v>2025</v>
      </c>
      <c r="E87" s="149" t="s">
        <v>4</v>
      </c>
      <c r="F87" s="149" t="s">
        <v>4</v>
      </c>
      <c r="G87" s="310">
        <f>PA[[#This Row],[Date]]-DAY(PA[[#This Row],[Date]])+1</f>
        <v>45809</v>
      </c>
      <c r="H87" s="155">
        <f>DAY(EOMONTH(PA[[#This Row],[Month Year]],0))</f>
        <v>30</v>
      </c>
      <c r="I87" s="151">
        <f>_xlfn.XLOOKUP(PA[[#This Row],[Date]],RD[Date],RD[Sunrise Time (POA&gt;20 W/m2)],0)</f>
        <v>0.2590277777777778</v>
      </c>
      <c r="J87" s="151">
        <f>_xlfn.XLOOKUP(PA[[#This Row],[Date]],RD[Date],RD[Sunset Time (POA&lt;20 W/m2)],0)</f>
        <v>0.77708333333333335</v>
      </c>
      <c r="K87" s="152">
        <f>IFERROR((PA[[#This Row],[Sunset Time (POA&lt;20 W/m2)]]-PA[[#This Row],[Sunrise Time (POA&gt;20 W/m2)]])*24,"")</f>
        <v>12.433333333333332</v>
      </c>
      <c r="L87" s="166" t="s">
        <v>473</v>
      </c>
      <c r="M87" s="180">
        <f>IFERROR(VLOOKUP(PA[[#This Row],[Affceted Equipment]],'Basic Data'!$A$2:$B$125,2,0),"")</f>
        <v>6.5</v>
      </c>
      <c r="N87" s="181">
        <f>IFERROR(VLOOKUP(PA[[#This Row],[Affceted Equipment]],'Basic Data'!$A$1:$C$128,3,0),"")</f>
        <v>2.6771004942339376E-4</v>
      </c>
      <c r="O87" s="166" t="s">
        <v>785</v>
      </c>
      <c r="P87" s="149" t="s">
        <v>782</v>
      </c>
      <c r="Q87" s="149" t="s">
        <v>782</v>
      </c>
      <c r="R87" s="149" t="s">
        <v>786</v>
      </c>
      <c r="S87" s="187">
        <v>0.4375</v>
      </c>
      <c r="T87" s="187">
        <v>0.4375</v>
      </c>
      <c r="U87" s="187">
        <v>0.4375</v>
      </c>
      <c r="V87" s="187">
        <v>0.6333333333333333</v>
      </c>
      <c r="W87" s="182">
        <f>IF(PA[[#This Row],[Acknowledgemnet Time ]]="NA","",(PA[[#This Row],[Acknowledgemnet Time ]]-PA[[#This Row],[Fault Time]])*24)</f>
        <v>0</v>
      </c>
      <c r="X87" s="182">
        <f>IF(PA[[#This Row],[Work Start time on Fault]]="NA","",(PA[[#This Row],[Work Start time on Fault]]-PA[[#This Row],[Fault Time]])*24)</f>
        <v>0</v>
      </c>
      <c r="Y87" s="153">
        <f>(PA[[#This Row],[Work Completiuon time on fualt]]-PA[[#This Row],[Fault Time]])*24</f>
        <v>4.6999999999999993</v>
      </c>
      <c r="Z87" s="153">
        <f>IFERROR((PA[[#This Row],[Work Completiuon time on fualt]]-PA[[#This Row],[Fault Time]])*24,"")</f>
        <v>4.6999999999999993</v>
      </c>
      <c r="AA87" s="312" t="s">
        <v>784</v>
      </c>
      <c r="AB87" s="149" t="s">
        <v>173</v>
      </c>
      <c r="AC87" s="152">
        <f>IFERROR(PA[[#This Row],[Breakdown Time]]*PA[[#This Row],[Plant Equivalent Weightage]],)</f>
        <v>1.2582372322899505E-3</v>
      </c>
      <c r="AD87" s="153">
        <v>2.34</v>
      </c>
      <c r="AE87" s="163">
        <f>IFERROR(_xlfn.XLOOKUP(PA[[#This Row],[Month Year]],'Modelling New'!$D:$D,'Modelling New'!$O:$O)*M87*PA[[#This Row],[Lost PoA(kWh/m2)]],"")</f>
        <v>11.127399744612759</v>
      </c>
      <c r="AF87" s="150"/>
      <c r="AG87" s="150"/>
      <c r="AH87" s="150"/>
    </row>
    <row r="88" spans="1:34" x14ac:dyDescent="0.35">
      <c r="A88" s="147">
        <f t="shared" si="2"/>
        <v>85</v>
      </c>
      <c r="B88" s="183">
        <v>45830</v>
      </c>
      <c r="C88" s="180">
        <f>YEAR(PA[[#This Row],[Date]])+IF(MONTH(PA[[#This Row],[Date]])&gt;=4,1,0)</f>
        <v>2026</v>
      </c>
      <c r="D88" s="155">
        <f>YEAR(PA[[#This Row],[Date]])</f>
        <v>2025</v>
      </c>
      <c r="E88" s="149" t="s">
        <v>4</v>
      </c>
      <c r="F88" s="149" t="s">
        <v>4</v>
      </c>
      <c r="G88" s="310">
        <f>PA[[#This Row],[Date]]-DAY(PA[[#This Row],[Date]])+1</f>
        <v>45809</v>
      </c>
      <c r="H88" s="155">
        <f>DAY(EOMONTH(PA[[#This Row],[Month Year]],0))</f>
        <v>30</v>
      </c>
      <c r="I88" s="151">
        <f>_xlfn.XLOOKUP(PA[[#This Row],[Date]],RD[Date],RD[Sunrise Time (POA&gt;20 W/m2)],0)</f>
        <v>0.2590277777777778</v>
      </c>
      <c r="J88" s="151">
        <f>_xlfn.XLOOKUP(PA[[#This Row],[Date]],RD[Date],RD[Sunset Time (POA&lt;20 W/m2)],0)</f>
        <v>0.77708333333333335</v>
      </c>
      <c r="K88" s="152">
        <f>IFERROR((PA[[#This Row],[Sunset Time (POA&lt;20 W/m2)]]-PA[[#This Row],[Sunrise Time (POA&gt;20 W/m2)]])*24,"")</f>
        <v>12.433333333333332</v>
      </c>
      <c r="L88" s="166" t="s">
        <v>473</v>
      </c>
      <c r="M88" s="180">
        <f>IFERROR(VLOOKUP(PA[[#This Row],[Affceted Equipment]],'Basic Data'!$A$2:$B$125,2,0),"")</f>
        <v>6.5</v>
      </c>
      <c r="N88" s="181">
        <f>IFERROR(VLOOKUP(PA[[#This Row],[Affceted Equipment]],'Basic Data'!$A$1:$C$128,3,0),"")</f>
        <v>2.6771004942339376E-4</v>
      </c>
      <c r="O88" s="166" t="s">
        <v>787</v>
      </c>
      <c r="P88" s="149" t="s">
        <v>782</v>
      </c>
      <c r="Q88" s="149" t="s">
        <v>782</v>
      </c>
      <c r="R88" s="149" t="s">
        <v>788</v>
      </c>
      <c r="S88" s="187">
        <v>0.4375</v>
      </c>
      <c r="T88" s="187">
        <v>0.4375</v>
      </c>
      <c r="U88" s="187">
        <v>0.4375</v>
      </c>
      <c r="V88" s="187">
        <v>0.6333333333333333</v>
      </c>
      <c r="W88" s="182">
        <f>IF(PA[[#This Row],[Acknowledgemnet Time ]]="NA","",(PA[[#This Row],[Acknowledgemnet Time ]]-PA[[#This Row],[Fault Time]])*24)</f>
        <v>0</v>
      </c>
      <c r="X88" s="182">
        <f>IF(PA[[#This Row],[Work Start time on Fault]]="NA","",(PA[[#This Row],[Work Start time on Fault]]-PA[[#This Row],[Fault Time]])*24)</f>
        <v>0</v>
      </c>
      <c r="Y88" s="153">
        <f>(PA[[#This Row],[Work Completiuon time on fualt]]-PA[[#This Row],[Fault Time]])*24</f>
        <v>4.6999999999999993</v>
      </c>
      <c r="Z88" s="153">
        <f>IFERROR((PA[[#This Row],[Work Completiuon time on fualt]]-PA[[#This Row],[Fault Time]])*24,"")</f>
        <v>4.6999999999999993</v>
      </c>
      <c r="AA88" s="312" t="s">
        <v>784</v>
      </c>
      <c r="AB88" s="149" t="s">
        <v>173</v>
      </c>
      <c r="AC88" s="152">
        <f>IFERROR(PA[[#This Row],[Breakdown Time]]*PA[[#This Row],[Plant Equivalent Weightage]],)</f>
        <v>1.2582372322899505E-3</v>
      </c>
      <c r="AD88" s="153">
        <v>2.34</v>
      </c>
      <c r="AE88" s="163">
        <f>IFERROR(_xlfn.XLOOKUP(PA[[#This Row],[Month Year]],'Modelling New'!$D:$D,'Modelling New'!$O:$O)*M88*PA[[#This Row],[Lost PoA(kWh/m2)]],"")</f>
        <v>11.127399744612759</v>
      </c>
      <c r="AF88" s="150"/>
      <c r="AG88" s="150"/>
      <c r="AH88" s="150"/>
    </row>
    <row r="89" spans="1:34" x14ac:dyDescent="0.35">
      <c r="A89" s="147">
        <f t="shared" si="2"/>
        <v>86</v>
      </c>
      <c r="B89" s="183">
        <v>45830</v>
      </c>
      <c r="C89" s="180">
        <f>YEAR(PA[[#This Row],[Date]])+IF(MONTH(PA[[#This Row],[Date]])&gt;=4,1,0)</f>
        <v>2026</v>
      </c>
      <c r="D89" s="155">
        <f>YEAR(PA[[#This Row],[Date]])</f>
        <v>2025</v>
      </c>
      <c r="E89" s="149" t="s">
        <v>4</v>
      </c>
      <c r="F89" s="149" t="s">
        <v>4</v>
      </c>
      <c r="G89" s="310">
        <f>PA[[#This Row],[Date]]-DAY(PA[[#This Row],[Date]])+1</f>
        <v>45809</v>
      </c>
      <c r="H89" s="155">
        <f>DAY(EOMONTH(PA[[#This Row],[Month Year]],0))</f>
        <v>30</v>
      </c>
      <c r="I89" s="151">
        <f>_xlfn.XLOOKUP(PA[[#This Row],[Date]],RD[Date],RD[Sunrise Time (POA&gt;20 W/m2)],0)</f>
        <v>0.2590277777777778</v>
      </c>
      <c r="J89" s="151">
        <f>_xlfn.XLOOKUP(PA[[#This Row],[Date]],RD[Date],RD[Sunset Time (POA&lt;20 W/m2)],0)</f>
        <v>0.77708333333333335</v>
      </c>
      <c r="K89" s="152">
        <f>IFERROR((PA[[#This Row],[Sunset Time (POA&lt;20 W/m2)]]-PA[[#This Row],[Sunrise Time (POA&gt;20 W/m2)]])*24,"")</f>
        <v>12.433333333333332</v>
      </c>
      <c r="L89" s="166" t="s">
        <v>473</v>
      </c>
      <c r="M89" s="180">
        <f>IFERROR(VLOOKUP(PA[[#This Row],[Affceted Equipment]],'Basic Data'!$A$2:$B$125,2,0),"")</f>
        <v>6.5</v>
      </c>
      <c r="N89" s="181">
        <f>IFERROR(VLOOKUP(PA[[#This Row],[Affceted Equipment]],'Basic Data'!$A$1:$C$128,3,0),"")</f>
        <v>2.6771004942339376E-4</v>
      </c>
      <c r="O89" s="166" t="s">
        <v>789</v>
      </c>
      <c r="P89" s="149" t="s">
        <v>782</v>
      </c>
      <c r="Q89" s="149" t="s">
        <v>782</v>
      </c>
      <c r="R89" s="149" t="s">
        <v>790</v>
      </c>
      <c r="S89" s="187">
        <v>0.4375</v>
      </c>
      <c r="T89" s="187">
        <v>0.4375</v>
      </c>
      <c r="U89" s="187">
        <v>0.4375</v>
      </c>
      <c r="V89" s="187">
        <v>0.6333333333333333</v>
      </c>
      <c r="W89" s="182">
        <f>IF(PA[[#This Row],[Acknowledgemnet Time ]]="NA","",(PA[[#This Row],[Acknowledgemnet Time ]]-PA[[#This Row],[Fault Time]])*24)</f>
        <v>0</v>
      </c>
      <c r="X89" s="182">
        <f>IF(PA[[#This Row],[Work Start time on Fault]]="NA","",(PA[[#This Row],[Work Start time on Fault]]-PA[[#This Row],[Fault Time]])*24)</f>
        <v>0</v>
      </c>
      <c r="Y89" s="153">
        <f>(PA[[#This Row],[Work Completiuon time on fualt]]-PA[[#This Row],[Fault Time]])*24</f>
        <v>4.6999999999999993</v>
      </c>
      <c r="Z89" s="153">
        <f>IFERROR((PA[[#This Row],[Work Completiuon time on fualt]]-PA[[#This Row],[Fault Time]])*24,"")</f>
        <v>4.6999999999999993</v>
      </c>
      <c r="AA89" s="312" t="s">
        <v>784</v>
      </c>
      <c r="AB89" s="149" t="s">
        <v>173</v>
      </c>
      <c r="AC89" s="152">
        <f>IFERROR(PA[[#This Row],[Breakdown Time]]*PA[[#This Row],[Plant Equivalent Weightage]],)</f>
        <v>1.2582372322899505E-3</v>
      </c>
      <c r="AD89" s="153">
        <v>2.34</v>
      </c>
      <c r="AE89" s="163">
        <f>IFERROR(_xlfn.XLOOKUP(PA[[#This Row],[Month Year]],'Modelling New'!$D:$D,'Modelling New'!$O:$O)*M89*PA[[#This Row],[Lost PoA(kWh/m2)]],"")</f>
        <v>11.127399744612759</v>
      </c>
      <c r="AF89" s="150"/>
      <c r="AG89" s="150"/>
      <c r="AH89" s="150"/>
    </row>
    <row r="90" spans="1:34" x14ac:dyDescent="0.35">
      <c r="A90" s="147">
        <f t="shared" si="2"/>
        <v>87</v>
      </c>
      <c r="B90" s="183">
        <v>45830</v>
      </c>
      <c r="C90" s="180">
        <f>YEAR(PA[[#This Row],[Date]])+IF(MONTH(PA[[#This Row],[Date]])&gt;=4,1,0)</f>
        <v>2026</v>
      </c>
      <c r="D90" s="155">
        <f>YEAR(PA[[#This Row],[Date]])</f>
        <v>2025</v>
      </c>
      <c r="E90" s="149" t="s">
        <v>4</v>
      </c>
      <c r="F90" s="149" t="s">
        <v>4</v>
      </c>
      <c r="G90" s="310">
        <f>PA[[#This Row],[Date]]-DAY(PA[[#This Row],[Date]])+1</f>
        <v>45809</v>
      </c>
      <c r="H90" s="155">
        <f>DAY(EOMONTH(PA[[#This Row],[Month Year]],0))</f>
        <v>30</v>
      </c>
      <c r="I90" s="151">
        <f>_xlfn.XLOOKUP(PA[[#This Row],[Date]],RD[Date],RD[Sunrise Time (POA&gt;20 W/m2)],0)</f>
        <v>0.2590277777777778</v>
      </c>
      <c r="J90" s="151">
        <f>_xlfn.XLOOKUP(PA[[#This Row],[Date]],RD[Date],RD[Sunset Time (POA&lt;20 W/m2)],0)</f>
        <v>0.77708333333333335</v>
      </c>
      <c r="K90" s="152">
        <f>IFERROR((PA[[#This Row],[Sunset Time (POA&lt;20 W/m2)]]-PA[[#This Row],[Sunrise Time (POA&gt;20 W/m2)]])*24,"")</f>
        <v>12.433333333333332</v>
      </c>
      <c r="L90" s="166" t="s">
        <v>473</v>
      </c>
      <c r="M90" s="180">
        <f>IFERROR(VLOOKUP(PA[[#This Row],[Affceted Equipment]],'Basic Data'!$A$2:$B$125,2,0),"")</f>
        <v>6.5</v>
      </c>
      <c r="N90" s="181">
        <f>IFERROR(VLOOKUP(PA[[#This Row],[Affceted Equipment]],'Basic Data'!$A$1:$C$128,3,0),"")</f>
        <v>2.6771004942339376E-4</v>
      </c>
      <c r="O90" s="166" t="s">
        <v>789</v>
      </c>
      <c r="P90" s="149" t="s">
        <v>782</v>
      </c>
      <c r="Q90" s="149" t="s">
        <v>782</v>
      </c>
      <c r="R90" s="149" t="s">
        <v>791</v>
      </c>
      <c r="S90" s="187">
        <v>0.4375</v>
      </c>
      <c r="T90" s="187">
        <v>0.4375</v>
      </c>
      <c r="U90" s="187">
        <v>0.4375</v>
      </c>
      <c r="V90" s="187">
        <v>0.6333333333333333</v>
      </c>
      <c r="W90" s="182">
        <f>IF(PA[[#This Row],[Acknowledgemnet Time ]]="NA","",(PA[[#This Row],[Acknowledgemnet Time ]]-PA[[#This Row],[Fault Time]])*24)</f>
        <v>0</v>
      </c>
      <c r="X90" s="182">
        <f>IF(PA[[#This Row],[Work Start time on Fault]]="NA","",(PA[[#This Row],[Work Start time on Fault]]-PA[[#This Row],[Fault Time]])*24)</f>
        <v>0</v>
      </c>
      <c r="Y90" s="153">
        <f>(PA[[#This Row],[Work Completiuon time on fualt]]-PA[[#This Row],[Fault Time]])*24</f>
        <v>4.6999999999999993</v>
      </c>
      <c r="Z90" s="153">
        <f>IFERROR((PA[[#This Row],[Work Completiuon time on fualt]]-PA[[#This Row],[Fault Time]])*24,"")</f>
        <v>4.6999999999999993</v>
      </c>
      <c r="AA90" s="312" t="s">
        <v>784</v>
      </c>
      <c r="AB90" s="149" t="s">
        <v>173</v>
      </c>
      <c r="AC90" s="152">
        <f>IFERROR(PA[[#This Row],[Breakdown Time]]*PA[[#This Row],[Plant Equivalent Weightage]],)</f>
        <v>1.2582372322899505E-3</v>
      </c>
      <c r="AD90" s="153">
        <v>2.34</v>
      </c>
      <c r="AE90" s="163">
        <f>IFERROR(_xlfn.XLOOKUP(PA[[#This Row],[Month Year]],'Modelling New'!$D:$D,'Modelling New'!$O:$O)*M90*PA[[#This Row],[Lost PoA(kWh/m2)]],"")</f>
        <v>11.127399744612759</v>
      </c>
      <c r="AF90" s="150"/>
      <c r="AG90" s="150"/>
      <c r="AH90" s="150"/>
    </row>
    <row r="91" spans="1:34" x14ac:dyDescent="0.35">
      <c r="A91" s="147">
        <f t="shared" si="2"/>
        <v>88</v>
      </c>
      <c r="B91" s="183">
        <v>45831</v>
      </c>
      <c r="C91" s="180">
        <f>YEAR(PA[[#This Row],[Date]])+IF(MONTH(PA[[#This Row],[Date]])&gt;=4,1,0)</f>
        <v>2026</v>
      </c>
      <c r="D91" s="155">
        <f>YEAR(PA[[#This Row],[Date]])</f>
        <v>2025</v>
      </c>
      <c r="E91" s="149" t="s">
        <v>4</v>
      </c>
      <c r="F91" s="149" t="s">
        <v>4</v>
      </c>
      <c r="G91" s="310">
        <f>PA[[#This Row],[Date]]-DAY(PA[[#This Row],[Date]])+1</f>
        <v>45809</v>
      </c>
      <c r="H91" s="155">
        <f>DAY(EOMONTH(PA[[#This Row],[Month Year]],0))</f>
        <v>30</v>
      </c>
      <c r="I91" s="151">
        <f>_xlfn.XLOOKUP(PA[[#This Row],[Date]],RD[Date],RD[Sunrise Time (POA&gt;20 W/m2)],0)</f>
        <v>0.26180555555555557</v>
      </c>
      <c r="J91" s="151">
        <f>_xlfn.XLOOKUP(PA[[#This Row],[Date]],RD[Date],RD[Sunset Time (POA&lt;20 W/m2)],0)</f>
        <v>0.78263888888888888</v>
      </c>
      <c r="K91" s="152">
        <f>IFERROR((PA[[#This Row],[Sunset Time (POA&lt;20 W/m2)]]-PA[[#This Row],[Sunrise Time (POA&gt;20 W/m2)]])*24,"")</f>
        <v>12.499999999999998</v>
      </c>
      <c r="L91" s="166" t="s">
        <v>473</v>
      </c>
      <c r="M91" s="180">
        <f>IFERROR(VLOOKUP(PA[[#This Row],[Affceted Equipment]],'Basic Data'!$A$2:$B$125,2,0),"")</f>
        <v>6.5</v>
      </c>
      <c r="N91" s="181">
        <f>IFERROR(VLOOKUP(PA[[#This Row],[Affceted Equipment]],'Basic Data'!$A$1:$C$128,3,0),"")</f>
        <v>2.6771004942339376E-4</v>
      </c>
      <c r="O91" s="166" t="s">
        <v>792</v>
      </c>
      <c r="P91" s="149" t="s">
        <v>774</v>
      </c>
      <c r="Q91" s="149" t="s">
        <v>774</v>
      </c>
      <c r="R91" s="149" t="s">
        <v>793</v>
      </c>
      <c r="S91" s="187">
        <v>0.45833333333333331</v>
      </c>
      <c r="T91" s="187">
        <v>0.45833333333333331</v>
      </c>
      <c r="U91" s="187">
        <v>0.45833333333333331</v>
      </c>
      <c r="V91" s="187">
        <v>0.6875</v>
      </c>
      <c r="W91" s="182">
        <f>IF(PA[[#This Row],[Acknowledgemnet Time ]]="NA","",(PA[[#This Row],[Acknowledgemnet Time ]]-PA[[#This Row],[Fault Time]])*24)</f>
        <v>0</v>
      </c>
      <c r="X91" s="182">
        <f>IF(PA[[#This Row],[Work Start time on Fault]]="NA","",(PA[[#This Row],[Work Start time on Fault]]-PA[[#This Row],[Fault Time]])*24)</f>
        <v>0</v>
      </c>
      <c r="Y91" s="153">
        <f>(PA[[#This Row],[Work Completiuon time on fualt]]-PA[[#This Row],[Fault Time]])*24</f>
        <v>5.5</v>
      </c>
      <c r="Z91" s="153">
        <f>IFERROR((PA[[#This Row],[Work Completiuon time on fualt]]-PA[[#This Row],[Fault Time]])*24,"")</f>
        <v>5.5</v>
      </c>
      <c r="AA91" s="307" t="s">
        <v>776</v>
      </c>
      <c r="AB91" s="149" t="s">
        <v>173</v>
      </c>
      <c r="AC91" s="152">
        <f>IFERROR(PA[[#This Row],[Breakdown Time]]*PA[[#This Row],[Plant Equivalent Weightage]],)</f>
        <v>1.4724052718286657E-3</v>
      </c>
      <c r="AD91" s="153">
        <v>3.23</v>
      </c>
      <c r="AE91" s="163">
        <f>IFERROR(_xlfn.XLOOKUP(PA[[#This Row],[Month Year]],'Modelling New'!$D:$D,'Modelling New'!$O:$O)*M91*PA[[#This Row],[Lost PoA(kWh/m2)]],"")</f>
        <v>15.359615886794538</v>
      </c>
      <c r="AF91" s="150"/>
      <c r="AG91" s="150"/>
      <c r="AH91" s="150"/>
    </row>
    <row r="92" spans="1:34" x14ac:dyDescent="0.35">
      <c r="A92" s="147">
        <f t="shared" si="2"/>
        <v>89</v>
      </c>
      <c r="B92" s="183">
        <v>45831</v>
      </c>
      <c r="C92" s="180">
        <f>YEAR(PA[[#This Row],[Date]])+IF(MONTH(PA[[#This Row],[Date]])&gt;=4,1,0)</f>
        <v>2026</v>
      </c>
      <c r="D92" s="155">
        <f>YEAR(PA[[#This Row],[Date]])</f>
        <v>2025</v>
      </c>
      <c r="E92" s="149" t="s">
        <v>4</v>
      </c>
      <c r="F92" s="149" t="s">
        <v>4</v>
      </c>
      <c r="G92" s="310">
        <f>PA[[#This Row],[Date]]-DAY(PA[[#This Row],[Date]])+1</f>
        <v>45809</v>
      </c>
      <c r="H92" s="155">
        <f>DAY(EOMONTH(PA[[#This Row],[Month Year]],0))</f>
        <v>30</v>
      </c>
      <c r="I92" s="151">
        <f>_xlfn.XLOOKUP(PA[[#This Row],[Date]],RD[Date],RD[Sunrise Time (POA&gt;20 W/m2)],0)</f>
        <v>0.26180555555555557</v>
      </c>
      <c r="J92" s="151">
        <f>_xlfn.XLOOKUP(PA[[#This Row],[Date]],RD[Date],RD[Sunset Time (POA&lt;20 W/m2)],0)</f>
        <v>0.78263888888888888</v>
      </c>
      <c r="K92" s="152">
        <f>IFERROR((PA[[#This Row],[Sunset Time (POA&lt;20 W/m2)]]-PA[[#This Row],[Sunrise Time (POA&gt;20 W/m2)]])*24,"")</f>
        <v>12.499999999999998</v>
      </c>
      <c r="L92" s="166" t="s">
        <v>473</v>
      </c>
      <c r="M92" s="180">
        <f>IFERROR(VLOOKUP(PA[[#This Row],[Affceted Equipment]],'Basic Data'!$A$2:$B$125,2,0),"")</f>
        <v>6.5</v>
      </c>
      <c r="N92" s="181">
        <f>IFERROR(VLOOKUP(PA[[#This Row],[Affceted Equipment]],'Basic Data'!$A$1:$C$128,3,0),"")</f>
        <v>2.6771004942339376E-4</v>
      </c>
      <c r="O92" s="166" t="s">
        <v>792</v>
      </c>
      <c r="P92" s="149" t="s">
        <v>774</v>
      </c>
      <c r="Q92" s="149" t="s">
        <v>774</v>
      </c>
      <c r="R92" s="149" t="s">
        <v>794</v>
      </c>
      <c r="S92" s="187">
        <v>0.45833333333333331</v>
      </c>
      <c r="T92" s="187">
        <v>0.45833333333333331</v>
      </c>
      <c r="U92" s="187">
        <v>0.45833333333333331</v>
      </c>
      <c r="V92" s="187">
        <v>0.6875</v>
      </c>
      <c r="W92" s="182">
        <f>IF(PA[[#This Row],[Acknowledgemnet Time ]]="NA","",(PA[[#This Row],[Acknowledgemnet Time ]]-PA[[#This Row],[Fault Time]])*24)</f>
        <v>0</v>
      </c>
      <c r="X92" s="182">
        <f>IF(PA[[#This Row],[Work Start time on Fault]]="NA","",(PA[[#This Row],[Work Start time on Fault]]-PA[[#This Row],[Fault Time]])*24)</f>
        <v>0</v>
      </c>
      <c r="Y92" s="153">
        <f>(PA[[#This Row],[Work Completiuon time on fualt]]-PA[[#This Row],[Fault Time]])*24</f>
        <v>5.5</v>
      </c>
      <c r="Z92" s="153">
        <f>IFERROR((PA[[#This Row],[Work Completiuon time on fualt]]-PA[[#This Row],[Fault Time]])*24,"")</f>
        <v>5.5</v>
      </c>
      <c r="AA92" s="307" t="s">
        <v>776</v>
      </c>
      <c r="AB92" s="149" t="s">
        <v>173</v>
      </c>
      <c r="AC92" s="152">
        <f>IFERROR(PA[[#This Row],[Breakdown Time]]*PA[[#This Row],[Plant Equivalent Weightage]],)</f>
        <v>1.4724052718286657E-3</v>
      </c>
      <c r="AD92" s="153">
        <v>3.23</v>
      </c>
      <c r="AE92" s="163">
        <f>IFERROR(_xlfn.XLOOKUP(PA[[#This Row],[Month Year]],'Modelling New'!$D:$D,'Modelling New'!$O:$O)*M92*PA[[#This Row],[Lost PoA(kWh/m2)]],"")</f>
        <v>15.359615886794538</v>
      </c>
      <c r="AF92" s="150"/>
      <c r="AG92" s="150"/>
      <c r="AH92" s="150"/>
    </row>
    <row r="93" spans="1:34" x14ac:dyDescent="0.35">
      <c r="A93" s="147">
        <f t="shared" si="2"/>
        <v>90</v>
      </c>
      <c r="B93" s="183">
        <v>45831</v>
      </c>
      <c r="C93" s="180">
        <f>YEAR(PA[[#This Row],[Date]])+IF(MONTH(PA[[#This Row],[Date]])&gt;=4,1,0)</f>
        <v>2026</v>
      </c>
      <c r="D93" s="155">
        <f>YEAR(PA[[#This Row],[Date]])</f>
        <v>2025</v>
      </c>
      <c r="E93" s="149" t="s">
        <v>4</v>
      </c>
      <c r="F93" s="149" t="s">
        <v>4</v>
      </c>
      <c r="G93" s="310">
        <f>PA[[#This Row],[Date]]-DAY(PA[[#This Row],[Date]])+1</f>
        <v>45809</v>
      </c>
      <c r="H93" s="155">
        <f>DAY(EOMONTH(PA[[#This Row],[Month Year]],0))</f>
        <v>30</v>
      </c>
      <c r="I93" s="151">
        <f>_xlfn.XLOOKUP(PA[[#This Row],[Date]],RD[Date],RD[Sunrise Time (POA&gt;20 W/m2)],0)</f>
        <v>0.26180555555555557</v>
      </c>
      <c r="J93" s="151">
        <f>_xlfn.XLOOKUP(PA[[#This Row],[Date]],RD[Date],RD[Sunset Time (POA&lt;20 W/m2)],0)</f>
        <v>0.78263888888888888</v>
      </c>
      <c r="K93" s="152">
        <f>IFERROR((PA[[#This Row],[Sunset Time (POA&lt;20 W/m2)]]-PA[[#This Row],[Sunrise Time (POA&gt;20 W/m2)]])*24,"")</f>
        <v>12.499999999999998</v>
      </c>
      <c r="L93" s="166" t="s">
        <v>473</v>
      </c>
      <c r="M93" s="180">
        <f>IFERROR(VLOOKUP(PA[[#This Row],[Affceted Equipment]],'Basic Data'!$A$2:$B$125,2,0),"")</f>
        <v>6.5</v>
      </c>
      <c r="N93" s="181">
        <f>IFERROR(VLOOKUP(PA[[#This Row],[Affceted Equipment]],'Basic Data'!$A$1:$C$128,3,0),"")</f>
        <v>2.6771004942339376E-4</v>
      </c>
      <c r="O93" s="166" t="s">
        <v>795</v>
      </c>
      <c r="P93" s="149" t="s">
        <v>774</v>
      </c>
      <c r="Q93" s="149" t="s">
        <v>774</v>
      </c>
      <c r="R93" s="149" t="s">
        <v>796</v>
      </c>
      <c r="S93" s="187">
        <v>0.45833333333333331</v>
      </c>
      <c r="T93" s="187">
        <v>0.45833333333333331</v>
      </c>
      <c r="U93" s="187">
        <v>0.45833333333333331</v>
      </c>
      <c r="V93" s="187">
        <v>0.6875</v>
      </c>
      <c r="W93" s="182">
        <f>IF(PA[[#This Row],[Acknowledgemnet Time ]]="NA","",(PA[[#This Row],[Acknowledgemnet Time ]]-PA[[#This Row],[Fault Time]])*24)</f>
        <v>0</v>
      </c>
      <c r="X93" s="182">
        <f>IF(PA[[#This Row],[Work Start time on Fault]]="NA","",(PA[[#This Row],[Work Start time on Fault]]-PA[[#This Row],[Fault Time]])*24)</f>
        <v>0</v>
      </c>
      <c r="Y93" s="153">
        <f>(PA[[#This Row],[Work Completiuon time on fualt]]-PA[[#This Row],[Fault Time]])*24</f>
        <v>5.5</v>
      </c>
      <c r="Z93" s="153">
        <f>IFERROR((PA[[#This Row],[Work Completiuon time on fualt]]-PA[[#This Row],[Fault Time]])*24,"")</f>
        <v>5.5</v>
      </c>
      <c r="AA93" s="312" t="s">
        <v>784</v>
      </c>
      <c r="AB93" s="149" t="s">
        <v>173</v>
      </c>
      <c r="AC93" s="152">
        <f>IFERROR(PA[[#This Row],[Breakdown Time]]*PA[[#This Row],[Plant Equivalent Weightage]],)</f>
        <v>1.4724052718286657E-3</v>
      </c>
      <c r="AD93" s="153">
        <v>3.23</v>
      </c>
      <c r="AE93" s="163">
        <f>IFERROR(_xlfn.XLOOKUP(PA[[#This Row],[Month Year]],'Modelling New'!$D:$D,'Modelling New'!$O:$O)*M93*PA[[#This Row],[Lost PoA(kWh/m2)]],"")</f>
        <v>15.359615886794538</v>
      </c>
      <c r="AF93" s="150"/>
      <c r="AG93" s="150"/>
      <c r="AH93" s="150"/>
    </row>
    <row r="94" spans="1:34" x14ac:dyDescent="0.35">
      <c r="A94" s="147">
        <f t="shared" si="2"/>
        <v>91</v>
      </c>
      <c r="B94" s="183">
        <v>45831</v>
      </c>
      <c r="C94" s="180">
        <f>YEAR(PA[[#This Row],[Date]])+IF(MONTH(PA[[#This Row],[Date]])&gt;=4,1,0)</f>
        <v>2026</v>
      </c>
      <c r="D94" s="155">
        <f>YEAR(PA[[#This Row],[Date]])</f>
        <v>2025</v>
      </c>
      <c r="E94" s="149" t="s">
        <v>4</v>
      </c>
      <c r="F94" s="149" t="s">
        <v>4</v>
      </c>
      <c r="G94" s="310">
        <f>PA[[#This Row],[Date]]-DAY(PA[[#This Row],[Date]])+1</f>
        <v>45809</v>
      </c>
      <c r="H94" s="155">
        <f>DAY(EOMONTH(PA[[#This Row],[Month Year]],0))</f>
        <v>30</v>
      </c>
      <c r="I94" s="151">
        <f>_xlfn.XLOOKUP(PA[[#This Row],[Date]],RD[Date],RD[Sunrise Time (POA&gt;20 W/m2)],0)</f>
        <v>0.26180555555555557</v>
      </c>
      <c r="J94" s="151">
        <f>_xlfn.XLOOKUP(PA[[#This Row],[Date]],RD[Date],RD[Sunset Time (POA&lt;20 W/m2)],0)</f>
        <v>0.78263888888888888</v>
      </c>
      <c r="K94" s="152">
        <f>IFERROR((PA[[#This Row],[Sunset Time (POA&lt;20 W/m2)]]-PA[[#This Row],[Sunrise Time (POA&gt;20 W/m2)]])*24,"")</f>
        <v>12.499999999999998</v>
      </c>
      <c r="L94" s="166" t="s">
        <v>473</v>
      </c>
      <c r="M94" s="180">
        <f>IFERROR(VLOOKUP(PA[[#This Row],[Affceted Equipment]],'Basic Data'!$A$2:$B$125,2,0),"")</f>
        <v>6.5</v>
      </c>
      <c r="N94" s="181">
        <f>IFERROR(VLOOKUP(PA[[#This Row],[Affceted Equipment]],'Basic Data'!$A$1:$C$128,3,0),"")</f>
        <v>2.6771004942339376E-4</v>
      </c>
      <c r="O94" s="166" t="s">
        <v>797</v>
      </c>
      <c r="P94" s="149" t="s">
        <v>774</v>
      </c>
      <c r="Q94" s="149" t="s">
        <v>774</v>
      </c>
      <c r="R94" s="149" t="s">
        <v>798</v>
      </c>
      <c r="S94" s="187">
        <v>0.45833333333333331</v>
      </c>
      <c r="T94" s="187">
        <v>0.45833333333333331</v>
      </c>
      <c r="U94" s="187">
        <v>0.45833333333333331</v>
      </c>
      <c r="V94" s="187">
        <v>0.6875</v>
      </c>
      <c r="W94" s="182">
        <f>IF(PA[[#This Row],[Acknowledgemnet Time ]]="NA","",(PA[[#This Row],[Acknowledgemnet Time ]]-PA[[#This Row],[Fault Time]])*24)</f>
        <v>0</v>
      </c>
      <c r="X94" s="182">
        <f>IF(PA[[#This Row],[Work Start time on Fault]]="NA","",(PA[[#This Row],[Work Start time on Fault]]-PA[[#This Row],[Fault Time]])*24)</f>
        <v>0</v>
      </c>
      <c r="Y94" s="153">
        <f>(PA[[#This Row],[Work Completiuon time on fualt]]-PA[[#This Row],[Fault Time]])*24</f>
        <v>5.5</v>
      </c>
      <c r="Z94" s="153">
        <f>IFERROR((PA[[#This Row],[Work Completiuon time on fualt]]-PA[[#This Row],[Fault Time]])*24,"")</f>
        <v>5.5</v>
      </c>
      <c r="AA94" s="307" t="s">
        <v>776</v>
      </c>
      <c r="AB94" s="149" t="s">
        <v>173</v>
      </c>
      <c r="AC94" s="152">
        <f>IFERROR(PA[[#This Row],[Breakdown Time]]*PA[[#This Row],[Plant Equivalent Weightage]],)</f>
        <v>1.4724052718286657E-3</v>
      </c>
      <c r="AD94" s="153">
        <v>3.23</v>
      </c>
      <c r="AE94" s="163">
        <f>IFERROR(_xlfn.XLOOKUP(PA[[#This Row],[Month Year]],'Modelling New'!$D:$D,'Modelling New'!$O:$O)*M94*PA[[#This Row],[Lost PoA(kWh/m2)]],"")</f>
        <v>15.359615886794538</v>
      </c>
      <c r="AF94" s="150"/>
      <c r="AG94" s="150"/>
      <c r="AH94" s="150"/>
    </row>
    <row r="95" spans="1:34" x14ac:dyDescent="0.35">
      <c r="A95" s="147">
        <f t="shared" si="2"/>
        <v>92</v>
      </c>
      <c r="B95" s="183">
        <v>45831</v>
      </c>
      <c r="C95" s="180">
        <f>YEAR(PA[[#This Row],[Date]])+IF(MONTH(PA[[#This Row],[Date]])&gt;=4,1,0)</f>
        <v>2026</v>
      </c>
      <c r="D95" s="155">
        <f>YEAR(PA[[#This Row],[Date]])</f>
        <v>2025</v>
      </c>
      <c r="E95" s="149" t="s">
        <v>4</v>
      </c>
      <c r="F95" s="149" t="s">
        <v>4</v>
      </c>
      <c r="G95" s="310">
        <f>PA[[#This Row],[Date]]-DAY(PA[[#This Row],[Date]])+1</f>
        <v>45809</v>
      </c>
      <c r="H95" s="155">
        <f>DAY(EOMONTH(PA[[#This Row],[Month Year]],0))</f>
        <v>30</v>
      </c>
      <c r="I95" s="151">
        <f>_xlfn.XLOOKUP(PA[[#This Row],[Date]],RD[Date],RD[Sunrise Time (POA&gt;20 W/m2)],0)</f>
        <v>0.26180555555555557</v>
      </c>
      <c r="J95" s="151">
        <f>_xlfn.XLOOKUP(PA[[#This Row],[Date]],RD[Date],RD[Sunset Time (POA&lt;20 W/m2)],0)</f>
        <v>0.78263888888888888</v>
      </c>
      <c r="K95" s="152">
        <f>IFERROR((PA[[#This Row],[Sunset Time (POA&lt;20 W/m2)]]-PA[[#This Row],[Sunrise Time (POA&gt;20 W/m2)]])*24,"")</f>
        <v>12.499999999999998</v>
      </c>
      <c r="L95" s="166" t="s">
        <v>473</v>
      </c>
      <c r="M95" s="180">
        <f>IFERROR(VLOOKUP(PA[[#This Row],[Affceted Equipment]],'Basic Data'!$A$2:$B$125,2,0),"")</f>
        <v>6.5</v>
      </c>
      <c r="N95" s="181">
        <f>IFERROR(VLOOKUP(PA[[#This Row],[Affceted Equipment]],'Basic Data'!$A$1:$C$128,3,0),"")</f>
        <v>2.6771004942339376E-4</v>
      </c>
      <c r="O95" s="166" t="s">
        <v>797</v>
      </c>
      <c r="P95" s="149" t="s">
        <v>774</v>
      </c>
      <c r="Q95" s="149" t="s">
        <v>774</v>
      </c>
      <c r="R95" s="149" t="s">
        <v>799</v>
      </c>
      <c r="S95" s="187">
        <v>0.45833333333333331</v>
      </c>
      <c r="T95" s="187">
        <v>0.45833333333333331</v>
      </c>
      <c r="U95" s="187">
        <v>0.45833333333333331</v>
      </c>
      <c r="V95" s="187">
        <v>0.6875</v>
      </c>
      <c r="W95" s="182">
        <f>IF(PA[[#This Row],[Acknowledgemnet Time ]]="NA","",(PA[[#This Row],[Acknowledgemnet Time ]]-PA[[#This Row],[Fault Time]])*24)</f>
        <v>0</v>
      </c>
      <c r="X95" s="182">
        <f>IF(PA[[#This Row],[Work Start time on Fault]]="NA","",(PA[[#This Row],[Work Start time on Fault]]-PA[[#This Row],[Fault Time]])*24)</f>
        <v>0</v>
      </c>
      <c r="Y95" s="153">
        <f>(PA[[#This Row],[Work Completiuon time on fualt]]-PA[[#This Row],[Fault Time]])*24</f>
        <v>5.5</v>
      </c>
      <c r="Z95" s="153">
        <f>IFERROR((PA[[#This Row],[Work Completiuon time on fualt]]-PA[[#This Row],[Fault Time]])*24,"")</f>
        <v>5.5</v>
      </c>
      <c r="AA95" s="307" t="s">
        <v>776</v>
      </c>
      <c r="AB95" s="149" t="s">
        <v>173</v>
      </c>
      <c r="AC95" s="152">
        <f>IFERROR(PA[[#This Row],[Breakdown Time]]*PA[[#This Row],[Plant Equivalent Weightage]],)</f>
        <v>1.4724052718286657E-3</v>
      </c>
      <c r="AD95" s="153">
        <v>3.23</v>
      </c>
      <c r="AE95" s="163">
        <f>IFERROR(_xlfn.XLOOKUP(PA[[#This Row],[Month Year]],'Modelling New'!$D:$D,'Modelling New'!$O:$O)*M95*PA[[#This Row],[Lost PoA(kWh/m2)]],"")</f>
        <v>15.359615886794538</v>
      </c>
      <c r="AF95" s="150"/>
      <c r="AG95" s="150"/>
      <c r="AH95" s="150"/>
    </row>
    <row r="96" spans="1:34" x14ac:dyDescent="0.35">
      <c r="A96" s="147">
        <f t="shared" si="2"/>
        <v>93</v>
      </c>
      <c r="B96" s="183">
        <v>45831</v>
      </c>
      <c r="C96" s="180">
        <f>YEAR(PA[[#This Row],[Date]])+IF(MONTH(PA[[#This Row],[Date]])&gt;=4,1,0)</f>
        <v>2026</v>
      </c>
      <c r="D96" s="155">
        <f>YEAR(PA[[#This Row],[Date]])</f>
        <v>2025</v>
      </c>
      <c r="E96" s="149" t="s">
        <v>4</v>
      </c>
      <c r="F96" s="149" t="s">
        <v>4</v>
      </c>
      <c r="G96" s="310">
        <f>PA[[#This Row],[Date]]-DAY(PA[[#This Row],[Date]])+1</f>
        <v>45809</v>
      </c>
      <c r="H96" s="155">
        <f>DAY(EOMONTH(PA[[#This Row],[Month Year]],0))</f>
        <v>30</v>
      </c>
      <c r="I96" s="151">
        <f>_xlfn.XLOOKUP(PA[[#This Row],[Date]],RD[Date],RD[Sunrise Time (POA&gt;20 W/m2)],0)</f>
        <v>0.26180555555555557</v>
      </c>
      <c r="J96" s="151">
        <f>_xlfn.XLOOKUP(PA[[#This Row],[Date]],RD[Date],RD[Sunset Time (POA&lt;20 W/m2)],0)</f>
        <v>0.78263888888888888</v>
      </c>
      <c r="K96" s="152">
        <f>IFERROR((PA[[#This Row],[Sunset Time (POA&lt;20 W/m2)]]-PA[[#This Row],[Sunrise Time (POA&gt;20 W/m2)]])*24,"")</f>
        <v>12.499999999999998</v>
      </c>
      <c r="L96" s="149" t="s">
        <v>225</v>
      </c>
      <c r="M96" s="180">
        <f>IFERROR(VLOOKUP(PA[[#This Row],[Affceted Equipment]],'Basic Data'!$A$2:$B$125,2,0),"")</f>
        <v>1053</v>
      </c>
      <c r="N96" s="181">
        <f>IFERROR(VLOOKUP(PA[[#This Row],[Affceted Equipment]],'Basic Data'!$A$1:$C$128,3,0),"")</f>
        <v>4.3369028006589788E-2</v>
      </c>
      <c r="O96" s="154" t="s">
        <v>225</v>
      </c>
      <c r="P96" s="149" t="s">
        <v>755</v>
      </c>
      <c r="Q96" s="149" t="s">
        <v>733</v>
      </c>
      <c r="R96" s="149" t="s">
        <v>758</v>
      </c>
      <c r="S96" s="187">
        <v>0.41666666666666669</v>
      </c>
      <c r="T96" s="187">
        <v>0.42708333333333331</v>
      </c>
      <c r="U96" s="187">
        <v>0.42708333333333331</v>
      </c>
      <c r="V96" s="187">
        <v>0.47916666666666669</v>
      </c>
      <c r="W96" s="182">
        <f>IF(PA[[#This Row],[Acknowledgemnet Time ]]="NA","",(PA[[#This Row],[Acknowledgemnet Time ]]-PA[[#This Row],[Fault Time]])*24)</f>
        <v>0.24999999999999911</v>
      </c>
      <c r="X96" s="182">
        <f>IF(PA[[#This Row],[Work Start time on Fault]]="NA","",(PA[[#This Row],[Work Start time on Fault]]-PA[[#This Row],[Fault Time]])*24)</f>
        <v>0.24999999999999911</v>
      </c>
      <c r="Y96" s="153">
        <f>(PA[[#This Row],[Work Completiuon time on fualt]]-PA[[#This Row],[Fault Time]])*24</f>
        <v>1.5</v>
      </c>
      <c r="Z96" s="153">
        <f>IFERROR((PA[[#This Row],[Work Completiuon time on fualt]]-PA[[#This Row],[Fault Time]])*24,"")</f>
        <v>1.5</v>
      </c>
      <c r="AA96" s="312" t="s">
        <v>757</v>
      </c>
      <c r="AB96" s="149" t="s">
        <v>173</v>
      </c>
      <c r="AC96" s="152">
        <f>IFERROR(PA[[#This Row],[Breakdown Time]]*PA[[#This Row],[Plant Equivalent Weightage]],)</f>
        <v>6.5053542009884682E-2</v>
      </c>
      <c r="AD96" s="153">
        <v>0.81</v>
      </c>
      <c r="AE96" s="163">
        <f>IFERROR(_xlfn.XLOOKUP(PA[[#This Row],[Month Year]],'Modelling New'!$D:$D,'Modelling New'!$O:$O)*M96*PA[[#This Row],[Lost PoA(kWh/m2)]],"")</f>
        <v>623.9903395248233</v>
      </c>
      <c r="AF96" s="150"/>
      <c r="AG96" s="150"/>
      <c r="AH96" s="150"/>
    </row>
    <row r="97" spans="1:34" x14ac:dyDescent="0.35">
      <c r="A97" s="147">
        <f t="shared" si="2"/>
        <v>94</v>
      </c>
      <c r="B97" s="183">
        <v>45832</v>
      </c>
      <c r="C97" s="180">
        <f>YEAR(PA[[#This Row],[Date]])+IF(MONTH(PA[[#This Row],[Date]])&gt;=4,1,0)</f>
        <v>2026</v>
      </c>
      <c r="D97" s="155">
        <f>YEAR(PA[[#This Row],[Date]])</f>
        <v>2025</v>
      </c>
      <c r="E97" s="149" t="s">
        <v>4</v>
      </c>
      <c r="F97" s="149" t="s">
        <v>4</v>
      </c>
      <c r="G97" s="310">
        <f>PA[[#This Row],[Date]]-DAY(PA[[#This Row],[Date]])+1</f>
        <v>45809</v>
      </c>
      <c r="H97" s="155">
        <f>DAY(EOMONTH(PA[[#This Row],[Month Year]],0))</f>
        <v>30</v>
      </c>
      <c r="I97" s="151">
        <f>_xlfn.XLOOKUP(PA[[#This Row],[Date]],RD[Date],RD[Sunrise Time (POA&gt;20 W/m2)],0)</f>
        <v>0.26666666666666666</v>
      </c>
      <c r="J97" s="151">
        <f>_xlfn.XLOOKUP(PA[[#This Row],[Date]],RD[Date],RD[Sunset Time (POA&lt;20 W/m2)],0)</f>
        <v>0.75972222222222219</v>
      </c>
      <c r="K97" s="152">
        <f>IFERROR((PA[[#This Row],[Sunset Time (POA&lt;20 W/m2)]]-PA[[#This Row],[Sunrise Time (POA&gt;20 W/m2)]])*24,"")</f>
        <v>11.833333333333332</v>
      </c>
      <c r="L97" s="166" t="s">
        <v>168</v>
      </c>
      <c r="M97" s="180">
        <v>24213.794999999998</v>
      </c>
      <c r="N97" s="181">
        <v>0.99727327018121903</v>
      </c>
      <c r="O97" s="166" t="s">
        <v>168</v>
      </c>
      <c r="P97" s="149" t="s">
        <v>170</v>
      </c>
      <c r="Q97" s="149" t="s">
        <v>717</v>
      </c>
      <c r="R97" s="154" t="s">
        <v>800</v>
      </c>
      <c r="S97" s="187">
        <v>0.31180555555555556</v>
      </c>
      <c r="T97" s="187">
        <v>0.32083333333333336</v>
      </c>
      <c r="U97" s="187">
        <v>0.32083333333333336</v>
      </c>
      <c r="V97" s="187">
        <v>0.32291666666666669</v>
      </c>
      <c r="W97" s="182">
        <f>IF(PA[[#This Row],[Acknowledgemnet Time ]]="NA","",(PA[[#This Row],[Acknowledgemnet Time ]]-PA[[#This Row],[Fault Time]])*24)</f>
        <v>0.21666666666666723</v>
      </c>
      <c r="X97" s="182">
        <f>IF(PA[[#This Row],[Work Start time on Fault]]="NA","",(PA[[#This Row],[Work Start time on Fault]]-PA[[#This Row],[Fault Time]])*24)</f>
        <v>0.21666666666666723</v>
      </c>
      <c r="Y97" s="153">
        <f>(PA[[#This Row],[Work Completiuon time on fualt]]-PA[[#This Row],[Fault Time]])*24</f>
        <v>0.26666666666666705</v>
      </c>
      <c r="Z97" s="153">
        <f>IFERROR((PA[[#This Row],[Work Completiuon time on fualt]]-PA[[#This Row],[Fault Time]])*24,"")</f>
        <v>0.26666666666666705</v>
      </c>
      <c r="AA97" s="149" t="s">
        <v>179</v>
      </c>
      <c r="AB97" s="149" t="s">
        <v>173</v>
      </c>
      <c r="AC97" s="152">
        <f>IFERROR(PA[[#This Row],[Breakdown Time]]*PA[[#This Row],[Plant Equivalent Weightage]],)</f>
        <v>0.26593953871499215</v>
      </c>
      <c r="AD97" s="153">
        <v>0.06</v>
      </c>
      <c r="AE97" s="163">
        <f>IFERROR(_xlfn.XLOOKUP(PA[[#This Row],[Month Year]],'Modelling New'!$D:$D,'Modelling New'!$O:$O)*M97*PA[[#This Row],[Lost PoA(kWh/m2)]],"")</f>
        <v>1062.8661786946971</v>
      </c>
      <c r="AF97" s="150"/>
      <c r="AG97" s="150"/>
      <c r="AH97" s="150"/>
    </row>
    <row r="98" spans="1:34" x14ac:dyDescent="0.35">
      <c r="A98" s="147">
        <f t="shared" si="2"/>
        <v>95</v>
      </c>
      <c r="B98" s="183">
        <v>45832</v>
      </c>
      <c r="C98" s="180">
        <f>YEAR(PA[[#This Row],[Date]])+IF(MONTH(PA[[#This Row],[Date]])&gt;=4,1,0)</f>
        <v>2026</v>
      </c>
      <c r="D98" s="155">
        <f>YEAR(PA[[#This Row],[Date]])</f>
        <v>2025</v>
      </c>
      <c r="E98" s="149" t="s">
        <v>4</v>
      </c>
      <c r="F98" s="149" t="s">
        <v>4</v>
      </c>
      <c r="G98" s="310">
        <f>PA[[#This Row],[Date]]-DAY(PA[[#This Row],[Date]])+1</f>
        <v>45809</v>
      </c>
      <c r="H98" s="155">
        <f>DAY(EOMONTH(PA[[#This Row],[Month Year]],0))</f>
        <v>30</v>
      </c>
      <c r="I98" s="151">
        <f>_xlfn.XLOOKUP(PA[[#This Row],[Date]],RD[Date],RD[Sunrise Time (POA&gt;20 W/m2)],0)</f>
        <v>0.26666666666666666</v>
      </c>
      <c r="J98" s="151">
        <f>_xlfn.XLOOKUP(PA[[#This Row],[Date]],RD[Date],RD[Sunset Time (POA&lt;20 W/m2)],0)</f>
        <v>0.75972222222222219</v>
      </c>
      <c r="K98" s="152">
        <f>IFERROR((PA[[#This Row],[Sunset Time (POA&lt;20 W/m2)]]-PA[[#This Row],[Sunrise Time (POA&gt;20 W/m2)]])*24,"")</f>
        <v>11.833333333333332</v>
      </c>
      <c r="L98" s="166" t="s">
        <v>221</v>
      </c>
      <c r="M98" s="180">
        <f>IFERROR(VLOOKUP(PA[[#This Row],[Affceted Equipment]],'Basic Data'!$A$2:$B$125,2,0),"")</f>
        <v>1248</v>
      </c>
      <c r="N98" s="181">
        <f>IFERROR(VLOOKUP(PA[[#This Row],[Affceted Equipment]],'Basic Data'!$A$1:$C$128,3,0),"")</f>
        <v>5.1400329489291595E-2</v>
      </c>
      <c r="O98" s="166" t="s">
        <v>221</v>
      </c>
      <c r="P98" s="149" t="s">
        <v>801</v>
      </c>
      <c r="Q98" s="149" t="s">
        <v>802</v>
      </c>
      <c r="R98" s="149" t="s">
        <v>803</v>
      </c>
      <c r="S98" s="187">
        <v>0.34722222222222221</v>
      </c>
      <c r="T98" s="187">
        <v>0.34722222222222221</v>
      </c>
      <c r="U98" s="187">
        <v>0.34722222222222221</v>
      </c>
      <c r="V98" s="187">
        <v>0.3576388888888889</v>
      </c>
      <c r="W98" s="182">
        <f>IF(PA[[#This Row],[Acknowledgemnet Time ]]="NA","",(PA[[#This Row],[Acknowledgemnet Time ]]-PA[[#This Row],[Fault Time]])*24)</f>
        <v>0</v>
      </c>
      <c r="X98" s="182">
        <f>IF(PA[[#This Row],[Work Start time on Fault]]="NA","",(PA[[#This Row],[Work Start time on Fault]]-PA[[#This Row],[Fault Time]])*24)</f>
        <v>0</v>
      </c>
      <c r="Y98" s="153">
        <f>(PA[[#This Row],[Work Completiuon time on fualt]]-PA[[#This Row],[Fault Time]])*24</f>
        <v>0.25000000000000044</v>
      </c>
      <c r="Z98" s="153">
        <f>IFERROR((PA[[#This Row],[Work Completiuon time on fualt]]-PA[[#This Row],[Fault Time]])*24,"")</f>
        <v>0.25000000000000044</v>
      </c>
      <c r="AA98" s="312" t="s">
        <v>804</v>
      </c>
      <c r="AB98" s="149" t="s">
        <v>173</v>
      </c>
      <c r="AC98" s="152">
        <f>IFERROR(PA[[#This Row],[Breakdown Time]]*PA[[#This Row],[Plant Equivalent Weightage]],)</f>
        <v>1.2850082372322921E-2</v>
      </c>
      <c r="AD98" s="153">
        <v>7.4999999999999997E-2</v>
      </c>
      <c r="AE98" s="163">
        <f>IFERROR(_xlfn.XLOOKUP(PA[[#This Row],[Month Year]],'Modelling New'!$D:$D,'Modelling New'!$O:$O)*M98*PA[[#This Row],[Lost PoA(kWh/m2)]],"")</f>
        <v>68.476306120693906</v>
      </c>
      <c r="AF98" s="150"/>
      <c r="AG98" s="150"/>
      <c r="AH98" s="150"/>
    </row>
    <row r="99" spans="1:34" x14ac:dyDescent="0.35">
      <c r="A99" s="147">
        <f t="shared" si="2"/>
        <v>96</v>
      </c>
      <c r="B99" s="183">
        <v>45832</v>
      </c>
      <c r="C99" s="180">
        <f>YEAR(PA[[#This Row],[Date]])+IF(MONTH(PA[[#This Row],[Date]])&gt;=4,1,0)</f>
        <v>2026</v>
      </c>
      <c r="D99" s="155">
        <f>YEAR(PA[[#This Row],[Date]])</f>
        <v>2025</v>
      </c>
      <c r="E99" s="149" t="s">
        <v>4</v>
      </c>
      <c r="F99" s="149" t="s">
        <v>4</v>
      </c>
      <c r="G99" s="310">
        <f>PA[[#This Row],[Date]]-DAY(PA[[#This Row],[Date]])+1</f>
        <v>45809</v>
      </c>
      <c r="H99" s="155">
        <f>DAY(EOMONTH(PA[[#This Row],[Month Year]],0))</f>
        <v>30</v>
      </c>
      <c r="I99" s="151">
        <f>_xlfn.XLOOKUP(PA[[#This Row],[Date]],RD[Date],RD[Sunrise Time (POA&gt;20 W/m2)],0)</f>
        <v>0.26666666666666666</v>
      </c>
      <c r="J99" s="151">
        <f>_xlfn.XLOOKUP(PA[[#This Row],[Date]],RD[Date],RD[Sunset Time (POA&lt;20 W/m2)],0)</f>
        <v>0.75972222222222219</v>
      </c>
      <c r="K99" s="152">
        <f>IFERROR((PA[[#This Row],[Sunset Time (POA&lt;20 W/m2)]]-PA[[#This Row],[Sunrise Time (POA&gt;20 W/m2)]])*24,"")</f>
        <v>11.833333333333332</v>
      </c>
      <c r="L99" s="166" t="s">
        <v>225</v>
      </c>
      <c r="M99" s="180">
        <f>IFERROR(VLOOKUP(PA[[#This Row],[Affceted Equipment]],'Basic Data'!$A$2:$B$125,2,0),"")</f>
        <v>1053</v>
      </c>
      <c r="N99" s="181">
        <f>IFERROR(VLOOKUP(PA[[#This Row],[Affceted Equipment]],'Basic Data'!$A$1:$C$128,3,0),"")</f>
        <v>4.3369028006589788E-2</v>
      </c>
      <c r="O99" s="166" t="s">
        <v>225</v>
      </c>
      <c r="P99" s="149" t="s">
        <v>801</v>
      </c>
      <c r="Q99" s="149" t="s">
        <v>802</v>
      </c>
      <c r="R99" s="149" t="s">
        <v>805</v>
      </c>
      <c r="S99" s="187">
        <v>0.34722222222222221</v>
      </c>
      <c r="T99" s="187">
        <v>0.34722222222222221</v>
      </c>
      <c r="U99" s="187">
        <v>0.34722222222222221</v>
      </c>
      <c r="V99" s="187">
        <v>0.3576388888888889</v>
      </c>
      <c r="W99" s="182">
        <f>IF(PA[[#This Row],[Acknowledgemnet Time ]]="NA","",(PA[[#This Row],[Acknowledgemnet Time ]]-PA[[#This Row],[Fault Time]])*24)</f>
        <v>0</v>
      </c>
      <c r="X99" s="182">
        <f>IF(PA[[#This Row],[Work Start time on Fault]]="NA","",(PA[[#This Row],[Work Start time on Fault]]-PA[[#This Row],[Fault Time]])*24)</f>
        <v>0</v>
      </c>
      <c r="Y99" s="153">
        <f>(PA[[#This Row],[Work Completiuon time on fualt]]-PA[[#This Row],[Fault Time]])*24</f>
        <v>0.25000000000000044</v>
      </c>
      <c r="Z99" s="153">
        <f>IFERROR((PA[[#This Row],[Work Completiuon time on fualt]]-PA[[#This Row],[Fault Time]])*24,"")</f>
        <v>0.25000000000000044</v>
      </c>
      <c r="AA99" s="312" t="s">
        <v>806</v>
      </c>
      <c r="AB99" s="149" t="s">
        <v>173</v>
      </c>
      <c r="AC99" s="152">
        <f>IFERROR(PA[[#This Row],[Breakdown Time]]*PA[[#This Row],[Plant Equivalent Weightage]],)</f>
        <v>1.0842257001647466E-2</v>
      </c>
      <c r="AD99" s="153">
        <v>7.4999999999999997E-2</v>
      </c>
      <c r="AE99" s="163">
        <f>IFERROR(_xlfn.XLOOKUP(PA[[#This Row],[Month Year]],'Modelling New'!$D:$D,'Modelling New'!$O:$O)*M99*PA[[#This Row],[Lost PoA(kWh/m2)]],"")</f>
        <v>57.776883289335487</v>
      </c>
      <c r="AF99" s="150"/>
      <c r="AG99" s="150"/>
      <c r="AH99" s="150"/>
    </row>
    <row r="100" spans="1:34" x14ac:dyDescent="0.35">
      <c r="A100" s="147">
        <f t="shared" si="2"/>
        <v>97</v>
      </c>
      <c r="B100" s="183">
        <v>45832</v>
      </c>
      <c r="C100" s="180">
        <f>YEAR(PA[[#This Row],[Date]])+IF(MONTH(PA[[#This Row],[Date]])&gt;=4,1,0)</f>
        <v>2026</v>
      </c>
      <c r="D100" s="155">
        <f>YEAR(PA[[#This Row],[Date]])</f>
        <v>2025</v>
      </c>
      <c r="E100" s="149" t="s">
        <v>4</v>
      </c>
      <c r="F100" s="149" t="s">
        <v>4</v>
      </c>
      <c r="G100" s="310">
        <f>PA[[#This Row],[Date]]-DAY(PA[[#This Row],[Date]])+1</f>
        <v>45809</v>
      </c>
      <c r="H100" s="155">
        <f>DAY(EOMONTH(PA[[#This Row],[Month Year]],0))</f>
        <v>30</v>
      </c>
      <c r="I100" s="151">
        <f>_xlfn.XLOOKUP(PA[[#This Row],[Date]],RD[Date],RD[Sunrise Time (POA&gt;20 W/m2)],0)</f>
        <v>0.26666666666666666</v>
      </c>
      <c r="J100" s="151">
        <f>_xlfn.XLOOKUP(PA[[#This Row],[Date]],RD[Date],RD[Sunset Time (POA&lt;20 W/m2)],0)</f>
        <v>0.75972222222222219</v>
      </c>
      <c r="K100" s="152">
        <f>IFERROR((PA[[#This Row],[Sunset Time (POA&lt;20 W/m2)]]-PA[[#This Row],[Sunrise Time (POA&gt;20 W/m2)]])*24,"")</f>
        <v>11.833333333333332</v>
      </c>
      <c r="L100" s="149" t="s">
        <v>229</v>
      </c>
      <c r="M100" s="180">
        <f>IFERROR(VLOOKUP(PA[[#This Row],[Affceted Equipment]],'Basic Data'!$A$2:$B$125,2,0),"")</f>
        <v>1222</v>
      </c>
      <c r="N100" s="181">
        <f>IFERROR(VLOOKUP(PA[[#This Row],[Affceted Equipment]],'Basic Data'!$A$1:$C$128,3,0),"")</f>
        <v>5.0329489291598022E-2</v>
      </c>
      <c r="O100" s="154" t="s">
        <v>229</v>
      </c>
      <c r="P100" s="149" t="s">
        <v>755</v>
      </c>
      <c r="Q100" s="149" t="s">
        <v>733</v>
      </c>
      <c r="R100" s="149" t="s">
        <v>807</v>
      </c>
      <c r="S100" s="187">
        <v>0.34722222222222221</v>
      </c>
      <c r="T100" s="187">
        <v>0.3576388888888889</v>
      </c>
      <c r="U100" s="187">
        <v>0.3576388888888889</v>
      </c>
      <c r="V100" s="187">
        <v>0.36805555555555558</v>
      </c>
      <c r="W100" s="182">
        <f>IF(PA[[#This Row],[Acknowledgemnet Time ]]="NA","",(PA[[#This Row],[Acknowledgemnet Time ]]-PA[[#This Row],[Fault Time]])*24)</f>
        <v>0.25000000000000044</v>
      </c>
      <c r="X100" s="182">
        <f>IF(PA[[#This Row],[Work Start time on Fault]]="NA","",(PA[[#This Row],[Work Start time on Fault]]-PA[[#This Row],[Fault Time]])*24)</f>
        <v>0.25000000000000044</v>
      </c>
      <c r="Y100" s="153">
        <f>(PA[[#This Row],[Work Completiuon time on fualt]]-PA[[#This Row],[Fault Time]])*24</f>
        <v>0.50000000000000089</v>
      </c>
      <c r="Z100" s="153">
        <f>IFERROR((PA[[#This Row],[Work Completiuon time on fualt]]-PA[[#This Row],[Fault Time]])*24,"")</f>
        <v>0.50000000000000089</v>
      </c>
      <c r="AA100" s="312" t="s">
        <v>808</v>
      </c>
      <c r="AB100" s="149" t="s">
        <v>173</v>
      </c>
      <c r="AC100" s="152">
        <f>IFERROR(PA[[#This Row],[Breakdown Time]]*PA[[#This Row],[Plant Equivalent Weightage]],)</f>
        <v>2.5164744645799056E-2</v>
      </c>
      <c r="AD100" s="153">
        <v>0.76</v>
      </c>
      <c r="AE100" s="163">
        <f>IFERROR(_xlfn.XLOOKUP(PA[[#This Row],[Month Year]],'Modelling New'!$D:$D,'Modelling New'!$O:$O)*M100*PA[[#This Row],[Lost PoA(kWh/m2)]],"")</f>
        <v>679.43712628644073</v>
      </c>
      <c r="AF100" s="150"/>
      <c r="AG100" s="150"/>
      <c r="AH100" s="150"/>
    </row>
    <row r="101" spans="1:34" x14ac:dyDescent="0.35">
      <c r="A101" s="147">
        <f t="shared" si="2"/>
        <v>98</v>
      </c>
      <c r="B101" s="183">
        <v>45832</v>
      </c>
      <c r="C101" s="180">
        <f>YEAR(PA[[#This Row],[Date]])+IF(MONTH(PA[[#This Row],[Date]])&gt;=4,1,0)</f>
        <v>2026</v>
      </c>
      <c r="D101" s="155">
        <f>YEAR(PA[[#This Row],[Date]])</f>
        <v>2025</v>
      </c>
      <c r="E101" s="149" t="s">
        <v>4</v>
      </c>
      <c r="F101" s="149" t="s">
        <v>4</v>
      </c>
      <c r="G101" s="310">
        <f>PA[[#This Row],[Date]]-DAY(PA[[#This Row],[Date]])+1</f>
        <v>45809</v>
      </c>
      <c r="H101" s="155">
        <f>DAY(EOMONTH(PA[[#This Row],[Month Year]],0))</f>
        <v>30</v>
      </c>
      <c r="I101" s="151">
        <f>_xlfn.XLOOKUP(PA[[#This Row],[Date]],RD[Date],RD[Sunrise Time (POA&gt;20 W/m2)],0)</f>
        <v>0.26666666666666666</v>
      </c>
      <c r="J101" s="151">
        <f>_xlfn.XLOOKUP(PA[[#This Row],[Date]],RD[Date],RD[Sunset Time (POA&lt;20 W/m2)],0)</f>
        <v>0.75972222222222219</v>
      </c>
      <c r="K101" s="152">
        <f>IFERROR((PA[[#This Row],[Sunset Time (POA&lt;20 W/m2)]]-PA[[#This Row],[Sunrise Time (POA&gt;20 W/m2)]])*24,"")</f>
        <v>11.833333333333332</v>
      </c>
      <c r="L101" s="166" t="s">
        <v>473</v>
      </c>
      <c r="M101" s="180">
        <f>IFERROR(VLOOKUP(PA[[#This Row],[Affceted Equipment]],'Basic Data'!$A$2:$B$125,2,0),"")</f>
        <v>6.5</v>
      </c>
      <c r="N101" s="181">
        <f>IFERROR(VLOOKUP(PA[[#This Row],[Affceted Equipment]],'Basic Data'!$A$1:$C$128,3,0),"")</f>
        <v>2.6771004942339376E-4</v>
      </c>
      <c r="O101" s="166" t="s">
        <v>809</v>
      </c>
      <c r="P101" s="149" t="s">
        <v>774</v>
      </c>
      <c r="Q101" s="149" t="s">
        <v>774</v>
      </c>
      <c r="R101" s="149" t="s">
        <v>810</v>
      </c>
      <c r="S101" s="187">
        <v>0.36805555555555558</v>
      </c>
      <c r="T101" s="187">
        <v>0.36805555555555558</v>
      </c>
      <c r="U101" s="187">
        <v>0.36805555555555558</v>
      </c>
      <c r="V101" s="187">
        <v>0.58333333333333337</v>
      </c>
      <c r="W101" s="182">
        <f>IF(PA[[#This Row],[Acknowledgemnet Time ]]="NA","",(PA[[#This Row],[Acknowledgemnet Time ]]-PA[[#This Row],[Fault Time]])*24)</f>
        <v>0</v>
      </c>
      <c r="X101" s="182">
        <f>IF(PA[[#This Row],[Work Start time on Fault]]="NA","",(PA[[#This Row],[Work Start time on Fault]]-PA[[#This Row],[Fault Time]])*24)</f>
        <v>0</v>
      </c>
      <c r="Y101" s="153">
        <f>(PA[[#This Row],[Work Completiuon time on fualt]]-PA[[#This Row],[Fault Time]])*24</f>
        <v>5.166666666666667</v>
      </c>
      <c r="Z101" s="153">
        <f>IFERROR((PA[[#This Row],[Work Completiuon time on fualt]]-PA[[#This Row],[Fault Time]])*24,"")</f>
        <v>5.166666666666667</v>
      </c>
      <c r="AA101" s="307" t="s">
        <v>776</v>
      </c>
      <c r="AB101" s="149" t="s">
        <v>173</v>
      </c>
      <c r="AC101" s="152">
        <f>IFERROR(PA[[#This Row],[Breakdown Time]]*PA[[#This Row],[Plant Equivalent Weightage]],)</f>
        <v>1.3831685886875344E-3</v>
      </c>
      <c r="AD101" s="153">
        <v>1.97</v>
      </c>
      <c r="AE101" s="163">
        <f>IFERROR(_xlfn.XLOOKUP(PA[[#This Row],[Month Year]],'Modelling New'!$D:$D,'Modelling New'!$O:$O)*M101*PA[[#This Row],[Lost PoA(kWh/m2)]],"")</f>
        <v>9.3679391012338193</v>
      </c>
      <c r="AF101" s="150"/>
      <c r="AG101" s="150"/>
      <c r="AH101" s="150"/>
    </row>
    <row r="102" spans="1:34" x14ac:dyDescent="0.35">
      <c r="A102" s="147">
        <f t="shared" si="2"/>
        <v>99</v>
      </c>
      <c r="B102" s="183">
        <v>45832</v>
      </c>
      <c r="C102" s="180">
        <f>YEAR(PA[[#This Row],[Date]])+IF(MONTH(PA[[#This Row],[Date]])&gt;=4,1,0)</f>
        <v>2026</v>
      </c>
      <c r="D102" s="155">
        <f>YEAR(PA[[#This Row],[Date]])</f>
        <v>2025</v>
      </c>
      <c r="E102" s="149" t="s">
        <v>4</v>
      </c>
      <c r="F102" s="149" t="s">
        <v>4</v>
      </c>
      <c r="G102" s="310">
        <f>PA[[#This Row],[Date]]-DAY(PA[[#This Row],[Date]])+1</f>
        <v>45809</v>
      </c>
      <c r="H102" s="155">
        <f>DAY(EOMONTH(PA[[#This Row],[Month Year]],0))</f>
        <v>30</v>
      </c>
      <c r="I102" s="151">
        <f>_xlfn.XLOOKUP(PA[[#This Row],[Date]],RD[Date],RD[Sunrise Time (POA&gt;20 W/m2)],0)</f>
        <v>0.26666666666666666</v>
      </c>
      <c r="J102" s="151">
        <f>_xlfn.XLOOKUP(PA[[#This Row],[Date]],RD[Date],RD[Sunset Time (POA&lt;20 W/m2)],0)</f>
        <v>0.75972222222222219</v>
      </c>
      <c r="K102" s="152">
        <f>IFERROR((PA[[#This Row],[Sunset Time (POA&lt;20 W/m2)]]-PA[[#This Row],[Sunrise Time (POA&gt;20 W/m2)]])*24,"")</f>
        <v>11.833333333333332</v>
      </c>
      <c r="L102" s="166" t="s">
        <v>473</v>
      </c>
      <c r="M102" s="180">
        <f>IFERROR(VLOOKUP(PA[[#This Row],[Affceted Equipment]],'Basic Data'!$A$2:$B$125,2,0),"")</f>
        <v>6.5</v>
      </c>
      <c r="N102" s="181">
        <f>IFERROR(VLOOKUP(PA[[#This Row],[Affceted Equipment]],'Basic Data'!$A$1:$C$128,3,0),"")</f>
        <v>2.6771004942339376E-4</v>
      </c>
      <c r="O102" s="166" t="s">
        <v>809</v>
      </c>
      <c r="P102" s="149" t="s">
        <v>774</v>
      </c>
      <c r="Q102" s="149" t="s">
        <v>774</v>
      </c>
      <c r="R102" s="149" t="s">
        <v>810</v>
      </c>
      <c r="S102" s="187">
        <v>0.36805555555555558</v>
      </c>
      <c r="T102" s="187">
        <v>0.36805555555555558</v>
      </c>
      <c r="U102" s="187">
        <v>0.36805555555555558</v>
      </c>
      <c r="V102" s="187">
        <v>0.58333333333333337</v>
      </c>
      <c r="W102" s="182">
        <f>IF(PA[[#This Row],[Acknowledgemnet Time ]]="NA","",(PA[[#This Row],[Acknowledgemnet Time ]]-PA[[#This Row],[Fault Time]])*24)</f>
        <v>0</v>
      </c>
      <c r="X102" s="182">
        <f>IF(PA[[#This Row],[Work Start time on Fault]]="NA","",(PA[[#This Row],[Work Start time on Fault]]-PA[[#This Row],[Fault Time]])*24)</f>
        <v>0</v>
      </c>
      <c r="Y102" s="153">
        <f>(PA[[#This Row],[Work Completiuon time on fualt]]-PA[[#This Row],[Fault Time]])*24</f>
        <v>5.166666666666667</v>
      </c>
      <c r="Z102" s="153">
        <f>IFERROR((PA[[#This Row],[Work Completiuon time on fualt]]-PA[[#This Row],[Fault Time]])*24,"")</f>
        <v>5.166666666666667</v>
      </c>
      <c r="AA102" s="307" t="s">
        <v>776</v>
      </c>
      <c r="AB102" s="149" t="s">
        <v>173</v>
      </c>
      <c r="AC102" s="152">
        <f>IFERROR(PA[[#This Row],[Breakdown Time]]*PA[[#This Row],[Plant Equivalent Weightage]],)</f>
        <v>1.3831685886875344E-3</v>
      </c>
      <c r="AD102" s="153">
        <v>1.97</v>
      </c>
      <c r="AE102" s="163">
        <f>IFERROR(_xlfn.XLOOKUP(PA[[#This Row],[Month Year]],'Modelling New'!$D:$D,'Modelling New'!$O:$O)*M102*PA[[#This Row],[Lost PoA(kWh/m2)]],"")</f>
        <v>9.3679391012338193</v>
      </c>
      <c r="AF102" s="150"/>
      <c r="AG102" s="150"/>
      <c r="AH102" s="150"/>
    </row>
    <row r="103" spans="1:34" x14ac:dyDescent="0.35">
      <c r="A103" s="147">
        <f t="shared" si="2"/>
        <v>100</v>
      </c>
      <c r="B103" s="183">
        <v>45832</v>
      </c>
      <c r="C103" s="180">
        <f>YEAR(PA[[#This Row],[Date]])+IF(MONTH(PA[[#This Row],[Date]])&gt;=4,1,0)</f>
        <v>2026</v>
      </c>
      <c r="D103" s="155">
        <f>YEAR(PA[[#This Row],[Date]])</f>
        <v>2025</v>
      </c>
      <c r="E103" s="149" t="s">
        <v>4</v>
      </c>
      <c r="F103" s="149" t="s">
        <v>4</v>
      </c>
      <c r="G103" s="310">
        <f>PA[[#This Row],[Date]]-DAY(PA[[#This Row],[Date]])+1</f>
        <v>45809</v>
      </c>
      <c r="H103" s="155">
        <f>DAY(EOMONTH(PA[[#This Row],[Month Year]],0))</f>
        <v>30</v>
      </c>
      <c r="I103" s="151">
        <f>_xlfn.XLOOKUP(PA[[#This Row],[Date]],RD[Date],RD[Sunrise Time (POA&gt;20 W/m2)],0)</f>
        <v>0.26666666666666666</v>
      </c>
      <c r="J103" s="151">
        <f>_xlfn.XLOOKUP(PA[[#This Row],[Date]],RD[Date],RD[Sunset Time (POA&lt;20 W/m2)],0)</f>
        <v>0.75972222222222219</v>
      </c>
      <c r="K103" s="152">
        <f>IFERROR((PA[[#This Row],[Sunset Time (POA&lt;20 W/m2)]]-PA[[#This Row],[Sunrise Time (POA&gt;20 W/m2)]])*24,"")</f>
        <v>11.833333333333332</v>
      </c>
      <c r="L103" s="166" t="s">
        <v>473</v>
      </c>
      <c r="M103" s="180">
        <f>IFERROR(VLOOKUP(PA[[#This Row],[Affceted Equipment]],'Basic Data'!$A$2:$B$125,2,0),"")</f>
        <v>6.5</v>
      </c>
      <c r="N103" s="181">
        <f>IFERROR(VLOOKUP(PA[[#This Row],[Affceted Equipment]],'Basic Data'!$A$1:$C$128,3,0),"")</f>
        <v>2.6771004942339376E-4</v>
      </c>
      <c r="O103" s="166" t="s">
        <v>811</v>
      </c>
      <c r="P103" s="149" t="s">
        <v>774</v>
      </c>
      <c r="Q103" s="149" t="s">
        <v>774</v>
      </c>
      <c r="R103" s="149" t="s">
        <v>810</v>
      </c>
      <c r="S103" s="187">
        <v>0.36805555555555558</v>
      </c>
      <c r="T103" s="187">
        <v>0.36805555555555558</v>
      </c>
      <c r="U103" s="187">
        <v>0.36805555555555558</v>
      </c>
      <c r="V103" s="187">
        <v>0.58333333333333337</v>
      </c>
      <c r="W103" s="182">
        <f>IF(PA[[#This Row],[Acknowledgemnet Time ]]="NA","",(PA[[#This Row],[Acknowledgemnet Time ]]-PA[[#This Row],[Fault Time]])*24)</f>
        <v>0</v>
      </c>
      <c r="X103" s="182">
        <f>IF(PA[[#This Row],[Work Start time on Fault]]="NA","",(PA[[#This Row],[Work Start time on Fault]]-PA[[#This Row],[Fault Time]])*24)</f>
        <v>0</v>
      </c>
      <c r="Y103" s="153">
        <f>(PA[[#This Row],[Work Completiuon time on fualt]]-PA[[#This Row],[Fault Time]])*24</f>
        <v>5.166666666666667</v>
      </c>
      <c r="Z103" s="153">
        <f>IFERROR((PA[[#This Row],[Work Completiuon time on fualt]]-PA[[#This Row],[Fault Time]])*24,"")</f>
        <v>5.166666666666667</v>
      </c>
      <c r="AA103" s="307" t="s">
        <v>776</v>
      </c>
      <c r="AB103" s="149" t="s">
        <v>173</v>
      </c>
      <c r="AC103" s="152">
        <f>IFERROR(PA[[#This Row],[Breakdown Time]]*PA[[#This Row],[Plant Equivalent Weightage]],)</f>
        <v>1.3831685886875344E-3</v>
      </c>
      <c r="AD103" s="153">
        <v>1.97</v>
      </c>
      <c r="AE103" s="163">
        <f>IFERROR(_xlfn.XLOOKUP(PA[[#This Row],[Month Year]],'Modelling New'!$D:$D,'Modelling New'!$O:$O)*M103*PA[[#This Row],[Lost PoA(kWh/m2)]],"")</f>
        <v>9.3679391012338193</v>
      </c>
      <c r="AF103" s="150"/>
      <c r="AG103" s="150"/>
      <c r="AH103" s="150"/>
    </row>
    <row r="104" spans="1:34" x14ac:dyDescent="0.35">
      <c r="A104" s="147">
        <f t="shared" si="2"/>
        <v>101</v>
      </c>
      <c r="B104" s="183">
        <v>45832</v>
      </c>
      <c r="C104" s="180">
        <f>YEAR(PA[[#This Row],[Date]])+IF(MONTH(PA[[#This Row],[Date]])&gt;=4,1,0)</f>
        <v>2026</v>
      </c>
      <c r="D104" s="155">
        <f>YEAR(PA[[#This Row],[Date]])</f>
        <v>2025</v>
      </c>
      <c r="E104" s="149" t="s">
        <v>4</v>
      </c>
      <c r="F104" s="149" t="s">
        <v>4</v>
      </c>
      <c r="G104" s="310">
        <f>PA[[#This Row],[Date]]-DAY(PA[[#This Row],[Date]])+1</f>
        <v>45809</v>
      </c>
      <c r="H104" s="155">
        <f>DAY(EOMONTH(PA[[#This Row],[Month Year]],0))</f>
        <v>30</v>
      </c>
      <c r="I104" s="151">
        <f>_xlfn.XLOOKUP(PA[[#This Row],[Date]],RD[Date],RD[Sunrise Time (POA&gt;20 W/m2)],0)</f>
        <v>0.26666666666666666</v>
      </c>
      <c r="J104" s="151">
        <f>_xlfn.XLOOKUP(PA[[#This Row],[Date]],RD[Date],RD[Sunset Time (POA&lt;20 W/m2)],0)</f>
        <v>0.75972222222222219</v>
      </c>
      <c r="K104" s="152">
        <f>IFERROR((PA[[#This Row],[Sunset Time (POA&lt;20 W/m2)]]-PA[[#This Row],[Sunrise Time (POA&gt;20 W/m2)]])*24,"")</f>
        <v>11.833333333333332</v>
      </c>
      <c r="L104" s="166" t="s">
        <v>472</v>
      </c>
      <c r="M104" s="180">
        <f>IFERROR(VLOOKUP(PA[[#This Row],[Affceted Equipment]],'Basic Data'!$A$2:$B$125,2,0),"")</f>
        <v>6.4</v>
      </c>
      <c r="N104" s="181">
        <f>IFERROR(VLOOKUP(PA[[#This Row],[Affceted Equipment]],'Basic Data'!$A$1:$C$128,3,0),"")</f>
        <v>2.6359143327841849E-4</v>
      </c>
      <c r="O104" s="166" t="s">
        <v>812</v>
      </c>
      <c r="P104" s="149" t="s">
        <v>782</v>
      </c>
      <c r="Q104" s="149" t="s">
        <v>782</v>
      </c>
      <c r="R104" s="149" t="s">
        <v>813</v>
      </c>
      <c r="S104" s="187">
        <v>0.4513888888888889</v>
      </c>
      <c r="T104" s="187">
        <v>0.45833333333333331</v>
      </c>
      <c r="U104" s="187">
        <v>0.45833333333333331</v>
      </c>
      <c r="V104" s="187">
        <v>0.625</v>
      </c>
      <c r="W104" s="182">
        <f>IF(PA[[#This Row],[Acknowledgemnet Time ]]="NA","",(PA[[#This Row],[Acknowledgemnet Time ]]-PA[[#This Row],[Fault Time]])*24)</f>
        <v>0.16666666666666607</v>
      </c>
      <c r="X104" s="182">
        <f>IF(PA[[#This Row],[Work Start time on Fault]]="NA","",(PA[[#This Row],[Work Start time on Fault]]-PA[[#This Row],[Fault Time]])*24)</f>
        <v>0.16666666666666607</v>
      </c>
      <c r="Y104" s="153">
        <f>(PA[[#This Row],[Work Completiuon time on fualt]]-PA[[#This Row],[Fault Time]])*24</f>
        <v>4.1666666666666661</v>
      </c>
      <c r="Z104" s="153">
        <f>IFERROR((PA[[#This Row],[Work Completiuon time on fualt]]-PA[[#This Row],[Fault Time]])*24,"")</f>
        <v>4.1666666666666661</v>
      </c>
      <c r="AA104" s="312" t="s">
        <v>784</v>
      </c>
      <c r="AB104" s="149" t="s">
        <v>173</v>
      </c>
      <c r="AC104" s="152">
        <f>IFERROR(PA[[#This Row],[Breakdown Time]]*PA[[#This Row],[Plant Equivalent Weightage]],)</f>
        <v>1.0982976386600769E-3</v>
      </c>
      <c r="AD104" s="153">
        <v>2.08</v>
      </c>
      <c r="AE104" s="163">
        <f>IFERROR(_xlfn.XLOOKUP(PA[[#This Row],[Month Year]],'Modelling New'!$D:$D,'Modelling New'!$O:$O)*M104*PA[[#This Row],[Lost PoA(kWh/m2)]],"")</f>
        <v>9.7388524260542457</v>
      </c>
      <c r="AF104" s="150"/>
      <c r="AG104" s="150"/>
      <c r="AH104" s="150"/>
    </row>
    <row r="105" spans="1:34" x14ac:dyDescent="0.35">
      <c r="A105" s="147">
        <f t="shared" si="2"/>
        <v>102</v>
      </c>
      <c r="B105" s="183">
        <v>45832</v>
      </c>
      <c r="C105" s="180">
        <f>YEAR(PA[[#This Row],[Date]])+IF(MONTH(PA[[#This Row],[Date]])&gt;=4,1,0)</f>
        <v>2026</v>
      </c>
      <c r="D105" s="155">
        <f>YEAR(PA[[#This Row],[Date]])</f>
        <v>2025</v>
      </c>
      <c r="E105" s="149" t="s">
        <v>4</v>
      </c>
      <c r="F105" s="149" t="s">
        <v>4</v>
      </c>
      <c r="G105" s="310">
        <f>PA[[#This Row],[Date]]-DAY(PA[[#This Row],[Date]])+1</f>
        <v>45809</v>
      </c>
      <c r="H105" s="155">
        <f>DAY(EOMONTH(PA[[#This Row],[Month Year]],0))</f>
        <v>30</v>
      </c>
      <c r="I105" s="151">
        <f>_xlfn.XLOOKUP(PA[[#This Row],[Date]],RD[Date],RD[Sunrise Time (POA&gt;20 W/m2)],0)</f>
        <v>0.26666666666666666</v>
      </c>
      <c r="J105" s="151">
        <f>_xlfn.XLOOKUP(PA[[#This Row],[Date]],RD[Date],RD[Sunset Time (POA&lt;20 W/m2)],0)</f>
        <v>0.75972222222222219</v>
      </c>
      <c r="K105" s="152">
        <f>IFERROR((PA[[#This Row],[Sunset Time (POA&lt;20 W/m2)]]-PA[[#This Row],[Sunrise Time (POA&gt;20 W/m2)]])*24,"")</f>
        <v>11.833333333333332</v>
      </c>
      <c r="L105" s="166" t="s">
        <v>472</v>
      </c>
      <c r="M105" s="180">
        <f>IFERROR(VLOOKUP(PA[[#This Row],[Affceted Equipment]],'Basic Data'!$A$2:$B$125,2,0),"")</f>
        <v>6.4</v>
      </c>
      <c r="N105" s="181">
        <f>IFERROR(VLOOKUP(PA[[#This Row],[Affceted Equipment]],'Basic Data'!$A$1:$C$128,3,0),"")</f>
        <v>2.6359143327841849E-4</v>
      </c>
      <c r="O105" s="166" t="s">
        <v>812</v>
      </c>
      <c r="P105" s="149" t="s">
        <v>782</v>
      </c>
      <c r="Q105" s="149" t="s">
        <v>782</v>
      </c>
      <c r="R105" s="149" t="s">
        <v>814</v>
      </c>
      <c r="S105" s="187">
        <v>0.4513888888888889</v>
      </c>
      <c r="T105" s="187">
        <v>0.45833333333333331</v>
      </c>
      <c r="U105" s="187">
        <v>0.45833333333333331</v>
      </c>
      <c r="V105" s="187">
        <v>0.625</v>
      </c>
      <c r="W105" s="182">
        <f>IF(PA[[#This Row],[Acknowledgemnet Time ]]="NA","",(PA[[#This Row],[Acknowledgemnet Time ]]-PA[[#This Row],[Fault Time]])*24)</f>
        <v>0.16666666666666607</v>
      </c>
      <c r="X105" s="182">
        <f>IF(PA[[#This Row],[Work Start time on Fault]]="NA","",(PA[[#This Row],[Work Start time on Fault]]-PA[[#This Row],[Fault Time]])*24)</f>
        <v>0.16666666666666607</v>
      </c>
      <c r="Y105" s="153">
        <f>(PA[[#This Row],[Work Completiuon time on fualt]]-PA[[#This Row],[Fault Time]])*24</f>
        <v>4.1666666666666661</v>
      </c>
      <c r="Z105" s="153">
        <f>IFERROR((PA[[#This Row],[Work Completiuon time on fualt]]-PA[[#This Row],[Fault Time]])*24,"")</f>
        <v>4.1666666666666661</v>
      </c>
      <c r="AA105" s="307" t="s">
        <v>776</v>
      </c>
      <c r="AB105" s="149" t="s">
        <v>173</v>
      </c>
      <c r="AC105" s="152">
        <f>IFERROR(PA[[#This Row],[Breakdown Time]]*PA[[#This Row],[Plant Equivalent Weightage]],)</f>
        <v>1.0982976386600769E-3</v>
      </c>
      <c r="AD105" s="153">
        <v>2.08</v>
      </c>
      <c r="AE105" s="163">
        <f>IFERROR(_xlfn.XLOOKUP(PA[[#This Row],[Month Year]],'Modelling New'!$D:$D,'Modelling New'!$O:$O)*M105*PA[[#This Row],[Lost PoA(kWh/m2)]],"")</f>
        <v>9.7388524260542457</v>
      </c>
      <c r="AF105" s="150"/>
      <c r="AG105" s="150"/>
      <c r="AH105" s="150"/>
    </row>
    <row r="106" spans="1:34" x14ac:dyDescent="0.35">
      <c r="A106" s="147">
        <f t="shared" si="2"/>
        <v>103</v>
      </c>
      <c r="B106" s="183">
        <v>45832</v>
      </c>
      <c r="C106" s="180">
        <f>YEAR(PA[[#This Row],[Date]])+IF(MONTH(PA[[#This Row],[Date]])&gt;=4,1,0)</f>
        <v>2026</v>
      </c>
      <c r="D106" s="155">
        <f>YEAR(PA[[#This Row],[Date]])</f>
        <v>2025</v>
      </c>
      <c r="E106" s="149" t="s">
        <v>4</v>
      </c>
      <c r="F106" s="149" t="s">
        <v>4</v>
      </c>
      <c r="G106" s="310">
        <f>PA[[#This Row],[Date]]-DAY(PA[[#This Row],[Date]])+1</f>
        <v>45809</v>
      </c>
      <c r="H106" s="155">
        <f>DAY(EOMONTH(PA[[#This Row],[Month Year]],0))</f>
        <v>30</v>
      </c>
      <c r="I106" s="151">
        <f>_xlfn.XLOOKUP(PA[[#This Row],[Date]],RD[Date],RD[Sunrise Time (POA&gt;20 W/m2)],0)</f>
        <v>0.26666666666666666</v>
      </c>
      <c r="J106" s="151">
        <f>_xlfn.XLOOKUP(PA[[#This Row],[Date]],RD[Date],RD[Sunset Time (POA&lt;20 W/m2)],0)</f>
        <v>0.75972222222222219</v>
      </c>
      <c r="K106" s="152">
        <f>IFERROR((PA[[#This Row],[Sunset Time (POA&lt;20 W/m2)]]-PA[[#This Row],[Sunrise Time (POA&gt;20 W/m2)]])*24,"")</f>
        <v>11.833333333333332</v>
      </c>
      <c r="L106" s="166" t="s">
        <v>472</v>
      </c>
      <c r="M106" s="180">
        <f>IFERROR(VLOOKUP(PA[[#This Row],[Affceted Equipment]],'Basic Data'!$A$2:$B$125,2,0),"")</f>
        <v>6.4</v>
      </c>
      <c r="N106" s="181">
        <f>IFERROR(VLOOKUP(PA[[#This Row],[Affceted Equipment]],'Basic Data'!$A$1:$C$128,3,0),"")</f>
        <v>2.6359143327841849E-4</v>
      </c>
      <c r="O106" s="166" t="s">
        <v>815</v>
      </c>
      <c r="P106" s="149" t="s">
        <v>782</v>
      </c>
      <c r="Q106" s="149" t="s">
        <v>782</v>
      </c>
      <c r="R106" s="149" t="s">
        <v>816</v>
      </c>
      <c r="S106" s="187">
        <v>0.4513888888888889</v>
      </c>
      <c r="T106" s="187">
        <v>0.45833333333333331</v>
      </c>
      <c r="U106" s="187">
        <v>0.45833333333333331</v>
      </c>
      <c r="V106" s="187">
        <v>0.625</v>
      </c>
      <c r="W106" s="182">
        <f>IF(PA[[#This Row],[Acknowledgemnet Time ]]="NA","",(PA[[#This Row],[Acknowledgemnet Time ]]-PA[[#This Row],[Fault Time]])*24)</f>
        <v>0.16666666666666607</v>
      </c>
      <c r="X106" s="182">
        <f>IF(PA[[#This Row],[Work Start time on Fault]]="NA","",(PA[[#This Row],[Work Start time on Fault]]-PA[[#This Row],[Fault Time]])*24)</f>
        <v>0.16666666666666607</v>
      </c>
      <c r="Y106" s="153">
        <f>(PA[[#This Row],[Work Completiuon time on fualt]]-PA[[#This Row],[Fault Time]])*24</f>
        <v>4.1666666666666661</v>
      </c>
      <c r="Z106" s="153">
        <f>IFERROR((PA[[#This Row],[Work Completiuon time on fualt]]-PA[[#This Row],[Fault Time]])*24,"")</f>
        <v>4.1666666666666661</v>
      </c>
      <c r="AA106" s="312" t="s">
        <v>784</v>
      </c>
      <c r="AB106" s="149" t="s">
        <v>173</v>
      </c>
      <c r="AC106" s="152">
        <f>IFERROR(PA[[#This Row],[Breakdown Time]]*PA[[#This Row],[Plant Equivalent Weightage]],)</f>
        <v>1.0982976386600769E-3</v>
      </c>
      <c r="AD106" s="153">
        <v>2.08</v>
      </c>
      <c r="AE106" s="163">
        <f>IFERROR(_xlfn.XLOOKUP(PA[[#This Row],[Month Year]],'Modelling New'!$D:$D,'Modelling New'!$O:$O)*M106*PA[[#This Row],[Lost PoA(kWh/m2)]],"")</f>
        <v>9.7388524260542457</v>
      </c>
      <c r="AF106" s="150"/>
      <c r="AG106" s="150"/>
      <c r="AH106" s="150"/>
    </row>
    <row r="107" spans="1:34" x14ac:dyDescent="0.35">
      <c r="A107" s="147">
        <f t="shared" si="2"/>
        <v>104</v>
      </c>
      <c r="B107" s="183">
        <v>45832</v>
      </c>
      <c r="C107" s="180">
        <f>YEAR(PA[[#This Row],[Date]])+IF(MONTH(PA[[#This Row],[Date]])&gt;=4,1,0)</f>
        <v>2026</v>
      </c>
      <c r="D107" s="155">
        <f>YEAR(PA[[#This Row],[Date]])</f>
        <v>2025</v>
      </c>
      <c r="E107" s="149" t="s">
        <v>4</v>
      </c>
      <c r="F107" s="149" t="s">
        <v>4</v>
      </c>
      <c r="G107" s="310">
        <f>PA[[#This Row],[Date]]-DAY(PA[[#This Row],[Date]])+1</f>
        <v>45809</v>
      </c>
      <c r="H107" s="155">
        <f>DAY(EOMONTH(PA[[#This Row],[Month Year]],0))</f>
        <v>30</v>
      </c>
      <c r="I107" s="151">
        <f>_xlfn.XLOOKUP(PA[[#This Row],[Date]],RD[Date],RD[Sunrise Time (POA&gt;20 W/m2)],0)</f>
        <v>0.26666666666666666</v>
      </c>
      <c r="J107" s="151">
        <f>_xlfn.XLOOKUP(PA[[#This Row],[Date]],RD[Date],RD[Sunset Time (POA&lt;20 W/m2)],0)</f>
        <v>0.75972222222222219</v>
      </c>
      <c r="K107" s="152">
        <f>IFERROR((PA[[#This Row],[Sunset Time (POA&lt;20 W/m2)]]-PA[[#This Row],[Sunrise Time (POA&gt;20 W/m2)]])*24,"")</f>
        <v>11.833333333333332</v>
      </c>
      <c r="L107" s="166" t="s">
        <v>472</v>
      </c>
      <c r="M107" s="180">
        <f>IFERROR(VLOOKUP(PA[[#This Row],[Affceted Equipment]],'Basic Data'!$A$2:$B$125,2,0),"")</f>
        <v>6.4</v>
      </c>
      <c r="N107" s="181">
        <f>IFERROR(VLOOKUP(PA[[#This Row],[Affceted Equipment]],'Basic Data'!$A$1:$C$128,3,0),"")</f>
        <v>2.6359143327841849E-4</v>
      </c>
      <c r="O107" s="166" t="s">
        <v>817</v>
      </c>
      <c r="P107" s="149" t="s">
        <v>782</v>
      </c>
      <c r="Q107" s="149" t="s">
        <v>782</v>
      </c>
      <c r="R107" s="149" t="s">
        <v>818</v>
      </c>
      <c r="S107" s="187">
        <v>0.4513888888888889</v>
      </c>
      <c r="T107" s="187">
        <v>0.45833333333333331</v>
      </c>
      <c r="U107" s="187">
        <v>0.45833333333333331</v>
      </c>
      <c r="V107" s="187">
        <v>0.625</v>
      </c>
      <c r="W107" s="182">
        <f>IF(PA[[#This Row],[Acknowledgemnet Time ]]="NA","",(PA[[#This Row],[Acknowledgemnet Time ]]-PA[[#This Row],[Fault Time]])*24)</f>
        <v>0.16666666666666607</v>
      </c>
      <c r="X107" s="182">
        <f>IF(PA[[#This Row],[Work Start time on Fault]]="NA","",(PA[[#This Row],[Work Start time on Fault]]-PA[[#This Row],[Fault Time]])*24)</f>
        <v>0.16666666666666607</v>
      </c>
      <c r="Y107" s="153">
        <f>(PA[[#This Row],[Work Completiuon time on fualt]]-PA[[#This Row],[Fault Time]])*24</f>
        <v>4.1666666666666661</v>
      </c>
      <c r="Z107" s="153">
        <f>IFERROR((PA[[#This Row],[Work Completiuon time on fualt]]-PA[[#This Row],[Fault Time]])*24,"")</f>
        <v>4.1666666666666661</v>
      </c>
      <c r="AA107" s="312" t="s">
        <v>784</v>
      </c>
      <c r="AB107" s="149" t="s">
        <v>173</v>
      </c>
      <c r="AC107" s="152">
        <f>IFERROR(PA[[#This Row],[Breakdown Time]]*PA[[#This Row],[Plant Equivalent Weightage]],)</f>
        <v>1.0982976386600769E-3</v>
      </c>
      <c r="AD107" s="153">
        <v>2.08</v>
      </c>
      <c r="AE107" s="163">
        <f>IFERROR(_xlfn.XLOOKUP(PA[[#This Row],[Month Year]],'Modelling New'!$D:$D,'Modelling New'!$O:$O)*M107*PA[[#This Row],[Lost PoA(kWh/m2)]],"")</f>
        <v>9.7388524260542457</v>
      </c>
      <c r="AF107" s="150"/>
      <c r="AG107" s="150"/>
      <c r="AH107" s="150"/>
    </row>
    <row r="108" spans="1:34" x14ac:dyDescent="0.35">
      <c r="A108" s="147">
        <f t="shared" si="2"/>
        <v>105</v>
      </c>
      <c r="B108" s="183">
        <v>45833</v>
      </c>
      <c r="C108" s="180">
        <f>YEAR(PA[[#This Row],[Date]])+IF(MONTH(PA[[#This Row],[Date]])&gt;=4,1,0)</f>
        <v>2026</v>
      </c>
      <c r="D108" s="155">
        <f>YEAR(PA[[#This Row],[Date]])</f>
        <v>2025</v>
      </c>
      <c r="E108" s="149" t="s">
        <v>4</v>
      </c>
      <c r="F108" s="149" t="s">
        <v>4</v>
      </c>
      <c r="G108" s="310">
        <f>PA[[#This Row],[Date]]-DAY(PA[[#This Row],[Date]])+1</f>
        <v>45809</v>
      </c>
      <c r="H108" s="155">
        <f>DAY(EOMONTH(PA[[#This Row],[Month Year]],0))</f>
        <v>30</v>
      </c>
      <c r="I108" s="151">
        <f>_xlfn.XLOOKUP(PA[[#This Row],[Date]],RD[Date],RD[Sunrise Time (POA&gt;20 W/m2)],0)</f>
        <v>0.25694444444444442</v>
      </c>
      <c r="J108" s="151">
        <f>_xlfn.XLOOKUP(PA[[#This Row],[Date]],RD[Date],RD[Sunset Time (POA&lt;20 W/m2)],0)</f>
        <v>0.76458333333333328</v>
      </c>
      <c r="K108" s="152">
        <f>IFERROR((PA[[#This Row],[Sunset Time (POA&lt;20 W/m2)]]-PA[[#This Row],[Sunrise Time (POA&gt;20 W/m2)]])*24,"")</f>
        <v>12.183333333333334</v>
      </c>
      <c r="L108" s="149" t="s">
        <v>214</v>
      </c>
      <c r="M108" s="180">
        <f>IFERROR(VLOOKUP(PA[[#This Row],[Affceted Equipment]],'Basic Data'!$A$2:$B$125,2,0),"")</f>
        <v>1228.5</v>
      </c>
      <c r="N108" s="181">
        <f>IFERROR(VLOOKUP(PA[[#This Row],[Affceted Equipment]],'Basic Data'!$A$1:$C$128,3,0),"")</f>
        <v>5.0597199341021415E-2</v>
      </c>
      <c r="O108" s="149" t="s">
        <v>214</v>
      </c>
      <c r="P108" s="149" t="s">
        <v>755</v>
      </c>
      <c r="Q108" s="149" t="s">
        <v>733</v>
      </c>
      <c r="R108" s="149" t="s">
        <v>819</v>
      </c>
      <c r="S108" s="187">
        <v>0.47916666666666669</v>
      </c>
      <c r="T108" s="187">
        <v>0.49305555555555558</v>
      </c>
      <c r="U108" s="187">
        <v>0.49305555555555558</v>
      </c>
      <c r="V108" s="187">
        <v>0.52638888888888891</v>
      </c>
      <c r="W108" s="182">
        <f>IF(PA[[#This Row],[Acknowledgemnet Time ]]="NA","",(PA[[#This Row],[Acknowledgemnet Time ]]-PA[[#This Row],[Fault Time]])*24)</f>
        <v>0.33333333333333348</v>
      </c>
      <c r="X108" s="182">
        <f>IF(PA[[#This Row],[Work Start time on Fault]]="NA","",(PA[[#This Row],[Work Start time on Fault]]-PA[[#This Row],[Fault Time]])*24)</f>
        <v>0.33333333333333348</v>
      </c>
      <c r="Y108" s="153">
        <f>(PA[[#This Row],[Work Completiuon time on fualt]]-PA[[#This Row],[Fault Time]])*24</f>
        <v>1.1333333333333333</v>
      </c>
      <c r="Z108" s="153">
        <f>IFERROR((PA[[#This Row],[Work Completiuon time on fualt]]-PA[[#This Row],[Fault Time]])*24,"")</f>
        <v>1.1333333333333333</v>
      </c>
      <c r="AA108" s="312" t="s">
        <v>757</v>
      </c>
      <c r="AB108" s="149" t="s">
        <v>173</v>
      </c>
      <c r="AC108" s="152">
        <f>IFERROR(PA[[#This Row],[Breakdown Time]]*PA[[#This Row],[Plant Equivalent Weightage]],)</f>
        <v>5.7343492586490935E-2</v>
      </c>
      <c r="AD108" s="153">
        <v>0.23</v>
      </c>
      <c r="AE108" s="163">
        <f>IFERROR(_xlfn.XLOOKUP(PA[[#This Row],[Month Year]],'Modelling New'!$D:$D,'Modelling New'!$O:$O)*M108*PA[[#This Row],[Lost PoA(kWh/m2)]],"")</f>
        <v>206.71284910184474</v>
      </c>
      <c r="AF108" s="150"/>
      <c r="AG108" s="150"/>
      <c r="AH108" s="150"/>
    </row>
    <row r="109" spans="1:34" x14ac:dyDescent="0.35">
      <c r="A109" s="147">
        <f t="shared" si="2"/>
        <v>106</v>
      </c>
      <c r="B109" s="183">
        <v>45833</v>
      </c>
      <c r="C109" s="180">
        <f>YEAR(PA[[#This Row],[Date]])+IF(MONTH(PA[[#This Row],[Date]])&gt;=4,1,0)</f>
        <v>2026</v>
      </c>
      <c r="D109" s="155">
        <f>YEAR(PA[[#This Row],[Date]])</f>
        <v>2025</v>
      </c>
      <c r="E109" s="149" t="s">
        <v>4</v>
      </c>
      <c r="F109" s="149" t="s">
        <v>4</v>
      </c>
      <c r="G109" s="310">
        <f>PA[[#This Row],[Date]]-DAY(PA[[#This Row],[Date]])+1</f>
        <v>45809</v>
      </c>
      <c r="H109" s="155">
        <f>DAY(EOMONTH(PA[[#This Row],[Month Year]],0))</f>
        <v>30</v>
      </c>
      <c r="I109" s="151">
        <f>_xlfn.XLOOKUP(PA[[#This Row],[Date]],RD[Date],RD[Sunrise Time (POA&gt;20 W/m2)],0)</f>
        <v>0.25694444444444442</v>
      </c>
      <c r="J109" s="151">
        <f>_xlfn.XLOOKUP(PA[[#This Row],[Date]],RD[Date],RD[Sunset Time (POA&lt;20 W/m2)],0)</f>
        <v>0.76458333333333328</v>
      </c>
      <c r="K109" s="152">
        <f>IFERROR((PA[[#This Row],[Sunset Time (POA&lt;20 W/m2)]]-PA[[#This Row],[Sunrise Time (POA&gt;20 W/m2)]])*24,"")</f>
        <v>12.183333333333334</v>
      </c>
      <c r="L109" s="166" t="s">
        <v>472</v>
      </c>
      <c r="M109" s="180">
        <f>IFERROR(VLOOKUP(PA[[#This Row],[Affceted Equipment]],'Basic Data'!$A$2:$B$125,2,0),"")</f>
        <v>6.4</v>
      </c>
      <c r="N109" s="181">
        <f>IFERROR(VLOOKUP(PA[[#This Row],[Affceted Equipment]],'Basic Data'!$A$1:$C$128,3,0),"")</f>
        <v>2.6359143327841849E-4</v>
      </c>
      <c r="O109" s="166" t="s">
        <v>820</v>
      </c>
      <c r="P109" s="149" t="s">
        <v>774</v>
      </c>
      <c r="Q109" s="149" t="s">
        <v>774</v>
      </c>
      <c r="R109" s="149" t="s">
        <v>821</v>
      </c>
      <c r="S109" s="187">
        <v>0.52638888888888891</v>
      </c>
      <c r="T109" s="187">
        <v>0.52777777777777779</v>
      </c>
      <c r="U109" s="187">
        <v>0.52777777777777779</v>
      </c>
      <c r="V109" s="187">
        <v>0.66666666666666663</v>
      </c>
      <c r="W109" s="182">
        <f>IF(PA[[#This Row],[Acknowledgemnet Time ]]="NA","",(PA[[#This Row],[Acknowledgemnet Time ]]-PA[[#This Row],[Fault Time]])*24)</f>
        <v>3.3333333333333215E-2</v>
      </c>
      <c r="X109" s="182">
        <f>IF(PA[[#This Row],[Work Start time on Fault]]="NA","",(PA[[#This Row],[Work Start time on Fault]]-PA[[#This Row],[Fault Time]])*24)</f>
        <v>3.3333333333333215E-2</v>
      </c>
      <c r="Y109" s="153">
        <f>(PA[[#This Row],[Work Completiuon time on fualt]]-PA[[#This Row],[Fault Time]])*24</f>
        <v>3.3666666666666654</v>
      </c>
      <c r="Z109" s="153">
        <f>IFERROR((PA[[#This Row],[Work Completiuon time on fualt]]-PA[[#This Row],[Fault Time]])*24,"")</f>
        <v>3.3666666666666654</v>
      </c>
      <c r="AA109" s="307" t="s">
        <v>776</v>
      </c>
      <c r="AB109" s="149" t="s">
        <v>173</v>
      </c>
      <c r="AC109" s="152">
        <f>IFERROR(PA[[#This Row],[Breakdown Time]]*PA[[#This Row],[Plant Equivalent Weightage]],)</f>
        <v>8.8742449203734191E-4</v>
      </c>
      <c r="AD109" s="153">
        <v>2.4500000000000002</v>
      </c>
      <c r="AE109" s="163">
        <f>IFERROR(_xlfn.XLOOKUP(PA[[#This Row],[Month Year]],'Modelling New'!$D:$D,'Modelling New'!$O:$O)*M109*PA[[#This Row],[Lost PoA(kWh/m2)]],"")</f>
        <v>11.471244444150434</v>
      </c>
      <c r="AF109" s="150"/>
      <c r="AG109" s="150"/>
      <c r="AH109" s="150"/>
    </row>
    <row r="110" spans="1:34" x14ac:dyDescent="0.35">
      <c r="A110" s="147">
        <f t="shared" si="2"/>
        <v>107</v>
      </c>
      <c r="B110" s="183">
        <v>45833</v>
      </c>
      <c r="C110" s="180">
        <f>YEAR(PA[[#This Row],[Date]])+IF(MONTH(PA[[#This Row],[Date]])&gt;=4,1,0)</f>
        <v>2026</v>
      </c>
      <c r="D110" s="155">
        <f>YEAR(PA[[#This Row],[Date]])</f>
        <v>2025</v>
      </c>
      <c r="E110" s="149" t="s">
        <v>4</v>
      </c>
      <c r="F110" s="149" t="s">
        <v>4</v>
      </c>
      <c r="G110" s="310">
        <f>PA[[#This Row],[Date]]-DAY(PA[[#This Row],[Date]])+1</f>
        <v>45809</v>
      </c>
      <c r="H110" s="155">
        <f>DAY(EOMONTH(PA[[#This Row],[Month Year]],0))</f>
        <v>30</v>
      </c>
      <c r="I110" s="151">
        <f>_xlfn.XLOOKUP(PA[[#This Row],[Date]],RD[Date],RD[Sunrise Time (POA&gt;20 W/m2)],0)</f>
        <v>0.25694444444444442</v>
      </c>
      <c r="J110" s="151">
        <f>_xlfn.XLOOKUP(PA[[#This Row],[Date]],RD[Date],RD[Sunset Time (POA&lt;20 W/m2)],0)</f>
        <v>0.76458333333333328</v>
      </c>
      <c r="K110" s="152">
        <f>IFERROR((PA[[#This Row],[Sunset Time (POA&lt;20 W/m2)]]-PA[[#This Row],[Sunrise Time (POA&gt;20 W/m2)]])*24,"")</f>
        <v>12.183333333333334</v>
      </c>
      <c r="L110" s="166" t="s">
        <v>472</v>
      </c>
      <c r="M110" s="180">
        <f>IFERROR(VLOOKUP(PA[[#This Row],[Affceted Equipment]],'Basic Data'!$A$2:$B$125,2,0),"")</f>
        <v>6.4</v>
      </c>
      <c r="N110" s="181">
        <f>IFERROR(VLOOKUP(PA[[#This Row],[Affceted Equipment]],'Basic Data'!$A$1:$C$128,3,0),"")</f>
        <v>2.6359143327841849E-4</v>
      </c>
      <c r="O110" s="166" t="s">
        <v>820</v>
      </c>
      <c r="P110" s="149" t="s">
        <v>774</v>
      </c>
      <c r="Q110" s="149" t="s">
        <v>774</v>
      </c>
      <c r="R110" s="149" t="s">
        <v>822</v>
      </c>
      <c r="S110" s="187">
        <v>0.52638888888888891</v>
      </c>
      <c r="T110" s="187">
        <v>0.52777777777777779</v>
      </c>
      <c r="U110" s="187">
        <v>0.52777777777777779</v>
      </c>
      <c r="V110" s="187">
        <v>0.66666666666666663</v>
      </c>
      <c r="W110" s="182">
        <f>IF(PA[[#This Row],[Acknowledgemnet Time ]]="NA","",(PA[[#This Row],[Acknowledgemnet Time ]]-PA[[#This Row],[Fault Time]])*24)</f>
        <v>3.3333333333333215E-2</v>
      </c>
      <c r="X110" s="182">
        <f>IF(PA[[#This Row],[Work Start time on Fault]]="NA","",(PA[[#This Row],[Work Start time on Fault]]-PA[[#This Row],[Fault Time]])*24)</f>
        <v>3.3333333333333215E-2</v>
      </c>
      <c r="Y110" s="153">
        <f>(PA[[#This Row],[Work Completiuon time on fualt]]-PA[[#This Row],[Fault Time]])*24</f>
        <v>3.3666666666666654</v>
      </c>
      <c r="Z110" s="153">
        <f>IFERROR((PA[[#This Row],[Work Completiuon time on fualt]]-PA[[#This Row],[Fault Time]])*24,"")</f>
        <v>3.3666666666666654</v>
      </c>
      <c r="AA110" s="307" t="s">
        <v>776</v>
      </c>
      <c r="AB110" s="149" t="s">
        <v>173</v>
      </c>
      <c r="AC110" s="152">
        <f>IFERROR(PA[[#This Row],[Breakdown Time]]*PA[[#This Row],[Plant Equivalent Weightage]],)</f>
        <v>8.8742449203734191E-4</v>
      </c>
      <c r="AD110" s="153">
        <v>2.4500000000000002</v>
      </c>
      <c r="AE110" s="163">
        <f>IFERROR(_xlfn.XLOOKUP(PA[[#This Row],[Month Year]],'Modelling New'!$D:$D,'Modelling New'!$O:$O)*M110*PA[[#This Row],[Lost PoA(kWh/m2)]],"")</f>
        <v>11.471244444150434</v>
      </c>
      <c r="AF110" s="150"/>
      <c r="AG110" s="150"/>
      <c r="AH110" s="150"/>
    </row>
    <row r="111" spans="1:34" x14ac:dyDescent="0.35">
      <c r="A111" s="147">
        <f t="shared" si="2"/>
        <v>108</v>
      </c>
      <c r="B111" s="183">
        <v>45833</v>
      </c>
      <c r="C111" s="180">
        <f>YEAR(PA[[#This Row],[Date]])+IF(MONTH(PA[[#This Row],[Date]])&gt;=4,1,0)</f>
        <v>2026</v>
      </c>
      <c r="D111" s="155">
        <f>YEAR(PA[[#This Row],[Date]])</f>
        <v>2025</v>
      </c>
      <c r="E111" s="149" t="s">
        <v>4</v>
      </c>
      <c r="F111" s="149" t="s">
        <v>4</v>
      </c>
      <c r="G111" s="310">
        <f>PA[[#This Row],[Date]]-DAY(PA[[#This Row],[Date]])+1</f>
        <v>45809</v>
      </c>
      <c r="H111" s="155">
        <f>DAY(EOMONTH(PA[[#This Row],[Month Year]],0))</f>
        <v>30</v>
      </c>
      <c r="I111" s="151">
        <f>_xlfn.XLOOKUP(PA[[#This Row],[Date]],RD[Date],RD[Sunrise Time (POA&gt;20 W/m2)],0)</f>
        <v>0.25694444444444442</v>
      </c>
      <c r="J111" s="151">
        <f>_xlfn.XLOOKUP(PA[[#This Row],[Date]],RD[Date],RD[Sunset Time (POA&lt;20 W/m2)],0)</f>
        <v>0.76458333333333328</v>
      </c>
      <c r="K111" s="152">
        <f>IFERROR((PA[[#This Row],[Sunset Time (POA&lt;20 W/m2)]]-PA[[#This Row],[Sunrise Time (POA&gt;20 W/m2)]])*24,"")</f>
        <v>12.183333333333334</v>
      </c>
      <c r="L111" s="166" t="s">
        <v>472</v>
      </c>
      <c r="M111" s="180">
        <f>IFERROR(VLOOKUP(PA[[#This Row],[Affceted Equipment]],'Basic Data'!$A$2:$B$125,2,0),"")</f>
        <v>6.4</v>
      </c>
      <c r="N111" s="181">
        <f>IFERROR(VLOOKUP(PA[[#This Row],[Affceted Equipment]],'Basic Data'!$A$1:$C$128,3,0),"")</f>
        <v>2.6359143327841849E-4</v>
      </c>
      <c r="O111" s="166" t="s">
        <v>817</v>
      </c>
      <c r="P111" s="149" t="s">
        <v>774</v>
      </c>
      <c r="Q111" s="149" t="s">
        <v>774</v>
      </c>
      <c r="R111" s="149" t="s">
        <v>823</v>
      </c>
      <c r="S111" s="187">
        <v>0.52638888888888891</v>
      </c>
      <c r="T111" s="187">
        <v>0.52777777777777779</v>
      </c>
      <c r="U111" s="187">
        <v>0.52777777777777779</v>
      </c>
      <c r="V111" s="187">
        <v>0.66666666666666663</v>
      </c>
      <c r="W111" s="182">
        <f>IF(PA[[#This Row],[Acknowledgemnet Time ]]="NA","",(PA[[#This Row],[Acknowledgemnet Time ]]-PA[[#This Row],[Fault Time]])*24)</f>
        <v>3.3333333333333215E-2</v>
      </c>
      <c r="X111" s="182">
        <f>IF(PA[[#This Row],[Work Start time on Fault]]="NA","",(PA[[#This Row],[Work Start time on Fault]]-PA[[#This Row],[Fault Time]])*24)</f>
        <v>3.3333333333333215E-2</v>
      </c>
      <c r="Y111" s="153">
        <f>(PA[[#This Row],[Work Completiuon time on fualt]]-PA[[#This Row],[Fault Time]])*24</f>
        <v>3.3666666666666654</v>
      </c>
      <c r="Z111" s="153">
        <f>IFERROR((PA[[#This Row],[Work Completiuon time on fualt]]-PA[[#This Row],[Fault Time]])*24,"")</f>
        <v>3.3666666666666654</v>
      </c>
      <c r="AA111" s="307" t="s">
        <v>776</v>
      </c>
      <c r="AB111" s="149" t="s">
        <v>173</v>
      </c>
      <c r="AC111" s="152">
        <f>IFERROR(PA[[#This Row],[Breakdown Time]]*PA[[#This Row],[Plant Equivalent Weightage]],)</f>
        <v>8.8742449203734191E-4</v>
      </c>
      <c r="AD111" s="153">
        <v>2.4500000000000002</v>
      </c>
      <c r="AE111" s="163">
        <f>IFERROR(_xlfn.XLOOKUP(PA[[#This Row],[Month Year]],'Modelling New'!$D:$D,'Modelling New'!$O:$O)*M111*PA[[#This Row],[Lost PoA(kWh/m2)]],"")</f>
        <v>11.471244444150434</v>
      </c>
      <c r="AF111" s="150"/>
      <c r="AG111" s="150"/>
      <c r="AH111" s="150"/>
    </row>
    <row r="112" spans="1:34" x14ac:dyDescent="0.35">
      <c r="A112" s="147">
        <f t="shared" si="2"/>
        <v>109</v>
      </c>
      <c r="B112" s="183">
        <v>45833</v>
      </c>
      <c r="C112" s="180">
        <f>YEAR(PA[[#This Row],[Date]])+IF(MONTH(PA[[#This Row],[Date]])&gt;=4,1,0)</f>
        <v>2026</v>
      </c>
      <c r="D112" s="155">
        <f>YEAR(PA[[#This Row],[Date]])</f>
        <v>2025</v>
      </c>
      <c r="E112" s="149" t="s">
        <v>4</v>
      </c>
      <c r="F112" s="149" t="s">
        <v>4</v>
      </c>
      <c r="G112" s="310">
        <f>PA[[#This Row],[Date]]-DAY(PA[[#This Row],[Date]])+1</f>
        <v>45809</v>
      </c>
      <c r="H112" s="155">
        <f>DAY(EOMONTH(PA[[#This Row],[Month Year]],0))</f>
        <v>30</v>
      </c>
      <c r="I112" s="151">
        <f>_xlfn.XLOOKUP(PA[[#This Row],[Date]],RD[Date],RD[Sunrise Time (POA&gt;20 W/m2)],0)</f>
        <v>0.25694444444444442</v>
      </c>
      <c r="J112" s="151">
        <f>_xlfn.XLOOKUP(PA[[#This Row],[Date]],RD[Date],RD[Sunset Time (POA&lt;20 W/m2)],0)</f>
        <v>0.76458333333333328</v>
      </c>
      <c r="K112" s="152">
        <f>IFERROR((PA[[#This Row],[Sunset Time (POA&lt;20 W/m2)]]-PA[[#This Row],[Sunrise Time (POA&gt;20 W/m2)]])*24,"")</f>
        <v>12.183333333333334</v>
      </c>
      <c r="L112" s="166" t="s">
        <v>472</v>
      </c>
      <c r="M112" s="180">
        <f>IFERROR(VLOOKUP(PA[[#This Row],[Affceted Equipment]],'Basic Data'!$A$2:$B$125,2,0),"")</f>
        <v>6.4</v>
      </c>
      <c r="N112" s="181">
        <f>IFERROR(VLOOKUP(PA[[#This Row],[Affceted Equipment]],'Basic Data'!$A$1:$C$128,3,0),"")</f>
        <v>2.6359143327841849E-4</v>
      </c>
      <c r="O112" s="166" t="s">
        <v>817</v>
      </c>
      <c r="P112" s="149" t="s">
        <v>774</v>
      </c>
      <c r="Q112" s="149" t="s">
        <v>774</v>
      </c>
      <c r="R112" s="149" t="s">
        <v>824</v>
      </c>
      <c r="S112" s="187">
        <v>0.52638888888888891</v>
      </c>
      <c r="T112" s="187">
        <v>0.52777777777777779</v>
      </c>
      <c r="U112" s="187">
        <v>0.52777777777777779</v>
      </c>
      <c r="V112" s="187">
        <v>0.66666666666666663</v>
      </c>
      <c r="W112" s="182">
        <f>IF(PA[[#This Row],[Acknowledgemnet Time ]]="NA","",(PA[[#This Row],[Acknowledgemnet Time ]]-PA[[#This Row],[Fault Time]])*24)</f>
        <v>3.3333333333333215E-2</v>
      </c>
      <c r="X112" s="182">
        <f>IF(PA[[#This Row],[Work Start time on Fault]]="NA","",(PA[[#This Row],[Work Start time on Fault]]-PA[[#This Row],[Fault Time]])*24)</f>
        <v>3.3333333333333215E-2</v>
      </c>
      <c r="Y112" s="153">
        <f>(PA[[#This Row],[Work Completiuon time on fualt]]-PA[[#This Row],[Fault Time]])*24</f>
        <v>3.3666666666666654</v>
      </c>
      <c r="Z112" s="153">
        <f>IFERROR((PA[[#This Row],[Work Completiuon time on fualt]]-PA[[#This Row],[Fault Time]])*24,"")</f>
        <v>3.3666666666666654</v>
      </c>
      <c r="AA112" s="307" t="s">
        <v>776</v>
      </c>
      <c r="AB112" s="149" t="s">
        <v>173</v>
      </c>
      <c r="AC112" s="152">
        <f>IFERROR(PA[[#This Row],[Breakdown Time]]*PA[[#This Row],[Plant Equivalent Weightage]],)</f>
        <v>8.8742449203734191E-4</v>
      </c>
      <c r="AD112" s="153">
        <v>2.4500000000000002</v>
      </c>
      <c r="AE112" s="163">
        <f>IFERROR(_xlfn.XLOOKUP(PA[[#This Row],[Month Year]],'Modelling New'!$D:$D,'Modelling New'!$O:$O)*M112*PA[[#This Row],[Lost PoA(kWh/m2)]],"")</f>
        <v>11.471244444150434</v>
      </c>
      <c r="AF112" s="150"/>
      <c r="AG112" s="150"/>
      <c r="AH112" s="150"/>
    </row>
    <row r="113" spans="1:34" ht="29" x14ac:dyDescent="0.35">
      <c r="A113" s="147">
        <f t="shared" si="2"/>
        <v>110</v>
      </c>
      <c r="B113" s="183">
        <v>45834</v>
      </c>
      <c r="C113" s="180">
        <f>YEAR(PA[[#This Row],[Date]])+IF(MONTH(PA[[#This Row],[Date]])&gt;=4,1,0)</f>
        <v>2026</v>
      </c>
      <c r="D113" s="155">
        <f>YEAR(PA[[#This Row],[Date]])</f>
        <v>2025</v>
      </c>
      <c r="E113" s="149" t="s">
        <v>4</v>
      </c>
      <c r="F113" s="149" t="s">
        <v>4</v>
      </c>
      <c r="G113" s="310">
        <f>PA[[#This Row],[Date]]-DAY(PA[[#This Row],[Date]])+1</f>
        <v>45809</v>
      </c>
      <c r="H113" s="155">
        <f>DAY(EOMONTH(PA[[#This Row],[Month Year]],0))</f>
        <v>30</v>
      </c>
      <c r="I113" s="151">
        <f>_xlfn.XLOOKUP(PA[[#This Row],[Date]],RD[Date],RD[Sunrise Time (POA&gt;20 W/m2)],0)</f>
        <v>0.30208333333333331</v>
      </c>
      <c r="J113" s="151">
        <f>_xlfn.XLOOKUP(PA[[#This Row],[Date]],RD[Date],RD[Sunset Time (POA&lt;20 W/m2)],0)</f>
        <v>0.76527777777777772</v>
      </c>
      <c r="K113" s="152">
        <f>IFERROR((PA[[#This Row],[Sunset Time (POA&lt;20 W/m2)]]-PA[[#This Row],[Sunrise Time (POA&gt;20 W/m2)]])*24,"")</f>
        <v>11.116666666666665</v>
      </c>
      <c r="L113" s="166" t="s">
        <v>463</v>
      </c>
      <c r="M113" s="180">
        <f>IFERROR(VLOOKUP(PA[[#This Row],[Affceted Equipment]],'Basic Data'!$A$2:$B$125,2,0),"")</f>
        <v>2300</v>
      </c>
      <c r="N113" s="181">
        <f>IFERROR(VLOOKUP(PA[[#This Row],[Affceted Equipment]],'Basic Data'!$A$1:$C$128,3,0),"")</f>
        <v>9.4728171334431635E-2</v>
      </c>
      <c r="O113" s="166" t="s">
        <v>463</v>
      </c>
      <c r="P113" s="217" t="s">
        <v>771</v>
      </c>
      <c r="Q113" s="217" t="s">
        <v>771</v>
      </c>
      <c r="R113" s="154" t="s">
        <v>825</v>
      </c>
      <c r="S113" s="187">
        <v>0.30208333333333331</v>
      </c>
      <c r="T113" s="187">
        <v>0.30902777777777779</v>
      </c>
      <c r="U113" s="187">
        <v>0.30902777777777779</v>
      </c>
      <c r="V113" s="187">
        <v>0.3125</v>
      </c>
      <c r="W113" s="182">
        <f>IF(PA[[#This Row],[Acknowledgemnet Time ]]="NA","",(PA[[#This Row],[Acknowledgemnet Time ]]-PA[[#This Row],[Fault Time]])*24)</f>
        <v>0.16666666666666741</v>
      </c>
      <c r="X113" s="182">
        <f>IF(PA[[#This Row],[Work Start time on Fault]]="NA","",(PA[[#This Row],[Work Start time on Fault]]-PA[[#This Row],[Fault Time]])*24)</f>
        <v>0.16666666666666741</v>
      </c>
      <c r="Y113" s="153">
        <f>(PA[[#This Row],[Work Completiuon time on fualt]]-PA[[#This Row],[Fault Time]])*24</f>
        <v>0.25000000000000044</v>
      </c>
      <c r="Z113" s="153">
        <f>IFERROR((PA[[#This Row],[Work Completiuon time on fualt]]-PA[[#This Row],[Fault Time]])*24,"")</f>
        <v>0.25000000000000044</v>
      </c>
      <c r="AA113" s="149" t="s">
        <v>826</v>
      </c>
      <c r="AB113" s="149" t="s">
        <v>198</v>
      </c>
      <c r="AC113" s="152">
        <f>IFERROR(PA[[#This Row],[Breakdown Time]]*PA[[#This Row],[Plant Equivalent Weightage]],)</f>
        <v>2.368204283360795E-2</v>
      </c>
      <c r="AD113" s="153">
        <v>1.1000000000000001</v>
      </c>
      <c r="AE113" s="163">
        <f>IFERROR(_xlfn.XLOOKUP(PA[[#This Row],[Month Year]],'Modelling New'!$D:$D,'Modelling New'!$O:$O)*M113*PA[[#This Row],[Lost PoA(kWh/m2)]],"")</f>
        <v>1850.9087017666197</v>
      </c>
      <c r="AF113" s="150"/>
      <c r="AG113" s="150"/>
      <c r="AH113" s="150"/>
    </row>
    <row r="114" spans="1:34" ht="29" x14ac:dyDescent="0.35">
      <c r="A114" s="147">
        <f t="shared" si="2"/>
        <v>111</v>
      </c>
      <c r="B114" s="183">
        <v>45834</v>
      </c>
      <c r="C114" s="180">
        <f>YEAR(PA[[#This Row],[Date]])+IF(MONTH(PA[[#This Row],[Date]])&gt;=4,1,0)</f>
        <v>2026</v>
      </c>
      <c r="D114" s="155">
        <f>YEAR(PA[[#This Row],[Date]])</f>
        <v>2025</v>
      </c>
      <c r="E114" s="149" t="s">
        <v>4</v>
      </c>
      <c r="F114" s="149" t="s">
        <v>4</v>
      </c>
      <c r="G114" s="310">
        <f>PA[[#This Row],[Date]]-DAY(PA[[#This Row],[Date]])+1</f>
        <v>45809</v>
      </c>
      <c r="H114" s="155">
        <f>DAY(EOMONTH(PA[[#This Row],[Month Year]],0))</f>
        <v>30</v>
      </c>
      <c r="I114" s="151">
        <f>_xlfn.XLOOKUP(PA[[#This Row],[Date]],RD[Date],RD[Sunrise Time (POA&gt;20 W/m2)],0)</f>
        <v>0.30208333333333331</v>
      </c>
      <c r="J114" s="151">
        <f>_xlfn.XLOOKUP(PA[[#This Row],[Date]],RD[Date],RD[Sunset Time (POA&lt;20 W/m2)],0)</f>
        <v>0.76527777777777772</v>
      </c>
      <c r="K114" s="152">
        <f>IFERROR((PA[[#This Row],[Sunset Time (POA&lt;20 W/m2)]]-PA[[#This Row],[Sunrise Time (POA&gt;20 W/m2)]])*24,"")</f>
        <v>11.116666666666665</v>
      </c>
      <c r="L114" s="166" t="s">
        <v>464</v>
      </c>
      <c r="M114" s="180">
        <f>IFERROR(VLOOKUP(PA[[#This Row],[Affceted Equipment]],'Basic Data'!$A$2:$B$125,2,0),"")</f>
        <v>2300</v>
      </c>
      <c r="N114" s="181">
        <f>IFERROR(VLOOKUP(PA[[#This Row],[Affceted Equipment]],'Basic Data'!$A$1:$C$128,3,0),"")</f>
        <v>9.4728171334431635E-2</v>
      </c>
      <c r="O114" s="166" t="s">
        <v>464</v>
      </c>
      <c r="P114" s="217" t="s">
        <v>771</v>
      </c>
      <c r="Q114" s="217" t="s">
        <v>771</v>
      </c>
      <c r="R114" s="154" t="s">
        <v>825</v>
      </c>
      <c r="S114" s="187">
        <v>0.30208333333333331</v>
      </c>
      <c r="T114" s="187">
        <v>0.30902777777777779</v>
      </c>
      <c r="U114" s="187">
        <v>0.30902777777777779</v>
      </c>
      <c r="V114" s="187">
        <v>0.3125</v>
      </c>
      <c r="W114" s="182">
        <f>IF(PA[[#This Row],[Acknowledgemnet Time ]]="NA","",(PA[[#This Row],[Acknowledgemnet Time ]]-PA[[#This Row],[Fault Time]])*24)</f>
        <v>0.16666666666666741</v>
      </c>
      <c r="X114" s="182">
        <f>IF(PA[[#This Row],[Work Start time on Fault]]="NA","",(PA[[#This Row],[Work Start time on Fault]]-PA[[#This Row],[Fault Time]])*24)</f>
        <v>0.16666666666666741</v>
      </c>
      <c r="Y114" s="153">
        <f>(PA[[#This Row],[Work Completiuon time on fualt]]-PA[[#This Row],[Fault Time]])*24</f>
        <v>0.25000000000000044</v>
      </c>
      <c r="Z114" s="153">
        <f>IFERROR((PA[[#This Row],[Work Completiuon time on fualt]]-PA[[#This Row],[Fault Time]])*24,"")</f>
        <v>0.25000000000000044</v>
      </c>
      <c r="AA114" s="149" t="s">
        <v>826</v>
      </c>
      <c r="AB114" s="149" t="s">
        <v>198</v>
      </c>
      <c r="AC114" s="152">
        <f>IFERROR(PA[[#This Row],[Breakdown Time]]*PA[[#This Row],[Plant Equivalent Weightage]],)</f>
        <v>2.368204283360795E-2</v>
      </c>
      <c r="AD114" s="153">
        <v>1.1000000000000001</v>
      </c>
      <c r="AE114" s="163">
        <f>IFERROR(_xlfn.XLOOKUP(PA[[#This Row],[Month Year]],'Modelling New'!$D:$D,'Modelling New'!$O:$O)*M114*PA[[#This Row],[Lost PoA(kWh/m2)]],"")</f>
        <v>1850.9087017666197</v>
      </c>
      <c r="AF114" s="150"/>
      <c r="AG114" s="150"/>
      <c r="AH114" s="150"/>
    </row>
    <row r="115" spans="1:34" x14ac:dyDescent="0.35">
      <c r="A115" s="147">
        <f t="shared" si="2"/>
        <v>112</v>
      </c>
      <c r="B115" s="183">
        <v>45834</v>
      </c>
      <c r="C115" s="180">
        <f>YEAR(PA[[#This Row],[Date]])+IF(MONTH(PA[[#This Row],[Date]])&gt;=4,1,0)</f>
        <v>2026</v>
      </c>
      <c r="D115" s="155">
        <f>YEAR(PA[[#This Row],[Date]])</f>
        <v>2025</v>
      </c>
      <c r="E115" s="149" t="s">
        <v>4</v>
      </c>
      <c r="F115" s="149" t="s">
        <v>4</v>
      </c>
      <c r="G115" s="310">
        <f>PA[[#This Row],[Date]]-DAY(PA[[#This Row],[Date]])+1</f>
        <v>45809</v>
      </c>
      <c r="H115" s="155">
        <f>DAY(EOMONTH(PA[[#This Row],[Month Year]],0))</f>
        <v>30</v>
      </c>
      <c r="I115" s="151">
        <f>_xlfn.XLOOKUP(PA[[#This Row],[Date]],RD[Date],RD[Sunrise Time (POA&gt;20 W/m2)],0)</f>
        <v>0.30208333333333331</v>
      </c>
      <c r="J115" s="151">
        <f>_xlfn.XLOOKUP(PA[[#This Row],[Date]],RD[Date],RD[Sunset Time (POA&lt;20 W/m2)],0)</f>
        <v>0.76527777777777772</v>
      </c>
      <c r="K115" s="152">
        <f>IFERROR((PA[[#This Row],[Sunset Time (POA&lt;20 W/m2)]]-PA[[#This Row],[Sunrise Time (POA&gt;20 W/m2)]])*24,"")</f>
        <v>11.116666666666665</v>
      </c>
      <c r="L115" s="166" t="s">
        <v>168</v>
      </c>
      <c r="M115" s="180">
        <v>24213.794999999998</v>
      </c>
      <c r="N115" s="181">
        <v>0.99727327018121903</v>
      </c>
      <c r="O115" s="166" t="s">
        <v>168</v>
      </c>
      <c r="P115" s="149" t="s">
        <v>170</v>
      </c>
      <c r="Q115" s="149" t="s">
        <v>717</v>
      </c>
      <c r="R115" s="154" t="s">
        <v>800</v>
      </c>
      <c r="S115" s="187">
        <v>0.3125</v>
      </c>
      <c r="T115" s="187">
        <v>0.31597222222222221</v>
      </c>
      <c r="U115" s="187">
        <v>0.31597222222222221</v>
      </c>
      <c r="V115" s="187">
        <v>0.31944444444444442</v>
      </c>
      <c r="W115" s="182">
        <f>IF(PA[[#This Row],[Acknowledgemnet Time ]]="NA","",(PA[[#This Row],[Acknowledgemnet Time ]]-PA[[#This Row],[Fault Time]])*24)</f>
        <v>8.3333333333333037E-2</v>
      </c>
      <c r="X115" s="182">
        <f>IF(PA[[#This Row],[Work Start time on Fault]]="NA","",(PA[[#This Row],[Work Start time on Fault]]-PA[[#This Row],[Fault Time]])*24)</f>
        <v>8.3333333333333037E-2</v>
      </c>
      <c r="Y115" s="153">
        <f>(PA[[#This Row],[Work Completiuon time on fualt]]-PA[[#This Row],[Fault Time]])*24</f>
        <v>0.16666666666666607</v>
      </c>
      <c r="Z115" s="153">
        <f>IFERROR((PA[[#This Row],[Work Completiuon time on fualt]]-PA[[#This Row],[Fault Time]])*24,"")</f>
        <v>0.16666666666666607</v>
      </c>
      <c r="AA115" s="149" t="s">
        <v>827</v>
      </c>
      <c r="AB115" s="149" t="s">
        <v>173</v>
      </c>
      <c r="AC115" s="152">
        <f>IFERROR(PA[[#This Row],[Breakdown Time]]*PA[[#This Row],[Plant Equivalent Weightage]],)</f>
        <v>0.16621221169686926</v>
      </c>
      <c r="AD115" s="153">
        <v>0.23</v>
      </c>
      <c r="AE115" s="163">
        <f>IFERROR(_xlfn.XLOOKUP(PA[[#This Row],[Month Year]],'Modelling New'!$D:$D,'Modelling New'!$O:$O)*M115*PA[[#This Row],[Lost PoA(kWh/m2)]],"")</f>
        <v>4074.3203516630056</v>
      </c>
      <c r="AF115" s="150"/>
      <c r="AG115" s="150"/>
      <c r="AH115" s="150"/>
    </row>
    <row r="116" spans="1:34" x14ac:dyDescent="0.35">
      <c r="A116" s="147">
        <f t="shared" si="2"/>
        <v>113</v>
      </c>
      <c r="B116" s="183">
        <v>45834</v>
      </c>
      <c r="C116" s="180">
        <f>YEAR(PA[[#This Row],[Date]])+IF(MONTH(PA[[#This Row],[Date]])&gt;=4,1,0)</f>
        <v>2026</v>
      </c>
      <c r="D116" s="155">
        <f>YEAR(PA[[#This Row],[Date]])</f>
        <v>2025</v>
      </c>
      <c r="E116" s="149" t="s">
        <v>4</v>
      </c>
      <c r="F116" s="149" t="s">
        <v>4</v>
      </c>
      <c r="G116" s="310">
        <f>PA[[#This Row],[Date]]-DAY(PA[[#This Row],[Date]])+1</f>
        <v>45809</v>
      </c>
      <c r="H116" s="155">
        <f>DAY(EOMONTH(PA[[#This Row],[Month Year]],0))</f>
        <v>30</v>
      </c>
      <c r="I116" s="151">
        <f>_xlfn.XLOOKUP(PA[[#This Row],[Date]],RD[Date],RD[Sunrise Time (POA&gt;20 W/m2)],0)</f>
        <v>0.30208333333333331</v>
      </c>
      <c r="J116" s="151">
        <f>_xlfn.XLOOKUP(PA[[#This Row],[Date]],RD[Date],RD[Sunset Time (POA&lt;20 W/m2)],0)</f>
        <v>0.76527777777777772</v>
      </c>
      <c r="K116" s="152">
        <f>IFERROR((PA[[#This Row],[Sunset Time (POA&lt;20 W/m2)]]-PA[[#This Row],[Sunrise Time (POA&gt;20 W/m2)]])*24,"")</f>
        <v>11.116666666666665</v>
      </c>
      <c r="L116" s="166" t="s">
        <v>168</v>
      </c>
      <c r="M116" s="180">
        <v>24213.794999999998</v>
      </c>
      <c r="N116" s="181">
        <v>0.99727327018121903</v>
      </c>
      <c r="O116" s="166" t="s">
        <v>168</v>
      </c>
      <c r="P116" s="149" t="s">
        <v>170</v>
      </c>
      <c r="Q116" s="149" t="s">
        <v>717</v>
      </c>
      <c r="R116" s="154" t="s">
        <v>800</v>
      </c>
      <c r="S116" s="187">
        <v>0.5625</v>
      </c>
      <c r="T116" s="187">
        <v>0.56597222222222221</v>
      </c>
      <c r="U116" s="187">
        <v>0.56597222222222221</v>
      </c>
      <c r="V116" s="187">
        <v>0.56944444444444442</v>
      </c>
      <c r="W116" s="182">
        <f>IF(PA[[#This Row],[Acknowledgemnet Time ]]="NA","",(PA[[#This Row],[Acknowledgemnet Time ]]-PA[[#This Row],[Fault Time]])*24)</f>
        <v>8.3333333333333037E-2</v>
      </c>
      <c r="X116" s="182">
        <f>IF(PA[[#This Row],[Work Start time on Fault]]="NA","",(PA[[#This Row],[Work Start time on Fault]]-PA[[#This Row],[Fault Time]])*24)</f>
        <v>8.3333333333333037E-2</v>
      </c>
      <c r="Y116" s="153">
        <f>(PA[[#This Row],[Work Completiuon time on fualt]]-PA[[#This Row],[Fault Time]])*24</f>
        <v>0.16666666666666607</v>
      </c>
      <c r="Z116" s="153">
        <f>IFERROR((PA[[#This Row],[Work Completiuon time on fualt]]-PA[[#This Row],[Fault Time]])*24,"")</f>
        <v>0.16666666666666607</v>
      </c>
      <c r="AA116" s="149" t="s">
        <v>827</v>
      </c>
      <c r="AB116" s="149" t="s">
        <v>173</v>
      </c>
      <c r="AC116" s="152">
        <f>IFERROR(PA[[#This Row],[Breakdown Time]]*PA[[#This Row],[Plant Equivalent Weightage]],)</f>
        <v>0.16621221169686926</v>
      </c>
      <c r="AD116" s="153">
        <v>0.23</v>
      </c>
      <c r="AE116" s="163">
        <f>IFERROR(_xlfn.XLOOKUP(PA[[#This Row],[Month Year]],'Modelling New'!$D:$D,'Modelling New'!$O:$O)*M116*PA[[#This Row],[Lost PoA(kWh/m2)]],"")</f>
        <v>4074.3203516630056</v>
      </c>
      <c r="AF116" s="150"/>
      <c r="AG116" s="150"/>
      <c r="AH116" s="150"/>
    </row>
    <row r="117" spans="1:34" ht="29" x14ac:dyDescent="0.35">
      <c r="A117" s="147">
        <f t="shared" si="2"/>
        <v>114</v>
      </c>
      <c r="B117" s="183">
        <v>45835</v>
      </c>
      <c r="C117" s="180">
        <f>YEAR(PA[[#This Row],[Date]])+IF(MONTH(PA[[#This Row],[Date]])&gt;=4,1,0)</f>
        <v>2026</v>
      </c>
      <c r="D117" s="155">
        <f>YEAR(PA[[#This Row],[Date]])</f>
        <v>2025</v>
      </c>
      <c r="E117" s="149" t="s">
        <v>4</v>
      </c>
      <c r="F117" s="149" t="s">
        <v>4</v>
      </c>
      <c r="G117" s="310">
        <f>PA[[#This Row],[Date]]-DAY(PA[[#This Row],[Date]])+1</f>
        <v>45809</v>
      </c>
      <c r="H117" s="155">
        <f>DAY(EOMONTH(PA[[#This Row],[Month Year]],0))</f>
        <v>30</v>
      </c>
      <c r="I117" s="151">
        <f>_xlfn.XLOOKUP(PA[[#This Row],[Date]],RD[Date],RD[Sunrise Time (POA&gt;20 W/m2)],0)</f>
        <v>0.26319444444444445</v>
      </c>
      <c r="J117" s="151">
        <f>_xlfn.XLOOKUP(PA[[#This Row],[Date]],RD[Date],RD[Sunset Time (POA&lt;20 W/m2)],0)</f>
        <v>0.78541666666666665</v>
      </c>
      <c r="K117" s="152">
        <f>IFERROR((PA[[#This Row],[Sunset Time (POA&lt;20 W/m2)]]-PA[[#This Row],[Sunrise Time (POA&gt;20 W/m2)]])*24,"")</f>
        <v>12.533333333333331</v>
      </c>
      <c r="L117" s="166" t="s">
        <v>463</v>
      </c>
      <c r="M117" s="180">
        <f>IFERROR(VLOOKUP(PA[[#This Row],[Affceted Equipment]],'Basic Data'!$A$2:$B$125,2,0),"")</f>
        <v>2300</v>
      </c>
      <c r="N117" s="181">
        <f>IFERROR(VLOOKUP(PA[[#This Row],[Affceted Equipment]],'Basic Data'!$A$1:$C$128,3,0),"")</f>
        <v>9.4728171334431635E-2</v>
      </c>
      <c r="O117" s="166" t="s">
        <v>463</v>
      </c>
      <c r="P117" s="217" t="s">
        <v>771</v>
      </c>
      <c r="Q117" s="217" t="s">
        <v>771</v>
      </c>
      <c r="R117" s="154" t="s">
        <v>825</v>
      </c>
      <c r="S117" s="187">
        <v>0.26319444444444445</v>
      </c>
      <c r="T117" s="187">
        <v>0.30486111111111114</v>
      </c>
      <c r="U117" s="187">
        <v>0.30486111111111114</v>
      </c>
      <c r="V117" s="187">
        <v>0.43333333333333335</v>
      </c>
      <c r="W117" s="182">
        <f>IF(PA[[#This Row],[Acknowledgemnet Time ]]="NA","",(PA[[#This Row],[Acknowledgemnet Time ]]-PA[[#This Row],[Fault Time]])*24)</f>
        <v>1.0000000000000004</v>
      </c>
      <c r="X117" s="182">
        <f>IF(PA[[#This Row],[Work Start time on Fault]]="NA","",(PA[[#This Row],[Work Start time on Fault]]-PA[[#This Row],[Fault Time]])*24)</f>
        <v>1.0000000000000004</v>
      </c>
      <c r="Y117" s="153">
        <f>(PA[[#This Row],[Work Completiuon time on fualt]]-PA[[#This Row],[Fault Time]])*24</f>
        <v>4.0833333333333339</v>
      </c>
      <c r="Z117" s="153">
        <f>IFERROR((PA[[#This Row],[Work Completiuon time on fualt]]-PA[[#This Row],[Fault Time]])*24,"")</f>
        <v>4.0833333333333339</v>
      </c>
      <c r="AA117" s="149" t="s">
        <v>826</v>
      </c>
      <c r="AB117" s="149" t="s">
        <v>173</v>
      </c>
      <c r="AC117" s="152">
        <f>IFERROR(PA[[#This Row],[Breakdown Time]]*PA[[#This Row],[Plant Equivalent Weightage]],)</f>
        <v>0.38680669961559588</v>
      </c>
      <c r="AD117" s="153">
        <v>1.0960000000000001</v>
      </c>
      <c r="AE117" s="163">
        <f>IFERROR(_xlfn.XLOOKUP(PA[[#This Row],[Month Year]],'Modelling New'!$D:$D,'Modelling New'!$O:$O)*M117*PA[[#This Row],[Lost PoA(kWh/m2)]],"")</f>
        <v>1844.1781246692865</v>
      </c>
      <c r="AF117" s="150"/>
      <c r="AG117" s="150"/>
      <c r="AH117" s="150"/>
    </row>
    <row r="118" spans="1:34" ht="29" x14ac:dyDescent="0.35">
      <c r="A118" s="147">
        <f t="shared" si="2"/>
        <v>115</v>
      </c>
      <c r="B118" s="183">
        <v>45835</v>
      </c>
      <c r="C118" s="180">
        <f>YEAR(PA[[#This Row],[Date]])+IF(MONTH(PA[[#This Row],[Date]])&gt;=4,1,0)</f>
        <v>2026</v>
      </c>
      <c r="D118" s="155">
        <f>YEAR(PA[[#This Row],[Date]])</f>
        <v>2025</v>
      </c>
      <c r="E118" s="149" t="s">
        <v>4</v>
      </c>
      <c r="F118" s="149" t="s">
        <v>4</v>
      </c>
      <c r="G118" s="310">
        <f>PA[[#This Row],[Date]]-DAY(PA[[#This Row],[Date]])+1</f>
        <v>45809</v>
      </c>
      <c r="H118" s="155">
        <f>DAY(EOMONTH(PA[[#This Row],[Month Year]],0))</f>
        <v>30</v>
      </c>
      <c r="I118" s="151">
        <f>_xlfn.XLOOKUP(PA[[#This Row],[Date]],RD[Date],RD[Sunrise Time (POA&gt;20 W/m2)],0)</f>
        <v>0.26319444444444445</v>
      </c>
      <c r="J118" s="151">
        <f>_xlfn.XLOOKUP(PA[[#This Row],[Date]],RD[Date],RD[Sunset Time (POA&lt;20 W/m2)],0)</f>
        <v>0.78541666666666665</v>
      </c>
      <c r="K118" s="152">
        <f>IFERROR((PA[[#This Row],[Sunset Time (POA&lt;20 W/m2)]]-PA[[#This Row],[Sunrise Time (POA&gt;20 W/m2)]])*24,"")</f>
        <v>12.533333333333331</v>
      </c>
      <c r="L118" s="166" t="s">
        <v>464</v>
      </c>
      <c r="M118" s="180">
        <f>IFERROR(VLOOKUP(PA[[#This Row],[Affceted Equipment]],'Basic Data'!$A$2:$B$125,2,0),"")</f>
        <v>2300</v>
      </c>
      <c r="N118" s="181">
        <f>IFERROR(VLOOKUP(PA[[#This Row],[Affceted Equipment]],'Basic Data'!$A$1:$C$128,3,0),"")</f>
        <v>9.4728171334431635E-2</v>
      </c>
      <c r="O118" s="166" t="s">
        <v>464</v>
      </c>
      <c r="P118" s="217" t="s">
        <v>771</v>
      </c>
      <c r="Q118" s="217" t="s">
        <v>771</v>
      </c>
      <c r="R118" s="154" t="s">
        <v>825</v>
      </c>
      <c r="S118" s="187">
        <v>0.26319444444444445</v>
      </c>
      <c r="T118" s="187">
        <v>0.30486111111111114</v>
      </c>
      <c r="U118" s="187">
        <v>0.30486111111111114</v>
      </c>
      <c r="V118" s="187">
        <v>0.47222222222222221</v>
      </c>
      <c r="W118" s="182">
        <f>IF(PA[[#This Row],[Acknowledgemnet Time ]]="NA","",(PA[[#This Row],[Acknowledgemnet Time ]]-PA[[#This Row],[Fault Time]])*24)</f>
        <v>1.0000000000000004</v>
      </c>
      <c r="X118" s="182">
        <f>IF(PA[[#This Row],[Work Start time on Fault]]="NA","",(PA[[#This Row],[Work Start time on Fault]]-PA[[#This Row],[Fault Time]])*24)</f>
        <v>1.0000000000000004</v>
      </c>
      <c r="Y118" s="153">
        <f>(PA[[#This Row],[Work Completiuon time on fualt]]-PA[[#This Row],[Fault Time]])*24</f>
        <v>5.0166666666666657</v>
      </c>
      <c r="Z118" s="153">
        <f>IFERROR((PA[[#This Row],[Work Completiuon time on fualt]]-PA[[#This Row],[Fault Time]])*24,"")</f>
        <v>5.0166666666666657</v>
      </c>
      <c r="AA118" s="149" t="s">
        <v>826</v>
      </c>
      <c r="AB118" s="149" t="s">
        <v>173</v>
      </c>
      <c r="AC118" s="152">
        <f>IFERROR(PA[[#This Row],[Breakdown Time]]*PA[[#This Row],[Plant Equivalent Weightage]],)</f>
        <v>0.47521965952773193</v>
      </c>
      <c r="AD118" s="153">
        <v>1.609</v>
      </c>
      <c r="AE118" s="163">
        <f>IFERROR(_xlfn.XLOOKUP(PA[[#This Row],[Month Year]],'Modelling New'!$D:$D,'Modelling New'!$O:$O)*M118*PA[[#This Row],[Lost PoA(kWh/m2)]],"")</f>
        <v>2707.3746374022644</v>
      </c>
      <c r="AF118" s="150"/>
      <c r="AG118" s="150"/>
      <c r="AH118" s="150"/>
    </row>
    <row r="119" spans="1:34" x14ac:dyDescent="0.35">
      <c r="A119" s="147">
        <f t="shared" si="2"/>
        <v>116</v>
      </c>
      <c r="B119" s="183">
        <v>45836</v>
      </c>
      <c r="C119" s="180">
        <f>YEAR(PA[[#This Row],[Date]])+IF(MONTH(PA[[#This Row],[Date]])&gt;=4,1,0)</f>
        <v>2026</v>
      </c>
      <c r="D119" s="155">
        <f>YEAR(PA[[#This Row],[Date]])</f>
        <v>2025</v>
      </c>
      <c r="E119" s="149" t="s">
        <v>4</v>
      </c>
      <c r="F119" s="149" t="s">
        <v>4</v>
      </c>
      <c r="G119" s="310">
        <f>PA[[#This Row],[Date]]-DAY(PA[[#This Row],[Date]])+1</f>
        <v>45809</v>
      </c>
      <c r="H119" s="155">
        <f>DAY(EOMONTH(PA[[#This Row],[Month Year]],0))</f>
        <v>30</v>
      </c>
      <c r="I119" s="151">
        <f>_xlfn.XLOOKUP(PA[[#This Row],[Date]],RD[Date],RD[Sunrise Time (POA&gt;20 W/m2)],0)</f>
        <v>0.25763888888888886</v>
      </c>
      <c r="J119" s="151">
        <f>_xlfn.XLOOKUP(PA[[#This Row],[Date]],RD[Date],RD[Sunset Time (POA&lt;20 W/m2)],0)</f>
        <v>0.76875000000000004</v>
      </c>
      <c r="K119" s="152">
        <f>IFERROR((PA[[#This Row],[Sunset Time (POA&lt;20 W/m2)]]-PA[[#This Row],[Sunrise Time (POA&gt;20 W/m2)]])*24,"")</f>
        <v>12.266666666666669</v>
      </c>
      <c r="L119" s="166" t="s">
        <v>225</v>
      </c>
      <c r="M119" s="180">
        <f>IFERROR(VLOOKUP(PA[[#This Row],[Affceted Equipment]],'Basic Data'!$A$2:$B$125,2,0),"")</f>
        <v>1053</v>
      </c>
      <c r="N119" s="181">
        <f>IFERROR(VLOOKUP(PA[[#This Row],[Affceted Equipment]],'Basic Data'!$A$1:$C$128,3,0),"")</f>
        <v>4.3369028006589788E-2</v>
      </c>
      <c r="O119" s="154" t="s">
        <v>225</v>
      </c>
      <c r="P119" s="149" t="s">
        <v>755</v>
      </c>
      <c r="Q119" s="149" t="s">
        <v>733</v>
      </c>
      <c r="R119" s="149" t="s">
        <v>758</v>
      </c>
      <c r="S119" s="187">
        <v>0.46805555555555556</v>
      </c>
      <c r="T119" s="187">
        <v>0.47916666666666669</v>
      </c>
      <c r="U119" s="187">
        <v>0.47916666666666669</v>
      </c>
      <c r="V119" s="187">
        <v>0.52777777777777779</v>
      </c>
      <c r="W119" s="182">
        <f>IF(PA[[#This Row],[Acknowledgemnet Time ]]="NA","",(PA[[#This Row],[Acknowledgemnet Time ]]-PA[[#This Row],[Fault Time]])*24)</f>
        <v>0.26666666666666705</v>
      </c>
      <c r="X119" s="182">
        <f>IF(PA[[#This Row],[Work Start time on Fault]]="NA","",(PA[[#This Row],[Work Start time on Fault]]-PA[[#This Row],[Fault Time]])*24)</f>
        <v>0.26666666666666705</v>
      </c>
      <c r="Y119" s="153">
        <f>(PA[[#This Row],[Work Completiuon time on fualt]]-PA[[#This Row],[Fault Time]])*24</f>
        <v>1.4333333333333336</v>
      </c>
      <c r="Z119" s="153">
        <f>IFERROR((PA[[#This Row],[Work Completiuon time on fualt]]-PA[[#This Row],[Fault Time]])*24,"")</f>
        <v>1.4333333333333336</v>
      </c>
      <c r="AA119" s="312" t="s">
        <v>757</v>
      </c>
      <c r="AB119" s="149" t="s">
        <v>173</v>
      </c>
      <c r="AC119" s="152">
        <f>IFERROR(PA[[#This Row],[Breakdown Time]]*PA[[#This Row],[Plant Equivalent Weightage]],)</f>
        <v>6.2162273476112043E-2</v>
      </c>
      <c r="AD119" s="153">
        <v>0.44500000000000001</v>
      </c>
      <c r="AE119" s="163">
        <f>IFERROR(_xlfn.XLOOKUP(PA[[#This Row],[Month Year]],'Modelling New'!$D:$D,'Modelling New'!$O:$O)*M119*PA[[#This Row],[Lost PoA(kWh/m2)]],"")</f>
        <v>342.8095075167239</v>
      </c>
      <c r="AF119" s="150"/>
      <c r="AG119" s="150"/>
      <c r="AH119" s="150"/>
    </row>
    <row r="120" spans="1:34" x14ac:dyDescent="0.35">
      <c r="A120" s="147">
        <f t="shared" si="2"/>
        <v>117</v>
      </c>
      <c r="B120" s="183">
        <v>45836</v>
      </c>
      <c r="C120" s="180">
        <f>YEAR(PA[[#This Row],[Date]])+IF(MONTH(PA[[#This Row],[Date]])&gt;=4,1,0)</f>
        <v>2026</v>
      </c>
      <c r="D120" s="155">
        <f>YEAR(PA[[#This Row],[Date]])</f>
        <v>2025</v>
      </c>
      <c r="E120" s="149" t="s">
        <v>4</v>
      </c>
      <c r="F120" s="149" t="s">
        <v>4</v>
      </c>
      <c r="G120" s="310">
        <f>PA[[#This Row],[Date]]-DAY(PA[[#This Row],[Date]])+1</f>
        <v>45809</v>
      </c>
      <c r="H120" s="155">
        <f>DAY(EOMONTH(PA[[#This Row],[Month Year]],0))</f>
        <v>30</v>
      </c>
      <c r="I120" s="151">
        <f>_xlfn.XLOOKUP(PA[[#This Row],[Date]],RD[Date],RD[Sunrise Time (POA&gt;20 W/m2)],0)</f>
        <v>0.25763888888888886</v>
      </c>
      <c r="J120" s="151">
        <f>_xlfn.XLOOKUP(PA[[#This Row],[Date]],RD[Date],RD[Sunset Time (POA&lt;20 W/m2)],0)</f>
        <v>0.76875000000000004</v>
      </c>
      <c r="K120" s="152">
        <f>IFERROR((PA[[#This Row],[Sunset Time (POA&lt;20 W/m2)]]-PA[[#This Row],[Sunrise Time (POA&gt;20 W/m2)]])*24,"")</f>
        <v>12.266666666666669</v>
      </c>
      <c r="L120" s="166" t="s">
        <v>472</v>
      </c>
      <c r="M120" s="180">
        <f>IFERROR(VLOOKUP(PA[[#This Row],[Affceted Equipment]],'Basic Data'!$A$2:$B$125,2,0),"")</f>
        <v>6.4</v>
      </c>
      <c r="N120" s="181">
        <f>IFERROR(VLOOKUP(PA[[#This Row],[Affceted Equipment]],'Basic Data'!$A$1:$C$128,3,0),"")</f>
        <v>2.6359143327841849E-4</v>
      </c>
      <c r="O120" s="166" t="s">
        <v>828</v>
      </c>
      <c r="P120" s="149" t="s">
        <v>774</v>
      </c>
      <c r="Q120" s="149" t="s">
        <v>774</v>
      </c>
      <c r="R120" s="149" t="s">
        <v>829</v>
      </c>
      <c r="S120" s="187">
        <v>0.54166666666666663</v>
      </c>
      <c r="T120" s="187">
        <v>0.54166666666666663</v>
      </c>
      <c r="U120" s="187">
        <v>0.54166666666666663</v>
      </c>
      <c r="V120" s="187">
        <v>0.66666666666666663</v>
      </c>
      <c r="W120" s="182">
        <f>IF(PA[[#This Row],[Acknowledgemnet Time ]]="NA","",(PA[[#This Row],[Acknowledgemnet Time ]]-PA[[#This Row],[Fault Time]])*24)</f>
        <v>0</v>
      </c>
      <c r="X120" s="182">
        <f>IF(PA[[#This Row],[Work Start time on Fault]]="NA","",(PA[[#This Row],[Work Start time on Fault]]-PA[[#This Row],[Fault Time]])*24)</f>
        <v>0</v>
      </c>
      <c r="Y120" s="153">
        <f>(PA[[#This Row],[Work Completiuon time on fualt]]-PA[[#This Row],[Fault Time]])*24</f>
        <v>3</v>
      </c>
      <c r="Z120" s="153">
        <f>IFERROR((PA[[#This Row],[Work Completiuon time on fualt]]-PA[[#This Row],[Fault Time]])*24,"")</f>
        <v>3</v>
      </c>
      <c r="AA120" s="307" t="s">
        <v>776</v>
      </c>
      <c r="AB120" s="149" t="s">
        <v>173</v>
      </c>
      <c r="AC120" s="152">
        <f>IFERROR(PA[[#This Row],[Breakdown Time]]*PA[[#This Row],[Plant Equivalent Weightage]],)</f>
        <v>7.9077429983525553E-4</v>
      </c>
      <c r="AD120" s="153">
        <v>2.56</v>
      </c>
      <c r="AE120" s="163">
        <f>IFERROR(_xlfn.XLOOKUP(PA[[#This Row],[Month Year]],'Modelling New'!$D:$D,'Modelling New'!$O:$O)*M120*PA[[#This Row],[Lost PoA(kWh/m2)]],"")</f>
        <v>11.986279908989841</v>
      </c>
      <c r="AF120" s="150"/>
      <c r="AG120" s="150"/>
      <c r="AH120" s="150"/>
    </row>
    <row r="121" spans="1:34" x14ac:dyDescent="0.35">
      <c r="A121" s="147">
        <f t="shared" si="2"/>
        <v>118</v>
      </c>
      <c r="B121" s="183">
        <v>45836</v>
      </c>
      <c r="C121" s="180">
        <f>YEAR(PA[[#This Row],[Date]])+IF(MONTH(PA[[#This Row],[Date]])&gt;=4,1,0)</f>
        <v>2026</v>
      </c>
      <c r="D121" s="155">
        <f>YEAR(PA[[#This Row],[Date]])</f>
        <v>2025</v>
      </c>
      <c r="E121" s="149" t="s">
        <v>4</v>
      </c>
      <c r="F121" s="149" t="s">
        <v>4</v>
      </c>
      <c r="G121" s="310">
        <f>PA[[#This Row],[Date]]-DAY(PA[[#This Row],[Date]])+1</f>
        <v>45809</v>
      </c>
      <c r="H121" s="155">
        <f>DAY(EOMONTH(PA[[#This Row],[Month Year]],0))</f>
        <v>30</v>
      </c>
      <c r="I121" s="151">
        <f>_xlfn.XLOOKUP(PA[[#This Row],[Date]],RD[Date],RD[Sunrise Time (POA&gt;20 W/m2)],0)</f>
        <v>0.25763888888888886</v>
      </c>
      <c r="J121" s="151">
        <f>_xlfn.XLOOKUP(PA[[#This Row],[Date]],RD[Date],RD[Sunset Time (POA&lt;20 W/m2)],0)</f>
        <v>0.76875000000000004</v>
      </c>
      <c r="K121" s="152">
        <f>IFERROR((PA[[#This Row],[Sunset Time (POA&lt;20 W/m2)]]-PA[[#This Row],[Sunrise Time (POA&gt;20 W/m2)]])*24,"")</f>
        <v>12.266666666666669</v>
      </c>
      <c r="L121" s="166" t="s">
        <v>472</v>
      </c>
      <c r="M121" s="180">
        <f>IFERROR(VLOOKUP(PA[[#This Row],[Affceted Equipment]],'Basic Data'!$A$2:$B$125,2,0),"")</f>
        <v>6.4</v>
      </c>
      <c r="N121" s="181">
        <f>IFERROR(VLOOKUP(PA[[#This Row],[Affceted Equipment]],'Basic Data'!$A$1:$C$128,3,0),"")</f>
        <v>2.6359143327841849E-4</v>
      </c>
      <c r="O121" s="166" t="s">
        <v>828</v>
      </c>
      <c r="P121" s="149" t="s">
        <v>774</v>
      </c>
      <c r="Q121" s="149" t="s">
        <v>774</v>
      </c>
      <c r="R121" s="149" t="s">
        <v>830</v>
      </c>
      <c r="S121" s="187">
        <v>0.54166666666666663</v>
      </c>
      <c r="T121" s="187">
        <v>0.54166666666666663</v>
      </c>
      <c r="U121" s="187">
        <v>0.54166666666666663</v>
      </c>
      <c r="V121" s="187">
        <v>0.66666666666666663</v>
      </c>
      <c r="W121" s="182">
        <f>IF(PA[[#This Row],[Acknowledgemnet Time ]]="NA","",(PA[[#This Row],[Acknowledgemnet Time ]]-PA[[#This Row],[Fault Time]])*24)</f>
        <v>0</v>
      </c>
      <c r="X121" s="182">
        <f>IF(PA[[#This Row],[Work Start time on Fault]]="NA","",(PA[[#This Row],[Work Start time on Fault]]-PA[[#This Row],[Fault Time]])*24)</f>
        <v>0</v>
      </c>
      <c r="Y121" s="153">
        <f>(PA[[#This Row],[Work Completiuon time on fualt]]-PA[[#This Row],[Fault Time]])*24</f>
        <v>3</v>
      </c>
      <c r="Z121" s="153">
        <f>IFERROR((PA[[#This Row],[Work Completiuon time on fualt]]-PA[[#This Row],[Fault Time]])*24,"")</f>
        <v>3</v>
      </c>
      <c r="AA121" s="307" t="s">
        <v>776</v>
      </c>
      <c r="AB121" s="149" t="s">
        <v>173</v>
      </c>
      <c r="AC121" s="152">
        <f>IFERROR(PA[[#This Row],[Breakdown Time]]*PA[[#This Row],[Plant Equivalent Weightage]],)</f>
        <v>7.9077429983525553E-4</v>
      </c>
      <c r="AD121" s="153">
        <v>2.56</v>
      </c>
      <c r="AE121" s="163">
        <f>IFERROR(_xlfn.XLOOKUP(PA[[#This Row],[Month Year]],'Modelling New'!$D:$D,'Modelling New'!$O:$O)*M121*PA[[#This Row],[Lost PoA(kWh/m2)]],"")</f>
        <v>11.986279908989841</v>
      </c>
      <c r="AF121" s="150"/>
      <c r="AG121" s="150"/>
      <c r="AH121" s="150"/>
    </row>
    <row r="122" spans="1:34" x14ac:dyDescent="0.35">
      <c r="A122" s="147">
        <f t="shared" si="2"/>
        <v>119</v>
      </c>
      <c r="B122" s="183">
        <v>45836</v>
      </c>
      <c r="C122" s="180">
        <f>YEAR(PA[[#This Row],[Date]])+IF(MONTH(PA[[#This Row],[Date]])&gt;=4,1,0)</f>
        <v>2026</v>
      </c>
      <c r="D122" s="155">
        <f>YEAR(PA[[#This Row],[Date]])</f>
        <v>2025</v>
      </c>
      <c r="E122" s="149" t="s">
        <v>4</v>
      </c>
      <c r="F122" s="149" t="s">
        <v>4</v>
      </c>
      <c r="G122" s="310">
        <f>PA[[#This Row],[Date]]-DAY(PA[[#This Row],[Date]])+1</f>
        <v>45809</v>
      </c>
      <c r="H122" s="155">
        <f>DAY(EOMONTH(PA[[#This Row],[Month Year]],0))</f>
        <v>30</v>
      </c>
      <c r="I122" s="151">
        <f>_xlfn.XLOOKUP(PA[[#This Row],[Date]],RD[Date],RD[Sunrise Time (POA&gt;20 W/m2)],0)</f>
        <v>0.25763888888888886</v>
      </c>
      <c r="J122" s="151">
        <f>_xlfn.XLOOKUP(PA[[#This Row],[Date]],RD[Date],RD[Sunset Time (POA&lt;20 W/m2)],0)</f>
        <v>0.76875000000000004</v>
      </c>
      <c r="K122" s="152">
        <f>IFERROR((PA[[#This Row],[Sunset Time (POA&lt;20 W/m2)]]-PA[[#This Row],[Sunrise Time (POA&gt;20 W/m2)]])*24,"")</f>
        <v>12.266666666666669</v>
      </c>
      <c r="L122" s="166" t="s">
        <v>472</v>
      </c>
      <c r="M122" s="180">
        <f>IFERROR(VLOOKUP(PA[[#This Row],[Affceted Equipment]],'Basic Data'!$A$2:$B$125,2,0),"")</f>
        <v>6.4</v>
      </c>
      <c r="N122" s="181">
        <f>IFERROR(VLOOKUP(PA[[#This Row],[Affceted Equipment]],'Basic Data'!$A$1:$C$128,3,0),"")</f>
        <v>2.6359143327841849E-4</v>
      </c>
      <c r="O122" s="166" t="s">
        <v>795</v>
      </c>
      <c r="P122" s="149" t="s">
        <v>774</v>
      </c>
      <c r="Q122" s="149" t="s">
        <v>774</v>
      </c>
      <c r="R122" s="149" t="s">
        <v>831</v>
      </c>
      <c r="S122" s="187">
        <v>0.54166666666666663</v>
      </c>
      <c r="T122" s="187">
        <v>0.54166666666666663</v>
      </c>
      <c r="U122" s="187">
        <v>0.54166666666666663</v>
      </c>
      <c r="V122" s="187">
        <v>0.66666666666666663</v>
      </c>
      <c r="W122" s="182">
        <f>IF(PA[[#This Row],[Acknowledgemnet Time ]]="NA","",(PA[[#This Row],[Acknowledgemnet Time ]]-PA[[#This Row],[Fault Time]])*24)</f>
        <v>0</v>
      </c>
      <c r="X122" s="182">
        <f>IF(PA[[#This Row],[Work Start time on Fault]]="NA","",(PA[[#This Row],[Work Start time on Fault]]-PA[[#This Row],[Fault Time]])*24)</f>
        <v>0</v>
      </c>
      <c r="Y122" s="153">
        <f>(PA[[#This Row],[Work Completiuon time on fualt]]-PA[[#This Row],[Fault Time]])*24</f>
        <v>3</v>
      </c>
      <c r="Z122" s="153">
        <f>IFERROR((PA[[#This Row],[Work Completiuon time on fualt]]-PA[[#This Row],[Fault Time]])*24,"")</f>
        <v>3</v>
      </c>
      <c r="AA122" s="312" t="s">
        <v>784</v>
      </c>
      <c r="AB122" s="149" t="s">
        <v>173</v>
      </c>
      <c r="AC122" s="152">
        <f>IFERROR(PA[[#This Row],[Breakdown Time]]*PA[[#This Row],[Plant Equivalent Weightage]],)</f>
        <v>7.9077429983525553E-4</v>
      </c>
      <c r="AD122" s="153">
        <v>2.56</v>
      </c>
      <c r="AE122" s="163">
        <f>IFERROR(_xlfn.XLOOKUP(PA[[#This Row],[Month Year]],'Modelling New'!$D:$D,'Modelling New'!$O:$O)*M122*PA[[#This Row],[Lost PoA(kWh/m2)]],"")</f>
        <v>11.986279908989841</v>
      </c>
      <c r="AF122" s="150"/>
      <c r="AG122" s="150"/>
      <c r="AH122" s="150"/>
    </row>
    <row r="123" spans="1:34" x14ac:dyDescent="0.35">
      <c r="A123" s="147">
        <f t="shared" si="2"/>
        <v>120</v>
      </c>
      <c r="B123" s="183">
        <v>45838</v>
      </c>
      <c r="C123" s="180">
        <f>YEAR(PA[[#This Row],[Date]])+IF(MONTH(PA[[#This Row],[Date]])&gt;=4,1,0)</f>
        <v>2026</v>
      </c>
      <c r="D123" s="155">
        <f>YEAR(PA[[#This Row],[Date]])</f>
        <v>2025</v>
      </c>
      <c r="E123" s="149" t="s">
        <v>4</v>
      </c>
      <c r="F123" s="149" t="s">
        <v>4</v>
      </c>
      <c r="G123" s="310">
        <f>PA[[#This Row],[Date]]-DAY(PA[[#This Row],[Date]])+1</f>
        <v>45809</v>
      </c>
      <c r="H123" s="155">
        <f>DAY(EOMONTH(PA[[#This Row],[Month Year]],0))</f>
        <v>30</v>
      </c>
      <c r="I123" s="151">
        <f>_xlfn.XLOOKUP(PA[[#This Row],[Date]],RD[Date],RD[Sunrise Time (POA&gt;20 W/m2)],0)</f>
        <v>0.26319444444444445</v>
      </c>
      <c r="J123" s="151">
        <f>_xlfn.XLOOKUP(PA[[#This Row],[Date]],RD[Date],RD[Sunset Time (POA&lt;20 W/m2)],0)</f>
        <v>0.78333333333333333</v>
      </c>
      <c r="K123" s="152">
        <f>IFERROR((PA[[#This Row],[Sunset Time (POA&lt;20 W/m2)]]-PA[[#This Row],[Sunrise Time (POA&gt;20 W/m2)]])*24,"")</f>
        <v>12.483333333333334</v>
      </c>
      <c r="L123" s="166" t="s">
        <v>472</v>
      </c>
      <c r="M123" s="180">
        <f>IFERROR(VLOOKUP(PA[[#This Row],[Affceted Equipment]],'Basic Data'!$A$2:$B$125,2,0),"")</f>
        <v>6.4</v>
      </c>
      <c r="N123" s="181">
        <f>IFERROR(VLOOKUP(PA[[#This Row],[Affceted Equipment]],'Basic Data'!$A$1:$C$128,3,0),"")</f>
        <v>2.6359143327841849E-4</v>
      </c>
      <c r="O123" s="166" t="s">
        <v>832</v>
      </c>
      <c r="P123" s="149" t="s">
        <v>782</v>
      </c>
      <c r="Q123" s="149" t="s">
        <v>782</v>
      </c>
      <c r="R123" s="149" t="s">
        <v>833</v>
      </c>
      <c r="S123" s="187">
        <v>0.45833333333333331</v>
      </c>
      <c r="T123" s="187">
        <v>0.45833333333333331</v>
      </c>
      <c r="U123" s="187">
        <v>0.45833333333333331</v>
      </c>
      <c r="V123" s="187">
        <v>0.66666666666666663</v>
      </c>
      <c r="W123" s="182">
        <f>IF(PA[[#This Row],[Acknowledgemnet Time ]]="NA","",(PA[[#This Row],[Acknowledgemnet Time ]]-PA[[#This Row],[Fault Time]])*24)</f>
        <v>0</v>
      </c>
      <c r="X123" s="182">
        <f>IF(PA[[#This Row],[Work Start time on Fault]]="NA","",(PA[[#This Row],[Work Start time on Fault]]-PA[[#This Row],[Fault Time]])*24)</f>
        <v>0</v>
      </c>
      <c r="Y123" s="153">
        <f>(PA[[#This Row],[Work Completiuon time on fualt]]-PA[[#This Row],[Fault Time]])*24</f>
        <v>5</v>
      </c>
      <c r="Z123" s="153">
        <f>IFERROR((PA[[#This Row],[Work Completiuon time on fualt]]-PA[[#This Row],[Fault Time]])*24,"")</f>
        <v>5</v>
      </c>
      <c r="AA123" s="312" t="s">
        <v>784</v>
      </c>
      <c r="AB123" s="149" t="s">
        <v>173</v>
      </c>
      <c r="AC123" s="152">
        <f>IFERROR(PA[[#This Row],[Breakdown Time]]*PA[[#This Row],[Plant Equivalent Weightage]],)</f>
        <v>1.3179571663920924E-3</v>
      </c>
      <c r="AD123" s="153">
        <v>1.76</v>
      </c>
      <c r="AE123" s="163">
        <f>IFERROR(_xlfn.XLOOKUP(PA[[#This Row],[Month Year]],'Modelling New'!$D:$D,'Modelling New'!$O:$O)*M123*PA[[#This Row],[Lost PoA(kWh/m2)]],"")</f>
        <v>8.2405674374305153</v>
      </c>
      <c r="AF123" s="150"/>
      <c r="AG123" s="150"/>
      <c r="AH123" s="150"/>
    </row>
    <row r="124" spans="1:34" x14ac:dyDescent="0.35">
      <c r="A124" s="147">
        <f t="shared" si="2"/>
        <v>121</v>
      </c>
      <c r="B124" s="183">
        <v>45838</v>
      </c>
      <c r="C124" s="180">
        <f>YEAR(PA[[#This Row],[Date]])+IF(MONTH(PA[[#This Row],[Date]])&gt;=4,1,0)</f>
        <v>2026</v>
      </c>
      <c r="D124" s="155">
        <f>YEAR(PA[[#This Row],[Date]])</f>
        <v>2025</v>
      </c>
      <c r="E124" s="149" t="s">
        <v>4</v>
      </c>
      <c r="F124" s="149" t="s">
        <v>4</v>
      </c>
      <c r="G124" s="310">
        <f>PA[[#This Row],[Date]]-DAY(PA[[#This Row],[Date]])+1</f>
        <v>45809</v>
      </c>
      <c r="H124" s="155">
        <f>DAY(EOMONTH(PA[[#This Row],[Month Year]],0))</f>
        <v>30</v>
      </c>
      <c r="I124" s="151">
        <f>_xlfn.XLOOKUP(PA[[#This Row],[Date]],RD[Date],RD[Sunrise Time (POA&gt;20 W/m2)],0)</f>
        <v>0.26319444444444445</v>
      </c>
      <c r="J124" s="151">
        <f>_xlfn.XLOOKUP(PA[[#This Row],[Date]],RD[Date],RD[Sunset Time (POA&lt;20 W/m2)],0)</f>
        <v>0.78333333333333333</v>
      </c>
      <c r="K124" s="152">
        <f>IFERROR((PA[[#This Row],[Sunset Time (POA&lt;20 W/m2)]]-PA[[#This Row],[Sunrise Time (POA&gt;20 W/m2)]])*24,"")</f>
        <v>12.483333333333334</v>
      </c>
      <c r="L124" s="166" t="s">
        <v>472</v>
      </c>
      <c r="M124" s="180">
        <f>IFERROR(VLOOKUP(PA[[#This Row],[Affceted Equipment]],'Basic Data'!$A$2:$B$125,2,0),"")</f>
        <v>6.4</v>
      </c>
      <c r="N124" s="181">
        <f>IFERROR(VLOOKUP(PA[[#This Row],[Affceted Equipment]],'Basic Data'!$A$1:$C$128,3,0),"")</f>
        <v>2.6359143327841849E-4</v>
      </c>
      <c r="O124" s="166" t="s">
        <v>832</v>
      </c>
      <c r="P124" s="149" t="s">
        <v>782</v>
      </c>
      <c r="Q124" s="149" t="s">
        <v>782</v>
      </c>
      <c r="R124" s="149" t="s">
        <v>834</v>
      </c>
      <c r="S124" s="187">
        <v>0.45833333333333331</v>
      </c>
      <c r="T124" s="187">
        <v>0.45833333333333331</v>
      </c>
      <c r="U124" s="187">
        <v>0.45833333333333331</v>
      </c>
      <c r="V124" s="187">
        <v>0.66666666666666663</v>
      </c>
      <c r="W124" s="182">
        <f>IF(PA[[#This Row],[Acknowledgemnet Time ]]="NA","",(PA[[#This Row],[Acknowledgemnet Time ]]-PA[[#This Row],[Fault Time]])*24)</f>
        <v>0</v>
      </c>
      <c r="X124" s="182">
        <f>IF(PA[[#This Row],[Work Start time on Fault]]="NA","",(PA[[#This Row],[Work Start time on Fault]]-PA[[#This Row],[Fault Time]])*24)</f>
        <v>0</v>
      </c>
      <c r="Y124" s="153">
        <f>(PA[[#This Row],[Work Completiuon time on fualt]]-PA[[#This Row],[Fault Time]])*24</f>
        <v>5</v>
      </c>
      <c r="Z124" s="153">
        <f>IFERROR((PA[[#This Row],[Work Completiuon time on fualt]]-PA[[#This Row],[Fault Time]])*24,"")</f>
        <v>5</v>
      </c>
      <c r="AA124" s="312" t="s">
        <v>784</v>
      </c>
      <c r="AB124" s="149" t="s">
        <v>173</v>
      </c>
      <c r="AC124" s="152">
        <f>IFERROR(PA[[#This Row],[Breakdown Time]]*PA[[#This Row],[Plant Equivalent Weightage]],)</f>
        <v>1.3179571663920924E-3</v>
      </c>
      <c r="AD124" s="153">
        <v>1.76</v>
      </c>
      <c r="AE124" s="163">
        <f>IFERROR(_xlfn.XLOOKUP(PA[[#This Row],[Month Year]],'Modelling New'!$D:$D,'Modelling New'!$O:$O)*M124*PA[[#This Row],[Lost PoA(kWh/m2)]],"")</f>
        <v>8.2405674374305153</v>
      </c>
      <c r="AF124" s="150"/>
      <c r="AG124" s="150"/>
      <c r="AH124" s="150"/>
    </row>
    <row r="125" spans="1:34" x14ac:dyDescent="0.35">
      <c r="A125" s="147">
        <f t="shared" si="2"/>
        <v>122</v>
      </c>
      <c r="B125" s="183">
        <v>45838</v>
      </c>
      <c r="C125" s="180">
        <f>YEAR(PA[[#This Row],[Date]])+IF(MONTH(PA[[#This Row],[Date]])&gt;=4,1,0)</f>
        <v>2026</v>
      </c>
      <c r="D125" s="155">
        <f>YEAR(PA[[#This Row],[Date]])</f>
        <v>2025</v>
      </c>
      <c r="E125" s="149" t="s">
        <v>4</v>
      </c>
      <c r="F125" s="149" t="s">
        <v>4</v>
      </c>
      <c r="G125" s="310">
        <f>PA[[#This Row],[Date]]-DAY(PA[[#This Row],[Date]])+1</f>
        <v>45809</v>
      </c>
      <c r="H125" s="155">
        <f>DAY(EOMONTH(PA[[#This Row],[Month Year]],0))</f>
        <v>30</v>
      </c>
      <c r="I125" s="151">
        <f>_xlfn.XLOOKUP(PA[[#This Row],[Date]],RD[Date],RD[Sunrise Time (POA&gt;20 W/m2)],0)</f>
        <v>0.26319444444444445</v>
      </c>
      <c r="J125" s="151">
        <f>_xlfn.XLOOKUP(PA[[#This Row],[Date]],RD[Date],RD[Sunset Time (POA&lt;20 W/m2)],0)</f>
        <v>0.78333333333333333</v>
      </c>
      <c r="K125" s="152">
        <f>IFERROR((PA[[#This Row],[Sunset Time (POA&lt;20 W/m2)]]-PA[[#This Row],[Sunrise Time (POA&gt;20 W/m2)]])*24,"")</f>
        <v>12.483333333333334</v>
      </c>
      <c r="L125" s="166" t="s">
        <v>472</v>
      </c>
      <c r="M125" s="180">
        <f>IFERROR(VLOOKUP(PA[[#This Row],[Affceted Equipment]],'Basic Data'!$A$2:$B$125,2,0),"")</f>
        <v>6.4</v>
      </c>
      <c r="N125" s="181">
        <f>IFERROR(VLOOKUP(PA[[#This Row],[Affceted Equipment]],'Basic Data'!$A$1:$C$128,3,0),"")</f>
        <v>2.6359143327841849E-4</v>
      </c>
      <c r="O125" s="166" t="s">
        <v>835</v>
      </c>
      <c r="P125" s="149" t="s">
        <v>782</v>
      </c>
      <c r="Q125" s="149" t="s">
        <v>782</v>
      </c>
      <c r="R125" s="149" t="s">
        <v>836</v>
      </c>
      <c r="S125" s="187">
        <v>0.45833333333333331</v>
      </c>
      <c r="T125" s="187">
        <v>0.45833333333333331</v>
      </c>
      <c r="U125" s="187">
        <v>0.45833333333333331</v>
      </c>
      <c r="V125" s="187">
        <v>0.66666666666666663</v>
      </c>
      <c r="W125" s="182">
        <f>IF(PA[[#This Row],[Acknowledgemnet Time ]]="NA","",(PA[[#This Row],[Acknowledgemnet Time ]]-PA[[#This Row],[Fault Time]])*24)</f>
        <v>0</v>
      </c>
      <c r="X125" s="182">
        <f>IF(PA[[#This Row],[Work Start time on Fault]]="NA","",(PA[[#This Row],[Work Start time on Fault]]-PA[[#This Row],[Fault Time]])*24)</f>
        <v>0</v>
      </c>
      <c r="Y125" s="153">
        <f>(PA[[#This Row],[Work Completiuon time on fualt]]-PA[[#This Row],[Fault Time]])*24</f>
        <v>5</v>
      </c>
      <c r="Z125" s="153">
        <f>IFERROR((PA[[#This Row],[Work Completiuon time on fualt]]-PA[[#This Row],[Fault Time]])*24,"")</f>
        <v>5</v>
      </c>
      <c r="AA125" s="307" t="s">
        <v>776</v>
      </c>
      <c r="AB125" s="149" t="s">
        <v>173</v>
      </c>
      <c r="AC125" s="152">
        <f>IFERROR(PA[[#This Row],[Breakdown Time]]*PA[[#This Row],[Plant Equivalent Weightage]],)</f>
        <v>1.3179571663920924E-3</v>
      </c>
      <c r="AD125" s="153">
        <v>1.76</v>
      </c>
      <c r="AE125" s="163">
        <f>IFERROR(_xlfn.XLOOKUP(PA[[#This Row],[Month Year]],'Modelling New'!$D:$D,'Modelling New'!$O:$O)*M125*PA[[#This Row],[Lost PoA(kWh/m2)]],"")</f>
        <v>8.2405674374305153</v>
      </c>
      <c r="AF125" s="150"/>
      <c r="AG125" s="150"/>
      <c r="AH125" s="150"/>
    </row>
    <row r="126" spans="1:34" x14ac:dyDescent="0.35">
      <c r="A126" s="147">
        <f t="shared" si="2"/>
        <v>123</v>
      </c>
      <c r="B126" s="183">
        <v>45838</v>
      </c>
      <c r="C126" s="180">
        <f>YEAR(PA[[#This Row],[Date]])+IF(MONTH(PA[[#This Row],[Date]])&gt;=4,1,0)</f>
        <v>2026</v>
      </c>
      <c r="D126" s="155">
        <f>YEAR(PA[[#This Row],[Date]])</f>
        <v>2025</v>
      </c>
      <c r="E126" s="149" t="s">
        <v>4</v>
      </c>
      <c r="F126" s="149" t="s">
        <v>4</v>
      </c>
      <c r="G126" s="310">
        <f>PA[[#This Row],[Date]]-DAY(PA[[#This Row],[Date]])+1</f>
        <v>45809</v>
      </c>
      <c r="H126" s="155">
        <f>DAY(EOMONTH(PA[[#This Row],[Month Year]],0))</f>
        <v>30</v>
      </c>
      <c r="I126" s="151">
        <f>_xlfn.XLOOKUP(PA[[#This Row],[Date]],RD[Date],RD[Sunrise Time (POA&gt;20 W/m2)],0)</f>
        <v>0.26319444444444445</v>
      </c>
      <c r="J126" s="151">
        <f>_xlfn.XLOOKUP(PA[[#This Row],[Date]],RD[Date],RD[Sunset Time (POA&lt;20 W/m2)],0)</f>
        <v>0.78333333333333333</v>
      </c>
      <c r="K126" s="152">
        <f>IFERROR((PA[[#This Row],[Sunset Time (POA&lt;20 W/m2)]]-PA[[#This Row],[Sunrise Time (POA&gt;20 W/m2)]])*24,"")</f>
        <v>12.483333333333334</v>
      </c>
      <c r="L126" s="166" t="s">
        <v>472</v>
      </c>
      <c r="M126" s="180">
        <f>IFERROR(VLOOKUP(PA[[#This Row],[Affceted Equipment]],'Basic Data'!$A$2:$B$125,2,0),"")</f>
        <v>6.4</v>
      </c>
      <c r="N126" s="181">
        <f>IFERROR(VLOOKUP(PA[[#This Row],[Affceted Equipment]],'Basic Data'!$A$1:$C$128,3,0),"")</f>
        <v>2.6359143327841849E-4</v>
      </c>
      <c r="O126" s="166" t="s">
        <v>837</v>
      </c>
      <c r="P126" s="149" t="s">
        <v>782</v>
      </c>
      <c r="Q126" s="149" t="s">
        <v>782</v>
      </c>
      <c r="R126" s="149" t="s">
        <v>838</v>
      </c>
      <c r="S126" s="187">
        <v>0.45833333333333331</v>
      </c>
      <c r="T126" s="187">
        <v>0.45833333333333331</v>
      </c>
      <c r="U126" s="187">
        <v>0.45833333333333331</v>
      </c>
      <c r="V126" s="187">
        <v>0.66666666666666663</v>
      </c>
      <c r="W126" s="182">
        <f>IF(PA[[#This Row],[Acknowledgemnet Time ]]="NA","",(PA[[#This Row],[Acknowledgemnet Time ]]-PA[[#This Row],[Fault Time]])*24)</f>
        <v>0</v>
      </c>
      <c r="X126" s="182">
        <f>IF(PA[[#This Row],[Work Start time on Fault]]="NA","",(PA[[#This Row],[Work Start time on Fault]]-PA[[#This Row],[Fault Time]])*24)</f>
        <v>0</v>
      </c>
      <c r="Y126" s="153">
        <f>(PA[[#This Row],[Work Completiuon time on fualt]]-PA[[#This Row],[Fault Time]])*24</f>
        <v>5</v>
      </c>
      <c r="Z126" s="153">
        <f>IFERROR((PA[[#This Row],[Work Completiuon time on fualt]]-PA[[#This Row],[Fault Time]])*24,"")</f>
        <v>5</v>
      </c>
      <c r="AA126" s="312" t="s">
        <v>784</v>
      </c>
      <c r="AB126" s="149" t="s">
        <v>173</v>
      </c>
      <c r="AC126" s="152">
        <f>IFERROR(PA[[#This Row],[Breakdown Time]]*PA[[#This Row],[Plant Equivalent Weightage]],)</f>
        <v>1.3179571663920924E-3</v>
      </c>
      <c r="AD126" s="153">
        <v>1.76</v>
      </c>
      <c r="AE126" s="163">
        <f>IFERROR(_xlfn.XLOOKUP(PA[[#This Row],[Month Year]],'Modelling New'!$D:$D,'Modelling New'!$O:$O)*M126*PA[[#This Row],[Lost PoA(kWh/m2)]],"")</f>
        <v>8.2405674374305153</v>
      </c>
      <c r="AF126" s="150"/>
      <c r="AG126" s="150"/>
      <c r="AH126" s="150"/>
    </row>
    <row r="127" spans="1:34" x14ac:dyDescent="0.35">
      <c r="A127" s="147">
        <f t="shared" si="2"/>
        <v>124</v>
      </c>
      <c r="B127" s="183">
        <v>45838</v>
      </c>
      <c r="C127" s="180">
        <f>YEAR(PA[[#This Row],[Date]])+IF(MONTH(PA[[#This Row],[Date]])&gt;=4,1,0)</f>
        <v>2026</v>
      </c>
      <c r="D127" s="155">
        <f>YEAR(PA[[#This Row],[Date]])</f>
        <v>2025</v>
      </c>
      <c r="E127" s="149" t="s">
        <v>4</v>
      </c>
      <c r="F127" s="149" t="s">
        <v>4</v>
      </c>
      <c r="G127" s="310">
        <f>PA[[#This Row],[Date]]-DAY(PA[[#This Row],[Date]])+1</f>
        <v>45809</v>
      </c>
      <c r="H127" s="155">
        <f>DAY(EOMONTH(PA[[#This Row],[Month Year]],0))</f>
        <v>30</v>
      </c>
      <c r="I127" s="151">
        <f>_xlfn.XLOOKUP(PA[[#This Row],[Date]],RD[Date],RD[Sunrise Time (POA&gt;20 W/m2)],0)</f>
        <v>0.26319444444444445</v>
      </c>
      <c r="J127" s="151">
        <f>_xlfn.XLOOKUP(PA[[#This Row],[Date]],RD[Date],RD[Sunset Time (POA&lt;20 W/m2)],0)</f>
        <v>0.78333333333333333</v>
      </c>
      <c r="K127" s="152">
        <f>IFERROR((PA[[#This Row],[Sunset Time (POA&lt;20 W/m2)]]-PA[[#This Row],[Sunrise Time (POA&gt;20 W/m2)]])*24,"")</f>
        <v>12.483333333333334</v>
      </c>
      <c r="L127" s="166" t="s">
        <v>472</v>
      </c>
      <c r="M127" s="180">
        <f>IFERROR(VLOOKUP(PA[[#This Row],[Affceted Equipment]],'Basic Data'!$A$2:$B$125,2,0),"")</f>
        <v>6.4</v>
      </c>
      <c r="N127" s="181">
        <f>IFERROR(VLOOKUP(PA[[#This Row],[Affceted Equipment]],'Basic Data'!$A$1:$C$128,3,0),"")</f>
        <v>2.6359143327841849E-4</v>
      </c>
      <c r="O127" s="166" t="s">
        <v>837</v>
      </c>
      <c r="P127" s="149" t="s">
        <v>782</v>
      </c>
      <c r="Q127" s="149" t="s">
        <v>782</v>
      </c>
      <c r="R127" s="149" t="s">
        <v>839</v>
      </c>
      <c r="S127" s="187">
        <v>0.45833333333333331</v>
      </c>
      <c r="T127" s="187">
        <v>0.45833333333333331</v>
      </c>
      <c r="U127" s="187">
        <v>0.45833333333333331</v>
      </c>
      <c r="V127" s="187">
        <v>0.66666666666666663</v>
      </c>
      <c r="W127" s="182">
        <f>IF(PA[[#This Row],[Acknowledgemnet Time ]]="NA","",(PA[[#This Row],[Acknowledgemnet Time ]]-PA[[#This Row],[Fault Time]])*24)</f>
        <v>0</v>
      </c>
      <c r="X127" s="182">
        <f>IF(PA[[#This Row],[Work Start time on Fault]]="NA","",(PA[[#This Row],[Work Start time on Fault]]-PA[[#This Row],[Fault Time]])*24)</f>
        <v>0</v>
      </c>
      <c r="Y127" s="153">
        <f>(PA[[#This Row],[Work Completiuon time on fualt]]-PA[[#This Row],[Fault Time]])*24</f>
        <v>5</v>
      </c>
      <c r="Z127" s="153">
        <f>IFERROR((PA[[#This Row],[Work Completiuon time on fualt]]-PA[[#This Row],[Fault Time]])*24,"")</f>
        <v>5</v>
      </c>
      <c r="AA127" s="312" t="s">
        <v>784</v>
      </c>
      <c r="AB127" s="149" t="s">
        <v>173</v>
      </c>
      <c r="AC127" s="152">
        <f>IFERROR(PA[[#This Row],[Breakdown Time]]*PA[[#This Row],[Plant Equivalent Weightage]],)</f>
        <v>1.3179571663920924E-3</v>
      </c>
      <c r="AD127" s="153">
        <v>1.76</v>
      </c>
      <c r="AE127" s="163">
        <f>IFERROR(_xlfn.XLOOKUP(PA[[#This Row],[Month Year]],'Modelling New'!$D:$D,'Modelling New'!$O:$O)*M127*PA[[#This Row],[Lost PoA(kWh/m2)]],"")</f>
        <v>8.2405674374305153</v>
      </c>
      <c r="AF127" s="150"/>
      <c r="AG127" s="150"/>
      <c r="AH127" s="150"/>
    </row>
    <row r="128" spans="1:34" x14ac:dyDescent="0.35">
      <c r="A128" s="147">
        <f t="shared" si="2"/>
        <v>125</v>
      </c>
      <c r="B128" s="183">
        <v>45839</v>
      </c>
      <c r="C128" s="180">
        <f>YEAR(PA[[#This Row],[Date]])+IF(MONTH(PA[[#This Row],[Date]])&gt;=4,1,0)</f>
        <v>2026</v>
      </c>
      <c r="D128" s="155">
        <f>YEAR(PA[[#This Row],[Date]])</f>
        <v>2025</v>
      </c>
      <c r="E128" s="149" t="s">
        <v>4</v>
      </c>
      <c r="F128" s="149" t="s">
        <v>4</v>
      </c>
      <c r="G128" s="310">
        <f>PA[[#This Row],[Date]]-DAY(PA[[#This Row],[Date]])+1</f>
        <v>45839</v>
      </c>
      <c r="H128" s="155">
        <f>DAY(EOMONTH(PA[[#This Row],[Month Year]],0))</f>
        <v>31</v>
      </c>
      <c r="I128" s="151">
        <f>_xlfn.XLOOKUP(PA[[#This Row],[Date]],RD[Date],RD[Sunrise Time (POA&gt;20 W/m2)],0)</f>
        <v>0.26111111111111113</v>
      </c>
      <c r="J128" s="151">
        <f>_xlfn.XLOOKUP(PA[[#This Row],[Date]],RD[Date],RD[Sunset Time (POA&lt;20 W/m2)],0)</f>
        <v>0.77847222222222223</v>
      </c>
      <c r="K128" s="152">
        <f>IFERROR((PA[[#This Row],[Sunset Time (POA&lt;20 W/m2)]]-PA[[#This Row],[Sunrise Time (POA&gt;20 W/m2)]])*24,"")</f>
        <v>12.416666666666668</v>
      </c>
      <c r="L128" s="166" t="s">
        <v>473</v>
      </c>
      <c r="M128" s="180">
        <f>IFERROR(VLOOKUP(PA[[#This Row],[Affceted Equipment]],'Basic Data'!$A$2:$B$125,2,0),"")</f>
        <v>6.5</v>
      </c>
      <c r="N128" s="181">
        <f>IFERROR(VLOOKUP(PA[[#This Row],[Affceted Equipment]],'Basic Data'!$A$1:$C$128,3,0),"")</f>
        <v>2.6771004942339376E-4</v>
      </c>
      <c r="O128" s="166" t="s">
        <v>840</v>
      </c>
      <c r="P128" s="149" t="s">
        <v>782</v>
      </c>
      <c r="Q128" s="149" t="s">
        <v>782</v>
      </c>
      <c r="R128" s="149" t="s">
        <v>841</v>
      </c>
      <c r="S128" s="187">
        <v>0.45833333333333331</v>
      </c>
      <c r="T128" s="187">
        <v>0.45833333333333331</v>
      </c>
      <c r="U128" s="187">
        <v>0.45833333333333331</v>
      </c>
      <c r="V128" s="187">
        <v>0.66666666666666663</v>
      </c>
      <c r="W128" s="182">
        <f>IF(PA[[#This Row],[Acknowledgemnet Time ]]="NA","",(PA[[#This Row],[Acknowledgemnet Time ]]-PA[[#This Row],[Fault Time]])*24)</f>
        <v>0</v>
      </c>
      <c r="X128" s="182">
        <f>IF(PA[[#This Row],[Work Start time on Fault]]="NA","",(PA[[#This Row],[Work Start time on Fault]]-PA[[#This Row],[Fault Time]])*24)</f>
        <v>0</v>
      </c>
      <c r="Y128" s="153">
        <f>(PA[[#This Row],[Work Completiuon time on fualt]]-PA[[#This Row],[Fault Time]])*24</f>
        <v>5</v>
      </c>
      <c r="Z128" s="153">
        <f>IFERROR((PA[[#This Row],[Work Completiuon time on fualt]]-PA[[#This Row],[Fault Time]])*24,"")</f>
        <v>5</v>
      </c>
      <c r="AA128" s="312" t="s">
        <v>784</v>
      </c>
      <c r="AB128" s="149" t="s">
        <v>173</v>
      </c>
      <c r="AC128" s="152">
        <f>IFERROR(PA[[#This Row],[Breakdown Time]]*PA[[#This Row],[Plant Equivalent Weightage]],)</f>
        <v>1.3385502471169688E-3</v>
      </c>
      <c r="AD128" s="153">
        <v>2.0099999999999998</v>
      </c>
      <c r="AE128" s="163">
        <f>IFERROR(_xlfn.XLOOKUP(PA[[#This Row],[Month Year]],'Modelling New'!$D:$D,'Modelling New'!$O:$O)*M128*PA[[#This Row],[Lost PoA(kWh/m2)]],"")</f>
        <v>9.4521412733151795</v>
      </c>
      <c r="AF128" s="150"/>
      <c r="AG128" s="150"/>
      <c r="AH128" s="150"/>
    </row>
    <row r="129" spans="1:34" x14ac:dyDescent="0.35">
      <c r="A129" s="147">
        <f t="shared" si="2"/>
        <v>126</v>
      </c>
      <c r="B129" s="183">
        <v>45839</v>
      </c>
      <c r="C129" s="180">
        <f>YEAR(PA[[#This Row],[Date]])+IF(MONTH(PA[[#This Row],[Date]])&gt;=4,1,0)</f>
        <v>2026</v>
      </c>
      <c r="D129" s="155">
        <f>YEAR(PA[[#This Row],[Date]])</f>
        <v>2025</v>
      </c>
      <c r="E129" s="149" t="s">
        <v>4</v>
      </c>
      <c r="F129" s="149" t="s">
        <v>4</v>
      </c>
      <c r="G129" s="310">
        <f>PA[[#This Row],[Date]]-DAY(PA[[#This Row],[Date]])+1</f>
        <v>45839</v>
      </c>
      <c r="H129" s="155">
        <f>DAY(EOMONTH(PA[[#This Row],[Month Year]],0))</f>
        <v>31</v>
      </c>
      <c r="I129" s="151">
        <f>_xlfn.XLOOKUP(PA[[#This Row],[Date]],RD[Date],RD[Sunrise Time (POA&gt;20 W/m2)],0)</f>
        <v>0.26111111111111113</v>
      </c>
      <c r="J129" s="151">
        <f>_xlfn.XLOOKUP(PA[[#This Row],[Date]],RD[Date],RD[Sunset Time (POA&lt;20 W/m2)],0)</f>
        <v>0.77847222222222223</v>
      </c>
      <c r="K129" s="152">
        <f>IFERROR((PA[[#This Row],[Sunset Time (POA&lt;20 W/m2)]]-PA[[#This Row],[Sunrise Time (POA&gt;20 W/m2)]])*24,"")</f>
        <v>12.416666666666668</v>
      </c>
      <c r="L129" s="166" t="s">
        <v>473</v>
      </c>
      <c r="M129" s="180">
        <f>IFERROR(VLOOKUP(PA[[#This Row],[Affceted Equipment]],'Basic Data'!$A$2:$B$125,2,0),"")</f>
        <v>6.5</v>
      </c>
      <c r="N129" s="181">
        <f>IFERROR(VLOOKUP(PA[[#This Row],[Affceted Equipment]],'Basic Data'!$A$1:$C$128,3,0),"")</f>
        <v>2.6771004942339376E-4</v>
      </c>
      <c r="O129" s="166" t="s">
        <v>840</v>
      </c>
      <c r="P129" s="149" t="s">
        <v>782</v>
      </c>
      <c r="Q129" s="149" t="s">
        <v>782</v>
      </c>
      <c r="R129" s="149" t="s">
        <v>842</v>
      </c>
      <c r="S129" s="187">
        <v>0.45833333333333331</v>
      </c>
      <c r="T129" s="187">
        <v>0.45833333333333331</v>
      </c>
      <c r="U129" s="187">
        <v>0.45833333333333331</v>
      </c>
      <c r="V129" s="187">
        <v>0.66666666666666663</v>
      </c>
      <c r="W129" s="182">
        <f>IF(PA[[#This Row],[Acknowledgemnet Time ]]="NA","",(PA[[#This Row],[Acknowledgemnet Time ]]-PA[[#This Row],[Fault Time]])*24)</f>
        <v>0</v>
      </c>
      <c r="X129" s="182">
        <f>IF(PA[[#This Row],[Work Start time on Fault]]="NA","",(PA[[#This Row],[Work Start time on Fault]]-PA[[#This Row],[Fault Time]])*24)</f>
        <v>0</v>
      </c>
      <c r="Y129" s="153">
        <f>(PA[[#This Row],[Work Completiuon time on fualt]]-PA[[#This Row],[Fault Time]])*24</f>
        <v>5</v>
      </c>
      <c r="Z129" s="153">
        <f>IFERROR((PA[[#This Row],[Work Completiuon time on fualt]]-PA[[#This Row],[Fault Time]])*24,"")</f>
        <v>5</v>
      </c>
      <c r="AA129" s="312" t="s">
        <v>784</v>
      </c>
      <c r="AB129" s="149" t="s">
        <v>173</v>
      </c>
      <c r="AC129" s="152">
        <f>IFERROR(PA[[#This Row],[Breakdown Time]]*PA[[#This Row],[Plant Equivalent Weightage]],)</f>
        <v>1.3385502471169688E-3</v>
      </c>
      <c r="AD129" s="153">
        <v>2.0099999999999998</v>
      </c>
      <c r="AE129" s="163">
        <f>IFERROR(_xlfn.XLOOKUP(PA[[#This Row],[Month Year]],'Modelling New'!$D:$D,'Modelling New'!$O:$O)*M129*PA[[#This Row],[Lost PoA(kWh/m2)]],"")</f>
        <v>9.4521412733151795</v>
      </c>
      <c r="AF129" s="150"/>
      <c r="AG129" s="150"/>
      <c r="AH129" s="150"/>
    </row>
    <row r="130" spans="1:34" x14ac:dyDescent="0.35">
      <c r="A130" s="147">
        <f t="shared" si="2"/>
        <v>127</v>
      </c>
      <c r="B130" s="183">
        <v>45840</v>
      </c>
      <c r="C130" s="180">
        <f>YEAR(PA[[#This Row],[Date]])+IF(MONTH(PA[[#This Row],[Date]])&gt;=4,1,0)</f>
        <v>2026</v>
      </c>
      <c r="D130" s="155">
        <f>YEAR(PA[[#This Row],[Date]])</f>
        <v>2025</v>
      </c>
      <c r="E130" s="149" t="s">
        <v>4</v>
      </c>
      <c r="F130" s="149" t="s">
        <v>4</v>
      </c>
      <c r="G130" s="310">
        <f>PA[[#This Row],[Date]]-DAY(PA[[#This Row],[Date]])+1</f>
        <v>45839</v>
      </c>
      <c r="H130" s="155">
        <f>DAY(EOMONTH(PA[[#This Row],[Month Year]],0))</f>
        <v>31</v>
      </c>
      <c r="I130" s="151">
        <f>_xlfn.XLOOKUP(PA[[#This Row],[Date]],RD[Date],RD[Sunrise Time (POA&gt;20 W/m2)],0)</f>
        <v>0.26944444444444443</v>
      </c>
      <c r="J130" s="151">
        <f>_xlfn.XLOOKUP(PA[[#This Row],[Date]],RD[Date],RD[Sunset Time (POA&lt;20 W/m2)],0)</f>
        <v>0.77777777777777779</v>
      </c>
      <c r="K130" s="152">
        <f>IFERROR((PA[[#This Row],[Sunset Time (POA&lt;20 W/m2)]]-PA[[#This Row],[Sunrise Time (POA&gt;20 W/m2)]])*24,"")</f>
        <v>12.2</v>
      </c>
      <c r="L130" s="166" t="s">
        <v>473</v>
      </c>
      <c r="M130" s="180">
        <f>IFERROR(VLOOKUP(PA[[#This Row],[Affceted Equipment]],'Basic Data'!$A$2:$B$125,2,0),"")</f>
        <v>6.5</v>
      </c>
      <c r="N130" s="181">
        <f>IFERROR(VLOOKUP(PA[[#This Row],[Affceted Equipment]],'Basic Data'!$A$1:$C$128,3,0),"")</f>
        <v>2.6771004942339376E-4</v>
      </c>
      <c r="O130" s="166" t="s">
        <v>843</v>
      </c>
      <c r="P130" s="149" t="s">
        <v>782</v>
      </c>
      <c r="Q130" s="149" t="s">
        <v>782</v>
      </c>
      <c r="R130" s="149" t="s">
        <v>844</v>
      </c>
      <c r="S130" s="187">
        <v>0.45833333333333331</v>
      </c>
      <c r="T130" s="187">
        <v>0.45833333333333331</v>
      </c>
      <c r="U130" s="187">
        <v>0.45833333333333331</v>
      </c>
      <c r="V130" s="187">
        <v>0.66666666666666663</v>
      </c>
      <c r="W130" s="182">
        <f>IF(PA[[#This Row],[Acknowledgemnet Time ]]="NA","",(PA[[#This Row],[Acknowledgemnet Time ]]-PA[[#This Row],[Fault Time]])*24)</f>
        <v>0</v>
      </c>
      <c r="X130" s="182">
        <f>IF(PA[[#This Row],[Work Start time on Fault]]="NA","",(PA[[#This Row],[Work Start time on Fault]]-PA[[#This Row],[Fault Time]])*24)</f>
        <v>0</v>
      </c>
      <c r="Y130" s="153">
        <f>(PA[[#This Row],[Work Completiuon time on fualt]]-PA[[#This Row],[Fault Time]])*24</f>
        <v>5</v>
      </c>
      <c r="Z130" s="153">
        <f>IFERROR((PA[[#This Row],[Work Completiuon time on fualt]]-PA[[#This Row],[Fault Time]])*24,"")</f>
        <v>5</v>
      </c>
      <c r="AA130" s="312" t="s">
        <v>784</v>
      </c>
      <c r="AB130" s="149" t="s">
        <v>173</v>
      </c>
      <c r="AC130" s="152">
        <f>IFERROR(PA[[#This Row],[Breakdown Time]]*PA[[#This Row],[Plant Equivalent Weightage]],)</f>
        <v>1.3385502471169688E-3</v>
      </c>
      <c r="AD130" s="153">
        <v>1.98</v>
      </c>
      <c r="AE130" s="163">
        <f>IFERROR(_xlfn.XLOOKUP(PA[[#This Row],[Month Year]],'Modelling New'!$D:$D,'Modelling New'!$O:$O)*M130*PA[[#This Row],[Lost PoA(kWh/m2)]],"")</f>
        <v>9.3110645378925661</v>
      </c>
      <c r="AF130" s="150"/>
      <c r="AG130" s="150"/>
      <c r="AH130" s="150"/>
    </row>
    <row r="131" spans="1:34" x14ac:dyDescent="0.35">
      <c r="A131" s="147">
        <f t="shared" si="2"/>
        <v>128</v>
      </c>
      <c r="B131" s="183">
        <v>45840</v>
      </c>
      <c r="C131" s="180">
        <f>YEAR(PA[[#This Row],[Date]])+IF(MONTH(PA[[#This Row],[Date]])&gt;=4,1,0)</f>
        <v>2026</v>
      </c>
      <c r="D131" s="155">
        <f>YEAR(PA[[#This Row],[Date]])</f>
        <v>2025</v>
      </c>
      <c r="E131" s="149" t="s">
        <v>4</v>
      </c>
      <c r="F131" s="149" t="s">
        <v>4</v>
      </c>
      <c r="G131" s="310">
        <f>PA[[#This Row],[Date]]-DAY(PA[[#This Row],[Date]])+1</f>
        <v>45839</v>
      </c>
      <c r="H131" s="155">
        <f>DAY(EOMONTH(PA[[#This Row],[Month Year]],0))</f>
        <v>31</v>
      </c>
      <c r="I131" s="151">
        <f>_xlfn.XLOOKUP(PA[[#This Row],[Date]],RD[Date],RD[Sunrise Time (POA&gt;20 W/m2)],0)</f>
        <v>0.26944444444444443</v>
      </c>
      <c r="J131" s="151">
        <f>_xlfn.XLOOKUP(PA[[#This Row],[Date]],RD[Date],RD[Sunset Time (POA&lt;20 W/m2)],0)</f>
        <v>0.77777777777777779</v>
      </c>
      <c r="K131" s="152">
        <f>IFERROR((PA[[#This Row],[Sunset Time (POA&lt;20 W/m2)]]-PA[[#This Row],[Sunrise Time (POA&gt;20 W/m2)]])*24,"")</f>
        <v>12.2</v>
      </c>
      <c r="L131" s="166" t="s">
        <v>473</v>
      </c>
      <c r="M131" s="180">
        <f>IFERROR(VLOOKUP(PA[[#This Row],[Affceted Equipment]],'Basic Data'!$A$2:$B$125,2,0),"")</f>
        <v>6.5</v>
      </c>
      <c r="N131" s="181">
        <f>IFERROR(VLOOKUP(PA[[#This Row],[Affceted Equipment]],'Basic Data'!$A$1:$C$128,3,0),"")</f>
        <v>2.6771004942339376E-4</v>
      </c>
      <c r="O131" s="166" t="s">
        <v>843</v>
      </c>
      <c r="P131" s="149" t="s">
        <v>782</v>
      </c>
      <c r="Q131" s="149" t="s">
        <v>782</v>
      </c>
      <c r="R131" s="149" t="s">
        <v>845</v>
      </c>
      <c r="S131" s="187">
        <v>0.45833333333333331</v>
      </c>
      <c r="T131" s="187">
        <v>0.45833333333333331</v>
      </c>
      <c r="U131" s="187">
        <v>0.45833333333333331</v>
      </c>
      <c r="V131" s="187">
        <v>0.66666666666666663</v>
      </c>
      <c r="W131" s="182">
        <f>IF(PA[[#This Row],[Acknowledgemnet Time ]]="NA","",(PA[[#This Row],[Acknowledgemnet Time ]]-PA[[#This Row],[Fault Time]])*24)</f>
        <v>0</v>
      </c>
      <c r="X131" s="182">
        <f>IF(PA[[#This Row],[Work Start time on Fault]]="NA","",(PA[[#This Row],[Work Start time on Fault]]-PA[[#This Row],[Fault Time]])*24)</f>
        <v>0</v>
      </c>
      <c r="Y131" s="153">
        <f>(PA[[#This Row],[Work Completiuon time on fualt]]-PA[[#This Row],[Fault Time]])*24</f>
        <v>5</v>
      </c>
      <c r="Z131" s="153">
        <f>IFERROR((PA[[#This Row],[Work Completiuon time on fualt]]-PA[[#This Row],[Fault Time]])*24,"")</f>
        <v>5</v>
      </c>
      <c r="AA131" s="312" t="s">
        <v>784</v>
      </c>
      <c r="AB131" s="149" t="s">
        <v>173</v>
      </c>
      <c r="AC131" s="152">
        <f>IFERROR(PA[[#This Row],[Breakdown Time]]*PA[[#This Row],[Plant Equivalent Weightage]],)</f>
        <v>1.3385502471169688E-3</v>
      </c>
      <c r="AD131" s="153">
        <v>1.98</v>
      </c>
      <c r="AE131" s="163">
        <f>IFERROR(_xlfn.XLOOKUP(PA[[#This Row],[Month Year]],'Modelling New'!$D:$D,'Modelling New'!$O:$O)*M131*PA[[#This Row],[Lost PoA(kWh/m2)]],"")</f>
        <v>9.3110645378925661</v>
      </c>
      <c r="AF131" s="150"/>
      <c r="AG131" s="150"/>
      <c r="AH131" s="150"/>
    </row>
    <row r="132" spans="1:34" x14ac:dyDescent="0.35">
      <c r="A132" s="147">
        <f t="shared" si="2"/>
        <v>129</v>
      </c>
      <c r="B132" s="183">
        <v>45840</v>
      </c>
      <c r="C132" s="180">
        <f>YEAR(PA[[#This Row],[Date]])+IF(MONTH(PA[[#This Row],[Date]])&gt;=4,1,0)</f>
        <v>2026</v>
      </c>
      <c r="D132" s="155">
        <f>YEAR(PA[[#This Row],[Date]])</f>
        <v>2025</v>
      </c>
      <c r="E132" s="149" t="s">
        <v>4</v>
      </c>
      <c r="F132" s="149" t="s">
        <v>4</v>
      </c>
      <c r="G132" s="310">
        <f>PA[[#This Row],[Date]]-DAY(PA[[#This Row],[Date]])+1</f>
        <v>45839</v>
      </c>
      <c r="H132" s="155">
        <f>DAY(EOMONTH(PA[[#This Row],[Month Year]],0))</f>
        <v>31</v>
      </c>
      <c r="I132" s="151">
        <f>_xlfn.XLOOKUP(PA[[#This Row],[Date]],RD[Date],RD[Sunrise Time (POA&gt;20 W/m2)],0)</f>
        <v>0.26944444444444443</v>
      </c>
      <c r="J132" s="151">
        <f>_xlfn.XLOOKUP(PA[[#This Row],[Date]],RD[Date],RD[Sunset Time (POA&lt;20 W/m2)],0)</f>
        <v>0.77777777777777779</v>
      </c>
      <c r="K132" s="152">
        <f>IFERROR((PA[[#This Row],[Sunset Time (POA&lt;20 W/m2)]]-PA[[#This Row],[Sunrise Time (POA&gt;20 W/m2)]])*24,"")</f>
        <v>12.2</v>
      </c>
      <c r="L132" s="166" t="s">
        <v>473</v>
      </c>
      <c r="M132" s="180">
        <f>IFERROR(VLOOKUP(PA[[#This Row],[Affceted Equipment]],'Basic Data'!$A$2:$B$125,2,0),"")</f>
        <v>6.5</v>
      </c>
      <c r="N132" s="181">
        <f>IFERROR(VLOOKUP(PA[[#This Row],[Affceted Equipment]],'Basic Data'!$A$1:$C$128,3,0),"")</f>
        <v>2.6771004942339376E-4</v>
      </c>
      <c r="O132" s="166" t="s">
        <v>846</v>
      </c>
      <c r="P132" s="149" t="s">
        <v>782</v>
      </c>
      <c r="Q132" s="149" t="s">
        <v>782</v>
      </c>
      <c r="R132" s="149" t="s">
        <v>847</v>
      </c>
      <c r="S132" s="187">
        <v>0.45833333333333331</v>
      </c>
      <c r="T132" s="187">
        <v>0.45833333333333331</v>
      </c>
      <c r="U132" s="187">
        <v>0.45833333333333331</v>
      </c>
      <c r="V132" s="187">
        <v>0.66666666666666663</v>
      </c>
      <c r="W132" s="182">
        <f>IF(PA[[#This Row],[Acknowledgemnet Time ]]="NA","",(PA[[#This Row],[Acknowledgemnet Time ]]-PA[[#This Row],[Fault Time]])*24)</f>
        <v>0</v>
      </c>
      <c r="X132" s="182">
        <f>IF(PA[[#This Row],[Work Start time on Fault]]="NA","",(PA[[#This Row],[Work Start time on Fault]]-PA[[#This Row],[Fault Time]])*24)</f>
        <v>0</v>
      </c>
      <c r="Y132" s="153">
        <f>(PA[[#This Row],[Work Completiuon time on fualt]]-PA[[#This Row],[Fault Time]])*24</f>
        <v>5</v>
      </c>
      <c r="Z132" s="153">
        <f>IFERROR((PA[[#This Row],[Work Completiuon time on fualt]]-PA[[#This Row],[Fault Time]])*24,"")</f>
        <v>5</v>
      </c>
      <c r="AA132" s="312" t="s">
        <v>784</v>
      </c>
      <c r="AB132" s="149" t="s">
        <v>173</v>
      </c>
      <c r="AC132" s="152">
        <f>IFERROR(PA[[#This Row],[Breakdown Time]]*PA[[#This Row],[Plant Equivalent Weightage]],)</f>
        <v>1.3385502471169688E-3</v>
      </c>
      <c r="AD132" s="153">
        <v>1.98</v>
      </c>
      <c r="AE132" s="163">
        <f>IFERROR(_xlfn.XLOOKUP(PA[[#This Row],[Month Year]],'Modelling New'!$D:$D,'Modelling New'!$O:$O)*M132*PA[[#This Row],[Lost PoA(kWh/m2)]],"")</f>
        <v>9.3110645378925661</v>
      </c>
      <c r="AF132" s="150"/>
      <c r="AG132" s="150"/>
      <c r="AH132" s="150"/>
    </row>
    <row r="133" spans="1:34" x14ac:dyDescent="0.35">
      <c r="A133" s="147">
        <f t="shared" si="2"/>
        <v>130</v>
      </c>
      <c r="B133" s="183">
        <v>45840</v>
      </c>
      <c r="C133" s="180">
        <f>YEAR(PA[[#This Row],[Date]])+IF(MONTH(PA[[#This Row],[Date]])&gt;=4,1,0)</f>
        <v>2026</v>
      </c>
      <c r="D133" s="155">
        <f>YEAR(PA[[#This Row],[Date]])</f>
        <v>2025</v>
      </c>
      <c r="E133" s="149" t="s">
        <v>4</v>
      </c>
      <c r="F133" s="149" t="s">
        <v>4</v>
      </c>
      <c r="G133" s="310">
        <f>PA[[#This Row],[Date]]-DAY(PA[[#This Row],[Date]])+1</f>
        <v>45839</v>
      </c>
      <c r="H133" s="155">
        <f>DAY(EOMONTH(PA[[#This Row],[Month Year]],0))</f>
        <v>31</v>
      </c>
      <c r="I133" s="151">
        <f>_xlfn.XLOOKUP(PA[[#This Row],[Date]],RD[Date],RD[Sunrise Time (POA&gt;20 W/m2)],0)</f>
        <v>0.26944444444444443</v>
      </c>
      <c r="J133" s="151">
        <f>_xlfn.XLOOKUP(PA[[#This Row],[Date]],RD[Date],RD[Sunset Time (POA&lt;20 W/m2)],0)</f>
        <v>0.77777777777777779</v>
      </c>
      <c r="K133" s="152">
        <f>IFERROR((PA[[#This Row],[Sunset Time (POA&lt;20 W/m2)]]-PA[[#This Row],[Sunrise Time (POA&gt;20 W/m2)]])*24,"")</f>
        <v>12.2</v>
      </c>
      <c r="L133" s="166" t="s">
        <v>473</v>
      </c>
      <c r="M133" s="180">
        <f>IFERROR(VLOOKUP(PA[[#This Row],[Affceted Equipment]],'Basic Data'!$A$2:$B$125,2,0),"")</f>
        <v>6.5</v>
      </c>
      <c r="N133" s="181">
        <f>IFERROR(VLOOKUP(PA[[#This Row],[Affceted Equipment]],'Basic Data'!$A$1:$C$128,3,0),"")</f>
        <v>2.6771004942339376E-4</v>
      </c>
      <c r="O133" s="166" t="s">
        <v>848</v>
      </c>
      <c r="P133" s="149" t="s">
        <v>782</v>
      </c>
      <c r="Q133" s="149" t="s">
        <v>782</v>
      </c>
      <c r="R133" s="149" t="s">
        <v>849</v>
      </c>
      <c r="S133" s="187">
        <v>0.45833333333333331</v>
      </c>
      <c r="T133" s="187">
        <v>0.45833333333333331</v>
      </c>
      <c r="U133" s="187">
        <v>0.45833333333333331</v>
      </c>
      <c r="V133" s="187">
        <v>0.66666666666666663</v>
      </c>
      <c r="W133" s="182">
        <f>IF(PA[[#This Row],[Acknowledgemnet Time ]]="NA","",(PA[[#This Row],[Acknowledgemnet Time ]]-PA[[#This Row],[Fault Time]])*24)</f>
        <v>0</v>
      </c>
      <c r="X133" s="182">
        <f>IF(PA[[#This Row],[Work Start time on Fault]]="NA","",(PA[[#This Row],[Work Start time on Fault]]-PA[[#This Row],[Fault Time]])*24)</f>
        <v>0</v>
      </c>
      <c r="Y133" s="153">
        <f>(PA[[#This Row],[Work Completiuon time on fualt]]-PA[[#This Row],[Fault Time]])*24</f>
        <v>5</v>
      </c>
      <c r="Z133" s="153">
        <f>IFERROR((PA[[#This Row],[Work Completiuon time on fualt]]-PA[[#This Row],[Fault Time]])*24,"")</f>
        <v>5</v>
      </c>
      <c r="AA133" s="312" t="s">
        <v>784</v>
      </c>
      <c r="AB133" s="149" t="s">
        <v>173</v>
      </c>
      <c r="AC133" s="152">
        <f>IFERROR(PA[[#This Row],[Breakdown Time]]*PA[[#This Row],[Plant Equivalent Weightage]],)</f>
        <v>1.3385502471169688E-3</v>
      </c>
      <c r="AD133" s="153">
        <v>1.98</v>
      </c>
      <c r="AE133" s="163">
        <f>IFERROR(_xlfn.XLOOKUP(PA[[#This Row],[Month Year]],'Modelling New'!$D:$D,'Modelling New'!$O:$O)*M133*PA[[#This Row],[Lost PoA(kWh/m2)]],"")</f>
        <v>9.3110645378925661</v>
      </c>
      <c r="AF133" s="150"/>
      <c r="AG133" s="150"/>
      <c r="AH133" s="150"/>
    </row>
    <row r="134" spans="1:34" x14ac:dyDescent="0.35">
      <c r="A134" s="147">
        <f t="shared" si="2"/>
        <v>131</v>
      </c>
      <c r="B134" s="183">
        <v>45846</v>
      </c>
      <c r="C134" s="180">
        <f>YEAR(PA[[#This Row],[Date]])+IF(MONTH(PA[[#This Row],[Date]])&gt;=4,1,0)</f>
        <v>2026</v>
      </c>
      <c r="D134" s="155">
        <f>YEAR(PA[[#This Row],[Date]])</f>
        <v>2025</v>
      </c>
      <c r="E134" s="149" t="s">
        <v>4</v>
      </c>
      <c r="F134" s="149" t="s">
        <v>4</v>
      </c>
      <c r="G134" s="310">
        <f>PA[[#This Row],[Date]]-DAY(PA[[#This Row],[Date]])+1</f>
        <v>45839</v>
      </c>
      <c r="H134" s="155">
        <f>DAY(EOMONTH(PA[[#This Row],[Month Year]],0))</f>
        <v>31</v>
      </c>
      <c r="I134" s="151">
        <f>_xlfn.XLOOKUP(PA[[#This Row],[Date]],RD[Date],RD[Sunrise Time (POA&gt;20 W/m2)],0)</f>
        <v>0.27361111111111114</v>
      </c>
      <c r="J134" s="151">
        <f>_xlfn.XLOOKUP(PA[[#This Row],[Date]],RD[Date],RD[Sunset Time (POA&lt;20 W/m2)],0)</f>
        <v>0.78333333333333333</v>
      </c>
      <c r="K134" s="152">
        <f>IFERROR((PA[[#This Row],[Sunset Time (POA&lt;20 W/m2)]]-PA[[#This Row],[Sunrise Time (POA&gt;20 W/m2)]])*24,"")</f>
        <v>12.233333333333333</v>
      </c>
      <c r="L134" s="166" t="s">
        <v>221</v>
      </c>
      <c r="M134" s="180">
        <f>IFERROR(VLOOKUP(PA[[#This Row],[Affceted Equipment]],'Basic Data'!$A$2:$B$125,2,0),"")</f>
        <v>1248</v>
      </c>
      <c r="N134" s="181">
        <f>IFERROR(VLOOKUP(PA[[#This Row],[Affceted Equipment]],'Basic Data'!$A$1:$C$128,3,0),"")</f>
        <v>5.1400329489291595E-2</v>
      </c>
      <c r="O134" s="166" t="s">
        <v>221</v>
      </c>
      <c r="P134" s="149" t="s">
        <v>801</v>
      </c>
      <c r="Q134" s="149" t="s">
        <v>802</v>
      </c>
      <c r="R134" s="149" t="s">
        <v>803</v>
      </c>
      <c r="S134" s="187">
        <v>0.29166666666666669</v>
      </c>
      <c r="T134" s="187">
        <v>0.30208333333333331</v>
      </c>
      <c r="U134" s="187">
        <v>0.30208333333333331</v>
      </c>
      <c r="V134" s="187">
        <v>0.35416666666666669</v>
      </c>
      <c r="W134" s="182">
        <f>IF(PA[[#This Row],[Acknowledgemnet Time ]]="NA","",(PA[[#This Row],[Acknowledgemnet Time ]]-PA[[#This Row],[Fault Time]])*24)</f>
        <v>0.24999999999999911</v>
      </c>
      <c r="X134" s="182">
        <f>IF(PA[[#This Row],[Work Start time on Fault]]="NA","",(PA[[#This Row],[Work Start time on Fault]]-PA[[#This Row],[Fault Time]])*24)</f>
        <v>0.24999999999999911</v>
      </c>
      <c r="Y134" s="153">
        <f>(PA[[#This Row],[Work Completiuon time on fualt]]-PA[[#This Row],[Fault Time]])*24</f>
        <v>1.5</v>
      </c>
      <c r="Z134" s="153">
        <f>IFERROR((PA[[#This Row],[Work Completiuon time on fualt]]-PA[[#This Row],[Fault Time]])*24,"")</f>
        <v>1.5</v>
      </c>
      <c r="AA134" s="312" t="s">
        <v>804</v>
      </c>
      <c r="AB134" s="149" t="s">
        <v>173</v>
      </c>
      <c r="AC134" s="152">
        <f>IFERROR(PA[[#This Row],[Breakdown Time]]*PA[[#This Row],[Plant Equivalent Weightage]],)</f>
        <v>7.7100494233937389E-2</v>
      </c>
      <c r="AD134" s="153">
        <v>0.254</v>
      </c>
      <c r="AE134" s="163">
        <f>IFERROR(_xlfn.XLOOKUP(PA[[#This Row],[Month Year]],'Modelling New'!$D:$D,'Modelling New'!$O:$O)*M134*PA[[#This Row],[Lost PoA(kWh/m2)]],"")</f>
        <v>229.33434110300237</v>
      </c>
      <c r="AF134" s="150"/>
      <c r="AG134" s="150"/>
      <c r="AH134" s="150"/>
    </row>
    <row r="135" spans="1:34" x14ac:dyDescent="0.35">
      <c r="A135" s="147">
        <f t="shared" si="2"/>
        <v>132</v>
      </c>
      <c r="B135" s="183">
        <v>45846</v>
      </c>
      <c r="C135" s="180">
        <f>YEAR(PA[[#This Row],[Date]])+IF(MONTH(PA[[#This Row],[Date]])&gt;=4,1,0)</f>
        <v>2026</v>
      </c>
      <c r="D135" s="155">
        <f>YEAR(PA[[#This Row],[Date]])</f>
        <v>2025</v>
      </c>
      <c r="E135" s="149" t="s">
        <v>4</v>
      </c>
      <c r="F135" s="149" t="s">
        <v>4</v>
      </c>
      <c r="G135" s="310">
        <f>PA[[#This Row],[Date]]-DAY(PA[[#This Row],[Date]])+1</f>
        <v>45839</v>
      </c>
      <c r="H135" s="155">
        <f>DAY(EOMONTH(PA[[#This Row],[Month Year]],0))</f>
        <v>31</v>
      </c>
      <c r="I135" s="151">
        <f>_xlfn.XLOOKUP(PA[[#This Row],[Date]],RD[Date],RD[Sunrise Time (POA&gt;20 W/m2)],0)</f>
        <v>0.27361111111111114</v>
      </c>
      <c r="J135" s="151">
        <f>_xlfn.XLOOKUP(PA[[#This Row],[Date]],RD[Date],RD[Sunset Time (POA&lt;20 W/m2)],0)</f>
        <v>0.78333333333333333</v>
      </c>
      <c r="K135" s="152">
        <f>IFERROR((PA[[#This Row],[Sunset Time (POA&lt;20 W/m2)]]-PA[[#This Row],[Sunrise Time (POA&gt;20 W/m2)]])*24,"")</f>
        <v>12.233333333333333</v>
      </c>
      <c r="L135" s="166" t="s">
        <v>225</v>
      </c>
      <c r="M135" s="180">
        <f>IFERROR(VLOOKUP(PA[[#This Row],[Affceted Equipment]],'Basic Data'!$A$2:$B$125,2,0),"")</f>
        <v>1053</v>
      </c>
      <c r="N135" s="181">
        <f>IFERROR(VLOOKUP(PA[[#This Row],[Affceted Equipment]],'Basic Data'!$A$1:$C$128,3,0),"")</f>
        <v>4.3369028006589788E-2</v>
      </c>
      <c r="O135" s="166" t="s">
        <v>225</v>
      </c>
      <c r="P135" s="149" t="s">
        <v>801</v>
      </c>
      <c r="Q135" s="149" t="s">
        <v>802</v>
      </c>
      <c r="R135" s="149" t="s">
        <v>805</v>
      </c>
      <c r="S135" s="187">
        <v>0.29166666666666669</v>
      </c>
      <c r="T135" s="187">
        <v>0.30208333333333331</v>
      </c>
      <c r="U135" s="187">
        <v>0.30208333333333331</v>
      </c>
      <c r="V135" s="187">
        <v>0.35416666666666669</v>
      </c>
      <c r="W135" s="182">
        <f>IF(PA[[#This Row],[Acknowledgemnet Time ]]="NA","",(PA[[#This Row],[Acknowledgemnet Time ]]-PA[[#This Row],[Fault Time]])*24)</f>
        <v>0.24999999999999911</v>
      </c>
      <c r="X135" s="182">
        <f>IF(PA[[#This Row],[Work Start time on Fault]]="NA","",(PA[[#This Row],[Work Start time on Fault]]-PA[[#This Row],[Fault Time]])*24)</f>
        <v>0.24999999999999911</v>
      </c>
      <c r="Y135" s="153">
        <f>(PA[[#This Row],[Work Completiuon time on fualt]]-PA[[#This Row],[Fault Time]])*24</f>
        <v>1.5</v>
      </c>
      <c r="Z135" s="153">
        <f>IFERROR((PA[[#This Row],[Work Completiuon time on fualt]]-PA[[#This Row],[Fault Time]])*24,"")</f>
        <v>1.5</v>
      </c>
      <c r="AA135" s="312" t="s">
        <v>806</v>
      </c>
      <c r="AB135" s="149" t="s">
        <v>173</v>
      </c>
      <c r="AC135" s="152">
        <f>IFERROR(PA[[#This Row],[Breakdown Time]]*PA[[#This Row],[Plant Equivalent Weightage]],)</f>
        <v>6.5053542009884682E-2</v>
      </c>
      <c r="AD135" s="153">
        <v>0.254</v>
      </c>
      <c r="AE135" s="163">
        <f>IFERROR(_xlfn.XLOOKUP(PA[[#This Row],[Month Year]],'Modelling New'!$D:$D,'Modelling New'!$O:$O)*M135*PA[[#This Row],[Lost PoA(kWh/m2)]],"")</f>
        <v>193.50085030565825</v>
      </c>
      <c r="AF135" s="150"/>
      <c r="AG135" s="150"/>
      <c r="AH135" s="150"/>
    </row>
    <row r="136" spans="1:34" x14ac:dyDescent="0.35">
      <c r="A136" s="147">
        <f t="shared" si="2"/>
        <v>133</v>
      </c>
      <c r="B136" s="183">
        <v>45847</v>
      </c>
      <c r="C136" s="180">
        <f>YEAR(PA[[#This Row],[Date]])+IF(MONTH(PA[[#This Row],[Date]])&gt;=4,1,0)</f>
        <v>2026</v>
      </c>
      <c r="D136" s="155">
        <f>YEAR(PA[[#This Row],[Date]])</f>
        <v>2025</v>
      </c>
      <c r="E136" s="149" t="s">
        <v>4</v>
      </c>
      <c r="F136" s="149" t="s">
        <v>4</v>
      </c>
      <c r="G136" s="310">
        <f>PA[[#This Row],[Date]]-DAY(PA[[#This Row],[Date]])+1</f>
        <v>45839</v>
      </c>
      <c r="H136" s="155">
        <f>DAY(EOMONTH(PA[[#This Row],[Month Year]],0))</f>
        <v>31</v>
      </c>
      <c r="I136" s="151">
        <f>_xlfn.XLOOKUP(PA[[#This Row],[Date]],RD[Date],RD[Sunrise Time (POA&gt;20 W/m2)],0)</f>
        <v>0.27430555555555558</v>
      </c>
      <c r="J136" s="151">
        <f>_xlfn.XLOOKUP(PA[[#This Row],[Date]],RD[Date],RD[Sunset Time (POA&lt;20 W/m2)],0)</f>
        <v>0.77013888888888893</v>
      </c>
      <c r="K136" s="152">
        <f>IFERROR((PA[[#This Row],[Sunset Time (POA&lt;20 W/m2)]]-PA[[#This Row],[Sunrise Time (POA&gt;20 W/m2)]])*24,"")</f>
        <v>11.9</v>
      </c>
      <c r="L136" s="166" t="s">
        <v>472</v>
      </c>
      <c r="M136" s="180">
        <f>IFERROR(VLOOKUP(PA[[#This Row],[Affceted Equipment]],'Basic Data'!$A$2:$B$125,2,0),"")</f>
        <v>6.4</v>
      </c>
      <c r="N136" s="181">
        <f>IFERROR(VLOOKUP(PA[[#This Row],[Affceted Equipment]],'Basic Data'!$A$1:$C$128,3,0),"")</f>
        <v>2.6359143327841849E-4</v>
      </c>
      <c r="O136" s="166" t="s">
        <v>850</v>
      </c>
      <c r="P136" s="149" t="s">
        <v>782</v>
      </c>
      <c r="Q136" s="149" t="s">
        <v>782</v>
      </c>
      <c r="R136" s="149" t="s">
        <v>851</v>
      </c>
      <c r="S136" s="187">
        <v>0.45833333333333331</v>
      </c>
      <c r="T136" s="187">
        <v>0.45833333333333331</v>
      </c>
      <c r="U136" s="187">
        <v>0.45833333333333331</v>
      </c>
      <c r="V136" s="187">
        <v>0.625</v>
      </c>
      <c r="W136" s="182">
        <f>IF(PA[[#This Row],[Acknowledgemnet Time ]]="NA","",(PA[[#This Row],[Acknowledgemnet Time ]]-PA[[#This Row],[Fault Time]])*24)</f>
        <v>0</v>
      </c>
      <c r="X136" s="182">
        <f>IF(PA[[#This Row],[Work Start time on Fault]]="NA","",(PA[[#This Row],[Work Start time on Fault]]-PA[[#This Row],[Fault Time]])*24)</f>
        <v>0</v>
      </c>
      <c r="Y136" s="153">
        <f>(PA[[#This Row],[Work Completiuon time on fualt]]-PA[[#This Row],[Fault Time]])*24</f>
        <v>4</v>
      </c>
      <c r="Z136" s="153">
        <f>IFERROR((PA[[#This Row],[Work Completiuon time on fualt]]-PA[[#This Row],[Fault Time]])*24,"")</f>
        <v>4</v>
      </c>
      <c r="AA136" s="312" t="s">
        <v>784</v>
      </c>
      <c r="AB136" s="149" t="s">
        <v>173</v>
      </c>
      <c r="AC136" s="152">
        <f>IFERROR(PA[[#This Row],[Breakdown Time]]*PA[[#This Row],[Plant Equivalent Weightage]],)</f>
        <v>1.054365733113674E-3</v>
      </c>
      <c r="AD136" s="153">
        <v>1.68</v>
      </c>
      <c r="AE136" s="163">
        <f>IFERROR(_xlfn.XLOOKUP(PA[[#This Row],[Month Year]],'Modelling New'!$D:$D,'Modelling New'!$O:$O)*M136*PA[[#This Row],[Lost PoA(kWh/m2)]],"")</f>
        <v>7.7787541500715509</v>
      </c>
      <c r="AF136" s="150"/>
      <c r="AG136" s="150"/>
      <c r="AH136" s="150"/>
    </row>
    <row r="137" spans="1:34" x14ac:dyDescent="0.35">
      <c r="A137" s="147">
        <f t="shared" si="2"/>
        <v>134</v>
      </c>
      <c r="B137" s="183">
        <v>45847</v>
      </c>
      <c r="C137" s="180">
        <f>YEAR(PA[[#This Row],[Date]])+IF(MONTH(PA[[#This Row],[Date]])&gt;=4,1,0)</f>
        <v>2026</v>
      </c>
      <c r="D137" s="155">
        <f>YEAR(PA[[#This Row],[Date]])</f>
        <v>2025</v>
      </c>
      <c r="E137" s="149" t="s">
        <v>4</v>
      </c>
      <c r="F137" s="149" t="s">
        <v>4</v>
      </c>
      <c r="G137" s="310">
        <f>PA[[#This Row],[Date]]-DAY(PA[[#This Row],[Date]])+1</f>
        <v>45839</v>
      </c>
      <c r="H137" s="155">
        <f>DAY(EOMONTH(PA[[#This Row],[Month Year]],0))</f>
        <v>31</v>
      </c>
      <c r="I137" s="151">
        <f>_xlfn.XLOOKUP(PA[[#This Row],[Date]],RD[Date],RD[Sunrise Time (POA&gt;20 W/m2)],0)</f>
        <v>0.27430555555555558</v>
      </c>
      <c r="J137" s="151">
        <f>_xlfn.XLOOKUP(PA[[#This Row],[Date]],RD[Date],RD[Sunset Time (POA&lt;20 W/m2)],0)</f>
        <v>0.77013888888888893</v>
      </c>
      <c r="K137" s="152">
        <f>IFERROR((PA[[#This Row],[Sunset Time (POA&lt;20 W/m2)]]-PA[[#This Row],[Sunrise Time (POA&gt;20 W/m2)]])*24,"")</f>
        <v>11.9</v>
      </c>
      <c r="L137" s="166" t="s">
        <v>472</v>
      </c>
      <c r="M137" s="180">
        <f>IFERROR(VLOOKUP(PA[[#This Row],[Affceted Equipment]],'Basic Data'!$A$2:$B$125,2,0),"")</f>
        <v>6.4</v>
      </c>
      <c r="N137" s="181">
        <f>IFERROR(VLOOKUP(PA[[#This Row],[Affceted Equipment]],'Basic Data'!$A$1:$C$128,3,0),"")</f>
        <v>2.6359143327841849E-4</v>
      </c>
      <c r="O137" s="166" t="s">
        <v>852</v>
      </c>
      <c r="P137" s="149" t="s">
        <v>782</v>
      </c>
      <c r="Q137" s="149" t="s">
        <v>782</v>
      </c>
      <c r="R137" s="149" t="s">
        <v>853</v>
      </c>
      <c r="S137" s="187">
        <v>0.45833333333333331</v>
      </c>
      <c r="T137" s="187">
        <v>0.45833333333333331</v>
      </c>
      <c r="U137" s="187">
        <v>0.45833333333333331</v>
      </c>
      <c r="V137" s="187">
        <v>0.625</v>
      </c>
      <c r="W137" s="182">
        <f>IF(PA[[#This Row],[Acknowledgemnet Time ]]="NA","",(PA[[#This Row],[Acknowledgemnet Time ]]-PA[[#This Row],[Fault Time]])*24)</f>
        <v>0</v>
      </c>
      <c r="X137" s="182">
        <f>IF(PA[[#This Row],[Work Start time on Fault]]="NA","",(PA[[#This Row],[Work Start time on Fault]]-PA[[#This Row],[Fault Time]])*24)</f>
        <v>0</v>
      </c>
      <c r="Y137" s="153">
        <f>(PA[[#This Row],[Work Completiuon time on fualt]]-PA[[#This Row],[Fault Time]])*24</f>
        <v>4</v>
      </c>
      <c r="Z137" s="153">
        <f>IFERROR((PA[[#This Row],[Work Completiuon time on fualt]]-PA[[#This Row],[Fault Time]])*24,"")</f>
        <v>4</v>
      </c>
      <c r="AA137" s="307" t="s">
        <v>776</v>
      </c>
      <c r="AB137" s="149" t="s">
        <v>173</v>
      </c>
      <c r="AC137" s="152">
        <f>IFERROR(PA[[#This Row],[Breakdown Time]]*PA[[#This Row],[Plant Equivalent Weightage]],)</f>
        <v>1.054365733113674E-3</v>
      </c>
      <c r="AD137" s="153">
        <v>1.68</v>
      </c>
      <c r="AE137" s="163">
        <f>IFERROR(_xlfn.XLOOKUP(PA[[#This Row],[Month Year]],'Modelling New'!$D:$D,'Modelling New'!$O:$O)*M137*PA[[#This Row],[Lost PoA(kWh/m2)]],"")</f>
        <v>7.7787541500715509</v>
      </c>
      <c r="AF137" s="150"/>
      <c r="AG137" s="150"/>
      <c r="AH137" s="150"/>
    </row>
    <row r="138" spans="1:34" x14ac:dyDescent="0.35">
      <c r="A138" s="147">
        <f t="shared" si="2"/>
        <v>135</v>
      </c>
      <c r="B138" s="183">
        <v>45847</v>
      </c>
      <c r="C138" s="180">
        <f>YEAR(PA[[#This Row],[Date]])+IF(MONTH(PA[[#This Row],[Date]])&gt;=4,1,0)</f>
        <v>2026</v>
      </c>
      <c r="D138" s="155">
        <f>YEAR(PA[[#This Row],[Date]])</f>
        <v>2025</v>
      </c>
      <c r="E138" s="149" t="s">
        <v>4</v>
      </c>
      <c r="F138" s="149" t="s">
        <v>4</v>
      </c>
      <c r="G138" s="310">
        <f>PA[[#This Row],[Date]]-DAY(PA[[#This Row],[Date]])+1</f>
        <v>45839</v>
      </c>
      <c r="H138" s="155">
        <f>DAY(EOMONTH(PA[[#This Row],[Month Year]],0))</f>
        <v>31</v>
      </c>
      <c r="I138" s="151">
        <f>_xlfn.XLOOKUP(PA[[#This Row],[Date]],RD[Date],RD[Sunrise Time (POA&gt;20 W/m2)],0)</f>
        <v>0.27430555555555558</v>
      </c>
      <c r="J138" s="151">
        <f>_xlfn.XLOOKUP(PA[[#This Row],[Date]],RD[Date],RD[Sunset Time (POA&lt;20 W/m2)],0)</f>
        <v>0.77013888888888893</v>
      </c>
      <c r="K138" s="152">
        <f>IFERROR((PA[[#This Row],[Sunset Time (POA&lt;20 W/m2)]]-PA[[#This Row],[Sunrise Time (POA&gt;20 W/m2)]])*24,"")</f>
        <v>11.9</v>
      </c>
      <c r="L138" s="166" t="s">
        <v>472</v>
      </c>
      <c r="M138" s="180">
        <f>IFERROR(VLOOKUP(PA[[#This Row],[Affceted Equipment]],'Basic Data'!$A$2:$B$125,2,0),"")</f>
        <v>6.4</v>
      </c>
      <c r="N138" s="181">
        <f>IFERROR(VLOOKUP(PA[[#This Row],[Affceted Equipment]],'Basic Data'!$A$1:$C$128,3,0),"")</f>
        <v>2.6359143327841849E-4</v>
      </c>
      <c r="O138" s="166" t="s">
        <v>852</v>
      </c>
      <c r="P138" s="149" t="s">
        <v>782</v>
      </c>
      <c r="Q138" s="149" t="s">
        <v>782</v>
      </c>
      <c r="R138" s="149" t="s">
        <v>854</v>
      </c>
      <c r="S138" s="187">
        <v>0.45833333333333331</v>
      </c>
      <c r="T138" s="187">
        <v>0.45833333333333331</v>
      </c>
      <c r="U138" s="187">
        <v>0.45833333333333331</v>
      </c>
      <c r="V138" s="187">
        <v>0.625</v>
      </c>
      <c r="W138" s="182">
        <f>IF(PA[[#This Row],[Acknowledgemnet Time ]]="NA","",(PA[[#This Row],[Acknowledgemnet Time ]]-PA[[#This Row],[Fault Time]])*24)</f>
        <v>0</v>
      </c>
      <c r="X138" s="182">
        <f>IF(PA[[#This Row],[Work Start time on Fault]]="NA","",(PA[[#This Row],[Work Start time on Fault]]-PA[[#This Row],[Fault Time]])*24)</f>
        <v>0</v>
      </c>
      <c r="Y138" s="153">
        <f>(PA[[#This Row],[Work Completiuon time on fualt]]-PA[[#This Row],[Fault Time]])*24</f>
        <v>4</v>
      </c>
      <c r="Z138" s="153">
        <f>IFERROR((PA[[#This Row],[Work Completiuon time on fualt]]-PA[[#This Row],[Fault Time]])*24,"")</f>
        <v>4</v>
      </c>
      <c r="AA138" s="307" t="s">
        <v>776</v>
      </c>
      <c r="AB138" s="149" t="s">
        <v>173</v>
      </c>
      <c r="AC138" s="152">
        <f>IFERROR(PA[[#This Row],[Breakdown Time]]*PA[[#This Row],[Plant Equivalent Weightage]],)</f>
        <v>1.054365733113674E-3</v>
      </c>
      <c r="AD138" s="153">
        <v>1.68</v>
      </c>
      <c r="AE138" s="163">
        <f>IFERROR(_xlfn.XLOOKUP(PA[[#This Row],[Month Year]],'Modelling New'!$D:$D,'Modelling New'!$O:$O)*M138*PA[[#This Row],[Lost PoA(kWh/m2)]],"")</f>
        <v>7.7787541500715509</v>
      </c>
      <c r="AF138" s="150"/>
      <c r="AG138" s="150"/>
      <c r="AH138" s="150"/>
    </row>
    <row r="139" spans="1:34" x14ac:dyDescent="0.35">
      <c r="A139" s="147">
        <f t="shared" si="2"/>
        <v>136</v>
      </c>
      <c r="B139" s="183">
        <v>45847</v>
      </c>
      <c r="C139" s="180">
        <f>YEAR(PA[[#This Row],[Date]])+IF(MONTH(PA[[#This Row],[Date]])&gt;=4,1,0)</f>
        <v>2026</v>
      </c>
      <c r="D139" s="155">
        <f>YEAR(PA[[#This Row],[Date]])</f>
        <v>2025</v>
      </c>
      <c r="E139" s="149" t="s">
        <v>4</v>
      </c>
      <c r="F139" s="149" t="s">
        <v>4</v>
      </c>
      <c r="G139" s="310">
        <f>PA[[#This Row],[Date]]-DAY(PA[[#This Row],[Date]])+1</f>
        <v>45839</v>
      </c>
      <c r="H139" s="155">
        <f>DAY(EOMONTH(PA[[#This Row],[Month Year]],0))</f>
        <v>31</v>
      </c>
      <c r="I139" s="151">
        <f>_xlfn.XLOOKUP(PA[[#This Row],[Date]],RD[Date],RD[Sunrise Time (POA&gt;20 W/m2)],0)</f>
        <v>0.27430555555555558</v>
      </c>
      <c r="J139" s="151">
        <f>_xlfn.XLOOKUP(PA[[#This Row],[Date]],RD[Date],RD[Sunset Time (POA&lt;20 W/m2)],0)</f>
        <v>0.77013888888888893</v>
      </c>
      <c r="K139" s="152">
        <f>IFERROR((PA[[#This Row],[Sunset Time (POA&lt;20 W/m2)]]-PA[[#This Row],[Sunrise Time (POA&gt;20 W/m2)]])*24,"")</f>
        <v>11.9</v>
      </c>
      <c r="L139" s="166" t="s">
        <v>472</v>
      </c>
      <c r="M139" s="180">
        <f>IFERROR(VLOOKUP(PA[[#This Row],[Affceted Equipment]],'Basic Data'!$A$2:$B$125,2,0),"")</f>
        <v>6.4</v>
      </c>
      <c r="N139" s="181">
        <f>IFERROR(VLOOKUP(PA[[#This Row],[Affceted Equipment]],'Basic Data'!$A$1:$C$128,3,0),"")</f>
        <v>2.6359143327841849E-4</v>
      </c>
      <c r="O139" s="166" t="s">
        <v>855</v>
      </c>
      <c r="P139" s="149" t="s">
        <v>782</v>
      </c>
      <c r="Q139" s="149" t="s">
        <v>782</v>
      </c>
      <c r="R139" s="149" t="s">
        <v>856</v>
      </c>
      <c r="S139" s="187">
        <v>0.45833333333333331</v>
      </c>
      <c r="T139" s="187">
        <v>0.45833333333333331</v>
      </c>
      <c r="U139" s="187">
        <v>0.45833333333333331</v>
      </c>
      <c r="V139" s="187">
        <v>0.625</v>
      </c>
      <c r="W139" s="182">
        <f>IF(PA[[#This Row],[Acknowledgemnet Time ]]="NA","",(PA[[#This Row],[Acknowledgemnet Time ]]-PA[[#This Row],[Fault Time]])*24)</f>
        <v>0</v>
      </c>
      <c r="X139" s="182">
        <f>IF(PA[[#This Row],[Work Start time on Fault]]="NA","",(PA[[#This Row],[Work Start time on Fault]]-PA[[#This Row],[Fault Time]])*24)</f>
        <v>0</v>
      </c>
      <c r="Y139" s="153">
        <f>(PA[[#This Row],[Work Completiuon time on fualt]]-PA[[#This Row],[Fault Time]])*24</f>
        <v>4</v>
      </c>
      <c r="Z139" s="153">
        <f>IFERROR((PA[[#This Row],[Work Completiuon time on fualt]]-PA[[#This Row],[Fault Time]])*24,"")</f>
        <v>4</v>
      </c>
      <c r="AA139" s="312" t="s">
        <v>784</v>
      </c>
      <c r="AB139" s="149" t="s">
        <v>173</v>
      </c>
      <c r="AC139" s="152">
        <f>IFERROR(PA[[#This Row],[Breakdown Time]]*PA[[#This Row],[Plant Equivalent Weightage]],)</f>
        <v>1.054365733113674E-3</v>
      </c>
      <c r="AD139" s="153">
        <v>1.68</v>
      </c>
      <c r="AE139" s="163">
        <f>IFERROR(_xlfn.XLOOKUP(PA[[#This Row],[Month Year]],'Modelling New'!$D:$D,'Modelling New'!$O:$O)*M139*PA[[#This Row],[Lost PoA(kWh/m2)]],"")</f>
        <v>7.7787541500715509</v>
      </c>
      <c r="AF139" s="150"/>
      <c r="AG139" s="150"/>
      <c r="AH139" s="150"/>
    </row>
    <row r="140" spans="1:34" x14ac:dyDescent="0.35">
      <c r="A140" s="147">
        <f t="shared" si="2"/>
        <v>137</v>
      </c>
      <c r="B140" s="183">
        <v>45848</v>
      </c>
      <c r="C140" s="180">
        <f>YEAR(PA[[#This Row],[Date]])+IF(MONTH(PA[[#This Row],[Date]])&gt;=4,1,0)</f>
        <v>2026</v>
      </c>
      <c r="D140" s="155">
        <f>YEAR(PA[[#This Row],[Date]])</f>
        <v>2025</v>
      </c>
      <c r="E140" s="149" t="s">
        <v>4</v>
      </c>
      <c r="F140" s="149" t="s">
        <v>4</v>
      </c>
      <c r="G140" s="310">
        <f>PA[[#This Row],[Date]]-DAY(PA[[#This Row],[Date]])+1</f>
        <v>45839</v>
      </c>
      <c r="H140" s="155">
        <f>DAY(EOMONTH(PA[[#This Row],[Month Year]],0))</f>
        <v>31</v>
      </c>
      <c r="I140" s="151">
        <f>_xlfn.XLOOKUP(PA[[#This Row],[Date]],RD[Date],RD[Sunrise Time (POA&gt;20 W/m2)],0)</f>
        <v>0.26597222222222222</v>
      </c>
      <c r="J140" s="151">
        <f>_xlfn.XLOOKUP(PA[[#This Row],[Date]],RD[Date],RD[Sunset Time (POA&lt;20 W/m2)],0)</f>
        <v>0.78055555555555556</v>
      </c>
      <c r="K140" s="152">
        <f>IFERROR((PA[[#This Row],[Sunset Time (POA&lt;20 W/m2)]]-PA[[#This Row],[Sunrise Time (POA&gt;20 W/m2)]])*24,"")</f>
        <v>12.350000000000001</v>
      </c>
      <c r="L140" s="166" t="s">
        <v>536</v>
      </c>
      <c r="M140" s="180">
        <v>24213.794999999998</v>
      </c>
      <c r="N140" s="181">
        <v>0.99727327018121903</v>
      </c>
      <c r="O140" s="166" t="s">
        <v>536</v>
      </c>
      <c r="P140" s="149" t="s">
        <v>857</v>
      </c>
      <c r="Q140" s="149" t="s">
        <v>858</v>
      </c>
      <c r="R140" s="154" t="s">
        <v>859</v>
      </c>
      <c r="S140" s="187">
        <v>0.3611111111111111</v>
      </c>
      <c r="T140" s="187">
        <v>0.3611111111111111</v>
      </c>
      <c r="U140" s="187">
        <v>0.3611111111111111</v>
      </c>
      <c r="V140" s="187">
        <v>0.57986111111111116</v>
      </c>
      <c r="W140" s="182">
        <f>IF(PA[[#This Row],[Acknowledgemnet Time ]]="NA","",(PA[[#This Row],[Acknowledgemnet Time ]]-PA[[#This Row],[Fault Time]])*24)</f>
        <v>0</v>
      </c>
      <c r="X140" s="182">
        <f>IF(PA[[#This Row],[Work Start time on Fault]]="NA","",(PA[[#This Row],[Work Start time on Fault]]-PA[[#This Row],[Fault Time]])*24)</f>
        <v>0</v>
      </c>
      <c r="Y140" s="153">
        <f>(PA[[#This Row],[Work Completiuon time on fualt]]-PA[[#This Row],[Fault Time]])*24</f>
        <v>5.2500000000000018</v>
      </c>
      <c r="Z140" s="153">
        <f>IFERROR((PA[[#This Row],[Work Completiuon time on fualt]]-PA[[#This Row],[Fault Time]])*24,"")</f>
        <v>5.2500000000000018</v>
      </c>
      <c r="AA140" s="312" t="s">
        <v>860</v>
      </c>
      <c r="AB140" s="149" t="s">
        <v>173</v>
      </c>
      <c r="AC140" s="152">
        <f>IFERROR(PA[[#This Row],[Breakdown Time]]*PA[[#This Row],[Plant Equivalent Weightage]],)</f>
        <v>5.2356846684514018</v>
      </c>
      <c r="AD140" s="153">
        <v>3.6640000000000001</v>
      </c>
      <c r="AE140" s="163">
        <f>IFERROR(_xlfn.XLOOKUP(PA[[#This Row],[Month Year]],'Modelling New'!$D:$D,'Modelling New'!$O:$O)*M140*PA[[#This Row],[Lost PoA(kWh/m2)]],"")</f>
        <v>64185.823305145954</v>
      </c>
      <c r="AF140" s="150"/>
      <c r="AG140" s="150"/>
      <c r="AH140" s="150"/>
    </row>
    <row r="141" spans="1:34" x14ac:dyDescent="0.35">
      <c r="A141" s="147">
        <f t="shared" si="2"/>
        <v>138</v>
      </c>
      <c r="B141" s="183">
        <v>45849</v>
      </c>
      <c r="C141" s="180">
        <f>YEAR(PA[[#This Row],[Date]])+IF(MONTH(PA[[#This Row],[Date]])&gt;=4,1,0)</f>
        <v>2026</v>
      </c>
      <c r="D141" s="155">
        <f>YEAR(PA[[#This Row],[Date]])</f>
        <v>2025</v>
      </c>
      <c r="E141" s="149" t="s">
        <v>4</v>
      </c>
      <c r="F141" s="149" t="s">
        <v>4</v>
      </c>
      <c r="G141" s="310">
        <f>PA[[#This Row],[Date]]-DAY(PA[[#This Row],[Date]])+1</f>
        <v>45839</v>
      </c>
      <c r="H141" s="155">
        <f>DAY(EOMONTH(PA[[#This Row],[Month Year]],0))</f>
        <v>31</v>
      </c>
      <c r="I141" s="151">
        <f>_xlfn.XLOOKUP(PA[[#This Row],[Date]],RD[Date],RD[Sunrise Time (POA&gt;20 W/m2)],0)</f>
        <v>0.27083333333333331</v>
      </c>
      <c r="J141" s="151">
        <f>_xlfn.XLOOKUP(PA[[#This Row],[Date]],RD[Date],RD[Sunset Time (POA&lt;20 W/m2)],0)</f>
        <v>0.77916666666666667</v>
      </c>
      <c r="K141" s="152">
        <f>IFERROR((PA[[#This Row],[Sunset Time (POA&lt;20 W/m2)]]-PA[[#This Row],[Sunrise Time (POA&gt;20 W/m2)]])*24,"")</f>
        <v>12.2</v>
      </c>
      <c r="L141" s="149" t="s">
        <v>214</v>
      </c>
      <c r="M141" s="180">
        <f>IFERROR(VLOOKUP(PA[[#This Row],[Affceted Equipment]],'Basic Data'!$A$2:$B$125,2,0),"")</f>
        <v>1228.5</v>
      </c>
      <c r="N141" s="181">
        <f>IFERROR(VLOOKUP(PA[[#This Row],[Affceted Equipment]],'Basic Data'!$A$1:$C$128,3,0),"")</f>
        <v>5.0597199341021415E-2</v>
      </c>
      <c r="O141" s="166" t="s">
        <v>214</v>
      </c>
      <c r="P141" s="217" t="s">
        <v>739</v>
      </c>
      <c r="Q141" s="217" t="s">
        <v>740</v>
      </c>
      <c r="R141" s="149" t="s">
        <v>741</v>
      </c>
      <c r="S141" s="187">
        <v>0.45833333333333331</v>
      </c>
      <c r="T141" s="187">
        <v>0.46527777777777779</v>
      </c>
      <c r="U141" s="187">
        <v>0.46527777777777779</v>
      </c>
      <c r="V141" s="187">
        <v>0.55138888888888893</v>
      </c>
      <c r="W141" s="182">
        <f>IF(PA[[#This Row],[Acknowledgemnet Time ]]="NA","",(PA[[#This Row],[Acknowledgemnet Time ]]-PA[[#This Row],[Fault Time]])*24)</f>
        <v>0.16666666666666741</v>
      </c>
      <c r="X141" s="182">
        <f>IF(PA[[#This Row],[Work Start time on Fault]]="NA","",(PA[[#This Row],[Work Start time on Fault]]-PA[[#This Row],[Fault Time]])*24)</f>
        <v>0.16666666666666741</v>
      </c>
      <c r="Y141" s="153">
        <f>(PA[[#This Row],[Work Completiuon time on fualt]]-PA[[#This Row],[Fault Time]])*24</f>
        <v>2.2333333333333347</v>
      </c>
      <c r="Z141" s="153">
        <f>IFERROR((PA[[#This Row],[Work Completiuon time on fualt]]-PA[[#This Row],[Fault Time]])*24,"")</f>
        <v>2.2333333333333347</v>
      </c>
      <c r="AA141" s="312" t="s">
        <v>742</v>
      </c>
      <c r="AB141" s="149" t="s">
        <v>763</v>
      </c>
      <c r="AC141" s="152">
        <f>IFERROR(PA[[#This Row],[Breakdown Time]]*PA[[#This Row],[Plant Equivalent Weightage]],)</f>
        <v>0.11300041186161457</v>
      </c>
      <c r="AD141" s="153">
        <v>0.79800000000000004</v>
      </c>
      <c r="AE141" s="163">
        <f>IFERROR(_xlfn.XLOOKUP(PA[[#This Row],[Month Year]],'Modelling New'!$D:$D,'Modelling New'!$O:$O)*M141*PA[[#This Row],[Lost PoA(kWh/m2)]],"")</f>
        <v>709.24917966365285</v>
      </c>
      <c r="AF141" s="150"/>
      <c r="AG141" s="150"/>
      <c r="AH141" s="150"/>
    </row>
    <row r="142" spans="1:34" x14ac:dyDescent="0.35">
      <c r="A142" s="147">
        <f t="shared" si="2"/>
        <v>139</v>
      </c>
      <c r="B142" s="183">
        <v>45849</v>
      </c>
      <c r="C142" s="180">
        <f>YEAR(PA[[#This Row],[Date]])+IF(MONTH(PA[[#This Row],[Date]])&gt;=4,1,0)</f>
        <v>2026</v>
      </c>
      <c r="D142" s="155">
        <f>YEAR(PA[[#This Row],[Date]])</f>
        <v>2025</v>
      </c>
      <c r="E142" s="149" t="s">
        <v>4</v>
      </c>
      <c r="F142" s="149" t="s">
        <v>4</v>
      </c>
      <c r="G142" s="310">
        <f>PA[[#This Row],[Date]]-DAY(PA[[#This Row],[Date]])+1</f>
        <v>45839</v>
      </c>
      <c r="H142" s="155">
        <f>DAY(EOMONTH(PA[[#This Row],[Month Year]],0))</f>
        <v>31</v>
      </c>
      <c r="I142" s="151">
        <f>_xlfn.XLOOKUP(PA[[#This Row],[Date]],RD[Date],RD[Sunrise Time (POA&gt;20 W/m2)],0)</f>
        <v>0.27083333333333331</v>
      </c>
      <c r="J142" s="151">
        <f>_xlfn.XLOOKUP(PA[[#This Row],[Date]],RD[Date],RD[Sunset Time (POA&lt;20 W/m2)],0)</f>
        <v>0.77916666666666667</v>
      </c>
      <c r="K142" s="152">
        <f>IFERROR((PA[[#This Row],[Sunset Time (POA&lt;20 W/m2)]]-PA[[#This Row],[Sunrise Time (POA&gt;20 W/m2)]])*24,"")</f>
        <v>12.2</v>
      </c>
      <c r="L142" s="166" t="s">
        <v>134</v>
      </c>
      <c r="M142" s="180">
        <f>IFERROR(VLOOKUP(PA[[#This Row],[Affceted Equipment]],'Basic Data'!$A$2:$B$125,2,0),"")</f>
        <v>1224.7550000000001</v>
      </c>
      <c r="N142" s="181">
        <f>IFERROR(VLOOKUP(PA[[#This Row],[Affceted Equipment]],'Basic Data'!$A$1:$C$128,3,0),"")</f>
        <v>5.0442957166392098E-2</v>
      </c>
      <c r="O142" s="166" t="s">
        <v>134</v>
      </c>
      <c r="P142" s="149" t="s">
        <v>861</v>
      </c>
      <c r="Q142" s="149" t="s">
        <v>861</v>
      </c>
      <c r="R142" s="149" t="s">
        <v>862</v>
      </c>
      <c r="S142" s="187">
        <v>0.65625</v>
      </c>
      <c r="T142" s="187">
        <v>0.65625</v>
      </c>
      <c r="U142" s="187">
        <v>0.65625</v>
      </c>
      <c r="V142" s="187">
        <v>0.77916666666666667</v>
      </c>
      <c r="W142" s="182">
        <f>IF(PA[[#This Row],[Acknowledgemnet Time ]]="NA","",(PA[[#This Row],[Acknowledgemnet Time ]]-PA[[#This Row],[Fault Time]])*24)</f>
        <v>0</v>
      </c>
      <c r="X142" s="182">
        <f>IF(PA[[#This Row],[Work Start time on Fault]]="NA","",(PA[[#This Row],[Work Start time on Fault]]-PA[[#This Row],[Fault Time]])*24)</f>
        <v>0</v>
      </c>
      <c r="Y142" s="153">
        <f>(PA[[#This Row],[Work Completiuon time on fualt]]-PA[[#This Row],[Fault Time]])*24</f>
        <v>2.95</v>
      </c>
      <c r="Z142" s="153">
        <f>IFERROR((PA[[#This Row],[Work Completiuon time on fualt]]-PA[[#This Row],[Fault Time]])*24,"")</f>
        <v>2.95</v>
      </c>
      <c r="AA142" s="312" t="s">
        <v>863</v>
      </c>
      <c r="AB142" s="149" t="s">
        <v>763</v>
      </c>
      <c r="AC142" s="152">
        <f>IFERROR(PA[[#This Row],[Breakdown Time]]*PA[[#This Row],[Plant Equivalent Weightage]],)</f>
        <v>0.1488067236408567</v>
      </c>
      <c r="AD142" s="153">
        <v>0.45600000000000002</v>
      </c>
      <c r="AE142" s="163">
        <f>IFERROR(_xlfn.XLOOKUP(PA[[#This Row],[Month Year]],'Modelling New'!$D:$D,'Modelling New'!$O:$O)*M142*PA[[#This Row],[Lost PoA(kWh/m2)]],"")</f>
        <v>404.04976058559561</v>
      </c>
      <c r="AF142" s="150"/>
      <c r="AG142" s="150"/>
      <c r="AH142" s="150"/>
    </row>
    <row r="143" spans="1:34" x14ac:dyDescent="0.35">
      <c r="A143" s="147">
        <f t="shared" si="2"/>
        <v>140</v>
      </c>
      <c r="B143" s="183">
        <v>45850</v>
      </c>
      <c r="C143" s="180">
        <f>YEAR(PA[[#This Row],[Date]])+IF(MONTH(PA[[#This Row],[Date]])&gt;=4,1,0)</f>
        <v>2026</v>
      </c>
      <c r="D143" s="155">
        <f>YEAR(PA[[#This Row],[Date]])</f>
        <v>2025</v>
      </c>
      <c r="E143" s="149" t="s">
        <v>4</v>
      </c>
      <c r="F143" s="149" t="s">
        <v>4</v>
      </c>
      <c r="G143" s="310">
        <f>PA[[#This Row],[Date]]-DAY(PA[[#This Row],[Date]])+1</f>
        <v>45839</v>
      </c>
      <c r="H143" s="155">
        <f>DAY(EOMONTH(PA[[#This Row],[Month Year]],0))</f>
        <v>31</v>
      </c>
      <c r="I143" s="151">
        <f>_xlfn.XLOOKUP(PA[[#This Row],[Date]],RD[Date],RD[Sunrise Time (POA&gt;20 W/m2)],0)</f>
        <v>0.26111111111111113</v>
      </c>
      <c r="J143" s="151">
        <f>_xlfn.XLOOKUP(PA[[#This Row],[Date]],RD[Date],RD[Sunset Time (POA&lt;20 W/m2)],0)</f>
        <v>0.77777777777777779</v>
      </c>
      <c r="K143" s="152">
        <f>IFERROR((PA[[#This Row],[Sunset Time (POA&lt;20 W/m2)]]-PA[[#This Row],[Sunrise Time (POA&gt;20 W/m2)]])*24,"")</f>
        <v>12.399999999999999</v>
      </c>
      <c r="L143" s="166" t="s">
        <v>472</v>
      </c>
      <c r="M143" s="180">
        <f>IFERROR(VLOOKUP(PA[[#This Row],[Affceted Equipment]],'Basic Data'!$A$2:$B$125,2,0),"")</f>
        <v>6.4</v>
      </c>
      <c r="N143" s="181">
        <f>IFERROR(VLOOKUP(PA[[#This Row],[Affceted Equipment]],'Basic Data'!$A$1:$C$128,3,0),"")</f>
        <v>2.6359143327841849E-4</v>
      </c>
      <c r="O143" s="166" t="s">
        <v>864</v>
      </c>
      <c r="P143" s="149" t="s">
        <v>782</v>
      </c>
      <c r="Q143" s="149" t="s">
        <v>782</v>
      </c>
      <c r="R143" s="149" t="s">
        <v>865</v>
      </c>
      <c r="S143" s="187">
        <v>0.45833333333333331</v>
      </c>
      <c r="T143" s="187">
        <v>0.45833333333333331</v>
      </c>
      <c r="U143" s="187">
        <v>0.45833333333333331</v>
      </c>
      <c r="V143" s="187">
        <v>0.51388888888888884</v>
      </c>
      <c r="W143" s="182">
        <f>IF(PA[[#This Row],[Acknowledgemnet Time ]]="NA","",(PA[[#This Row],[Acknowledgemnet Time ]]-PA[[#This Row],[Fault Time]])*24)</f>
        <v>0</v>
      </c>
      <c r="X143" s="182">
        <f>IF(PA[[#This Row],[Work Start time on Fault]]="NA","",(PA[[#This Row],[Work Start time on Fault]]-PA[[#This Row],[Fault Time]])*24)</f>
        <v>0</v>
      </c>
      <c r="Y143" s="153">
        <f>(PA[[#This Row],[Work Completiuon time on fualt]]-PA[[#This Row],[Fault Time]])*24</f>
        <v>1.3333333333333326</v>
      </c>
      <c r="Z143" s="153">
        <f>IFERROR((PA[[#This Row],[Work Completiuon time on fualt]]-PA[[#This Row],[Fault Time]])*24,"")</f>
        <v>1.3333333333333326</v>
      </c>
      <c r="AA143" s="312" t="s">
        <v>784</v>
      </c>
      <c r="AB143" s="149" t="s">
        <v>763</v>
      </c>
      <c r="AC143" s="152">
        <f>IFERROR(PA[[#This Row],[Breakdown Time]]*PA[[#This Row],[Plant Equivalent Weightage]],)</f>
        <v>3.5145524437122446E-4</v>
      </c>
      <c r="AD143" s="153">
        <v>0.98</v>
      </c>
      <c r="AE143" s="163">
        <f>IFERROR(_xlfn.XLOOKUP(PA[[#This Row],[Month Year]],'Modelling New'!$D:$D,'Modelling New'!$O:$O)*M143*PA[[#This Row],[Lost PoA(kWh/m2)]],"")</f>
        <v>4.5376065875417382</v>
      </c>
      <c r="AF143" s="150"/>
      <c r="AG143" s="150"/>
      <c r="AH143" s="150"/>
    </row>
    <row r="144" spans="1:34" x14ac:dyDescent="0.35">
      <c r="A144" s="147">
        <f t="shared" si="2"/>
        <v>141</v>
      </c>
      <c r="B144" s="183">
        <v>45850</v>
      </c>
      <c r="C144" s="180">
        <f>YEAR(PA[[#This Row],[Date]])+IF(MONTH(PA[[#This Row],[Date]])&gt;=4,1,0)</f>
        <v>2026</v>
      </c>
      <c r="D144" s="155">
        <f>YEAR(PA[[#This Row],[Date]])</f>
        <v>2025</v>
      </c>
      <c r="E144" s="149" t="s">
        <v>4</v>
      </c>
      <c r="F144" s="149" t="s">
        <v>4</v>
      </c>
      <c r="G144" s="310">
        <f>PA[[#This Row],[Date]]-DAY(PA[[#This Row],[Date]])+1</f>
        <v>45839</v>
      </c>
      <c r="H144" s="155">
        <f>DAY(EOMONTH(PA[[#This Row],[Month Year]],0))</f>
        <v>31</v>
      </c>
      <c r="I144" s="151">
        <f>_xlfn.XLOOKUP(PA[[#This Row],[Date]],RD[Date],RD[Sunrise Time (POA&gt;20 W/m2)],0)</f>
        <v>0.26111111111111113</v>
      </c>
      <c r="J144" s="151">
        <f>_xlfn.XLOOKUP(PA[[#This Row],[Date]],RD[Date],RD[Sunset Time (POA&lt;20 W/m2)],0)</f>
        <v>0.77777777777777779</v>
      </c>
      <c r="K144" s="152">
        <f>IFERROR((PA[[#This Row],[Sunset Time (POA&lt;20 W/m2)]]-PA[[#This Row],[Sunrise Time (POA&gt;20 W/m2)]])*24,"")</f>
        <v>12.399999999999999</v>
      </c>
      <c r="L144" s="166" t="s">
        <v>472</v>
      </c>
      <c r="M144" s="180">
        <f>IFERROR(VLOOKUP(PA[[#This Row],[Affceted Equipment]],'Basic Data'!$A$2:$B$125,2,0),"")</f>
        <v>6.4</v>
      </c>
      <c r="N144" s="181">
        <f>IFERROR(VLOOKUP(PA[[#This Row],[Affceted Equipment]],'Basic Data'!$A$1:$C$128,3,0),"")</f>
        <v>2.6359143327841849E-4</v>
      </c>
      <c r="O144" s="166" t="s">
        <v>864</v>
      </c>
      <c r="P144" s="149" t="s">
        <v>782</v>
      </c>
      <c r="Q144" s="149" t="s">
        <v>782</v>
      </c>
      <c r="R144" s="149" t="s">
        <v>866</v>
      </c>
      <c r="S144" s="187">
        <v>0.45833333333333331</v>
      </c>
      <c r="T144" s="187">
        <v>0.45833333333333331</v>
      </c>
      <c r="U144" s="187">
        <v>0.45833333333333331</v>
      </c>
      <c r="V144" s="187">
        <v>0.51388888888888884</v>
      </c>
      <c r="W144" s="182">
        <f>IF(PA[[#This Row],[Acknowledgemnet Time ]]="NA","",(PA[[#This Row],[Acknowledgemnet Time ]]-PA[[#This Row],[Fault Time]])*24)</f>
        <v>0</v>
      </c>
      <c r="X144" s="182">
        <f>IF(PA[[#This Row],[Work Start time on Fault]]="NA","",(PA[[#This Row],[Work Start time on Fault]]-PA[[#This Row],[Fault Time]])*24)</f>
        <v>0</v>
      </c>
      <c r="Y144" s="153">
        <f>(PA[[#This Row],[Work Completiuon time on fualt]]-PA[[#This Row],[Fault Time]])*24</f>
        <v>1.3333333333333326</v>
      </c>
      <c r="Z144" s="153">
        <f>IFERROR((PA[[#This Row],[Work Completiuon time on fualt]]-PA[[#This Row],[Fault Time]])*24,"")</f>
        <v>1.3333333333333326</v>
      </c>
      <c r="AA144" s="312" t="s">
        <v>784</v>
      </c>
      <c r="AB144" s="149" t="s">
        <v>763</v>
      </c>
      <c r="AC144" s="152">
        <f>IFERROR(PA[[#This Row],[Breakdown Time]]*PA[[#This Row],[Plant Equivalent Weightage]],)</f>
        <v>3.5145524437122446E-4</v>
      </c>
      <c r="AD144" s="153">
        <v>0.98</v>
      </c>
      <c r="AE144" s="163">
        <f>IFERROR(_xlfn.XLOOKUP(PA[[#This Row],[Month Year]],'Modelling New'!$D:$D,'Modelling New'!$O:$O)*M144*PA[[#This Row],[Lost PoA(kWh/m2)]],"")</f>
        <v>4.5376065875417382</v>
      </c>
      <c r="AF144" s="150"/>
      <c r="AG144" s="150"/>
      <c r="AH144" s="150"/>
    </row>
    <row r="145" spans="1:34" x14ac:dyDescent="0.35">
      <c r="A145" s="147">
        <f t="shared" si="2"/>
        <v>142</v>
      </c>
      <c r="B145" s="183">
        <v>45850</v>
      </c>
      <c r="C145" s="180">
        <f>YEAR(PA[[#This Row],[Date]])+IF(MONTH(PA[[#This Row],[Date]])&gt;=4,1,0)</f>
        <v>2026</v>
      </c>
      <c r="D145" s="155">
        <f>YEAR(PA[[#This Row],[Date]])</f>
        <v>2025</v>
      </c>
      <c r="E145" s="149" t="s">
        <v>4</v>
      </c>
      <c r="F145" s="149" t="s">
        <v>4</v>
      </c>
      <c r="G145" s="310">
        <f>PA[[#This Row],[Date]]-DAY(PA[[#This Row],[Date]])+1</f>
        <v>45839</v>
      </c>
      <c r="H145" s="155">
        <f>DAY(EOMONTH(PA[[#This Row],[Month Year]],0))</f>
        <v>31</v>
      </c>
      <c r="I145" s="151">
        <f>_xlfn.XLOOKUP(PA[[#This Row],[Date]],RD[Date],RD[Sunrise Time (POA&gt;20 W/m2)],0)</f>
        <v>0.26111111111111113</v>
      </c>
      <c r="J145" s="151">
        <f>_xlfn.XLOOKUP(PA[[#This Row],[Date]],RD[Date],RD[Sunset Time (POA&lt;20 W/m2)],0)</f>
        <v>0.77777777777777779</v>
      </c>
      <c r="K145" s="152">
        <f>IFERROR((PA[[#This Row],[Sunset Time (POA&lt;20 W/m2)]]-PA[[#This Row],[Sunrise Time (POA&gt;20 W/m2)]])*24,"")</f>
        <v>12.399999999999999</v>
      </c>
      <c r="L145" s="166" t="s">
        <v>536</v>
      </c>
      <c r="M145" s="180">
        <v>24213.794999999998</v>
      </c>
      <c r="N145" s="181">
        <v>0.99727327018121903</v>
      </c>
      <c r="O145" s="166" t="s">
        <v>536</v>
      </c>
      <c r="P145" s="149" t="s">
        <v>857</v>
      </c>
      <c r="Q145" s="149" t="s">
        <v>858</v>
      </c>
      <c r="R145" s="154" t="s">
        <v>867</v>
      </c>
      <c r="S145" s="187">
        <v>0.5229166666666667</v>
      </c>
      <c r="T145" s="187">
        <v>0.5229166666666667</v>
      </c>
      <c r="U145" s="187">
        <v>0.5229166666666667</v>
      </c>
      <c r="V145" s="187">
        <v>0.58194444444444449</v>
      </c>
      <c r="W145" s="182">
        <f>IF(PA[[#This Row],[Acknowledgemnet Time ]]="NA","",(PA[[#This Row],[Acknowledgemnet Time ]]-PA[[#This Row],[Fault Time]])*24)</f>
        <v>0</v>
      </c>
      <c r="X145" s="182">
        <f>IF(PA[[#This Row],[Work Start time on Fault]]="NA","",(PA[[#This Row],[Work Start time on Fault]]-PA[[#This Row],[Fault Time]])*24)</f>
        <v>0</v>
      </c>
      <c r="Y145" s="153">
        <f>(PA[[#This Row],[Work Completiuon time on fualt]]-PA[[#This Row],[Fault Time]])*24</f>
        <v>1.416666666666667</v>
      </c>
      <c r="Z145" s="153">
        <f>IFERROR((PA[[#This Row],[Work Completiuon time on fualt]]-PA[[#This Row],[Fault Time]])*24,"")</f>
        <v>1.416666666666667</v>
      </c>
      <c r="AA145" s="312" t="s">
        <v>868</v>
      </c>
      <c r="AB145" s="149" t="s">
        <v>763</v>
      </c>
      <c r="AC145" s="152">
        <f>IFERROR(PA[[#This Row],[Breakdown Time]]*PA[[#This Row],[Plant Equivalent Weightage]],)</f>
        <v>1.412803799423394</v>
      </c>
      <c r="AD145" s="153">
        <v>0.82</v>
      </c>
      <c r="AE145" s="163">
        <f>IFERROR(_xlfn.XLOOKUP(PA[[#This Row],[Month Year]],'Modelling New'!$D:$D,'Modelling New'!$O:$O)*M145*PA[[#This Row],[Lost PoA(kWh/m2)]],"")</f>
        <v>14364.731198204061</v>
      </c>
      <c r="AF145" s="150"/>
      <c r="AG145" s="150"/>
      <c r="AH145" s="150"/>
    </row>
    <row r="146" spans="1:34" x14ac:dyDescent="0.35">
      <c r="A146" s="147">
        <f t="shared" si="2"/>
        <v>143</v>
      </c>
      <c r="B146" s="183">
        <v>45851</v>
      </c>
      <c r="C146" s="180">
        <f>YEAR(PA[[#This Row],[Date]])+IF(MONTH(PA[[#This Row],[Date]])&gt;=4,1,0)</f>
        <v>2026</v>
      </c>
      <c r="D146" s="155">
        <f>YEAR(PA[[#This Row],[Date]])</f>
        <v>2025</v>
      </c>
      <c r="E146" s="149" t="s">
        <v>4</v>
      </c>
      <c r="F146" s="149" t="s">
        <v>4</v>
      </c>
      <c r="G146" s="310">
        <f>PA[[#This Row],[Date]]-DAY(PA[[#This Row],[Date]])+1</f>
        <v>45839</v>
      </c>
      <c r="H146" s="155">
        <f>DAY(EOMONTH(PA[[#This Row],[Month Year]],0))</f>
        <v>31</v>
      </c>
      <c r="I146" s="151">
        <f>_xlfn.XLOOKUP(PA[[#This Row],[Date]],RD[Date],RD[Sunrise Time (POA&gt;20 W/m2)],0)</f>
        <v>0.26319444444444445</v>
      </c>
      <c r="J146" s="151">
        <f>_xlfn.XLOOKUP(PA[[#This Row],[Date]],RD[Date],RD[Sunset Time (POA&lt;20 W/m2)],0)</f>
        <v>0.7680555555555556</v>
      </c>
      <c r="K146" s="152">
        <f>IFERROR((PA[[#This Row],[Sunset Time (POA&lt;20 W/m2)]]-PA[[#This Row],[Sunrise Time (POA&gt;20 W/m2)]])*24,"")</f>
        <v>12.116666666666669</v>
      </c>
      <c r="L146" s="166" t="s">
        <v>472</v>
      </c>
      <c r="M146" s="180">
        <f>IFERROR(VLOOKUP(PA[[#This Row],[Affceted Equipment]],'Basic Data'!$A$2:$B$125,2,0),"")</f>
        <v>6.4</v>
      </c>
      <c r="N146" s="181">
        <f>IFERROR(VLOOKUP(PA[[#This Row],[Affceted Equipment]],'Basic Data'!$A$1:$C$128,3,0),"")</f>
        <v>2.6359143327841849E-4</v>
      </c>
      <c r="O146" s="149" t="s">
        <v>782</v>
      </c>
      <c r="P146" s="149" t="s">
        <v>782</v>
      </c>
      <c r="Q146" s="149" t="s">
        <v>782</v>
      </c>
      <c r="R146" s="149" t="s">
        <v>865</v>
      </c>
      <c r="S146" s="187">
        <v>0.45833333333333331</v>
      </c>
      <c r="T146" s="187">
        <v>0.45833333333333331</v>
      </c>
      <c r="U146" s="187">
        <v>0.45833333333333331</v>
      </c>
      <c r="V146" s="187">
        <v>0.625</v>
      </c>
      <c r="W146" s="182">
        <f>IF(PA[[#This Row],[Acknowledgemnet Time ]]="NA","",(PA[[#This Row],[Acknowledgemnet Time ]]-PA[[#This Row],[Fault Time]])*24)</f>
        <v>0</v>
      </c>
      <c r="X146" s="182">
        <f>IF(PA[[#This Row],[Work Start time on Fault]]="NA","",(PA[[#This Row],[Work Start time on Fault]]-PA[[#This Row],[Fault Time]])*24)</f>
        <v>0</v>
      </c>
      <c r="Y146" s="153">
        <f>(PA[[#This Row],[Work Completiuon time on fualt]]-PA[[#This Row],[Fault Time]])*24</f>
        <v>4</v>
      </c>
      <c r="Z146" s="153">
        <f>IFERROR((PA[[#This Row],[Work Completiuon time on fualt]]-PA[[#This Row],[Fault Time]])*24,"")</f>
        <v>4</v>
      </c>
      <c r="AA146" s="312" t="s">
        <v>784</v>
      </c>
      <c r="AB146" s="149" t="s">
        <v>763</v>
      </c>
      <c r="AC146" s="152">
        <f>IFERROR(PA[[#This Row],[Breakdown Time]]*PA[[#This Row],[Plant Equivalent Weightage]],)</f>
        <v>1.054365733113674E-3</v>
      </c>
      <c r="AD146" s="153">
        <v>2.0299999999999998</v>
      </c>
      <c r="AE146" s="163">
        <f>IFERROR(_xlfn.XLOOKUP(PA[[#This Row],[Month Year]],'Modelling New'!$D:$D,'Modelling New'!$O:$O)*M146*PA[[#This Row],[Lost PoA(kWh/m2)]],"")</f>
        <v>9.3993279313364582</v>
      </c>
      <c r="AF146" s="150"/>
      <c r="AG146" s="150"/>
      <c r="AH146" s="150"/>
    </row>
    <row r="147" spans="1:34" x14ac:dyDescent="0.35">
      <c r="A147" s="147">
        <f t="shared" si="2"/>
        <v>144</v>
      </c>
      <c r="B147" s="183">
        <v>45851</v>
      </c>
      <c r="C147" s="180">
        <f>YEAR(PA[[#This Row],[Date]])+IF(MONTH(PA[[#This Row],[Date]])&gt;=4,1,0)</f>
        <v>2026</v>
      </c>
      <c r="D147" s="155">
        <f>YEAR(PA[[#This Row],[Date]])</f>
        <v>2025</v>
      </c>
      <c r="E147" s="149" t="s">
        <v>4</v>
      </c>
      <c r="F147" s="149" t="s">
        <v>4</v>
      </c>
      <c r="G147" s="310">
        <f>PA[[#This Row],[Date]]-DAY(PA[[#This Row],[Date]])+1</f>
        <v>45839</v>
      </c>
      <c r="H147" s="155">
        <f>DAY(EOMONTH(PA[[#This Row],[Month Year]],0))</f>
        <v>31</v>
      </c>
      <c r="I147" s="151">
        <f>_xlfn.XLOOKUP(PA[[#This Row],[Date]],RD[Date],RD[Sunrise Time (POA&gt;20 W/m2)],0)</f>
        <v>0.26319444444444445</v>
      </c>
      <c r="J147" s="151">
        <f>_xlfn.XLOOKUP(PA[[#This Row],[Date]],RD[Date],RD[Sunset Time (POA&lt;20 W/m2)],0)</f>
        <v>0.7680555555555556</v>
      </c>
      <c r="K147" s="152">
        <f>IFERROR((PA[[#This Row],[Sunset Time (POA&lt;20 W/m2)]]-PA[[#This Row],[Sunrise Time (POA&gt;20 W/m2)]])*24,"")</f>
        <v>12.116666666666669</v>
      </c>
      <c r="L147" s="166" t="s">
        <v>472</v>
      </c>
      <c r="M147" s="180">
        <f>IFERROR(VLOOKUP(PA[[#This Row],[Affceted Equipment]],'Basic Data'!$A$2:$B$125,2,0),"")</f>
        <v>6.4</v>
      </c>
      <c r="N147" s="181">
        <f>IFERROR(VLOOKUP(PA[[#This Row],[Affceted Equipment]],'Basic Data'!$A$1:$C$128,3,0),"")</f>
        <v>2.6359143327841849E-4</v>
      </c>
      <c r="O147" s="149" t="s">
        <v>782</v>
      </c>
      <c r="P147" s="149" t="s">
        <v>782</v>
      </c>
      <c r="Q147" s="149" t="s">
        <v>782</v>
      </c>
      <c r="R147" s="149" t="s">
        <v>865</v>
      </c>
      <c r="S147" s="187">
        <v>0.45833333333333331</v>
      </c>
      <c r="T147" s="187">
        <v>0.45833333333333331</v>
      </c>
      <c r="U147" s="187">
        <v>0.45833333333333331</v>
      </c>
      <c r="V147" s="187">
        <v>0.625</v>
      </c>
      <c r="W147" s="182">
        <f>IF(PA[[#This Row],[Acknowledgemnet Time ]]="NA","",(PA[[#This Row],[Acknowledgemnet Time ]]-PA[[#This Row],[Fault Time]])*24)</f>
        <v>0</v>
      </c>
      <c r="X147" s="182">
        <f>IF(PA[[#This Row],[Work Start time on Fault]]="NA","",(PA[[#This Row],[Work Start time on Fault]]-PA[[#This Row],[Fault Time]])*24)</f>
        <v>0</v>
      </c>
      <c r="Y147" s="153">
        <f>(PA[[#This Row],[Work Completiuon time on fualt]]-PA[[#This Row],[Fault Time]])*24</f>
        <v>4</v>
      </c>
      <c r="Z147" s="153">
        <f>IFERROR((PA[[#This Row],[Work Completiuon time on fualt]]-PA[[#This Row],[Fault Time]])*24,"")</f>
        <v>4</v>
      </c>
      <c r="AA147" s="312" t="s">
        <v>784</v>
      </c>
      <c r="AB147" s="149" t="s">
        <v>763</v>
      </c>
      <c r="AC147" s="152">
        <f>IFERROR(PA[[#This Row],[Breakdown Time]]*PA[[#This Row],[Plant Equivalent Weightage]],)</f>
        <v>1.054365733113674E-3</v>
      </c>
      <c r="AD147" s="153">
        <v>2.0299999999999998</v>
      </c>
      <c r="AE147" s="163">
        <f>IFERROR(_xlfn.XLOOKUP(PA[[#This Row],[Month Year]],'Modelling New'!$D:$D,'Modelling New'!$O:$O)*M147*PA[[#This Row],[Lost PoA(kWh/m2)]],"")</f>
        <v>9.3993279313364582</v>
      </c>
      <c r="AF147" s="150"/>
      <c r="AG147" s="150"/>
      <c r="AH147" s="150"/>
    </row>
    <row r="148" spans="1:34" x14ac:dyDescent="0.35">
      <c r="A148" s="147">
        <f t="shared" si="2"/>
        <v>145</v>
      </c>
      <c r="B148" s="183">
        <v>45851</v>
      </c>
      <c r="C148" s="180">
        <f>YEAR(PA[[#This Row],[Date]])+IF(MONTH(PA[[#This Row],[Date]])&gt;=4,1,0)</f>
        <v>2026</v>
      </c>
      <c r="D148" s="155">
        <f>YEAR(PA[[#This Row],[Date]])</f>
        <v>2025</v>
      </c>
      <c r="E148" s="149" t="s">
        <v>4</v>
      </c>
      <c r="F148" s="149" t="s">
        <v>4</v>
      </c>
      <c r="G148" s="310">
        <f>PA[[#This Row],[Date]]-DAY(PA[[#This Row],[Date]])+1</f>
        <v>45839</v>
      </c>
      <c r="H148" s="155">
        <f>DAY(EOMONTH(PA[[#This Row],[Month Year]],0))</f>
        <v>31</v>
      </c>
      <c r="I148" s="151">
        <f>_xlfn.XLOOKUP(PA[[#This Row],[Date]],RD[Date],RD[Sunrise Time (POA&gt;20 W/m2)],0)</f>
        <v>0.26319444444444445</v>
      </c>
      <c r="J148" s="151">
        <f>_xlfn.XLOOKUP(PA[[#This Row],[Date]],RD[Date],RD[Sunset Time (POA&lt;20 W/m2)],0)</f>
        <v>0.7680555555555556</v>
      </c>
      <c r="K148" s="152">
        <f>IFERROR((PA[[#This Row],[Sunset Time (POA&lt;20 W/m2)]]-PA[[#This Row],[Sunrise Time (POA&gt;20 W/m2)]])*24,"")</f>
        <v>12.116666666666669</v>
      </c>
      <c r="L148" s="166" t="s">
        <v>472</v>
      </c>
      <c r="M148" s="180">
        <f>IFERROR(VLOOKUP(PA[[#This Row],[Affceted Equipment]],'Basic Data'!$A$2:$B$125,2,0),"")</f>
        <v>6.4</v>
      </c>
      <c r="N148" s="181">
        <f>IFERROR(VLOOKUP(PA[[#This Row],[Affceted Equipment]],'Basic Data'!$A$1:$C$128,3,0),"")</f>
        <v>2.6359143327841849E-4</v>
      </c>
      <c r="O148" s="149" t="s">
        <v>782</v>
      </c>
      <c r="P148" s="149" t="s">
        <v>782</v>
      </c>
      <c r="Q148" s="149" t="s">
        <v>782</v>
      </c>
      <c r="R148" s="149" t="s">
        <v>865</v>
      </c>
      <c r="S148" s="187">
        <v>0.45833333333333331</v>
      </c>
      <c r="T148" s="187">
        <v>0.45833333333333331</v>
      </c>
      <c r="U148" s="187">
        <v>0.45833333333333331</v>
      </c>
      <c r="V148" s="187">
        <v>0.625</v>
      </c>
      <c r="W148" s="182">
        <f>IF(PA[[#This Row],[Acknowledgemnet Time ]]="NA","",(PA[[#This Row],[Acknowledgemnet Time ]]-PA[[#This Row],[Fault Time]])*24)</f>
        <v>0</v>
      </c>
      <c r="X148" s="182">
        <f>IF(PA[[#This Row],[Work Start time on Fault]]="NA","",(PA[[#This Row],[Work Start time on Fault]]-PA[[#This Row],[Fault Time]])*24)</f>
        <v>0</v>
      </c>
      <c r="Y148" s="153">
        <f>(PA[[#This Row],[Work Completiuon time on fualt]]-PA[[#This Row],[Fault Time]])*24</f>
        <v>4</v>
      </c>
      <c r="Z148" s="153">
        <f>IFERROR((PA[[#This Row],[Work Completiuon time on fualt]]-PA[[#This Row],[Fault Time]])*24,"")</f>
        <v>4</v>
      </c>
      <c r="AA148" s="312" t="s">
        <v>784</v>
      </c>
      <c r="AB148" s="149" t="s">
        <v>763</v>
      </c>
      <c r="AC148" s="152">
        <f>IFERROR(PA[[#This Row],[Breakdown Time]]*PA[[#This Row],[Plant Equivalent Weightage]],)</f>
        <v>1.054365733113674E-3</v>
      </c>
      <c r="AD148" s="153">
        <v>2.0299999999999998</v>
      </c>
      <c r="AE148" s="163">
        <f>IFERROR(_xlfn.XLOOKUP(PA[[#This Row],[Month Year]],'Modelling New'!$D:$D,'Modelling New'!$O:$O)*M148*PA[[#This Row],[Lost PoA(kWh/m2)]],"")</f>
        <v>9.3993279313364582</v>
      </c>
      <c r="AF148" s="150"/>
      <c r="AG148" s="150"/>
      <c r="AH148" s="150"/>
    </row>
    <row r="149" spans="1:34" x14ac:dyDescent="0.35">
      <c r="A149" s="147">
        <f t="shared" si="2"/>
        <v>146</v>
      </c>
      <c r="B149" s="183">
        <v>45851</v>
      </c>
      <c r="C149" s="180">
        <f>YEAR(PA[[#This Row],[Date]])+IF(MONTH(PA[[#This Row],[Date]])&gt;=4,1,0)</f>
        <v>2026</v>
      </c>
      <c r="D149" s="155">
        <f>YEAR(PA[[#This Row],[Date]])</f>
        <v>2025</v>
      </c>
      <c r="E149" s="149" t="s">
        <v>4</v>
      </c>
      <c r="F149" s="149" t="s">
        <v>4</v>
      </c>
      <c r="G149" s="310">
        <f>PA[[#This Row],[Date]]-DAY(PA[[#This Row],[Date]])+1</f>
        <v>45839</v>
      </c>
      <c r="H149" s="155">
        <f>DAY(EOMONTH(PA[[#This Row],[Month Year]],0))</f>
        <v>31</v>
      </c>
      <c r="I149" s="151">
        <f>_xlfn.XLOOKUP(PA[[#This Row],[Date]],RD[Date],RD[Sunrise Time (POA&gt;20 W/m2)],0)</f>
        <v>0.26319444444444445</v>
      </c>
      <c r="J149" s="151">
        <f>_xlfn.XLOOKUP(PA[[#This Row],[Date]],RD[Date],RD[Sunset Time (POA&lt;20 W/m2)],0)</f>
        <v>0.7680555555555556</v>
      </c>
      <c r="K149" s="152">
        <f>IFERROR((PA[[#This Row],[Sunset Time (POA&lt;20 W/m2)]]-PA[[#This Row],[Sunrise Time (POA&gt;20 W/m2)]])*24,"")</f>
        <v>12.116666666666669</v>
      </c>
      <c r="L149" s="166" t="s">
        <v>472</v>
      </c>
      <c r="M149" s="180">
        <f>IFERROR(VLOOKUP(PA[[#This Row],[Affceted Equipment]],'Basic Data'!$A$2:$B$125,2,0),"")</f>
        <v>6.4</v>
      </c>
      <c r="N149" s="181">
        <f>IFERROR(VLOOKUP(PA[[#This Row],[Affceted Equipment]],'Basic Data'!$A$1:$C$128,3,0),"")</f>
        <v>2.6359143327841849E-4</v>
      </c>
      <c r="O149" s="149" t="s">
        <v>782</v>
      </c>
      <c r="P149" s="149" t="s">
        <v>782</v>
      </c>
      <c r="Q149" s="149" t="s">
        <v>782</v>
      </c>
      <c r="R149" s="149" t="s">
        <v>865</v>
      </c>
      <c r="S149" s="187">
        <v>0.45833333333333331</v>
      </c>
      <c r="T149" s="187">
        <v>0.45833333333333331</v>
      </c>
      <c r="U149" s="187">
        <v>0.45833333333333331</v>
      </c>
      <c r="V149" s="187">
        <v>0.625</v>
      </c>
      <c r="W149" s="182">
        <f>IF(PA[[#This Row],[Acknowledgemnet Time ]]="NA","",(PA[[#This Row],[Acknowledgemnet Time ]]-PA[[#This Row],[Fault Time]])*24)</f>
        <v>0</v>
      </c>
      <c r="X149" s="182">
        <f>IF(PA[[#This Row],[Work Start time on Fault]]="NA","",(PA[[#This Row],[Work Start time on Fault]]-PA[[#This Row],[Fault Time]])*24)</f>
        <v>0</v>
      </c>
      <c r="Y149" s="153">
        <f>(PA[[#This Row],[Work Completiuon time on fualt]]-PA[[#This Row],[Fault Time]])*24</f>
        <v>4</v>
      </c>
      <c r="Z149" s="153">
        <f>IFERROR((PA[[#This Row],[Work Completiuon time on fualt]]-PA[[#This Row],[Fault Time]])*24,"")</f>
        <v>4</v>
      </c>
      <c r="AA149" s="312" t="s">
        <v>784</v>
      </c>
      <c r="AB149" s="149" t="s">
        <v>763</v>
      </c>
      <c r="AC149" s="152">
        <f>IFERROR(PA[[#This Row],[Breakdown Time]]*PA[[#This Row],[Plant Equivalent Weightage]],)</f>
        <v>1.054365733113674E-3</v>
      </c>
      <c r="AD149" s="153">
        <v>2.0299999999999998</v>
      </c>
      <c r="AE149" s="163">
        <f>IFERROR(_xlfn.XLOOKUP(PA[[#This Row],[Month Year]],'Modelling New'!$D:$D,'Modelling New'!$O:$O)*M149*PA[[#This Row],[Lost PoA(kWh/m2)]],"")</f>
        <v>9.3993279313364582</v>
      </c>
      <c r="AF149" s="150"/>
      <c r="AG149" s="150"/>
      <c r="AH149" s="150"/>
    </row>
    <row r="150" spans="1:34" x14ac:dyDescent="0.35">
      <c r="A150" s="147">
        <f t="shared" si="2"/>
        <v>147</v>
      </c>
      <c r="B150" s="183">
        <v>45852</v>
      </c>
      <c r="C150" s="180">
        <f>YEAR(PA[[#This Row],[Date]])+IF(MONTH(PA[[#This Row],[Date]])&gt;=4,1,0)</f>
        <v>2026</v>
      </c>
      <c r="D150" s="155">
        <f>YEAR(PA[[#This Row],[Date]])</f>
        <v>2025</v>
      </c>
      <c r="E150" s="149" t="s">
        <v>4</v>
      </c>
      <c r="F150" s="149" t="s">
        <v>4</v>
      </c>
      <c r="G150" s="310">
        <f>PA[[#This Row],[Date]]-DAY(PA[[#This Row],[Date]])+1</f>
        <v>45839</v>
      </c>
      <c r="H150" s="155">
        <f>DAY(EOMONTH(PA[[#This Row],[Month Year]],0))</f>
        <v>31</v>
      </c>
      <c r="I150" s="151">
        <f>_xlfn.XLOOKUP(PA[[#This Row],[Date]],RD[Date],RD[Sunrise Time (POA&gt;20 W/m2)],0)</f>
        <v>0.26319444444444445</v>
      </c>
      <c r="J150" s="151">
        <f>_xlfn.XLOOKUP(PA[[#This Row],[Date]],RD[Date],RD[Sunset Time (POA&lt;20 W/m2)],0)</f>
        <v>0.78194444444444444</v>
      </c>
      <c r="K150" s="152">
        <f>IFERROR((PA[[#This Row],[Sunset Time (POA&lt;20 W/m2)]]-PA[[#This Row],[Sunrise Time (POA&gt;20 W/m2)]])*24,"")</f>
        <v>12.450000000000001</v>
      </c>
      <c r="L150" s="166" t="s">
        <v>536</v>
      </c>
      <c r="M150" s="180">
        <v>24213.794999999998</v>
      </c>
      <c r="N150" s="181">
        <v>0.99727327018121903</v>
      </c>
      <c r="O150" s="166" t="s">
        <v>536</v>
      </c>
      <c r="P150" s="149" t="s">
        <v>857</v>
      </c>
      <c r="Q150" s="149" t="s">
        <v>858</v>
      </c>
      <c r="R150" s="154" t="s">
        <v>869</v>
      </c>
      <c r="S150" s="187">
        <v>0.26319444444444445</v>
      </c>
      <c r="T150" s="187">
        <v>0.26319444444444445</v>
      </c>
      <c r="U150" s="187">
        <v>0.26319444444444445</v>
      </c>
      <c r="V150" s="187">
        <v>0.29375000000000001</v>
      </c>
      <c r="W150" s="182">
        <f>IF(PA[[#This Row],[Acknowledgemnet Time ]]="NA","",(PA[[#This Row],[Acknowledgemnet Time ]]-PA[[#This Row],[Fault Time]])*24)</f>
        <v>0</v>
      </c>
      <c r="X150" s="182">
        <f>IF(PA[[#This Row],[Work Start time on Fault]]="NA","",(PA[[#This Row],[Work Start time on Fault]]-PA[[#This Row],[Fault Time]])*24)</f>
        <v>0</v>
      </c>
      <c r="Y150" s="153">
        <f>(PA[[#This Row],[Work Completiuon time on fualt]]-PA[[#This Row],[Fault Time]])*24</f>
        <v>0.73333333333333339</v>
      </c>
      <c r="Z150" s="153">
        <f>IFERROR((PA[[#This Row],[Work Completiuon time on fualt]]-PA[[#This Row],[Fault Time]])*24,"")</f>
        <v>0.73333333333333339</v>
      </c>
      <c r="AA150" s="312" t="s">
        <v>870</v>
      </c>
      <c r="AB150" s="149" t="s">
        <v>763</v>
      </c>
      <c r="AC150" s="152">
        <f>IFERROR(PA[[#This Row],[Breakdown Time]]*PA[[#This Row],[Plant Equivalent Weightage]],)</f>
        <v>0.73133373146622738</v>
      </c>
      <c r="AD150" s="153">
        <v>4.3200000000000002E-2</v>
      </c>
      <c r="AE150" s="163">
        <f>IFERROR(_xlfn.XLOOKUP(PA[[#This Row],[Month Year]],'Modelling New'!$D:$D,'Modelling New'!$O:$O)*M150*PA[[#This Row],[Lost PoA(kWh/m2)]],"")</f>
        <v>756.77608263709203</v>
      </c>
      <c r="AF150" s="150"/>
      <c r="AG150" s="150"/>
      <c r="AH150" s="150"/>
    </row>
    <row r="151" spans="1:34" x14ac:dyDescent="0.35">
      <c r="A151" s="147">
        <f t="shared" ref="A151:A214" si="3">A150+1</f>
        <v>148</v>
      </c>
      <c r="B151" s="183">
        <v>45852</v>
      </c>
      <c r="C151" s="180">
        <f>YEAR(PA[[#This Row],[Date]])+IF(MONTH(PA[[#This Row],[Date]])&gt;=4,1,0)</f>
        <v>2026</v>
      </c>
      <c r="D151" s="155">
        <f>YEAR(PA[[#This Row],[Date]])</f>
        <v>2025</v>
      </c>
      <c r="E151" s="149" t="s">
        <v>4</v>
      </c>
      <c r="F151" s="149" t="s">
        <v>4</v>
      </c>
      <c r="G151" s="310">
        <f>PA[[#This Row],[Date]]-DAY(PA[[#This Row],[Date]])+1</f>
        <v>45839</v>
      </c>
      <c r="H151" s="155">
        <f>DAY(EOMONTH(PA[[#This Row],[Month Year]],0))</f>
        <v>31</v>
      </c>
      <c r="I151" s="151">
        <f>_xlfn.XLOOKUP(PA[[#This Row],[Date]],RD[Date],RD[Sunrise Time (POA&gt;20 W/m2)],0)</f>
        <v>0.26319444444444445</v>
      </c>
      <c r="J151" s="151">
        <f>_xlfn.XLOOKUP(PA[[#This Row],[Date]],RD[Date],RD[Sunset Time (POA&lt;20 W/m2)],0)</f>
        <v>0.78194444444444444</v>
      </c>
      <c r="K151" s="152">
        <f>IFERROR((PA[[#This Row],[Sunset Time (POA&lt;20 W/m2)]]-PA[[#This Row],[Sunrise Time (POA&gt;20 W/m2)]])*24,"")</f>
        <v>12.450000000000001</v>
      </c>
      <c r="L151" s="166" t="s">
        <v>464</v>
      </c>
      <c r="M151" s="180">
        <f>IFERROR(VLOOKUP(PA[[#This Row],[Affceted Equipment]],'Basic Data'!$A$2:$B$125,2,0),"")</f>
        <v>2300</v>
      </c>
      <c r="N151" s="181">
        <f>IFERROR(VLOOKUP(PA[[#This Row],[Affceted Equipment]],'Basic Data'!$A$1:$C$128,3,0),"")</f>
        <v>9.4728171334431635E-2</v>
      </c>
      <c r="O151" s="166" t="s">
        <v>464</v>
      </c>
      <c r="P151" s="166" t="s">
        <v>713</v>
      </c>
      <c r="Q151" s="166" t="s">
        <v>713</v>
      </c>
      <c r="R151" s="154" t="s">
        <v>871</v>
      </c>
      <c r="S151" s="187">
        <v>0.29375000000000001</v>
      </c>
      <c r="T151" s="187">
        <v>0.29375000000000001</v>
      </c>
      <c r="U151" s="187">
        <v>0.29375000000000001</v>
      </c>
      <c r="V151" s="187">
        <v>0.43055555555555558</v>
      </c>
      <c r="W151" s="182">
        <f>IF(PA[[#This Row],[Acknowledgemnet Time ]]="NA","",(PA[[#This Row],[Acknowledgemnet Time ]]-PA[[#This Row],[Fault Time]])*24)</f>
        <v>0</v>
      </c>
      <c r="X151" s="182">
        <f>IF(PA[[#This Row],[Work Start time on Fault]]="NA","",(PA[[#This Row],[Work Start time on Fault]]-PA[[#This Row],[Fault Time]])*24)</f>
        <v>0</v>
      </c>
      <c r="Y151" s="153">
        <f>(PA[[#This Row],[Work Completiuon time on fualt]]-PA[[#This Row],[Fault Time]])*24</f>
        <v>3.2833333333333337</v>
      </c>
      <c r="Z151" s="153">
        <f>IFERROR((PA[[#This Row],[Work Completiuon time on fualt]]-PA[[#This Row],[Fault Time]])*24,"")</f>
        <v>3.2833333333333337</v>
      </c>
      <c r="AA151" s="312" t="s">
        <v>872</v>
      </c>
      <c r="AB151" s="149" t="s">
        <v>763</v>
      </c>
      <c r="AC151" s="152">
        <f>IFERROR(PA[[#This Row],[Breakdown Time]]*PA[[#This Row],[Plant Equivalent Weightage]],)</f>
        <v>0.31102416254805054</v>
      </c>
      <c r="AD151" s="153">
        <v>1.34</v>
      </c>
      <c r="AE151" s="163">
        <f>IFERROR(_xlfn.XLOOKUP(PA[[#This Row],[Month Year]],'Modelling New'!$D:$D,'Modelling New'!$O:$O)*M151*PA[[#This Row],[Lost PoA(kWh/m2)]],"")</f>
        <v>2229.7358901153762</v>
      </c>
      <c r="AF151" s="150"/>
      <c r="AG151" s="150"/>
      <c r="AH151" s="150"/>
    </row>
    <row r="152" spans="1:34" x14ac:dyDescent="0.35">
      <c r="A152" s="147">
        <f t="shared" si="3"/>
        <v>149</v>
      </c>
      <c r="B152" s="183">
        <v>45852</v>
      </c>
      <c r="C152" s="180">
        <f>YEAR(PA[[#This Row],[Date]])+IF(MONTH(PA[[#This Row],[Date]])&gt;=4,1,0)</f>
        <v>2026</v>
      </c>
      <c r="D152" s="155">
        <f>YEAR(PA[[#This Row],[Date]])</f>
        <v>2025</v>
      </c>
      <c r="E152" s="149" t="s">
        <v>4</v>
      </c>
      <c r="F152" s="149" t="s">
        <v>4</v>
      </c>
      <c r="G152" s="310">
        <f>PA[[#This Row],[Date]]-DAY(PA[[#This Row],[Date]])+1</f>
        <v>45839</v>
      </c>
      <c r="H152" s="155">
        <f>DAY(EOMONTH(PA[[#This Row],[Month Year]],0))</f>
        <v>31</v>
      </c>
      <c r="I152" s="151">
        <f>_xlfn.XLOOKUP(PA[[#This Row],[Date]],RD[Date],RD[Sunrise Time (POA&gt;20 W/m2)],0)</f>
        <v>0.26319444444444445</v>
      </c>
      <c r="J152" s="151">
        <f>_xlfn.XLOOKUP(PA[[#This Row],[Date]],RD[Date],RD[Sunset Time (POA&lt;20 W/m2)],0)</f>
        <v>0.78194444444444444</v>
      </c>
      <c r="K152" s="152">
        <f>IFERROR((PA[[#This Row],[Sunset Time (POA&lt;20 W/m2)]]-PA[[#This Row],[Sunrise Time (POA&gt;20 W/m2)]])*24,"")</f>
        <v>12.450000000000001</v>
      </c>
      <c r="L152" s="166" t="s">
        <v>229</v>
      </c>
      <c r="M152" s="180">
        <f>IFERROR(VLOOKUP(PA[[#This Row],[Affceted Equipment]],'Basic Data'!$A$2:$B$125,2,0),"")</f>
        <v>1222</v>
      </c>
      <c r="N152" s="181">
        <f>IFERROR(VLOOKUP(PA[[#This Row],[Affceted Equipment]],'Basic Data'!$A$1:$C$128,3,0),"")</f>
        <v>5.0329489291598022E-2</v>
      </c>
      <c r="O152" s="166" t="s">
        <v>229</v>
      </c>
      <c r="P152" s="149" t="s">
        <v>755</v>
      </c>
      <c r="Q152" s="149" t="s">
        <v>733</v>
      </c>
      <c r="R152" s="149" t="s">
        <v>807</v>
      </c>
      <c r="S152" s="188">
        <v>0.375</v>
      </c>
      <c r="T152" s="187">
        <v>0.41666666666666669</v>
      </c>
      <c r="U152" s="187">
        <v>0.41666666666666669</v>
      </c>
      <c r="V152" s="187">
        <v>0.53472222222222221</v>
      </c>
      <c r="W152" s="182">
        <f>IF(PA[[#This Row],[Acknowledgemnet Time ]]="NA","",(PA[[#This Row],[Acknowledgemnet Time ]]-PA[[#This Row],[Fault Time]])*24)</f>
        <v>1.0000000000000004</v>
      </c>
      <c r="X152" s="182">
        <f>IF(PA[[#This Row],[Work Start time on Fault]]="NA","",(PA[[#This Row],[Work Start time on Fault]]-PA[[#This Row],[Fault Time]])*24)</f>
        <v>1.0000000000000004</v>
      </c>
      <c r="Y152" s="153">
        <f>(PA[[#This Row],[Work Completiuon time on fualt]]-PA[[#This Row],[Fault Time]])*24</f>
        <v>3.833333333333333</v>
      </c>
      <c r="Z152" s="153">
        <f>IFERROR((PA[[#This Row],[Work Completiuon time on fualt]]-PA[[#This Row],[Fault Time]])*24,"")</f>
        <v>3.833333333333333</v>
      </c>
      <c r="AA152" s="312" t="s">
        <v>863</v>
      </c>
      <c r="AB152" s="149" t="s">
        <v>763</v>
      </c>
      <c r="AC152" s="152">
        <f>IFERROR(PA[[#This Row],[Breakdown Time]]*PA[[#This Row],[Plant Equivalent Weightage]],)</f>
        <v>0.19292970895112574</v>
      </c>
      <c r="AD152" s="153">
        <v>0.89900000000000002</v>
      </c>
      <c r="AE152" s="163">
        <f>IFERROR(_xlfn.XLOOKUP(PA[[#This Row],[Month Year]],'Modelling New'!$D:$D,'Modelling New'!$O:$O)*M152*PA[[#This Row],[Lost PoA(kWh/m2)]],"")</f>
        <v>794.78870690823157</v>
      </c>
      <c r="AF152" s="150"/>
      <c r="AG152" s="150"/>
      <c r="AH152" s="150"/>
    </row>
    <row r="153" spans="1:34" x14ac:dyDescent="0.35">
      <c r="A153" s="147">
        <f t="shared" si="3"/>
        <v>150</v>
      </c>
      <c r="B153" s="183">
        <v>45852</v>
      </c>
      <c r="C153" s="180">
        <f>YEAR(PA[[#This Row],[Date]])+IF(MONTH(PA[[#This Row],[Date]])&gt;=4,1,0)</f>
        <v>2026</v>
      </c>
      <c r="D153" s="155">
        <f>YEAR(PA[[#This Row],[Date]])</f>
        <v>2025</v>
      </c>
      <c r="E153" s="149" t="s">
        <v>4</v>
      </c>
      <c r="F153" s="149" t="s">
        <v>4</v>
      </c>
      <c r="G153" s="310">
        <f>PA[[#This Row],[Date]]-DAY(PA[[#This Row],[Date]])+1</f>
        <v>45839</v>
      </c>
      <c r="H153" s="155">
        <f>DAY(EOMONTH(PA[[#This Row],[Month Year]],0))</f>
        <v>31</v>
      </c>
      <c r="I153" s="151">
        <f>_xlfn.XLOOKUP(PA[[#This Row],[Date]],RD[Date],RD[Sunrise Time (POA&gt;20 W/m2)],0)</f>
        <v>0.26319444444444445</v>
      </c>
      <c r="J153" s="151">
        <f>_xlfn.XLOOKUP(PA[[#This Row],[Date]],RD[Date],RD[Sunset Time (POA&lt;20 W/m2)],0)</f>
        <v>0.78194444444444444</v>
      </c>
      <c r="K153" s="152">
        <f>IFERROR((PA[[#This Row],[Sunset Time (POA&lt;20 W/m2)]]-PA[[#This Row],[Sunrise Time (POA&gt;20 W/m2)]])*24,"")</f>
        <v>12.450000000000001</v>
      </c>
      <c r="L153" s="166" t="s">
        <v>472</v>
      </c>
      <c r="M153" s="180">
        <f>IFERROR(VLOOKUP(PA[[#This Row],[Affceted Equipment]],'Basic Data'!$A$2:$B$125,2,0),"")</f>
        <v>6.4</v>
      </c>
      <c r="N153" s="181">
        <f>IFERROR(VLOOKUP(PA[[#This Row],[Affceted Equipment]],'Basic Data'!$A$1:$C$128,3,0),"")</f>
        <v>2.6359143327841849E-4</v>
      </c>
      <c r="O153" s="166" t="s">
        <v>873</v>
      </c>
      <c r="P153" s="149" t="s">
        <v>755</v>
      </c>
      <c r="Q153" s="149" t="s">
        <v>733</v>
      </c>
      <c r="R153" s="149" t="s">
        <v>874</v>
      </c>
      <c r="S153" s="187">
        <v>0.53472222222222221</v>
      </c>
      <c r="T153" s="187">
        <v>0.53472222222222221</v>
      </c>
      <c r="U153" s="187">
        <v>0.53472222222222221</v>
      </c>
      <c r="V153" s="187">
        <v>0.70833333333333337</v>
      </c>
      <c r="W153" s="182">
        <f>IF(PA[[#This Row],[Acknowledgemnet Time ]]="NA","",(PA[[#This Row],[Acknowledgemnet Time ]]-PA[[#This Row],[Fault Time]])*24)</f>
        <v>0</v>
      </c>
      <c r="X153" s="182">
        <f>IF(PA[[#This Row],[Work Start time on Fault]]="NA","",(PA[[#This Row],[Work Start time on Fault]]-PA[[#This Row],[Fault Time]])*24)</f>
        <v>0</v>
      </c>
      <c r="Y153" s="153">
        <f>(PA[[#This Row],[Work Completiuon time on fualt]]-PA[[#This Row],[Fault Time]])*24</f>
        <v>4.1666666666666679</v>
      </c>
      <c r="Z153" s="153">
        <f>IFERROR((PA[[#This Row],[Work Completiuon time on fualt]]-PA[[#This Row],[Fault Time]])*24,"")</f>
        <v>4.1666666666666679</v>
      </c>
      <c r="AA153" s="307" t="s">
        <v>875</v>
      </c>
      <c r="AB153" s="149" t="s">
        <v>763</v>
      </c>
      <c r="AC153" s="152">
        <f>IFERROR(PA[[#This Row],[Breakdown Time]]*PA[[#This Row],[Plant Equivalent Weightage]],)</f>
        <v>1.0982976386600773E-3</v>
      </c>
      <c r="AD153" s="153">
        <v>2.4500000000000002</v>
      </c>
      <c r="AE153" s="163">
        <f>IFERROR(_xlfn.XLOOKUP(PA[[#This Row],[Month Year]],'Modelling New'!$D:$D,'Modelling New'!$O:$O)*M153*PA[[#This Row],[Lost PoA(kWh/m2)]],"")</f>
        <v>11.344016468854347</v>
      </c>
      <c r="AF153" s="150"/>
      <c r="AG153" s="150"/>
      <c r="AH153" s="150"/>
    </row>
    <row r="154" spans="1:34" x14ac:dyDescent="0.35">
      <c r="A154" s="147">
        <f t="shared" si="3"/>
        <v>151</v>
      </c>
      <c r="B154" s="183">
        <v>45852</v>
      </c>
      <c r="C154" s="180">
        <f>YEAR(PA[[#This Row],[Date]])+IF(MONTH(PA[[#This Row],[Date]])&gt;=4,1,0)</f>
        <v>2026</v>
      </c>
      <c r="D154" s="155">
        <f>YEAR(PA[[#This Row],[Date]])</f>
        <v>2025</v>
      </c>
      <c r="E154" s="149" t="s">
        <v>4</v>
      </c>
      <c r="F154" s="149" t="s">
        <v>4</v>
      </c>
      <c r="G154" s="310">
        <f>PA[[#This Row],[Date]]-DAY(PA[[#This Row],[Date]])+1</f>
        <v>45839</v>
      </c>
      <c r="H154" s="155">
        <f>DAY(EOMONTH(PA[[#This Row],[Month Year]],0))</f>
        <v>31</v>
      </c>
      <c r="I154" s="151">
        <f>_xlfn.XLOOKUP(PA[[#This Row],[Date]],RD[Date],RD[Sunrise Time (POA&gt;20 W/m2)],0)</f>
        <v>0.26319444444444445</v>
      </c>
      <c r="J154" s="151">
        <f>_xlfn.XLOOKUP(PA[[#This Row],[Date]],RD[Date],RD[Sunset Time (POA&lt;20 W/m2)],0)</f>
        <v>0.78194444444444444</v>
      </c>
      <c r="K154" s="152">
        <f>IFERROR((PA[[#This Row],[Sunset Time (POA&lt;20 W/m2)]]-PA[[#This Row],[Sunrise Time (POA&gt;20 W/m2)]])*24,"")</f>
        <v>12.450000000000001</v>
      </c>
      <c r="L154" s="166" t="s">
        <v>472</v>
      </c>
      <c r="M154" s="180">
        <f>IFERROR(VLOOKUP(PA[[#This Row],[Affceted Equipment]],'Basic Data'!$A$2:$B$125,2,0),"")</f>
        <v>6.4</v>
      </c>
      <c r="N154" s="181">
        <f>IFERROR(VLOOKUP(PA[[#This Row],[Affceted Equipment]],'Basic Data'!$A$1:$C$128,3,0),"")</f>
        <v>2.6359143327841849E-4</v>
      </c>
      <c r="O154" s="166" t="s">
        <v>873</v>
      </c>
      <c r="P154" s="149" t="s">
        <v>755</v>
      </c>
      <c r="Q154" s="149" t="s">
        <v>733</v>
      </c>
      <c r="R154" s="149" t="s">
        <v>876</v>
      </c>
      <c r="S154" s="187">
        <v>0.53472222222222221</v>
      </c>
      <c r="T154" s="187">
        <v>0.53472222222222221</v>
      </c>
      <c r="U154" s="187">
        <v>0.53472222222222221</v>
      </c>
      <c r="V154" s="187">
        <v>0.70833333333333337</v>
      </c>
      <c r="W154" s="182">
        <f>IF(PA[[#This Row],[Acknowledgemnet Time ]]="NA","",(PA[[#This Row],[Acknowledgemnet Time ]]-PA[[#This Row],[Fault Time]])*24)</f>
        <v>0</v>
      </c>
      <c r="X154" s="182">
        <f>IF(PA[[#This Row],[Work Start time on Fault]]="NA","",(PA[[#This Row],[Work Start time on Fault]]-PA[[#This Row],[Fault Time]])*24)</f>
        <v>0</v>
      </c>
      <c r="Y154" s="153">
        <f>(PA[[#This Row],[Work Completiuon time on fualt]]-PA[[#This Row],[Fault Time]])*24</f>
        <v>4.1666666666666679</v>
      </c>
      <c r="Z154" s="153">
        <f>IFERROR((PA[[#This Row],[Work Completiuon time on fualt]]-PA[[#This Row],[Fault Time]])*24,"")</f>
        <v>4.1666666666666679</v>
      </c>
      <c r="AA154" s="307" t="s">
        <v>875</v>
      </c>
      <c r="AB154" s="149" t="s">
        <v>763</v>
      </c>
      <c r="AC154" s="152">
        <f>IFERROR(PA[[#This Row],[Breakdown Time]]*PA[[#This Row],[Plant Equivalent Weightage]],)</f>
        <v>1.0982976386600773E-3</v>
      </c>
      <c r="AD154" s="153">
        <v>2.4500000000000002</v>
      </c>
      <c r="AE154" s="163">
        <f>IFERROR(_xlfn.XLOOKUP(PA[[#This Row],[Month Year]],'Modelling New'!$D:$D,'Modelling New'!$O:$O)*M154*PA[[#This Row],[Lost PoA(kWh/m2)]],"")</f>
        <v>11.344016468854347</v>
      </c>
      <c r="AF154" s="150"/>
      <c r="AG154" s="150"/>
      <c r="AH154" s="150"/>
    </row>
    <row r="155" spans="1:34" x14ac:dyDescent="0.35">
      <c r="A155" s="147">
        <f t="shared" si="3"/>
        <v>152</v>
      </c>
      <c r="B155" s="183">
        <v>45852</v>
      </c>
      <c r="C155" s="180">
        <f>YEAR(PA[[#This Row],[Date]])+IF(MONTH(PA[[#This Row],[Date]])&gt;=4,1,0)</f>
        <v>2026</v>
      </c>
      <c r="D155" s="155">
        <f>YEAR(PA[[#This Row],[Date]])</f>
        <v>2025</v>
      </c>
      <c r="E155" s="149" t="s">
        <v>4</v>
      </c>
      <c r="F155" s="149" t="s">
        <v>4</v>
      </c>
      <c r="G155" s="310">
        <f>PA[[#This Row],[Date]]-DAY(PA[[#This Row],[Date]])+1</f>
        <v>45839</v>
      </c>
      <c r="H155" s="155">
        <f>DAY(EOMONTH(PA[[#This Row],[Month Year]],0))</f>
        <v>31</v>
      </c>
      <c r="I155" s="151">
        <f>_xlfn.XLOOKUP(PA[[#This Row],[Date]],RD[Date],RD[Sunrise Time (POA&gt;20 W/m2)],0)</f>
        <v>0.26319444444444445</v>
      </c>
      <c r="J155" s="151">
        <f>_xlfn.XLOOKUP(PA[[#This Row],[Date]],RD[Date],RD[Sunset Time (POA&lt;20 W/m2)],0)</f>
        <v>0.78194444444444444</v>
      </c>
      <c r="K155" s="152">
        <f>IFERROR((PA[[#This Row],[Sunset Time (POA&lt;20 W/m2)]]-PA[[#This Row],[Sunrise Time (POA&gt;20 W/m2)]])*24,"")</f>
        <v>12.450000000000001</v>
      </c>
      <c r="L155" s="166" t="s">
        <v>472</v>
      </c>
      <c r="M155" s="180">
        <f>IFERROR(VLOOKUP(PA[[#This Row],[Affceted Equipment]],'Basic Data'!$A$2:$B$125,2,0),"")</f>
        <v>6.4</v>
      </c>
      <c r="N155" s="181">
        <f>IFERROR(VLOOKUP(PA[[#This Row],[Affceted Equipment]],'Basic Data'!$A$1:$C$128,3,0),"")</f>
        <v>2.6359143327841849E-4</v>
      </c>
      <c r="O155" s="166" t="s">
        <v>877</v>
      </c>
      <c r="P155" s="149" t="s">
        <v>755</v>
      </c>
      <c r="Q155" s="149" t="s">
        <v>733</v>
      </c>
      <c r="R155" s="149" t="s">
        <v>878</v>
      </c>
      <c r="S155" s="187">
        <v>0.53472222222222221</v>
      </c>
      <c r="T155" s="187">
        <v>0.53472222222222221</v>
      </c>
      <c r="U155" s="187">
        <v>0.53472222222222221</v>
      </c>
      <c r="V155" s="187">
        <v>0.70833333333333337</v>
      </c>
      <c r="W155" s="182">
        <f>IF(PA[[#This Row],[Acknowledgemnet Time ]]="NA","",(PA[[#This Row],[Acknowledgemnet Time ]]-PA[[#This Row],[Fault Time]])*24)</f>
        <v>0</v>
      </c>
      <c r="X155" s="182">
        <f>IF(PA[[#This Row],[Work Start time on Fault]]="NA","",(PA[[#This Row],[Work Start time on Fault]]-PA[[#This Row],[Fault Time]])*24)</f>
        <v>0</v>
      </c>
      <c r="Y155" s="153">
        <f>(PA[[#This Row],[Work Completiuon time on fualt]]-PA[[#This Row],[Fault Time]])*24</f>
        <v>4.1666666666666679</v>
      </c>
      <c r="Z155" s="153">
        <f>IFERROR((PA[[#This Row],[Work Completiuon time on fualt]]-PA[[#This Row],[Fault Time]])*24,"")</f>
        <v>4.1666666666666679</v>
      </c>
      <c r="AA155" s="307" t="s">
        <v>875</v>
      </c>
      <c r="AB155" s="149" t="s">
        <v>763</v>
      </c>
      <c r="AC155" s="152">
        <f>IFERROR(PA[[#This Row],[Breakdown Time]]*PA[[#This Row],[Plant Equivalent Weightage]],)</f>
        <v>1.0982976386600773E-3</v>
      </c>
      <c r="AD155" s="153">
        <v>2.4500000000000002</v>
      </c>
      <c r="AE155" s="163">
        <f>IFERROR(_xlfn.XLOOKUP(PA[[#This Row],[Month Year]],'Modelling New'!$D:$D,'Modelling New'!$O:$O)*M155*PA[[#This Row],[Lost PoA(kWh/m2)]],"")</f>
        <v>11.344016468854347</v>
      </c>
      <c r="AF155" s="150"/>
      <c r="AG155" s="150"/>
      <c r="AH155" s="150"/>
    </row>
    <row r="156" spans="1:34" x14ac:dyDescent="0.35">
      <c r="A156" s="147">
        <f t="shared" si="3"/>
        <v>153</v>
      </c>
      <c r="B156" s="183">
        <v>45852</v>
      </c>
      <c r="C156" s="180">
        <f>YEAR(PA[[#This Row],[Date]])+IF(MONTH(PA[[#This Row],[Date]])&gt;=4,1,0)</f>
        <v>2026</v>
      </c>
      <c r="D156" s="155">
        <f>YEAR(PA[[#This Row],[Date]])</f>
        <v>2025</v>
      </c>
      <c r="E156" s="149" t="s">
        <v>4</v>
      </c>
      <c r="F156" s="149" t="s">
        <v>4</v>
      </c>
      <c r="G156" s="310">
        <f>PA[[#This Row],[Date]]-DAY(PA[[#This Row],[Date]])+1</f>
        <v>45839</v>
      </c>
      <c r="H156" s="155">
        <f>DAY(EOMONTH(PA[[#This Row],[Month Year]],0))</f>
        <v>31</v>
      </c>
      <c r="I156" s="151">
        <f>_xlfn.XLOOKUP(PA[[#This Row],[Date]],RD[Date],RD[Sunrise Time (POA&gt;20 W/m2)],0)</f>
        <v>0.26319444444444445</v>
      </c>
      <c r="J156" s="151">
        <f>_xlfn.XLOOKUP(PA[[#This Row],[Date]],RD[Date],RD[Sunset Time (POA&lt;20 W/m2)],0)</f>
        <v>0.78194444444444444</v>
      </c>
      <c r="K156" s="152">
        <f>IFERROR((PA[[#This Row],[Sunset Time (POA&lt;20 W/m2)]]-PA[[#This Row],[Sunrise Time (POA&gt;20 W/m2)]])*24,"")</f>
        <v>12.450000000000001</v>
      </c>
      <c r="L156" s="166" t="s">
        <v>472</v>
      </c>
      <c r="M156" s="180">
        <f>IFERROR(VLOOKUP(PA[[#This Row],[Affceted Equipment]],'Basic Data'!$A$2:$B$125,2,0),"")</f>
        <v>6.4</v>
      </c>
      <c r="N156" s="181">
        <f>IFERROR(VLOOKUP(PA[[#This Row],[Affceted Equipment]],'Basic Data'!$A$1:$C$128,3,0),"")</f>
        <v>2.6359143327841849E-4</v>
      </c>
      <c r="O156" s="166" t="s">
        <v>877</v>
      </c>
      <c r="P156" s="149" t="s">
        <v>755</v>
      </c>
      <c r="Q156" s="149" t="s">
        <v>733</v>
      </c>
      <c r="R156" s="149" t="s">
        <v>879</v>
      </c>
      <c r="S156" s="187">
        <v>0.53472222222222221</v>
      </c>
      <c r="T156" s="187">
        <v>0.53472222222222221</v>
      </c>
      <c r="U156" s="187">
        <v>0.53472222222222221</v>
      </c>
      <c r="V156" s="187">
        <v>0.70833333333333337</v>
      </c>
      <c r="W156" s="182">
        <f>IF(PA[[#This Row],[Acknowledgemnet Time ]]="NA","",(PA[[#This Row],[Acknowledgemnet Time ]]-PA[[#This Row],[Fault Time]])*24)</f>
        <v>0</v>
      </c>
      <c r="X156" s="182">
        <f>IF(PA[[#This Row],[Work Start time on Fault]]="NA","",(PA[[#This Row],[Work Start time on Fault]]-PA[[#This Row],[Fault Time]])*24)</f>
        <v>0</v>
      </c>
      <c r="Y156" s="153">
        <f>(PA[[#This Row],[Work Completiuon time on fualt]]-PA[[#This Row],[Fault Time]])*24</f>
        <v>4.1666666666666679</v>
      </c>
      <c r="Z156" s="153">
        <f>IFERROR((PA[[#This Row],[Work Completiuon time on fualt]]-PA[[#This Row],[Fault Time]])*24,"")</f>
        <v>4.1666666666666679</v>
      </c>
      <c r="AA156" s="307" t="s">
        <v>875</v>
      </c>
      <c r="AB156" s="149" t="s">
        <v>763</v>
      </c>
      <c r="AC156" s="152">
        <f>IFERROR(PA[[#This Row],[Breakdown Time]]*PA[[#This Row],[Plant Equivalent Weightage]],)</f>
        <v>1.0982976386600773E-3</v>
      </c>
      <c r="AD156" s="153">
        <v>2.4500000000000002</v>
      </c>
      <c r="AE156" s="163">
        <f>IFERROR(_xlfn.XLOOKUP(PA[[#This Row],[Month Year]],'Modelling New'!$D:$D,'Modelling New'!$O:$O)*M156*PA[[#This Row],[Lost PoA(kWh/m2)]],"")</f>
        <v>11.344016468854347</v>
      </c>
      <c r="AF156" s="150"/>
      <c r="AG156" s="150"/>
      <c r="AH156" s="150"/>
    </row>
    <row r="157" spans="1:34" x14ac:dyDescent="0.35">
      <c r="A157" s="147">
        <f t="shared" si="3"/>
        <v>154</v>
      </c>
      <c r="B157" s="183">
        <v>45852</v>
      </c>
      <c r="C157" s="180">
        <f>YEAR(PA[[#This Row],[Date]])+IF(MONTH(PA[[#This Row],[Date]])&gt;=4,1,0)</f>
        <v>2026</v>
      </c>
      <c r="D157" s="155">
        <f>YEAR(PA[[#This Row],[Date]])</f>
        <v>2025</v>
      </c>
      <c r="E157" s="149" t="s">
        <v>4</v>
      </c>
      <c r="F157" s="149" t="s">
        <v>4</v>
      </c>
      <c r="G157" s="310">
        <f>PA[[#This Row],[Date]]-DAY(PA[[#This Row],[Date]])+1</f>
        <v>45839</v>
      </c>
      <c r="H157" s="155">
        <f>DAY(EOMONTH(PA[[#This Row],[Month Year]],0))</f>
        <v>31</v>
      </c>
      <c r="I157" s="151">
        <f>_xlfn.XLOOKUP(PA[[#This Row],[Date]],RD[Date],RD[Sunrise Time (POA&gt;20 W/m2)],0)</f>
        <v>0.26319444444444445</v>
      </c>
      <c r="J157" s="151">
        <f>_xlfn.XLOOKUP(PA[[#This Row],[Date]],RD[Date],RD[Sunset Time (POA&lt;20 W/m2)],0)</f>
        <v>0.78194444444444444</v>
      </c>
      <c r="K157" s="152">
        <f>IFERROR((PA[[#This Row],[Sunset Time (POA&lt;20 W/m2)]]-PA[[#This Row],[Sunrise Time (POA&gt;20 W/m2)]])*24,"")</f>
        <v>12.450000000000001</v>
      </c>
      <c r="L157" s="166" t="s">
        <v>472</v>
      </c>
      <c r="M157" s="180">
        <f>IFERROR(VLOOKUP(PA[[#This Row],[Affceted Equipment]],'Basic Data'!$A$2:$B$125,2,0),"")</f>
        <v>6.4</v>
      </c>
      <c r="N157" s="181">
        <f>IFERROR(VLOOKUP(PA[[#This Row],[Affceted Equipment]],'Basic Data'!$A$1:$C$128,3,0),"")</f>
        <v>2.6359143327841849E-4</v>
      </c>
      <c r="O157" s="166" t="s">
        <v>877</v>
      </c>
      <c r="P157" s="149" t="s">
        <v>755</v>
      </c>
      <c r="Q157" s="149" t="s">
        <v>733</v>
      </c>
      <c r="R157" s="149" t="s">
        <v>880</v>
      </c>
      <c r="S157" s="187">
        <v>0.53472222222222221</v>
      </c>
      <c r="T157" s="187">
        <v>0.53472222222222221</v>
      </c>
      <c r="U157" s="187">
        <v>0.53472222222222221</v>
      </c>
      <c r="V157" s="187">
        <v>0.70833333333333337</v>
      </c>
      <c r="W157" s="182">
        <f>IF(PA[[#This Row],[Acknowledgemnet Time ]]="NA","",(PA[[#This Row],[Acknowledgemnet Time ]]-PA[[#This Row],[Fault Time]])*24)</f>
        <v>0</v>
      </c>
      <c r="X157" s="182">
        <f>IF(PA[[#This Row],[Work Start time on Fault]]="NA","",(PA[[#This Row],[Work Start time on Fault]]-PA[[#This Row],[Fault Time]])*24)</f>
        <v>0</v>
      </c>
      <c r="Y157" s="153">
        <f>(PA[[#This Row],[Work Completiuon time on fualt]]-PA[[#This Row],[Fault Time]])*24</f>
        <v>4.1666666666666679</v>
      </c>
      <c r="Z157" s="153">
        <f>IFERROR((PA[[#This Row],[Work Completiuon time on fualt]]-PA[[#This Row],[Fault Time]])*24,"")</f>
        <v>4.1666666666666679</v>
      </c>
      <c r="AA157" s="307" t="s">
        <v>875</v>
      </c>
      <c r="AB157" s="149" t="s">
        <v>763</v>
      </c>
      <c r="AC157" s="152">
        <f>IFERROR(PA[[#This Row],[Breakdown Time]]*PA[[#This Row],[Plant Equivalent Weightage]],)</f>
        <v>1.0982976386600773E-3</v>
      </c>
      <c r="AD157" s="153">
        <v>2.4500000000000002</v>
      </c>
      <c r="AE157" s="163">
        <f>IFERROR(_xlfn.XLOOKUP(PA[[#This Row],[Month Year]],'Modelling New'!$D:$D,'Modelling New'!$O:$O)*M157*PA[[#This Row],[Lost PoA(kWh/m2)]],"")</f>
        <v>11.344016468854347</v>
      </c>
      <c r="AF157" s="150"/>
      <c r="AG157" s="150"/>
      <c r="AH157" s="150"/>
    </row>
    <row r="158" spans="1:34" x14ac:dyDescent="0.35">
      <c r="A158" s="147">
        <f t="shared" si="3"/>
        <v>155</v>
      </c>
      <c r="B158" s="183">
        <v>45852</v>
      </c>
      <c r="C158" s="180">
        <f>YEAR(PA[[#This Row],[Date]])+IF(MONTH(PA[[#This Row],[Date]])&gt;=4,1,0)</f>
        <v>2026</v>
      </c>
      <c r="D158" s="155">
        <f>YEAR(PA[[#This Row],[Date]])</f>
        <v>2025</v>
      </c>
      <c r="E158" s="149" t="s">
        <v>4</v>
      </c>
      <c r="F158" s="149" t="s">
        <v>4</v>
      </c>
      <c r="G158" s="310">
        <f>PA[[#This Row],[Date]]-DAY(PA[[#This Row],[Date]])+1</f>
        <v>45839</v>
      </c>
      <c r="H158" s="155">
        <f>DAY(EOMONTH(PA[[#This Row],[Month Year]],0))</f>
        <v>31</v>
      </c>
      <c r="I158" s="151">
        <f>_xlfn.XLOOKUP(PA[[#This Row],[Date]],RD[Date],RD[Sunrise Time (POA&gt;20 W/m2)],0)</f>
        <v>0.26319444444444445</v>
      </c>
      <c r="J158" s="151">
        <f>_xlfn.XLOOKUP(PA[[#This Row],[Date]],RD[Date],RD[Sunset Time (POA&lt;20 W/m2)],0)</f>
        <v>0.78194444444444444</v>
      </c>
      <c r="K158" s="152">
        <f>IFERROR((PA[[#This Row],[Sunset Time (POA&lt;20 W/m2)]]-PA[[#This Row],[Sunrise Time (POA&gt;20 W/m2)]])*24,"")</f>
        <v>12.450000000000001</v>
      </c>
      <c r="L158" s="166" t="s">
        <v>472</v>
      </c>
      <c r="M158" s="180">
        <f>IFERROR(VLOOKUP(PA[[#This Row],[Affceted Equipment]],'Basic Data'!$A$2:$B$125,2,0),"")</f>
        <v>6.4</v>
      </c>
      <c r="N158" s="181">
        <f>IFERROR(VLOOKUP(PA[[#This Row],[Affceted Equipment]],'Basic Data'!$A$1:$C$128,3,0),"")</f>
        <v>2.6359143327841849E-4</v>
      </c>
      <c r="O158" s="166" t="s">
        <v>811</v>
      </c>
      <c r="P158" s="149" t="s">
        <v>755</v>
      </c>
      <c r="Q158" s="149" t="s">
        <v>733</v>
      </c>
      <c r="R158" s="149" t="s">
        <v>881</v>
      </c>
      <c r="S158" s="187">
        <v>0.53472222222222221</v>
      </c>
      <c r="T158" s="187">
        <v>0.53472222222222221</v>
      </c>
      <c r="U158" s="187">
        <v>0.53472222222222221</v>
      </c>
      <c r="V158" s="187">
        <v>0.70833333333333337</v>
      </c>
      <c r="W158" s="182">
        <f>IF(PA[[#This Row],[Acknowledgemnet Time ]]="NA","",(PA[[#This Row],[Acknowledgemnet Time ]]-PA[[#This Row],[Fault Time]])*24)</f>
        <v>0</v>
      </c>
      <c r="X158" s="182">
        <f>IF(PA[[#This Row],[Work Start time on Fault]]="NA","",(PA[[#This Row],[Work Start time on Fault]]-PA[[#This Row],[Fault Time]])*24)</f>
        <v>0</v>
      </c>
      <c r="Y158" s="153">
        <f>(PA[[#This Row],[Work Completiuon time on fualt]]-PA[[#This Row],[Fault Time]])*24</f>
        <v>4.1666666666666679</v>
      </c>
      <c r="Z158" s="153">
        <f>IFERROR((PA[[#This Row],[Work Completiuon time on fualt]]-PA[[#This Row],[Fault Time]])*24,"")</f>
        <v>4.1666666666666679</v>
      </c>
      <c r="AA158" s="307" t="s">
        <v>875</v>
      </c>
      <c r="AB158" s="149" t="s">
        <v>763</v>
      </c>
      <c r="AC158" s="152">
        <f>IFERROR(PA[[#This Row],[Breakdown Time]]*PA[[#This Row],[Plant Equivalent Weightage]],)</f>
        <v>1.0982976386600773E-3</v>
      </c>
      <c r="AD158" s="153">
        <v>2.4500000000000002</v>
      </c>
      <c r="AE158" s="163">
        <f>IFERROR(_xlfn.XLOOKUP(PA[[#This Row],[Month Year]],'Modelling New'!$D:$D,'Modelling New'!$O:$O)*M158*PA[[#This Row],[Lost PoA(kWh/m2)]],"")</f>
        <v>11.344016468854347</v>
      </c>
      <c r="AF158" s="150"/>
      <c r="AG158" s="150"/>
      <c r="AH158" s="150"/>
    </row>
    <row r="159" spans="1:34" x14ac:dyDescent="0.35">
      <c r="A159" s="147">
        <f t="shared" si="3"/>
        <v>156</v>
      </c>
      <c r="B159" s="183">
        <v>45854</v>
      </c>
      <c r="C159" s="180">
        <f>YEAR(PA[[#This Row],[Date]])+IF(MONTH(PA[[#This Row],[Date]])&gt;=4,1,0)</f>
        <v>2026</v>
      </c>
      <c r="D159" s="155">
        <f>YEAR(PA[[#This Row],[Date]])</f>
        <v>2025</v>
      </c>
      <c r="E159" s="149" t="s">
        <v>4</v>
      </c>
      <c r="F159" s="149" t="s">
        <v>4</v>
      </c>
      <c r="G159" s="310">
        <f>PA[[#This Row],[Date]]-DAY(PA[[#This Row],[Date]])+1</f>
        <v>45839</v>
      </c>
      <c r="H159" s="155">
        <f>DAY(EOMONTH(PA[[#This Row],[Month Year]],0))</f>
        <v>31</v>
      </c>
      <c r="I159" s="151">
        <f>_xlfn.XLOOKUP(PA[[#This Row],[Date]],RD[Date],RD[Sunrise Time (POA&gt;20 W/m2)],0)</f>
        <v>0.26597222222222222</v>
      </c>
      <c r="J159" s="151">
        <f>_xlfn.XLOOKUP(PA[[#This Row],[Date]],RD[Date],RD[Sunset Time (POA&lt;20 W/m2)],0)</f>
        <v>0.78125</v>
      </c>
      <c r="K159" s="152">
        <f>IFERROR((PA[[#This Row],[Sunset Time (POA&lt;20 W/m2)]]-PA[[#This Row],[Sunrise Time (POA&gt;20 W/m2)]])*24,"")</f>
        <v>12.366666666666665</v>
      </c>
      <c r="L159" s="166" t="s">
        <v>229</v>
      </c>
      <c r="M159" s="180">
        <f>IFERROR(VLOOKUP(PA[[#This Row],[Affceted Equipment]],'Basic Data'!$A$2:$B$125,2,0),"")</f>
        <v>1222</v>
      </c>
      <c r="N159" s="181">
        <f>IFERROR(VLOOKUP(PA[[#This Row],[Affceted Equipment]],'Basic Data'!$A$1:$C$128,3,0),"")</f>
        <v>5.0329489291598022E-2</v>
      </c>
      <c r="O159" s="166" t="s">
        <v>229</v>
      </c>
      <c r="P159" s="149" t="s">
        <v>755</v>
      </c>
      <c r="Q159" s="149" t="s">
        <v>733</v>
      </c>
      <c r="R159" s="149" t="s">
        <v>807</v>
      </c>
      <c r="S159" s="188">
        <v>0.40972222222222221</v>
      </c>
      <c r="T159" s="187">
        <v>0.41666666666666669</v>
      </c>
      <c r="U159" s="187">
        <v>0.41666666666666669</v>
      </c>
      <c r="V159" s="187">
        <v>0.43055555555555558</v>
      </c>
      <c r="W159" s="182">
        <f>IF(PA[[#This Row],[Acknowledgemnet Time ]]="NA","",(PA[[#This Row],[Acknowledgemnet Time ]]-PA[[#This Row],[Fault Time]])*24)</f>
        <v>0.16666666666666741</v>
      </c>
      <c r="X159" s="182">
        <f>IF(PA[[#This Row],[Work Start time on Fault]]="NA","",(PA[[#This Row],[Work Start time on Fault]]-PA[[#This Row],[Fault Time]])*24)</f>
        <v>0.16666666666666741</v>
      </c>
      <c r="Y159" s="153">
        <f>(PA[[#This Row],[Work Completiuon time on fualt]]-PA[[#This Row],[Fault Time]])*24</f>
        <v>0.50000000000000089</v>
      </c>
      <c r="Z159" s="153">
        <f>IFERROR((PA[[#This Row],[Work Completiuon time on fualt]]-PA[[#This Row],[Fault Time]])*24,"")</f>
        <v>0.50000000000000089</v>
      </c>
      <c r="AA159" s="312" t="s">
        <v>863</v>
      </c>
      <c r="AB159" s="149" t="s">
        <v>763</v>
      </c>
      <c r="AC159" s="152">
        <f>IFERROR(PA[[#This Row],[Breakdown Time]]*PA[[#This Row],[Plant Equivalent Weightage]],)</f>
        <v>2.5164744645799056E-2</v>
      </c>
      <c r="AD159" s="153">
        <v>0.13</v>
      </c>
      <c r="AE159" s="163">
        <f>IFERROR(_xlfn.XLOOKUP(PA[[#This Row],[Month Year]],'Modelling New'!$D:$D,'Modelling New'!$O:$O)*M159*PA[[#This Row],[Lost PoA(kWh/m2)]],"")</f>
        <v>114.93051379095674</v>
      </c>
      <c r="AF159" s="150"/>
      <c r="AG159" s="150"/>
      <c r="AH159" s="150"/>
    </row>
    <row r="160" spans="1:34" x14ac:dyDescent="0.35">
      <c r="A160" s="147">
        <f t="shared" si="3"/>
        <v>157</v>
      </c>
      <c r="B160" s="183">
        <v>45854</v>
      </c>
      <c r="C160" s="180">
        <f>YEAR(PA[[#This Row],[Date]])+IF(MONTH(PA[[#This Row],[Date]])&gt;=4,1,0)</f>
        <v>2026</v>
      </c>
      <c r="D160" s="155">
        <f>YEAR(PA[[#This Row],[Date]])</f>
        <v>2025</v>
      </c>
      <c r="E160" s="149" t="s">
        <v>4</v>
      </c>
      <c r="F160" s="149" t="s">
        <v>4</v>
      </c>
      <c r="G160" s="310">
        <f>PA[[#This Row],[Date]]-DAY(PA[[#This Row],[Date]])+1</f>
        <v>45839</v>
      </c>
      <c r="H160" s="155">
        <f>DAY(EOMONTH(PA[[#This Row],[Month Year]],0))</f>
        <v>31</v>
      </c>
      <c r="I160" s="151">
        <f>_xlfn.XLOOKUP(PA[[#This Row],[Date]],RD[Date],RD[Sunrise Time (POA&gt;20 W/m2)],0)</f>
        <v>0.26597222222222222</v>
      </c>
      <c r="J160" s="151">
        <f>_xlfn.XLOOKUP(PA[[#This Row],[Date]],RD[Date],RD[Sunset Time (POA&lt;20 W/m2)],0)</f>
        <v>0.78125</v>
      </c>
      <c r="K160" s="152">
        <f>IFERROR((PA[[#This Row],[Sunset Time (POA&lt;20 W/m2)]]-PA[[#This Row],[Sunrise Time (POA&gt;20 W/m2)]])*24,"")</f>
        <v>12.366666666666665</v>
      </c>
      <c r="L160" s="149" t="s">
        <v>214</v>
      </c>
      <c r="M160" s="180">
        <f>IFERROR(VLOOKUP(PA[[#This Row],[Affceted Equipment]],'Basic Data'!$A$2:$B$125,2,0),"")</f>
        <v>1228.5</v>
      </c>
      <c r="N160" s="181">
        <f>IFERROR(VLOOKUP(PA[[#This Row],[Affceted Equipment]],'Basic Data'!$A$1:$C$128,3,0),"")</f>
        <v>5.0597199341021415E-2</v>
      </c>
      <c r="O160" s="166" t="s">
        <v>214</v>
      </c>
      <c r="P160" s="217" t="s">
        <v>739</v>
      </c>
      <c r="Q160" s="217" t="s">
        <v>740</v>
      </c>
      <c r="R160" s="149" t="s">
        <v>741</v>
      </c>
      <c r="S160" s="187">
        <v>0.45833333333333331</v>
      </c>
      <c r="T160" s="187">
        <v>0.45833333333333331</v>
      </c>
      <c r="U160" s="187">
        <v>0.45833333333333331</v>
      </c>
      <c r="V160" s="187">
        <v>0.52083333333333337</v>
      </c>
      <c r="W160" s="182">
        <f>IF(PA[[#This Row],[Acknowledgemnet Time ]]="NA","",(PA[[#This Row],[Acknowledgemnet Time ]]-PA[[#This Row],[Fault Time]])*24)</f>
        <v>0</v>
      </c>
      <c r="X160" s="182">
        <f>IF(PA[[#This Row],[Work Start time on Fault]]="NA","",(PA[[#This Row],[Work Start time on Fault]]-PA[[#This Row],[Fault Time]])*24)</f>
        <v>0</v>
      </c>
      <c r="Y160" s="153">
        <f>(PA[[#This Row],[Work Completiuon time on fualt]]-PA[[#This Row],[Fault Time]])*24</f>
        <v>1.5000000000000013</v>
      </c>
      <c r="Z160" s="153">
        <f>IFERROR((PA[[#This Row],[Work Completiuon time on fualt]]-PA[[#This Row],[Fault Time]])*24,"")</f>
        <v>1.5000000000000013</v>
      </c>
      <c r="AA160" s="312" t="s">
        <v>742</v>
      </c>
      <c r="AB160" s="149" t="s">
        <v>763</v>
      </c>
      <c r="AC160" s="152">
        <f>IFERROR(PA[[#This Row],[Breakdown Time]]*PA[[#This Row],[Plant Equivalent Weightage]],)</f>
        <v>7.5895799011532192E-2</v>
      </c>
      <c r="AD160" s="153">
        <v>0.78900000000000003</v>
      </c>
      <c r="AE160" s="163">
        <f>IFERROR(_xlfn.XLOOKUP(PA[[#This Row],[Month Year]],'Modelling New'!$D:$D,'Modelling New'!$O:$O)*M160*PA[[#This Row],[Lost PoA(kWh/m2)]],"")</f>
        <v>701.25012876519054</v>
      </c>
      <c r="AF160" s="150"/>
      <c r="AG160" s="150"/>
      <c r="AH160" s="150"/>
    </row>
    <row r="161" spans="1:34" x14ac:dyDescent="0.35">
      <c r="A161" s="147">
        <f t="shared" si="3"/>
        <v>158</v>
      </c>
      <c r="B161" s="183">
        <v>45855</v>
      </c>
      <c r="C161" s="180">
        <f>YEAR(PA[[#This Row],[Date]])+IF(MONTH(PA[[#This Row],[Date]])&gt;=4,1,0)</f>
        <v>2026</v>
      </c>
      <c r="D161" s="155">
        <f>YEAR(PA[[#This Row],[Date]])</f>
        <v>2025</v>
      </c>
      <c r="E161" s="149" t="s">
        <v>4</v>
      </c>
      <c r="F161" s="149" t="s">
        <v>4</v>
      </c>
      <c r="G161" s="310">
        <f>PA[[#This Row],[Date]]-DAY(PA[[#This Row],[Date]])+1</f>
        <v>45839</v>
      </c>
      <c r="H161" s="155">
        <f>DAY(EOMONTH(PA[[#This Row],[Month Year]],0))</f>
        <v>31</v>
      </c>
      <c r="I161" s="151">
        <f>_xlfn.XLOOKUP(PA[[#This Row],[Date]],RD[Date],RD[Sunrise Time (POA&gt;20 W/m2)],0)</f>
        <v>0.30833333333333335</v>
      </c>
      <c r="J161" s="151">
        <f>_xlfn.XLOOKUP(PA[[#This Row],[Date]],RD[Date],RD[Sunset Time (POA&lt;20 W/m2)],0)</f>
        <v>0.77777777777777779</v>
      </c>
      <c r="K161" s="152">
        <f>IFERROR((PA[[#This Row],[Sunset Time (POA&lt;20 W/m2)]]-PA[[#This Row],[Sunrise Time (POA&gt;20 W/m2)]])*24,"")</f>
        <v>11.266666666666666</v>
      </c>
      <c r="L161" s="166" t="s">
        <v>194</v>
      </c>
      <c r="M161" s="180">
        <f>IFERROR(VLOOKUP(PA[[#This Row],[Affceted Equipment]],'Basic Data'!$A$2:$B$125,2,0),"")</f>
        <v>1075.2</v>
      </c>
      <c r="N161" s="181">
        <f>IFERROR(VLOOKUP(PA[[#This Row],[Affceted Equipment]],'Basic Data'!$A$1:$C$128,3,0),"")</f>
        <v>4.4283360790774301E-2</v>
      </c>
      <c r="O161" s="166" t="s">
        <v>194</v>
      </c>
      <c r="P161" s="149" t="s">
        <v>755</v>
      </c>
      <c r="Q161" s="149" t="s">
        <v>733</v>
      </c>
      <c r="R161" s="149" t="s">
        <v>756</v>
      </c>
      <c r="S161" s="187">
        <v>0.4236111111111111</v>
      </c>
      <c r="T161" s="187">
        <v>0.4236111111111111</v>
      </c>
      <c r="U161" s="187">
        <v>0.4236111111111111</v>
      </c>
      <c r="V161" s="187">
        <v>0.46319444444444446</v>
      </c>
      <c r="W161" s="182">
        <f>IF(PA[[#This Row],[Acknowledgemnet Time ]]="NA","",(PA[[#This Row],[Acknowledgemnet Time ]]-PA[[#This Row],[Fault Time]])*24)</f>
        <v>0</v>
      </c>
      <c r="X161" s="182">
        <f>IF(PA[[#This Row],[Work Start time on Fault]]="NA","",(PA[[#This Row],[Work Start time on Fault]]-PA[[#This Row],[Fault Time]])*24)</f>
        <v>0</v>
      </c>
      <c r="Y161" s="153">
        <f>(PA[[#This Row],[Work Completiuon time on fualt]]-PA[[#This Row],[Fault Time]])*24</f>
        <v>0.95000000000000062</v>
      </c>
      <c r="Z161" s="153">
        <f>IFERROR((PA[[#This Row],[Work Completiuon time on fualt]]-PA[[#This Row],[Fault Time]])*24,"")</f>
        <v>0.95000000000000062</v>
      </c>
      <c r="AA161" s="312" t="s">
        <v>863</v>
      </c>
      <c r="AB161" s="149" t="s">
        <v>763</v>
      </c>
      <c r="AC161" s="152">
        <f>IFERROR(PA[[#This Row],[Breakdown Time]]*PA[[#This Row],[Plant Equivalent Weightage]],)</f>
        <v>4.2069192751235614E-2</v>
      </c>
      <c r="AD161" s="153">
        <v>0.27</v>
      </c>
      <c r="AE161" s="163">
        <f>IFERROR(_xlfn.XLOOKUP(PA[[#This Row],[Month Year]],'Modelling New'!$D:$D,'Modelling New'!$O:$O)*M161*PA[[#This Row],[Lost PoA(kWh/m2)]],"")</f>
        <v>210.02636205193193</v>
      </c>
      <c r="AF161" s="150"/>
      <c r="AG161" s="150"/>
      <c r="AH161" s="150"/>
    </row>
    <row r="162" spans="1:34" x14ac:dyDescent="0.35">
      <c r="A162" s="147">
        <f t="shared" si="3"/>
        <v>159</v>
      </c>
      <c r="B162" s="183">
        <v>45855</v>
      </c>
      <c r="C162" s="180">
        <f>YEAR(PA[[#This Row],[Date]])+IF(MONTH(PA[[#This Row],[Date]])&gt;=4,1,0)</f>
        <v>2026</v>
      </c>
      <c r="D162" s="155">
        <f>YEAR(PA[[#This Row],[Date]])</f>
        <v>2025</v>
      </c>
      <c r="E162" s="149" t="s">
        <v>4</v>
      </c>
      <c r="F162" s="149" t="s">
        <v>4</v>
      </c>
      <c r="G162" s="310">
        <f>PA[[#This Row],[Date]]-DAY(PA[[#This Row],[Date]])+1</f>
        <v>45839</v>
      </c>
      <c r="H162" s="155">
        <f>DAY(EOMONTH(PA[[#This Row],[Month Year]],0))</f>
        <v>31</v>
      </c>
      <c r="I162" s="151">
        <f>_xlfn.XLOOKUP(PA[[#This Row],[Date]],RD[Date],RD[Sunrise Time (POA&gt;20 W/m2)],0)</f>
        <v>0.30833333333333335</v>
      </c>
      <c r="J162" s="151">
        <f>_xlfn.XLOOKUP(PA[[#This Row],[Date]],RD[Date],RD[Sunset Time (POA&lt;20 W/m2)],0)</f>
        <v>0.77777777777777779</v>
      </c>
      <c r="K162" s="152">
        <f>IFERROR((PA[[#This Row],[Sunset Time (POA&lt;20 W/m2)]]-PA[[#This Row],[Sunrise Time (POA&gt;20 W/m2)]])*24,"")</f>
        <v>11.266666666666666</v>
      </c>
      <c r="L162" s="166" t="s">
        <v>200</v>
      </c>
      <c r="M162" s="180">
        <f>IFERROR(VLOOKUP(PA[[#This Row],[Affceted Equipment]],'Basic Data'!$A$2:$B$125,2,0),"")</f>
        <v>1228.8</v>
      </c>
      <c r="N162" s="181">
        <f>IFERROR(VLOOKUP(PA[[#This Row],[Affceted Equipment]],'Basic Data'!$A$1:$C$128,3,0),"")</f>
        <v>5.060955518945634E-2</v>
      </c>
      <c r="O162" s="166" t="s">
        <v>200</v>
      </c>
      <c r="P162" s="149" t="s">
        <v>755</v>
      </c>
      <c r="Q162" s="149" t="s">
        <v>733</v>
      </c>
      <c r="R162" s="149" t="s">
        <v>882</v>
      </c>
      <c r="S162" s="187">
        <v>0.46319444444444446</v>
      </c>
      <c r="T162" s="187">
        <v>0.46458333333333335</v>
      </c>
      <c r="U162" s="187">
        <v>0.46458333333333335</v>
      </c>
      <c r="V162" s="187">
        <v>0.5625</v>
      </c>
      <c r="W162" s="182">
        <f>IF(PA[[#This Row],[Acknowledgemnet Time ]]="NA","",(PA[[#This Row],[Acknowledgemnet Time ]]-PA[[#This Row],[Fault Time]])*24)</f>
        <v>3.3333333333333215E-2</v>
      </c>
      <c r="X162" s="182">
        <f>IF(PA[[#This Row],[Work Start time on Fault]]="NA","",(PA[[#This Row],[Work Start time on Fault]]-PA[[#This Row],[Fault Time]])*24)</f>
        <v>3.3333333333333215E-2</v>
      </c>
      <c r="Y162" s="153">
        <f>(PA[[#This Row],[Work Completiuon time on fualt]]-PA[[#This Row],[Fault Time]])*24</f>
        <v>2.3833333333333329</v>
      </c>
      <c r="Z162" s="153">
        <f>IFERROR((PA[[#This Row],[Work Completiuon time on fualt]]-PA[[#This Row],[Fault Time]])*24,"")</f>
        <v>2.3833333333333329</v>
      </c>
      <c r="AA162" s="312" t="s">
        <v>863</v>
      </c>
      <c r="AB162" s="149" t="s">
        <v>763</v>
      </c>
      <c r="AC162" s="152">
        <f>IFERROR(PA[[#This Row],[Breakdown Time]]*PA[[#This Row],[Plant Equivalent Weightage]],)</f>
        <v>0.12061943986820425</v>
      </c>
      <c r="AD162" s="153">
        <v>0.76500000000000001</v>
      </c>
      <c r="AE162" s="163">
        <f>IFERROR(_xlfn.XLOOKUP(PA[[#This Row],[Month Year]],'Modelling New'!$D:$D,'Modelling New'!$O:$O)*M162*PA[[#This Row],[Lost PoA(kWh/m2)]],"")</f>
        <v>680.08536283482715</v>
      </c>
      <c r="AF162" s="150"/>
      <c r="AG162" s="150"/>
      <c r="AH162" s="150"/>
    </row>
    <row r="163" spans="1:34" x14ac:dyDescent="0.35">
      <c r="A163" s="147">
        <f t="shared" si="3"/>
        <v>160</v>
      </c>
      <c r="B163" s="183">
        <v>45855</v>
      </c>
      <c r="C163" s="180">
        <f>YEAR(PA[[#This Row],[Date]])+IF(MONTH(PA[[#This Row],[Date]])&gt;=4,1,0)</f>
        <v>2026</v>
      </c>
      <c r="D163" s="155">
        <f>YEAR(PA[[#This Row],[Date]])</f>
        <v>2025</v>
      </c>
      <c r="E163" s="149" t="s">
        <v>4</v>
      </c>
      <c r="F163" s="149" t="s">
        <v>4</v>
      </c>
      <c r="G163" s="310">
        <f>PA[[#This Row],[Date]]-DAY(PA[[#This Row],[Date]])+1</f>
        <v>45839</v>
      </c>
      <c r="H163" s="155">
        <f>DAY(EOMONTH(PA[[#This Row],[Month Year]],0))</f>
        <v>31</v>
      </c>
      <c r="I163" s="151">
        <f>_xlfn.XLOOKUP(PA[[#This Row],[Date]],RD[Date],RD[Sunrise Time (POA&gt;20 W/m2)],0)</f>
        <v>0.30833333333333335</v>
      </c>
      <c r="J163" s="151">
        <f>_xlfn.XLOOKUP(PA[[#This Row],[Date]],RD[Date],RD[Sunset Time (POA&lt;20 W/m2)],0)</f>
        <v>0.77777777777777779</v>
      </c>
      <c r="K163" s="152">
        <f>IFERROR((PA[[#This Row],[Sunset Time (POA&lt;20 W/m2)]]-PA[[#This Row],[Sunrise Time (POA&gt;20 W/m2)]])*24,"")</f>
        <v>11.266666666666666</v>
      </c>
      <c r="L163" s="166" t="s">
        <v>229</v>
      </c>
      <c r="M163" s="180">
        <f>IFERROR(VLOOKUP(PA[[#This Row],[Affceted Equipment]],'Basic Data'!$A$2:$B$125,2,0),"")</f>
        <v>1222</v>
      </c>
      <c r="N163" s="181">
        <f>IFERROR(VLOOKUP(PA[[#This Row],[Affceted Equipment]],'Basic Data'!$A$1:$C$128,3,0),"")</f>
        <v>5.0329489291598022E-2</v>
      </c>
      <c r="O163" s="166" t="s">
        <v>229</v>
      </c>
      <c r="P163" s="149" t="s">
        <v>755</v>
      </c>
      <c r="Q163" s="149" t="s">
        <v>733</v>
      </c>
      <c r="R163" s="149" t="s">
        <v>807</v>
      </c>
      <c r="S163" s="187">
        <v>0.43055555555555558</v>
      </c>
      <c r="T163" s="187">
        <v>0.43055555555555558</v>
      </c>
      <c r="U163" s="187">
        <v>0.43055555555555558</v>
      </c>
      <c r="V163" s="187">
        <v>0.56944444444444442</v>
      </c>
      <c r="W163" s="182">
        <f>IF(PA[[#This Row],[Acknowledgemnet Time ]]="NA","",(PA[[#This Row],[Acknowledgemnet Time ]]-PA[[#This Row],[Fault Time]])*24)</f>
        <v>0</v>
      </c>
      <c r="X163" s="182">
        <f>IF(PA[[#This Row],[Work Start time on Fault]]="NA","",(PA[[#This Row],[Work Start time on Fault]]-PA[[#This Row],[Fault Time]])*24)</f>
        <v>0</v>
      </c>
      <c r="Y163" s="153">
        <f>(PA[[#This Row],[Work Completiuon time on fualt]]-PA[[#This Row],[Fault Time]])*24</f>
        <v>3.3333333333333321</v>
      </c>
      <c r="Z163" s="153">
        <f>IFERROR((PA[[#This Row],[Work Completiuon time on fualt]]-PA[[#This Row],[Fault Time]])*24,"")</f>
        <v>3.3333333333333321</v>
      </c>
      <c r="AA163" s="312" t="s">
        <v>863</v>
      </c>
      <c r="AB163" s="149" t="s">
        <v>763</v>
      </c>
      <c r="AC163" s="152">
        <f>IFERROR(PA[[#This Row],[Breakdown Time]]*PA[[#This Row],[Plant Equivalent Weightage]],)</f>
        <v>0.16776496430532667</v>
      </c>
      <c r="AD163" s="153">
        <v>0.40100000000000002</v>
      </c>
      <c r="AE163" s="163">
        <f>IFERROR(_xlfn.XLOOKUP(PA[[#This Row],[Month Year]],'Modelling New'!$D:$D,'Modelling New'!$O:$O)*M163*PA[[#This Row],[Lost PoA(kWh/m2)]],"")</f>
        <v>354.51643100133577</v>
      </c>
      <c r="AF163" s="150"/>
      <c r="AG163" s="150"/>
      <c r="AH163" s="150"/>
    </row>
    <row r="164" spans="1:34" x14ac:dyDescent="0.35">
      <c r="A164" s="147">
        <f t="shared" si="3"/>
        <v>161</v>
      </c>
      <c r="B164" s="183">
        <v>45855</v>
      </c>
      <c r="C164" s="180">
        <f>YEAR(PA[[#This Row],[Date]])+IF(MONTH(PA[[#This Row],[Date]])&gt;=4,1,0)</f>
        <v>2026</v>
      </c>
      <c r="D164" s="155">
        <f>YEAR(PA[[#This Row],[Date]])</f>
        <v>2025</v>
      </c>
      <c r="E164" s="149" t="s">
        <v>4</v>
      </c>
      <c r="F164" s="149" t="s">
        <v>4</v>
      </c>
      <c r="G164" s="310">
        <f>PA[[#This Row],[Date]]-DAY(PA[[#This Row],[Date]])+1</f>
        <v>45839</v>
      </c>
      <c r="H164" s="155">
        <f>DAY(EOMONTH(PA[[#This Row],[Month Year]],0))</f>
        <v>31</v>
      </c>
      <c r="I164" s="151">
        <f>_xlfn.XLOOKUP(PA[[#This Row],[Date]],RD[Date],RD[Sunrise Time (POA&gt;20 W/m2)],0)</f>
        <v>0.30833333333333335</v>
      </c>
      <c r="J164" s="151">
        <f>_xlfn.XLOOKUP(PA[[#This Row],[Date]],RD[Date],RD[Sunset Time (POA&lt;20 W/m2)],0)</f>
        <v>0.77777777777777779</v>
      </c>
      <c r="K164" s="152">
        <f>IFERROR((PA[[#This Row],[Sunset Time (POA&lt;20 W/m2)]]-PA[[#This Row],[Sunrise Time (POA&gt;20 W/m2)]])*24,"")</f>
        <v>11.266666666666666</v>
      </c>
      <c r="L164" s="166" t="s">
        <v>472</v>
      </c>
      <c r="M164" s="180">
        <f>IFERROR(VLOOKUP(PA[[#This Row],[Affceted Equipment]],'Basic Data'!$A$2:$B$125,2,0),"")</f>
        <v>6.4</v>
      </c>
      <c r="N164" s="181">
        <f>IFERROR(VLOOKUP(PA[[#This Row],[Affceted Equipment]],'Basic Data'!$A$1:$C$128,3,0),"")</f>
        <v>2.6359143327841849E-4</v>
      </c>
      <c r="O164" s="166" t="s">
        <v>883</v>
      </c>
      <c r="P164" s="149" t="s">
        <v>755</v>
      </c>
      <c r="Q164" s="149" t="s">
        <v>733</v>
      </c>
      <c r="R164" s="149" t="s">
        <v>884</v>
      </c>
      <c r="S164" s="187">
        <v>0.5</v>
      </c>
      <c r="T164" s="187">
        <v>0.5</v>
      </c>
      <c r="U164" s="187">
        <v>0.5</v>
      </c>
      <c r="V164" s="187">
        <v>0.70833333333333337</v>
      </c>
      <c r="W164" s="182">
        <f>IF(PA[[#This Row],[Acknowledgemnet Time ]]="NA","",(PA[[#This Row],[Acknowledgemnet Time ]]-PA[[#This Row],[Fault Time]])*24)</f>
        <v>0</v>
      </c>
      <c r="X164" s="182">
        <f>IF(PA[[#This Row],[Work Start time on Fault]]="NA","",(PA[[#This Row],[Work Start time on Fault]]-PA[[#This Row],[Fault Time]])*24)</f>
        <v>0</v>
      </c>
      <c r="Y164" s="153">
        <f>(PA[[#This Row],[Work Completiuon time on fualt]]-PA[[#This Row],[Fault Time]])*24</f>
        <v>5.0000000000000009</v>
      </c>
      <c r="Z164" s="153">
        <f>IFERROR((PA[[#This Row],[Work Completiuon time on fualt]]-PA[[#This Row],[Fault Time]])*24,"")</f>
        <v>5.0000000000000009</v>
      </c>
      <c r="AA164" s="307" t="s">
        <v>875</v>
      </c>
      <c r="AB164" s="149" t="s">
        <v>763</v>
      </c>
      <c r="AC164" s="152">
        <f>IFERROR(PA[[#This Row],[Breakdown Time]]*PA[[#This Row],[Plant Equivalent Weightage]],)</f>
        <v>1.3179571663920926E-3</v>
      </c>
      <c r="AD164" s="153">
        <v>2.0099999999999998</v>
      </c>
      <c r="AE164" s="163">
        <f>IFERROR(_xlfn.XLOOKUP(PA[[#This Row],[Month Year]],'Modelling New'!$D:$D,'Modelling New'!$O:$O)*M164*PA[[#This Row],[Lost PoA(kWh/m2)]],"")</f>
        <v>9.3067237152641766</v>
      </c>
      <c r="AF164" s="150"/>
      <c r="AG164" s="150"/>
      <c r="AH164" s="150"/>
    </row>
    <row r="165" spans="1:34" x14ac:dyDescent="0.35">
      <c r="A165" s="147">
        <f t="shared" si="3"/>
        <v>162</v>
      </c>
      <c r="B165" s="183">
        <v>45855</v>
      </c>
      <c r="C165" s="180">
        <f>YEAR(PA[[#This Row],[Date]])+IF(MONTH(PA[[#This Row],[Date]])&gt;=4,1,0)</f>
        <v>2026</v>
      </c>
      <c r="D165" s="155">
        <f>YEAR(PA[[#This Row],[Date]])</f>
        <v>2025</v>
      </c>
      <c r="E165" s="149" t="s">
        <v>4</v>
      </c>
      <c r="F165" s="149" t="s">
        <v>4</v>
      </c>
      <c r="G165" s="310">
        <f>PA[[#This Row],[Date]]-DAY(PA[[#This Row],[Date]])+1</f>
        <v>45839</v>
      </c>
      <c r="H165" s="155">
        <f>DAY(EOMONTH(PA[[#This Row],[Month Year]],0))</f>
        <v>31</v>
      </c>
      <c r="I165" s="151">
        <f>_xlfn.XLOOKUP(PA[[#This Row],[Date]],RD[Date],RD[Sunrise Time (POA&gt;20 W/m2)],0)</f>
        <v>0.30833333333333335</v>
      </c>
      <c r="J165" s="151">
        <f>_xlfn.XLOOKUP(PA[[#This Row],[Date]],RD[Date],RD[Sunset Time (POA&lt;20 W/m2)],0)</f>
        <v>0.77777777777777779</v>
      </c>
      <c r="K165" s="152">
        <f>IFERROR((PA[[#This Row],[Sunset Time (POA&lt;20 W/m2)]]-PA[[#This Row],[Sunrise Time (POA&gt;20 W/m2)]])*24,"")</f>
        <v>11.266666666666666</v>
      </c>
      <c r="L165" s="166" t="s">
        <v>472</v>
      </c>
      <c r="M165" s="180">
        <f>IFERROR(VLOOKUP(PA[[#This Row],[Affceted Equipment]],'Basic Data'!$A$2:$B$125,2,0),"")</f>
        <v>6.4</v>
      </c>
      <c r="N165" s="181">
        <f>IFERROR(VLOOKUP(PA[[#This Row],[Affceted Equipment]],'Basic Data'!$A$1:$C$128,3,0),"")</f>
        <v>2.6359143327841849E-4</v>
      </c>
      <c r="O165" s="166" t="s">
        <v>883</v>
      </c>
      <c r="P165" s="149" t="s">
        <v>755</v>
      </c>
      <c r="Q165" s="149" t="s">
        <v>733</v>
      </c>
      <c r="R165" s="149" t="s">
        <v>885</v>
      </c>
      <c r="S165" s="187">
        <v>0.5</v>
      </c>
      <c r="T165" s="187">
        <v>0.5</v>
      </c>
      <c r="U165" s="187">
        <v>0.5</v>
      </c>
      <c r="V165" s="187">
        <v>0.70833333333333337</v>
      </c>
      <c r="W165" s="182">
        <f>IF(PA[[#This Row],[Acknowledgemnet Time ]]="NA","",(PA[[#This Row],[Acknowledgemnet Time ]]-PA[[#This Row],[Fault Time]])*24)</f>
        <v>0</v>
      </c>
      <c r="X165" s="182">
        <f>IF(PA[[#This Row],[Work Start time on Fault]]="NA","",(PA[[#This Row],[Work Start time on Fault]]-PA[[#This Row],[Fault Time]])*24)</f>
        <v>0</v>
      </c>
      <c r="Y165" s="153">
        <f>(PA[[#This Row],[Work Completiuon time on fualt]]-PA[[#This Row],[Fault Time]])*24</f>
        <v>5.0000000000000009</v>
      </c>
      <c r="Z165" s="153">
        <f>IFERROR((PA[[#This Row],[Work Completiuon time on fualt]]-PA[[#This Row],[Fault Time]])*24,"")</f>
        <v>5.0000000000000009</v>
      </c>
      <c r="AA165" s="307" t="s">
        <v>875</v>
      </c>
      <c r="AB165" s="149" t="s">
        <v>763</v>
      </c>
      <c r="AC165" s="152">
        <f>IFERROR(PA[[#This Row],[Breakdown Time]]*PA[[#This Row],[Plant Equivalent Weightage]],)</f>
        <v>1.3179571663920926E-3</v>
      </c>
      <c r="AD165" s="153">
        <v>2.0099999999999998</v>
      </c>
      <c r="AE165" s="163">
        <f>IFERROR(_xlfn.XLOOKUP(PA[[#This Row],[Month Year]],'Modelling New'!$D:$D,'Modelling New'!$O:$O)*M165*PA[[#This Row],[Lost PoA(kWh/m2)]],"")</f>
        <v>9.3067237152641766</v>
      </c>
      <c r="AF165" s="150"/>
      <c r="AG165" s="150"/>
      <c r="AH165" s="150"/>
    </row>
    <row r="166" spans="1:34" x14ac:dyDescent="0.35">
      <c r="A166" s="147">
        <f t="shared" si="3"/>
        <v>163</v>
      </c>
      <c r="B166" s="183">
        <v>45855</v>
      </c>
      <c r="C166" s="180">
        <f>YEAR(PA[[#This Row],[Date]])+IF(MONTH(PA[[#This Row],[Date]])&gt;=4,1,0)</f>
        <v>2026</v>
      </c>
      <c r="D166" s="155">
        <f>YEAR(PA[[#This Row],[Date]])</f>
        <v>2025</v>
      </c>
      <c r="E166" s="149" t="s">
        <v>4</v>
      </c>
      <c r="F166" s="149" t="s">
        <v>4</v>
      </c>
      <c r="G166" s="310">
        <f>PA[[#This Row],[Date]]-DAY(PA[[#This Row],[Date]])+1</f>
        <v>45839</v>
      </c>
      <c r="H166" s="155">
        <f>DAY(EOMONTH(PA[[#This Row],[Month Year]],0))</f>
        <v>31</v>
      </c>
      <c r="I166" s="151">
        <f>_xlfn.XLOOKUP(PA[[#This Row],[Date]],RD[Date],RD[Sunrise Time (POA&gt;20 W/m2)],0)</f>
        <v>0.30833333333333335</v>
      </c>
      <c r="J166" s="151">
        <f>_xlfn.XLOOKUP(PA[[#This Row],[Date]],RD[Date],RD[Sunset Time (POA&lt;20 W/m2)],0)</f>
        <v>0.77777777777777779</v>
      </c>
      <c r="K166" s="152">
        <f>IFERROR((PA[[#This Row],[Sunset Time (POA&lt;20 W/m2)]]-PA[[#This Row],[Sunrise Time (POA&gt;20 W/m2)]])*24,"")</f>
        <v>11.266666666666666</v>
      </c>
      <c r="L166" s="166" t="s">
        <v>472</v>
      </c>
      <c r="M166" s="180">
        <f>IFERROR(VLOOKUP(PA[[#This Row],[Affceted Equipment]],'Basic Data'!$A$2:$B$125,2,0),"")</f>
        <v>6.4</v>
      </c>
      <c r="N166" s="181">
        <f>IFERROR(VLOOKUP(PA[[#This Row],[Affceted Equipment]],'Basic Data'!$A$1:$C$128,3,0),"")</f>
        <v>2.6359143327841849E-4</v>
      </c>
      <c r="O166" s="166" t="s">
        <v>886</v>
      </c>
      <c r="P166" s="149" t="s">
        <v>755</v>
      </c>
      <c r="Q166" s="149" t="s">
        <v>733</v>
      </c>
      <c r="R166" s="149" t="s">
        <v>887</v>
      </c>
      <c r="S166" s="187">
        <v>0.5</v>
      </c>
      <c r="T166" s="187">
        <v>0.5</v>
      </c>
      <c r="U166" s="187">
        <v>0.5</v>
      </c>
      <c r="V166" s="187">
        <v>0.70833333333333337</v>
      </c>
      <c r="W166" s="182">
        <f>IF(PA[[#This Row],[Acknowledgemnet Time ]]="NA","",(PA[[#This Row],[Acknowledgemnet Time ]]-PA[[#This Row],[Fault Time]])*24)</f>
        <v>0</v>
      </c>
      <c r="X166" s="182">
        <f>IF(PA[[#This Row],[Work Start time on Fault]]="NA","",(PA[[#This Row],[Work Start time on Fault]]-PA[[#This Row],[Fault Time]])*24)</f>
        <v>0</v>
      </c>
      <c r="Y166" s="153">
        <f>(PA[[#This Row],[Work Completiuon time on fualt]]-PA[[#This Row],[Fault Time]])*24</f>
        <v>5.0000000000000009</v>
      </c>
      <c r="Z166" s="153">
        <f>IFERROR((PA[[#This Row],[Work Completiuon time on fualt]]-PA[[#This Row],[Fault Time]])*24,"")</f>
        <v>5.0000000000000009</v>
      </c>
      <c r="AA166" s="307" t="s">
        <v>875</v>
      </c>
      <c r="AB166" s="149" t="s">
        <v>763</v>
      </c>
      <c r="AC166" s="152">
        <f>IFERROR(PA[[#This Row],[Breakdown Time]]*PA[[#This Row],[Plant Equivalent Weightage]],)</f>
        <v>1.3179571663920926E-3</v>
      </c>
      <c r="AD166" s="153">
        <v>2.0099999999999998</v>
      </c>
      <c r="AE166" s="163">
        <f>IFERROR(_xlfn.XLOOKUP(PA[[#This Row],[Month Year]],'Modelling New'!$D:$D,'Modelling New'!$O:$O)*M166*PA[[#This Row],[Lost PoA(kWh/m2)]],"")</f>
        <v>9.3067237152641766</v>
      </c>
      <c r="AF166" s="150"/>
      <c r="AG166" s="150"/>
      <c r="AH166" s="150"/>
    </row>
    <row r="167" spans="1:34" x14ac:dyDescent="0.35">
      <c r="A167" s="147">
        <f t="shared" si="3"/>
        <v>164</v>
      </c>
      <c r="B167" s="183">
        <v>45855</v>
      </c>
      <c r="C167" s="180">
        <f>YEAR(PA[[#This Row],[Date]])+IF(MONTH(PA[[#This Row],[Date]])&gt;=4,1,0)</f>
        <v>2026</v>
      </c>
      <c r="D167" s="155">
        <f>YEAR(PA[[#This Row],[Date]])</f>
        <v>2025</v>
      </c>
      <c r="E167" s="149" t="s">
        <v>4</v>
      </c>
      <c r="F167" s="149" t="s">
        <v>4</v>
      </c>
      <c r="G167" s="310">
        <f>PA[[#This Row],[Date]]-DAY(PA[[#This Row],[Date]])+1</f>
        <v>45839</v>
      </c>
      <c r="H167" s="155">
        <f>DAY(EOMONTH(PA[[#This Row],[Month Year]],0))</f>
        <v>31</v>
      </c>
      <c r="I167" s="151">
        <f>_xlfn.XLOOKUP(PA[[#This Row],[Date]],RD[Date],RD[Sunrise Time (POA&gt;20 W/m2)],0)</f>
        <v>0.30833333333333335</v>
      </c>
      <c r="J167" s="151">
        <f>_xlfn.XLOOKUP(PA[[#This Row],[Date]],RD[Date],RD[Sunset Time (POA&lt;20 W/m2)],0)</f>
        <v>0.77777777777777779</v>
      </c>
      <c r="K167" s="152">
        <f>IFERROR((PA[[#This Row],[Sunset Time (POA&lt;20 W/m2)]]-PA[[#This Row],[Sunrise Time (POA&gt;20 W/m2)]])*24,"")</f>
        <v>11.266666666666666</v>
      </c>
      <c r="L167" s="166" t="s">
        <v>472</v>
      </c>
      <c r="M167" s="180">
        <f>IFERROR(VLOOKUP(PA[[#This Row],[Affceted Equipment]],'Basic Data'!$A$2:$B$125,2,0),"")</f>
        <v>6.4</v>
      </c>
      <c r="N167" s="181">
        <f>IFERROR(VLOOKUP(PA[[#This Row],[Affceted Equipment]],'Basic Data'!$A$1:$C$128,3,0),"")</f>
        <v>2.6359143327841849E-4</v>
      </c>
      <c r="O167" s="166" t="s">
        <v>886</v>
      </c>
      <c r="P167" s="149" t="s">
        <v>755</v>
      </c>
      <c r="Q167" s="149" t="s">
        <v>733</v>
      </c>
      <c r="R167" s="149" t="s">
        <v>888</v>
      </c>
      <c r="S167" s="187">
        <v>0.5</v>
      </c>
      <c r="T167" s="187">
        <v>0.5</v>
      </c>
      <c r="U167" s="187">
        <v>0.5</v>
      </c>
      <c r="V167" s="187">
        <v>0.70833333333333337</v>
      </c>
      <c r="W167" s="182">
        <f>IF(PA[[#This Row],[Acknowledgemnet Time ]]="NA","",(PA[[#This Row],[Acknowledgemnet Time ]]-PA[[#This Row],[Fault Time]])*24)</f>
        <v>0</v>
      </c>
      <c r="X167" s="182">
        <f>IF(PA[[#This Row],[Work Start time on Fault]]="NA","",(PA[[#This Row],[Work Start time on Fault]]-PA[[#This Row],[Fault Time]])*24)</f>
        <v>0</v>
      </c>
      <c r="Y167" s="153">
        <f>(PA[[#This Row],[Work Completiuon time on fualt]]-PA[[#This Row],[Fault Time]])*24</f>
        <v>5.0000000000000009</v>
      </c>
      <c r="Z167" s="153">
        <f>IFERROR((PA[[#This Row],[Work Completiuon time on fualt]]-PA[[#This Row],[Fault Time]])*24,"")</f>
        <v>5.0000000000000009</v>
      </c>
      <c r="AA167" s="312" t="s">
        <v>784</v>
      </c>
      <c r="AB167" s="149" t="s">
        <v>763</v>
      </c>
      <c r="AC167" s="152">
        <f>IFERROR(PA[[#This Row],[Breakdown Time]]*PA[[#This Row],[Plant Equivalent Weightage]],)</f>
        <v>1.3179571663920926E-3</v>
      </c>
      <c r="AD167" s="153">
        <v>2.0099999999999998</v>
      </c>
      <c r="AE167" s="163">
        <f>IFERROR(_xlfn.XLOOKUP(PA[[#This Row],[Month Year]],'Modelling New'!$D:$D,'Modelling New'!$O:$O)*M167*PA[[#This Row],[Lost PoA(kWh/m2)]],"")</f>
        <v>9.3067237152641766</v>
      </c>
      <c r="AF167" s="150"/>
      <c r="AG167" s="150"/>
      <c r="AH167" s="150"/>
    </row>
    <row r="168" spans="1:34" x14ac:dyDescent="0.35">
      <c r="A168" s="147">
        <f t="shared" si="3"/>
        <v>165</v>
      </c>
      <c r="B168" s="183">
        <v>45855</v>
      </c>
      <c r="C168" s="180">
        <f>YEAR(PA[[#This Row],[Date]])+IF(MONTH(PA[[#This Row],[Date]])&gt;=4,1,0)</f>
        <v>2026</v>
      </c>
      <c r="D168" s="155">
        <f>YEAR(PA[[#This Row],[Date]])</f>
        <v>2025</v>
      </c>
      <c r="E168" s="149" t="s">
        <v>4</v>
      </c>
      <c r="F168" s="149" t="s">
        <v>4</v>
      </c>
      <c r="G168" s="310">
        <f>PA[[#This Row],[Date]]-DAY(PA[[#This Row],[Date]])+1</f>
        <v>45839</v>
      </c>
      <c r="H168" s="155">
        <f>DAY(EOMONTH(PA[[#This Row],[Month Year]],0))</f>
        <v>31</v>
      </c>
      <c r="I168" s="151">
        <f>_xlfn.XLOOKUP(PA[[#This Row],[Date]],RD[Date],RD[Sunrise Time (POA&gt;20 W/m2)],0)</f>
        <v>0.30833333333333335</v>
      </c>
      <c r="J168" s="151">
        <f>_xlfn.XLOOKUP(PA[[#This Row],[Date]],RD[Date],RD[Sunset Time (POA&lt;20 W/m2)],0)</f>
        <v>0.77777777777777779</v>
      </c>
      <c r="K168" s="152">
        <f>IFERROR((PA[[#This Row],[Sunset Time (POA&lt;20 W/m2)]]-PA[[#This Row],[Sunrise Time (POA&gt;20 W/m2)]])*24,"")</f>
        <v>11.266666666666666</v>
      </c>
      <c r="L168" s="166" t="s">
        <v>472</v>
      </c>
      <c r="M168" s="180">
        <f>IFERROR(VLOOKUP(PA[[#This Row],[Affceted Equipment]],'Basic Data'!$A$2:$B$125,2,0),"")</f>
        <v>6.4</v>
      </c>
      <c r="N168" s="181">
        <f>IFERROR(VLOOKUP(PA[[#This Row],[Affceted Equipment]],'Basic Data'!$A$1:$C$128,3,0),"")</f>
        <v>2.6359143327841849E-4</v>
      </c>
      <c r="O168" s="166" t="s">
        <v>889</v>
      </c>
      <c r="P168" s="149" t="s">
        <v>755</v>
      </c>
      <c r="Q168" s="149" t="s">
        <v>733</v>
      </c>
      <c r="R168" s="149" t="s">
        <v>890</v>
      </c>
      <c r="S168" s="187">
        <v>0.5</v>
      </c>
      <c r="T168" s="187">
        <v>0.5</v>
      </c>
      <c r="U168" s="187">
        <v>0.5</v>
      </c>
      <c r="V168" s="187">
        <v>0.70833333333333337</v>
      </c>
      <c r="W168" s="182">
        <f>IF(PA[[#This Row],[Acknowledgemnet Time ]]="NA","",(PA[[#This Row],[Acknowledgemnet Time ]]-PA[[#This Row],[Fault Time]])*24)</f>
        <v>0</v>
      </c>
      <c r="X168" s="182">
        <f>IF(PA[[#This Row],[Work Start time on Fault]]="NA","",(PA[[#This Row],[Work Start time on Fault]]-PA[[#This Row],[Fault Time]])*24)</f>
        <v>0</v>
      </c>
      <c r="Y168" s="153">
        <f>(PA[[#This Row],[Work Completiuon time on fualt]]-PA[[#This Row],[Fault Time]])*24</f>
        <v>5.0000000000000009</v>
      </c>
      <c r="Z168" s="153">
        <f>IFERROR((PA[[#This Row],[Work Completiuon time on fualt]]-PA[[#This Row],[Fault Time]])*24,"")</f>
        <v>5.0000000000000009</v>
      </c>
      <c r="AA168" s="307" t="s">
        <v>875</v>
      </c>
      <c r="AB168" s="149" t="s">
        <v>763</v>
      </c>
      <c r="AC168" s="152">
        <f>IFERROR(PA[[#This Row],[Breakdown Time]]*PA[[#This Row],[Plant Equivalent Weightage]],)</f>
        <v>1.3179571663920926E-3</v>
      </c>
      <c r="AD168" s="153">
        <v>2.0099999999999998</v>
      </c>
      <c r="AE168" s="163">
        <f>IFERROR(_xlfn.XLOOKUP(PA[[#This Row],[Month Year]],'Modelling New'!$D:$D,'Modelling New'!$O:$O)*M168*PA[[#This Row],[Lost PoA(kWh/m2)]],"")</f>
        <v>9.3067237152641766</v>
      </c>
      <c r="AF168" s="150"/>
      <c r="AG168" s="150"/>
      <c r="AH168" s="150"/>
    </row>
    <row r="169" spans="1:34" x14ac:dyDescent="0.35">
      <c r="A169" s="147">
        <f t="shared" si="3"/>
        <v>166</v>
      </c>
      <c r="B169" s="183">
        <v>45855</v>
      </c>
      <c r="C169" s="180">
        <f>YEAR(PA[[#This Row],[Date]])+IF(MONTH(PA[[#This Row],[Date]])&gt;=4,1,0)</f>
        <v>2026</v>
      </c>
      <c r="D169" s="155">
        <f>YEAR(PA[[#This Row],[Date]])</f>
        <v>2025</v>
      </c>
      <c r="E169" s="149" t="s">
        <v>4</v>
      </c>
      <c r="F169" s="149" t="s">
        <v>4</v>
      </c>
      <c r="G169" s="310">
        <f>PA[[#This Row],[Date]]-DAY(PA[[#This Row],[Date]])+1</f>
        <v>45839</v>
      </c>
      <c r="H169" s="155">
        <f>DAY(EOMONTH(PA[[#This Row],[Month Year]],0))</f>
        <v>31</v>
      </c>
      <c r="I169" s="151">
        <f>_xlfn.XLOOKUP(PA[[#This Row],[Date]],RD[Date],RD[Sunrise Time (POA&gt;20 W/m2)],0)</f>
        <v>0.30833333333333335</v>
      </c>
      <c r="J169" s="151">
        <f>_xlfn.XLOOKUP(PA[[#This Row],[Date]],RD[Date],RD[Sunset Time (POA&lt;20 W/m2)],0)</f>
        <v>0.77777777777777779</v>
      </c>
      <c r="K169" s="152">
        <f>IFERROR((PA[[#This Row],[Sunset Time (POA&lt;20 W/m2)]]-PA[[#This Row],[Sunrise Time (POA&gt;20 W/m2)]])*24,"")</f>
        <v>11.266666666666666</v>
      </c>
      <c r="L169" s="166" t="s">
        <v>472</v>
      </c>
      <c r="M169" s="180">
        <f>IFERROR(VLOOKUP(PA[[#This Row],[Affceted Equipment]],'Basic Data'!$A$2:$B$125,2,0),"")</f>
        <v>6.4</v>
      </c>
      <c r="N169" s="181">
        <f>IFERROR(VLOOKUP(PA[[#This Row],[Affceted Equipment]],'Basic Data'!$A$1:$C$128,3,0),"")</f>
        <v>2.6359143327841849E-4</v>
      </c>
      <c r="O169" s="166" t="s">
        <v>891</v>
      </c>
      <c r="P169" s="149" t="s">
        <v>755</v>
      </c>
      <c r="Q169" s="149" t="s">
        <v>733</v>
      </c>
      <c r="R169" s="149" t="s">
        <v>892</v>
      </c>
      <c r="S169" s="187">
        <v>0.5</v>
      </c>
      <c r="T169" s="187">
        <v>0.5</v>
      </c>
      <c r="U169" s="187">
        <v>0.5</v>
      </c>
      <c r="V169" s="187">
        <v>0.70833333333333337</v>
      </c>
      <c r="W169" s="182">
        <f>IF(PA[[#This Row],[Acknowledgemnet Time ]]="NA","",(PA[[#This Row],[Acknowledgemnet Time ]]-PA[[#This Row],[Fault Time]])*24)</f>
        <v>0</v>
      </c>
      <c r="X169" s="182">
        <f>IF(PA[[#This Row],[Work Start time on Fault]]="NA","",(PA[[#This Row],[Work Start time on Fault]]-PA[[#This Row],[Fault Time]])*24)</f>
        <v>0</v>
      </c>
      <c r="Y169" s="153">
        <f>(PA[[#This Row],[Work Completiuon time on fualt]]-PA[[#This Row],[Fault Time]])*24</f>
        <v>5.0000000000000009</v>
      </c>
      <c r="Z169" s="153">
        <f>IFERROR((PA[[#This Row],[Work Completiuon time on fualt]]-PA[[#This Row],[Fault Time]])*24,"")</f>
        <v>5.0000000000000009</v>
      </c>
      <c r="AA169" s="307" t="s">
        <v>875</v>
      </c>
      <c r="AB169" s="149" t="s">
        <v>763</v>
      </c>
      <c r="AC169" s="152">
        <f>IFERROR(PA[[#This Row],[Breakdown Time]]*PA[[#This Row],[Plant Equivalent Weightage]],)</f>
        <v>1.3179571663920926E-3</v>
      </c>
      <c r="AD169" s="153">
        <v>2.0099999999999998</v>
      </c>
      <c r="AE169" s="163">
        <f>IFERROR(_xlfn.XLOOKUP(PA[[#This Row],[Month Year]],'Modelling New'!$D:$D,'Modelling New'!$O:$O)*M169*PA[[#This Row],[Lost PoA(kWh/m2)]],"")</f>
        <v>9.3067237152641766</v>
      </c>
      <c r="AF169" s="150"/>
      <c r="AG169" s="150"/>
      <c r="AH169" s="150"/>
    </row>
    <row r="170" spans="1:34" x14ac:dyDescent="0.35">
      <c r="A170" s="147">
        <f t="shared" si="3"/>
        <v>167</v>
      </c>
      <c r="B170" s="183">
        <v>45855</v>
      </c>
      <c r="C170" s="180">
        <f>YEAR(PA[[#This Row],[Date]])+IF(MONTH(PA[[#This Row],[Date]])&gt;=4,1,0)</f>
        <v>2026</v>
      </c>
      <c r="D170" s="155">
        <f>YEAR(PA[[#This Row],[Date]])</f>
        <v>2025</v>
      </c>
      <c r="E170" s="149" t="s">
        <v>4</v>
      </c>
      <c r="F170" s="149" t="s">
        <v>4</v>
      </c>
      <c r="G170" s="310">
        <f>PA[[#This Row],[Date]]-DAY(PA[[#This Row],[Date]])+1</f>
        <v>45839</v>
      </c>
      <c r="H170" s="155">
        <f>DAY(EOMONTH(PA[[#This Row],[Month Year]],0))</f>
        <v>31</v>
      </c>
      <c r="I170" s="151">
        <f>_xlfn.XLOOKUP(PA[[#This Row],[Date]],RD[Date],RD[Sunrise Time (POA&gt;20 W/m2)],0)</f>
        <v>0.30833333333333335</v>
      </c>
      <c r="J170" s="151">
        <f>_xlfn.XLOOKUP(PA[[#This Row],[Date]],RD[Date],RD[Sunset Time (POA&lt;20 W/m2)],0)</f>
        <v>0.77777777777777779</v>
      </c>
      <c r="K170" s="152">
        <f>IFERROR((PA[[#This Row],[Sunset Time (POA&lt;20 W/m2)]]-PA[[#This Row],[Sunrise Time (POA&gt;20 W/m2)]])*24,"")</f>
        <v>11.266666666666666</v>
      </c>
      <c r="L170" s="166" t="s">
        <v>472</v>
      </c>
      <c r="M170" s="180">
        <f>IFERROR(VLOOKUP(PA[[#This Row],[Affceted Equipment]],'Basic Data'!$A$2:$B$125,2,0),"")</f>
        <v>6.4</v>
      </c>
      <c r="N170" s="181">
        <f>IFERROR(VLOOKUP(PA[[#This Row],[Affceted Equipment]],'Basic Data'!$A$1:$C$128,3,0),"")</f>
        <v>2.6359143327841849E-4</v>
      </c>
      <c r="O170" s="166" t="s">
        <v>891</v>
      </c>
      <c r="P170" s="149" t="s">
        <v>755</v>
      </c>
      <c r="Q170" s="149" t="s">
        <v>733</v>
      </c>
      <c r="R170" s="149" t="s">
        <v>893</v>
      </c>
      <c r="S170" s="187">
        <v>0.5</v>
      </c>
      <c r="T170" s="187">
        <v>0.5</v>
      </c>
      <c r="U170" s="187">
        <v>0.5</v>
      </c>
      <c r="V170" s="187">
        <v>0.70833333333333337</v>
      </c>
      <c r="W170" s="182">
        <f>IF(PA[[#This Row],[Acknowledgemnet Time ]]="NA","",(PA[[#This Row],[Acknowledgemnet Time ]]-PA[[#This Row],[Fault Time]])*24)</f>
        <v>0</v>
      </c>
      <c r="X170" s="182">
        <f>IF(PA[[#This Row],[Work Start time on Fault]]="NA","",(PA[[#This Row],[Work Start time on Fault]]-PA[[#This Row],[Fault Time]])*24)</f>
        <v>0</v>
      </c>
      <c r="Y170" s="153">
        <f>(PA[[#This Row],[Work Completiuon time on fualt]]-PA[[#This Row],[Fault Time]])*24</f>
        <v>5.0000000000000009</v>
      </c>
      <c r="Z170" s="153">
        <f>IFERROR((PA[[#This Row],[Work Completiuon time on fualt]]-PA[[#This Row],[Fault Time]])*24,"")</f>
        <v>5.0000000000000009</v>
      </c>
      <c r="AA170" s="312" t="s">
        <v>784</v>
      </c>
      <c r="AB170" s="149" t="s">
        <v>763</v>
      </c>
      <c r="AC170" s="152">
        <f>IFERROR(PA[[#This Row],[Breakdown Time]]*PA[[#This Row],[Plant Equivalent Weightage]],)</f>
        <v>1.3179571663920926E-3</v>
      </c>
      <c r="AD170" s="153">
        <v>2.0099999999999998</v>
      </c>
      <c r="AE170" s="163">
        <f>IFERROR(_xlfn.XLOOKUP(PA[[#This Row],[Month Year]],'Modelling New'!$D:$D,'Modelling New'!$O:$O)*M170*PA[[#This Row],[Lost PoA(kWh/m2)]],"")</f>
        <v>9.3067237152641766</v>
      </c>
      <c r="AF170" s="150"/>
      <c r="AG170" s="150"/>
      <c r="AH170" s="150"/>
    </row>
    <row r="171" spans="1:34" x14ac:dyDescent="0.35">
      <c r="A171" s="147">
        <f t="shared" si="3"/>
        <v>168</v>
      </c>
      <c r="B171" s="183">
        <v>45855</v>
      </c>
      <c r="C171" s="180">
        <f>YEAR(PA[[#This Row],[Date]])+IF(MONTH(PA[[#This Row],[Date]])&gt;=4,1,0)</f>
        <v>2026</v>
      </c>
      <c r="D171" s="155">
        <f>YEAR(PA[[#This Row],[Date]])</f>
        <v>2025</v>
      </c>
      <c r="E171" s="149" t="s">
        <v>4</v>
      </c>
      <c r="F171" s="149" t="s">
        <v>4</v>
      </c>
      <c r="G171" s="310">
        <f>PA[[#This Row],[Date]]-DAY(PA[[#This Row],[Date]])+1</f>
        <v>45839</v>
      </c>
      <c r="H171" s="155">
        <f>DAY(EOMONTH(PA[[#This Row],[Month Year]],0))</f>
        <v>31</v>
      </c>
      <c r="I171" s="151">
        <f>_xlfn.XLOOKUP(PA[[#This Row],[Date]],RD[Date],RD[Sunrise Time (POA&gt;20 W/m2)],0)</f>
        <v>0.30833333333333335</v>
      </c>
      <c r="J171" s="151">
        <f>_xlfn.XLOOKUP(PA[[#This Row],[Date]],RD[Date],RD[Sunset Time (POA&lt;20 W/m2)],0)</f>
        <v>0.77777777777777779</v>
      </c>
      <c r="K171" s="152">
        <f>IFERROR((PA[[#This Row],[Sunset Time (POA&lt;20 W/m2)]]-PA[[#This Row],[Sunrise Time (POA&gt;20 W/m2)]])*24,"")</f>
        <v>11.266666666666666</v>
      </c>
      <c r="L171" s="166" t="s">
        <v>472</v>
      </c>
      <c r="M171" s="180">
        <f>IFERROR(VLOOKUP(PA[[#This Row],[Affceted Equipment]],'Basic Data'!$A$2:$B$125,2,0),"")</f>
        <v>6.4</v>
      </c>
      <c r="N171" s="181">
        <f>IFERROR(VLOOKUP(PA[[#This Row],[Affceted Equipment]],'Basic Data'!$A$1:$C$128,3,0),"")</f>
        <v>2.6359143327841849E-4</v>
      </c>
      <c r="O171" s="166" t="s">
        <v>891</v>
      </c>
      <c r="P171" s="149" t="s">
        <v>755</v>
      </c>
      <c r="Q171" s="149" t="s">
        <v>733</v>
      </c>
      <c r="R171" s="149" t="s">
        <v>894</v>
      </c>
      <c r="S171" s="187">
        <v>0.5</v>
      </c>
      <c r="T171" s="187">
        <v>0.5</v>
      </c>
      <c r="U171" s="187">
        <v>0.5</v>
      </c>
      <c r="V171" s="187">
        <v>0.70833333333333337</v>
      </c>
      <c r="W171" s="182">
        <f>IF(PA[[#This Row],[Acknowledgemnet Time ]]="NA","",(PA[[#This Row],[Acknowledgemnet Time ]]-PA[[#This Row],[Fault Time]])*24)</f>
        <v>0</v>
      </c>
      <c r="X171" s="182">
        <f>IF(PA[[#This Row],[Work Start time on Fault]]="NA","",(PA[[#This Row],[Work Start time on Fault]]-PA[[#This Row],[Fault Time]])*24)</f>
        <v>0</v>
      </c>
      <c r="Y171" s="153">
        <f>(PA[[#This Row],[Work Completiuon time on fualt]]-PA[[#This Row],[Fault Time]])*24</f>
        <v>5.0000000000000009</v>
      </c>
      <c r="Z171" s="153">
        <f>IFERROR((PA[[#This Row],[Work Completiuon time on fualt]]-PA[[#This Row],[Fault Time]])*24,"")</f>
        <v>5.0000000000000009</v>
      </c>
      <c r="AA171" s="307" t="s">
        <v>875</v>
      </c>
      <c r="AB171" s="149" t="s">
        <v>763</v>
      </c>
      <c r="AC171" s="152">
        <f>IFERROR(PA[[#This Row],[Breakdown Time]]*PA[[#This Row],[Plant Equivalent Weightage]],)</f>
        <v>1.3179571663920926E-3</v>
      </c>
      <c r="AD171" s="153">
        <v>2.0099999999999998</v>
      </c>
      <c r="AE171" s="163">
        <f>IFERROR(_xlfn.XLOOKUP(PA[[#This Row],[Month Year]],'Modelling New'!$D:$D,'Modelling New'!$O:$O)*M171*PA[[#This Row],[Lost PoA(kWh/m2)]],"")</f>
        <v>9.3067237152641766</v>
      </c>
      <c r="AF171" s="150"/>
      <c r="AG171" s="150"/>
      <c r="AH171" s="150"/>
    </row>
    <row r="172" spans="1:34" x14ac:dyDescent="0.35">
      <c r="A172" s="147">
        <f t="shared" si="3"/>
        <v>169</v>
      </c>
      <c r="B172" s="183">
        <v>45855</v>
      </c>
      <c r="C172" s="180">
        <f>YEAR(PA[[#This Row],[Date]])+IF(MONTH(PA[[#This Row],[Date]])&gt;=4,1,0)</f>
        <v>2026</v>
      </c>
      <c r="D172" s="155">
        <f>YEAR(PA[[#This Row],[Date]])</f>
        <v>2025</v>
      </c>
      <c r="E172" s="149" t="s">
        <v>4</v>
      </c>
      <c r="F172" s="149" t="s">
        <v>4</v>
      </c>
      <c r="G172" s="310">
        <f>PA[[#This Row],[Date]]-DAY(PA[[#This Row],[Date]])+1</f>
        <v>45839</v>
      </c>
      <c r="H172" s="155">
        <f>DAY(EOMONTH(PA[[#This Row],[Month Year]],0))</f>
        <v>31</v>
      </c>
      <c r="I172" s="151">
        <f>_xlfn.XLOOKUP(PA[[#This Row],[Date]],RD[Date],RD[Sunrise Time (POA&gt;20 W/m2)],0)</f>
        <v>0.30833333333333335</v>
      </c>
      <c r="J172" s="151">
        <f>_xlfn.XLOOKUP(PA[[#This Row],[Date]],RD[Date],RD[Sunset Time (POA&lt;20 W/m2)],0)</f>
        <v>0.77777777777777779</v>
      </c>
      <c r="K172" s="152">
        <f>IFERROR((PA[[#This Row],[Sunset Time (POA&lt;20 W/m2)]]-PA[[#This Row],[Sunrise Time (POA&gt;20 W/m2)]])*24,"")</f>
        <v>11.266666666666666</v>
      </c>
      <c r="L172" s="166" t="s">
        <v>472</v>
      </c>
      <c r="M172" s="180">
        <f>IFERROR(VLOOKUP(PA[[#This Row],[Affceted Equipment]],'Basic Data'!$A$2:$B$125,2,0),"")</f>
        <v>6.4</v>
      </c>
      <c r="N172" s="181">
        <f>IFERROR(VLOOKUP(PA[[#This Row],[Affceted Equipment]],'Basic Data'!$A$1:$C$128,3,0),"")</f>
        <v>2.6359143327841849E-4</v>
      </c>
      <c r="O172" s="166" t="s">
        <v>773</v>
      </c>
      <c r="P172" s="149" t="s">
        <v>755</v>
      </c>
      <c r="Q172" s="149" t="s">
        <v>733</v>
      </c>
      <c r="R172" s="149" t="s">
        <v>895</v>
      </c>
      <c r="S172" s="187">
        <v>0.5</v>
      </c>
      <c r="T172" s="187">
        <v>0.5</v>
      </c>
      <c r="U172" s="187">
        <v>0.5</v>
      </c>
      <c r="V172" s="187">
        <v>0.70833333333333337</v>
      </c>
      <c r="W172" s="182">
        <f>IF(PA[[#This Row],[Acknowledgemnet Time ]]="NA","",(PA[[#This Row],[Acknowledgemnet Time ]]-PA[[#This Row],[Fault Time]])*24)</f>
        <v>0</v>
      </c>
      <c r="X172" s="182">
        <f>IF(PA[[#This Row],[Work Start time on Fault]]="NA","",(PA[[#This Row],[Work Start time on Fault]]-PA[[#This Row],[Fault Time]])*24)</f>
        <v>0</v>
      </c>
      <c r="Y172" s="153">
        <f>(PA[[#This Row],[Work Completiuon time on fualt]]-PA[[#This Row],[Fault Time]])*24</f>
        <v>5.0000000000000009</v>
      </c>
      <c r="Z172" s="153">
        <f>IFERROR((PA[[#This Row],[Work Completiuon time on fualt]]-PA[[#This Row],[Fault Time]])*24,"")</f>
        <v>5.0000000000000009</v>
      </c>
      <c r="AA172" s="307" t="s">
        <v>875</v>
      </c>
      <c r="AB172" s="149" t="s">
        <v>763</v>
      </c>
      <c r="AC172" s="152">
        <f>IFERROR(PA[[#This Row],[Breakdown Time]]*PA[[#This Row],[Plant Equivalent Weightage]],)</f>
        <v>1.3179571663920926E-3</v>
      </c>
      <c r="AD172" s="153">
        <v>2.0099999999999998</v>
      </c>
      <c r="AE172" s="163">
        <f>IFERROR(_xlfn.XLOOKUP(PA[[#This Row],[Month Year]],'Modelling New'!$D:$D,'Modelling New'!$O:$O)*M172*PA[[#This Row],[Lost PoA(kWh/m2)]],"")</f>
        <v>9.3067237152641766</v>
      </c>
      <c r="AF172" s="150"/>
      <c r="AG172" s="150"/>
      <c r="AH172" s="150"/>
    </row>
    <row r="173" spans="1:34" x14ac:dyDescent="0.35">
      <c r="A173" s="147">
        <f t="shared" si="3"/>
        <v>170</v>
      </c>
      <c r="B173" s="183">
        <v>45855</v>
      </c>
      <c r="C173" s="180">
        <f>YEAR(PA[[#This Row],[Date]])+IF(MONTH(PA[[#This Row],[Date]])&gt;=4,1,0)</f>
        <v>2026</v>
      </c>
      <c r="D173" s="155">
        <f>YEAR(PA[[#This Row],[Date]])</f>
        <v>2025</v>
      </c>
      <c r="E173" s="149" t="s">
        <v>4</v>
      </c>
      <c r="F173" s="149" t="s">
        <v>4</v>
      </c>
      <c r="G173" s="310">
        <f>PA[[#This Row],[Date]]-DAY(PA[[#This Row],[Date]])+1</f>
        <v>45839</v>
      </c>
      <c r="H173" s="155">
        <f>DAY(EOMONTH(PA[[#This Row],[Month Year]],0))</f>
        <v>31</v>
      </c>
      <c r="I173" s="151">
        <f>_xlfn.XLOOKUP(PA[[#This Row],[Date]],RD[Date],RD[Sunrise Time (POA&gt;20 W/m2)],0)</f>
        <v>0.30833333333333335</v>
      </c>
      <c r="J173" s="151">
        <f>_xlfn.XLOOKUP(PA[[#This Row],[Date]],RD[Date],RD[Sunset Time (POA&lt;20 W/m2)],0)</f>
        <v>0.77777777777777779</v>
      </c>
      <c r="K173" s="152">
        <f>IFERROR((PA[[#This Row],[Sunset Time (POA&lt;20 W/m2)]]-PA[[#This Row],[Sunrise Time (POA&gt;20 W/m2)]])*24,"")</f>
        <v>11.266666666666666</v>
      </c>
      <c r="L173" s="166" t="s">
        <v>472</v>
      </c>
      <c r="M173" s="180">
        <f>IFERROR(VLOOKUP(PA[[#This Row],[Affceted Equipment]],'Basic Data'!$A$2:$B$125,2,0),"")</f>
        <v>6.4</v>
      </c>
      <c r="N173" s="181">
        <f>IFERROR(VLOOKUP(PA[[#This Row],[Affceted Equipment]],'Basic Data'!$A$1:$C$128,3,0),"")</f>
        <v>2.6359143327841849E-4</v>
      </c>
      <c r="O173" s="166" t="s">
        <v>773</v>
      </c>
      <c r="P173" s="149" t="s">
        <v>755</v>
      </c>
      <c r="Q173" s="149" t="s">
        <v>733</v>
      </c>
      <c r="R173" s="149" t="s">
        <v>896</v>
      </c>
      <c r="S173" s="187">
        <v>0.5</v>
      </c>
      <c r="T173" s="187">
        <v>0.5</v>
      </c>
      <c r="U173" s="187">
        <v>0.5</v>
      </c>
      <c r="V173" s="187">
        <v>0.70833333333333337</v>
      </c>
      <c r="W173" s="182">
        <f>IF(PA[[#This Row],[Acknowledgemnet Time ]]="NA","",(PA[[#This Row],[Acknowledgemnet Time ]]-PA[[#This Row],[Fault Time]])*24)</f>
        <v>0</v>
      </c>
      <c r="X173" s="182">
        <f>IF(PA[[#This Row],[Work Start time on Fault]]="NA","",(PA[[#This Row],[Work Start time on Fault]]-PA[[#This Row],[Fault Time]])*24)</f>
        <v>0</v>
      </c>
      <c r="Y173" s="153">
        <f>(PA[[#This Row],[Work Completiuon time on fualt]]-PA[[#This Row],[Fault Time]])*24</f>
        <v>5.0000000000000009</v>
      </c>
      <c r="Z173" s="153">
        <f>IFERROR((PA[[#This Row],[Work Completiuon time on fualt]]-PA[[#This Row],[Fault Time]])*24,"")</f>
        <v>5.0000000000000009</v>
      </c>
      <c r="AA173" s="312" t="s">
        <v>784</v>
      </c>
      <c r="AB173" s="149" t="s">
        <v>763</v>
      </c>
      <c r="AC173" s="152">
        <f>IFERROR(PA[[#This Row],[Breakdown Time]]*PA[[#This Row],[Plant Equivalent Weightage]],)</f>
        <v>1.3179571663920926E-3</v>
      </c>
      <c r="AD173" s="153">
        <v>2.0099999999999998</v>
      </c>
      <c r="AE173" s="163">
        <f>IFERROR(_xlfn.XLOOKUP(PA[[#This Row],[Month Year]],'Modelling New'!$D:$D,'Modelling New'!$O:$O)*M173*PA[[#This Row],[Lost PoA(kWh/m2)]],"")</f>
        <v>9.3067237152641766</v>
      </c>
      <c r="AF173" s="150"/>
      <c r="AG173" s="150"/>
      <c r="AH173" s="150"/>
    </row>
    <row r="174" spans="1:34" x14ac:dyDescent="0.35">
      <c r="A174" s="147">
        <f t="shared" si="3"/>
        <v>171</v>
      </c>
      <c r="B174" s="183">
        <v>45855</v>
      </c>
      <c r="C174" s="180">
        <f>YEAR(PA[[#This Row],[Date]])+IF(MONTH(PA[[#This Row],[Date]])&gt;=4,1,0)</f>
        <v>2026</v>
      </c>
      <c r="D174" s="155">
        <f>YEAR(PA[[#This Row],[Date]])</f>
        <v>2025</v>
      </c>
      <c r="E174" s="149" t="s">
        <v>4</v>
      </c>
      <c r="F174" s="149" t="s">
        <v>4</v>
      </c>
      <c r="G174" s="310">
        <f>PA[[#This Row],[Date]]-DAY(PA[[#This Row],[Date]])+1</f>
        <v>45839</v>
      </c>
      <c r="H174" s="155">
        <f>DAY(EOMONTH(PA[[#This Row],[Month Year]],0))</f>
        <v>31</v>
      </c>
      <c r="I174" s="151">
        <f>_xlfn.XLOOKUP(PA[[#This Row],[Date]],RD[Date],RD[Sunrise Time (POA&gt;20 W/m2)],0)</f>
        <v>0.30833333333333335</v>
      </c>
      <c r="J174" s="151">
        <f>_xlfn.XLOOKUP(PA[[#This Row],[Date]],RD[Date],RD[Sunset Time (POA&lt;20 W/m2)],0)</f>
        <v>0.77777777777777779</v>
      </c>
      <c r="K174" s="152">
        <f>IFERROR((PA[[#This Row],[Sunset Time (POA&lt;20 W/m2)]]-PA[[#This Row],[Sunrise Time (POA&gt;20 W/m2)]])*24,"")</f>
        <v>11.266666666666666</v>
      </c>
      <c r="L174" s="166" t="s">
        <v>476</v>
      </c>
      <c r="M174" s="180">
        <f>IFERROR(VLOOKUP(PA[[#This Row],[Affceted Equipment]],'Basic Data'!$A$2:$B$125,2,0),"")</f>
        <v>31.61</v>
      </c>
      <c r="N174" s="181">
        <f>IFERROR(VLOOKUP(PA[[#This Row],[Affceted Equipment]],'Basic Data'!$A$1:$C$128,3,0),"")</f>
        <v>1.3018945634266886E-3</v>
      </c>
      <c r="O174" s="166" t="s">
        <v>897</v>
      </c>
      <c r="P174" s="149" t="s">
        <v>782</v>
      </c>
      <c r="Q174" s="149" t="s">
        <v>782</v>
      </c>
      <c r="R174" s="154" t="s">
        <v>898</v>
      </c>
      <c r="S174" s="187">
        <v>0.41666666666666669</v>
      </c>
      <c r="T174" s="187">
        <v>0.5</v>
      </c>
      <c r="U174" s="187">
        <v>0.5</v>
      </c>
      <c r="V174" s="187">
        <v>0.66666666666666663</v>
      </c>
      <c r="W174" s="182">
        <f>IF(PA[[#This Row],[Acknowledgemnet Time ]]="NA","",(PA[[#This Row],[Acknowledgemnet Time ]]-PA[[#This Row],[Fault Time]])*24)</f>
        <v>1.9999999999999996</v>
      </c>
      <c r="X174" s="182">
        <f>IF(PA[[#This Row],[Work Start time on Fault]]="NA","",(PA[[#This Row],[Work Start time on Fault]]-PA[[#This Row],[Fault Time]])*24)</f>
        <v>1.9999999999999996</v>
      </c>
      <c r="Y174" s="153">
        <f>(PA[[#This Row],[Work Completiuon time on fualt]]-PA[[#This Row],[Fault Time]])*24</f>
        <v>5.9999999999999982</v>
      </c>
      <c r="Z174" s="153">
        <f>IFERROR((PA[[#This Row],[Work Completiuon time on fualt]]-PA[[#This Row],[Fault Time]])*24,"")</f>
        <v>5.9999999999999982</v>
      </c>
      <c r="AA174" s="312" t="s">
        <v>899</v>
      </c>
      <c r="AB174" s="149" t="s">
        <v>763</v>
      </c>
      <c r="AC174" s="152">
        <f>IFERROR(PA[[#This Row],[Breakdown Time]]*PA[[#This Row],[Plant Equivalent Weightage]],)</f>
        <v>7.811367380560129E-3</v>
      </c>
      <c r="AD174" s="153">
        <v>1.86</v>
      </c>
      <c r="AE174" s="163">
        <f>IFERROR(_xlfn.XLOOKUP(PA[[#This Row],[Month Year]],'Modelling New'!$D:$D,'Modelling New'!$O:$O)*M174*PA[[#This Row],[Lost PoA(kWh/m2)]],"")</f>
        <v>42.536155017838247</v>
      </c>
      <c r="AF174" s="150"/>
      <c r="AG174" s="150"/>
      <c r="AH174" s="150"/>
    </row>
    <row r="175" spans="1:34" x14ac:dyDescent="0.35">
      <c r="A175" s="147">
        <f t="shared" si="3"/>
        <v>172</v>
      </c>
      <c r="B175" s="183">
        <v>45856</v>
      </c>
      <c r="C175" s="180">
        <f>YEAR(PA[[#This Row],[Date]])+IF(MONTH(PA[[#This Row],[Date]])&gt;=4,1,0)</f>
        <v>2026</v>
      </c>
      <c r="D175" s="155">
        <f>YEAR(PA[[#This Row],[Date]])</f>
        <v>2025</v>
      </c>
      <c r="E175" s="149" t="s">
        <v>4</v>
      </c>
      <c r="F175" s="149" t="s">
        <v>4</v>
      </c>
      <c r="G175" s="310">
        <f>PA[[#This Row],[Date]]-DAY(PA[[#This Row],[Date]])+1</f>
        <v>45839</v>
      </c>
      <c r="H175" s="155">
        <f>DAY(EOMONTH(PA[[#This Row],[Month Year]],0))</f>
        <v>31</v>
      </c>
      <c r="I175" s="151">
        <f>_xlfn.XLOOKUP(PA[[#This Row],[Date]],RD[Date],RD[Sunrise Time (POA&gt;20 W/m2)],0)</f>
        <v>0.27291666666666664</v>
      </c>
      <c r="J175" s="151">
        <f>_xlfn.XLOOKUP(PA[[#This Row],[Date]],RD[Date],RD[Sunset Time (POA&lt;20 W/m2)],0)</f>
        <v>0.78055555555555556</v>
      </c>
      <c r="K175" s="152">
        <f>IFERROR((PA[[#This Row],[Sunset Time (POA&lt;20 W/m2)]]-PA[[#This Row],[Sunrise Time (POA&gt;20 W/m2)]])*24,"")</f>
        <v>12.183333333333335</v>
      </c>
      <c r="L175" s="166" t="s">
        <v>476</v>
      </c>
      <c r="M175" s="180">
        <f>IFERROR(VLOOKUP(PA[[#This Row],[Affceted Equipment]],'Basic Data'!$A$2:$B$125,2,0),"")</f>
        <v>31.61</v>
      </c>
      <c r="N175" s="181">
        <f>IFERROR(VLOOKUP(PA[[#This Row],[Affceted Equipment]],'Basic Data'!$A$1:$C$128,3,0),"")</f>
        <v>1.3018945634266886E-3</v>
      </c>
      <c r="O175" s="166" t="s">
        <v>900</v>
      </c>
      <c r="P175" s="149" t="s">
        <v>782</v>
      </c>
      <c r="Q175" s="149" t="s">
        <v>782</v>
      </c>
      <c r="R175" s="154" t="s">
        <v>901</v>
      </c>
      <c r="S175" s="187">
        <v>0.5</v>
      </c>
      <c r="T175" s="187">
        <v>0.5</v>
      </c>
      <c r="U175" s="187">
        <v>0.5</v>
      </c>
      <c r="V175" s="187">
        <v>0.58333333333333337</v>
      </c>
      <c r="W175" s="182">
        <f>IF(PA[[#This Row],[Acknowledgemnet Time ]]="NA","",(PA[[#This Row],[Acknowledgemnet Time ]]-PA[[#This Row],[Fault Time]])*24)</f>
        <v>0</v>
      </c>
      <c r="X175" s="182">
        <f>IF(PA[[#This Row],[Work Start time on Fault]]="NA","",(PA[[#This Row],[Work Start time on Fault]]-PA[[#This Row],[Fault Time]])*24)</f>
        <v>0</v>
      </c>
      <c r="Y175" s="153">
        <f>(PA[[#This Row],[Work Completiuon time on fualt]]-PA[[#This Row],[Fault Time]])*24</f>
        <v>2.0000000000000009</v>
      </c>
      <c r="Z175" s="153">
        <f>IFERROR((PA[[#This Row],[Work Completiuon time on fualt]]-PA[[#This Row],[Fault Time]])*24,"")</f>
        <v>2.0000000000000009</v>
      </c>
      <c r="AA175" s="312" t="s">
        <v>899</v>
      </c>
      <c r="AB175" s="149" t="s">
        <v>763</v>
      </c>
      <c r="AC175" s="152">
        <f>IFERROR(PA[[#This Row],[Breakdown Time]]*PA[[#This Row],[Plant Equivalent Weightage]],)</f>
        <v>2.6037891268533785E-3</v>
      </c>
      <c r="AD175" s="153">
        <v>0.98</v>
      </c>
      <c r="AE175" s="163">
        <f>IFERROR(_xlfn.XLOOKUP(PA[[#This Row],[Month Year]],'Modelling New'!$D:$D,'Modelling New'!$O:$O)*M175*PA[[#This Row],[Lost PoA(kWh/m2)]],"")</f>
        <v>22.411522536280366</v>
      </c>
      <c r="AF175" s="150"/>
      <c r="AG175" s="150"/>
      <c r="AH175" s="150"/>
    </row>
    <row r="176" spans="1:34" x14ac:dyDescent="0.35">
      <c r="A176" s="147">
        <f t="shared" si="3"/>
        <v>173</v>
      </c>
      <c r="B176" s="183">
        <v>45858</v>
      </c>
      <c r="C176" s="180">
        <f>YEAR(PA[[#This Row],[Date]])+IF(MONTH(PA[[#This Row],[Date]])&gt;=4,1,0)</f>
        <v>2026</v>
      </c>
      <c r="D176" s="155">
        <f>YEAR(PA[[#This Row],[Date]])</f>
        <v>2025</v>
      </c>
      <c r="E176" s="149" t="s">
        <v>4</v>
      </c>
      <c r="F176" s="149" t="s">
        <v>4</v>
      </c>
      <c r="G176" s="310">
        <f>PA[[#This Row],[Date]]-DAY(PA[[#This Row],[Date]])+1</f>
        <v>45839</v>
      </c>
      <c r="H176" s="155">
        <f>DAY(EOMONTH(PA[[#This Row],[Month Year]],0))</f>
        <v>31</v>
      </c>
      <c r="I176" s="151">
        <f>_xlfn.XLOOKUP(PA[[#This Row],[Date]],RD[Date],RD[Sunrise Time (POA&gt;20 W/m2)],0)</f>
        <v>0.26597222222222222</v>
      </c>
      <c r="J176" s="151">
        <f>_xlfn.XLOOKUP(PA[[#This Row],[Date]],RD[Date],RD[Sunset Time (POA&lt;20 W/m2)],0)</f>
        <v>0.78194444444444444</v>
      </c>
      <c r="K176" s="152">
        <f>IFERROR((PA[[#This Row],[Sunset Time (POA&lt;20 W/m2)]]-PA[[#This Row],[Sunrise Time (POA&gt;20 W/m2)]])*24,"")</f>
        <v>12.383333333333335</v>
      </c>
      <c r="L176" s="166" t="s">
        <v>200</v>
      </c>
      <c r="M176" s="180">
        <f>IFERROR(VLOOKUP(PA[[#This Row],[Affceted Equipment]],'Basic Data'!$A$2:$B$125,2,0),"")</f>
        <v>1228.8</v>
      </c>
      <c r="N176" s="181">
        <f>IFERROR(VLOOKUP(PA[[#This Row],[Affceted Equipment]],'Basic Data'!$A$1:$C$128,3,0),"")</f>
        <v>5.060955518945634E-2</v>
      </c>
      <c r="O176" s="166" t="s">
        <v>200</v>
      </c>
      <c r="P176" s="149" t="s">
        <v>755</v>
      </c>
      <c r="Q176" s="149" t="s">
        <v>733</v>
      </c>
      <c r="R176" s="149" t="s">
        <v>882</v>
      </c>
      <c r="S176" s="187">
        <v>0.41666666666666669</v>
      </c>
      <c r="T176" s="187">
        <v>0.41666666666666669</v>
      </c>
      <c r="U176" s="187">
        <v>0.41666666666666669</v>
      </c>
      <c r="V176" s="187">
        <v>0.49791666666666667</v>
      </c>
      <c r="W176" s="182">
        <f>IF(PA[[#This Row],[Acknowledgemnet Time ]]="NA","",(PA[[#This Row],[Acknowledgemnet Time ]]-PA[[#This Row],[Fault Time]])*24)</f>
        <v>0</v>
      </c>
      <c r="X176" s="182">
        <f>IF(PA[[#This Row],[Work Start time on Fault]]="NA","",(PA[[#This Row],[Work Start time on Fault]]-PA[[#This Row],[Fault Time]])*24)</f>
        <v>0</v>
      </c>
      <c r="Y176" s="153">
        <f>(PA[[#This Row],[Work Completiuon time on fualt]]-PA[[#This Row],[Fault Time]])*24</f>
        <v>1.9499999999999997</v>
      </c>
      <c r="Z176" s="153">
        <f>IFERROR((PA[[#This Row],[Work Completiuon time on fualt]]-PA[[#This Row],[Fault Time]])*24,"")</f>
        <v>1.9499999999999997</v>
      </c>
      <c r="AA176" s="312" t="s">
        <v>863</v>
      </c>
      <c r="AB176" s="149" t="s">
        <v>763</v>
      </c>
      <c r="AC176" s="152">
        <f>IFERROR(PA[[#This Row],[Breakdown Time]]*PA[[#This Row],[Plant Equivalent Weightage]],)</f>
        <v>9.8688632619439845E-2</v>
      </c>
      <c r="AD176" s="153">
        <v>1.4350000000000001</v>
      </c>
      <c r="AE176" s="163">
        <f>IFERROR(_xlfn.XLOOKUP(PA[[#This Row],[Month Year]],'Modelling New'!$D:$D,'Modelling New'!$O:$O)*M176*PA[[#This Row],[Lost PoA(kWh/m2)]],"")</f>
        <v>1275.7156806117346</v>
      </c>
      <c r="AF176" s="150"/>
      <c r="AG176" s="150"/>
      <c r="AH176" s="150"/>
    </row>
    <row r="177" spans="1:34" x14ac:dyDescent="0.35">
      <c r="A177" s="147">
        <f t="shared" si="3"/>
        <v>174</v>
      </c>
      <c r="B177" s="183">
        <v>45858</v>
      </c>
      <c r="C177" s="180">
        <f>YEAR(PA[[#This Row],[Date]])+IF(MONTH(PA[[#This Row],[Date]])&gt;=4,1,0)</f>
        <v>2026</v>
      </c>
      <c r="D177" s="155">
        <f>YEAR(PA[[#This Row],[Date]])</f>
        <v>2025</v>
      </c>
      <c r="E177" s="149" t="s">
        <v>4</v>
      </c>
      <c r="F177" s="149" t="s">
        <v>4</v>
      </c>
      <c r="G177" s="310">
        <f>PA[[#This Row],[Date]]-DAY(PA[[#This Row],[Date]])+1</f>
        <v>45839</v>
      </c>
      <c r="H177" s="155">
        <f>DAY(EOMONTH(PA[[#This Row],[Month Year]],0))</f>
        <v>31</v>
      </c>
      <c r="I177" s="151">
        <f>_xlfn.XLOOKUP(PA[[#This Row],[Date]],RD[Date],RD[Sunrise Time (POA&gt;20 W/m2)],0)</f>
        <v>0.26597222222222222</v>
      </c>
      <c r="J177" s="151">
        <f>_xlfn.XLOOKUP(PA[[#This Row],[Date]],RD[Date],RD[Sunset Time (POA&lt;20 W/m2)],0)</f>
        <v>0.78194444444444444</v>
      </c>
      <c r="K177" s="152">
        <f>IFERROR((PA[[#This Row],[Sunset Time (POA&lt;20 W/m2)]]-PA[[#This Row],[Sunrise Time (POA&gt;20 W/m2)]])*24,"")</f>
        <v>12.383333333333335</v>
      </c>
      <c r="L177" s="166" t="s">
        <v>472</v>
      </c>
      <c r="M177" s="180">
        <f>IFERROR(VLOOKUP(PA[[#This Row],[Affceted Equipment]],'Basic Data'!$A$2:$B$125,2,0),"")</f>
        <v>6.4</v>
      </c>
      <c r="N177" s="181">
        <f>IFERROR(VLOOKUP(PA[[#This Row],[Affceted Equipment]],'Basic Data'!$A$1:$C$128,3,0),"")</f>
        <v>2.6359143327841849E-4</v>
      </c>
      <c r="O177" s="166" t="s">
        <v>902</v>
      </c>
      <c r="P177" s="149" t="s">
        <v>755</v>
      </c>
      <c r="Q177" s="149" t="s">
        <v>733</v>
      </c>
      <c r="R177" s="149" t="s">
        <v>903</v>
      </c>
      <c r="S177" s="187">
        <v>0.5</v>
      </c>
      <c r="T177" s="187">
        <v>0.5</v>
      </c>
      <c r="U177" s="187">
        <v>0.5</v>
      </c>
      <c r="V177" s="187">
        <v>0.66666666666666663</v>
      </c>
      <c r="W177" s="182">
        <f>IF(PA[[#This Row],[Acknowledgemnet Time ]]="NA","",(PA[[#This Row],[Acknowledgemnet Time ]]-PA[[#This Row],[Fault Time]])*24)</f>
        <v>0</v>
      </c>
      <c r="X177" s="182">
        <f>IF(PA[[#This Row],[Work Start time on Fault]]="NA","",(PA[[#This Row],[Work Start time on Fault]]-PA[[#This Row],[Fault Time]])*24)</f>
        <v>0</v>
      </c>
      <c r="Y177" s="153">
        <f>(PA[[#This Row],[Work Completiuon time on fualt]]-PA[[#This Row],[Fault Time]])*24</f>
        <v>3.9999999999999991</v>
      </c>
      <c r="Z177" s="153">
        <f>IFERROR((PA[[#This Row],[Work Completiuon time on fualt]]-PA[[#This Row],[Fault Time]])*24,"")</f>
        <v>3.9999999999999991</v>
      </c>
      <c r="AA177" s="312" t="s">
        <v>899</v>
      </c>
      <c r="AB177" s="149" t="s">
        <v>763</v>
      </c>
      <c r="AC177" s="152">
        <f>IFERROR(PA[[#This Row],[Breakdown Time]]*PA[[#This Row],[Plant Equivalent Weightage]],)</f>
        <v>1.0543657331136738E-3</v>
      </c>
      <c r="AD177" s="153">
        <v>0.86499999999999999</v>
      </c>
      <c r="AE177" s="163">
        <f>IFERROR(_xlfn.XLOOKUP(PA[[#This Row],[Month Year]],'Modelling New'!$D:$D,'Modelling New'!$O:$O)*M177*PA[[#This Row],[Lost PoA(kWh/m2)]],"")</f>
        <v>4.0051323451261265</v>
      </c>
      <c r="AF177" s="150"/>
      <c r="AG177" s="150"/>
      <c r="AH177" s="150"/>
    </row>
    <row r="178" spans="1:34" x14ac:dyDescent="0.35">
      <c r="A178" s="147">
        <f t="shared" si="3"/>
        <v>175</v>
      </c>
      <c r="B178" s="183">
        <v>45859</v>
      </c>
      <c r="C178" s="180">
        <f>YEAR(PA[[#This Row],[Date]])+IF(MONTH(PA[[#This Row],[Date]])&gt;=4,1,0)</f>
        <v>2026</v>
      </c>
      <c r="D178" s="155">
        <f>YEAR(PA[[#This Row],[Date]])</f>
        <v>2025</v>
      </c>
      <c r="E178" s="149" t="s">
        <v>4</v>
      </c>
      <c r="F178" s="149" t="s">
        <v>4</v>
      </c>
      <c r="G178" s="310">
        <f>PA[[#This Row],[Date]]-DAY(PA[[#This Row],[Date]])+1</f>
        <v>45839</v>
      </c>
      <c r="H178" s="155">
        <f>DAY(EOMONTH(PA[[#This Row],[Month Year]],0))</f>
        <v>31</v>
      </c>
      <c r="I178" s="151">
        <f>_xlfn.XLOOKUP(PA[[#This Row],[Date]],RD[Date],RD[Sunrise Time (POA&gt;20 W/m2)],0)</f>
        <v>0.2722222222222222</v>
      </c>
      <c r="J178" s="151">
        <f>_xlfn.XLOOKUP(PA[[#This Row],[Date]],RD[Date],RD[Sunset Time (POA&lt;20 W/m2)],0)</f>
        <v>0.78541666666666665</v>
      </c>
      <c r="K178" s="152">
        <f>IFERROR((PA[[#This Row],[Sunset Time (POA&lt;20 W/m2)]]-PA[[#This Row],[Sunrise Time (POA&gt;20 W/m2)]])*24,"")</f>
        <v>12.316666666666668</v>
      </c>
      <c r="L178" s="166" t="s">
        <v>237</v>
      </c>
      <c r="M178" s="180">
        <f>IFERROR(VLOOKUP(PA[[#This Row],[Affceted Equipment]],'Basic Data'!$A$2:$B$125,2,0),"")</f>
        <v>1222</v>
      </c>
      <c r="N178" s="181">
        <f>IFERROR(VLOOKUP(PA[[#This Row],[Affceted Equipment]],'Basic Data'!$A$1:$C$128,3,0),"")</f>
        <v>5.0329489291598022E-2</v>
      </c>
      <c r="O178" s="166" t="s">
        <v>237</v>
      </c>
      <c r="P178" s="149" t="s">
        <v>755</v>
      </c>
      <c r="Q178" s="149" t="s">
        <v>733</v>
      </c>
      <c r="R178" s="149" t="s">
        <v>904</v>
      </c>
      <c r="S178" s="187">
        <v>0.39583333333333331</v>
      </c>
      <c r="T178" s="187">
        <v>0.40277777777777779</v>
      </c>
      <c r="U178" s="187">
        <v>0.40972222222222221</v>
      </c>
      <c r="V178" s="187">
        <v>0.50069444444444444</v>
      </c>
      <c r="W178" s="182">
        <f>IF(PA[[#This Row],[Acknowledgemnet Time ]]="NA","",(PA[[#This Row],[Acknowledgemnet Time ]]-PA[[#This Row],[Fault Time]])*24)</f>
        <v>0.16666666666666741</v>
      </c>
      <c r="X178" s="182">
        <f>IF(PA[[#This Row],[Work Start time on Fault]]="NA","",(PA[[#This Row],[Work Start time on Fault]]-PA[[#This Row],[Fault Time]])*24)</f>
        <v>0.33333333333333348</v>
      </c>
      <c r="Y178" s="153">
        <f>(PA[[#This Row],[Work Completiuon time on fualt]]-PA[[#This Row],[Fault Time]])*24</f>
        <v>2.5166666666666671</v>
      </c>
      <c r="Z178" s="153">
        <f>IFERROR((PA[[#This Row],[Work Completiuon time on fualt]]-PA[[#This Row],[Fault Time]])*24,"")</f>
        <v>2.5166666666666671</v>
      </c>
      <c r="AA178" s="312" t="s">
        <v>863</v>
      </c>
      <c r="AB178" s="149" t="s">
        <v>763</v>
      </c>
      <c r="AC178" s="152">
        <f>IFERROR(PA[[#This Row],[Breakdown Time]]*PA[[#This Row],[Plant Equivalent Weightage]],)</f>
        <v>0.12666254805052171</v>
      </c>
      <c r="AD178" s="153">
        <v>1.1000000000000001</v>
      </c>
      <c r="AE178" s="163">
        <f>IFERROR(_xlfn.XLOOKUP(PA[[#This Row],[Month Year]],'Modelling New'!$D:$D,'Modelling New'!$O:$O)*M178*PA[[#This Row],[Lost PoA(kWh/m2)]],"")</f>
        <v>972.488962846557</v>
      </c>
      <c r="AF178" s="150"/>
      <c r="AG178" s="150"/>
      <c r="AH178" s="150"/>
    </row>
    <row r="179" spans="1:34" x14ac:dyDescent="0.35">
      <c r="A179" s="147">
        <f t="shared" si="3"/>
        <v>176</v>
      </c>
      <c r="B179" s="183">
        <v>45859</v>
      </c>
      <c r="C179" s="180">
        <f>YEAR(PA[[#This Row],[Date]])+IF(MONTH(PA[[#This Row],[Date]])&gt;=4,1,0)</f>
        <v>2026</v>
      </c>
      <c r="D179" s="155">
        <f>YEAR(PA[[#This Row],[Date]])</f>
        <v>2025</v>
      </c>
      <c r="E179" s="149" t="s">
        <v>4</v>
      </c>
      <c r="F179" s="149" t="s">
        <v>4</v>
      </c>
      <c r="G179" s="310">
        <f>PA[[#This Row],[Date]]-DAY(PA[[#This Row],[Date]])+1</f>
        <v>45839</v>
      </c>
      <c r="H179" s="155">
        <f>DAY(EOMONTH(PA[[#This Row],[Month Year]],0))</f>
        <v>31</v>
      </c>
      <c r="I179" s="151">
        <f>_xlfn.XLOOKUP(PA[[#This Row],[Date]],RD[Date],RD[Sunrise Time (POA&gt;20 W/m2)],0)</f>
        <v>0.2722222222222222</v>
      </c>
      <c r="J179" s="151">
        <f>_xlfn.XLOOKUP(PA[[#This Row],[Date]],RD[Date],RD[Sunset Time (POA&lt;20 W/m2)],0)</f>
        <v>0.78541666666666665</v>
      </c>
      <c r="K179" s="152">
        <f>IFERROR((PA[[#This Row],[Sunset Time (POA&lt;20 W/m2)]]-PA[[#This Row],[Sunrise Time (POA&gt;20 W/m2)]])*24,"")</f>
        <v>12.316666666666668</v>
      </c>
      <c r="L179" s="166" t="s">
        <v>472</v>
      </c>
      <c r="M179" s="180">
        <f>IFERROR(VLOOKUP(PA[[#This Row],[Affceted Equipment]],'Basic Data'!$A$2:$B$125,2,0),"")</f>
        <v>6.4</v>
      </c>
      <c r="N179" s="181">
        <f>IFERROR(VLOOKUP(PA[[#This Row],[Affceted Equipment]],'Basic Data'!$A$1:$C$128,3,0),"")</f>
        <v>2.6359143327841849E-4</v>
      </c>
      <c r="O179" s="166" t="s">
        <v>905</v>
      </c>
      <c r="P179" s="149" t="s">
        <v>755</v>
      </c>
      <c r="Q179" s="149" t="s">
        <v>733</v>
      </c>
      <c r="R179" s="149" t="s">
        <v>906</v>
      </c>
      <c r="S179" s="187">
        <v>0.40277777777777779</v>
      </c>
      <c r="T179" s="187">
        <v>0.40972222222222221</v>
      </c>
      <c r="U179" s="187">
        <v>0.52083333333333337</v>
      </c>
      <c r="V179" s="187">
        <v>0.70833333333333337</v>
      </c>
      <c r="W179" s="182">
        <f>IF(PA[[#This Row],[Acknowledgemnet Time ]]="NA","",(PA[[#This Row],[Acknowledgemnet Time ]]-PA[[#This Row],[Fault Time]])*24)</f>
        <v>0.16666666666666607</v>
      </c>
      <c r="X179" s="182">
        <f>IF(PA[[#This Row],[Work Start time on Fault]]="NA","",(PA[[#This Row],[Work Start time on Fault]]-PA[[#This Row],[Fault Time]])*24)</f>
        <v>2.8333333333333339</v>
      </c>
      <c r="Y179" s="153">
        <f>(PA[[#This Row],[Work Completiuon time on fualt]]-PA[[#This Row],[Fault Time]])*24</f>
        <v>7.3333333333333339</v>
      </c>
      <c r="Z179" s="153">
        <f>IFERROR((PA[[#This Row],[Work Completiuon time on fualt]]-PA[[#This Row],[Fault Time]])*24,"")</f>
        <v>7.3333333333333339</v>
      </c>
      <c r="AA179" s="307" t="s">
        <v>875</v>
      </c>
      <c r="AB179" s="149" t="s">
        <v>763</v>
      </c>
      <c r="AC179" s="152">
        <f>IFERROR(PA[[#This Row],[Breakdown Time]]*PA[[#This Row],[Plant Equivalent Weightage]],)</f>
        <v>1.9330038440417358E-3</v>
      </c>
      <c r="AD179" s="153">
        <v>2.89</v>
      </c>
      <c r="AE179" s="163">
        <f>IFERROR(_xlfn.XLOOKUP(PA[[#This Row],[Month Year]],'Modelling New'!$D:$D,'Modelling New'!$O:$O)*M179*PA[[#This Row],[Lost PoA(kWh/m2)]],"")</f>
        <v>13.381309222444514</v>
      </c>
      <c r="AF179" s="150"/>
      <c r="AG179" s="150"/>
      <c r="AH179" s="150"/>
    </row>
    <row r="180" spans="1:34" x14ac:dyDescent="0.35">
      <c r="A180" s="147">
        <f t="shared" si="3"/>
        <v>177</v>
      </c>
      <c r="B180" s="183">
        <v>45859</v>
      </c>
      <c r="C180" s="180">
        <f>YEAR(PA[[#This Row],[Date]])+IF(MONTH(PA[[#This Row],[Date]])&gt;=4,1,0)</f>
        <v>2026</v>
      </c>
      <c r="D180" s="155">
        <f>YEAR(PA[[#This Row],[Date]])</f>
        <v>2025</v>
      </c>
      <c r="E180" s="149" t="s">
        <v>4</v>
      </c>
      <c r="F180" s="149" t="s">
        <v>4</v>
      </c>
      <c r="G180" s="310">
        <f>PA[[#This Row],[Date]]-DAY(PA[[#This Row],[Date]])+1</f>
        <v>45839</v>
      </c>
      <c r="H180" s="155">
        <f>DAY(EOMONTH(PA[[#This Row],[Month Year]],0))</f>
        <v>31</v>
      </c>
      <c r="I180" s="151">
        <f>_xlfn.XLOOKUP(PA[[#This Row],[Date]],RD[Date],RD[Sunrise Time (POA&gt;20 W/m2)],0)</f>
        <v>0.2722222222222222</v>
      </c>
      <c r="J180" s="151">
        <f>_xlfn.XLOOKUP(PA[[#This Row],[Date]],RD[Date],RD[Sunset Time (POA&lt;20 W/m2)],0)</f>
        <v>0.78541666666666665</v>
      </c>
      <c r="K180" s="152">
        <f>IFERROR((PA[[#This Row],[Sunset Time (POA&lt;20 W/m2)]]-PA[[#This Row],[Sunrise Time (POA&gt;20 W/m2)]])*24,"")</f>
        <v>12.316666666666668</v>
      </c>
      <c r="L180" s="166" t="s">
        <v>472</v>
      </c>
      <c r="M180" s="180">
        <f>IFERROR(VLOOKUP(PA[[#This Row],[Affceted Equipment]],'Basic Data'!$A$2:$B$125,2,0),"")</f>
        <v>6.4</v>
      </c>
      <c r="N180" s="181">
        <f>IFERROR(VLOOKUP(PA[[#This Row],[Affceted Equipment]],'Basic Data'!$A$1:$C$128,3,0),"")</f>
        <v>2.6359143327841849E-4</v>
      </c>
      <c r="O180" s="166" t="s">
        <v>905</v>
      </c>
      <c r="P180" s="149" t="s">
        <v>755</v>
      </c>
      <c r="Q180" s="149" t="s">
        <v>733</v>
      </c>
      <c r="R180" s="149" t="s">
        <v>907</v>
      </c>
      <c r="S180" s="187">
        <v>0.40277777777777779</v>
      </c>
      <c r="T180" s="187">
        <v>0.40972222222222221</v>
      </c>
      <c r="U180" s="187">
        <v>0.52083333333333337</v>
      </c>
      <c r="V180" s="187">
        <v>0.70833333333333337</v>
      </c>
      <c r="W180" s="182">
        <f>IF(PA[[#This Row],[Acknowledgemnet Time ]]="NA","",(PA[[#This Row],[Acknowledgemnet Time ]]-PA[[#This Row],[Fault Time]])*24)</f>
        <v>0.16666666666666607</v>
      </c>
      <c r="X180" s="182">
        <f>IF(PA[[#This Row],[Work Start time on Fault]]="NA","",(PA[[#This Row],[Work Start time on Fault]]-PA[[#This Row],[Fault Time]])*24)</f>
        <v>2.8333333333333339</v>
      </c>
      <c r="Y180" s="153">
        <f>(PA[[#This Row],[Work Completiuon time on fualt]]-PA[[#This Row],[Fault Time]])*24</f>
        <v>7.3333333333333339</v>
      </c>
      <c r="Z180" s="153">
        <f>IFERROR((PA[[#This Row],[Work Completiuon time on fualt]]-PA[[#This Row],[Fault Time]])*24,"")</f>
        <v>7.3333333333333339</v>
      </c>
      <c r="AA180" s="307" t="s">
        <v>875</v>
      </c>
      <c r="AB180" s="149" t="s">
        <v>763</v>
      </c>
      <c r="AC180" s="152">
        <f>IFERROR(PA[[#This Row],[Breakdown Time]]*PA[[#This Row],[Plant Equivalent Weightage]],)</f>
        <v>1.9330038440417358E-3</v>
      </c>
      <c r="AD180" s="153">
        <v>2.89</v>
      </c>
      <c r="AE180" s="163">
        <f>IFERROR(_xlfn.XLOOKUP(PA[[#This Row],[Month Year]],'Modelling New'!$D:$D,'Modelling New'!$O:$O)*M180*PA[[#This Row],[Lost PoA(kWh/m2)]],"")</f>
        <v>13.381309222444514</v>
      </c>
      <c r="AF180" s="150"/>
      <c r="AG180" s="150"/>
      <c r="AH180" s="150"/>
    </row>
    <row r="181" spans="1:34" x14ac:dyDescent="0.35">
      <c r="A181" s="147">
        <f t="shared" si="3"/>
        <v>178</v>
      </c>
      <c r="B181" s="183">
        <v>45859</v>
      </c>
      <c r="C181" s="180">
        <f>YEAR(PA[[#This Row],[Date]])+IF(MONTH(PA[[#This Row],[Date]])&gt;=4,1,0)</f>
        <v>2026</v>
      </c>
      <c r="D181" s="155">
        <f>YEAR(PA[[#This Row],[Date]])</f>
        <v>2025</v>
      </c>
      <c r="E181" s="149" t="s">
        <v>4</v>
      </c>
      <c r="F181" s="149" t="s">
        <v>4</v>
      </c>
      <c r="G181" s="310">
        <f>PA[[#This Row],[Date]]-DAY(PA[[#This Row],[Date]])+1</f>
        <v>45839</v>
      </c>
      <c r="H181" s="155">
        <f>DAY(EOMONTH(PA[[#This Row],[Month Year]],0))</f>
        <v>31</v>
      </c>
      <c r="I181" s="151">
        <f>_xlfn.XLOOKUP(PA[[#This Row],[Date]],RD[Date],RD[Sunrise Time (POA&gt;20 W/m2)],0)</f>
        <v>0.2722222222222222</v>
      </c>
      <c r="J181" s="151">
        <f>_xlfn.XLOOKUP(PA[[#This Row],[Date]],RD[Date],RD[Sunset Time (POA&lt;20 W/m2)],0)</f>
        <v>0.78541666666666665</v>
      </c>
      <c r="K181" s="152">
        <f>IFERROR((PA[[#This Row],[Sunset Time (POA&lt;20 W/m2)]]-PA[[#This Row],[Sunrise Time (POA&gt;20 W/m2)]])*24,"")</f>
        <v>12.316666666666668</v>
      </c>
      <c r="L181" s="166" t="s">
        <v>472</v>
      </c>
      <c r="M181" s="180">
        <f>IFERROR(VLOOKUP(PA[[#This Row],[Affceted Equipment]],'Basic Data'!$A$2:$B$125,2,0),"")</f>
        <v>6.4</v>
      </c>
      <c r="N181" s="181">
        <f>IFERROR(VLOOKUP(PA[[#This Row],[Affceted Equipment]],'Basic Data'!$A$1:$C$128,3,0),"")</f>
        <v>2.6359143327841849E-4</v>
      </c>
      <c r="O181" s="166" t="s">
        <v>908</v>
      </c>
      <c r="P181" s="149" t="s">
        <v>755</v>
      </c>
      <c r="Q181" s="149" t="s">
        <v>733</v>
      </c>
      <c r="R181" s="149" t="s">
        <v>909</v>
      </c>
      <c r="S181" s="187">
        <v>0.40277777777777779</v>
      </c>
      <c r="T181" s="187">
        <v>0.40972222222222221</v>
      </c>
      <c r="U181" s="187">
        <v>0.52083333333333337</v>
      </c>
      <c r="V181" s="187">
        <v>0.70833333333333337</v>
      </c>
      <c r="W181" s="182">
        <f>IF(PA[[#This Row],[Acknowledgemnet Time ]]="NA","",(PA[[#This Row],[Acknowledgemnet Time ]]-PA[[#This Row],[Fault Time]])*24)</f>
        <v>0.16666666666666607</v>
      </c>
      <c r="X181" s="182">
        <f>IF(PA[[#This Row],[Work Start time on Fault]]="NA","",(PA[[#This Row],[Work Start time on Fault]]-PA[[#This Row],[Fault Time]])*24)</f>
        <v>2.8333333333333339</v>
      </c>
      <c r="Y181" s="153">
        <f>(PA[[#This Row],[Work Completiuon time on fualt]]-PA[[#This Row],[Fault Time]])*24</f>
        <v>7.3333333333333339</v>
      </c>
      <c r="Z181" s="153">
        <f>IFERROR((PA[[#This Row],[Work Completiuon time on fualt]]-PA[[#This Row],[Fault Time]])*24,"")</f>
        <v>7.3333333333333339</v>
      </c>
      <c r="AA181" s="307" t="s">
        <v>875</v>
      </c>
      <c r="AB181" s="149" t="s">
        <v>763</v>
      </c>
      <c r="AC181" s="152">
        <f>IFERROR(PA[[#This Row],[Breakdown Time]]*PA[[#This Row],[Plant Equivalent Weightage]],)</f>
        <v>1.9330038440417358E-3</v>
      </c>
      <c r="AD181" s="153">
        <v>2.89</v>
      </c>
      <c r="AE181" s="163">
        <f>IFERROR(_xlfn.XLOOKUP(PA[[#This Row],[Month Year]],'Modelling New'!$D:$D,'Modelling New'!$O:$O)*M181*PA[[#This Row],[Lost PoA(kWh/m2)]],"")</f>
        <v>13.381309222444514</v>
      </c>
      <c r="AF181" s="150"/>
      <c r="AG181" s="150"/>
      <c r="AH181" s="150"/>
    </row>
    <row r="182" spans="1:34" x14ac:dyDescent="0.35">
      <c r="A182" s="147">
        <f t="shared" si="3"/>
        <v>179</v>
      </c>
      <c r="B182" s="183">
        <v>45859</v>
      </c>
      <c r="C182" s="180">
        <f>YEAR(PA[[#This Row],[Date]])+IF(MONTH(PA[[#This Row],[Date]])&gt;=4,1,0)</f>
        <v>2026</v>
      </c>
      <c r="D182" s="155">
        <f>YEAR(PA[[#This Row],[Date]])</f>
        <v>2025</v>
      </c>
      <c r="E182" s="149" t="s">
        <v>4</v>
      </c>
      <c r="F182" s="149" t="s">
        <v>4</v>
      </c>
      <c r="G182" s="310">
        <f>PA[[#This Row],[Date]]-DAY(PA[[#This Row],[Date]])+1</f>
        <v>45839</v>
      </c>
      <c r="H182" s="155">
        <f>DAY(EOMONTH(PA[[#This Row],[Month Year]],0))</f>
        <v>31</v>
      </c>
      <c r="I182" s="151">
        <f>_xlfn.XLOOKUP(PA[[#This Row],[Date]],RD[Date],RD[Sunrise Time (POA&gt;20 W/m2)],0)</f>
        <v>0.2722222222222222</v>
      </c>
      <c r="J182" s="151">
        <f>_xlfn.XLOOKUP(PA[[#This Row],[Date]],RD[Date],RD[Sunset Time (POA&lt;20 W/m2)],0)</f>
        <v>0.78541666666666665</v>
      </c>
      <c r="K182" s="152">
        <f>IFERROR((PA[[#This Row],[Sunset Time (POA&lt;20 W/m2)]]-PA[[#This Row],[Sunrise Time (POA&gt;20 W/m2)]])*24,"")</f>
        <v>12.316666666666668</v>
      </c>
      <c r="L182" s="166" t="s">
        <v>472</v>
      </c>
      <c r="M182" s="180">
        <f>IFERROR(VLOOKUP(PA[[#This Row],[Affceted Equipment]],'Basic Data'!$A$2:$B$125,2,0),"")</f>
        <v>6.4</v>
      </c>
      <c r="N182" s="181">
        <f>IFERROR(VLOOKUP(PA[[#This Row],[Affceted Equipment]],'Basic Data'!$A$1:$C$128,3,0),"")</f>
        <v>2.6359143327841849E-4</v>
      </c>
      <c r="O182" s="166" t="s">
        <v>908</v>
      </c>
      <c r="P182" s="149" t="s">
        <v>755</v>
      </c>
      <c r="Q182" s="149" t="s">
        <v>733</v>
      </c>
      <c r="R182" s="149" t="s">
        <v>910</v>
      </c>
      <c r="S182" s="187">
        <v>0.40277777777777779</v>
      </c>
      <c r="T182" s="187">
        <v>0.40972222222222221</v>
      </c>
      <c r="U182" s="187">
        <v>0.52083333333333337</v>
      </c>
      <c r="V182" s="187">
        <v>0.70833333333333337</v>
      </c>
      <c r="W182" s="182">
        <f>IF(PA[[#This Row],[Acknowledgemnet Time ]]="NA","",(PA[[#This Row],[Acknowledgemnet Time ]]-PA[[#This Row],[Fault Time]])*24)</f>
        <v>0.16666666666666607</v>
      </c>
      <c r="X182" s="182">
        <f>IF(PA[[#This Row],[Work Start time on Fault]]="NA","",(PA[[#This Row],[Work Start time on Fault]]-PA[[#This Row],[Fault Time]])*24)</f>
        <v>2.8333333333333339</v>
      </c>
      <c r="Y182" s="153">
        <f>(PA[[#This Row],[Work Completiuon time on fualt]]-PA[[#This Row],[Fault Time]])*24</f>
        <v>7.3333333333333339</v>
      </c>
      <c r="Z182" s="153">
        <f>IFERROR((PA[[#This Row],[Work Completiuon time on fualt]]-PA[[#This Row],[Fault Time]])*24,"")</f>
        <v>7.3333333333333339</v>
      </c>
      <c r="AA182" s="307" t="s">
        <v>875</v>
      </c>
      <c r="AB182" s="149" t="s">
        <v>763</v>
      </c>
      <c r="AC182" s="152">
        <f>IFERROR(PA[[#This Row],[Breakdown Time]]*PA[[#This Row],[Plant Equivalent Weightage]],)</f>
        <v>1.9330038440417358E-3</v>
      </c>
      <c r="AD182" s="153">
        <v>2.89</v>
      </c>
      <c r="AE182" s="163">
        <f>IFERROR(_xlfn.XLOOKUP(PA[[#This Row],[Month Year]],'Modelling New'!$D:$D,'Modelling New'!$O:$O)*M182*PA[[#This Row],[Lost PoA(kWh/m2)]],"")</f>
        <v>13.381309222444514</v>
      </c>
      <c r="AF182" s="150"/>
      <c r="AG182" s="150"/>
      <c r="AH182" s="150"/>
    </row>
    <row r="183" spans="1:34" x14ac:dyDescent="0.35">
      <c r="A183" s="147">
        <f t="shared" si="3"/>
        <v>180</v>
      </c>
      <c r="B183" s="183">
        <v>45859</v>
      </c>
      <c r="C183" s="180">
        <f>YEAR(PA[[#This Row],[Date]])+IF(MONTH(PA[[#This Row],[Date]])&gt;=4,1,0)</f>
        <v>2026</v>
      </c>
      <c r="D183" s="155">
        <f>YEAR(PA[[#This Row],[Date]])</f>
        <v>2025</v>
      </c>
      <c r="E183" s="149" t="s">
        <v>4</v>
      </c>
      <c r="F183" s="149" t="s">
        <v>4</v>
      </c>
      <c r="G183" s="310">
        <f>PA[[#This Row],[Date]]-DAY(PA[[#This Row],[Date]])+1</f>
        <v>45839</v>
      </c>
      <c r="H183" s="155">
        <f>DAY(EOMONTH(PA[[#This Row],[Month Year]],0))</f>
        <v>31</v>
      </c>
      <c r="I183" s="151">
        <f>_xlfn.XLOOKUP(PA[[#This Row],[Date]],RD[Date],RD[Sunrise Time (POA&gt;20 W/m2)],0)</f>
        <v>0.2722222222222222</v>
      </c>
      <c r="J183" s="151">
        <f>_xlfn.XLOOKUP(PA[[#This Row],[Date]],RD[Date],RD[Sunset Time (POA&lt;20 W/m2)],0)</f>
        <v>0.78541666666666665</v>
      </c>
      <c r="K183" s="152">
        <f>IFERROR((PA[[#This Row],[Sunset Time (POA&lt;20 W/m2)]]-PA[[#This Row],[Sunrise Time (POA&gt;20 W/m2)]])*24,"")</f>
        <v>12.316666666666668</v>
      </c>
      <c r="L183" s="166" t="s">
        <v>472</v>
      </c>
      <c r="M183" s="180">
        <f>IFERROR(VLOOKUP(PA[[#This Row],[Affceted Equipment]],'Basic Data'!$A$2:$B$125,2,0),"")</f>
        <v>6.4</v>
      </c>
      <c r="N183" s="181">
        <f>IFERROR(VLOOKUP(PA[[#This Row],[Affceted Equipment]],'Basic Data'!$A$1:$C$128,3,0),"")</f>
        <v>2.6359143327841849E-4</v>
      </c>
      <c r="O183" s="166" t="s">
        <v>908</v>
      </c>
      <c r="P183" s="149" t="s">
        <v>755</v>
      </c>
      <c r="Q183" s="149" t="s">
        <v>733</v>
      </c>
      <c r="R183" s="149" t="s">
        <v>911</v>
      </c>
      <c r="S183" s="187">
        <v>0.40277777777777779</v>
      </c>
      <c r="T183" s="187">
        <v>0.40972222222222221</v>
      </c>
      <c r="U183" s="187">
        <v>0.52083333333333337</v>
      </c>
      <c r="V183" s="187">
        <v>0.70833333333333337</v>
      </c>
      <c r="W183" s="182">
        <f>IF(PA[[#This Row],[Acknowledgemnet Time ]]="NA","",(PA[[#This Row],[Acknowledgemnet Time ]]-PA[[#This Row],[Fault Time]])*24)</f>
        <v>0.16666666666666607</v>
      </c>
      <c r="X183" s="182">
        <f>IF(PA[[#This Row],[Work Start time on Fault]]="NA","",(PA[[#This Row],[Work Start time on Fault]]-PA[[#This Row],[Fault Time]])*24)</f>
        <v>2.8333333333333339</v>
      </c>
      <c r="Y183" s="153">
        <f>(PA[[#This Row],[Work Completiuon time on fualt]]-PA[[#This Row],[Fault Time]])*24</f>
        <v>7.3333333333333339</v>
      </c>
      <c r="Z183" s="153">
        <f>IFERROR((PA[[#This Row],[Work Completiuon time on fualt]]-PA[[#This Row],[Fault Time]])*24,"")</f>
        <v>7.3333333333333339</v>
      </c>
      <c r="AA183" s="307" t="s">
        <v>875</v>
      </c>
      <c r="AB183" s="149" t="s">
        <v>763</v>
      </c>
      <c r="AC183" s="152">
        <f>IFERROR(PA[[#This Row],[Breakdown Time]]*PA[[#This Row],[Plant Equivalent Weightage]],)</f>
        <v>1.9330038440417358E-3</v>
      </c>
      <c r="AD183" s="153">
        <v>2.89</v>
      </c>
      <c r="AE183" s="163">
        <f>IFERROR(_xlfn.XLOOKUP(PA[[#This Row],[Month Year]],'Modelling New'!$D:$D,'Modelling New'!$O:$O)*M183*PA[[#This Row],[Lost PoA(kWh/m2)]],"")</f>
        <v>13.381309222444514</v>
      </c>
      <c r="AF183" s="150"/>
      <c r="AG183" s="150"/>
      <c r="AH183" s="150"/>
    </row>
    <row r="184" spans="1:34" x14ac:dyDescent="0.35">
      <c r="A184" s="147">
        <f t="shared" si="3"/>
        <v>181</v>
      </c>
      <c r="B184" s="183">
        <v>45860</v>
      </c>
      <c r="C184" s="180">
        <f>YEAR(PA[[#This Row],[Date]])+IF(MONTH(PA[[#This Row],[Date]])&gt;=4,1,0)</f>
        <v>2026</v>
      </c>
      <c r="D184" s="155">
        <f>YEAR(PA[[#This Row],[Date]])</f>
        <v>2025</v>
      </c>
      <c r="E184" s="149" t="s">
        <v>4</v>
      </c>
      <c r="F184" s="149" t="s">
        <v>4</v>
      </c>
      <c r="G184" s="310">
        <f>PA[[#This Row],[Date]]-DAY(PA[[#This Row],[Date]])+1</f>
        <v>45839</v>
      </c>
      <c r="H184" s="155">
        <f>DAY(EOMONTH(PA[[#This Row],[Month Year]],0))</f>
        <v>31</v>
      </c>
      <c r="I184" s="151">
        <f>_xlfn.XLOOKUP(PA[[#This Row],[Date]],RD[Date],RD[Sunrise Time (POA&gt;20 W/m2)],0)</f>
        <v>0.30902777777777779</v>
      </c>
      <c r="J184" s="151">
        <f>_xlfn.XLOOKUP(PA[[#This Row],[Date]],RD[Date],RD[Sunset Time (POA&lt;20 W/m2)],0)</f>
        <v>0.78263888888888888</v>
      </c>
      <c r="K184" s="152">
        <f>IFERROR((PA[[#This Row],[Sunset Time (POA&lt;20 W/m2)]]-PA[[#This Row],[Sunrise Time (POA&gt;20 W/m2)]])*24,"")</f>
        <v>11.366666666666667</v>
      </c>
      <c r="L184" s="166" t="s">
        <v>200</v>
      </c>
      <c r="M184" s="180">
        <f>IFERROR(VLOOKUP(PA[[#This Row],[Affceted Equipment]],'Basic Data'!$A$2:$B$125,2,0),"")</f>
        <v>1228.8</v>
      </c>
      <c r="N184" s="181">
        <f>IFERROR(VLOOKUP(PA[[#This Row],[Affceted Equipment]],'Basic Data'!$A$1:$C$128,3,0),"")</f>
        <v>5.060955518945634E-2</v>
      </c>
      <c r="O184" s="166" t="s">
        <v>200</v>
      </c>
      <c r="P184" s="149" t="s">
        <v>755</v>
      </c>
      <c r="Q184" s="149" t="s">
        <v>733</v>
      </c>
      <c r="R184" s="149" t="s">
        <v>882</v>
      </c>
      <c r="S184" s="187">
        <v>0.41666666666666669</v>
      </c>
      <c r="T184" s="187">
        <v>0.42708333333333331</v>
      </c>
      <c r="U184" s="187">
        <v>0.42708333333333331</v>
      </c>
      <c r="V184" s="187">
        <v>0.55555555555555558</v>
      </c>
      <c r="W184" s="182">
        <f>IF(PA[[#This Row],[Acknowledgemnet Time ]]="NA","",(PA[[#This Row],[Acknowledgemnet Time ]]-PA[[#This Row],[Fault Time]])*24)</f>
        <v>0.24999999999999911</v>
      </c>
      <c r="X184" s="182">
        <f>IF(PA[[#This Row],[Work Start time on Fault]]="NA","",(PA[[#This Row],[Work Start time on Fault]]-PA[[#This Row],[Fault Time]])*24)</f>
        <v>0.24999999999999911</v>
      </c>
      <c r="Y184" s="153">
        <f>(PA[[#This Row],[Work Completiuon time on fualt]]-PA[[#This Row],[Fault Time]])*24</f>
        <v>3.3333333333333335</v>
      </c>
      <c r="Z184" s="153">
        <f>IFERROR((PA[[#This Row],[Work Completiuon time on fualt]]-PA[[#This Row],[Fault Time]])*24,"")</f>
        <v>3.3333333333333335</v>
      </c>
      <c r="AA184" s="312" t="s">
        <v>863</v>
      </c>
      <c r="AB184" s="149" t="s">
        <v>763</v>
      </c>
      <c r="AC184" s="152">
        <f>IFERROR(PA[[#This Row],[Breakdown Time]]*PA[[#This Row],[Plant Equivalent Weightage]],)</f>
        <v>0.1686985172981878</v>
      </c>
      <c r="AD184" s="153">
        <v>0.80900000000000005</v>
      </c>
      <c r="AE184" s="163">
        <f>IFERROR(_xlfn.XLOOKUP(PA[[#This Row],[Month Year]],'Modelling New'!$D:$D,'Modelling New'!$O:$O)*M184*PA[[#This Row],[Lost PoA(kWh/m2)]],"")</f>
        <v>719.20138370375844</v>
      </c>
      <c r="AF184" s="150"/>
      <c r="AG184" s="150"/>
      <c r="AH184" s="150"/>
    </row>
    <row r="185" spans="1:34" x14ac:dyDescent="0.35">
      <c r="A185" s="147">
        <f t="shared" si="3"/>
        <v>182</v>
      </c>
      <c r="B185" s="183">
        <v>45860</v>
      </c>
      <c r="C185" s="180">
        <f>YEAR(PA[[#This Row],[Date]])+IF(MONTH(PA[[#This Row],[Date]])&gt;=4,1,0)</f>
        <v>2026</v>
      </c>
      <c r="D185" s="155">
        <f>YEAR(PA[[#This Row],[Date]])</f>
        <v>2025</v>
      </c>
      <c r="E185" s="149" t="s">
        <v>4</v>
      </c>
      <c r="F185" s="149" t="s">
        <v>4</v>
      </c>
      <c r="G185" s="310">
        <f>PA[[#This Row],[Date]]-DAY(PA[[#This Row],[Date]])+1</f>
        <v>45839</v>
      </c>
      <c r="H185" s="155">
        <f>DAY(EOMONTH(PA[[#This Row],[Month Year]],0))</f>
        <v>31</v>
      </c>
      <c r="I185" s="151">
        <f>_xlfn.XLOOKUP(PA[[#This Row],[Date]],RD[Date],RD[Sunrise Time (POA&gt;20 W/m2)],0)</f>
        <v>0.30902777777777779</v>
      </c>
      <c r="J185" s="151">
        <f>_xlfn.XLOOKUP(PA[[#This Row],[Date]],RD[Date],RD[Sunset Time (POA&lt;20 W/m2)],0)</f>
        <v>0.78263888888888888</v>
      </c>
      <c r="K185" s="152">
        <f>IFERROR((PA[[#This Row],[Sunset Time (POA&lt;20 W/m2)]]-PA[[#This Row],[Sunrise Time (POA&gt;20 W/m2)]])*24,"")</f>
        <v>11.366666666666667</v>
      </c>
      <c r="L185" s="149" t="s">
        <v>214</v>
      </c>
      <c r="M185" s="180">
        <f>IFERROR(VLOOKUP(PA[[#This Row],[Affceted Equipment]],'Basic Data'!$A$2:$B$125,2,0),"")</f>
        <v>1228.5</v>
      </c>
      <c r="N185" s="181">
        <f>IFERROR(VLOOKUP(PA[[#This Row],[Affceted Equipment]],'Basic Data'!$A$1:$C$128,3,0),"")</f>
        <v>5.0597199341021415E-2</v>
      </c>
      <c r="O185" s="166" t="s">
        <v>214</v>
      </c>
      <c r="P185" s="217" t="s">
        <v>739</v>
      </c>
      <c r="Q185" s="217" t="s">
        <v>740</v>
      </c>
      <c r="R185" s="149" t="s">
        <v>741</v>
      </c>
      <c r="S185" s="187">
        <v>0.46666666666666667</v>
      </c>
      <c r="T185" s="187">
        <v>0.47222222222222221</v>
      </c>
      <c r="U185" s="187">
        <v>0.47638888888888886</v>
      </c>
      <c r="V185" s="187">
        <v>0.58333333333333337</v>
      </c>
      <c r="W185" s="182">
        <f>IF(PA[[#This Row],[Acknowledgemnet Time ]]="NA","",(PA[[#This Row],[Acknowledgemnet Time ]]-PA[[#This Row],[Fault Time]])*24)</f>
        <v>0.13333333333333286</v>
      </c>
      <c r="X185" s="182">
        <f>IF(PA[[#This Row],[Work Start time on Fault]]="NA","",(PA[[#This Row],[Work Start time on Fault]]-PA[[#This Row],[Fault Time]])*24)</f>
        <v>0.2333333333333325</v>
      </c>
      <c r="Y185" s="153">
        <f>(PA[[#This Row],[Work Completiuon time on fualt]]-PA[[#This Row],[Fault Time]])*24</f>
        <v>2.8000000000000007</v>
      </c>
      <c r="Z185" s="153">
        <f>IFERROR((PA[[#This Row],[Work Completiuon time on fualt]]-PA[[#This Row],[Fault Time]])*24,"")</f>
        <v>2.8000000000000007</v>
      </c>
      <c r="AA185" s="312" t="s">
        <v>742</v>
      </c>
      <c r="AB185" s="149" t="s">
        <v>763</v>
      </c>
      <c r="AC185" s="152">
        <f>IFERROR(PA[[#This Row],[Breakdown Time]]*PA[[#This Row],[Plant Equivalent Weightage]],)</f>
        <v>0.14167215815486001</v>
      </c>
      <c r="AD185" s="153">
        <v>0.78500000000000003</v>
      </c>
      <c r="AE185" s="163">
        <f>IFERROR(_xlfn.XLOOKUP(PA[[#This Row],[Month Year]],'Modelling New'!$D:$D,'Modelling New'!$O:$O)*M185*PA[[#This Row],[Lost PoA(kWh/m2)]],"")</f>
        <v>697.69499503254065</v>
      </c>
      <c r="AF185" s="150"/>
      <c r="AG185" s="150"/>
      <c r="AH185" s="150"/>
    </row>
    <row r="186" spans="1:34" x14ac:dyDescent="0.35">
      <c r="A186" s="147">
        <f t="shared" si="3"/>
        <v>183</v>
      </c>
      <c r="B186" s="183">
        <v>45864</v>
      </c>
      <c r="C186" s="180">
        <f>YEAR(PA[[#This Row],[Date]])+IF(MONTH(PA[[#This Row],[Date]])&gt;=4,1,0)</f>
        <v>2026</v>
      </c>
      <c r="D186" s="155">
        <f>YEAR(PA[[#This Row],[Date]])</f>
        <v>2025</v>
      </c>
      <c r="E186" s="149" t="s">
        <v>4</v>
      </c>
      <c r="F186" s="149" t="s">
        <v>4</v>
      </c>
      <c r="G186" s="310">
        <f>PA[[#This Row],[Date]]-DAY(PA[[#This Row],[Date]])+1</f>
        <v>45839</v>
      </c>
      <c r="H186" s="155">
        <f>DAY(EOMONTH(PA[[#This Row],[Month Year]],0))</f>
        <v>31</v>
      </c>
      <c r="I186" s="151">
        <f>_xlfn.XLOOKUP(PA[[#This Row],[Date]],RD[Date],RD[Sunrise Time (POA&gt;20 W/m2)],0)</f>
        <v>0.28958333333333336</v>
      </c>
      <c r="J186" s="151">
        <f>_xlfn.XLOOKUP(PA[[#This Row],[Date]],RD[Date],RD[Sunset Time (POA&lt;20 W/m2)],0)</f>
        <v>0.7680555555555556</v>
      </c>
      <c r="K186" s="152">
        <f>IFERROR((PA[[#This Row],[Sunset Time (POA&lt;20 W/m2)]]-PA[[#This Row],[Sunrise Time (POA&gt;20 W/m2)]])*24,"")</f>
        <v>11.483333333333334</v>
      </c>
      <c r="L186" s="166" t="s">
        <v>168</v>
      </c>
      <c r="M186" s="180">
        <v>24213.794999999998</v>
      </c>
      <c r="N186" s="181">
        <v>0.99727327018121903</v>
      </c>
      <c r="O186" s="166" t="s">
        <v>168</v>
      </c>
      <c r="P186" s="149" t="s">
        <v>170</v>
      </c>
      <c r="Q186" s="149" t="s">
        <v>717</v>
      </c>
      <c r="R186" s="154" t="s">
        <v>912</v>
      </c>
      <c r="S186" s="187">
        <v>0.28958333333333336</v>
      </c>
      <c r="T186" s="187">
        <v>0.29166666666666669</v>
      </c>
      <c r="U186" s="187">
        <v>0.29166666666666669</v>
      </c>
      <c r="V186" s="187">
        <v>0.31944444444444442</v>
      </c>
      <c r="W186" s="182">
        <f>IF(PA[[#This Row],[Acknowledgemnet Time ]]="NA","",(PA[[#This Row],[Acknowledgemnet Time ]]-PA[[#This Row],[Fault Time]])*24)</f>
        <v>4.9999999999999822E-2</v>
      </c>
      <c r="X186" s="182">
        <f>IF(PA[[#This Row],[Work Start time on Fault]]="NA","",(PA[[#This Row],[Work Start time on Fault]]-PA[[#This Row],[Fault Time]])*24)</f>
        <v>4.9999999999999822E-2</v>
      </c>
      <c r="Y186" s="153">
        <f>(PA[[#This Row],[Work Completiuon time on fualt]]-PA[[#This Row],[Fault Time]])*24</f>
        <v>0.71666666666666545</v>
      </c>
      <c r="Z186" s="153">
        <f>IFERROR((PA[[#This Row],[Work Completiuon time on fualt]]-PA[[#This Row],[Fault Time]])*24,"")</f>
        <v>0.71666666666666545</v>
      </c>
      <c r="AA186" s="312" t="s">
        <v>913</v>
      </c>
      <c r="AB186" s="149" t="s">
        <v>763</v>
      </c>
      <c r="AC186" s="152">
        <f>IFERROR(PA[[#This Row],[Breakdown Time]]*PA[[#This Row],[Plant Equivalent Weightage]],)</f>
        <v>0.71471251029653904</v>
      </c>
      <c r="AD186" s="153">
        <v>8.5999999999999993E-2</v>
      </c>
      <c r="AE186" s="163">
        <f>IFERROR(_xlfn.XLOOKUP(PA[[#This Row],[Month Year]],'Modelling New'!$D:$D,'Modelling New'!$O:$O)*M186*PA[[#This Row],[Lost PoA(kWh/m2)]],"")</f>
        <v>1506.5449793238404</v>
      </c>
      <c r="AF186" s="150"/>
      <c r="AG186" s="150"/>
      <c r="AH186" s="150"/>
    </row>
    <row r="187" spans="1:34" x14ac:dyDescent="0.35">
      <c r="A187" s="147">
        <f t="shared" si="3"/>
        <v>184</v>
      </c>
      <c r="B187" s="183">
        <v>45864</v>
      </c>
      <c r="C187" s="180">
        <f>YEAR(PA[[#This Row],[Date]])+IF(MONTH(PA[[#This Row],[Date]])&gt;=4,1,0)</f>
        <v>2026</v>
      </c>
      <c r="D187" s="155">
        <f>YEAR(PA[[#This Row],[Date]])</f>
        <v>2025</v>
      </c>
      <c r="E187" s="149" t="s">
        <v>4</v>
      </c>
      <c r="F187" s="149" t="s">
        <v>4</v>
      </c>
      <c r="G187" s="310">
        <f>PA[[#This Row],[Date]]-DAY(PA[[#This Row],[Date]])+1</f>
        <v>45839</v>
      </c>
      <c r="H187" s="155">
        <f>DAY(EOMONTH(PA[[#This Row],[Month Year]],0))</f>
        <v>31</v>
      </c>
      <c r="I187" s="151">
        <f>_xlfn.XLOOKUP(PA[[#This Row],[Date]],RD[Date],RD[Sunrise Time (POA&gt;20 W/m2)],0)</f>
        <v>0.28958333333333336</v>
      </c>
      <c r="J187" s="151">
        <f>_xlfn.XLOOKUP(PA[[#This Row],[Date]],RD[Date],RD[Sunset Time (POA&lt;20 W/m2)],0)</f>
        <v>0.7680555555555556</v>
      </c>
      <c r="K187" s="152">
        <f>IFERROR((PA[[#This Row],[Sunset Time (POA&lt;20 W/m2)]]-PA[[#This Row],[Sunrise Time (POA&gt;20 W/m2)]])*24,"")</f>
        <v>11.483333333333334</v>
      </c>
      <c r="L187" s="166" t="s">
        <v>464</v>
      </c>
      <c r="M187" s="180">
        <f>IFERROR(VLOOKUP(PA[[#This Row],[Affceted Equipment]],'Basic Data'!$A$2:$B$125,2,0),"")</f>
        <v>2300</v>
      </c>
      <c r="N187" s="181">
        <f>IFERROR(VLOOKUP(PA[[#This Row],[Affceted Equipment]],'Basic Data'!$A$1:$C$128,3,0),"")</f>
        <v>9.4728171334431635E-2</v>
      </c>
      <c r="O187" s="166" t="s">
        <v>464</v>
      </c>
      <c r="P187" s="149" t="s">
        <v>857</v>
      </c>
      <c r="Q187" s="166" t="s">
        <v>713</v>
      </c>
      <c r="R187" s="166" t="s">
        <v>914</v>
      </c>
      <c r="S187" s="187">
        <v>0.40277777777777779</v>
      </c>
      <c r="T187" s="187">
        <v>0.40277777777777779</v>
      </c>
      <c r="U187" s="187">
        <v>0.40277777777777779</v>
      </c>
      <c r="V187" s="187">
        <v>0.7680555555555556</v>
      </c>
      <c r="W187" s="182">
        <f>IF(PA[[#This Row],[Acknowledgemnet Time ]]="NA","",(PA[[#This Row],[Acknowledgemnet Time ]]-PA[[#This Row],[Fault Time]])*24)</f>
        <v>0</v>
      </c>
      <c r="X187" s="182">
        <f>IF(PA[[#This Row],[Work Start time on Fault]]="NA","",(PA[[#This Row],[Work Start time on Fault]]-PA[[#This Row],[Fault Time]])*24)</f>
        <v>0</v>
      </c>
      <c r="Y187" s="153">
        <f>(PA[[#This Row],[Work Completiuon time on fualt]]-PA[[#This Row],[Fault Time]])*24</f>
        <v>8.7666666666666675</v>
      </c>
      <c r="Z187" s="153">
        <f>IFERROR((PA[[#This Row],[Work Completiuon time on fualt]]-PA[[#This Row],[Fault Time]])*24,"")</f>
        <v>8.7666666666666675</v>
      </c>
      <c r="AA187" s="312" t="s">
        <v>731</v>
      </c>
      <c r="AB187" s="149" t="s">
        <v>915</v>
      </c>
      <c r="AC187" s="152">
        <f>IFERROR(PA[[#This Row],[Breakdown Time]]*PA[[#This Row],[Plant Equivalent Weightage]],)</f>
        <v>0.83045030203185077</v>
      </c>
      <c r="AD187" s="153">
        <v>1.1200000000000001</v>
      </c>
      <c r="AE187" s="163">
        <f>IFERROR(_xlfn.XLOOKUP(PA[[#This Row],[Month Year]],'Modelling New'!$D:$D,'Modelling New'!$O:$O)*M187*PA[[#This Row],[Lost PoA(kWh/m2)]],"")</f>
        <v>1863.6598484546428</v>
      </c>
      <c r="AF187" s="150"/>
      <c r="AG187" s="150"/>
      <c r="AH187" s="150"/>
    </row>
    <row r="188" spans="1:34" x14ac:dyDescent="0.35">
      <c r="A188" s="147">
        <f t="shared" si="3"/>
        <v>185</v>
      </c>
      <c r="B188" s="183">
        <v>45865</v>
      </c>
      <c r="C188" s="180">
        <f>YEAR(PA[[#This Row],[Date]])+IF(MONTH(PA[[#This Row],[Date]])&gt;=4,1,0)</f>
        <v>2026</v>
      </c>
      <c r="D188" s="155">
        <f>YEAR(PA[[#This Row],[Date]])</f>
        <v>2025</v>
      </c>
      <c r="E188" s="149" t="s">
        <v>4</v>
      </c>
      <c r="F188" s="149" t="s">
        <v>4</v>
      </c>
      <c r="G188" s="310">
        <f>PA[[#This Row],[Date]]-DAY(PA[[#This Row],[Date]])+1</f>
        <v>45839</v>
      </c>
      <c r="H188" s="155">
        <f>DAY(EOMONTH(PA[[#This Row],[Month Year]],0))</f>
        <v>31</v>
      </c>
      <c r="I188" s="151">
        <f>_xlfn.XLOOKUP(PA[[#This Row],[Date]],RD[Date],RD[Sunrise Time (POA&gt;20 W/m2)],0)</f>
        <v>0.27638888888888891</v>
      </c>
      <c r="J188" s="151">
        <f>_xlfn.XLOOKUP(PA[[#This Row],[Date]],RD[Date],RD[Sunset Time (POA&lt;20 W/m2)],0)</f>
        <v>0.78055555555555556</v>
      </c>
      <c r="K188" s="152">
        <f>IFERROR((PA[[#This Row],[Sunset Time (POA&lt;20 W/m2)]]-PA[[#This Row],[Sunrise Time (POA&gt;20 W/m2)]])*24,"")</f>
        <v>12.1</v>
      </c>
      <c r="L188" s="166" t="s">
        <v>464</v>
      </c>
      <c r="M188" s="180">
        <v>2300</v>
      </c>
      <c r="N188" s="181">
        <v>9.4728171334431635E-2</v>
      </c>
      <c r="O188" s="166" t="s">
        <v>464</v>
      </c>
      <c r="P188" s="149" t="s">
        <v>857</v>
      </c>
      <c r="Q188" s="149" t="s">
        <v>713</v>
      </c>
      <c r="R188" s="166" t="s">
        <v>914</v>
      </c>
      <c r="S188" s="187">
        <v>0.27638888888888891</v>
      </c>
      <c r="T188" s="187">
        <v>0.27638888888888891</v>
      </c>
      <c r="U188" s="187">
        <v>0.27638888888888891</v>
      </c>
      <c r="V188" s="187">
        <v>0.66319444444444442</v>
      </c>
      <c r="W188" s="182">
        <f>IF(PA[[#This Row],[Acknowledgemnet Time ]]="NA","",(PA[[#This Row],[Acknowledgemnet Time ]]-PA[[#This Row],[Fault Time]])*24)</f>
        <v>0</v>
      </c>
      <c r="X188" s="182">
        <f>IF(PA[[#This Row],[Work Start time on Fault]]="NA","",(PA[[#This Row],[Work Start time on Fault]]-PA[[#This Row],[Fault Time]])*24)</f>
        <v>0</v>
      </c>
      <c r="Y188" s="153">
        <f>(PA[[#This Row],[Work Completiuon time on fualt]]-PA[[#This Row],[Fault Time]])*24</f>
        <v>9.2833333333333314</v>
      </c>
      <c r="Z188" s="153">
        <f>IFERROR((PA[[#This Row],[Work Completiuon time on fualt]]-PA[[#This Row],[Fault Time]])*24,"")</f>
        <v>9.2833333333333314</v>
      </c>
      <c r="AA188" s="312" t="s">
        <v>762</v>
      </c>
      <c r="AB188" s="149" t="s">
        <v>763</v>
      </c>
      <c r="AC188" s="152">
        <f>IFERROR(PA[[#This Row],[Breakdown Time]]*PA[[#This Row],[Plant Equivalent Weightage]],)</f>
        <v>0.87939319055464016</v>
      </c>
      <c r="AD188" s="153">
        <v>2.97</v>
      </c>
      <c r="AE188" s="163">
        <f>IFERROR(_xlfn.XLOOKUP(PA[[#This Row],[Month Year]],'Modelling New'!$D:$D,'Modelling New'!$O:$O)*M188*PA[[#This Row],[Lost PoA(kWh/m2)]],"")</f>
        <v>4942.026562419901</v>
      </c>
      <c r="AF188" s="150"/>
      <c r="AG188" s="150"/>
      <c r="AH188" s="150"/>
    </row>
    <row r="189" spans="1:34" x14ac:dyDescent="0.35">
      <c r="A189" s="147">
        <f t="shared" si="3"/>
        <v>186</v>
      </c>
      <c r="B189" s="183">
        <v>45865</v>
      </c>
      <c r="C189" s="180">
        <f>YEAR(PA[[#This Row],[Date]])+IF(MONTH(PA[[#This Row],[Date]])&gt;=4,1,0)</f>
        <v>2026</v>
      </c>
      <c r="D189" s="155">
        <f>YEAR(PA[[#This Row],[Date]])</f>
        <v>2025</v>
      </c>
      <c r="E189" s="149" t="s">
        <v>4</v>
      </c>
      <c r="F189" s="149" t="s">
        <v>4</v>
      </c>
      <c r="G189" s="310">
        <f>PA[[#This Row],[Date]]-DAY(PA[[#This Row],[Date]])+1</f>
        <v>45839</v>
      </c>
      <c r="H189" s="155">
        <f>DAY(EOMONTH(PA[[#This Row],[Month Year]],0))</f>
        <v>31</v>
      </c>
      <c r="I189" s="151">
        <f>_xlfn.XLOOKUP(PA[[#This Row],[Date]],RD[Date],RD[Sunrise Time (POA&gt;20 W/m2)],0)</f>
        <v>0.27638888888888891</v>
      </c>
      <c r="J189" s="151">
        <f>_xlfn.XLOOKUP(PA[[#This Row],[Date]],RD[Date],RD[Sunset Time (POA&lt;20 W/m2)],0)</f>
        <v>0.78055555555555556</v>
      </c>
      <c r="K189" s="152">
        <f>IFERROR((PA[[#This Row],[Sunset Time (POA&lt;20 W/m2)]]-PA[[#This Row],[Sunrise Time (POA&gt;20 W/m2)]])*24,"")</f>
        <v>12.1</v>
      </c>
      <c r="L189" s="166" t="s">
        <v>200</v>
      </c>
      <c r="M189" s="180">
        <f>IFERROR(VLOOKUP(PA[[#This Row],[Affceted Equipment]],'Basic Data'!$A$2:$B$125,2,0),"")</f>
        <v>1228.8</v>
      </c>
      <c r="N189" s="181">
        <f>IFERROR(VLOOKUP(PA[[#This Row],[Affceted Equipment]],'Basic Data'!$A$1:$C$128,3,0),"")</f>
        <v>5.060955518945634E-2</v>
      </c>
      <c r="O189" s="166" t="s">
        <v>200</v>
      </c>
      <c r="P189" s="149" t="s">
        <v>755</v>
      </c>
      <c r="Q189" s="149" t="s">
        <v>733</v>
      </c>
      <c r="R189" s="149" t="s">
        <v>882</v>
      </c>
      <c r="S189" s="187">
        <v>0.43055555555555558</v>
      </c>
      <c r="T189" s="187">
        <v>0.43055555555555558</v>
      </c>
      <c r="U189" s="187">
        <v>0.43055555555555558</v>
      </c>
      <c r="V189" s="187">
        <v>0.56597222222222221</v>
      </c>
      <c r="W189" s="182">
        <f>IF(PA[[#This Row],[Acknowledgemnet Time ]]="NA","",(PA[[#This Row],[Acknowledgemnet Time ]]-PA[[#This Row],[Fault Time]])*24)</f>
        <v>0</v>
      </c>
      <c r="X189" s="182">
        <f>IF(PA[[#This Row],[Work Start time on Fault]]="NA","",(PA[[#This Row],[Work Start time on Fault]]-PA[[#This Row],[Fault Time]])*24)</f>
        <v>0</v>
      </c>
      <c r="Y189" s="153">
        <f>(PA[[#This Row],[Work Completiuon time on fualt]]-PA[[#This Row],[Fault Time]])*24</f>
        <v>3.2499999999999991</v>
      </c>
      <c r="Z189" s="153">
        <f>IFERROR((PA[[#This Row],[Work Completiuon time on fualt]]-PA[[#This Row],[Fault Time]])*24,"")</f>
        <v>3.2499999999999991</v>
      </c>
      <c r="AA189" s="312" t="s">
        <v>863</v>
      </c>
      <c r="AB189" s="149" t="s">
        <v>763</v>
      </c>
      <c r="AC189" s="152">
        <f>IFERROR(PA[[#This Row],[Breakdown Time]]*PA[[#This Row],[Plant Equivalent Weightage]],)</f>
        <v>0.16448105436573307</v>
      </c>
      <c r="AD189" s="153">
        <v>1.7649999999999999</v>
      </c>
      <c r="AE189" s="163">
        <f>IFERROR(_xlfn.XLOOKUP(PA[[#This Row],[Month Year]],'Modelling New'!$D:$D,'Modelling New'!$O:$O)*M189*PA[[#This Row],[Lost PoA(kWh/m2)]],"")</f>
        <v>1569.0858371287188</v>
      </c>
      <c r="AF189" s="150"/>
      <c r="AG189" s="150"/>
      <c r="AH189" s="150"/>
    </row>
    <row r="190" spans="1:34" x14ac:dyDescent="0.35">
      <c r="A190" s="147">
        <f t="shared" si="3"/>
        <v>187</v>
      </c>
      <c r="B190" s="183">
        <v>45866</v>
      </c>
      <c r="C190" s="180">
        <f>YEAR(PA[[#This Row],[Date]])+IF(MONTH(PA[[#This Row],[Date]])&gt;=4,1,0)</f>
        <v>2026</v>
      </c>
      <c r="D190" s="155">
        <f>YEAR(PA[[#This Row],[Date]])</f>
        <v>2025</v>
      </c>
      <c r="E190" s="149" t="s">
        <v>4</v>
      </c>
      <c r="F190" s="149" t="s">
        <v>4</v>
      </c>
      <c r="G190" s="310">
        <f>PA[[#This Row],[Date]]-DAY(PA[[#This Row],[Date]])+1</f>
        <v>45839</v>
      </c>
      <c r="H190" s="155">
        <f>DAY(EOMONTH(PA[[#This Row],[Month Year]],0))</f>
        <v>31</v>
      </c>
      <c r="I190" s="151">
        <f>_xlfn.XLOOKUP(PA[[#This Row],[Date]],RD[Date],RD[Sunrise Time (POA&gt;20 W/m2)],0)</f>
        <v>0.2638888888888889</v>
      </c>
      <c r="J190" s="151">
        <f>_xlfn.XLOOKUP(PA[[#This Row],[Date]],RD[Date],RD[Sunset Time (POA&lt;20 W/m2)],0)</f>
        <v>0.7680555555555556</v>
      </c>
      <c r="K190" s="152">
        <f>IFERROR((PA[[#This Row],[Sunset Time (POA&lt;20 W/m2)]]-PA[[#This Row],[Sunrise Time (POA&gt;20 W/m2)]])*24,"")</f>
        <v>12.1</v>
      </c>
      <c r="L190" s="166" t="s">
        <v>168</v>
      </c>
      <c r="M190" s="180">
        <v>24213.794999999998</v>
      </c>
      <c r="N190" s="181">
        <v>0.99727327018121903</v>
      </c>
      <c r="O190" s="166" t="s">
        <v>168</v>
      </c>
      <c r="P190" s="149" t="s">
        <v>170</v>
      </c>
      <c r="Q190" s="149" t="s">
        <v>717</v>
      </c>
      <c r="R190" s="154" t="s">
        <v>912</v>
      </c>
      <c r="S190" s="187">
        <v>0.60763888888888884</v>
      </c>
      <c r="T190" s="187">
        <v>0.60763888888888884</v>
      </c>
      <c r="U190" s="187">
        <v>0.60763888888888884</v>
      </c>
      <c r="V190" s="187">
        <v>0.625</v>
      </c>
      <c r="W190" s="182">
        <f>IF(PA[[#This Row],[Acknowledgemnet Time ]]="NA","",(PA[[#This Row],[Acknowledgemnet Time ]]-PA[[#This Row],[Fault Time]])*24)</f>
        <v>0</v>
      </c>
      <c r="X190" s="182">
        <f>IF(PA[[#This Row],[Work Start time on Fault]]="NA","",(PA[[#This Row],[Work Start time on Fault]]-PA[[#This Row],[Fault Time]])*24)</f>
        <v>0</v>
      </c>
      <c r="Y190" s="153">
        <f>(PA[[#This Row],[Work Completiuon time on fualt]]-PA[[#This Row],[Fault Time]])*24</f>
        <v>0.41666666666666785</v>
      </c>
      <c r="Z190" s="153">
        <f>IFERROR((PA[[#This Row],[Work Completiuon time on fualt]]-PA[[#This Row],[Fault Time]])*24,"")</f>
        <v>0.41666666666666785</v>
      </c>
      <c r="AA190" s="312" t="s">
        <v>913</v>
      </c>
      <c r="AB190" s="149" t="s">
        <v>763</v>
      </c>
      <c r="AC190" s="152">
        <f>IFERROR(PA[[#This Row],[Breakdown Time]]*PA[[#This Row],[Plant Equivalent Weightage]],)</f>
        <v>0.41553052924217576</v>
      </c>
      <c r="AD190" s="153">
        <v>0.23499999999999999</v>
      </c>
      <c r="AE190" s="163">
        <f>IFERROR(_xlfn.XLOOKUP(PA[[#This Row],[Month Year]],'Modelling New'!$D:$D,'Modelling New'!$O:$O)*M190*PA[[#This Row],[Lost PoA(kWh/m2)]],"")</f>
        <v>4116.7217458267733</v>
      </c>
      <c r="AF190" s="150"/>
      <c r="AG190" s="150"/>
      <c r="AH190" s="150"/>
    </row>
    <row r="191" spans="1:34" x14ac:dyDescent="0.35">
      <c r="A191" s="147">
        <f t="shared" si="3"/>
        <v>188</v>
      </c>
      <c r="B191" s="183">
        <v>45868</v>
      </c>
      <c r="C191" s="180">
        <f>YEAR(PA[[#This Row],[Date]])+IF(MONTH(PA[[#This Row],[Date]])&gt;=4,1,0)</f>
        <v>2026</v>
      </c>
      <c r="D191" s="155">
        <f>YEAR(PA[[#This Row],[Date]])</f>
        <v>2025</v>
      </c>
      <c r="E191" s="149" t="s">
        <v>4</v>
      </c>
      <c r="F191" s="149" t="s">
        <v>4</v>
      </c>
      <c r="G191" s="310">
        <f>PA[[#This Row],[Date]]-DAY(PA[[#This Row],[Date]])+1</f>
        <v>45839</v>
      </c>
      <c r="H191" s="155">
        <f>DAY(EOMONTH(PA[[#This Row],[Month Year]],0))</f>
        <v>31</v>
      </c>
      <c r="I191" s="151">
        <f>_xlfn.XLOOKUP(PA[[#This Row],[Date]],RD[Date],RD[Sunrise Time (POA&gt;20 W/m2)],0)</f>
        <v>0.28055555555555556</v>
      </c>
      <c r="J191" s="151">
        <f>_xlfn.XLOOKUP(PA[[#This Row],[Date]],RD[Date],RD[Sunset Time (POA&lt;20 W/m2)],0)</f>
        <v>0.7729166666666667</v>
      </c>
      <c r="K191" s="152">
        <f>IFERROR((PA[[#This Row],[Sunset Time (POA&lt;20 W/m2)]]-PA[[#This Row],[Sunrise Time (POA&gt;20 W/m2)]])*24,"")</f>
        <v>11.816666666666666</v>
      </c>
      <c r="L191" s="166" t="s">
        <v>168</v>
      </c>
      <c r="M191" s="180">
        <v>24213.794999999998</v>
      </c>
      <c r="N191" s="181">
        <v>0.99727327018121903</v>
      </c>
      <c r="O191" s="166" t="s">
        <v>168</v>
      </c>
      <c r="P191" s="149" t="s">
        <v>170</v>
      </c>
      <c r="Q191" s="149" t="s">
        <v>717</v>
      </c>
      <c r="R191" s="154" t="s">
        <v>912</v>
      </c>
      <c r="S191" s="187">
        <v>0.65972222222222221</v>
      </c>
      <c r="T191" s="187">
        <v>0.65972222222222221</v>
      </c>
      <c r="U191" s="187">
        <v>0.65972222222222221</v>
      </c>
      <c r="V191" s="187">
        <v>0.67222222222222228</v>
      </c>
      <c r="W191" s="182">
        <f>IF(PA[[#This Row],[Acknowledgemnet Time ]]="NA","",(PA[[#This Row],[Acknowledgemnet Time ]]-PA[[#This Row],[Fault Time]])*24)</f>
        <v>0</v>
      </c>
      <c r="X191" s="182">
        <f>IF(PA[[#This Row],[Work Start time on Fault]]="NA","",(PA[[#This Row],[Work Start time on Fault]]-PA[[#This Row],[Fault Time]])*24)</f>
        <v>0</v>
      </c>
      <c r="Y191" s="153">
        <f>(PA[[#This Row],[Work Completiuon time on fualt]]-PA[[#This Row],[Fault Time]])*24</f>
        <v>0.3000000000000016</v>
      </c>
      <c r="Z191" s="153">
        <f>IFERROR((PA[[#This Row],[Work Completiuon time on fualt]]-PA[[#This Row],[Fault Time]])*24,"")</f>
        <v>0.3000000000000016</v>
      </c>
      <c r="AA191" s="312" t="s">
        <v>913</v>
      </c>
      <c r="AB191" s="149" t="s">
        <v>763</v>
      </c>
      <c r="AC191" s="152">
        <f>IFERROR(PA[[#This Row],[Breakdown Time]]*PA[[#This Row],[Plant Equivalent Weightage]],)</f>
        <v>0.29918198105436733</v>
      </c>
      <c r="AD191" s="153">
        <v>4.2999999999999997E-2</v>
      </c>
      <c r="AE191" s="163">
        <f>IFERROR(_xlfn.XLOOKUP(PA[[#This Row],[Month Year]],'Modelling New'!$D:$D,'Modelling New'!$O:$O)*M191*PA[[#This Row],[Lost PoA(kWh/m2)]],"")</f>
        <v>753.27248966192019</v>
      </c>
      <c r="AF191" s="150"/>
      <c r="AG191" s="150"/>
      <c r="AH191" s="150"/>
    </row>
    <row r="192" spans="1:34" x14ac:dyDescent="0.35">
      <c r="A192" s="147">
        <f t="shared" si="3"/>
        <v>189</v>
      </c>
      <c r="B192" s="183">
        <v>45868</v>
      </c>
      <c r="C192" s="180">
        <f>YEAR(PA[[#This Row],[Date]])+IF(MONTH(PA[[#This Row],[Date]])&gt;=4,1,0)</f>
        <v>2026</v>
      </c>
      <c r="D192" s="155">
        <f>YEAR(PA[[#This Row],[Date]])</f>
        <v>2025</v>
      </c>
      <c r="E192" s="149" t="s">
        <v>4</v>
      </c>
      <c r="F192" s="149" t="s">
        <v>4</v>
      </c>
      <c r="G192" s="310">
        <f>PA[[#This Row],[Date]]-DAY(PA[[#This Row],[Date]])+1</f>
        <v>45839</v>
      </c>
      <c r="H192" s="155">
        <f>DAY(EOMONTH(PA[[#This Row],[Month Year]],0))</f>
        <v>31</v>
      </c>
      <c r="I192" s="151">
        <f>_xlfn.XLOOKUP(PA[[#This Row],[Date]],RD[Date],RD[Sunrise Time (POA&gt;20 W/m2)],0)</f>
        <v>0.28055555555555556</v>
      </c>
      <c r="J192" s="151">
        <f>_xlfn.XLOOKUP(PA[[#This Row],[Date]],RD[Date],RD[Sunset Time (POA&lt;20 W/m2)],0)</f>
        <v>0.7729166666666667</v>
      </c>
      <c r="K192" s="152">
        <f>IFERROR((PA[[#This Row],[Sunset Time (POA&lt;20 W/m2)]]-PA[[#This Row],[Sunrise Time (POA&gt;20 W/m2)]])*24,"")</f>
        <v>11.816666666666666</v>
      </c>
      <c r="L192" s="166" t="s">
        <v>473</v>
      </c>
      <c r="M192" s="180">
        <f>IFERROR(VLOOKUP(PA[[#This Row],[Affceted Equipment]],'Basic Data'!$A$2:$B$125,2,0),"")</f>
        <v>6.5</v>
      </c>
      <c r="N192" s="181">
        <f>IFERROR(VLOOKUP(PA[[#This Row],[Affceted Equipment]],'Basic Data'!$A$1:$C$128,3,0),"")</f>
        <v>2.6771004942339376E-4</v>
      </c>
      <c r="O192" s="166" t="s">
        <v>886</v>
      </c>
      <c r="P192" s="149" t="s">
        <v>755</v>
      </c>
      <c r="Q192" s="149" t="s">
        <v>755</v>
      </c>
      <c r="R192" s="149" t="s">
        <v>916</v>
      </c>
      <c r="S192" s="187">
        <v>0.45833333333333331</v>
      </c>
      <c r="T192" s="187">
        <v>0.45833333333333331</v>
      </c>
      <c r="U192" s="187">
        <v>0.45833333333333331</v>
      </c>
      <c r="V192" s="187">
        <v>0.66666666666666663</v>
      </c>
      <c r="W192" s="182">
        <f>IF(PA[[#This Row],[Acknowledgemnet Time ]]="NA","",(PA[[#This Row],[Acknowledgemnet Time ]]-PA[[#This Row],[Fault Time]])*24)</f>
        <v>0</v>
      </c>
      <c r="X192" s="182">
        <f>IF(PA[[#This Row],[Work Start time on Fault]]="NA","",(PA[[#This Row],[Work Start time on Fault]]-PA[[#This Row],[Fault Time]])*24)</f>
        <v>0</v>
      </c>
      <c r="Y192" s="153">
        <f>(PA[[#This Row],[Work Completiuon time on fualt]]-PA[[#This Row],[Fault Time]])*24</f>
        <v>5</v>
      </c>
      <c r="Z192" s="153">
        <f>IFERROR((PA[[#This Row],[Work Completiuon time on fualt]]-PA[[#This Row],[Fault Time]])*24,"")</f>
        <v>5</v>
      </c>
      <c r="AA192" s="307" t="s">
        <v>875</v>
      </c>
      <c r="AB192" s="149" t="s">
        <v>763</v>
      </c>
      <c r="AC192" s="152">
        <f>IFERROR(PA[[#This Row],[Breakdown Time]]*PA[[#This Row],[Plant Equivalent Weightage]],)</f>
        <v>1.3385502471169688E-3</v>
      </c>
      <c r="AD192" s="153">
        <v>1.98</v>
      </c>
      <c r="AE192" s="163">
        <f>IFERROR(_xlfn.XLOOKUP(PA[[#This Row],[Month Year]],'Modelling New'!$D:$D,'Modelling New'!$O:$O)*M192*PA[[#This Row],[Lost PoA(kWh/m2)]],"")</f>
        <v>9.3110645378925661</v>
      </c>
      <c r="AF192" s="150"/>
      <c r="AG192" s="150"/>
      <c r="AH192" s="150"/>
    </row>
    <row r="193" spans="1:34" x14ac:dyDescent="0.35">
      <c r="A193" s="147">
        <f t="shared" si="3"/>
        <v>190</v>
      </c>
      <c r="B193" s="183">
        <v>45868</v>
      </c>
      <c r="C193" s="180">
        <f>YEAR(PA[[#This Row],[Date]])+IF(MONTH(PA[[#This Row],[Date]])&gt;=4,1,0)</f>
        <v>2026</v>
      </c>
      <c r="D193" s="155">
        <f>YEAR(PA[[#This Row],[Date]])</f>
        <v>2025</v>
      </c>
      <c r="E193" s="149" t="s">
        <v>4</v>
      </c>
      <c r="F193" s="149" t="s">
        <v>4</v>
      </c>
      <c r="G193" s="310">
        <f>PA[[#This Row],[Date]]-DAY(PA[[#This Row],[Date]])+1</f>
        <v>45839</v>
      </c>
      <c r="H193" s="155">
        <f>DAY(EOMONTH(PA[[#This Row],[Month Year]],0))</f>
        <v>31</v>
      </c>
      <c r="I193" s="151">
        <f>_xlfn.XLOOKUP(PA[[#This Row],[Date]],RD[Date],RD[Sunrise Time (POA&gt;20 W/m2)],0)</f>
        <v>0.28055555555555556</v>
      </c>
      <c r="J193" s="151">
        <f>_xlfn.XLOOKUP(PA[[#This Row],[Date]],RD[Date],RD[Sunset Time (POA&lt;20 W/m2)],0)</f>
        <v>0.7729166666666667</v>
      </c>
      <c r="K193" s="152">
        <f>IFERROR((PA[[#This Row],[Sunset Time (POA&lt;20 W/m2)]]-PA[[#This Row],[Sunrise Time (POA&gt;20 W/m2)]])*24,"")</f>
        <v>11.816666666666666</v>
      </c>
      <c r="L193" s="166" t="s">
        <v>473</v>
      </c>
      <c r="M193" s="180">
        <f>IFERROR(VLOOKUP(PA[[#This Row],[Affceted Equipment]],'Basic Data'!$A$2:$B$125,2,0),"")</f>
        <v>6.5</v>
      </c>
      <c r="N193" s="181">
        <f>IFERROR(VLOOKUP(PA[[#This Row],[Affceted Equipment]],'Basic Data'!$A$1:$C$128,3,0),"")</f>
        <v>2.6771004942339376E-4</v>
      </c>
      <c r="O193" s="166" t="s">
        <v>886</v>
      </c>
      <c r="P193" s="149" t="s">
        <v>755</v>
      </c>
      <c r="Q193" s="149" t="s">
        <v>755</v>
      </c>
      <c r="R193" s="149" t="s">
        <v>917</v>
      </c>
      <c r="S193" s="187">
        <v>0.45833333333333331</v>
      </c>
      <c r="T193" s="187">
        <v>0.45833333333333331</v>
      </c>
      <c r="U193" s="187">
        <v>0.45833333333333331</v>
      </c>
      <c r="V193" s="187">
        <v>0.66666666666666663</v>
      </c>
      <c r="W193" s="182">
        <f>IF(PA[[#This Row],[Acknowledgemnet Time ]]="NA","",(PA[[#This Row],[Acknowledgemnet Time ]]-PA[[#This Row],[Fault Time]])*24)</f>
        <v>0</v>
      </c>
      <c r="X193" s="182">
        <f>IF(PA[[#This Row],[Work Start time on Fault]]="NA","",(PA[[#This Row],[Work Start time on Fault]]-PA[[#This Row],[Fault Time]])*24)</f>
        <v>0</v>
      </c>
      <c r="Y193" s="153">
        <f>(PA[[#This Row],[Work Completiuon time on fualt]]-PA[[#This Row],[Fault Time]])*24</f>
        <v>5</v>
      </c>
      <c r="Z193" s="153">
        <f>IFERROR((PA[[#This Row],[Work Completiuon time on fualt]]-PA[[#This Row],[Fault Time]])*24,"")</f>
        <v>5</v>
      </c>
      <c r="AA193" s="307" t="s">
        <v>875</v>
      </c>
      <c r="AB193" s="149" t="s">
        <v>763</v>
      </c>
      <c r="AC193" s="152">
        <f>IFERROR(PA[[#This Row],[Breakdown Time]]*PA[[#This Row],[Plant Equivalent Weightage]],)</f>
        <v>1.3385502471169688E-3</v>
      </c>
      <c r="AD193" s="153">
        <v>1.98</v>
      </c>
      <c r="AE193" s="163">
        <f>IFERROR(_xlfn.XLOOKUP(PA[[#This Row],[Month Year]],'Modelling New'!$D:$D,'Modelling New'!$O:$O)*M193*PA[[#This Row],[Lost PoA(kWh/m2)]],"")</f>
        <v>9.3110645378925661</v>
      </c>
      <c r="AF193" s="150"/>
      <c r="AG193" s="150"/>
      <c r="AH193" s="150"/>
    </row>
    <row r="194" spans="1:34" x14ac:dyDescent="0.35">
      <c r="A194" s="147">
        <f t="shared" si="3"/>
        <v>191</v>
      </c>
      <c r="B194" s="183">
        <v>45868</v>
      </c>
      <c r="C194" s="180">
        <f>YEAR(PA[[#This Row],[Date]])+IF(MONTH(PA[[#This Row],[Date]])&gt;=4,1,0)</f>
        <v>2026</v>
      </c>
      <c r="D194" s="155">
        <f>YEAR(PA[[#This Row],[Date]])</f>
        <v>2025</v>
      </c>
      <c r="E194" s="149" t="s">
        <v>4</v>
      </c>
      <c r="F194" s="149" t="s">
        <v>4</v>
      </c>
      <c r="G194" s="310">
        <f>PA[[#This Row],[Date]]-DAY(PA[[#This Row],[Date]])+1</f>
        <v>45839</v>
      </c>
      <c r="H194" s="155">
        <f>DAY(EOMONTH(PA[[#This Row],[Month Year]],0))</f>
        <v>31</v>
      </c>
      <c r="I194" s="151">
        <f>_xlfn.XLOOKUP(PA[[#This Row],[Date]],RD[Date],RD[Sunrise Time (POA&gt;20 W/m2)],0)</f>
        <v>0.28055555555555556</v>
      </c>
      <c r="J194" s="151">
        <f>_xlfn.XLOOKUP(PA[[#This Row],[Date]],RD[Date],RD[Sunset Time (POA&lt;20 W/m2)],0)</f>
        <v>0.7729166666666667</v>
      </c>
      <c r="K194" s="152">
        <f>IFERROR((PA[[#This Row],[Sunset Time (POA&lt;20 W/m2)]]-PA[[#This Row],[Sunrise Time (POA&gt;20 W/m2)]])*24,"")</f>
        <v>11.816666666666666</v>
      </c>
      <c r="L194" s="166" t="s">
        <v>473</v>
      </c>
      <c r="M194" s="180">
        <f>IFERROR(VLOOKUP(PA[[#This Row],[Affceted Equipment]],'Basic Data'!$A$2:$B$125,2,0),"")</f>
        <v>6.5</v>
      </c>
      <c r="N194" s="181">
        <f>IFERROR(VLOOKUP(PA[[#This Row],[Affceted Equipment]],'Basic Data'!$A$1:$C$128,3,0),"")</f>
        <v>2.6771004942339376E-4</v>
      </c>
      <c r="O194" s="166" t="s">
        <v>918</v>
      </c>
      <c r="P194" s="149" t="s">
        <v>755</v>
      </c>
      <c r="Q194" s="149" t="s">
        <v>755</v>
      </c>
      <c r="R194" s="149" t="s">
        <v>919</v>
      </c>
      <c r="S194" s="187">
        <v>0.45833333333333331</v>
      </c>
      <c r="T194" s="187">
        <v>0.45833333333333331</v>
      </c>
      <c r="U194" s="187">
        <v>0.45833333333333331</v>
      </c>
      <c r="V194" s="187">
        <v>0.66666666666666663</v>
      </c>
      <c r="W194" s="182">
        <f>IF(PA[[#This Row],[Acknowledgemnet Time ]]="NA","",(PA[[#This Row],[Acknowledgemnet Time ]]-PA[[#This Row],[Fault Time]])*24)</f>
        <v>0</v>
      </c>
      <c r="X194" s="182">
        <f>IF(PA[[#This Row],[Work Start time on Fault]]="NA","",(PA[[#This Row],[Work Start time on Fault]]-PA[[#This Row],[Fault Time]])*24)</f>
        <v>0</v>
      </c>
      <c r="Y194" s="153">
        <f>(PA[[#This Row],[Work Completiuon time on fualt]]-PA[[#This Row],[Fault Time]])*24</f>
        <v>5</v>
      </c>
      <c r="Z194" s="153">
        <f>IFERROR((PA[[#This Row],[Work Completiuon time on fualt]]-PA[[#This Row],[Fault Time]])*24,"")</f>
        <v>5</v>
      </c>
      <c r="AA194" s="307" t="s">
        <v>875</v>
      </c>
      <c r="AB194" s="149" t="s">
        <v>763</v>
      </c>
      <c r="AC194" s="152">
        <f>IFERROR(PA[[#This Row],[Breakdown Time]]*PA[[#This Row],[Plant Equivalent Weightage]],)</f>
        <v>1.3385502471169688E-3</v>
      </c>
      <c r="AD194" s="153">
        <v>1.98</v>
      </c>
      <c r="AE194" s="163">
        <f>IFERROR(_xlfn.XLOOKUP(PA[[#This Row],[Month Year]],'Modelling New'!$D:$D,'Modelling New'!$O:$O)*M194*PA[[#This Row],[Lost PoA(kWh/m2)]],"")</f>
        <v>9.3110645378925661</v>
      </c>
      <c r="AF194" s="150"/>
      <c r="AG194" s="150"/>
      <c r="AH194" s="150"/>
    </row>
    <row r="195" spans="1:34" x14ac:dyDescent="0.35">
      <c r="A195" s="147">
        <f t="shared" si="3"/>
        <v>192</v>
      </c>
      <c r="B195" s="183">
        <v>45868</v>
      </c>
      <c r="C195" s="180">
        <f>YEAR(PA[[#This Row],[Date]])+IF(MONTH(PA[[#This Row],[Date]])&gt;=4,1,0)</f>
        <v>2026</v>
      </c>
      <c r="D195" s="155">
        <f>YEAR(PA[[#This Row],[Date]])</f>
        <v>2025</v>
      </c>
      <c r="E195" s="149" t="s">
        <v>4</v>
      </c>
      <c r="F195" s="149" t="s">
        <v>4</v>
      </c>
      <c r="G195" s="310">
        <f>PA[[#This Row],[Date]]-DAY(PA[[#This Row],[Date]])+1</f>
        <v>45839</v>
      </c>
      <c r="H195" s="155">
        <f>DAY(EOMONTH(PA[[#This Row],[Month Year]],0))</f>
        <v>31</v>
      </c>
      <c r="I195" s="151">
        <f>_xlfn.XLOOKUP(PA[[#This Row],[Date]],RD[Date],RD[Sunrise Time (POA&gt;20 W/m2)],0)</f>
        <v>0.28055555555555556</v>
      </c>
      <c r="J195" s="151">
        <f>_xlfn.XLOOKUP(PA[[#This Row],[Date]],RD[Date],RD[Sunset Time (POA&lt;20 W/m2)],0)</f>
        <v>0.7729166666666667</v>
      </c>
      <c r="K195" s="152">
        <f>IFERROR((PA[[#This Row],[Sunset Time (POA&lt;20 W/m2)]]-PA[[#This Row],[Sunrise Time (POA&gt;20 W/m2)]])*24,"")</f>
        <v>11.816666666666666</v>
      </c>
      <c r="L195" s="166" t="s">
        <v>473</v>
      </c>
      <c r="M195" s="180">
        <f>IFERROR(VLOOKUP(PA[[#This Row],[Affceted Equipment]],'Basic Data'!$A$2:$B$125,2,0),"")</f>
        <v>6.5</v>
      </c>
      <c r="N195" s="181">
        <f>IFERROR(VLOOKUP(PA[[#This Row],[Affceted Equipment]],'Basic Data'!$A$1:$C$128,3,0),"")</f>
        <v>2.6771004942339376E-4</v>
      </c>
      <c r="O195" s="166" t="s">
        <v>918</v>
      </c>
      <c r="P195" s="149" t="s">
        <v>755</v>
      </c>
      <c r="Q195" s="149" t="s">
        <v>755</v>
      </c>
      <c r="R195" s="149" t="s">
        <v>920</v>
      </c>
      <c r="S195" s="187">
        <v>0.45833333333333331</v>
      </c>
      <c r="T195" s="187">
        <v>0.45833333333333331</v>
      </c>
      <c r="U195" s="187">
        <v>0.45833333333333331</v>
      </c>
      <c r="V195" s="187">
        <v>0.66666666666666663</v>
      </c>
      <c r="W195" s="182">
        <f>IF(PA[[#This Row],[Acknowledgemnet Time ]]="NA","",(PA[[#This Row],[Acknowledgemnet Time ]]-PA[[#This Row],[Fault Time]])*24)</f>
        <v>0</v>
      </c>
      <c r="X195" s="182">
        <f>IF(PA[[#This Row],[Work Start time on Fault]]="NA","",(PA[[#This Row],[Work Start time on Fault]]-PA[[#This Row],[Fault Time]])*24)</f>
        <v>0</v>
      </c>
      <c r="Y195" s="153">
        <f>(PA[[#This Row],[Work Completiuon time on fualt]]-PA[[#This Row],[Fault Time]])*24</f>
        <v>5</v>
      </c>
      <c r="Z195" s="153">
        <f>IFERROR((PA[[#This Row],[Work Completiuon time on fualt]]-PA[[#This Row],[Fault Time]])*24,"")</f>
        <v>5</v>
      </c>
      <c r="AA195" s="307" t="s">
        <v>875</v>
      </c>
      <c r="AB195" s="149" t="s">
        <v>763</v>
      </c>
      <c r="AC195" s="152">
        <f>IFERROR(PA[[#This Row],[Breakdown Time]]*PA[[#This Row],[Plant Equivalent Weightage]],)</f>
        <v>1.3385502471169688E-3</v>
      </c>
      <c r="AD195" s="153">
        <v>1.98</v>
      </c>
      <c r="AE195" s="163">
        <f>IFERROR(_xlfn.XLOOKUP(PA[[#This Row],[Month Year]],'Modelling New'!$D:$D,'Modelling New'!$O:$O)*M195*PA[[#This Row],[Lost PoA(kWh/m2)]],"")</f>
        <v>9.3110645378925661</v>
      </c>
      <c r="AF195" s="150"/>
      <c r="AG195" s="150"/>
      <c r="AH195" s="150"/>
    </row>
    <row r="196" spans="1:34" x14ac:dyDescent="0.35">
      <c r="A196" s="147">
        <f t="shared" si="3"/>
        <v>193</v>
      </c>
      <c r="B196" s="183">
        <v>45868</v>
      </c>
      <c r="C196" s="180">
        <f>YEAR(PA[[#This Row],[Date]])+IF(MONTH(PA[[#This Row],[Date]])&gt;=4,1,0)</f>
        <v>2026</v>
      </c>
      <c r="D196" s="155">
        <f>YEAR(PA[[#This Row],[Date]])</f>
        <v>2025</v>
      </c>
      <c r="E196" s="149" t="s">
        <v>4</v>
      </c>
      <c r="F196" s="149" t="s">
        <v>4</v>
      </c>
      <c r="G196" s="310">
        <f>PA[[#This Row],[Date]]-DAY(PA[[#This Row],[Date]])+1</f>
        <v>45839</v>
      </c>
      <c r="H196" s="155">
        <f>DAY(EOMONTH(PA[[#This Row],[Month Year]],0))</f>
        <v>31</v>
      </c>
      <c r="I196" s="151">
        <f>_xlfn.XLOOKUP(PA[[#This Row],[Date]],RD[Date],RD[Sunrise Time (POA&gt;20 W/m2)],0)</f>
        <v>0.28055555555555556</v>
      </c>
      <c r="J196" s="151">
        <f>_xlfn.XLOOKUP(PA[[#This Row],[Date]],RD[Date],RD[Sunset Time (POA&lt;20 W/m2)],0)</f>
        <v>0.7729166666666667</v>
      </c>
      <c r="K196" s="152">
        <f>IFERROR((PA[[#This Row],[Sunset Time (POA&lt;20 W/m2)]]-PA[[#This Row],[Sunrise Time (POA&gt;20 W/m2)]])*24,"")</f>
        <v>11.816666666666666</v>
      </c>
      <c r="L196" s="166" t="s">
        <v>473</v>
      </c>
      <c r="M196" s="180">
        <f>IFERROR(VLOOKUP(PA[[#This Row],[Affceted Equipment]],'Basic Data'!$A$2:$B$125,2,0),"")</f>
        <v>6.5</v>
      </c>
      <c r="N196" s="181">
        <f>IFERROR(VLOOKUP(PA[[#This Row],[Affceted Equipment]],'Basic Data'!$A$1:$C$128,3,0),"")</f>
        <v>2.6771004942339376E-4</v>
      </c>
      <c r="O196" s="166" t="s">
        <v>918</v>
      </c>
      <c r="P196" s="149" t="s">
        <v>755</v>
      </c>
      <c r="Q196" s="149" t="s">
        <v>755</v>
      </c>
      <c r="R196" s="149" t="s">
        <v>921</v>
      </c>
      <c r="S196" s="187">
        <v>0.45833333333333331</v>
      </c>
      <c r="T196" s="187">
        <v>0.45833333333333331</v>
      </c>
      <c r="U196" s="187">
        <v>0.45833333333333331</v>
      </c>
      <c r="V196" s="187">
        <v>0.66666666666666663</v>
      </c>
      <c r="W196" s="182">
        <f>IF(PA[[#This Row],[Acknowledgemnet Time ]]="NA","",(PA[[#This Row],[Acknowledgemnet Time ]]-PA[[#This Row],[Fault Time]])*24)</f>
        <v>0</v>
      </c>
      <c r="X196" s="182">
        <f>IF(PA[[#This Row],[Work Start time on Fault]]="NA","",(PA[[#This Row],[Work Start time on Fault]]-PA[[#This Row],[Fault Time]])*24)</f>
        <v>0</v>
      </c>
      <c r="Y196" s="153">
        <f>(PA[[#This Row],[Work Completiuon time on fualt]]-PA[[#This Row],[Fault Time]])*24</f>
        <v>5</v>
      </c>
      <c r="Z196" s="153">
        <f>IFERROR((PA[[#This Row],[Work Completiuon time on fualt]]-PA[[#This Row],[Fault Time]])*24,"")</f>
        <v>5</v>
      </c>
      <c r="AA196" s="307" t="s">
        <v>875</v>
      </c>
      <c r="AB196" s="149" t="s">
        <v>763</v>
      </c>
      <c r="AC196" s="152">
        <f>IFERROR(PA[[#This Row],[Breakdown Time]]*PA[[#This Row],[Plant Equivalent Weightage]],)</f>
        <v>1.3385502471169688E-3</v>
      </c>
      <c r="AD196" s="153">
        <v>1.98</v>
      </c>
      <c r="AE196" s="163">
        <f>IFERROR(_xlfn.XLOOKUP(PA[[#This Row],[Month Year]],'Modelling New'!$D:$D,'Modelling New'!$O:$O)*M196*PA[[#This Row],[Lost PoA(kWh/m2)]],"")</f>
        <v>9.3110645378925661</v>
      </c>
      <c r="AF196" s="150"/>
      <c r="AG196" s="150"/>
      <c r="AH196" s="150"/>
    </row>
    <row r="197" spans="1:34" x14ac:dyDescent="0.35">
      <c r="A197" s="147">
        <f t="shared" si="3"/>
        <v>194</v>
      </c>
      <c r="B197" s="183">
        <v>45868</v>
      </c>
      <c r="C197" s="180">
        <f>YEAR(PA[[#This Row],[Date]])+IF(MONTH(PA[[#This Row],[Date]])&gt;=4,1,0)</f>
        <v>2026</v>
      </c>
      <c r="D197" s="155">
        <f>YEAR(PA[[#This Row],[Date]])</f>
        <v>2025</v>
      </c>
      <c r="E197" s="149" t="s">
        <v>4</v>
      </c>
      <c r="F197" s="149" t="s">
        <v>4</v>
      </c>
      <c r="G197" s="310">
        <f>PA[[#This Row],[Date]]-DAY(PA[[#This Row],[Date]])+1</f>
        <v>45839</v>
      </c>
      <c r="H197" s="155">
        <f>DAY(EOMONTH(PA[[#This Row],[Month Year]],0))</f>
        <v>31</v>
      </c>
      <c r="I197" s="151">
        <f>_xlfn.XLOOKUP(PA[[#This Row],[Date]],RD[Date],RD[Sunrise Time (POA&gt;20 W/m2)],0)</f>
        <v>0.28055555555555556</v>
      </c>
      <c r="J197" s="151">
        <f>_xlfn.XLOOKUP(PA[[#This Row],[Date]],RD[Date],RD[Sunset Time (POA&lt;20 W/m2)],0)</f>
        <v>0.7729166666666667</v>
      </c>
      <c r="K197" s="152">
        <f>IFERROR((PA[[#This Row],[Sunset Time (POA&lt;20 W/m2)]]-PA[[#This Row],[Sunrise Time (POA&gt;20 W/m2)]])*24,"")</f>
        <v>11.816666666666666</v>
      </c>
      <c r="L197" s="166" t="s">
        <v>473</v>
      </c>
      <c r="M197" s="180">
        <f>IFERROR(VLOOKUP(PA[[#This Row],[Affceted Equipment]],'Basic Data'!$A$2:$B$125,2,0),"")</f>
        <v>6.5</v>
      </c>
      <c r="N197" s="181">
        <f>IFERROR(VLOOKUP(PA[[#This Row],[Affceted Equipment]],'Basic Data'!$A$1:$C$128,3,0),"")</f>
        <v>2.6771004942339376E-4</v>
      </c>
      <c r="O197" s="166" t="s">
        <v>918</v>
      </c>
      <c r="P197" s="149" t="s">
        <v>755</v>
      </c>
      <c r="Q197" s="149" t="s">
        <v>755</v>
      </c>
      <c r="R197" s="149" t="s">
        <v>922</v>
      </c>
      <c r="S197" s="187">
        <v>0.45833333333333331</v>
      </c>
      <c r="T197" s="187">
        <v>0.45833333333333331</v>
      </c>
      <c r="U197" s="187">
        <v>0.45833333333333331</v>
      </c>
      <c r="V197" s="187">
        <v>0.66666666666666663</v>
      </c>
      <c r="W197" s="182">
        <f>IF(PA[[#This Row],[Acknowledgemnet Time ]]="NA","",(PA[[#This Row],[Acknowledgemnet Time ]]-PA[[#This Row],[Fault Time]])*24)</f>
        <v>0</v>
      </c>
      <c r="X197" s="182">
        <f>IF(PA[[#This Row],[Work Start time on Fault]]="NA","",(PA[[#This Row],[Work Start time on Fault]]-PA[[#This Row],[Fault Time]])*24)</f>
        <v>0</v>
      </c>
      <c r="Y197" s="153">
        <f>(PA[[#This Row],[Work Completiuon time on fualt]]-PA[[#This Row],[Fault Time]])*24</f>
        <v>5</v>
      </c>
      <c r="Z197" s="153">
        <f>IFERROR((PA[[#This Row],[Work Completiuon time on fualt]]-PA[[#This Row],[Fault Time]])*24,"")</f>
        <v>5</v>
      </c>
      <c r="AA197" s="307" t="s">
        <v>875</v>
      </c>
      <c r="AB197" s="149" t="s">
        <v>763</v>
      </c>
      <c r="AC197" s="152">
        <f>IFERROR(PA[[#This Row],[Breakdown Time]]*PA[[#This Row],[Plant Equivalent Weightage]],)</f>
        <v>1.3385502471169688E-3</v>
      </c>
      <c r="AD197" s="153">
        <v>1.98</v>
      </c>
      <c r="AE197" s="163">
        <f>IFERROR(_xlfn.XLOOKUP(PA[[#This Row],[Month Year]],'Modelling New'!$D:$D,'Modelling New'!$O:$O)*M197*PA[[#This Row],[Lost PoA(kWh/m2)]],"")</f>
        <v>9.3110645378925661</v>
      </c>
      <c r="AF197" s="150"/>
      <c r="AG197" s="150"/>
      <c r="AH197" s="150"/>
    </row>
    <row r="198" spans="1:34" x14ac:dyDescent="0.35">
      <c r="A198" s="147">
        <f t="shared" si="3"/>
        <v>195</v>
      </c>
      <c r="B198" s="183">
        <v>45869</v>
      </c>
      <c r="C198" s="180">
        <f>YEAR(PA[[#This Row],[Date]])+IF(MONTH(PA[[#This Row],[Date]])&gt;=4,1,0)</f>
        <v>2026</v>
      </c>
      <c r="D198" s="155">
        <f>YEAR(PA[[#This Row],[Date]])</f>
        <v>2025</v>
      </c>
      <c r="E198" s="149" t="s">
        <v>4</v>
      </c>
      <c r="F198" s="149" t="s">
        <v>4</v>
      </c>
      <c r="G198" s="310">
        <f>PA[[#This Row],[Date]]-DAY(PA[[#This Row],[Date]])+1</f>
        <v>45839</v>
      </c>
      <c r="H198" s="155">
        <f>DAY(EOMONTH(PA[[#This Row],[Month Year]],0))</f>
        <v>31</v>
      </c>
      <c r="I198" s="151">
        <f>_xlfn.XLOOKUP(PA[[#This Row],[Date]],RD[Date],RD[Sunrise Time (POA&gt;20 W/m2)],0)</f>
        <v>0.2722222222222222</v>
      </c>
      <c r="J198" s="151">
        <f>_xlfn.XLOOKUP(PA[[#This Row],[Date]],RD[Date],RD[Sunset Time (POA&lt;20 W/m2)],0)</f>
        <v>0.78472222222222221</v>
      </c>
      <c r="K198" s="152">
        <f>IFERROR((PA[[#This Row],[Sunset Time (POA&lt;20 W/m2)]]-PA[[#This Row],[Sunrise Time (POA&gt;20 W/m2)]])*24,"")</f>
        <v>12.299999999999999</v>
      </c>
      <c r="L198" s="166" t="s">
        <v>472</v>
      </c>
      <c r="M198" s="180">
        <f>IFERROR(VLOOKUP(PA[[#This Row],[Affceted Equipment]],'Basic Data'!$A$2:$B$125,2,0),"")</f>
        <v>6.4</v>
      </c>
      <c r="N198" s="181">
        <f>IFERROR(VLOOKUP(PA[[#This Row],[Affceted Equipment]],'Basic Data'!$A$1:$C$128,3,0),"")</f>
        <v>2.6359143327841849E-4</v>
      </c>
      <c r="O198" s="166" t="s">
        <v>923</v>
      </c>
      <c r="P198" s="149" t="s">
        <v>782</v>
      </c>
      <c r="Q198" s="149" t="s">
        <v>782</v>
      </c>
      <c r="R198" s="149" t="s">
        <v>924</v>
      </c>
      <c r="S198" s="187">
        <v>0.45833333333333331</v>
      </c>
      <c r="T198" s="187">
        <v>0.45833333333333331</v>
      </c>
      <c r="U198" s="187">
        <v>0.45833333333333331</v>
      </c>
      <c r="V198" s="187">
        <v>0.66666666666666663</v>
      </c>
      <c r="W198" s="182">
        <f>IF(PA[[#This Row],[Acknowledgemnet Time ]]="NA","",(PA[[#This Row],[Acknowledgemnet Time ]]-PA[[#This Row],[Fault Time]])*24)</f>
        <v>0</v>
      </c>
      <c r="X198" s="182">
        <f>IF(PA[[#This Row],[Work Start time on Fault]]="NA","",(PA[[#This Row],[Work Start time on Fault]]-PA[[#This Row],[Fault Time]])*24)</f>
        <v>0</v>
      </c>
      <c r="Y198" s="153">
        <f>(PA[[#This Row],[Work Completiuon time on fualt]]-PA[[#This Row],[Fault Time]])*24</f>
        <v>5</v>
      </c>
      <c r="Z198" s="153">
        <f>IFERROR((PA[[#This Row],[Work Completiuon time on fualt]]-PA[[#This Row],[Fault Time]])*24,"")</f>
        <v>5</v>
      </c>
      <c r="AA198" s="307" t="s">
        <v>875</v>
      </c>
      <c r="AB198" s="149" t="s">
        <v>763</v>
      </c>
      <c r="AC198" s="152">
        <f>IFERROR(PA[[#This Row],[Breakdown Time]]*PA[[#This Row],[Plant Equivalent Weightage]],)</f>
        <v>1.3179571663920924E-3</v>
      </c>
      <c r="AD198" s="153">
        <v>2.98</v>
      </c>
      <c r="AE198" s="163">
        <f>IFERROR(_xlfn.XLOOKUP(PA[[#This Row],[Month Year]],'Modelling New'!$D:$D,'Modelling New'!$O:$O)*M198*PA[[#This Row],[Lost PoA(kWh/m2)]],"")</f>
        <v>13.798028194769776</v>
      </c>
      <c r="AF198" s="150"/>
      <c r="AG198" s="150"/>
      <c r="AH198" s="150"/>
    </row>
    <row r="199" spans="1:34" x14ac:dyDescent="0.35">
      <c r="A199" s="147">
        <f t="shared" si="3"/>
        <v>196</v>
      </c>
      <c r="B199" s="183">
        <v>45869</v>
      </c>
      <c r="C199" s="180">
        <f>YEAR(PA[[#This Row],[Date]])+IF(MONTH(PA[[#This Row],[Date]])&gt;=4,1,0)</f>
        <v>2026</v>
      </c>
      <c r="D199" s="155">
        <f>YEAR(PA[[#This Row],[Date]])</f>
        <v>2025</v>
      </c>
      <c r="E199" s="149" t="s">
        <v>4</v>
      </c>
      <c r="F199" s="149" t="s">
        <v>4</v>
      </c>
      <c r="G199" s="310">
        <f>PA[[#This Row],[Date]]-DAY(PA[[#This Row],[Date]])+1</f>
        <v>45839</v>
      </c>
      <c r="H199" s="155">
        <f>DAY(EOMONTH(PA[[#This Row],[Month Year]],0))</f>
        <v>31</v>
      </c>
      <c r="I199" s="151">
        <f>_xlfn.XLOOKUP(PA[[#This Row],[Date]],RD[Date],RD[Sunrise Time (POA&gt;20 W/m2)],0)</f>
        <v>0.2722222222222222</v>
      </c>
      <c r="J199" s="151">
        <f>_xlfn.XLOOKUP(PA[[#This Row],[Date]],RD[Date],RD[Sunset Time (POA&lt;20 W/m2)],0)</f>
        <v>0.78472222222222221</v>
      </c>
      <c r="K199" s="152">
        <f>IFERROR((PA[[#This Row],[Sunset Time (POA&lt;20 W/m2)]]-PA[[#This Row],[Sunrise Time (POA&gt;20 W/m2)]])*24,"")</f>
        <v>12.299999999999999</v>
      </c>
      <c r="L199" s="166" t="s">
        <v>472</v>
      </c>
      <c r="M199" s="180">
        <f>IFERROR(VLOOKUP(PA[[#This Row],[Affceted Equipment]],'Basic Data'!$A$2:$B$125,2,0),"")</f>
        <v>6.4</v>
      </c>
      <c r="N199" s="181">
        <f>IFERROR(VLOOKUP(PA[[#This Row],[Affceted Equipment]],'Basic Data'!$A$1:$C$128,3,0),"")</f>
        <v>2.6359143327841849E-4</v>
      </c>
      <c r="O199" s="166" t="s">
        <v>923</v>
      </c>
      <c r="P199" s="149" t="s">
        <v>782</v>
      </c>
      <c r="Q199" s="149" t="s">
        <v>782</v>
      </c>
      <c r="R199" s="149" t="s">
        <v>925</v>
      </c>
      <c r="S199" s="187">
        <v>0.45833333333333331</v>
      </c>
      <c r="T199" s="187">
        <v>0.45833333333333331</v>
      </c>
      <c r="U199" s="187">
        <v>0.45833333333333331</v>
      </c>
      <c r="V199" s="187">
        <v>0.66666666666666663</v>
      </c>
      <c r="W199" s="182">
        <f>IF(PA[[#This Row],[Acknowledgemnet Time ]]="NA","",(PA[[#This Row],[Acknowledgemnet Time ]]-PA[[#This Row],[Fault Time]])*24)</f>
        <v>0</v>
      </c>
      <c r="X199" s="182">
        <f>IF(PA[[#This Row],[Work Start time on Fault]]="NA","",(PA[[#This Row],[Work Start time on Fault]]-PA[[#This Row],[Fault Time]])*24)</f>
        <v>0</v>
      </c>
      <c r="Y199" s="153">
        <f>(PA[[#This Row],[Work Completiuon time on fualt]]-PA[[#This Row],[Fault Time]])*24</f>
        <v>5</v>
      </c>
      <c r="Z199" s="153">
        <f>IFERROR((PA[[#This Row],[Work Completiuon time on fualt]]-PA[[#This Row],[Fault Time]])*24,"")</f>
        <v>5</v>
      </c>
      <c r="AA199" s="307" t="s">
        <v>875</v>
      </c>
      <c r="AB199" s="149" t="s">
        <v>763</v>
      </c>
      <c r="AC199" s="152">
        <f>IFERROR(PA[[#This Row],[Breakdown Time]]*PA[[#This Row],[Plant Equivalent Weightage]],)</f>
        <v>1.3179571663920924E-3</v>
      </c>
      <c r="AD199" s="153">
        <v>2.98</v>
      </c>
      <c r="AE199" s="163">
        <f>IFERROR(_xlfn.XLOOKUP(PA[[#This Row],[Month Year]],'Modelling New'!$D:$D,'Modelling New'!$O:$O)*M199*PA[[#This Row],[Lost PoA(kWh/m2)]],"")</f>
        <v>13.798028194769776</v>
      </c>
      <c r="AF199" s="150"/>
      <c r="AG199" s="150"/>
      <c r="AH199" s="150"/>
    </row>
    <row r="200" spans="1:34" x14ac:dyDescent="0.35">
      <c r="A200" s="147">
        <f t="shared" si="3"/>
        <v>197</v>
      </c>
      <c r="B200" s="183">
        <v>45869</v>
      </c>
      <c r="C200" s="180">
        <f>YEAR(PA[[#This Row],[Date]])+IF(MONTH(PA[[#This Row],[Date]])&gt;=4,1,0)</f>
        <v>2026</v>
      </c>
      <c r="D200" s="155">
        <f>YEAR(PA[[#This Row],[Date]])</f>
        <v>2025</v>
      </c>
      <c r="E200" s="149" t="s">
        <v>4</v>
      </c>
      <c r="F200" s="149" t="s">
        <v>4</v>
      </c>
      <c r="G200" s="310">
        <f>PA[[#This Row],[Date]]-DAY(PA[[#This Row],[Date]])+1</f>
        <v>45839</v>
      </c>
      <c r="H200" s="155">
        <f>DAY(EOMONTH(PA[[#This Row],[Month Year]],0))</f>
        <v>31</v>
      </c>
      <c r="I200" s="151">
        <f>_xlfn.XLOOKUP(PA[[#This Row],[Date]],RD[Date],RD[Sunrise Time (POA&gt;20 W/m2)],0)</f>
        <v>0.2722222222222222</v>
      </c>
      <c r="J200" s="151">
        <f>_xlfn.XLOOKUP(PA[[#This Row],[Date]],RD[Date],RD[Sunset Time (POA&lt;20 W/m2)],0)</f>
        <v>0.78472222222222221</v>
      </c>
      <c r="K200" s="152">
        <f>IFERROR((PA[[#This Row],[Sunset Time (POA&lt;20 W/m2)]]-PA[[#This Row],[Sunrise Time (POA&gt;20 W/m2)]])*24,"")</f>
        <v>12.299999999999999</v>
      </c>
      <c r="L200" s="166" t="s">
        <v>472</v>
      </c>
      <c r="M200" s="180">
        <f>IFERROR(VLOOKUP(PA[[#This Row],[Affceted Equipment]],'Basic Data'!$A$2:$B$125,2,0),"")</f>
        <v>6.4</v>
      </c>
      <c r="N200" s="181">
        <f>IFERROR(VLOOKUP(PA[[#This Row],[Affceted Equipment]],'Basic Data'!$A$1:$C$128,3,0),"")</f>
        <v>2.6359143327841849E-4</v>
      </c>
      <c r="O200" s="166" t="s">
        <v>923</v>
      </c>
      <c r="P200" s="149" t="s">
        <v>782</v>
      </c>
      <c r="Q200" s="149" t="s">
        <v>782</v>
      </c>
      <c r="R200" s="149" t="s">
        <v>926</v>
      </c>
      <c r="S200" s="187">
        <v>0.45833333333333331</v>
      </c>
      <c r="T200" s="187">
        <v>0.45833333333333331</v>
      </c>
      <c r="U200" s="187">
        <v>0.45833333333333331</v>
      </c>
      <c r="V200" s="187">
        <v>0.66666666666666663</v>
      </c>
      <c r="W200" s="182">
        <f>IF(PA[[#This Row],[Acknowledgemnet Time ]]="NA","",(PA[[#This Row],[Acknowledgemnet Time ]]-PA[[#This Row],[Fault Time]])*24)</f>
        <v>0</v>
      </c>
      <c r="X200" s="182">
        <f>IF(PA[[#This Row],[Work Start time on Fault]]="NA","",(PA[[#This Row],[Work Start time on Fault]]-PA[[#This Row],[Fault Time]])*24)</f>
        <v>0</v>
      </c>
      <c r="Y200" s="153">
        <f>(PA[[#This Row],[Work Completiuon time on fualt]]-PA[[#This Row],[Fault Time]])*24</f>
        <v>5</v>
      </c>
      <c r="Z200" s="153">
        <f>IFERROR((PA[[#This Row],[Work Completiuon time on fualt]]-PA[[#This Row],[Fault Time]])*24,"")</f>
        <v>5</v>
      </c>
      <c r="AA200" s="307" t="s">
        <v>875</v>
      </c>
      <c r="AB200" s="149" t="s">
        <v>763</v>
      </c>
      <c r="AC200" s="152">
        <f>IFERROR(PA[[#This Row],[Breakdown Time]]*PA[[#This Row],[Plant Equivalent Weightage]],)</f>
        <v>1.3179571663920924E-3</v>
      </c>
      <c r="AD200" s="153">
        <v>2.98</v>
      </c>
      <c r="AE200" s="163">
        <f>IFERROR(_xlfn.XLOOKUP(PA[[#This Row],[Month Year]],'Modelling New'!$D:$D,'Modelling New'!$O:$O)*M200*PA[[#This Row],[Lost PoA(kWh/m2)]],"")</f>
        <v>13.798028194769776</v>
      </c>
      <c r="AF200" s="150"/>
      <c r="AG200" s="150"/>
      <c r="AH200" s="150"/>
    </row>
    <row r="201" spans="1:34" x14ac:dyDescent="0.35">
      <c r="A201" s="147">
        <f t="shared" si="3"/>
        <v>198</v>
      </c>
      <c r="B201" s="183">
        <v>45869</v>
      </c>
      <c r="C201" s="180">
        <f>YEAR(PA[[#This Row],[Date]])+IF(MONTH(PA[[#This Row],[Date]])&gt;=4,1,0)</f>
        <v>2026</v>
      </c>
      <c r="D201" s="155">
        <f>YEAR(PA[[#This Row],[Date]])</f>
        <v>2025</v>
      </c>
      <c r="E201" s="149" t="s">
        <v>4</v>
      </c>
      <c r="F201" s="149" t="s">
        <v>4</v>
      </c>
      <c r="G201" s="310">
        <f>PA[[#This Row],[Date]]-DAY(PA[[#This Row],[Date]])+1</f>
        <v>45839</v>
      </c>
      <c r="H201" s="155">
        <f>DAY(EOMONTH(PA[[#This Row],[Month Year]],0))</f>
        <v>31</v>
      </c>
      <c r="I201" s="151">
        <f>_xlfn.XLOOKUP(PA[[#This Row],[Date]],RD[Date],RD[Sunrise Time (POA&gt;20 W/m2)],0)</f>
        <v>0.2722222222222222</v>
      </c>
      <c r="J201" s="151">
        <f>_xlfn.XLOOKUP(PA[[#This Row],[Date]],RD[Date],RD[Sunset Time (POA&lt;20 W/m2)],0)</f>
        <v>0.78472222222222221</v>
      </c>
      <c r="K201" s="152">
        <f>IFERROR((PA[[#This Row],[Sunset Time (POA&lt;20 W/m2)]]-PA[[#This Row],[Sunrise Time (POA&gt;20 W/m2)]])*24,"")</f>
        <v>12.299999999999999</v>
      </c>
      <c r="L201" s="166" t="s">
        <v>472</v>
      </c>
      <c r="M201" s="180">
        <f>IFERROR(VLOOKUP(PA[[#This Row],[Affceted Equipment]],'Basic Data'!$A$2:$B$125,2,0),"")</f>
        <v>6.4</v>
      </c>
      <c r="N201" s="181">
        <f>IFERROR(VLOOKUP(PA[[#This Row],[Affceted Equipment]],'Basic Data'!$A$1:$C$128,3,0),"")</f>
        <v>2.6359143327841849E-4</v>
      </c>
      <c r="O201" s="166" t="s">
        <v>923</v>
      </c>
      <c r="P201" s="149" t="s">
        <v>782</v>
      </c>
      <c r="Q201" s="149" t="s">
        <v>782</v>
      </c>
      <c r="R201" s="149" t="s">
        <v>927</v>
      </c>
      <c r="S201" s="187">
        <v>0.45833333333333331</v>
      </c>
      <c r="T201" s="187">
        <v>0.45833333333333331</v>
      </c>
      <c r="U201" s="187">
        <v>0.45833333333333331</v>
      </c>
      <c r="V201" s="187">
        <v>0.66666666666666663</v>
      </c>
      <c r="W201" s="182">
        <f>IF(PA[[#This Row],[Acknowledgemnet Time ]]="NA","",(PA[[#This Row],[Acknowledgemnet Time ]]-PA[[#This Row],[Fault Time]])*24)</f>
        <v>0</v>
      </c>
      <c r="X201" s="182">
        <f>IF(PA[[#This Row],[Work Start time on Fault]]="NA","",(PA[[#This Row],[Work Start time on Fault]]-PA[[#This Row],[Fault Time]])*24)</f>
        <v>0</v>
      </c>
      <c r="Y201" s="153">
        <f>(PA[[#This Row],[Work Completiuon time on fualt]]-PA[[#This Row],[Fault Time]])*24</f>
        <v>5</v>
      </c>
      <c r="Z201" s="153">
        <f>IFERROR((PA[[#This Row],[Work Completiuon time on fualt]]-PA[[#This Row],[Fault Time]])*24,"")</f>
        <v>5</v>
      </c>
      <c r="AA201" s="307" t="s">
        <v>928</v>
      </c>
      <c r="AB201" s="149" t="s">
        <v>763</v>
      </c>
      <c r="AC201" s="152">
        <f>IFERROR(PA[[#This Row],[Breakdown Time]]*PA[[#This Row],[Plant Equivalent Weightage]],)</f>
        <v>1.3179571663920924E-3</v>
      </c>
      <c r="AD201" s="153">
        <v>2.98</v>
      </c>
      <c r="AE201" s="163">
        <f>IFERROR(_xlfn.XLOOKUP(PA[[#This Row],[Month Year]],'Modelling New'!$D:$D,'Modelling New'!$O:$O)*M201*PA[[#This Row],[Lost PoA(kWh/m2)]],"")</f>
        <v>13.798028194769776</v>
      </c>
      <c r="AF201" s="150"/>
      <c r="AG201" s="150"/>
      <c r="AH201" s="150"/>
    </row>
    <row r="202" spans="1:34" x14ac:dyDescent="0.35">
      <c r="A202" s="147">
        <f t="shared" si="3"/>
        <v>199</v>
      </c>
      <c r="B202" s="183">
        <v>45871</v>
      </c>
      <c r="C202" s="180">
        <f>YEAR(PA[[#This Row],[Date]])+IF(MONTH(PA[[#This Row],[Date]])&gt;=4,1,0)</f>
        <v>2026</v>
      </c>
      <c r="D202" s="155">
        <f>YEAR(PA[[#This Row],[Date]])</f>
        <v>2025</v>
      </c>
      <c r="E202" s="149" t="s">
        <v>4</v>
      </c>
      <c r="F202" s="149" t="s">
        <v>4</v>
      </c>
      <c r="G202" s="310">
        <f>PA[[#This Row],[Date]]-DAY(PA[[#This Row],[Date]])+1</f>
        <v>45870</v>
      </c>
      <c r="H202" s="155">
        <f>DAY(EOMONTH(PA[[#This Row],[Month Year]],0))</f>
        <v>31</v>
      </c>
      <c r="I202" s="151">
        <f>_xlfn.XLOOKUP(PA[[#This Row],[Date]],RD[Date],RD[Sunrise Time (POA&gt;20 W/m2)],0)</f>
        <v>0.26527777777777778</v>
      </c>
      <c r="J202" s="151">
        <f>_xlfn.XLOOKUP(PA[[#This Row],[Date]],RD[Date],RD[Sunset Time (POA&lt;20 W/m2)],0)</f>
        <v>0.78333333333333333</v>
      </c>
      <c r="K202" s="152">
        <f>IFERROR((PA[[#This Row],[Sunset Time (POA&lt;20 W/m2)]]-PA[[#This Row],[Sunrise Time (POA&gt;20 W/m2)]])*24,"")</f>
        <v>12.433333333333332</v>
      </c>
      <c r="L202" s="166" t="s">
        <v>168</v>
      </c>
      <c r="M202" s="180">
        <v>24213.794999999998</v>
      </c>
      <c r="N202" s="181">
        <v>0.99727327018121903</v>
      </c>
      <c r="O202" s="166" t="s">
        <v>168</v>
      </c>
      <c r="P202" s="149" t="s">
        <v>170</v>
      </c>
      <c r="Q202" s="149" t="s">
        <v>717</v>
      </c>
      <c r="R202" s="154" t="s">
        <v>912</v>
      </c>
      <c r="S202" s="187">
        <v>0.3</v>
      </c>
      <c r="T202" s="187">
        <v>0.3</v>
      </c>
      <c r="U202" s="187">
        <v>0.3</v>
      </c>
      <c r="V202" s="187">
        <v>0.33958333333333335</v>
      </c>
      <c r="W202" s="182">
        <f>IF(PA[[#This Row],[Acknowledgemnet Time ]]="NA","",(PA[[#This Row],[Acknowledgemnet Time ]]-PA[[#This Row],[Fault Time]])*24)</f>
        <v>0</v>
      </c>
      <c r="X202" s="182">
        <f>IF(PA[[#This Row],[Work Start time on Fault]]="NA","",(PA[[#This Row],[Work Start time on Fault]]-PA[[#This Row],[Fault Time]])*24)</f>
        <v>0</v>
      </c>
      <c r="Y202" s="153">
        <f>(PA[[#This Row],[Work Completiuon time on fualt]]-PA[[#This Row],[Fault Time]])*24</f>
        <v>0.95000000000000062</v>
      </c>
      <c r="Z202" s="153">
        <f>IFERROR((PA[[#This Row],[Work Completiuon time on fualt]]-PA[[#This Row],[Fault Time]])*24,"")</f>
        <v>0.95000000000000062</v>
      </c>
      <c r="AA202" s="312" t="s">
        <v>913</v>
      </c>
      <c r="AB202" s="149" t="s">
        <v>763</v>
      </c>
      <c r="AC202" s="152">
        <f>IFERROR(PA[[#This Row],[Breakdown Time]]*PA[[#This Row],[Plant Equivalent Weightage]],)</f>
        <v>0.94740960667215868</v>
      </c>
      <c r="AD202" s="153">
        <v>0.18</v>
      </c>
      <c r="AE202" s="163">
        <f>IFERROR(_xlfn.XLOOKUP(PA[[#This Row],[Month Year]],'Modelling New'!$D:$D,'Modelling New'!$O:$O)*M202*PA[[#This Row],[Lost PoA(kWh/m2)]],"")</f>
        <v>3354.0519604103156</v>
      </c>
      <c r="AF202" s="150"/>
      <c r="AG202" s="150"/>
      <c r="AH202" s="150"/>
    </row>
    <row r="203" spans="1:34" x14ac:dyDescent="0.35">
      <c r="A203" s="147">
        <f t="shared" si="3"/>
        <v>200</v>
      </c>
      <c r="B203" s="183"/>
      <c r="C203" s="180"/>
      <c r="D203" s="155">
        <f>YEAR(PA[[#This Row],[Date]])</f>
        <v>1900</v>
      </c>
      <c r="E203" s="154"/>
      <c r="F203" s="154"/>
      <c r="G203" s="310">
        <f>PA[[#This Row],[Date]]-DAY(PA[[#This Row],[Date]])+1</f>
        <v>1</v>
      </c>
      <c r="H203" s="155">
        <f>DAY(EOMONTH(PA[[#This Row],[Month Year]],0))</f>
        <v>31</v>
      </c>
      <c r="I203" s="151">
        <f>_xlfn.XLOOKUP(PA[[#This Row],[Date]],RD[Date],RD[Sunrise Time (POA&gt;20 W/m2)],0)</f>
        <v>0</v>
      </c>
      <c r="J203" s="151">
        <f>_xlfn.XLOOKUP(PA[[#This Row],[Date]],RD[Date],RD[Sunset Time (POA&lt;20 W/m2)],0)</f>
        <v>0</v>
      </c>
      <c r="K203" s="152">
        <f>IFERROR((PA[[#This Row],[Sunset Time (POA&lt;20 W/m2)]]-PA[[#This Row],[Sunrise Time (POA&gt;20 W/m2)]])*24,"")</f>
        <v>0</v>
      </c>
      <c r="L203" s="166"/>
      <c r="M203" s="180" t="str">
        <f>IFERROR(VLOOKUP(PA[[#This Row],[Affceted Equipment]],'Basic Data'!$A$2:$B$125,2,0),"")</f>
        <v/>
      </c>
      <c r="N203" s="181" t="str">
        <f>IFERROR(VLOOKUP(PA[[#This Row],[Affceted Equipment]],'Basic Data'!$A$1:$C$128,3,0),"")</f>
        <v/>
      </c>
      <c r="O203" s="166"/>
      <c r="P203" s="149"/>
      <c r="Q203" s="149"/>
      <c r="R203" s="154"/>
      <c r="S203" s="187"/>
      <c r="T203" s="187"/>
      <c r="U203" s="187"/>
      <c r="V203" s="187"/>
      <c r="W203" s="182">
        <f>IF(PA[[#This Row],[Acknowledgemnet Time ]]="NA","",(PA[[#This Row],[Acknowledgemnet Time ]]-PA[[#This Row],[Fault Time]])*24)</f>
        <v>0</v>
      </c>
      <c r="X203" s="182">
        <f>IF(PA[[#This Row],[Work Start time on Fault]]="NA","",(PA[[#This Row],[Work Start time on Fault]]-PA[[#This Row],[Fault Time]])*24)</f>
        <v>0</v>
      </c>
      <c r="Y203" s="153">
        <f>(PA[[#This Row],[Work Completiuon time on fualt]]-PA[[#This Row],[Fault Time]])*24</f>
        <v>0</v>
      </c>
      <c r="Z203" s="153">
        <f>IFERROR((PA[[#This Row],[Work Completiuon time on fualt]]-PA[[#This Row],[Fault Time]])*24,"")</f>
        <v>0</v>
      </c>
      <c r="AA203" s="149"/>
      <c r="AB203" s="149"/>
      <c r="AC203" s="152" t="str">
        <f>IFERROR(AA206 AA208*PA[[#This Row],[Plant Equivalent Weightage]],"")</f>
        <v/>
      </c>
      <c r="AD203" s="153"/>
      <c r="AE203" s="324" t="str">
        <f>IFERROR(((VLOOKUP(PA[[#This Row],[Date]],Modelling_old[#All],16,0))*PA[[#This Row],[Lost PoA(kWh/m2)]]*PA[[#This Row],[DC Capacity Affceted (kW)]])/1000,"")</f>
        <v/>
      </c>
      <c r="AF203" s="150"/>
      <c r="AG203" s="150"/>
      <c r="AH203" s="150"/>
    </row>
    <row r="204" spans="1:34" x14ac:dyDescent="0.35">
      <c r="A204" s="147">
        <f t="shared" si="3"/>
        <v>201</v>
      </c>
      <c r="B204" s="183"/>
      <c r="C204" s="180"/>
      <c r="D204" s="155">
        <f>YEAR(PA[[#This Row],[Date]])</f>
        <v>1900</v>
      </c>
      <c r="E204" s="154"/>
      <c r="F204" s="154"/>
      <c r="G204" s="310">
        <f>PA[[#This Row],[Date]]-DAY(PA[[#This Row],[Date]])+1</f>
        <v>1</v>
      </c>
      <c r="H204" s="155">
        <f>DAY(EOMONTH(PA[[#This Row],[Month Year]],0))</f>
        <v>31</v>
      </c>
      <c r="I204" s="151">
        <f>_xlfn.XLOOKUP(PA[[#This Row],[Date]],RD[Date],RD[Sunrise Time (POA&gt;20 W/m2)],0)</f>
        <v>0</v>
      </c>
      <c r="J204" s="151">
        <f>_xlfn.XLOOKUP(PA[[#This Row],[Date]],RD[Date],RD[Sunset Time (POA&lt;20 W/m2)],0)</f>
        <v>0</v>
      </c>
      <c r="K204" s="152">
        <f>IFERROR((PA[[#This Row],[Sunset Time (POA&lt;20 W/m2)]]-PA[[#This Row],[Sunrise Time (POA&gt;20 W/m2)]])*24,"")</f>
        <v>0</v>
      </c>
      <c r="L204" s="166"/>
      <c r="M204" s="180" t="str">
        <f>IFERROR(VLOOKUP(PA[[#This Row],[Affceted Equipment]],'Basic Data'!$A$2:$B$125,2,0),"")</f>
        <v/>
      </c>
      <c r="N204" s="181" t="str">
        <f>IFERROR(VLOOKUP(PA[[#This Row],[Affceted Equipment]],'Basic Data'!$A$1:$C$128,3,0),"")</f>
        <v/>
      </c>
      <c r="O204" s="166"/>
      <c r="P204" s="149"/>
      <c r="Q204" s="149"/>
      <c r="R204" s="154"/>
      <c r="S204" s="187"/>
      <c r="T204" s="187"/>
      <c r="U204" s="187"/>
      <c r="V204" s="187"/>
      <c r="W204" s="182">
        <f>IF(PA[[#This Row],[Acknowledgemnet Time ]]="NA","",(PA[[#This Row],[Acknowledgemnet Time ]]-PA[[#This Row],[Fault Time]])*24)</f>
        <v>0</v>
      </c>
      <c r="X204" s="182">
        <f>IF(PA[[#This Row],[Work Start time on Fault]]="NA","",(PA[[#This Row],[Work Start time on Fault]]-PA[[#This Row],[Fault Time]])*24)</f>
        <v>0</v>
      </c>
      <c r="Y204" s="153">
        <f>(PA[[#This Row],[Work Completiuon time on fualt]]-PA[[#This Row],[Fault Time]])*24</f>
        <v>0</v>
      </c>
      <c r="Z204" s="153">
        <f>IFERROR((PA[[#This Row],[Work Completiuon time on fualt]]-PA[[#This Row],[Fault Time]])*24,"")</f>
        <v>0</v>
      </c>
      <c r="AA204" s="149"/>
      <c r="AB204" s="149"/>
      <c r="AC204" s="152" t="str">
        <f>IFERROR(AA207 AA209*PA[[#This Row],[Plant Equivalent Weightage]],"")</f>
        <v/>
      </c>
      <c r="AD204" s="153"/>
      <c r="AE204" s="324" t="str">
        <f>IFERROR(((VLOOKUP(PA[[#This Row],[Date]],Modelling_old[#All],16,0))*PA[[#This Row],[Lost PoA(kWh/m2)]]*PA[[#This Row],[DC Capacity Affceted (kW)]])/1000,"")</f>
        <v/>
      </c>
      <c r="AF204" s="150"/>
      <c r="AG204" s="150"/>
      <c r="AH204" s="150"/>
    </row>
    <row r="205" spans="1:34" x14ac:dyDescent="0.35">
      <c r="A205" s="147">
        <f t="shared" si="3"/>
        <v>202</v>
      </c>
      <c r="B205" s="183"/>
      <c r="C205" s="180"/>
      <c r="D205" s="155">
        <f>YEAR(PA[[#This Row],[Date]])</f>
        <v>1900</v>
      </c>
      <c r="E205" s="154"/>
      <c r="F205" s="154"/>
      <c r="G205" s="310">
        <f>PA[[#This Row],[Date]]-DAY(PA[[#This Row],[Date]])+1</f>
        <v>1</v>
      </c>
      <c r="H205" s="155">
        <f>DAY(EOMONTH(PA[[#This Row],[Month Year]],0))</f>
        <v>31</v>
      </c>
      <c r="I205" s="151">
        <f>_xlfn.XLOOKUP(PA[[#This Row],[Date]],RD[Date],RD[Sunrise Time (POA&gt;20 W/m2)],0)</f>
        <v>0</v>
      </c>
      <c r="J205" s="151">
        <f>_xlfn.XLOOKUP(PA[[#This Row],[Date]],RD[Date],RD[Sunset Time (POA&lt;20 W/m2)],0)</f>
        <v>0</v>
      </c>
      <c r="K205" s="152">
        <f>IFERROR((PA[[#This Row],[Sunset Time (POA&lt;20 W/m2)]]-PA[[#This Row],[Sunrise Time (POA&gt;20 W/m2)]])*24,"")</f>
        <v>0</v>
      </c>
      <c r="L205" s="166"/>
      <c r="M205" s="180" t="str">
        <f>IFERROR(VLOOKUP(PA[[#This Row],[Affceted Equipment]],'Basic Data'!$A$2:$B$125,2,0),"")</f>
        <v/>
      </c>
      <c r="N205" s="181" t="str">
        <f>IFERROR(VLOOKUP(PA[[#This Row],[Affceted Equipment]],'Basic Data'!$A$1:$C$128,3,0),"")</f>
        <v/>
      </c>
      <c r="O205" s="166"/>
      <c r="P205" s="149"/>
      <c r="Q205" s="149"/>
      <c r="R205" s="154"/>
      <c r="S205" s="187"/>
      <c r="T205" s="187"/>
      <c r="U205" s="187"/>
      <c r="V205" s="187"/>
      <c r="W205" s="182">
        <f>IF(PA[[#This Row],[Acknowledgemnet Time ]]="NA","",(PA[[#This Row],[Acknowledgemnet Time ]]-PA[[#This Row],[Fault Time]])*24)</f>
        <v>0</v>
      </c>
      <c r="X205" s="182">
        <f>IF(PA[[#This Row],[Work Start time on Fault]]="NA","",(PA[[#This Row],[Work Start time on Fault]]-PA[[#This Row],[Fault Time]])*24)</f>
        <v>0</v>
      </c>
      <c r="Y205" s="153">
        <f>(PA[[#This Row],[Work Completiuon time on fualt]]-PA[[#This Row],[Fault Time]])*24</f>
        <v>0</v>
      </c>
      <c r="Z205" s="153">
        <f>IFERROR((PA[[#This Row],[Work Completiuon time on fualt]]-PA[[#This Row],[Fault Time]])*24,"")</f>
        <v>0</v>
      </c>
      <c r="AA205" s="149"/>
      <c r="AB205" s="149"/>
      <c r="AC205" s="152" t="str">
        <f>IFERROR(AA208 AA210*PA[[#This Row],[Plant Equivalent Weightage]],"")</f>
        <v/>
      </c>
      <c r="AD205" s="153"/>
      <c r="AE205" s="324" t="str">
        <f>IFERROR(((VLOOKUP(PA[[#This Row],[Date]],Modelling_old[#All],16,0))*PA[[#This Row],[Lost PoA(kWh/m2)]]*PA[[#This Row],[DC Capacity Affceted (kW)]])/1000,"")</f>
        <v/>
      </c>
      <c r="AF205" s="150"/>
      <c r="AG205" s="150"/>
      <c r="AH205" s="150"/>
    </row>
    <row r="206" spans="1:34" x14ac:dyDescent="0.35">
      <c r="A206" s="147">
        <f t="shared" si="3"/>
        <v>203</v>
      </c>
      <c r="B206" s="183"/>
      <c r="C206" s="180"/>
      <c r="D206" s="155">
        <f>YEAR(PA[[#This Row],[Date]])</f>
        <v>1900</v>
      </c>
      <c r="E206" s="154"/>
      <c r="F206" s="154"/>
      <c r="G206" s="310">
        <f>PA[[#This Row],[Date]]-DAY(PA[[#This Row],[Date]])+1</f>
        <v>1</v>
      </c>
      <c r="H206" s="155">
        <f>DAY(EOMONTH(PA[[#This Row],[Month Year]],0))</f>
        <v>31</v>
      </c>
      <c r="I206" s="151">
        <f>_xlfn.XLOOKUP(PA[[#This Row],[Date]],RD[Date],RD[Sunrise Time (POA&gt;20 W/m2)],0)</f>
        <v>0</v>
      </c>
      <c r="J206" s="151">
        <f>_xlfn.XLOOKUP(PA[[#This Row],[Date]],RD[Date],RD[Sunset Time (POA&lt;20 W/m2)],0)</f>
        <v>0</v>
      </c>
      <c r="K206" s="152">
        <f>IFERROR((PA[[#This Row],[Sunset Time (POA&lt;20 W/m2)]]-PA[[#This Row],[Sunrise Time (POA&gt;20 W/m2)]])*24,"")</f>
        <v>0</v>
      </c>
      <c r="L206" s="166"/>
      <c r="M206" s="180" t="str">
        <f>IFERROR(VLOOKUP(PA[[#This Row],[Affceted Equipment]],'Basic Data'!$A$2:$B$125,2,0),"")</f>
        <v/>
      </c>
      <c r="N206" s="181" t="str">
        <f>IFERROR(VLOOKUP(PA[[#This Row],[Affceted Equipment]],'Basic Data'!$A$1:$C$128,3,0),"")</f>
        <v/>
      </c>
      <c r="O206" s="166"/>
      <c r="P206" s="149"/>
      <c r="Q206" s="149"/>
      <c r="R206" s="154"/>
      <c r="S206" s="187"/>
      <c r="T206" s="187"/>
      <c r="U206" s="187"/>
      <c r="V206" s="187"/>
      <c r="W206" s="182">
        <f>IF(PA[[#This Row],[Acknowledgemnet Time ]]="NA","",(PA[[#This Row],[Acknowledgemnet Time ]]-PA[[#This Row],[Fault Time]])*24)</f>
        <v>0</v>
      </c>
      <c r="X206" s="182">
        <f>IF(PA[[#This Row],[Work Start time on Fault]]="NA","",(PA[[#This Row],[Work Start time on Fault]]-PA[[#This Row],[Fault Time]])*24)</f>
        <v>0</v>
      </c>
      <c r="Y206" s="153">
        <f>(PA[[#This Row],[Work Completiuon time on fualt]]-PA[[#This Row],[Fault Time]])*24</f>
        <v>0</v>
      </c>
      <c r="Z206" s="153">
        <f>IFERROR((PA[[#This Row],[Work Completiuon time on fualt]]-PA[[#This Row],[Fault Time]])*24,"")</f>
        <v>0</v>
      </c>
      <c r="AA206" s="149"/>
      <c r="AB206" s="149"/>
      <c r="AC206" s="152" t="str">
        <f>IFERROR(AA209 AA211*PA[[#This Row],[Plant Equivalent Weightage]],"")</f>
        <v/>
      </c>
      <c r="AD206" s="153"/>
      <c r="AE206" s="324" t="str">
        <f>IFERROR(((VLOOKUP(PA[[#This Row],[Date]],Modelling_old[#All],16,0))*PA[[#This Row],[Lost PoA(kWh/m2)]]*PA[[#This Row],[DC Capacity Affceted (kW)]])/1000,"")</f>
        <v/>
      </c>
      <c r="AF206" s="150"/>
      <c r="AG206" s="150"/>
      <c r="AH206" s="150"/>
    </row>
    <row r="207" spans="1:34" x14ac:dyDescent="0.35">
      <c r="A207" s="147">
        <f t="shared" si="3"/>
        <v>204</v>
      </c>
      <c r="B207" s="183"/>
      <c r="C207" s="180"/>
      <c r="D207" s="155">
        <f>YEAR(PA[[#This Row],[Date]])</f>
        <v>1900</v>
      </c>
      <c r="E207" s="154"/>
      <c r="F207" s="154"/>
      <c r="G207" s="310">
        <f>PA[[#This Row],[Date]]-DAY(PA[[#This Row],[Date]])+1</f>
        <v>1</v>
      </c>
      <c r="H207" s="155">
        <f>DAY(EOMONTH(PA[[#This Row],[Month Year]],0))</f>
        <v>31</v>
      </c>
      <c r="I207" s="151">
        <f>_xlfn.XLOOKUP(PA[[#This Row],[Date]],RD[Date],RD[Sunrise Time (POA&gt;20 W/m2)],0)</f>
        <v>0</v>
      </c>
      <c r="J207" s="151">
        <f>_xlfn.XLOOKUP(PA[[#This Row],[Date]],RD[Date],RD[Sunset Time (POA&lt;20 W/m2)],0)</f>
        <v>0</v>
      </c>
      <c r="K207" s="152">
        <f>IFERROR((PA[[#This Row],[Sunset Time (POA&lt;20 W/m2)]]-PA[[#This Row],[Sunrise Time (POA&gt;20 W/m2)]])*24,"")</f>
        <v>0</v>
      </c>
      <c r="L207" s="166"/>
      <c r="M207" s="180" t="str">
        <f>IFERROR(VLOOKUP(PA[[#This Row],[Affceted Equipment]],'Basic Data'!$A$2:$B$125,2,0),"")</f>
        <v/>
      </c>
      <c r="N207" s="181" t="str">
        <f>IFERROR(VLOOKUP(PA[[#This Row],[Affceted Equipment]],'Basic Data'!$A$1:$C$128,3,0),"")</f>
        <v/>
      </c>
      <c r="O207" s="166"/>
      <c r="P207" s="149"/>
      <c r="Q207" s="149"/>
      <c r="R207" s="154"/>
      <c r="S207" s="187"/>
      <c r="T207" s="187"/>
      <c r="U207" s="187"/>
      <c r="V207" s="187"/>
      <c r="W207" s="182">
        <f>IF(PA[[#This Row],[Acknowledgemnet Time ]]="NA","",(PA[[#This Row],[Acknowledgemnet Time ]]-PA[[#This Row],[Fault Time]])*24)</f>
        <v>0</v>
      </c>
      <c r="X207" s="182">
        <f>IF(PA[[#This Row],[Work Start time on Fault]]="NA","",(PA[[#This Row],[Work Start time on Fault]]-PA[[#This Row],[Fault Time]])*24)</f>
        <v>0</v>
      </c>
      <c r="Y207" s="153">
        <f>(PA[[#This Row],[Work Completiuon time on fualt]]-PA[[#This Row],[Fault Time]])*24</f>
        <v>0</v>
      </c>
      <c r="Z207" s="153">
        <f>IFERROR((PA[[#This Row],[Work Completiuon time on fualt]]-PA[[#This Row],[Fault Time]])*24,"")</f>
        <v>0</v>
      </c>
      <c r="AA207" s="149"/>
      <c r="AB207" s="149"/>
      <c r="AC207" s="152" t="str">
        <f>IFERROR(AA210 AA212*PA[[#This Row],[Plant Equivalent Weightage]],"")</f>
        <v/>
      </c>
      <c r="AD207" s="153"/>
      <c r="AE207" s="324" t="str">
        <f>IFERROR(((VLOOKUP(PA[[#This Row],[Date]],Modelling_old[#All],16,0))*PA[[#This Row],[Lost PoA(kWh/m2)]]*PA[[#This Row],[DC Capacity Affceted (kW)]])/1000,"")</f>
        <v/>
      </c>
      <c r="AF207" s="150"/>
      <c r="AG207" s="150"/>
      <c r="AH207" s="150"/>
    </row>
    <row r="208" spans="1:34" x14ac:dyDescent="0.35">
      <c r="A208" s="147">
        <f t="shared" si="3"/>
        <v>205</v>
      </c>
      <c r="B208" s="183"/>
      <c r="C208" s="180"/>
      <c r="D208" s="155">
        <f>YEAR(PA[[#This Row],[Date]])</f>
        <v>1900</v>
      </c>
      <c r="E208" s="154"/>
      <c r="F208" s="154"/>
      <c r="G208" s="310">
        <f>PA[[#This Row],[Date]]-DAY(PA[[#This Row],[Date]])+1</f>
        <v>1</v>
      </c>
      <c r="H208" s="155">
        <f>DAY(EOMONTH(PA[[#This Row],[Month Year]],0))</f>
        <v>31</v>
      </c>
      <c r="I208" s="151">
        <f>_xlfn.XLOOKUP(PA[[#This Row],[Date]],RD[Date],RD[Sunrise Time (POA&gt;20 W/m2)],0)</f>
        <v>0</v>
      </c>
      <c r="J208" s="151">
        <f>_xlfn.XLOOKUP(PA[[#This Row],[Date]],RD[Date],RD[Sunset Time (POA&lt;20 W/m2)],0)</f>
        <v>0</v>
      </c>
      <c r="K208" s="152">
        <f>IFERROR((PA[[#This Row],[Sunset Time (POA&lt;20 W/m2)]]-PA[[#This Row],[Sunrise Time (POA&gt;20 W/m2)]])*24,"")</f>
        <v>0</v>
      </c>
      <c r="L208" s="166"/>
      <c r="M208" s="180" t="str">
        <f>IFERROR(VLOOKUP(PA[[#This Row],[Affceted Equipment]],'Basic Data'!$A$2:$B$125,2,0),"")</f>
        <v/>
      </c>
      <c r="N208" s="181" t="str">
        <f>IFERROR(VLOOKUP(PA[[#This Row],[Affceted Equipment]],'Basic Data'!$A$1:$C$128,3,0),"")</f>
        <v/>
      </c>
      <c r="O208" s="166"/>
      <c r="P208" s="149"/>
      <c r="Q208" s="149"/>
      <c r="R208" s="154"/>
      <c r="S208" s="187"/>
      <c r="T208" s="187"/>
      <c r="U208" s="187"/>
      <c r="V208" s="187"/>
      <c r="W208" s="182">
        <f>IF(PA[[#This Row],[Acknowledgemnet Time ]]="NA","",(PA[[#This Row],[Acknowledgemnet Time ]]-PA[[#This Row],[Fault Time]])*24)</f>
        <v>0</v>
      </c>
      <c r="X208" s="182">
        <f>IF(PA[[#This Row],[Work Start time on Fault]]="NA","",(PA[[#This Row],[Work Start time on Fault]]-PA[[#This Row],[Fault Time]])*24)</f>
        <v>0</v>
      </c>
      <c r="Y208" s="153">
        <f>(PA[[#This Row],[Work Completiuon time on fualt]]-PA[[#This Row],[Fault Time]])*24</f>
        <v>0</v>
      </c>
      <c r="Z208" s="153">
        <f>IFERROR((PA[[#This Row],[Work Completiuon time on fualt]]-PA[[#This Row],[Fault Time]])*24,"")</f>
        <v>0</v>
      </c>
      <c r="AA208" s="149"/>
      <c r="AB208" s="149"/>
      <c r="AC208" s="152" t="str">
        <f>IFERROR(AA211 AA213*PA[[#This Row],[Plant Equivalent Weightage]],"")</f>
        <v/>
      </c>
      <c r="AD208" s="153"/>
      <c r="AE208" s="324" t="str">
        <f>IFERROR(((VLOOKUP(PA[[#This Row],[Date]],Modelling_old[#All],16,0))*PA[[#This Row],[Lost PoA(kWh/m2)]]*PA[[#This Row],[DC Capacity Affceted (kW)]])/1000,"")</f>
        <v/>
      </c>
      <c r="AF208" s="150"/>
      <c r="AG208" s="150"/>
      <c r="AH208" s="150"/>
    </row>
    <row r="209" spans="1:34" x14ac:dyDescent="0.35">
      <c r="A209" s="147">
        <f t="shared" si="3"/>
        <v>206</v>
      </c>
      <c r="B209" s="183"/>
      <c r="C209" s="180"/>
      <c r="D209" s="155">
        <f>YEAR(PA[[#This Row],[Date]])</f>
        <v>1900</v>
      </c>
      <c r="E209" s="154"/>
      <c r="F209" s="154"/>
      <c r="G209" s="310">
        <f>PA[[#This Row],[Date]]-DAY(PA[[#This Row],[Date]])+1</f>
        <v>1</v>
      </c>
      <c r="H209" s="155">
        <f>DAY(EOMONTH(PA[[#This Row],[Month Year]],0))</f>
        <v>31</v>
      </c>
      <c r="I209" s="151">
        <f>_xlfn.XLOOKUP(PA[[#This Row],[Date]],RD[Date],RD[Sunrise Time (POA&gt;20 W/m2)],0)</f>
        <v>0</v>
      </c>
      <c r="J209" s="151">
        <f>_xlfn.XLOOKUP(PA[[#This Row],[Date]],RD[Date],RD[Sunset Time (POA&lt;20 W/m2)],0)</f>
        <v>0</v>
      </c>
      <c r="K209" s="152">
        <f>IFERROR((PA[[#This Row],[Sunset Time (POA&lt;20 W/m2)]]-PA[[#This Row],[Sunrise Time (POA&gt;20 W/m2)]])*24,"")</f>
        <v>0</v>
      </c>
      <c r="L209" s="166"/>
      <c r="M209" s="180" t="str">
        <f>IFERROR(VLOOKUP(PA[[#This Row],[Affceted Equipment]],'Basic Data'!$A$2:$B$125,2,0),"")</f>
        <v/>
      </c>
      <c r="N209" s="181" t="str">
        <f>IFERROR(VLOOKUP(PA[[#This Row],[Affceted Equipment]],'Basic Data'!$A$1:$C$128,3,0),"")</f>
        <v/>
      </c>
      <c r="O209" s="166"/>
      <c r="P209" s="149"/>
      <c r="Q209" s="149"/>
      <c r="R209" s="154"/>
      <c r="S209" s="187"/>
      <c r="T209" s="187"/>
      <c r="U209" s="187"/>
      <c r="V209" s="187"/>
      <c r="W209" s="182">
        <f>IF(PA[[#This Row],[Acknowledgemnet Time ]]="NA","",(PA[[#This Row],[Acknowledgemnet Time ]]-PA[[#This Row],[Fault Time]])*24)</f>
        <v>0</v>
      </c>
      <c r="X209" s="182">
        <f>IF(PA[[#This Row],[Work Start time on Fault]]="NA","",(PA[[#This Row],[Work Start time on Fault]]-PA[[#This Row],[Fault Time]])*24)</f>
        <v>0</v>
      </c>
      <c r="Y209" s="153">
        <f>(PA[[#This Row],[Work Completiuon time on fualt]]-PA[[#This Row],[Fault Time]])*24</f>
        <v>0</v>
      </c>
      <c r="Z209" s="153">
        <f>IFERROR((PA[[#This Row],[Work Completiuon time on fualt]]-PA[[#This Row],[Fault Time]])*24,"")</f>
        <v>0</v>
      </c>
      <c r="AA209" s="149"/>
      <c r="AB209" s="149"/>
      <c r="AC209" s="152" t="str">
        <f>IFERROR(AA212 AA214*PA[[#This Row],[Plant Equivalent Weightage]],"")</f>
        <v/>
      </c>
      <c r="AD209" s="153"/>
      <c r="AE209" s="324" t="str">
        <f>IFERROR(((VLOOKUP(PA[[#This Row],[Date]],Modelling_old[#All],16,0))*PA[[#This Row],[Lost PoA(kWh/m2)]]*PA[[#This Row],[DC Capacity Affceted (kW)]])/1000,"")</f>
        <v/>
      </c>
      <c r="AF209" s="150"/>
      <c r="AG209" s="150"/>
      <c r="AH209" s="150"/>
    </row>
    <row r="210" spans="1:34" x14ac:dyDescent="0.35">
      <c r="A210" s="147">
        <f t="shared" si="3"/>
        <v>207</v>
      </c>
      <c r="B210" s="183"/>
      <c r="C210" s="180"/>
      <c r="D210" s="155">
        <f>YEAR(PA[[#This Row],[Date]])</f>
        <v>1900</v>
      </c>
      <c r="E210" s="154"/>
      <c r="F210" s="154"/>
      <c r="G210" s="310">
        <f>PA[[#This Row],[Date]]-DAY(PA[[#This Row],[Date]])+1</f>
        <v>1</v>
      </c>
      <c r="H210" s="155">
        <f>DAY(EOMONTH(PA[[#This Row],[Month Year]],0))</f>
        <v>31</v>
      </c>
      <c r="I210" s="151">
        <f>_xlfn.XLOOKUP(PA[[#This Row],[Date]],RD[Date],RD[Sunrise Time (POA&gt;20 W/m2)],0)</f>
        <v>0</v>
      </c>
      <c r="J210" s="151">
        <f>_xlfn.XLOOKUP(PA[[#This Row],[Date]],RD[Date],RD[Sunset Time (POA&lt;20 W/m2)],0)</f>
        <v>0</v>
      </c>
      <c r="K210" s="152">
        <f>IFERROR((PA[[#This Row],[Sunset Time (POA&lt;20 W/m2)]]-PA[[#This Row],[Sunrise Time (POA&gt;20 W/m2)]])*24,"")</f>
        <v>0</v>
      </c>
      <c r="L210" s="166"/>
      <c r="M210" s="180" t="str">
        <f>IFERROR(VLOOKUP(PA[[#This Row],[Affceted Equipment]],'Basic Data'!$A$2:$B$125,2,0),"")</f>
        <v/>
      </c>
      <c r="N210" s="181" t="str">
        <f>IFERROR(VLOOKUP(PA[[#This Row],[Affceted Equipment]],'Basic Data'!$A$1:$C$128,3,0),"")</f>
        <v/>
      </c>
      <c r="O210" s="166"/>
      <c r="P210" s="149"/>
      <c r="Q210" s="149"/>
      <c r="R210" s="154"/>
      <c r="S210" s="187"/>
      <c r="T210" s="187"/>
      <c r="U210" s="187"/>
      <c r="V210" s="187"/>
      <c r="W210" s="182">
        <f>IF(PA[[#This Row],[Acknowledgemnet Time ]]="NA","",(PA[[#This Row],[Acknowledgemnet Time ]]-PA[[#This Row],[Fault Time]])*24)</f>
        <v>0</v>
      </c>
      <c r="X210" s="182">
        <f>IF(PA[[#This Row],[Work Start time on Fault]]="NA","",(PA[[#This Row],[Work Start time on Fault]]-PA[[#This Row],[Fault Time]])*24)</f>
        <v>0</v>
      </c>
      <c r="Y210" s="153">
        <f>(PA[[#This Row],[Work Completiuon time on fualt]]-PA[[#This Row],[Fault Time]])*24</f>
        <v>0</v>
      </c>
      <c r="Z210" s="153">
        <f>IFERROR((PA[[#This Row],[Work Completiuon time on fualt]]-PA[[#This Row],[Fault Time]])*24,"")</f>
        <v>0</v>
      </c>
      <c r="AA210" s="149"/>
      <c r="AB210" s="149"/>
      <c r="AC210" s="152" t="str">
        <f>IFERROR(AA213 AA215*PA[[#This Row],[Plant Equivalent Weightage]],"")</f>
        <v/>
      </c>
      <c r="AD210" s="153"/>
      <c r="AE210" s="324" t="str">
        <f>IFERROR(((VLOOKUP(PA[[#This Row],[Date]],Modelling_old[#All],16,0))*PA[[#This Row],[Lost PoA(kWh/m2)]]*PA[[#This Row],[DC Capacity Affceted (kW)]])/1000,"")</f>
        <v/>
      </c>
      <c r="AF210" s="150"/>
      <c r="AG210" s="150"/>
      <c r="AH210" s="150"/>
    </row>
    <row r="211" spans="1:34" x14ac:dyDescent="0.35">
      <c r="A211" s="147">
        <f t="shared" si="3"/>
        <v>208</v>
      </c>
      <c r="B211" s="183"/>
      <c r="C211" s="180"/>
      <c r="D211" s="155">
        <f>YEAR(PA[[#This Row],[Date]])</f>
        <v>1900</v>
      </c>
      <c r="E211" s="154"/>
      <c r="F211" s="154"/>
      <c r="G211" s="310">
        <f>PA[[#This Row],[Date]]-DAY(PA[[#This Row],[Date]])+1</f>
        <v>1</v>
      </c>
      <c r="H211" s="155">
        <f>DAY(EOMONTH(PA[[#This Row],[Month Year]],0))</f>
        <v>31</v>
      </c>
      <c r="I211" s="151">
        <f>_xlfn.XLOOKUP(PA[[#This Row],[Date]],RD[Date],RD[Sunrise Time (POA&gt;20 W/m2)],0)</f>
        <v>0</v>
      </c>
      <c r="J211" s="151">
        <f>_xlfn.XLOOKUP(PA[[#This Row],[Date]],RD[Date],RD[Sunset Time (POA&lt;20 W/m2)],0)</f>
        <v>0</v>
      </c>
      <c r="K211" s="152">
        <f>IFERROR((PA[[#This Row],[Sunset Time (POA&lt;20 W/m2)]]-PA[[#This Row],[Sunrise Time (POA&gt;20 W/m2)]])*24,"")</f>
        <v>0</v>
      </c>
      <c r="L211" s="166"/>
      <c r="M211" s="180" t="str">
        <f>IFERROR(VLOOKUP(PA[[#This Row],[Affceted Equipment]],'Basic Data'!$A$2:$B$125,2,0),"")</f>
        <v/>
      </c>
      <c r="N211" s="181" t="str">
        <f>IFERROR(VLOOKUP(PA[[#This Row],[Affceted Equipment]],'Basic Data'!$A$1:$C$128,3,0),"")</f>
        <v/>
      </c>
      <c r="O211" s="166"/>
      <c r="P211" s="149"/>
      <c r="Q211" s="149"/>
      <c r="R211" s="154"/>
      <c r="S211" s="187"/>
      <c r="T211" s="187"/>
      <c r="U211" s="187"/>
      <c r="V211" s="187"/>
      <c r="W211" s="182">
        <f>IF(PA[[#This Row],[Acknowledgemnet Time ]]="NA","",(PA[[#This Row],[Acknowledgemnet Time ]]-PA[[#This Row],[Fault Time]])*24)</f>
        <v>0</v>
      </c>
      <c r="X211" s="182">
        <f>IF(PA[[#This Row],[Work Start time on Fault]]="NA","",(PA[[#This Row],[Work Start time on Fault]]-PA[[#This Row],[Fault Time]])*24)</f>
        <v>0</v>
      </c>
      <c r="Y211" s="153">
        <f>(PA[[#This Row],[Work Completiuon time on fualt]]-PA[[#This Row],[Fault Time]])*24</f>
        <v>0</v>
      </c>
      <c r="Z211" s="153">
        <f>IFERROR((PA[[#This Row],[Work Completiuon time on fualt]]-PA[[#This Row],[Fault Time]])*24,"")</f>
        <v>0</v>
      </c>
      <c r="AA211" s="149"/>
      <c r="AB211" s="149"/>
      <c r="AC211" s="152" t="str">
        <f>IFERROR(AA214 AA216*PA[[#This Row],[Plant Equivalent Weightage]],"")</f>
        <v/>
      </c>
      <c r="AD211" s="153"/>
      <c r="AE211" s="324" t="str">
        <f>IFERROR(((VLOOKUP(PA[[#This Row],[Date]],Modelling_old[#All],16,0))*PA[[#This Row],[Lost PoA(kWh/m2)]]*PA[[#This Row],[DC Capacity Affceted (kW)]])/1000,"")</f>
        <v/>
      </c>
      <c r="AF211" s="150"/>
      <c r="AG211" s="150"/>
      <c r="AH211" s="150"/>
    </row>
    <row r="212" spans="1:34" x14ac:dyDescent="0.35">
      <c r="A212" s="147">
        <f t="shared" si="3"/>
        <v>209</v>
      </c>
      <c r="B212" s="183"/>
      <c r="C212" s="180"/>
      <c r="D212" s="155">
        <f>YEAR(PA[[#This Row],[Date]])</f>
        <v>1900</v>
      </c>
      <c r="E212" s="154"/>
      <c r="F212" s="154"/>
      <c r="G212" s="310">
        <f>PA[[#This Row],[Date]]-DAY(PA[[#This Row],[Date]])+1</f>
        <v>1</v>
      </c>
      <c r="H212" s="155">
        <f>DAY(EOMONTH(PA[[#This Row],[Month Year]],0))</f>
        <v>31</v>
      </c>
      <c r="I212" s="151">
        <f>_xlfn.XLOOKUP(PA[[#This Row],[Date]],RD[Date],RD[Sunrise Time (POA&gt;20 W/m2)],0)</f>
        <v>0</v>
      </c>
      <c r="J212" s="151">
        <f>_xlfn.XLOOKUP(PA[[#This Row],[Date]],RD[Date],RD[Sunset Time (POA&lt;20 W/m2)],0)</f>
        <v>0</v>
      </c>
      <c r="K212" s="152">
        <f>IFERROR((PA[[#This Row],[Sunset Time (POA&lt;20 W/m2)]]-PA[[#This Row],[Sunrise Time (POA&gt;20 W/m2)]])*24,"")</f>
        <v>0</v>
      </c>
      <c r="L212" s="166"/>
      <c r="M212" s="180" t="str">
        <f>IFERROR(VLOOKUP(PA[[#This Row],[Affceted Equipment]],'Basic Data'!$A$2:$B$125,2,0),"")</f>
        <v/>
      </c>
      <c r="N212" s="181" t="str">
        <f>IFERROR(VLOOKUP(PA[[#This Row],[Affceted Equipment]],'Basic Data'!$A$1:$C$128,3,0),"")</f>
        <v/>
      </c>
      <c r="O212" s="166"/>
      <c r="P212" s="149"/>
      <c r="Q212" s="149"/>
      <c r="R212" s="154"/>
      <c r="S212" s="187"/>
      <c r="T212" s="187"/>
      <c r="U212" s="187"/>
      <c r="V212" s="187"/>
      <c r="W212" s="182">
        <f>IF(PA[[#This Row],[Acknowledgemnet Time ]]="NA","",(PA[[#This Row],[Acknowledgemnet Time ]]-PA[[#This Row],[Fault Time]])*24)</f>
        <v>0</v>
      </c>
      <c r="X212" s="182">
        <f>IF(PA[[#This Row],[Work Start time on Fault]]="NA","",(PA[[#This Row],[Work Start time on Fault]]-PA[[#This Row],[Fault Time]])*24)</f>
        <v>0</v>
      </c>
      <c r="Y212" s="153">
        <f>(PA[[#This Row],[Work Completiuon time on fualt]]-PA[[#This Row],[Fault Time]])*24</f>
        <v>0</v>
      </c>
      <c r="Z212" s="153">
        <f>IFERROR((PA[[#This Row],[Work Completiuon time on fualt]]-PA[[#This Row],[Fault Time]])*24,"")</f>
        <v>0</v>
      </c>
      <c r="AA212" s="149"/>
      <c r="AB212" s="149"/>
      <c r="AC212" s="152" t="str">
        <f>IFERROR(AA215 AA217*PA[[#This Row],[Plant Equivalent Weightage]],"")</f>
        <v/>
      </c>
      <c r="AD212" s="153"/>
      <c r="AE212" s="324" t="str">
        <f>IFERROR(((VLOOKUP(PA[[#This Row],[Date]],Modelling_old[#All],16,0))*PA[[#This Row],[Lost PoA(kWh/m2)]]*PA[[#This Row],[DC Capacity Affceted (kW)]])/1000,"")</f>
        <v/>
      </c>
      <c r="AF212" s="150"/>
      <c r="AG212" s="150"/>
      <c r="AH212" s="150"/>
    </row>
    <row r="213" spans="1:34" x14ac:dyDescent="0.35">
      <c r="A213" s="147">
        <f t="shared" si="3"/>
        <v>210</v>
      </c>
      <c r="B213" s="183"/>
      <c r="C213" s="180"/>
      <c r="D213" s="155">
        <f>YEAR(PA[[#This Row],[Date]])</f>
        <v>1900</v>
      </c>
      <c r="E213" s="154"/>
      <c r="F213" s="154"/>
      <c r="G213" s="310">
        <f>PA[[#This Row],[Date]]-DAY(PA[[#This Row],[Date]])+1</f>
        <v>1</v>
      </c>
      <c r="H213" s="155">
        <f>DAY(EOMONTH(PA[[#This Row],[Month Year]],0))</f>
        <v>31</v>
      </c>
      <c r="I213" s="151">
        <f>_xlfn.XLOOKUP(PA[[#This Row],[Date]],RD[Date],RD[Sunrise Time (POA&gt;20 W/m2)],0)</f>
        <v>0</v>
      </c>
      <c r="J213" s="151">
        <f>_xlfn.XLOOKUP(PA[[#This Row],[Date]],RD[Date],RD[Sunset Time (POA&lt;20 W/m2)],0)</f>
        <v>0</v>
      </c>
      <c r="K213" s="152">
        <f>IFERROR((PA[[#This Row],[Sunset Time (POA&lt;20 W/m2)]]-PA[[#This Row],[Sunrise Time (POA&gt;20 W/m2)]])*24,"")</f>
        <v>0</v>
      </c>
      <c r="L213" s="166"/>
      <c r="M213" s="180" t="str">
        <f>IFERROR(VLOOKUP(PA[[#This Row],[Affceted Equipment]],'Basic Data'!$A$2:$B$125,2,0),"")</f>
        <v/>
      </c>
      <c r="N213" s="181" t="str">
        <f>IFERROR(VLOOKUP(PA[[#This Row],[Affceted Equipment]],'Basic Data'!$A$1:$C$128,3,0),"")</f>
        <v/>
      </c>
      <c r="O213" s="166"/>
      <c r="P213" s="149"/>
      <c r="Q213" s="149"/>
      <c r="R213" s="154"/>
      <c r="S213" s="187"/>
      <c r="T213" s="187"/>
      <c r="U213" s="187"/>
      <c r="V213" s="187"/>
      <c r="W213" s="182">
        <f>IF(PA[[#This Row],[Acknowledgemnet Time ]]="NA","",(PA[[#This Row],[Acknowledgemnet Time ]]-PA[[#This Row],[Fault Time]])*24)</f>
        <v>0</v>
      </c>
      <c r="X213" s="182">
        <f>IF(PA[[#This Row],[Work Start time on Fault]]="NA","",(PA[[#This Row],[Work Start time on Fault]]-PA[[#This Row],[Fault Time]])*24)</f>
        <v>0</v>
      </c>
      <c r="Y213" s="153">
        <f>(PA[[#This Row],[Work Completiuon time on fualt]]-PA[[#This Row],[Fault Time]])*24</f>
        <v>0</v>
      </c>
      <c r="Z213" s="153">
        <f>IFERROR((PA[[#This Row],[Work Completiuon time on fualt]]-PA[[#This Row],[Fault Time]])*24,"")</f>
        <v>0</v>
      </c>
      <c r="AA213" s="149"/>
      <c r="AB213" s="149"/>
      <c r="AC213" s="152" t="str">
        <f>IFERROR(AA216 AA218*PA[[#This Row],[Plant Equivalent Weightage]],"")</f>
        <v/>
      </c>
      <c r="AD213" s="153"/>
      <c r="AE213" s="324" t="str">
        <f>IFERROR(((VLOOKUP(PA[[#This Row],[Date]],Modelling_old[#All],16,0))*PA[[#This Row],[Lost PoA(kWh/m2)]]*PA[[#This Row],[DC Capacity Affceted (kW)]])/1000,"")</f>
        <v/>
      </c>
      <c r="AF213" s="150"/>
      <c r="AG213" s="150"/>
      <c r="AH213" s="150"/>
    </row>
    <row r="214" spans="1:34" x14ac:dyDescent="0.35">
      <c r="A214" s="147">
        <f t="shared" si="3"/>
        <v>211</v>
      </c>
      <c r="B214" s="183"/>
      <c r="C214" s="180"/>
      <c r="D214" s="155">
        <f>YEAR(PA[[#This Row],[Date]])</f>
        <v>1900</v>
      </c>
      <c r="E214" s="154"/>
      <c r="F214" s="154"/>
      <c r="G214" s="310">
        <f>PA[[#This Row],[Date]]-DAY(PA[[#This Row],[Date]])+1</f>
        <v>1</v>
      </c>
      <c r="H214" s="155">
        <f>DAY(EOMONTH(PA[[#This Row],[Month Year]],0))</f>
        <v>31</v>
      </c>
      <c r="I214" s="151">
        <f>_xlfn.XLOOKUP(PA[[#This Row],[Date]],RD[Date],RD[Sunrise Time (POA&gt;20 W/m2)],0)</f>
        <v>0</v>
      </c>
      <c r="J214" s="151">
        <f>_xlfn.XLOOKUP(PA[[#This Row],[Date]],RD[Date],RD[Sunset Time (POA&lt;20 W/m2)],0)</f>
        <v>0</v>
      </c>
      <c r="K214" s="152">
        <f>IFERROR((PA[[#This Row],[Sunset Time (POA&lt;20 W/m2)]]-PA[[#This Row],[Sunrise Time (POA&gt;20 W/m2)]])*24,"")</f>
        <v>0</v>
      </c>
      <c r="L214" s="166"/>
      <c r="M214" s="180" t="str">
        <f>IFERROR(VLOOKUP(PA[[#This Row],[Affceted Equipment]],'Basic Data'!$A$2:$B$125,2,0),"")</f>
        <v/>
      </c>
      <c r="N214" s="181" t="str">
        <f>IFERROR(VLOOKUP(PA[[#This Row],[Affceted Equipment]],'Basic Data'!$A$1:$C$128,3,0),"")</f>
        <v/>
      </c>
      <c r="O214" s="166"/>
      <c r="P214" s="149"/>
      <c r="Q214" s="149"/>
      <c r="R214" s="154"/>
      <c r="S214" s="187"/>
      <c r="T214" s="187"/>
      <c r="U214" s="187"/>
      <c r="V214" s="187"/>
      <c r="W214" s="182">
        <f>IF(PA[[#This Row],[Acknowledgemnet Time ]]="NA","",(PA[[#This Row],[Acknowledgemnet Time ]]-PA[[#This Row],[Fault Time]])*24)</f>
        <v>0</v>
      </c>
      <c r="X214" s="182">
        <f>IF(PA[[#This Row],[Work Start time on Fault]]="NA","",(PA[[#This Row],[Work Start time on Fault]]-PA[[#This Row],[Fault Time]])*24)</f>
        <v>0</v>
      </c>
      <c r="Y214" s="153">
        <f>(PA[[#This Row],[Work Completiuon time on fualt]]-PA[[#This Row],[Fault Time]])*24</f>
        <v>0</v>
      </c>
      <c r="Z214" s="153">
        <f>IFERROR((PA[[#This Row],[Work Completiuon time on fualt]]-PA[[#This Row],[Fault Time]])*24,"")</f>
        <v>0</v>
      </c>
      <c r="AA214" s="149"/>
      <c r="AB214" s="149"/>
      <c r="AC214" s="152" t="str">
        <f>IFERROR(AA217 AA219*PA[[#This Row],[Plant Equivalent Weightage]],"")</f>
        <v/>
      </c>
      <c r="AD214" s="153"/>
      <c r="AE214" s="324" t="str">
        <f>IFERROR(((VLOOKUP(PA[[#This Row],[Date]],Modelling_old[#All],16,0))*PA[[#This Row],[Lost PoA(kWh/m2)]]*PA[[#This Row],[DC Capacity Affceted (kW)]])/1000,"")</f>
        <v/>
      </c>
      <c r="AF214" s="150"/>
      <c r="AG214" s="150"/>
      <c r="AH214" s="150"/>
    </row>
    <row r="215" spans="1:34" x14ac:dyDescent="0.35">
      <c r="A215" s="147">
        <f t="shared" ref="A215:A242" si="4">A214+1</f>
        <v>212</v>
      </c>
      <c r="B215" s="183"/>
      <c r="C215" s="180"/>
      <c r="D215" s="155">
        <f>YEAR(PA[[#This Row],[Date]])</f>
        <v>1900</v>
      </c>
      <c r="E215" s="154"/>
      <c r="F215" s="154"/>
      <c r="G215" s="310">
        <f>PA[[#This Row],[Date]]-DAY(PA[[#This Row],[Date]])+1</f>
        <v>1</v>
      </c>
      <c r="H215" s="155">
        <f>DAY(EOMONTH(PA[[#This Row],[Month Year]],0))</f>
        <v>31</v>
      </c>
      <c r="I215" s="151">
        <f>_xlfn.XLOOKUP(PA[[#This Row],[Date]],RD[Date],RD[Sunrise Time (POA&gt;20 W/m2)],0)</f>
        <v>0</v>
      </c>
      <c r="J215" s="151">
        <f>_xlfn.XLOOKUP(PA[[#This Row],[Date]],RD[Date],RD[Sunset Time (POA&lt;20 W/m2)],0)</f>
        <v>0</v>
      </c>
      <c r="K215" s="152">
        <f>IFERROR((PA[[#This Row],[Sunset Time (POA&lt;20 W/m2)]]-PA[[#This Row],[Sunrise Time (POA&gt;20 W/m2)]])*24,"")</f>
        <v>0</v>
      </c>
      <c r="L215" s="166"/>
      <c r="M215" s="180" t="str">
        <f>IFERROR(VLOOKUP(PA[[#This Row],[Affceted Equipment]],'Basic Data'!$A$2:$B$125,2,0),"")</f>
        <v/>
      </c>
      <c r="N215" s="181" t="str">
        <f>IFERROR(VLOOKUP(PA[[#This Row],[Affceted Equipment]],'Basic Data'!$A$1:$C$128,3,0),"")</f>
        <v/>
      </c>
      <c r="O215" s="166"/>
      <c r="P215" s="149"/>
      <c r="Q215" s="149"/>
      <c r="R215" s="154"/>
      <c r="S215" s="187"/>
      <c r="T215" s="187"/>
      <c r="U215" s="187"/>
      <c r="V215" s="187"/>
      <c r="W215" s="182">
        <f>IF(PA[[#This Row],[Acknowledgemnet Time ]]="NA","",(PA[[#This Row],[Acknowledgemnet Time ]]-PA[[#This Row],[Fault Time]])*24)</f>
        <v>0</v>
      </c>
      <c r="X215" s="182">
        <f>IF(PA[[#This Row],[Work Start time on Fault]]="NA","",(PA[[#This Row],[Work Start time on Fault]]-PA[[#This Row],[Fault Time]])*24)</f>
        <v>0</v>
      </c>
      <c r="Y215" s="153">
        <f>(PA[[#This Row],[Work Completiuon time on fualt]]-PA[[#This Row],[Fault Time]])*24</f>
        <v>0</v>
      </c>
      <c r="Z215" s="153">
        <f>IFERROR((PA[[#This Row],[Work Completiuon time on fualt]]-PA[[#This Row],[Fault Time]])*24,"")</f>
        <v>0</v>
      </c>
      <c r="AA215" s="149"/>
      <c r="AB215" s="149"/>
      <c r="AC215" s="152" t="str">
        <f>IFERROR(AA218 AA220*PA[[#This Row],[Plant Equivalent Weightage]],"")</f>
        <v/>
      </c>
      <c r="AD215" s="153"/>
      <c r="AE215" s="324" t="str">
        <f>IFERROR(((VLOOKUP(PA[[#This Row],[Date]],Modelling_old[#All],16,0))*PA[[#This Row],[Lost PoA(kWh/m2)]]*PA[[#This Row],[DC Capacity Affceted (kW)]])/1000,"")</f>
        <v/>
      </c>
      <c r="AF215" s="150"/>
      <c r="AG215" s="150"/>
      <c r="AH215" s="150"/>
    </row>
    <row r="216" spans="1:34" x14ac:dyDescent="0.35">
      <c r="A216" s="147">
        <f t="shared" si="4"/>
        <v>213</v>
      </c>
      <c r="B216" s="183"/>
      <c r="C216" s="180"/>
      <c r="D216" s="155">
        <f>YEAR(PA[[#This Row],[Date]])</f>
        <v>1900</v>
      </c>
      <c r="E216" s="154"/>
      <c r="F216" s="154"/>
      <c r="G216" s="310">
        <f>PA[[#This Row],[Date]]-DAY(PA[[#This Row],[Date]])+1</f>
        <v>1</v>
      </c>
      <c r="H216" s="155">
        <f>DAY(EOMONTH(PA[[#This Row],[Month Year]],0))</f>
        <v>31</v>
      </c>
      <c r="I216" s="151">
        <f>_xlfn.XLOOKUP(PA[[#This Row],[Date]],RD[Date],RD[Sunrise Time (POA&gt;20 W/m2)],0)</f>
        <v>0</v>
      </c>
      <c r="J216" s="151">
        <f>_xlfn.XLOOKUP(PA[[#This Row],[Date]],RD[Date],RD[Sunset Time (POA&lt;20 W/m2)],0)</f>
        <v>0</v>
      </c>
      <c r="K216" s="152">
        <f>IFERROR((PA[[#This Row],[Sunset Time (POA&lt;20 W/m2)]]-PA[[#This Row],[Sunrise Time (POA&gt;20 W/m2)]])*24,"")</f>
        <v>0</v>
      </c>
      <c r="L216" s="166"/>
      <c r="M216" s="180" t="str">
        <f>IFERROR(VLOOKUP(PA[[#This Row],[Affceted Equipment]],'Basic Data'!$A$2:$B$125,2,0),"")</f>
        <v/>
      </c>
      <c r="N216" s="181" t="str">
        <f>IFERROR(VLOOKUP(PA[[#This Row],[Affceted Equipment]],'Basic Data'!$A$1:$C$128,3,0),"")</f>
        <v/>
      </c>
      <c r="O216" s="166"/>
      <c r="P216" s="149"/>
      <c r="Q216" s="149"/>
      <c r="R216" s="154"/>
      <c r="S216" s="187"/>
      <c r="T216" s="187"/>
      <c r="U216" s="187"/>
      <c r="V216" s="187"/>
      <c r="W216" s="182">
        <f>IF(PA[[#This Row],[Acknowledgemnet Time ]]="NA","",(PA[[#This Row],[Acknowledgemnet Time ]]-PA[[#This Row],[Fault Time]])*24)</f>
        <v>0</v>
      </c>
      <c r="X216" s="182">
        <f>IF(PA[[#This Row],[Work Start time on Fault]]="NA","",(PA[[#This Row],[Work Start time on Fault]]-PA[[#This Row],[Fault Time]])*24)</f>
        <v>0</v>
      </c>
      <c r="Y216" s="153">
        <f>(PA[[#This Row],[Work Completiuon time on fualt]]-PA[[#This Row],[Fault Time]])*24</f>
        <v>0</v>
      </c>
      <c r="Z216" s="153">
        <f>IFERROR((PA[[#This Row],[Work Completiuon time on fualt]]-PA[[#This Row],[Fault Time]])*24,"")</f>
        <v>0</v>
      </c>
      <c r="AA216" s="149"/>
      <c r="AB216" s="149"/>
      <c r="AC216" s="152" t="str">
        <f>IFERROR(AA219 AA221*PA[[#This Row],[Plant Equivalent Weightage]],"")</f>
        <v/>
      </c>
      <c r="AD216" s="153"/>
      <c r="AE216" s="324" t="str">
        <f>IFERROR(((VLOOKUP(PA[[#This Row],[Date]],Modelling_old[#All],16,0))*PA[[#This Row],[Lost PoA(kWh/m2)]]*PA[[#This Row],[DC Capacity Affceted (kW)]])/1000,"")</f>
        <v/>
      </c>
      <c r="AF216" s="150"/>
      <c r="AG216" s="150"/>
      <c r="AH216" s="150"/>
    </row>
    <row r="217" spans="1:34" x14ac:dyDescent="0.35">
      <c r="A217" s="147">
        <f t="shared" si="4"/>
        <v>214</v>
      </c>
      <c r="B217" s="183"/>
      <c r="C217" s="180"/>
      <c r="D217" s="155">
        <f>YEAR(PA[[#This Row],[Date]])</f>
        <v>1900</v>
      </c>
      <c r="E217" s="154"/>
      <c r="F217" s="154"/>
      <c r="G217" s="310">
        <f>PA[[#This Row],[Date]]-DAY(PA[[#This Row],[Date]])+1</f>
        <v>1</v>
      </c>
      <c r="H217" s="155">
        <f>DAY(EOMONTH(PA[[#This Row],[Month Year]],0))</f>
        <v>31</v>
      </c>
      <c r="I217" s="151">
        <f>_xlfn.XLOOKUP(PA[[#This Row],[Date]],RD[Date],RD[Sunrise Time (POA&gt;20 W/m2)],0)</f>
        <v>0</v>
      </c>
      <c r="J217" s="151">
        <f>_xlfn.XLOOKUP(PA[[#This Row],[Date]],RD[Date],RD[Sunset Time (POA&lt;20 W/m2)],0)</f>
        <v>0</v>
      </c>
      <c r="K217" s="152">
        <f>IFERROR((PA[[#This Row],[Sunset Time (POA&lt;20 W/m2)]]-PA[[#This Row],[Sunrise Time (POA&gt;20 W/m2)]])*24,"")</f>
        <v>0</v>
      </c>
      <c r="L217" s="166"/>
      <c r="M217" s="180" t="str">
        <f>IFERROR(VLOOKUP(PA[[#This Row],[Affceted Equipment]],'Basic Data'!$A$2:$B$125,2,0),"")</f>
        <v/>
      </c>
      <c r="N217" s="181" t="str">
        <f>IFERROR(VLOOKUP(PA[[#This Row],[Affceted Equipment]],'Basic Data'!$A$1:$C$128,3,0),"")</f>
        <v/>
      </c>
      <c r="O217" s="166"/>
      <c r="P217" s="149"/>
      <c r="Q217" s="149"/>
      <c r="R217" s="154"/>
      <c r="S217" s="187"/>
      <c r="T217" s="187"/>
      <c r="U217" s="187"/>
      <c r="V217" s="187"/>
      <c r="W217" s="182">
        <f>IF(PA[[#This Row],[Acknowledgemnet Time ]]="NA","",(PA[[#This Row],[Acknowledgemnet Time ]]-PA[[#This Row],[Fault Time]])*24)</f>
        <v>0</v>
      </c>
      <c r="X217" s="182">
        <f>IF(PA[[#This Row],[Work Start time on Fault]]="NA","",(PA[[#This Row],[Work Start time on Fault]]-PA[[#This Row],[Fault Time]])*24)</f>
        <v>0</v>
      </c>
      <c r="Y217" s="153">
        <f>(PA[[#This Row],[Work Completiuon time on fualt]]-PA[[#This Row],[Fault Time]])*24</f>
        <v>0</v>
      </c>
      <c r="Z217" s="153">
        <f>IFERROR((PA[[#This Row],[Work Completiuon time on fualt]]-PA[[#This Row],[Fault Time]])*24,"")</f>
        <v>0</v>
      </c>
      <c r="AA217" s="149"/>
      <c r="AB217" s="149"/>
      <c r="AC217" s="152" t="str">
        <f>IFERROR(AA220 AA222*PA[[#This Row],[Plant Equivalent Weightage]],"")</f>
        <v/>
      </c>
      <c r="AD217" s="153"/>
      <c r="AE217" s="324" t="str">
        <f>IFERROR(((VLOOKUP(PA[[#This Row],[Date]],Modelling_old[#All],16,0))*PA[[#This Row],[Lost PoA(kWh/m2)]]*PA[[#This Row],[DC Capacity Affceted (kW)]])/1000,"")</f>
        <v/>
      </c>
      <c r="AF217" s="150"/>
      <c r="AG217" s="150"/>
      <c r="AH217" s="150"/>
    </row>
    <row r="218" spans="1:34" x14ac:dyDescent="0.35">
      <c r="A218" s="147">
        <f t="shared" si="4"/>
        <v>215</v>
      </c>
      <c r="B218" s="183"/>
      <c r="C218" s="180"/>
      <c r="D218" s="155">
        <f>YEAR(PA[[#This Row],[Date]])</f>
        <v>1900</v>
      </c>
      <c r="E218" s="154"/>
      <c r="F218" s="154"/>
      <c r="G218" s="310">
        <f>PA[[#This Row],[Date]]-DAY(PA[[#This Row],[Date]])+1</f>
        <v>1</v>
      </c>
      <c r="H218" s="155">
        <f>DAY(EOMONTH(PA[[#This Row],[Month Year]],0))</f>
        <v>31</v>
      </c>
      <c r="I218" s="151">
        <f>_xlfn.XLOOKUP(PA[[#This Row],[Date]],RD[Date],RD[Sunrise Time (POA&gt;20 W/m2)],0)</f>
        <v>0</v>
      </c>
      <c r="J218" s="151">
        <f>_xlfn.XLOOKUP(PA[[#This Row],[Date]],RD[Date],RD[Sunset Time (POA&lt;20 W/m2)],0)</f>
        <v>0</v>
      </c>
      <c r="K218" s="152">
        <f>IFERROR((PA[[#This Row],[Sunset Time (POA&lt;20 W/m2)]]-PA[[#This Row],[Sunrise Time (POA&gt;20 W/m2)]])*24,"")</f>
        <v>0</v>
      </c>
      <c r="L218" s="166"/>
      <c r="M218" s="180" t="str">
        <f>IFERROR(VLOOKUP(PA[[#This Row],[Affceted Equipment]],'Basic Data'!$A$2:$B$125,2,0),"")</f>
        <v/>
      </c>
      <c r="N218" s="181" t="str">
        <f>IFERROR(VLOOKUP(PA[[#This Row],[Affceted Equipment]],'Basic Data'!$A$1:$C$128,3,0),"")</f>
        <v/>
      </c>
      <c r="O218" s="166"/>
      <c r="P218" s="149"/>
      <c r="Q218" s="149"/>
      <c r="R218" s="154"/>
      <c r="S218" s="187"/>
      <c r="T218" s="187"/>
      <c r="U218" s="187"/>
      <c r="V218" s="187"/>
      <c r="W218" s="182">
        <f>IF(PA[[#This Row],[Acknowledgemnet Time ]]="NA","",(PA[[#This Row],[Acknowledgemnet Time ]]-PA[[#This Row],[Fault Time]])*24)</f>
        <v>0</v>
      </c>
      <c r="X218" s="182">
        <f>IF(PA[[#This Row],[Work Start time on Fault]]="NA","",(PA[[#This Row],[Work Start time on Fault]]-PA[[#This Row],[Fault Time]])*24)</f>
        <v>0</v>
      </c>
      <c r="Y218" s="153">
        <f>(PA[[#This Row],[Work Completiuon time on fualt]]-PA[[#This Row],[Fault Time]])*24</f>
        <v>0</v>
      </c>
      <c r="Z218" s="153">
        <f>IFERROR((PA[[#This Row],[Work Completiuon time on fualt]]-PA[[#This Row],[Fault Time]])*24,"")</f>
        <v>0</v>
      </c>
      <c r="AA218" s="149"/>
      <c r="AB218" s="149"/>
      <c r="AC218" s="152" t="str">
        <f>IFERROR(AA221 AA223*PA[[#This Row],[Plant Equivalent Weightage]],"")</f>
        <v/>
      </c>
      <c r="AD218" s="153"/>
      <c r="AE218" s="324" t="str">
        <f>IFERROR(((VLOOKUP(PA[[#This Row],[Date]],Modelling_old[#All],16,0))*PA[[#This Row],[Lost PoA(kWh/m2)]]*PA[[#This Row],[DC Capacity Affceted (kW)]])/1000,"")</f>
        <v/>
      </c>
      <c r="AF218" s="150"/>
      <c r="AG218" s="150"/>
      <c r="AH218" s="150"/>
    </row>
    <row r="219" spans="1:34" x14ac:dyDescent="0.35">
      <c r="A219" s="147">
        <f t="shared" si="4"/>
        <v>216</v>
      </c>
      <c r="B219" s="183"/>
      <c r="C219" s="180"/>
      <c r="D219" s="155">
        <f>YEAR(PA[[#This Row],[Date]])</f>
        <v>1900</v>
      </c>
      <c r="E219" s="154"/>
      <c r="F219" s="154"/>
      <c r="G219" s="310">
        <f>PA[[#This Row],[Date]]-DAY(PA[[#This Row],[Date]])+1</f>
        <v>1</v>
      </c>
      <c r="H219" s="155">
        <f>DAY(EOMONTH(PA[[#This Row],[Month Year]],0))</f>
        <v>31</v>
      </c>
      <c r="I219" s="151">
        <f>_xlfn.XLOOKUP(PA[[#This Row],[Date]],RD[Date],RD[Sunrise Time (POA&gt;20 W/m2)],0)</f>
        <v>0</v>
      </c>
      <c r="J219" s="151">
        <f>_xlfn.XLOOKUP(PA[[#This Row],[Date]],RD[Date],RD[Sunset Time (POA&lt;20 W/m2)],0)</f>
        <v>0</v>
      </c>
      <c r="K219" s="152">
        <f>IFERROR((PA[[#This Row],[Sunset Time (POA&lt;20 W/m2)]]-PA[[#This Row],[Sunrise Time (POA&gt;20 W/m2)]])*24,"")</f>
        <v>0</v>
      </c>
      <c r="L219" s="166"/>
      <c r="M219" s="180" t="str">
        <f>IFERROR(VLOOKUP(PA[[#This Row],[Affceted Equipment]],'Basic Data'!$A$2:$B$125,2,0),"")</f>
        <v/>
      </c>
      <c r="N219" s="181" t="str">
        <f>IFERROR(VLOOKUP(PA[[#This Row],[Affceted Equipment]],'Basic Data'!$A$1:$C$128,3,0),"")</f>
        <v/>
      </c>
      <c r="O219" s="166"/>
      <c r="P219" s="149"/>
      <c r="Q219" s="149"/>
      <c r="R219" s="154"/>
      <c r="S219" s="187"/>
      <c r="T219" s="187"/>
      <c r="U219" s="187"/>
      <c r="V219" s="187"/>
      <c r="W219" s="182">
        <f>IF(PA[[#This Row],[Acknowledgemnet Time ]]="NA","",(PA[[#This Row],[Acknowledgemnet Time ]]-PA[[#This Row],[Fault Time]])*24)</f>
        <v>0</v>
      </c>
      <c r="X219" s="182">
        <f>IF(PA[[#This Row],[Work Start time on Fault]]="NA","",(PA[[#This Row],[Work Start time on Fault]]-PA[[#This Row],[Fault Time]])*24)</f>
        <v>0</v>
      </c>
      <c r="Y219" s="153">
        <f>(PA[[#This Row],[Work Completiuon time on fualt]]-PA[[#This Row],[Fault Time]])*24</f>
        <v>0</v>
      </c>
      <c r="Z219" s="153">
        <f>IFERROR((PA[[#This Row],[Work Completiuon time on fualt]]-PA[[#This Row],[Fault Time]])*24,"")</f>
        <v>0</v>
      </c>
      <c r="AA219" s="149"/>
      <c r="AB219" s="149"/>
      <c r="AC219" s="152" t="str">
        <f>IFERROR(AA222 AA224*PA[[#This Row],[Plant Equivalent Weightage]],"")</f>
        <v/>
      </c>
      <c r="AD219" s="153"/>
      <c r="AE219" s="324" t="str">
        <f>IFERROR(((VLOOKUP(PA[[#This Row],[Date]],Modelling_old[#All],16,0))*PA[[#This Row],[Lost PoA(kWh/m2)]]*PA[[#This Row],[DC Capacity Affceted (kW)]])/1000,"")</f>
        <v/>
      </c>
      <c r="AF219" s="150"/>
      <c r="AG219" s="150"/>
      <c r="AH219" s="150"/>
    </row>
    <row r="220" spans="1:34" x14ac:dyDescent="0.35">
      <c r="A220" s="147">
        <f t="shared" si="4"/>
        <v>217</v>
      </c>
      <c r="B220" s="183"/>
      <c r="C220" s="180"/>
      <c r="D220" s="155">
        <f>YEAR(PA[[#This Row],[Date]])</f>
        <v>1900</v>
      </c>
      <c r="E220" s="154"/>
      <c r="F220" s="154"/>
      <c r="G220" s="310">
        <f>PA[[#This Row],[Date]]-DAY(PA[[#This Row],[Date]])+1</f>
        <v>1</v>
      </c>
      <c r="H220" s="155">
        <f>DAY(EOMONTH(PA[[#This Row],[Month Year]],0))</f>
        <v>31</v>
      </c>
      <c r="I220" s="151">
        <f>_xlfn.XLOOKUP(PA[[#This Row],[Date]],RD[Date],RD[Sunrise Time (POA&gt;20 W/m2)],0)</f>
        <v>0</v>
      </c>
      <c r="J220" s="151">
        <f>_xlfn.XLOOKUP(PA[[#This Row],[Date]],RD[Date],RD[Sunset Time (POA&lt;20 W/m2)],0)</f>
        <v>0</v>
      </c>
      <c r="K220" s="152">
        <f>IFERROR((PA[[#This Row],[Sunset Time (POA&lt;20 W/m2)]]-PA[[#This Row],[Sunrise Time (POA&gt;20 W/m2)]])*24,"")</f>
        <v>0</v>
      </c>
      <c r="L220" s="166"/>
      <c r="M220" s="180" t="str">
        <f>IFERROR(VLOOKUP(PA[[#This Row],[Affceted Equipment]],'Basic Data'!$A$2:$B$125,2,0),"")</f>
        <v/>
      </c>
      <c r="N220" s="181" t="str">
        <f>IFERROR(VLOOKUP(PA[[#This Row],[Affceted Equipment]],'Basic Data'!$A$1:$C$128,3,0),"")</f>
        <v/>
      </c>
      <c r="O220" s="166"/>
      <c r="P220" s="149"/>
      <c r="Q220" s="149"/>
      <c r="R220" s="154"/>
      <c r="S220" s="187"/>
      <c r="T220" s="187"/>
      <c r="U220" s="187"/>
      <c r="V220" s="187"/>
      <c r="W220" s="182">
        <f>IF(PA[[#This Row],[Acknowledgemnet Time ]]="NA","",(PA[[#This Row],[Acknowledgemnet Time ]]-PA[[#This Row],[Fault Time]])*24)</f>
        <v>0</v>
      </c>
      <c r="X220" s="182">
        <f>IF(PA[[#This Row],[Work Start time on Fault]]="NA","",(PA[[#This Row],[Work Start time on Fault]]-PA[[#This Row],[Fault Time]])*24)</f>
        <v>0</v>
      </c>
      <c r="Y220" s="153">
        <f>(PA[[#This Row],[Work Completiuon time on fualt]]-PA[[#This Row],[Fault Time]])*24</f>
        <v>0</v>
      </c>
      <c r="Z220" s="153">
        <f>IFERROR((PA[[#This Row],[Work Completiuon time on fualt]]-PA[[#This Row],[Fault Time]])*24,"")</f>
        <v>0</v>
      </c>
      <c r="AA220" s="149"/>
      <c r="AB220" s="149"/>
      <c r="AC220" s="152" t="str">
        <f>IFERROR(AA223 AA225*PA[[#This Row],[Plant Equivalent Weightage]],"")</f>
        <v/>
      </c>
      <c r="AD220" s="153"/>
      <c r="AE220" s="324" t="str">
        <f>IFERROR(((VLOOKUP(PA[[#This Row],[Date]],Modelling_old[#All],16,0))*PA[[#This Row],[Lost PoA(kWh/m2)]]*PA[[#This Row],[DC Capacity Affceted (kW)]])/1000,"")</f>
        <v/>
      </c>
      <c r="AF220" s="150"/>
      <c r="AG220" s="150"/>
      <c r="AH220" s="150"/>
    </row>
    <row r="221" spans="1:34" x14ac:dyDescent="0.35">
      <c r="A221" s="147">
        <f t="shared" si="4"/>
        <v>218</v>
      </c>
      <c r="B221" s="183"/>
      <c r="C221" s="180"/>
      <c r="D221" s="155">
        <f>YEAR(PA[[#This Row],[Date]])</f>
        <v>1900</v>
      </c>
      <c r="E221" s="154"/>
      <c r="F221" s="154"/>
      <c r="G221" s="310">
        <f>PA[[#This Row],[Date]]-DAY(PA[[#This Row],[Date]])+1</f>
        <v>1</v>
      </c>
      <c r="H221" s="155">
        <f>DAY(EOMONTH(PA[[#This Row],[Month Year]],0))</f>
        <v>31</v>
      </c>
      <c r="I221" s="151">
        <f>_xlfn.XLOOKUP(PA[[#This Row],[Date]],RD[Date],RD[Sunrise Time (POA&gt;20 W/m2)],0)</f>
        <v>0</v>
      </c>
      <c r="J221" s="151">
        <f>_xlfn.XLOOKUP(PA[[#This Row],[Date]],RD[Date],RD[Sunset Time (POA&lt;20 W/m2)],0)</f>
        <v>0</v>
      </c>
      <c r="K221" s="152">
        <f>IFERROR((PA[[#This Row],[Sunset Time (POA&lt;20 W/m2)]]-PA[[#This Row],[Sunrise Time (POA&gt;20 W/m2)]])*24,"")</f>
        <v>0</v>
      </c>
      <c r="L221" s="166"/>
      <c r="M221" s="180" t="str">
        <f>IFERROR(VLOOKUP(PA[[#This Row],[Affceted Equipment]],'Basic Data'!$A$2:$B$125,2,0),"")</f>
        <v/>
      </c>
      <c r="N221" s="181" t="str">
        <f>IFERROR(VLOOKUP(PA[[#This Row],[Affceted Equipment]],'Basic Data'!$A$1:$C$128,3,0),"")</f>
        <v/>
      </c>
      <c r="O221" s="166"/>
      <c r="P221" s="149"/>
      <c r="Q221" s="149"/>
      <c r="R221" s="154"/>
      <c r="S221" s="187"/>
      <c r="T221" s="187"/>
      <c r="U221" s="187"/>
      <c r="V221" s="187"/>
      <c r="W221" s="182">
        <f>IF(PA[[#This Row],[Acknowledgemnet Time ]]="NA","",(PA[[#This Row],[Acknowledgemnet Time ]]-PA[[#This Row],[Fault Time]])*24)</f>
        <v>0</v>
      </c>
      <c r="X221" s="182">
        <f>IF(PA[[#This Row],[Work Start time on Fault]]="NA","",(PA[[#This Row],[Work Start time on Fault]]-PA[[#This Row],[Fault Time]])*24)</f>
        <v>0</v>
      </c>
      <c r="Y221" s="153">
        <f>(PA[[#This Row],[Work Completiuon time on fualt]]-PA[[#This Row],[Fault Time]])*24</f>
        <v>0</v>
      </c>
      <c r="Z221" s="153">
        <f>IFERROR((PA[[#This Row],[Work Completiuon time on fualt]]-PA[[#This Row],[Fault Time]])*24,"")</f>
        <v>0</v>
      </c>
      <c r="AA221" s="149"/>
      <c r="AB221" s="149"/>
      <c r="AC221" s="152" t="str">
        <f>IFERROR(AA224 AA226*PA[[#This Row],[Plant Equivalent Weightage]],"")</f>
        <v/>
      </c>
      <c r="AD221" s="153"/>
      <c r="AE221" s="324" t="str">
        <f>IFERROR(((VLOOKUP(PA[[#This Row],[Date]],Modelling_old[#All],16,0))*PA[[#This Row],[Lost PoA(kWh/m2)]]*PA[[#This Row],[DC Capacity Affceted (kW)]])/1000,"")</f>
        <v/>
      </c>
      <c r="AF221" s="150"/>
      <c r="AG221" s="150"/>
      <c r="AH221" s="150"/>
    </row>
    <row r="222" spans="1:34" x14ac:dyDescent="0.35">
      <c r="A222" s="147">
        <f t="shared" si="4"/>
        <v>219</v>
      </c>
      <c r="B222" s="183"/>
      <c r="C222" s="180"/>
      <c r="D222" s="155">
        <f>YEAR(PA[[#This Row],[Date]])</f>
        <v>1900</v>
      </c>
      <c r="E222" s="154"/>
      <c r="F222" s="154"/>
      <c r="G222" s="310">
        <f>PA[[#This Row],[Date]]-DAY(PA[[#This Row],[Date]])+1</f>
        <v>1</v>
      </c>
      <c r="H222" s="155">
        <f>DAY(EOMONTH(PA[[#This Row],[Month Year]],0))</f>
        <v>31</v>
      </c>
      <c r="I222" s="151">
        <f>_xlfn.XLOOKUP(PA[[#This Row],[Date]],RD[Date],RD[Sunrise Time (POA&gt;20 W/m2)],0)</f>
        <v>0</v>
      </c>
      <c r="J222" s="151">
        <f>_xlfn.XLOOKUP(PA[[#This Row],[Date]],RD[Date],RD[Sunset Time (POA&lt;20 W/m2)],0)</f>
        <v>0</v>
      </c>
      <c r="K222" s="152">
        <f>IFERROR((PA[[#This Row],[Sunset Time (POA&lt;20 W/m2)]]-PA[[#This Row],[Sunrise Time (POA&gt;20 W/m2)]])*24,"")</f>
        <v>0</v>
      </c>
      <c r="L222" s="166"/>
      <c r="M222" s="180" t="str">
        <f>IFERROR(VLOOKUP(PA[[#This Row],[Affceted Equipment]],'Basic Data'!$A$2:$B$125,2,0),"")</f>
        <v/>
      </c>
      <c r="N222" s="181" t="str">
        <f>IFERROR(VLOOKUP(PA[[#This Row],[Affceted Equipment]],'Basic Data'!$A$1:$C$128,3,0),"")</f>
        <v/>
      </c>
      <c r="O222" s="166"/>
      <c r="P222" s="149"/>
      <c r="Q222" s="149"/>
      <c r="R222" s="154"/>
      <c r="S222" s="187"/>
      <c r="T222" s="187"/>
      <c r="U222" s="187"/>
      <c r="V222" s="187"/>
      <c r="W222" s="182">
        <f>IF(PA[[#This Row],[Acknowledgemnet Time ]]="NA","",(PA[[#This Row],[Acknowledgemnet Time ]]-PA[[#This Row],[Fault Time]])*24)</f>
        <v>0</v>
      </c>
      <c r="X222" s="182">
        <f>IF(PA[[#This Row],[Work Start time on Fault]]="NA","",(PA[[#This Row],[Work Start time on Fault]]-PA[[#This Row],[Fault Time]])*24)</f>
        <v>0</v>
      </c>
      <c r="Y222" s="153">
        <f>(PA[[#This Row],[Work Completiuon time on fualt]]-PA[[#This Row],[Fault Time]])*24</f>
        <v>0</v>
      </c>
      <c r="Z222" s="153">
        <f>IFERROR((PA[[#This Row],[Work Completiuon time on fualt]]-PA[[#This Row],[Fault Time]])*24,"")</f>
        <v>0</v>
      </c>
      <c r="AA222" s="149"/>
      <c r="AB222" s="149"/>
      <c r="AC222" s="152" t="str">
        <f>IFERROR(AA225 AA227*PA[[#This Row],[Plant Equivalent Weightage]],"")</f>
        <v/>
      </c>
      <c r="AD222" s="153"/>
      <c r="AE222" s="324" t="str">
        <f>IFERROR(((VLOOKUP(PA[[#This Row],[Date]],Modelling_old[#All],16,0))*PA[[#This Row],[Lost PoA(kWh/m2)]]*PA[[#This Row],[DC Capacity Affceted (kW)]])/1000,"")</f>
        <v/>
      </c>
      <c r="AF222" s="150"/>
      <c r="AG222" s="150"/>
      <c r="AH222" s="150"/>
    </row>
    <row r="223" spans="1:34" x14ac:dyDescent="0.35">
      <c r="A223" s="147">
        <f t="shared" si="4"/>
        <v>220</v>
      </c>
      <c r="B223" s="183"/>
      <c r="C223" s="180"/>
      <c r="D223" s="155">
        <f>YEAR(PA[[#This Row],[Date]])</f>
        <v>1900</v>
      </c>
      <c r="E223" s="154"/>
      <c r="F223" s="154"/>
      <c r="G223" s="310">
        <f>PA[[#This Row],[Date]]-DAY(PA[[#This Row],[Date]])+1</f>
        <v>1</v>
      </c>
      <c r="H223" s="155">
        <f>DAY(EOMONTH(PA[[#This Row],[Month Year]],0))</f>
        <v>31</v>
      </c>
      <c r="I223" s="151">
        <f>_xlfn.XLOOKUP(PA[[#This Row],[Date]],RD[Date],RD[Sunrise Time (POA&gt;20 W/m2)],0)</f>
        <v>0</v>
      </c>
      <c r="J223" s="151">
        <f>_xlfn.XLOOKUP(PA[[#This Row],[Date]],RD[Date],RD[Sunset Time (POA&lt;20 W/m2)],0)</f>
        <v>0</v>
      </c>
      <c r="K223" s="152">
        <f>IFERROR((PA[[#This Row],[Sunset Time (POA&lt;20 W/m2)]]-PA[[#This Row],[Sunrise Time (POA&gt;20 W/m2)]])*24,"")</f>
        <v>0</v>
      </c>
      <c r="L223" s="166"/>
      <c r="M223" s="180" t="str">
        <f>IFERROR(VLOOKUP(PA[[#This Row],[Affceted Equipment]],'Basic Data'!$A$2:$B$125,2,0),"")</f>
        <v/>
      </c>
      <c r="N223" s="181" t="str">
        <f>IFERROR(VLOOKUP(PA[[#This Row],[Affceted Equipment]],'Basic Data'!$A$1:$C$128,3,0),"")</f>
        <v/>
      </c>
      <c r="O223" s="166"/>
      <c r="P223" s="149"/>
      <c r="Q223" s="149"/>
      <c r="R223" s="154"/>
      <c r="S223" s="187"/>
      <c r="T223" s="187"/>
      <c r="U223" s="187"/>
      <c r="V223" s="187"/>
      <c r="W223" s="182">
        <f>IF(PA[[#This Row],[Acknowledgemnet Time ]]="NA","",(PA[[#This Row],[Acknowledgemnet Time ]]-PA[[#This Row],[Fault Time]])*24)</f>
        <v>0</v>
      </c>
      <c r="X223" s="182">
        <f>IF(PA[[#This Row],[Work Start time on Fault]]="NA","",(PA[[#This Row],[Work Start time on Fault]]-PA[[#This Row],[Fault Time]])*24)</f>
        <v>0</v>
      </c>
      <c r="Y223" s="153">
        <f>(PA[[#This Row],[Work Completiuon time on fualt]]-PA[[#This Row],[Fault Time]])*24</f>
        <v>0</v>
      </c>
      <c r="Z223" s="153">
        <f>IFERROR((PA[[#This Row],[Work Completiuon time on fualt]]-PA[[#This Row],[Fault Time]])*24,"")</f>
        <v>0</v>
      </c>
      <c r="AA223" s="149"/>
      <c r="AB223" s="149"/>
      <c r="AC223" s="152" t="str">
        <f>IFERROR(AA226 AA228*PA[[#This Row],[Plant Equivalent Weightage]],"")</f>
        <v/>
      </c>
      <c r="AD223" s="153"/>
      <c r="AE223" s="324" t="str">
        <f>IFERROR(((VLOOKUP(PA[[#This Row],[Date]],Modelling_old[#All],16,0))*PA[[#This Row],[Lost PoA(kWh/m2)]]*PA[[#This Row],[DC Capacity Affceted (kW)]])/1000,"")</f>
        <v/>
      </c>
      <c r="AF223" s="150"/>
      <c r="AG223" s="150"/>
      <c r="AH223" s="150"/>
    </row>
    <row r="224" spans="1:34" x14ac:dyDescent="0.35">
      <c r="A224" s="147">
        <f t="shared" si="4"/>
        <v>221</v>
      </c>
      <c r="B224" s="183"/>
      <c r="C224" s="180"/>
      <c r="D224" s="155">
        <f>YEAR(PA[[#This Row],[Date]])</f>
        <v>1900</v>
      </c>
      <c r="E224" s="154"/>
      <c r="F224" s="154"/>
      <c r="G224" s="310">
        <f>PA[[#This Row],[Date]]-DAY(PA[[#This Row],[Date]])+1</f>
        <v>1</v>
      </c>
      <c r="H224" s="155">
        <f>DAY(EOMONTH(PA[[#This Row],[Month Year]],0))</f>
        <v>31</v>
      </c>
      <c r="I224" s="151">
        <f>_xlfn.XLOOKUP(PA[[#This Row],[Date]],RD[Date],RD[Sunrise Time (POA&gt;20 W/m2)],0)</f>
        <v>0</v>
      </c>
      <c r="J224" s="151">
        <f>_xlfn.XLOOKUP(PA[[#This Row],[Date]],RD[Date],RD[Sunset Time (POA&lt;20 W/m2)],0)</f>
        <v>0</v>
      </c>
      <c r="K224" s="152">
        <f>IFERROR((PA[[#This Row],[Sunset Time (POA&lt;20 W/m2)]]-PA[[#This Row],[Sunrise Time (POA&gt;20 W/m2)]])*24,"")</f>
        <v>0</v>
      </c>
      <c r="L224" s="166"/>
      <c r="M224" s="180" t="str">
        <f>IFERROR(VLOOKUP(PA[[#This Row],[Affceted Equipment]],'Basic Data'!$A$2:$B$125,2,0),"")</f>
        <v/>
      </c>
      <c r="N224" s="181" t="str">
        <f>IFERROR(VLOOKUP(PA[[#This Row],[Affceted Equipment]],'Basic Data'!$A$1:$C$128,3,0),"")</f>
        <v/>
      </c>
      <c r="O224" s="166"/>
      <c r="P224" s="149"/>
      <c r="Q224" s="149"/>
      <c r="R224" s="154"/>
      <c r="S224" s="187"/>
      <c r="T224" s="187"/>
      <c r="U224" s="187"/>
      <c r="V224" s="187"/>
      <c r="W224" s="182">
        <f>IF(PA[[#This Row],[Acknowledgemnet Time ]]="NA","",(PA[[#This Row],[Acknowledgemnet Time ]]-PA[[#This Row],[Fault Time]])*24)</f>
        <v>0</v>
      </c>
      <c r="X224" s="182">
        <f>IF(PA[[#This Row],[Work Start time on Fault]]="NA","",(PA[[#This Row],[Work Start time on Fault]]-PA[[#This Row],[Fault Time]])*24)</f>
        <v>0</v>
      </c>
      <c r="Y224" s="153">
        <f>(PA[[#This Row],[Work Completiuon time on fualt]]-PA[[#This Row],[Fault Time]])*24</f>
        <v>0</v>
      </c>
      <c r="Z224" s="153">
        <f>IFERROR((PA[[#This Row],[Work Completiuon time on fualt]]-PA[[#This Row],[Fault Time]])*24,"")</f>
        <v>0</v>
      </c>
      <c r="AA224" s="149"/>
      <c r="AB224" s="149"/>
      <c r="AC224" s="152" t="str">
        <f>IFERROR(AA227 AA229*PA[[#This Row],[Plant Equivalent Weightage]],"")</f>
        <v/>
      </c>
      <c r="AD224" s="153"/>
      <c r="AE224" s="324" t="str">
        <f>IFERROR(((VLOOKUP(PA[[#This Row],[Date]],Modelling_old[#All],16,0))*PA[[#This Row],[Lost PoA(kWh/m2)]]*PA[[#This Row],[DC Capacity Affceted (kW)]])/1000,"")</f>
        <v/>
      </c>
      <c r="AF224" s="150"/>
      <c r="AG224" s="150"/>
      <c r="AH224" s="150"/>
    </row>
    <row r="225" spans="1:34" x14ac:dyDescent="0.35">
      <c r="A225" s="147">
        <f t="shared" si="4"/>
        <v>222</v>
      </c>
      <c r="B225" s="183"/>
      <c r="C225" s="180"/>
      <c r="D225" s="155">
        <f>YEAR(PA[[#This Row],[Date]])</f>
        <v>1900</v>
      </c>
      <c r="E225" s="154"/>
      <c r="F225" s="154"/>
      <c r="G225" s="310">
        <f>PA[[#This Row],[Date]]-DAY(PA[[#This Row],[Date]])+1</f>
        <v>1</v>
      </c>
      <c r="H225" s="155">
        <f>DAY(EOMONTH(PA[[#This Row],[Month Year]],0))</f>
        <v>31</v>
      </c>
      <c r="I225" s="151">
        <f>_xlfn.XLOOKUP(PA[[#This Row],[Date]],RD[Date],RD[Sunrise Time (POA&gt;20 W/m2)],0)</f>
        <v>0</v>
      </c>
      <c r="J225" s="151">
        <f>_xlfn.XLOOKUP(PA[[#This Row],[Date]],RD[Date],RD[Sunset Time (POA&lt;20 W/m2)],0)</f>
        <v>0</v>
      </c>
      <c r="K225" s="152">
        <f>IFERROR((PA[[#This Row],[Sunset Time (POA&lt;20 W/m2)]]-PA[[#This Row],[Sunrise Time (POA&gt;20 W/m2)]])*24,"")</f>
        <v>0</v>
      </c>
      <c r="L225" s="166"/>
      <c r="M225" s="180" t="str">
        <f>IFERROR(VLOOKUP(PA[[#This Row],[Affceted Equipment]],'Basic Data'!$A$2:$B$125,2,0),"")</f>
        <v/>
      </c>
      <c r="N225" s="181" t="str">
        <f>IFERROR(VLOOKUP(PA[[#This Row],[Affceted Equipment]],'Basic Data'!$A$1:$C$128,3,0),"")</f>
        <v/>
      </c>
      <c r="O225" s="166"/>
      <c r="P225" s="149"/>
      <c r="Q225" s="149"/>
      <c r="R225" s="154"/>
      <c r="S225" s="187"/>
      <c r="T225" s="187"/>
      <c r="U225" s="187"/>
      <c r="V225" s="187"/>
      <c r="W225" s="182">
        <f>IF(PA[[#This Row],[Acknowledgemnet Time ]]="NA","",(PA[[#This Row],[Acknowledgemnet Time ]]-PA[[#This Row],[Fault Time]])*24)</f>
        <v>0</v>
      </c>
      <c r="X225" s="182">
        <f>IF(PA[[#This Row],[Work Start time on Fault]]="NA","",(PA[[#This Row],[Work Start time on Fault]]-PA[[#This Row],[Fault Time]])*24)</f>
        <v>0</v>
      </c>
      <c r="Y225" s="153">
        <f>(PA[[#This Row],[Work Completiuon time on fualt]]-PA[[#This Row],[Fault Time]])*24</f>
        <v>0</v>
      </c>
      <c r="Z225" s="153">
        <f>IFERROR((PA[[#This Row],[Work Completiuon time on fualt]]-PA[[#This Row],[Fault Time]])*24,"")</f>
        <v>0</v>
      </c>
      <c r="AA225" s="149"/>
      <c r="AB225" s="149"/>
      <c r="AC225" s="152" t="str">
        <f>IFERROR(AA228 AA230*PA[[#This Row],[Plant Equivalent Weightage]],"")</f>
        <v/>
      </c>
      <c r="AD225" s="153"/>
      <c r="AE225" s="324" t="str">
        <f>IFERROR(((VLOOKUP(PA[[#This Row],[Date]],Modelling_old[#All],16,0))*PA[[#This Row],[Lost PoA(kWh/m2)]]*PA[[#This Row],[DC Capacity Affceted (kW)]])/1000,"")</f>
        <v/>
      </c>
      <c r="AF225" s="150"/>
      <c r="AG225" s="150"/>
      <c r="AH225" s="150"/>
    </row>
    <row r="226" spans="1:34" x14ac:dyDescent="0.35">
      <c r="A226" s="147">
        <f t="shared" si="4"/>
        <v>223</v>
      </c>
      <c r="B226" s="183"/>
      <c r="C226" s="180"/>
      <c r="D226" s="155">
        <f>YEAR(PA[[#This Row],[Date]])</f>
        <v>1900</v>
      </c>
      <c r="E226" s="154"/>
      <c r="F226" s="154"/>
      <c r="G226" s="310">
        <f>PA[[#This Row],[Date]]-DAY(PA[[#This Row],[Date]])+1</f>
        <v>1</v>
      </c>
      <c r="H226" s="155">
        <f>DAY(EOMONTH(PA[[#This Row],[Month Year]],0))</f>
        <v>31</v>
      </c>
      <c r="I226" s="151">
        <f>_xlfn.XLOOKUP(PA[[#This Row],[Date]],RD[Date],RD[Sunrise Time (POA&gt;20 W/m2)],0)</f>
        <v>0</v>
      </c>
      <c r="J226" s="151">
        <f>_xlfn.XLOOKUP(PA[[#This Row],[Date]],RD[Date],RD[Sunset Time (POA&lt;20 W/m2)],0)</f>
        <v>0</v>
      </c>
      <c r="K226" s="152">
        <f>IFERROR((PA[[#This Row],[Sunset Time (POA&lt;20 W/m2)]]-PA[[#This Row],[Sunrise Time (POA&gt;20 W/m2)]])*24,"")</f>
        <v>0</v>
      </c>
      <c r="L226" s="166"/>
      <c r="M226" s="180" t="str">
        <f>IFERROR(VLOOKUP(PA[[#This Row],[Affceted Equipment]],'Basic Data'!$A$2:$B$125,2,0),"")</f>
        <v/>
      </c>
      <c r="N226" s="181" t="str">
        <f>IFERROR(VLOOKUP(PA[[#This Row],[Affceted Equipment]],'Basic Data'!$A$1:$C$128,3,0),"")</f>
        <v/>
      </c>
      <c r="O226" s="166"/>
      <c r="P226" s="149"/>
      <c r="Q226" s="149"/>
      <c r="R226" s="154"/>
      <c r="S226" s="187"/>
      <c r="T226" s="187"/>
      <c r="U226" s="187"/>
      <c r="V226" s="187"/>
      <c r="W226" s="182">
        <f>IF(PA[[#This Row],[Acknowledgemnet Time ]]="NA","",(PA[[#This Row],[Acknowledgemnet Time ]]-PA[[#This Row],[Fault Time]])*24)</f>
        <v>0</v>
      </c>
      <c r="X226" s="182">
        <f>IF(PA[[#This Row],[Work Start time on Fault]]="NA","",(PA[[#This Row],[Work Start time on Fault]]-PA[[#This Row],[Fault Time]])*24)</f>
        <v>0</v>
      </c>
      <c r="Y226" s="153">
        <f>(PA[[#This Row],[Work Completiuon time on fualt]]-PA[[#This Row],[Fault Time]])*24</f>
        <v>0</v>
      </c>
      <c r="Z226" s="153">
        <f>IFERROR((PA[[#This Row],[Work Completiuon time on fualt]]-PA[[#This Row],[Fault Time]])*24,"")</f>
        <v>0</v>
      </c>
      <c r="AA226" s="149"/>
      <c r="AB226" s="149"/>
      <c r="AC226" s="152" t="str">
        <f>IFERROR(AA229 AA231*PA[[#This Row],[Plant Equivalent Weightage]],"")</f>
        <v/>
      </c>
      <c r="AD226" s="153"/>
      <c r="AE226" s="324" t="str">
        <f>IFERROR(((VLOOKUP(PA[[#This Row],[Date]],Modelling_old[#All],16,0))*PA[[#This Row],[Lost PoA(kWh/m2)]]*PA[[#This Row],[DC Capacity Affceted (kW)]])/1000,"")</f>
        <v/>
      </c>
      <c r="AF226" s="150"/>
      <c r="AG226" s="150"/>
      <c r="AH226" s="150"/>
    </row>
    <row r="227" spans="1:34" x14ac:dyDescent="0.35">
      <c r="A227" s="147">
        <f t="shared" si="4"/>
        <v>224</v>
      </c>
      <c r="B227" s="183"/>
      <c r="C227" s="180"/>
      <c r="D227" s="155">
        <f>YEAR(PA[[#This Row],[Date]])</f>
        <v>1900</v>
      </c>
      <c r="E227" s="154"/>
      <c r="F227" s="154"/>
      <c r="G227" s="310">
        <f>PA[[#This Row],[Date]]-DAY(PA[[#This Row],[Date]])+1</f>
        <v>1</v>
      </c>
      <c r="H227" s="155">
        <f>DAY(EOMONTH(PA[[#This Row],[Month Year]],0))</f>
        <v>31</v>
      </c>
      <c r="I227" s="151">
        <f>_xlfn.XLOOKUP(PA[[#This Row],[Date]],RD[Date],RD[Sunrise Time (POA&gt;20 W/m2)],0)</f>
        <v>0</v>
      </c>
      <c r="J227" s="151">
        <f>_xlfn.XLOOKUP(PA[[#This Row],[Date]],RD[Date],RD[Sunset Time (POA&lt;20 W/m2)],0)</f>
        <v>0</v>
      </c>
      <c r="K227" s="152">
        <f>IFERROR((PA[[#This Row],[Sunset Time (POA&lt;20 W/m2)]]-PA[[#This Row],[Sunrise Time (POA&gt;20 W/m2)]])*24,"")</f>
        <v>0</v>
      </c>
      <c r="L227" s="166"/>
      <c r="M227" s="180" t="str">
        <f>IFERROR(VLOOKUP(PA[[#This Row],[Affceted Equipment]],'Basic Data'!$A$2:$B$125,2,0),"")</f>
        <v/>
      </c>
      <c r="N227" s="181" t="str">
        <f>IFERROR(VLOOKUP(PA[[#This Row],[Affceted Equipment]],'Basic Data'!$A$1:$C$128,3,0),"")</f>
        <v/>
      </c>
      <c r="O227" s="166"/>
      <c r="P227" s="149"/>
      <c r="Q227" s="149"/>
      <c r="R227" s="154"/>
      <c r="S227" s="187"/>
      <c r="T227" s="187"/>
      <c r="U227" s="187"/>
      <c r="V227" s="187"/>
      <c r="W227" s="182">
        <f>IF(PA[[#This Row],[Acknowledgemnet Time ]]="NA","",(PA[[#This Row],[Acknowledgemnet Time ]]-PA[[#This Row],[Fault Time]])*24)</f>
        <v>0</v>
      </c>
      <c r="X227" s="182">
        <f>IF(PA[[#This Row],[Work Start time on Fault]]="NA","",(PA[[#This Row],[Work Start time on Fault]]-PA[[#This Row],[Fault Time]])*24)</f>
        <v>0</v>
      </c>
      <c r="Y227" s="153">
        <f>(PA[[#This Row],[Work Completiuon time on fualt]]-PA[[#This Row],[Fault Time]])*24</f>
        <v>0</v>
      </c>
      <c r="Z227" s="153">
        <f>IFERROR((PA[[#This Row],[Work Completiuon time on fualt]]-PA[[#This Row],[Fault Time]])*24,"")</f>
        <v>0</v>
      </c>
      <c r="AA227" s="149"/>
      <c r="AB227" s="149"/>
      <c r="AC227" s="152" t="str">
        <f>IFERROR(AA230 AA232*PA[[#This Row],[Plant Equivalent Weightage]],"")</f>
        <v/>
      </c>
      <c r="AD227" s="153"/>
      <c r="AE227" s="324" t="str">
        <f>IFERROR(((VLOOKUP(PA[[#This Row],[Date]],Modelling_old[#All],16,0))*PA[[#This Row],[Lost PoA(kWh/m2)]]*PA[[#This Row],[DC Capacity Affceted (kW)]])/1000,"")</f>
        <v/>
      </c>
      <c r="AF227" s="150"/>
      <c r="AG227" s="150"/>
      <c r="AH227" s="150"/>
    </row>
    <row r="228" spans="1:34" x14ac:dyDescent="0.35">
      <c r="A228" s="147">
        <f t="shared" si="4"/>
        <v>225</v>
      </c>
      <c r="B228" s="183"/>
      <c r="C228" s="180"/>
      <c r="D228" s="155">
        <f>YEAR(PA[[#This Row],[Date]])</f>
        <v>1900</v>
      </c>
      <c r="E228" s="154"/>
      <c r="F228" s="154"/>
      <c r="G228" s="310">
        <f>PA[[#This Row],[Date]]-DAY(PA[[#This Row],[Date]])+1</f>
        <v>1</v>
      </c>
      <c r="H228" s="155">
        <f>DAY(EOMONTH(PA[[#This Row],[Month Year]],0))</f>
        <v>31</v>
      </c>
      <c r="I228" s="151">
        <f>_xlfn.XLOOKUP(PA[[#This Row],[Date]],RD[Date],RD[Sunrise Time (POA&gt;20 W/m2)],0)</f>
        <v>0</v>
      </c>
      <c r="J228" s="151">
        <f>_xlfn.XLOOKUP(PA[[#This Row],[Date]],RD[Date],RD[Sunset Time (POA&lt;20 W/m2)],0)</f>
        <v>0</v>
      </c>
      <c r="K228" s="152">
        <f>IFERROR((PA[[#This Row],[Sunset Time (POA&lt;20 W/m2)]]-PA[[#This Row],[Sunrise Time (POA&gt;20 W/m2)]])*24,"")</f>
        <v>0</v>
      </c>
      <c r="L228" s="166"/>
      <c r="M228" s="180" t="str">
        <f>IFERROR(VLOOKUP(PA[[#This Row],[Affceted Equipment]],'Basic Data'!$A$2:$B$125,2,0),"")</f>
        <v/>
      </c>
      <c r="N228" s="181" t="str">
        <f>IFERROR(VLOOKUP(PA[[#This Row],[Affceted Equipment]],'Basic Data'!$A$1:$C$128,3,0),"")</f>
        <v/>
      </c>
      <c r="O228" s="166"/>
      <c r="P228" s="149"/>
      <c r="Q228" s="149"/>
      <c r="R228" s="154"/>
      <c r="S228" s="187"/>
      <c r="T228" s="187"/>
      <c r="U228" s="187"/>
      <c r="V228" s="187"/>
      <c r="W228" s="182">
        <f>IF(PA[[#This Row],[Acknowledgemnet Time ]]="NA","",(PA[[#This Row],[Acknowledgemnet Time ]]-PA[[#This Row],[Fault Time]])*24)</f>
        <v>0</v>
      </c>
      <c r="X228" s="182">
        <f>IF(PA[[#This Row],[Work Start time on Fault]]="NA","",(PA[[#This Row],[Work Start time on Fault]]-PA[[#This Row],[Fault Time]])*24)</f>
        <v>0</v>
      </c>
      <c r="Y228" s="153">
        <f>(PA[[#This Row],[Work Completiuon time on fualt]]-PA[[#This Row],[Fault Time]])*24</f>
        <v>0</v>
      </c>
      <c r="Z228" s="153">
        <f>IFERROR((PA[[#This Row],[Work Completiuon time on fualt]]-PA[[#This Row],[Fault Time]])*24,"")</f>
        <v>0</v>
      </c>
      <c r="AA228" s="149"/>
      <c r="AB228" s="149"/>
      <c r="AC228" s="152" t="str">
        <f>IFERROR(AA231 AA233*PA[[#This Row],[Plant Equivalent Weightage]],"")</f>
        <v/>
      </c>
      <c r="AD228" s="153"/>
      <c r="AE228" s="324" t="str">
        <f>IFERROR(((VLOOKUP(PA[[#This Row],[Date]],Modelling_old[#All],16,0))*PA[[#This Row],[Lost PoA(kWh/m2)]]*PA[[#This Row],[DC Capacity Affceted (kW)]])/1000,"")</f>
        <v/>
      </c>
      <c r="AF228" s="150"/>
      <c r="AG228" s="150"/>
      <c r="AH228" s="150"/>
    </row>
    <row r="229" spans="1:34" x14ac:dyDescent="0.35">
      <c r="A229" s="147">
        <f t="shared" si="4"/>
        <v>226</v>
      </c>
      <c r="B229" s="183"/>
      <c r="C229" s="180"/>
      <c r="D229" s="155">
        <f>YEAR(PA[[#This Row],[Date]])</f>
        <v>1900</v>
      </c>
      <c r="E229" s="154"/>
      <c r="F229" s="154"/>
      <c r="G229" s="310">
        <f>PA[[#This Row],[Date]]-DAY(PA[[#This Row],[Date]])+1</f>
        <v>1</v>
      </c>
      <c r="H229" s="155">
        <f>DAY(EOMONTH(PA[[#This Row],[Month Year]],0))</f>
        <v>31</v>
      </c>
      <c r="I229" s="151">
        <f>_xlfn.XLOOKUP(PA[[#This Row],[Date]],RD[Date],RD[Sunrise Time (POA&gt;20 W/m2)],0)</f>
        <v>0</v>
      </c>
      <c r="J229" s="151">
        <f>_xlfn.XLOOKUP(PA[[#This Row],[Date]],RD[Date],RD[Sunset Time (POA&lt;20 W/m2)],0)</f>
        <v>0</v>
      </c>
      <c r="K229" s="152">
        <f>IFERROR((PA[[#This Row],[Sunset Time (POA&lt;20 W/m2)]]-PA[[#This Row],[Sunrise Time (POA&gt;20 W/m2)]])*24,"")</f>
        <v>0</v>
      </c>
      <c r="L229" s="166"/>
      <c r="M229" s="180" t="str">
        <f>IFERROR(VLOOKUP(PA[[#This Row],[Affceted Equipment]],'Basic Data'!$A$2:$B$125,2,0),"")</f>
        <v/>
      </c>
      <c r="N229" s="181" t="str">
        <f>IFERROR(VLOOKUP(PA[[#This Row],[Affceted Equipment]],'Basic Data'!$A$1:$C$128,3,0),"")</f>
        <v/>
      </c>
      <c r="O229" s="166"/>
      <c r="P229" s="149"/>
      <c r="Q229" s="149"/>
      <c r="R229" s="154"/>
      <c r="S229" s="187"/>
      <c r="T229" s="187"/>
      <c r="U229" s="187"/>
      <c r="V229" s="187"/>
      <c r="W229" s="182">
        <f>IF(PA[[#This Row],[Acknowledgemnet Time ]]="NA","",(PA[[#This Row],[Acknowledgemnet Time ]]-PA[[#This Row],[Fault Time]])*24)</f>
        <v>0</v>
      </c>
      <c r="X229" s="182">
        <f>IF(PA[[#This Row],[Work Start time on Fault]]="NA","",(PA[[#This Row],[Work Start time on Fault]]-PA[[#This Row],[Fault Time]])*24)</f>
        <v>0</v>
      </c>
      <c r="Y229" s="153">
        <f>(PA[[#This Row],[Work Completiuon time on fualt]]-PA[[#This Row],[Fault Time]])*24</f>
        <v>0</v>
      </c>
      <c r="Z229" s="153">
        <f>IFERROR((PA[[#This Row],[Work Completiuon time on fualt]]-PA[[#This Row],[Fault Time]])*24,"")</f>
        <v>0</v>
      </c>
      <c r="AA229" s="149"/>
      <c r="AB229" s="149"/>
      <c r="AC229" s="152" t="str">
        <f>IFERROR(AA232 AA234*PA[[#This Row],[Plant Equivalent Weightage]],"")</f>
        <v/>
      </c>
      <c r="AD229" s="153"/>
      <c r="AE229" s="324" t="str">
        <f>IFERROR(((VLOOKUP(PA[[#This Row],[Date]],Modelling_old[#All],16,0))*PA[[#This Row],[Lost PoA(kWh/m2)]]*PA[[#This Row],[DC Capacity Affceted (kW)]])/1000,"")</f>
        <v/>
      </c>
      <c r="AF229" s="150"/>
      <c r="AG229" s="150"/>
      <c r="AH229" s="150"/>
    </row>
    <row r="230" spans="1:34" x14ac:dyDescent="0.35">
      <c r="A230" s="147">
        <f t="shared" si="4"/>
        <v>227</v>
      </c>
      <c r="B230" s="183"/>
      <c r="C230" s="180"/>
      <c r="D230" s="155">
        <f>YEAR(PA[[#This Row],[Date]])</f>
        <v>1900</v>
      </c>
      <c r="E230" s="154"/>
      <c r="F230" s="154"/>
      <c r="G230" s="310">
        <f>PA[[#This Row],[Date]]-DAY(PA[[#This Row],[Date]])+1</f>
        <v>1</v>
      </c>
      <c r="H230" s="155">
        <f>DAY(EOMONTH(PA[[#This Row],[Month Year]],0))</f>
        <v>31</v>
      </c>
      <c r="I230" s="151">
        <f>_xlfn.XLOOKUP(PA[[#This Row],[Date]],RD[Date],RD[Sunrise Time (POA&gt;20 W/m2)],0)</f>
        <v>0</v>
      </c>
      <c r="J230" s="151">
        <f>_xlfn.XLOOKUP(PA[[#This Row],[Date]],RD[Date],RD[Sunset Time (POA&lt;20 W/m2)],0)</f>
        <v>0</v>
      </c>
      <c r="K230" s="152">
        <f>IFERROR((PA[[#This Row],[Sunset Time (POA&lt;20 W/m2)]]-PA[[#This Row],[Sunrise Time (POA&gt;20 W/m2)]])*24,"")</f>
        <v>0</v>
      </c>
      <c r="L230" s="166"/>
      <c r="M230" s="180" t="str">
        <f>IFERROR(VLOOKUP(PA[[#This Row],[Affceted Equipment]],'Basic Data'!$A$2:$B$125,2,0),"")</f>
        <v/>
      </c>
      <c r="N230" s="181" t="str">
        <f>IFERROR(VLOOKUP(PA[[#This Row],[Affceted Equipment]],'Basic Data'!$A$1:$C$128,3,0),"")</f>
        <v/>
      </c>
      <c r="O230" s="166"/>
      <c r="P230" s="149"/>
      <c r="Q230" s="149"/>
      <c r="R230" s="154"/>
      <c r="S230" s="187"/>
      <c r="T230" s="187"/>
      <c r="U230" s="187"/>
      <c r="V230" s="187"/>
      <c r="W230" s="182">
        <f>IF(PA[[#This Row],[Acknowledgemnet Time ]]="NA","",(PA[[#This Row],[Acknowledgemnet Time ]]-PA[[#This Row],[Fault Time]])*24)</f>
        <v>0</v>
      </c>
      <c r="X230" s="182">
        <f>IF(PA[[#This Row],[Work Start time on Fault]]="NA","",(PA[[#This Row],[Work Start time on Fault]]-PA[[#This Row],[Fault Time]])*24)</f>
        <v>0</v>
      </c>
      <c r="Y230" s="153">
        <f>(PA[[#This Row],[Work Completiuon time on fualt]]-PA[[#This Row],[Fault Time]])*24</f>
        <v>0</v>
      </c>
      <c r="Z230" s="153">
        <f>IFERROR((PA[[#This Row],[Work Completiuon time on fualt]]-PA[[#This Row],[Fault Time]])*24,"")</f>
        <v>0</v>
      </c>
      <c r="AA230" s="149"/>
      <c r="AB230" s="149"/>
      <c r="AC230" s="152" t="str">
        <f>IFERROR(AA233 AA235*PA[[#This Row],[Plant Equivalent Weightage]],"")</f>
        <v/>
      </c>
      <c r="AD230" s="153"/>
      <c r="AE230" s="324" t="str">
        <f>IFERROR(((VLOOKUP(PA[[#This Row],[Date]],Modelling_old[#All],16,0))*PA[[#This Row],[Lost PoA(kWh/m2)]]*PA[[#This Row],[DC Capacity Affceted (kW)]])/1000,"")</f>
        <v/>
      </c>
      <c r="AF230" s="150"/>
      <c r="AG230" s="150"/>
      <c r="AH230" s="150"/>
    </row>
    <row r="231" spans="1:34" x14ac:dyDescent="0.35">
      <c r="A231" s="147">
        <f t="shared" si="4"/>
        <v>228</v>
      </c>
      <c r="B231" s="183"/>
      <c r="C231" s="180"/>
      <c r="D231" s="155">
        <f>YEAR(PA[[#This Row],[Date]])</f>
        <v>1900</v>
      </c>
      <c r="E231" s="154"/>
      <c r="F231" s="154"/>
      <c r="G231" s="310">
        <f>PA[[#This Row],[Date]]-DAY(PA[[#This Row],[Date]])+1</f>
        <v>1</v>
      </c>
      <c r="H231" s="155">
        <f>DAY(EOMONTH(PA[[#This Row],[Month Year]],0))</f>
        <v>31</v>
      </c>
      <c r="I231" s="151">
        <f>_xlfn.XLOOKUP(PA[[#This Row],[Date]],RD[Date],RD[Sunrise Time (POA&gt;20 W/m2)],0)</f>
        <v>0</v>
      </c>
      <c r="J231" s="151">
        <f>_xlfn.XLOOKUP(PA[[#This Row],[Date]],RD[Date],RD[Sunset Time (POA&lt;20 W/m2)],0)</f>
        <v>0</v>
      </c>
      <c r="K231" s="152">
        <f>IFERROR((PA[[#This Row],[Sunset Time (POA&lt;20 W/m2)]]-PA[[#This Row],[Sunrise Time (POA&gt;20 W/m2)]])*24,"")</f>
        <v>0</v>
      </c>
      <c r="L231" s="166"/>
      <c r="M231" s="180" t="str">
        <f>IFERROR(VLOOKUP(PA[[#This Row],[Affceted Equipment]],'Basic Data'!$A$2:$B$125,2,0),"")</f>
        <v/>
      </c>
      <c r="N231" s="181" t="str">
        <f>IFERROR(VLOOKUP(PA[[#This Row],[Affceted Equipment]],'Basic Data'!$A$1:$C$128,3,0),"")</f>
        <v/>
      </c>
      <c r="O231" s="166"/>
      <c r="P231" s="149"/>
      <c r="Q231" s="149"/>
      <c r="R231" s="154"/>
      <c r="S231" s="187"/>
      <c r="T231" s="187"/>
      <c r="U231" s="187"/>
      <c r="V231" s="187"/>
      <c r="W231" s="182">
        <f>IF(PA[[#This Row],[Acknowledgemnet Time ]]="NA","",(PA[[#This Row],[Acknowledgemnet Time ]]-PA[[#This Row],[Fault Time]])*24)</f>
        <v>0</v>
      </c>
      <c r="X231" s="182">
        <f>IF(PA[[#This Row],[Work Start time on Fault]]="NA","",(PA[[#This Row],[Work Start time on Fault]]-PA[[#This Row],[Fault Time]])*24)</f>
        <v>0</v>
      </c>
      <c r="Y231" s="153">
        <f>(PA[[#This Row],[Work Completiuon time on fualt]]-PA[[#This Row],[Fault Time]])*24</f>
        <v>0</v>
      </c>
      <c r="Z231" s="153">
        <f>IFERROR((PA[[#This Row],[Work Completiuon time on fualt]]-PA[[#This Row],[Fault Time]])*24,"")</f>
        <v>0</v>
      </c>
      <c r="AA231" s="149"/>
      <c r="AB231" s="149"/>
      <c r="AC231" s="152" t="str">
        <f>IFERROR(AA234 AA236*PA[[#This Row],[Plant Equivalent Weightage]],"")</f>
        <v/>
      </c>
      <c r="AD231" s="153"/>
      <c r="AE231" s="324" t="str">
        <f>IFERROR(((VLOOKUP(PA[[#This Row],[Date]],Modelling_old[#All],16,0))*PA[[#This Row],[Lost PoA(kWh/m2)]]*PA[[#This Row],[DC Capacity Affceted (kW)]])/1000,"")</f>
        <v/>
      </c>
      <c r="AF231" s="150"/>
      <c r="AG231" s="150"/>
      <c r="AH231" s="150"/>
    </row>
    <row r="232" spans="1:34" x14ac:dyDescent="0.35">
      <c r="A232" s="147">
        <f t="shared" si="4"/>
        <v>229</v>
      </c>
      <c r="B232" s="183"/>
      <c r="C232" s="180"/>
      <c r="D232" s="155">
        <f>YEAR(PA[[#This Row],[Date]])</f>
        <v>1900</v>
      </c>
      <c r="E232" s="154"/>
      <c r="F232" s="154"/>
      <c r="G232" s="310">
        <f>PA[[#This Row],[Date]]-DAY(PA[[#This Row],[Date]])+1</f>
        <v>1</v>
      </c>
      <c r="H232" s="155">
        <f>DAY(EOMONTH(PA[[#This Row],[Month Year]],0))</f>
        <v>31</v>
      </c>
      <c r="I232" s="151">
        <f>_xlfn.XLOOKUP(PA[[#This Row],[Date]],RD[Date],RD[Sunrise Time (POA&gt;20 W/m2)],0)</f>
        <v>0</v>
      </c>
      <c r="J232" s="151">
        <f>_xlfn.XLOOKUP(PA[[#This Row],[Date]],RD[Date],RD[Sunset Time (POA&lt;20 W/m2)],0)</f>
        <v>0</v>
      </c>
      <c r="K232" s="152">
        <f>IFERROR((PA[[#This Row],[Sunset Time (POA&lt;20 W/m2)]]-PA[[#This Row],[Sunrise Time (POA&gt;20 W/m2)]])*24,"")</f>
        <v>0</v>
      </c>
      <c r="L232" s="166"/>
      <c r="M232" s="180" t="str">
        <f>IFERROR(VLOOKUP(PA[[#This Row],[Affceted Equipment]],'Basic Data'!$A$2:$B$125,2,0),"")</f>
        <v/>
      </c>
      <c r="N232" s="181" t="str">
        <f>IFERROR(VLOOKUP(PA[[#This Row],[Affceted Equipment]],'Basic Data'!$A$1:$C$128,3,0),"")</f>
        <v/>
      </c>
      <c r="O232" s="166"/>
      <c r="P232" s="149"/>
      <c r="Q232" s="149"/>
      <c r="R232" s="154"/>
      <c r="S232" s="187"/>
      <c r="T232" s="187"/>
      <c r="U232" s="187"/>
      <c r="V232" s="187"/>
      <c r="W232" s="182">
        <f>IF(PA[[#This Row],[Acknowledgemnet Time ]]="NA","",(PA[[#This Row],[Acknowledgemnet Time ]]-PA[[#This Row],[Fault Time]])*24)</f>
        <v>0</v>
      </c>
      <c r="X232" s="182">
        <f>IF(PA[[#This Row],[Work Start time on Fault]]="NA","",(PA[[#This Row],[Work Start time on Fault]]-PA[[#This Row],[Fault Time]])*24)</f>
        <v>0</v>
      </c>
      <c r="Y232" s="153">
        <f>(PA[[#This Row],[Work Completiuon time on fualt]]-PA[[#This Row],[Fault Time]])*24</f>
        <v>0</v>
      </c>
      <c r="Z232" s="153">
        <f>IFERROR((PA[[#This Row],[Work Completiuon time on fualt]]-PA[[#This Row],[Fault Time]])*24,"")</f>
        <v>0</v>
      </c>
      <c r="AA232" s="149"/>
      <c r="AB232" s="149"/>
      <c r="AC232" s="152" t="str">
        <f>IFERROR(AA235 AA237*PA[[#This Row],[Plant Equivalent Weightage]],"")</f>
        <v/>
      </c>
      <c r="AD232" s="153"/>
      <c r="AE232" s="324" t="str">
        <f>IFERROR(((VLOOKUP(PA[[#This Row],[Date]],Modelling_old[#All],16,0))*PA[[#This Row],[Lost PoA(kWh/m2)]]*PA[[#This Row],[DC Capacity Affceted (kW)]])/1000,"")</f>
        <v/>
      </c>
      <c r="AF232" s="150"/>
      <c r="AG232" s="150"/>
      <c r="AH232" s="150"/>
    </row>
    <row r="233" spans="1:34" x14ac:dyDescent="0.35">
      <c r="A233" s="147">
        <f t="shared" si="4"/>
        <v>230</v>
      </c>
      <c r="B233" s="183"/>
      <c r="C233" s="180"/>
      <c r="D233" s="155">
        <f>YEAR(PA[[#This Row],[Date]])</f>
        <v>1900</v>
      </c>
      <c r="E233" s="154"/>
      <c r="F233" s="154"/>
      <c r="G233" s="310">
        <f>PA[[#This Row],[Date]]-DAY(PA[[#This Row],[Date]])+1</f>
        <v>1</v>
      </c>
      <c r="H233" s="155">
        <f>DAY(EOMONTH(PA[[#This Row],[Month Year]],0))</f>
        <v>31</v>
      </c>
      <c r="I233" s="151">
        <f>_xlfn.XLOOKUP(PA[[#This Row],[Date]],RD[Date],RD[Sunrise Time (POA&gt;20 W/m2)],0)</f>
        <v>0</v>
      </c>
      <c r="J233" s="151">
        <f>_xlfn.XLOOKUP(PA[[#This Row],[Date]],RD[Date],RD[Sunset Time (POA&lt;20 W/m2)],0)</f>
        <v>0</v>
      </c>
      <c r="K233" s="152">
        <f>IFERROR((PA[[#This Row],[Sunset Time (POA&lt;20 W/m2)]]-PA[[#This Row],[Sunrise Time (POA&gt;20 W/m2)]])*24,"")</f>
        <v>0</v>
      </c>
      <c r="L233" s="166"/>
      <c r="M233" s="180" t="str">
        <f>IFERROR(VLOOKUP(PA[[#This Row],[Affceted Equipment]],'Basic Data'!$A$2:$B$125,2,0),"")</f>
        <v/>
      </c>
      <c r="N233" s="181" t="str">
        <f>IFERROR(VLOOKUP(PA[[#This Row],[Affceted Equipment]],'Basic Data'!$A$1:$C$128,3,0),"")</f>
        <v/>
      </c>
      <c r="O233" s="166"/>
      <c r="P233" s="149"/>
      <c r="Q233" s="149"/>
      <c r="R233" s="154"/>
      <c r="S233" s="187"/>
      <c r="T233" s="187"/>
      <c r="U233" s="187"/>
      <c r="V233" s="187"/>
      <c r="W233" s="182">
        <f>IF(PA[[#This Row],[Acknowledgemnet Time ]]="NA","",(PA[[#This Row],[Acknowledgemnet Time ]]-PA[[#This Row],[Fault Time]])*24)</f>
        <v>0</v>
      </c>
      <c r="X233" s="182">
        <f>IF(PA[[#This Row],[Work Start time on Fault]]="NA","",(PA[[#This Row],[Work Start time on Fault]]-PA[[#This Row],[Fault Time]])*24)</f>
        <v>0</v>
      </c>
      <c r="Y233" s="153">
        <f>(PA[[#This Row],[Work Completiuon time on fualt]]-PA[[#This Row],[Fault Time]])*24</f>
        <v>0</v>
      </c>
      <c r="Z233" s="153">
        <f>IFERROR((PA[[#This Row],[Work Completiuon time on fualt]]-PA[[#This Row],[Fault Time]])*24,"")</f>
        <v>0</v>
      </c>
      <c r="AA233" s="149"/>
      <c r="AB233" s="149"/>
      <c r="AC233" s="152" t="str">
        <f>IFERROR(AA236 AA238*PA[[#This Row],[Plant Equivalent Weightage]],"")</f>
        <v/>
      </c>
      <c r="AD233" s="153"/>
      <c r="AE233" s="324" t="str">
        <f>IFERROR(((VLOOKUP(PA[[#This Row],[Date]],Modelling_old[#All],16,0))*PA[[#This Row],[Lost PoA(kWh/m2)]]*PA[[#This Row],[DC Capacity Affceted (kW)]])/1000,"")</f>
        <v/>
      </c>
      <c r="AF233" s="150"/>
      <c r="AG233" s="150"/>
      <c r="AH233" s="150"/>
    </row>
    <row r="234" spans="1:34" x14ac:dyDescent="0.35">
      <c r="A234" s="147">
        <f t="shared" si="4"/>
        <v>231</v>
      </c>
      <c r="B234" s="183"/>
      <c r="C234" s="180"/>
      <c r="D234" s="155">
        <f>YEAR(PA[[#This Row],[Date]])</f>
        <v>1900</v>
      </c>
      <c r="E234" s="154"/>
      <c r="F234" s="154"/>
      <c r="G234" s="310">
        <f>PA[[#This Row],[Date]]-DAY(PA[[#This Row],[Date]])+1</f>
        <v>1</v>
      </c>
      <c r="H234" s="155">
        <f>DAY(EOMONTH(PA[[#This Row],[Month Year]],0))</f>
        <v>31</v>
      </c>
      <c r="I234" s="151">
        <f>_xlfn.XLOOKUP(PA[[#This Row],[Date]],RD[Date],RD[Sunrise Time (POA&gt;20 W/m2)],0)</f>
        <v>0</v>
      </c>
      <c r="J234" s="151">
        <f>_xlfn.XLOOKUP(PA[[#This Row],[Date]],RD[Date],RD[Sunset Time (POA&lt;20 W/m2)],0)</f>
        <v>0</v>
      </c>
      <c r="K234" s="152">
        <f>IFERROR((PA[[#This Row],[Sunset Time (POA&lt;20 W/m2)]]-PA[[#This Row],[Sunrise Time (POA&gt;20 W/m2)]])*24,"")</f>
        <v>0</v>
      </c>
      <c r="L234" s="166"/>
      <c r="M234" s="180" t="str">
        <f>IFERROR(VLOOKUP(PA[[#This Row],[Affceted Equipment]],'Basic Data'!$A$2:$B$125,2,0),"")</f>
        <v/>
      </c>
      <c r="N234" s="181" t="str">
        <f>IFERROR(VLOOKUP(PA[[#This Row],[Affceted Equipment]],'Basic Data'!$A$1:$C$128,3,0),"")</f>
        <v/>
      </c>
      <c r="O234" s="166"/>
      <c r="P234" s="149"/>
      <c r="Q234" s="149"/>
      <c r="R234" s="154"/>
      <c r="S234" s="187"/>
      <c r="T234" s="187"/>
      <c r="U234" s="187"/>
      <c r="V234" s="187"/>
      <c r="W234" s="182">
        <f>IF(PA[[#This Row],[Acknowledgemnet Time ]]="NA","",(PA[[#This Row],[Acknowledgemnet Time ]]-PA[[#This Row],[Fault Time]])*24)</f>
        <v>0</v>
      </c>
      <c r="X234" s="182">
        <f>IF(PA[[#This Row],[Work Start time on Fault]]="NA","",(PA[[#This Row],[Work Start time on Fault]]-PA[[#This Row],[Fault Time]])*24)</f>
        <v>0</v>
      </c>
      <c r="Y234" s="153">
        <f>(PA[[#This Row],[Work Completiuon time on fualt]]-PA[[#This Row],[Fault Time]])*24</f>
        <v>0</v>
      </c>
      <c r="Z234" s="153">
        <f>IFERROR((PA[[#This Row],[Work Completiuon time on fualt]]-PA[[#This Row],[Fault Time]])*24,"")</f>
        <v>0</v>
      </c>
      <c r="AA234" s="149"/>
      <c r="AB234" s="149"/>
      <c r="AC234" s="152" t="str">
        <f>IFERROR(AA237 AA239*PA[[#This Row],[Plant Equivalent Weightage]],"")</f>
        <v/>
      </c>
      <c r="AD234" s="153"/>
      <c r="AE234" s="324" t="str">
        <f>IFERROR(((VLOOKUP(PA[[#This Row],[Date]],Modelling_old[#All],16,0))*PA[[#This Row],[Lost PoA(kWh/m2)]]*PA[[#This Row],[DC Capacity Affceted (kW)]])/1000,"")</f>
        <v/>
      </c>
      <c r="AF234" s="150"/>
      <c r="AG234" s="150"/>
      <c r="AH234" s="150"/>
    </row>
    <row r="235" spans="1:34" x14ac:dyDescent="0.35">
      <c r="A235" s="147">
        <f t="shared" si="4"/>
        <v>232</v>
      </c>
      <c r="B235" s="183"/>
      <c r="C235" s="180"/>
      <c r="D235" s="155">
        <f>YEAR(PA[[#This Row],[Date]])</f>
        <v>1900</v>
      </c>
      <c r="E235" s="154"/>
      <c r="F235" s="154"/>
      <c r="G235" s="310">
        <f>PA[[#This Row],[Date]]-DAY(PA[[#This Row],[Date]])+1</f>
        <v>1</v>
      </c>
      <c r="H235" s="155">
        <f>DAY(EOMONTH(PA[[#This Row],[Month Year]],0))</f>
        <v>31</v>
      </c>
      <c r="I235" s="151">
        <f>_xlfn.XLOOKUP(PA[[#This Row],[Date]],RD[Date],RD[Sunrise Time (POA&gt;20 W/m2)],0)</f>
        <v>0</v>
      </c>
      <c r="J235" s="151">
        <f>_xlfn.XLOOKUP(PA[[#This Row],[Date]],RD[Date],RD[Sunset Time (POA&lt;20 W/m2)],0)</f>
        <v>0</v>
      </c>
      <c r="K235" s="152">
        <f>IFERROR((PA[[#This Row],[Sunset Time (POA&lt;20 W/m2)]]-PA[[#This Row],[Sunrise Time (POA&gt;20 W/m2)]])*24,"")</f>
        <v>0</v>
      </c>
      <c r="L235" s="166"/>
      <c r="M235" s="180" t="str">
        <f>IFERROR(VLOOKUP(PA[[#This Row],[Affceted Equipment]],'Basic Data'!$A$2:$B$125,2,0),"")</f>
        <v/>
      </c>
      <c r="N235" s="181" t="str">
        <f>IFERROR(VLOOKUP(PA[[#This Row],[Affceted Equipment]],'Basic Data'!$A$1:$C$128,3,0),"")</f>
        <v/>
      </c>
      <c r="O235" s="166"/>
      <c r="P235" s="149"/>
      <c r="Q235" s="149"/>
      <c r="R235" s="154"/>
      <c r="S235" s="187"/>
      <c r="T235" s="187"/>
      <c r="U235" s="187"/>
      <c r="V235" s="187"/>
      <c r="W235" s="182">
        <f>IF(PA[[#This Row],[Acknowledgemnet Time ]]="NA","",(PA[[#This Row],[Acknowledgemnet Time ]]-PA[[#This Row],[Fault Time]])*24)</f>
        <v>0</v>
      </c>
      <c r="X235" s="182">
        <f>IF(PA[[#This Row],[Work Start time on Fault]]="NA","",(PA[[#This Row],[Work Start time on Fault]]-PA[[#This Row],[Fault Time]])*24)</f>
        <v>0</v>
      </c>
      <c r="Y235" s="153">
        <f>(PA[[#This Row],[Work Completiuon time on fualt]]-PA[[#This Row],[Fault Time]])*24</f>
        <v>0</v>
      </c>
      <c r="Z235" s="153">
        <f>IFERROR((PA[[#This Row],[Work Completiuon time on fualt]]-PA[[#This Row],[Fault Time]])*24,"")</f>
        <v>0</v>
      </c>
      <c r="AA235" s="149"/>
      <c r="AB235" s="149"/>
      <c r="AC235" s="152" t="str">
        <f>IFERROR(AA238 AA240*PA[[#This Row],[Plant Equivalent Weightage]],"")</f>
        <v/>
      </c>
      <c r="AD235" s="153"/>
      <c r="AE235" s="324" t="str">
        <f>IFERROR(((VLOOKUP(PA[[#This Row],[Date]],Modelling_old[#All],16,0))*PA[[#This Row],[Lost PoA(kWh/m2)]]*PA[[#This Row],[DC Capacity Affceted (kW)]])/1000,"")</f>
        <v/>
      </c>
      <c r="AF235" s="150"/>
      <c r="AG235" s="150"/>
      <c r="AH235" s="150"/>
    </row>
    <row r="236" spans="1:34" x14ac:dyDescent="0.35">
      <c r="A236" s="147">
        <f t="shared" si="4"/>
        <v>233</v>
      </c>
      <c r="B236" s="183"/>
      <c r="C236" s="180"/>
      <c r="D236" s="155">
        <f>YEAR(PA[[#This Row],[Date]])</f>
        <v>1900</v>
      </c>
      <c r="E236" s="154"/>
      <c r="F236" s="154"/>
      <c r="G236" s="310">
        <f>PA[[#This Row],[Date]]-DAY(PA[[#This Row],[Date]])+1</f>
        <v>1</v>
      </c>
      <c r="H236" s="155">
        <f>DAY(EOMONTH(PA[[#This Row],[Month Year]],0))</f>
        <v>31</v>
      </c>
      <c r="I236" s="151">
        <f>_xlfn.XLOOKUP(PA[[#This Row],[Date]],RD[Date],RD[Sunrise Time (POA&gt;20 W/m2)],0)</f>
        <v>0</v>
      </c>
      <c r="J236" s="151">
        <f>_xlfn.XLOOKUP(PA[[#This Row],[Date]],RD[Date],RD[Sunset Time (POA&lt;20 W/m2)],0)</f>
        <v>0</v>
      </c>
      <c r="K236" s="152">
        <f>IFERROR((PA[[#This Row],[Sunset Time (POA&lt;20 W/m2)]]-PA[[#This Row],[Sunrise Time (POA&gt;20 W/m2)]])*24,"")</f>
        <v>0</v>
      </c>
      <c r="L236" s="166"/>
      <c r="M236" s="180" t="str">
        <f>IFERROR(VLOOKUP(PA[[#This Row],[Affceted Equipment]],'Basic Data'!$A$2:$B$125,2,0),"")</f>
        <v/>
      </c>
      <c r="N236" s="181" t="str">
        <f>IFERROR(VLOOKUP(PA[[#This Row],[Affceted Equipment]],'Basic Data'!$A$1:$C$128,3,0),"")</f>
        <v/>
      </c>
      <c r="O236" s="166"/>
      <c r="P236" s="149"/>
      <c r="Q236" s="149"/>
      <c r="R236" s="154"/>
      <c r="S236" s="187"/>
      <c r="T236" s="187"/>
      <c r="U236" s="187"/>
      <c r="V236" s="187"/>
      <c r="W236" s="182">
        <f>IF(PA[[#This Row],[Acknowledgemnet Time ]]="NA","",(PA[[#This Row],[Acknowledgemnet Time ]]-PA[[#This Row],[Fault Time]])*24)</f>
        <v>0</v>
      </c>
      <c r="X236" s="182">
        <f>IF(PA[[#This Row],[Work Start time on Fault]]="NA","",(PA[[#This Row],[Work Start time on Fault]]-PA[[#This Row],[Fault Time]])*24)</f>
        <v>0</v>
      </c>
      <c r="Y236" s="153">
        <f>(PA[[#This Row],[Work Completiuon time on fualt]]-PA[[#This Row],[Fault Time]])*24</f>
        <v>0</v>
      </c>
      <c r="Z236" s="153">
        <f>IFERROR((PA[[#This Row],[Work Completiuon time on fualt]]-PA[[#This Row],[Fault Time]])*24,"")</f>
        <v>0</v>
      </c>
      <c r="AA236" s="149"/>
      <c r="AB236" s="149"/>
      <c r="AC236" s="152" t="str">
        <f>IFERROR(AA239 AA241*PA[[#This Row],[Plant Equivalent Weightage]],"")</f>
        <v/>
      </c>
      <c r="AD236" s="153"/>
      <c r="AE236" s="324" t="str">
        <f>IFERROR(((VLOOKUP(PA[[#This Row],[Date]],Modelling_old[#All],16,0))*PA[[#This Row],[Lost PoA(kWh/m2)]]*PA[[#This Row],[DC Capacity Affceted (kW)]])/1000,"")</f>
        <v/>
      </c>
      <c r="AF236" s="150"/>
      <c r="AG236" s="150"/>
      <c r="AH236" s="150"/>
    </row>
    <row r="237" spans="1:34" x14ac:dyDescent="0.35">
      <c r="A237" s="147">
        <f t="shared" si="4"/>
        <v>234</v>
      </c>
      <c r="B237" s="183"/>
      <c r="C237" s="180"/>
      <c r="D237" s="155">
        <f>YEAR(PA[[#This Row],[Date]])</f>
        <v>1900</v>
      </c>
      <c r="E237" s="154"/>
      <c r="F237" s="154"/>
      <c r="G237" s="310">
        <f>PA[[#This Row],[Date]]-DAY(PA[[#This Row],[Date]])+1</f>
        <v>1</v>
      </c>
      <c r="H237" s="155">
        <f>DAY(EOMONTH(PA[[#This Row],[Month Year]],0))</f>
        <v>31</v>
      </c>
      <c r="I237" s="151">
        <f>_xlfn.XLOOKUP(PA[[#This Row],[Date]],RD[Date],RD[Sunrise Time (POA&gt;20 W/m2)],0)</f>
        <v>0</v>
      </c>
      <c r="J237" s="151">
        <f>_xlfn.XLOOKUP(PA[[#This Row],[Date]],RD[Date],RD[Sunset Time (POA&lt;20 W/m2)],0)</f>
        <v>0</v>
      </c>
      <c r="K237" s="152">
        <f>IFERROR((PA[[#This Row],[Sunset Time (POA&lt;20 W/m2)]]-PA[[#This Row],[Sunrise Time (POA&gt;20 W/m2)]])*24,"")</f>
        <v>0</v>
      </c>
      <c r="L237" s="166"/>
      <c r="M237" s="180" t="str">
        <f>IFERROR(VLOOKUP(PA[[#This Row],[Affceted Equipment]],'Basic Data'!$A$2:$B$125,2,0),"")</f>
        <v/>
      </c>
      <c r="N237" s="181" t="str">
        <f>IFERROR(VLOOKUP(PA[[#This Row],[Affceted Equipment]],'Basic Data'!$A$1:$C$128,3,0),"")</f>
        <v/>
      </c>
      <c r="O237" s="166"/>
      <c r="P237" s="149"/>
      <c r="Q237" s="149"/>
      <c r="R237" s="154"/>
      <c r="S237" s="187"/>
      <c r="T237" s="187"/>
      <c r="U237" s="187"/>
      <c r="V237" s="187"/>
      <c r="W237" s="182">
        <f>IF(PA[[#This Row],[Acknowledgemnet Time ]]="NA","",(PA[[#This Row],[Acknowledgemnet Time ]]-PA[[#This Row],[Fault Time]])*24)</f>
        <v>0</v>
      </c>
      <c r="X237" s="182">
        <f>IF(PA[[#This Row],[Work Start time on Fault]]="NA","",(PA[[#This Row],[Work Start time on Fault]]-PA[[#This Row],[Fault Time]])*24)</f>
        <v>0</v>
      </c>
      <c r="Y237" s="153">
        <f>(PA[[#This Row],[Work Completiuon time on fualt]]-PA[[#This Row],[Fault Time]])*24</f>
        <v>0</v>
      </c>
      <c r="Z237" s="153">
        <f>IFERROR((PA[[#This Row],[Work Completiuon time on fualt]]-PA[[#This Row],[Fault Time]])*24,"")</f>
        <v>0</v>
      </c>
      <c r="AA237" s="149"/>
      <c r="AB237" s="149"/>
      <c r="AC237" s="152" t="str">
        <f>IFERROR(AA240 AA242*PA[[#This Row],[Plant Equivalent Weightage]],"")</f>
        <v/>
      </c>
      <c r="AD237" s="153"/>
      <c r="AE237" s="324" t="str">
        <f>IFERROR(((VLOOKUP(PA[[#This Row],[Date]],Modelling_old[#All],16,0))*PA[[#This Row],[Lost PoA(kWh/m2)]]*PA[[#This Row],[DC Capacity Affceted (kW)]])/1000,"")</f>
        <v/>
      </c>
      <c r="AF237" s="150"/>
      <c r="AG237" s="150"/>
      <c r="AH237" s="150"/>
    </row>
    <row r="238" spans="1:34" x14ac:dyDescent="0.35">
      <c r="A238" s="147">
        <f t="shared" si="4"/>
        <v>235</v>
      </c>
      <c r="B238" s="183"/>
      <c r="C238" s="180"/>
      <c r="D238" s="155">
        <f>YEAR(PA[[#This Row],[Date]])</f>
        <v>1900</v>
      </c>
      <c r="E238" s="154"/>
      <c r="F238" s="154"/>
      <c r="G238" s="310">
        <f>PA[[#This Row],[Date]]-DAY(PA[[#This Row],[Date]])+1</f>
        <v>1</v>
      </c>
      <c r="H238" s="155">
        <f>DAY(EOMONTH(PA[[#This Row],[Month Year]],0))</f>
        <v>31</v>
      </c>
      <c r="I238" s="151">
        <f>_xlfn.XLOOKUP(PA[[#This Row],[Date]],RD[Date],RD[Sunrise Time (POA&gt;20 W/m2)],0)</f>
        <v>0</v>
      </c>
      <c r="J238" s="151">
        <f>_xlfn.XLOOKUP(PA[[#This Row],[Date]],RD[Date],RD[Sunset Time (POA&lt;20 W/m2)],0)</f>
        <v>0</v>
      </c>
      <c r="K238" s="152">
        <f>IFERROR((PA[[#This Row],[Sunset Time (POA&lt;20 W/m2)]]-PA[[#This Row],[Sunrise Time (POA&gt;20 W/m2)]])*24,"")</f>
        <v>0</v>
      </c>
      <c r="L238" s="166"/>
      <c r="M238" s="180" t="str">
        <f>IFERROR(VLOOKUP(PA[[#This Row],[Affceted Equipment]],'Basic Data'!$A$2:$B$125,2,0),"")</f>
        <v/>
      </c>
      <c r="N238" s="181" t="str">
        <f>IFERROR(VLOOKUP(PA[[#This Row],[Affceted Equipment]],'Basic Data'!$A$1:$C$128,3,0),"")</f>
        <v/>
      </c>
      <c r="O238" s="166"/>
      <c r="P238" s="149"/>
      <c r="Q238" s="149"/>
      <c r="R238" s="154"/>
      <c r="S238" s="187"/>
      <c r="T238" s="187"/>
      <c r="U238" s="187"/>
      <c r="V238" s="187"/>
      <c r="W238" s="182">
        <f>IF(PA[[#This Row],[Acknowledgemnet Time ]]="NA","",(PA[[#This Row],[Acknowledgemnet Time ]]-PA[[#This Row],[Fault Time]])*24)</f>
        <v>0</v>
      </c>
      <c r="X238" s="182">
        <f>IF(PA[[#This Row],[Work Start time on Fault]]="NA","",(PA[[#This Row],[Work Start time on Fault]]-PA[[#This Row],[Fault Time]])*24)</f>
        <v>0</v>
      </c>
      <c r="Y238" s="153">
        <f>(PA[[#This Row],[Work Completiuon time on fualt]]-PA[[#This Row],[Fault Time]])*24</f>
        <v>0</v>
      </c>
      <c r="Z238" s="153">
        <f>IFERROR((PA[[#This Row],[Work Completiuon time on fualt]]-PA[[#This Row],[Fault Time]])*24,"")</f>
        <v>0</v>
      </c>
      <c r="AA238" s="149"/>
      <c r="AB238" s="149"/>
      <c r="AC238" s="152" t="str">
        <f>IFERROR(AA241 AA244*PA[[#This Row],[Plant Equivalent Weightage]],"")</f>
        <v/>
      </c>
      <c r="AD238" s="153"/>
      <c r="AE238" s="324" t="str">
        <f>IFERROR(((VLOOKUP(PA[[#This Row],[Date]],Modelling_old[#All],16,0))*PA[[#This Row],[Lost PoA(kWh/m2)]]*PA[[#This Row],[DC Capacity Affceted (kW)]])/1000,"")</f>
        <v/>
      </c>
      <c r="AF238" s="150"/>
      <c r="AG238" s="150"/>
      <c r="AH238" s="150"/>
    </row>
    <row r="239" spans="1:34" x14ac:dyDescent="0.35">
      <c r="A239" s="147">
        <f t="shared" si="4"/>
        <v>236</v>
      </c>
      <c r="B239" s="183"/>
      <c r="C239" s="180"/>
      <c r="D239" s="155">
        <f>YEAR(PA[[#This Row],[Date]])</f>
        <v>1900</v>
      </c>
      <c r="E239" s="154"/>
      <c r="F239" s="154"/>
      <c r="G239" s="310">
        <f>PA[[#This Row],[Date]]-DAY(PA[[#This Row],[Date]])+1</f>
        <v>1</v>
      </c>
      <c r="H239" s="155">
        <f>DAY(EOMONTH(PA[[#This Row],[Month Year]],0))</f>
        <v>31</v>
      </c>
      <c r="I239" s="151">
        <f>_xlfn.XLOOKUP(PA[[#This Row],[Date]],RD[Date],RD[Sunrise Time (POA&gt;20 W/m2)],0)</f>
        <v>0</v>
      </c>
      <c r="J239" s="151">
        <f>_xlfn.XLOOKUP(PA[[#This Row],[Date]],RD[Date],RD[Sunset Time (POA&lt;20 W/m2)],0)</f>
        <v>0</v>
      </c>
      <c r="K239" s="152">
        <f>IFERROR((PA[[#This Row],[Sunset Time (POA&lt;20 W/m2)]]-PA[[#This Row],[Sunrise Time (POA&gt;20 W/m2)]])*24,"")</f>
        <v>0</v>
      </c>
      <c r="L239" s="166"/>
      <c r="M239" s="180" t="str">
        <f>IFERROR(VLOOKUP(PA[[#This Row],[Affceted Equipment]],'Basic Data'!$A$2:$B$125,2,0),"")</f>
        <v/>
      </c>
      <c r="N239" s="181" t="str">
        <f>IFERROR(VLOOKUP(PA[[#This Row],[Affceted Equipment]],'Basic Data'!$A$1:$C$128,3,0),"")</f>
        <v/>
      </c>
      <c r="O239" s="166"/>
      <c r="P239" s="149"/>
      <c r="Q239" s="149"/>
      <c r="R239" s="154"/>
      <c r="S239" s="187"/>
      <c r="T239" s="187"/>
      <c r="U239" s="187"/>
      <c r="V239" s="187"/>
      <c r="W239" s="182">
        <f>IF(PA[[#This Row],[Acknowledgemnet Time ]]="NA","",(PA[[#This Row],[Acknowledgemnet Time ]]-PA[[#This Row],[Fault Time]])*24)</f>
        <v>0</v>
      </c>
      <c r="X239" s="182">
        <f>IF(PA[[#This Row],[Work Start time on Fault]]="NA","",(PA[[#This Row],[Work Start time on Fault]]-PA[[#This Row],[Fault Time]])*24)</f>
        <v>0</v>
      </c>
      <c r="Y239" s="153">
        <f>(PA[[#This Row],[Work Completiuon time on fualt]]-PA[[#This Row],[Fault Time]])*24</f>
        <v>0</v>
      </c>
      <c r="Z239" s="153">
        <f>IFERROR((PA[[#This Row],[Work Completiuon time on fualt]]-PA[[#This Row],[Fault Time]])*24,"")</f>
        <v>0</v>
      </c>
      <c r="AA239" s="149"/>
      <c r="AB239" s="149"/>
      <c r="AC239" s="152" t="str">
        <f>IFERROR(AA242 AA245*PA[[#This Row],[Plant Equivalent Weightage]],"")</f>
        <v/>
      </c>
      <c r="AD239" s="153"/>
      <c r="AE239" s="324" t="str">
        <f>IFERROR(((VLOOKUP(PA[[#This Row],[Date]],Modelling_old[#All],16,0))*PA[[#This Row],[Lost PoA(kWh/m2)]]*PA[[#This Row],[DC Capacity Affceted (kW)]])/1000,"")</f>
        <v/>
      </c>
      <c r="AF239" s="150"/>
      <c r="AG239" s="150"/>
      <c r="AH239" s="150"/>
    </row>
    <row r="240" spans="1:34" x14ac:dyDescent="0.35">
      <c r="A240" s="147">
        <f t="shared" si="4"/>
        <v>237</v>
      </c>
      <c r="B240" s="183"/>
      <c r="C240" s="180"/>
      <c r="D240" s="155">
        <f>YEAR(PA[[#This Row],[Date]])</f>
        <v>1900</v>
      </c>
      <c r="E240" s="154"/>
      <c r="F240" s="154"/>
      <c r="G240" s="310">
        <f>PA[[#This Row],[Date]]-DAY(PA[[#This Row],[Date]])+1</f>
        <v>1</v>
      </c>
      <c r="H240" s="155">
        <f>DAY(EOMONTH(PA[[#This Row],[Month Year]],0))</f>
        <v>31</v>
      </c>
      <c r="I240" s="151">
        <f>_xlfn.XLOOKUP(PA[[#This Row],[Date]],RD[Date],RD[Sunrise Time (POA&gt;20 W/m2)],0)</f>
        <v>0</v>
      </c>
      <c r="J240" s="151">
        <f>_xlfn.XLOOKUP(PA[[#This Row],[Date]],RD[Date],RD[Sunset Time (POA&lt;20 W/m2)],0)</f>
        <v>0</v>
      </c>
      <c r="K240" s="152">
        <f>IFERROR((PA[[#This Row],[Sunset Time (POA&lt;20 W/m2)]]-PA[[#This Row],[Sunrise Time (POA&gt;20 W/m2)]])*24,"")</f>
        <v>0</v>
      </c>
      <c r="L240" s="166"/>
      <c r="M240" s="180" t="str">
        <f>IFERROR(VLOOKUP(PA[[#This Row],[Affceted Equipment]],'Basic Data'!$A$2:$B$125,2,0),"")</f>
        <v/>
      </c>
      <c r="N240" s="181" t="str">
        <f>IFERROR(VLOOKUP(PA[[#This Row],[Affceted Equipment]],'Basic Data'!$A$1:$C$128,3,0),"")</f>
        <v/>
      </c>
      <c r="O240" s="166"/>
      <c r="P240" s="149"/>
      <c r="Q240" s="149"/>
      <c r="R240" s="154"/>
      <c r="S240" s="187"/>
      <c r="T240" s="187"/>
      <c r="U240" s="187"/>
      <c r="V240" s="187"/>
      <c r="W240" s="182">
        <f>IF(PA[[#This Row],[Acknowledgemnet Time ]]="NA","",(PA[[#This Row],[Acknowledgemnet Time ]]-PA[[#This Row],[Fault Time]])*24)</f>
        <v>0</v>
      </c>
      <c r="X240" s="182">
        <f>IF(PA[[#This Row],[Work Start time on Fault]]="NA","",(PA[[#This Row],[Work Start time on Fault]]-PA[[#This Row],[Fault Time]])*24)</f>
        <v>0</v>
      </c>
      <c r="Y240" s="153">
        <f>(PA[[#This Row],[Work Completiuon time on fualt]]-PA[[#This Row],[Fault Time]])*24</f>
        <v>0</v>
      </c>
      <c r="Z240" s="153">
        <f>IFERROR((PA[[#This Row],[Work Completiuon time on fualt]]-PA[[#This Row],[Fault Time]])*24,"")</f>
        <v>0</v>
      </c>
      <c r="AA240" s="149"/>
      <c r="AB240" s="149"/>
      <c r="AC240" s="152" t="str">
        <f>IFERROR(AA244 AA246*PA[[#This Row],[Plant Equivalent Weightage]],"")</f>
        <v/>
      </c>
      <c r="AD240" s="153"/>
      <c r="AE240" s="324" t="str">
        <f>IFERROR(((VLOOKUP(PA[[#This Row],[Date]],Modelling_old[#All],16,0))*PA[[#This Row],[Lost PoA(kWh/m2)]]*PA[[#This Row],[DC Capacity Affceted (kW)]])/1000,"")</f>
        <v/>
      </c>
      <c r="AF240" s="150"/>
      <c r="AG240" s="150"/>
      <c r="AH240" s="150"/>
    </row>
    <row r="241" spans="1:34" x14ac:dyDescent="0.35">
      <c r="A241" s="147">
        <f t="shared" si="4"/>
        <v>238</v>
      </c>
      <c r="B241" s="183"/>
      <c r="C241" s="180"/>
      <c r="D241" s="155">
        <f>YEAR(PA[[#This Row],[Date]])</f>
        <v>1900</v>
      </c>
      <c r="E241" s="154"/>
      <c r="F241" s="154"/>
      <c r="G241" s="310">
        <f>PA[[#This Row],[Date]]-DAY(PA[[#This Row],[Date]])+1</f>
        <v>1</v>
      </c>
      <c r="H241" s="155">
        <f>DAY(EOMONTH(PA[[#This Row],[Month Year]],0))</f>
        <v>31</v>
      </c>
      <c r="I241" s="151">
        <f>_xlfn.XLOOKUP(PA[[#This Row],[Date]],RD[Date],RD[Sunrise Time (POA&gt;20 W/m2)],0)</f>
        <v>0</v>
      </c>
      <c r="J241" s="151">
        <f>_xlfn.XLOOKUP(PA[[#This Row],[Date]],RD[Date],RD[Sunset Time (POA&lt;20 W/m2)],0)</f>
        <v>0</v>
      </c>
      <c r="K241" s="152">
        <f>IFERROR((PA[[#This Row],[Sunset Time (POA&lt;20 W/m2)]]-PA[[#This Row],[Sunrise Time (POA&gt;20 W/m2)]])*24,"")</f>
        <v>0</v>
      </c>
      <c r="L241" s="166"/>
      <c r="M241" s="180" t="str">
        <f>IFERROR(VLOOKUP(PA[[#This Row],[Affceted Equipment]],'Basic Data'!$A$2:$B$125,2,0),"")</f>
        <v/>
      </c>
      <c r="N241" s="181" t="str">
        <f>IFERROR(VLOOKUP(PA[[#This Row],[Affceted Equipment]],'Basic Data'!$A$1:$C$128,3,0),"")</f>
        <v/>
      </c>
      <c r="O241" s="166"/>
      <c r="P241" s="149"/>
      <c r="Q241" s="149"/>
      <c r="R241" s="154"/>
      <c r="S241" s="187"/>
      <c r="T241" s="187"/>
      <c r="U241" s="187"/>
      <c r="V241" s="187"/>
      <c r="W241" s="182">
        <f>IF(PA[[#This Row],[Acknowledgemnet Time ]]="NA","",(PA[[#This Row],[Acknowledgemnet Time ]]-PA[[#This Row],[Fault Time]])*24)</f>
        <v>0</v>
      </c>
      <c r="X241" s="182">
        <f>IF(PA[[#This Row],[Work Start time on Fault]]="NA","",(PA[[#This Row],[Work Start time on Fault]]-PA[[#This Row],[Fault Time]])*24)</f>
        <v>0</v>
      </c>
      <c r="Y241" s="153">
        <f>(PA[[#This Row],[Work Completiuon time on fualt]]-PA[[#This Row],[Fault Time]])*24</f>
        <v>0</v>
      </c>
      <c r="Z241" s="153">
        <f>IFERROR((PA[[#This Row],[Work Completiuon time on fualt]]-PA[[#This Row],[Fault Time]])*24,"")</f>
        <v>0</v>
      </c>
      <c r="AA241" s="149"/>
      <c r="AB241" s="149"/>
      <c r="AC241" s="152" t="str">
        <f>IFERROR(AA245 AA247*PA[[#This Row],[Plant Equivalent Weightage]],"")</f>
        <v/>
      </c>
      <c r="AD241" s="153"/>
      <c r="AE241" s="324" t="str">
        <f>IFERROR(((VLOOKUP(PA[[#This Row],[Date]],Modelling_old[#All],16,0))*PA[[#This Row],[Lost PoA(kWh/m2)]]*PA[[#This Row],[DC Capacity Affceted (kW)]])/1000,"")</f>
        <v/>
      </c>
      <c r="AF241" s="150"/>
      <c r="AG241" s="150"/>
      <c r="AH241" s="150"/>
    </row>
    <row r="242" spans="1:34" x14ac:dyDescent="0.35">
      <c r="A242" s="147">
        <f t="shared" si="4"/>
        <v>239</v>
      </c>
      <c r="B242" s="183"/>
      <c r="C242" s="180"/>
      <c r="D242" s="155">
        <f>YEAR(PA[[#This Row],[Date]])</f>
        <v>1900</v>
      </c>
      <c r="E242" s="154"/>
      <c r="F242" s="154"/>
      <c r="G242" s="310">
        <f>PA[[#This Row],[Date]]-DAY(PA[[#This Row],[Date]])+1</f>
        <v>1</v>
      </c>
      <c r="H242" s="155">
        <f>DAY(EOMONTH(PA[[#This Row],[Month Year]],0))</f>
        <v>31</v>
      </c>
      <c r="I242" s="151">
        <f>_xlfn.XLOOKUP(PA[[#This Row],[Date]],RD[Date],RD[Sunrise Time (POA&gt;20 W/m2)],0)</f>
        <v>0</v>
      </c>
      <c r="J242" s="151">
        <f>_xlfn.XLOOKUP(PA[[#This Row],[Date]],RD[Date],RD[Sunset Time (POA&lt;20 W/m2)],0)</f>
        <v>0</v>
      </c>
      <c r="K242" s="152">
        <f>IFERROR((PA[[#This Row],[Sunset Time (POA&lt;20 W/m2)]]-PA[[#This Row],[Sunrise Time (POA&gt;20 W/m2)]])*24,"")</f>
        <v>0</v>
      </c>
      <c r="L242" s="166"/>
      <c r="M242" s="180" t="str">
        <f>IFERROR(VLOOKUP(PA[[#This Row],[Affceted Equipment]],'Basic Data'!$A$2:$B$125,2,0),"")</f>
        <v/>
      </c>
      <c r="N242" s="181" t="str">
        <f>IFERROR(VLOOKUP(PA[[#This Row],[Affceted Equipment]],'Basic Data'!$A$1:$C$128,3,0),"")</f>
        <v/>
      </c>
      <c r="O242" s="166"/>
      <c r="P242" s="149"/>
      <c r="Q242" s="149"/>
      <c r="R242" s="154"/>
      <c r="S242" s="187"/>
      <c r="T242" s="187"/>
      <c r="U242" s="187"/>
      <c r="V242" s="187"/>
      <c r="W242" s="182">
        <f>IF(PA[[#This Row],[Acknowledgemnet Time ]]="NA","",(PA[[#This Row],[Acknowledgemnet Time ]]-PA[[#This Row],[Fault Time]])*24)</f>
        <v>0</v>
      </c>
      <c r="X242" s="182">
        <f>IF(PA[[#This Row],[Work Start time on Fault]]="NA","",(PA[[#This Row],[Work Start time on Fault]]-PA[[#This Row],[Fault Time]])*24)</f>
        <v>0</v>
      </c>
      <c r="Y242" s="153">
        <f>(PA[[#This Row],[Work Completiuon time on fualt]]-PA[[#This Row],[Fault Time]])*24</f>
        <v>0</v>
      </c>
      <c r="Z242" s="153">
        <f>IFERROR((PA[[#This Row],[Work Completiuon time on fualt]]-PA[[#This Row],[Fault Time]])*24,"")</f>
        <v>0</v>
      </c>
      <c r="AA242" s="149"/>
      <c r="AB242" s="149"/>
      <c r="AC242" s="152" t="str">
        <f>IFERROR(AA246 AA248*PA[[#This Row],[Plant Equivalent Weightage]],"")</f>
        <v/>
      </c>
      <c r="AD242" s="153"/>
      <c r="AE242" s="324" t="str">
        <f>IFERROR(((VLOOKUP(PA[[#This Row],[Date]],Modelling_old[#All],16,0))*PA[[#This Row],[Lost PoA(kWh/m2)]]*PA[[#This Row],[DC Capacity Affceted (kW)]])/1000,"")</f>
        <v/>
      </c>
      <c r="AF242" s="150"/>
      <c r="AG242" s="150"/>
      <c r="AH242" s="150"/>
    </row>
    <row r="243" spans="1:34" x14ac:dyDescent="0.35">
      <c r="A243" s="147"/>
      <c r="B243" s="183"/>
      <c r="C243" s="180"/>
      <c r="D243" s="155">
        <f>YEAR(PA[[#This Row],[Date]])</f>
        <v>1900</v>
      </c>
      <c r="E243" s="154"/>
      <c r="F243" s="154"/>
      <c r="G243" s="310">
        <f>PA[[#This Row],[Date]]-DAY(PA[[#This Row],[Date]])+1</f>
        <v>1</v>
      </c>
      <c r="H243" s="155">
        <f>DAY(EOMONTH(PA[[#This Row],[Month Year]],0))</f>
        <v>31</v>
      </c>
      <c r="I243" s="151">
        <f>_xlfn.XLOOKUP(PA[[#This Row],[Date]],RD[Date],RD[Sunrise Time (POA&gt;20 W/m2)],0)</f>
        <v>0</v>
      </c>
      <c r="J243" s="151">
        <f>_xlfn.XLOOKUP(PA[[#This Row],[Date]],RD[Date],RD[Sunset Time (POA&lt;20 W/m2)],0)</f>
        <v>0</v>
      </c>
      <c r="K243" s="152">
        <f>IFERROR((PA[[#This Row],[Sunset Time (POA&lt;20 W/m2)]]-PA[[#This Row],[Sunrise Time (POA&gt;20 W/m2)]])*24,"")</f>
        <v>0</v>
      </c>
      <c r="L243" s="166"/>
      <c r="M243" s="180" t="str">
        <f>IFERROR(VLOOKUP(PA[[#This Row],[Affceted Equipment]],'Basic Data'!$A$2:$B$125,2,0),"")</f>
        <v/>
      </c>
      <c r="N243" s="181" t="str">
        <f>IFERROR(VLOOKUP(PA[[#This Row],[Affceted Equipment]],'Basic Data'!$A$1:$C$128,3,0),"")</f>
        <v/>
      </c>
      <c r="O243" s="166"/>
      <c r="P243" s="149"/>
      <c r="Q243" s="149"/>
      <c r="R243" s="154"/>
      <c r="S243" s="187"/>
      <c r="T243" s="187"/>
      <c r="U243" s="187"/>
      <c r="V243" s="187"/>
      <c r="W243" s="182">
        <f>IF(PA[[#This Row],[Acknowledgemnet Time ]]="NA","",(PA[[#This Row],[Acknowledgemnet Time ]]-PA[[#This Row],[Fault Time]])*24)</f>
        <v>0</v>
      </c>
      <c r="X243" s="182">
        <f>IF(PA[[#This Row],[Work Start time on Fault]]="NA","",(PA[[#This Row],[Work Start time on Fault]]-PA[[#This Row],[Fault Time]])*24)</f>
        <v>0</v>
      </c>
      <c r="Y243" s="153">
        <f>(PA[[#This Row],[Work Completiuon time on fualt]]-PA[[#This Row],[Fault Time]])*24</f>
        <v>0</v>
      </c>
      <c r="Z243" s="153">
        <f>IFERROR((PA[[#This Row],[Work Completiuon time on fualt]]-PA[[#This Row],[Fault Time]])*24,"")</f>
        <v>0</v>
      </c>
      <c r="AA243" s="149"/>
      <c r="AB243" s="149"/>
      <c r="AC243" s="152" t="str">
        <f>IFERROR(AA246 AA248*PA[[#This Row],[Plant Equivalent Weightage]],"")</f>
        <v/>
      </c>
      <c r="AD243" s="153"/>
      <c r="AE243" s="324" t="str">
        <f>IFERROR(((VLOOKUP(PA[[#This Row],[Date]],Modelling_old[#All],16,0))*PA[[#This Row],[Lost PoA(kWh/m2)]]*PA[[#This Row],[DC Capacity Affceted (kW)]])/1000,"")</f>
        <v/>
      </c>
      <c r="AF243" s="150"/>
      <c r="AG243" s="150"/>
      <c r="AH243" s="164"/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22C7F8F-CA24-4AB1-B222-B3F1EAA57073}">
          <x14:formula1>
            <xm:f>'Basic Data'!$A$2:$A$118</xm:f>
          </x14:formula1>
          <xm:sqref>O5:O18</xm:sqref>
        </x14:dataValidation>
        <x14:dataValidation type="list" allowBlank="1" showInputMessage="1" showErrorMessage="1" xr:uid="{00000000-0002-0000-0800-000002000000}">
          <x14:formula1>
            <xm:f>'Basic Data'!$M$2:$M$4</xm:f>
          </x14:formula1>
          <xm:sqref>AB36</xm:sqref>
        </x14:dataValidation>
        <x14:dataValidation type="list" allowBlank="1" showInputMessage="1" showErrorMessage="1" xr:uid="{46805B8B-A9FA-4F07-B51B-2F915E1D6013}">
          <x14:formula1>
            <xm:f>'Basic Data'!$E$2:$E$31</xm:f>
          </x14:formula1>
          <xm:sqref>P36 P54 P57 P64 P74 P76 P96:P97 P100 P108 P119 Q152:Q159 Q161:Q173 Q176:Q184 Q189</xm:sqref>
        </x14:dataValidation>
        <x14:dataValidation type="list" allowBlank="1" showInputMessage="1" showErrorMessage="1" xr:uid="{C5BB270A-288A-4FA7-950F-B9A352E5658C}">
          <x14:formula1>
            <xm:f>'Basic Data'!$A$2:$A$187</xm:f>
          </x14:formula1>
          <xm:sqref>O21 O38 O40 O54 O64 O62 O67 O69 O71:O72 O74 O76 O96:O97 O100 O108 O113:O114 O117:O119 O142 O178 L4:L243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N489"/>
  <sheetViews>
    <sheetView zoomScale="85" zoomScaleNormal="85" workbookViewId="0">
      <pane ySplit="1" topLeftCell="A16" activePane="bottomLeft" state="frozen"/>
      <selection activeCell="C1" sqref="C1"/>
      <selection pane="bottomLeft" activeCell="F60" sqref="F60"/>
    </sheetView>
  </sheetViews>
  <sheetFormatPr defaultColWidth="8.81640625" defaultRowHeight="14.5" x14ac:dyDescent="0.35"/>
  <cols>
    <col min="2" max="2" width="11.1796875" bestFit="1" customWidth="1"/>
    <col min="3" max="3" width="12.453125" bestFit="1" customWidth="1"/>
    <col min="4" max="4" width="14.81640625" bestFit="1" customWidth="1"/>
    <col min="5" max="5" width="13.453125" bestFit="1" customWidth="1"/>
    <col min="6" max="6" width="10.81640625" bestFit="1" customWidth="1"/>
    <col min="7" max="7" width="8.1796875" customWidth="1"/>
    <col min="8" max="8" width="10.1796875" bestFit="1" customWidth="1"/>
    <col min="9" max="9" width="56.1796875" customWidth="1"/>
    <col min="10" max="10" width="14.453125" customWidth="1"/>
    <col min="11" max="11" width="18.1796875" customWidth="1"/>
    <col min="12" max="12" width="17.81640625" customWidth="1"/>
    <col min="13" max="13" width="24.1796875" bestFit="1" customWidth="1"/>
  </cols>
  <sheetData>
    <row r="1" spans="1:14" ht="29" x14ac:dyDescent="0.35">
      <c r="A1" s="6" t="s">
        <v>7</v>
      </c>
      <c r="B1" s="6" t="s">
        <v>116</v>
      </c>
      <c r="C1" s="6" t="s">
        <v>118</v>
      </c>
      <c r="D1" s="6" t="s">
        <v>119</v>
      </c>
      <c r="E1" s="6" t="s">
        <v>120</v>
      </c>
      <c r="F1" s="6" t="s">
        <v>75</v>
      </c>
      <c r="G1" s="6" t="s">
        <v>40</v>
      </c>
      <c r="H1" s="6" t="s">
        <v>72</v>
      </c>
      <c r="I1" s="12" t="s">
        <v>929</v>
      </c>
      <c r="J1" s="12" t="s">
        <v>930</v>
      </c>
      <c r="K1" s="12" t="s">
        <v>931</v>
      </c>
      <c r="L1" s="12" t="s">
        <v>932</v>
      </c>
      <c r="M1" s="12" t="s">
        <v>933</v>
      </c>
      <c r="N1" s="11" t="s">
        <v>673</v>
      </c>
    </row>
    <row r="2" spans="1:14" hidden="1" x14ac:dyDescent="0.35">
      <c r="A2" s="2">
        <v>1</v>
      </c>
      <c r="B2" s="2" t="s">
        <v>934</v>
      </c>
      <c r="C2" s="2">
        <v>2025</v>
      </c>
      <c r="D2" s="2">
        <v>3</v>
      </c>
      <c r="E2" s="2"/>
      <c r="F2" s="39" t="s">
        <v>935</v>
      </c>
      <c r="G2" s="2">
        <f>DAY(EOMONTH(Spare[[#This Row],[Date]], 0))</f>
        <v>30</v>
      </c>
      <c r="H2" s="40">
        <v>45770</v>
      </c>
      <c r="I2" t="s">
        <v>936</v>
      </c>
      <c r="J2" s="6">
        <v>185</v>
      </c>
      <c r="K2" t="s">
        <v>36</v>
      </c>
      <c r="L2" t="s">
        <v>937</v>
      </c>
    </row>
    <row r="3" spans="1:14" hidden="1" x14ac:dyDescent="0.35">
      <c r="A3" s="2">
        <f>A2+1</f>
        <v>2</v>
      </c>
      <c r="B3" s="2" t="s">
        <v>934</v>
      </c>
      <c r="C3" s="2">
        <v>2025</v>
      </c>
      <c r="D3" s="2">
        <v>3</v>
      </c>
      <c r="E3" s="2"/>
      <c r="F3" s="39" t="s">
        <v>935</v>
      </c>
      <c r="G3" s="2">
        <f>DAY(EOMONTH(Spare[[#This Row],[Date]], 0))</f>
        <v>30</v>
      </c>
      <c r="H3" s="40">
        <v>45770</v>
      </c>
      <c r="I3" t="s">
        <v>329</v>
      </c>
      <c r="J3" s="6">
        <v>12</v>
      </c>
      <c r="K3" t="s">
        <v>36</v>
      </c>
      <c r="L3" t="s">
        <v>937</v>
      </c>
    </row>
    <row r="4" spans="1:14" hidden="1" x14ac:dyDescent="0.35">
      <c r="A4" s="2">
        <f t="shared" ref="A4:A67" si="0">A3+1</f>
        <v>3</v>
      </c>
      <c r="B4" s="2" t="s">
        <v>934</v>
      </c>
      <c r="C4" s="2">
        <v>2025</v>
      </c>
      <c r="D4" s="2">
        <v>3</v>
      </c>
      <c r="E4" s="2"/>
      <c r="F4" s="39" t="s">
        <v>272</v>
      </c>
      <c r="G4" s="2">
        <f>DAY(EOMONTH(Spare[[#This Row],[Date]], 0))</f>
        <v>31</v>
      </c>
      <c r="H4" s="40">
        <v>45794</v>
      </c>
      <c r="I4" t="s">
        <v>938</v>
      </c>
      <c r="J4" s="6">
        <v>2</v>
      </c>
      <c r="K4" t="s">
        <v>939</v>
      </c>
      <c r="L4" t="s">
        <v>937</v>
      </c>
    </row>
    <row r="5" spans="1:14" hidden="1" x14ac:dyDescent="0.35">
      <c r="A5" s="2">
        <f t="shared" si="0"/>
        <v>4</v>
      </c>
      <c r="B5" s="2" t="s">
        <v>940</v>
      </c>
      <c r="C5" s="2">
        <v>2025</v>
      </c>
      <c r="D5" s="2">
        <v>3</v>
      </c>
      <c r="E5" s="2"/>
      <c r="F5" s="39" t="s">
        <v>277</v>
      </c>
      <c r="G5" s="2">
        <f>DAY(EOMONTH(Spare[[#This Row],[Date]], 0))</f>
        <v>30</v>
      </c>
      <c r="H5" s="40">
        <v>45809</v>
      </c>
      <c r="I5" t="s">
        <v>329</v>
      </c>
      <c r="J5" s="6">
        <v>9</v>
      </c>
      <c r="K5" t="s">
        <v>36</v>
      </c>
      <c r="L5" t="s">
        <v>937</v>
      </c>
    </row>
    <row r="6" spans="1:14" hidden="1" x14ac:dyDescent="0.35">
      <c r="A6" s="2">
        <f t="shared" si="0"/>
        <v>5</v>
      </c>
      <c r="B6" s="2" t="s">
        <v>940</v>
      </c>
      <c r="C6" s="2">
        <v>2025</v>
      </c>
      <c r="D6" s="2">
        <v>3</v>
      </c>
      <c r="E6" s="2"/>
      <c r="F6" s="39" t="s">
        <v>277</v>
      </c>
      <c r="G6" s="2">
        <f>DAY(EOMONTH(Spare[[#This Row],[Date]], 0))</f>
        <v>30</v>
      </c>
      <c r="H6" s="40">
        <v>45809</v>
      </c>
      <c r="I6" t="s">
        <v>936</v>
      </c>
      <c r="J6" s="6">
        <v>240</v>
      </c>
      <c r="K6" t="s">
        <v>36</v>
      </c>
      <c r="L6" t="s">
        <v>937</v>
      </c>
    </row>
    <row r="7" spans="1:14" hidden="1" x14ac:dyDescent="0.35">
      <c r="A7" s="2">
        <f t="shared" si="0"/>
        <v>6</v>
      </c>
      <c r="B7" s="2" t="s">
        <v>940</v>
      </c>
      <c r="C7" s="2">
        <v>2025</v>
      </c>
      <c r="D7" s="2">
        <v>3</v>
      </c>
      <c r="E7" s="2"/>
      <c r="F7" s="39" t="s">
        <v>277</v>
      </c>
      <c r="G7" s="2">
        <f>DAY(EOMONTH(Spare[[#This Row],[Date]], 0))</f>
        <v>30</v>
      </c>
      <c r="H7" s="40">
        <v>45828</v>
      </c>
      <c r="I7" t="s">
        <v>936</v>
      </c>
      <c r="J7" s="6">
        <v>400</v>
      </c>
      <c r="K7" t="s">
        <v>36</v>
      </c>
      <c r="L7" t="s">
        <v>937</v>
      </c>
    </row>
    <row r="8" spans="1:14" hidden="1" x14ac:dyDescent="0.35">
      <c r="A8" s="2">
        <f t="shared" si="0"/>
        <v>7</v>
      </c>
      <c r="B8" s="2" t="s">
        <v>940</v>
      </c>
      <c r="C8" s="2">
        <v>2025</v>
      </c>
      <c r="D8" s="2">
        <v>3</v>
      </c>
      <c r="E8" s="2"/>
      <c r="F8" s="39" t="s">
        <v>277</v>
      </c>
      <c r="G8" s="2">
        <f>DAY(EOMONTH(Spare[[#This Row],[Date]], 0))</f>
        <v>30</v>
      </c>
      <c r="H8" s="40">
        <v>45828</v>
      </c>
      <c r="I8" t="s">
        <v>941</v>
      </c>
      <c r="J8" s="6">
        <v>12</v>
      </c>
      <c r="K8" t="s">
        <v>36</v>
      </c>
      <c r="L8" t="s">
        <v>937</v>
      </c>
    </row>
    <row r="9" spans="1:14" hidden="1" x14ac:dyDescent="0.35">
      <c r="A9" s="2">
        <f t="shared" si="0"/>
        <v>8</v>
      </c>
      <c r="B9" s="2" t="s">
        <v>940</v>
      </c>
      <c r="C9" s="2">
        <v>2025</v>
      </c>
      <c r="D9" s="2">
        <v>3</v>
      </c>
      <c r="E9" s="2"/>
      <c r="F9" s="39" t="s">
        <v>277</v>
      </c>
      <c r="G9" s="2">
        <f>DAY(EOMONTH(Spare[[#This Row],[Date]], 0))</f>
        <v>30</v>
      </c>
      <c r="H9" s="40">
        <v>45828</v>
      </c>
      <c r="I9" t="s">
        <v>942</v>
      </c>
      <c r="J9" s="6">
        <v>8</v>
      </c>
      <c r="K9" t="s">
        <v>36</v>
      </c>
      <c r="L9" t="s">
        <v>937</v>
      </c>
    </row>
    <row r="10" spans="1:14" hidden="1" x14ac:dyDescent="0.35">
      <c r="A10" s="2">
        <f t="shared" si="0"/>
        <v>9</v>
      </c>
      <c r="B10" s="2" t="s">
        <v>940</v>
      </c>
      <c r="C10" s="2">
        <v>2025</v>
      </c>
      <c r="D10" s="2">
        <v>3</v>
      </c>
      <c r="E10" s="2"/>
      <c r="F10" s="39" t="s">
        <v>277</v>
      </c>
      <c r="G10" s="2">
        <f>DAY(EOMONTH(Spare[[#This Row],[Date]], 0))</f>
        <v>30</v>
      </c>
      <c r="H10" s="40">
        <v>45830</v>
      </c>
      <c r="I10" t="s">
        <v>942</v>
      </c>
      <c r="J10" s="6">
        <v>6</v>
      </c>
      <c r="K10" t="s">
        <v>36</v>
      </c>
      <c r="L10" t="s">
        <v>937</v>
      </c>
    </row>
    <row r="11" spans="1:14" hidden="1" x14ac:dyDescent="0.35">
      <c r="A11" s="2">
        <f t="shared" si="0"/>
        <v>10</v>
      </c>
      <c r="B11" s="2" t="s">
        <v>940</v>
      </c>
      <c r="C11" s="2">
        <v>2025</v>
      </c>
      <c r="D11" s="2">
        <v>3</v>
      </c>
      <c r="E11" s="2"/>
      <c r="F11" s="39" t="s">
        <v>277</v>
      </c>
      <c r="G11" s="2">
        <f>DAY(EOMONTH(Spare[[#This Row],[Date]], 0))</f>
        <v>30</v>
      </c>
      <c r="H11" s="40">
        <v>45830</v>
      </c>
      <c r="I11" t="s">
        <v>941</v>
      </c>
      <c r="J11" s="6">
        <v>10</v>
      </c>
      <c r="K11" t="s">
        <v>36</v>
      </c>
      <c r="L11" t="s">
        <v>937</v>
      </c>
    </row>
    <row r="12" spans="1:14" hidden="1" x14ac:dyDescent="0.35">
      <c r="A12" s="2">
        <f t="shared" si="0"/>
        <v>11</v>
      </c>
      <c r="B12" s="2" t="s">
        <v>940</v>
      </c>
      <c r="C12" s="2">
        <v>2025</v>
      </c>
      <c r="D12" s="2">
        <v>3</v>
      </c>
      <c r="E12" s="2"/>
      <c r="F12" s="39" t="s">
        <v>277</v>
      </c>
      <c r="G12" s="2">
        <f>DAY(EOMONTH(Spare[[#This Row],[Date]], 0))</f>
        <v>30</v>
      </c>
      <c r="H12" s="40">
        <v>45830</v>
      </c>
      <c r="I12" t="s">
        <v>936</v>
      </c>
      <c r="J12" s="6">
        <v>380</v>
      </c>
      <c r="K12" t="s">
        <v>36</v>
      </c>
      <c r="L12" t="s">
        <v>937</v>
      </c>
    </row>
    <row r="13" spans="1:14" hidden="1" x14ac:dyDescent="0.35">
      <c r="A13" s="2">
        <f t="shared" si="0"/>
        <v>12</v>
      </c>
      <c r="B13" s="2" t="s">
        <v>940</v>
      </c>
      <c r="C13" s="2">
        <v>2025</v>
      </c>
      <c r="D13" s="2">
        <v>3</v>
      </c>
      <c r="E13" s="2"/>
      <c r="F13" s="39" t="s">
        <v>277</v>
      </c>
      <c r="G13" s="2">
        <f>DAY(EOMONTH(Spare[[#This Row],[Date]], 0))</f>
        <v>30</v>
      </c>
      <c r="H13" s="40">
        <v>45831</v>
      </c>
      <c r="I13" t="s">
        <v>936</v>
      </c>
      <c r="J13" s="6">
        <v>470</v>
      </c>
      <c r="K13" t="s">
        <v>36</v>
      </c>
      <c r="L13" t="s">
        <v>937</v>
      </c>
    </row>
    <row r="14" spans="1:14" hidden="1" x14ac:dyDescent="0.35">
      <c r="A14" s="2">
        <f t="shared" si="0"/>
        <v>13</v>
      </c>
      <c r="B14" s="2" t="s">
        <v>940</v>
      </c>
      <c r="C14" s="2">
        <v>2025</v>
      </c>
      <c r="D14" s="2">
        <v>3</v>
      </c>
      <c r="E14" s="2"/>
      <c r="F14" s="39" t="s">
        <v>277</v>
      </c>
      <c r="G14" s="2">
        <f>DAY(EOMONTH(Spare[[#This Row],[Date]], 0))</f>
        <v>30</v>
      </c>
      <c r="H14" s="40">
        <v>45831</v>
      </c>
      <c r="I14" t="s">
        <v>941</v>
      </c>
      <c r="J14" s="6">
        <v>14</v>
      </c>
      <c r="K14" t="s">
        <v>36</v>
      </c>
      <c r="L14" t="s">
        <v>937</v>
      </c>
    </row>
    <row r="15" spans="1:14" hidden="1" x14ac:dyDescent="0.35">
      <c r="A15" s="2">
        <f t="shared" si="0"/>
        <v>14</v>
      </c>
      <c r="B15" s="2" t="s">
        <v>940</v>
      </c>
      <c r="C15" s="2">
        <v>2025</v>
      </c>
      <c r="D15" s="2">
        <v>3</v>
      </c>
      <c r="E15" s="2"/>
      <c r="F15" s="39" t="s">
        <v>277</v>
      </c>
      <c r="G15" s="2">
        <f>DAY(EOMONTH(Spare[[#This Row],[Date]], 0))</f>
        <v>30</v>
      </c>
      <c r="H15" s="40">
        <v>45831</v>
      </c>
      <c r="I15" t="s">
        <v>942</v>
      </c>
      <c r="J15" s="6">
        <v>5</v>
      </c>
      <c r="K15" t="s">
        <v>36</v>
      </c>
      <c r="L15" t="s">
        <v>937</v>
      </c>
    </row>
    <row r="16" spans="1:14" x14ac:dyDescent="0.35">
      <c r="A16" s="2">
        <f t="shared" si="0"/>
        <v>15</v>
      </c>
      <c r="B16" s="2" t="s">
        <v>940</v>
      </c>
      <c r="C16" s="2">
        <v>2025</v>
      </c>
      <c r="D16" s="2">
        <v>3</v>
      </c>
      <c r="E16" s="2"/>
      <c r="F16" s="39" t="s">
        <v>277</v>
      </c>
      <c r="G16" s="2">
        <f>DAY(EOMONTH(Spare[[#This Row],[Date]], 0))</f>
        <v>30</v>
      </c>
      <c r="H16" s="40">
        <v>45831</v>
      </c>
      <c r="I16" t="s">
        <v>943</v>
      </c>
      <c r="J16" s="6">
        <v>2</v>
      </c>
      <c r="K16" t="s">
        <v>36</v>
      </c>
      <c r="L16" t="s">
        <v>937</v>
      </c>
    </row>
    <row r="17" spans="1:12" hidden="1" x14ac:dyDescent="0.35">
      <c r="A17" s="2">
        <f t="shared" si="0"/>
        <v>16</v>
      </c>
      <c r="B17" s="2" t="s">
        <v>940</v>
      </c>
      <c r="C17" s="2">
        <v>2025</v>
      </c>
      <c r="D17" s="2">
        <v>3</v>
      </c>
      <c r="E17" s="2"/>
      <c r="F17" s="39" t="s">
        <v>277</v>
      </c>
      <c r="G17" s="2">
        <f>DAY(EOMONTH(Spare[[#This Row],[Date]], 0))</f>
        <v>30</v>
      </c>
      <c r="H17" s="40">
        <v>45832</v>
      </c>
      <c r="I17" t="s">
        <v>942</v>
      </c>
      <c r="J17" s="6">
        <v>6</v>
      </c>
      <c r="K17" t="s">
        <v>36</v>
      </c>
      <c r="L17" t="s">
        <v>937</v>
      </c>
    </row>
    <row r="18" spans="1:12" hidden="1" x14ac:dyDescent="0.35">
      <c r="A18" s="2">
        <f t="shared" si="0"/>
        <v>17</v>
      </c>
      <c r="B18" s="2" t="s">
        <v>940</v>
      </c>
      <c r="C18" s="2">
        <v>2025</v>
      </c>
      <c r="D18" s="2">
        <v>3</v>
      </c>
      <c r="E18" s="2"/>
      <c r="F18" s="39" t="s">
        <v>277</v>
      </c>
      <c r="G18" s="2">
        <f>DAY(EOMONTH(Spare[[#This Row],[Date]], 0))</f>
        <v>30</v>
      </c>
      <c r="H18" s="40">
        <v>45832</v>
      </c>
      <c r="I18" t="s">
        <v>936</v>
      </c>
      <c r="J18" s="6">
        <v>480</v>
      </c>
      <c r="K18" t="s">
        <v>36</v>
      </c>
      <c r="L18" t="s">
        <v>937</v>
      </c>
    </row>
    <row r="19" spans="1:12" hidden="1" x14ac:dyDescent="0.35">
      <c r="A19" s="2">
        <f t="shared" si="0"/>
        <v>18</v>
      </c>
      <c r="B19" s="2" t="s">
        <v>940</v>
      </c>
      <c r="C19" s="2">
        <v>2025</v>
      </c>
      <c r="D19" s="2">
        <v>3</v>
      </c>
      <c r="E19" s="2"/>
      <c r="F19" s="39" t="s">
        <v>277</v>
      </c>
      <c r="G19" s="2">
        <f>DAY(EOMONTH(Spare[[#This Row],[Date]], 0))</f>
        <v>30</v>
      </c>
      <c r="H19" s="40">
        <v>45832</v>
      </c>
      <c r="I19" t="s">
        <v>941</v>
      </c>
      <c r="J19" s="6">
        <v>10</v>
      </c>
      <c r="K19" t="s">
        <v>36</v>
      </c>
      <c r="L19" t="s">
        <v>937</v>
      </c>
    </row>
    <row r="20" spans="1:12" x14ac:dyDescent="0.35">
      <c r="A20" s="2">
        <f t="shared" si="0"/>
        <v>19</v>
      </c>
      <c r="B20" s="2" t="s">
        <v>940</v>
      </c>
      <c r="C20" s="2">
        <v>2025</v>
      </c>
      <c r="D20" s="2">
        <v>3</v>
      </c>
      <c r="E20" s="2"/>
      <c r="F20" s="39" t="s">
        <v>277</v>
      </c>
      <c r="G20" s="2">
        <f>DAY(EOMONTH(Spare[[#This Row],[Date]], 0))</f>
        <v>30</v>
      </c>
      <c r="H20" s="40">
        <v>45832</v>
      </c>
      <c r="I20" t="s">
        <v>943</v>
      </c>
      <c r="J20" s="6">
        <v>2</v>
      </c>
      <c r="K20" t="s">
        <v>36</v>
      </c>
      <c r="L20" t="s">
        <v>937</v>
      </c>
    </row>
    <row r="21" spans="1:12" hidden="1" x14ac:dyDescent="0.35">
      <c r="A21" s="2">
        <f t="shared" si="0"/>
        <v>20</v>
      </c>
      <c r="B21" s="2" t="s">
        <v>940</v>
      </c>
      <c r="C21" s="2">
        <v>2025</v>
      </c>
      <c r="D21" s="2">
        <v>3</v>
      </c>
      <c r="E21" s="2"/>
      <c r="F21" s="39" t="s">
        <v>277</v>
      </c>
      <c r="G21" s="2">
        <f>DAY(EOMONTH(Spare[[#This Row],[Date]], 0))</f>
        <v>30</v>
      </c>
      <c r="H21" s="40">
        <v>45833</v>
      </c>
      <c r="I21" t="s">
        <v>941</v>
      </c>
      <c r="J21" s="6">
        <v>10</v>
      </c>
      <c r="K21" t="s">
        <v>36</v>
      </c>
      <c r="L21" t="s">
        <v>937</v>
      </c>
    </row>
    <row r="22" spans="1:12" hidden="1" x14ac:dyDescent="0.35">
      <c r="A22" s="2">
        <f t="shared" si="0"/>
        <v>21</v>
      </c>
      <c r="B22" s="2" t="s">
        <v>940</v>
      </c>
      <c r="C22" s="2">
        <v>2025</v>
      </c>
      <c r="D22" s="2">
        <v>3</v>
      </c>
      <c r="E22" s="2"/>
      <c r="F22" s="39" t="s">
        <v>277</v>
      </c>
      <c r="G22" s="2">
        <f>DAY(EOMONTH(Spare[[#This Row],[Date]], 0))</f>
        <v>30</v>
      </c>
      <c r="H22" s="40">
        <v>45833</v>
      </c>
      <c r="I22" t="s">
        <v>942</v>
      </c>
      <c r="J22" s="6">
        <v>5</v>
      </c>
      <c r="K22" t="s">
        <v>36</v>
      </c>
      <c r="L22" t="s">
        <v>937</v>
      </c>
    </row>
    <row r="23" spans="1:12" x14ac:dyDescent="0.35">
      <c r="A23" s="2">
        <f t="shared" si="0"/>
        <v>22</v>
      </c>
      <c r="B23" s="2" t="s">
        <v>940</v>
      </c>
      <c r="C23" s="2">
        <v>2025</v>
      </c>
      <c r="D23" s="2">
        <v>3</v>
      </c>
      <c r="E23" s="2"/>
      <c r="F23" s="39" t="s">
        <v>277</v>
      </c>
      <c r="G23" s="2">
        <f>DAY(EOMONTH(Spare[[#This Row],[Date]], 0))</f>
        <v>30</v>
      </c>
      <c r="H23" s="40">
        <v>45833</v>
      </c>
      <c r="I23" t="s">
        <v>943</v>
      </c>
      <c r="J23" s="6">
        <v>2</v>
      </c>
      <c r="K23" t="s">
        <v>36</v>
      </c>
      <c r="L23" t="s">
        <v>937</v>
      </c>
    </row>
    <row r="24" spans="1:12" hidden="1" x14ac:dyDescent="0.35">
      <c r="A24" s="2">
        <f t="shared" si="0"/>
        <v>23</v>
      </c>
      <c r="B24" s="2" t="s">
        <v>940</v>
      </c>
      <c r="C24" s="2">
        <v>2025</v>
      </c>
      <c r="D24" s="2">
        <v>3</v>
      </c>
      <c r="E24" s="2"/>
      <c r="F24" s="39" t="s">
        <v>277</v>
      </c>
      <c r="G24" s="2">
        <f>DAY(EOMONTH(Spare[[#This Row],[Date]], 0))</f>
        <v>30</v>
      </c>
      <c r="H24" s="40">
        <v>45833</v>
      </c>
      <c r="I24" t="s">
        <v>936</v>
      </c>
      <c r="J24" s="6">
        <v>382</v>
      </c>
      <c r="K24" t="s">
        <v>36</v>
      </c>
      <c r="L24" t="s">
        <v>937</v>
      </c>
    </row>
    <row r="25" spans="1:12" x14ac:dyDescent="0.35">
      <c r="A25" s="2">
        <f t="shared" si="0"/>
        <v>24</v>
      </c>
      <c r="B25" s="2" t="s">
        <v>940</v>
      </c>
      <c r="C25" s="2">
        <v>2025</v>
      </c>
      <c r="D25" s="2">
        <v>3</v>
      </c>
      <c r="E25" s="2"/>
      <c r="F25" s="39" t="s">
        <v>277</v>
      </c>
      <c r="G25" s="2">
        <f>DAY(EOMONTH(Spare[[#This Row],[Date]], 0))</f>
        <v>30</v>
      </c>
      <c r="H25" s="40">
        <v>45834</v>
      </c>
      <c r="I25" t="s">
        <v>943</v>
      </c>
      <c r="J25" s="6">
        <v>2</v>
      </c>
      <c r="K25" t="s">
        <v>36</v>
      </c>
      <c r="L25" t="s">
        <v>937</v>
      </c>
    </row>
    <row r="26" spans="1:12" x14ac:dyDescent="0.35">
      <c r="A26" s="2">
        <f t="shared" si="0"/>
        <v>25</v>
      </c>
      <c r="B26" s="2" t="s">
        <v>940</v>
      </c>
      <c r="C26" s="2">
        <v>2025</v>
      </c>
      <c r="D26" s="2">
        <v>3</v>
      </c>
      <c r="E26" s="2"/>
      <c r="F26" s="39" t="s">
        <v>277</v>
      </c>
      <c r="G26" s="2">
        <f>DAY(EOMONTH(Spare[[#This Row],[Date]], 0))</f>
        <v>30</v>
      </c>
      <c r="H26" s="40">
        <v>45836</v>
      </c>
      <c r="I26" t="s">
        <v>943</v>
      </c>
      <c r="J26" s="6">
        <v>2</v>
      </c>
      <c r="K26" t="s">
        <v>36</v>
      </c>
      <c r="L26" t="s">
        <v>937</v>
      </c>
    </row>
    <row r="27" spans="1:12" hidden="1" x14ac:dyDescent="0.35">
      <c r="A27" s="2">
        <f t="shared" si="0"/>
        <v>26</v>
      </c>
      <c r="B27" s="2" t="s">
        <v>940</v>
      </c>
      <c r="C27" s="2">
        <v>2025</v>
      </c>
      <c r="D27" s="2">
        <v>3</v>
      </c>
      <c r="E27" s="2"/>
      <c r="F27" s="39" t="s">
        <v>277</v>
      </c>
      <c r="G27" s="2">
        <f>DAY(EOMONTH(Spare[[#This Row],[Date]], 0))</f>
        <v>30</v>
      </c>
      <c r="H27" s="40">
        <v>45836</v>
      </c>
      <c r="I27" t="s">
        <v>942</v>
      </c>
      <c r="J27" s="6">
        <v>8</v>
      </c>
      <c r="K27" t="s">
        <v>36</v>
      </c>
      <c r="L27" t="s">
        <v>937</v>
      </c>
    </row>
    <row r="28" spans="1:12" hidden="1" x14ac:dyDescent="0.35">
      <c r="A28" s="2">
        <f t="shared" si="0"/>
        <v>27</v>
      </c>
      <c r="B28" s="2" t="s">
        <v>940</v>
      </c>
      <c r="C28" s="2">
        <v>2025</v>
      </c>
      <c r="D28" s="2">
        <v>3</v>
      </c>
      <c r="E28" s="2"/>
      <c r="F28" s="39" t="s">
        <v>277</v>
      </c>
      <c r="G28" s="2">
        <f>DAY(EOMONTH(Spare[[#This Row],[Date]], 0))</f>
        <v>30</v>
      </c>
      <c r="H28" s="40">
        <v>45836</v>
      </c>
      <c r="I28" t="s">
        <v>936</v>
      </c>
      <c r="J28" s="6">
        <v>410</v>
      </c>
      <c r="K28" t="s">
        <v>36</v>
      </c>
      <c r="L28" t="s">
        <v>937</v>
      </c>
    </row>
    <row r="29" spans="1:12" hidden="1" x14ac:dyDescent="0.35">
      <c r="A29" s="2">
        <f t="shared" si="0"/>
        <v>28</v>
      </c>
      <c r="B29" s="2" t="s">
        <v>940</v>
      </c>
      <c r="C29" s="2">
        <v>2025</v>
      </c>
      <c r="D29" s="2">
        <v>3</v>
      </c>
      <c r="E29" s="2"/>
      <c r="F29" s="39" t="s">
        <v>277</v>
      </c>
      <c r="G29" s="2">
        <f>DAY(EOMONTH(Spare[[#This Row],[Date]], 0))</f>
        <v>30</v>
      </c>
      <c r="H29" s="40">
        <v>45836</v>
      </c>
      <c r="I29" t="s">
        <v>941</v>
      </c>
      <c r="J29" s="6">
        <v>10</v>
      </c>
      <c r="K29" t="s">
        <v>36</v>
      </c>
      <c r="L29" t="s">
        <v>937</v>
      </c>
    </row>
    <row r="30" spans="1:12" hidden="1" x14ac:dyDescent="0.35">
      <c r="A30" s="2">
        <f t="shared" si="0"/>
        <v>29</v>
      </c>
      <c r="B30" s="2" t="s">
        <v>940</v>
      </c>
      <c r="C30" s="2">
        <v>2025</v>
      </c>
      <c r="D30" s="2">
        <v>3</v>
      </c>
      <c r="E30" s="2"/>
      <c r="F30" s="39" t="s">
        <v>277</v>
      </c>
      <c r="G30" s="2">
        <f>DAY(EOMONTH(Spare[[#This Row],[Date]], 0))</f>
        <v>30</v>
      </c>
      <c r="H30" s="40">
        <v>45838</v>
      </c>
      <c r="I30" t="s">
        <v>941</v>
      </c>
      <c r="J30" s="6">
        <v>12</v>
      </c>
      <c r="K30" t="s">
        <v>36</v>
      </c>
      <c r="L30" t="s">
        <v>937</v>
      </c>
    </row>
    <row r="31" spans="1:12" hidden="1" x14ac:dyDescent="0.35">
      <c r="A31" s="2">
        <f t="shared" si="0"/>
        <v>30</v>
      </c>
      <c r="B31" s="2" t="s">
        <v>940</v>
      </c>
      <c r="C31" s="2">
        <v>2025</v>
      </c>
      <c r="D31" s="2">
        <v>3</v>
      </c>
      <c r="E31" s="2"/>
      <c r="F31" s="39" t="s">
        <v>277</v>
      </c>
      <c r="G31" s="2">
        <f>DAY(EOMONTH(Spare[[#This Row],[Date]], 0))</f>
        <v>30</v>
      </c>
      <c r="H31" s="40">
        <v>45838</v>
      </c>
      <c r="I31" t="s">
        <v>942</v>
      </c>
      <c r="J31" s="6">
        <v>5</v>
      </c>
      <c r="K31" t="s">
        <v>36</v>
      </c>
      <c r="L31" t="s">
        <v>937</v>
      </c>
    </row>
    <row r="32" spans="1:12" hidden="1" x14ac:dyDescent="0.35">
      <c r="A32" s="2">
        <f t="shared" si="0"/>
        <v>31</v>
      </c>
      <c r="B32" s="2" t="s">
        <v>940</v>
      </c>
      <c r="C32" s="2">
        <v>2025</v>
      </c>
      <c r="D32" s="2">
        <v>3</v>
      </c>
      <c r="E32" s="2"/>
      <c r="F32" s="39" t="s">
        <v>277</v>
      </c>
      <c r="G32" s="2">
        <f>DAY(EOMONTH(Spare[[#This Row],[Date]], 0))</f>
        <v>30</v>
      </c>
      <c r="H32" s="40">
        <v>45838</v>
      </c>
      <c r="I32" t="s">
        <v>936</v>
      </c>
      <c r="J32" s="6">
        <v>460</v>
      </c>
      <c r="K32" t="s">
        <v>36</v>
      </c>
      <c r="L32" t="s">
        <v>937</v>
      </c>
    </row>
    <row r="33" spans="1:12" hidden="1" x14ac:dyDescent="0.35">
      <c r="A33" s="2">
        <f t="shared" si="0"/>
        <v>32</v>
      </c>
      <c r="B33" s="2" t="s">
        <v>940</v>
      </c>
      <c r="C33" s="2">
        <v>2025</v>
      </c>
      <c r="D33" s="2">
        <v>3</v>
      </c>
      <c r="E33" s="2"/>
      <c r="F33" s="39" t="s">
        <v>277</v>
      </c>
      <c r="G33" s="2">
        <f>DAY(EOMONTH(Spare[[#This Row],[Date]], 0))</f>
        <v>31</v>
      </c>
      <c r="H33" s="40">
        <v>45839</v>
      </c>
      <c r="I33" t="s">
        <v>936</v>
      </c>
      <c r="J33" s="6">
        <v>46</v>
      </c>
      <c r="K33" t="s">
        <v>36</v>
      </c>
      <c r="L33" t="s">
        <v>937</v>
      </c>
    </row>
    <row r="34" spans="1:12" hidden="1" x14ac:dyDescent="0.35">
      <c r="A34" s="2">
        <f t="shared" si="0"/>
        <v>33</v>
      </c>
      <c r="B34" s="2" t="s">
        <v>940</v>
      </c>
      <c r="C34" s="2">
        <v>2025</v>
      </c>
      <c r="D34" s="2">
        <v>3</v>
      </c>
      <c r="E34" s="2"/>
      <c r="F34" s="39" t="s">
        <v>282</v>
      </c>
      <c r="G34" s="2">
        <f>DAY(EOMONTH(Spare[[#This Row],[Date]], 0))</f>
        <v>31</v>
      </c>
      <c r="H34" s="40">
        <v>45839</v>
      </c>
      <c r="I34" t="s">
        <v>941</v>
      </c>
      <c r="J34" s="6">
        <v>2</v>
      </c>
      <c r="K34" t="s">
        <v>36</v>
      </c>
      <c r="L34" t="s">
        <v>937</v>
      </c>
    </row>
    <row r="35" spans="1:12" hidden="1" x14ac:dyDescent="0.35">
      <c r="A35" s="2">
        <f t="shared" si="0"/>
        <v>34</v>
      </c>
      <c r="B35" s="2" t="s">
        <v>940</v>
      </c>
      <c r="C35" s="2">
        <v>2025</v>
      </c>
      <c r="D35" s="2">
        <v>3</v>
      </c>
      <c r="E35" s="2"/>
      <c r="F35" s="39" t="s">
        <v>282</v>
      </c>
      <c r="G35" s="2">
        <f>DAY(EOMONTH(Spare[[#This Row],[Date]], 0))</f>
        <v>31</v>
      </c>
      <c r="H35" s="40">
        <v>45840</v>
      </c>
      <c r="I35" t="s">
        <v>941</v>
      </c>
      <c r="J35" s="6">
        <v>8</v>
      </c>
      <c r="K35" t="s">
        <v>36</v>
      </c>
      <c r="L35" t="s">
        <v>937</v>
      </c>
    </row>
    <row r="36" spans="1:12" hidden="1" x14ac:dyDescent="0.35">
      <c r="A36" s="2">
        <f t="shared" si="0"/>
        <v>35</v>
      </c>
      <c r="B36" s="2" t="s">
        <v>940</v>
      </c>
      <c r="C36" s="2">
        <v>2025</v>
      </c>
      <c r="D36" s="2">
        <v>3</v>
      </c>
      <c r="E36" s="2"/>
      <c r="F36" s="39" t="s">
        <v>282</v>
      </c>
      <c r="G36" s="2">
        <f>DAY(EOMONTH(Spare[[#This Row],[Date]], 0))</f>
        <v>31</v>
      </c>
      <c r="H36" s="40">
        <v>45840</v>
      </c>
      <c r="I36" t="s">
        <v>936</v>
      </c>
      <c r="J36" s="6">
        <v>320</v>
      </c>
      <c r="K36" t="s">
        <v>36</v>
      </c>
      <c r="L36" t="s">
        <v>937</v>
      </c>
    </row>
    <row r="37" spans="1:12" hidden="1" x14ac:dyDescent="0.35">
      <c r="A37" s="2">
        <f t="shared" si="0"/>
        <v>36</v>
      </c>
      <c r="B37" s="2" t="s">
        <v>940</v>
      </c>
      <c r="C37" s="2">
        <v>2025</v>
      </c>
      <c r="D37" s="2">
        <v>3</v>
      </c>
      <c r="E37" s="2"/>
      <c r="F37" s="39" t="s">
        <v>282</v>
      </c>
      <c r="G37" s="2">
        <f>DAY(EOMONTH(Spare[[#This Row],[Date]], 0))</f>
        <v>31</v>
      </c>
      <c r="H37" s="40">
        <v>45840</v>
      </c>
      <c r="I37" t="s">
        <v>942</v>
      </c>
      <c r="J37" s="6">
        <v>2</v>
      </c>
      <c r="K37" t="s">
        <v>36</v>
      </c>
      <c r="L37" t="s">
        <v>937</v>
      </c>
    </row>
    <row r="38" spans="1:12" hidden="1" x14ac:dyDescent="0.35">
      <c r="A38" s="2">
        <f t="shared" si="0"/>
        <v>37</v>
      </c>
      <c r="B38" s="2" t="s">
        <v>940</v>
      </c>
      <c r="C38" s="2">
        <v>2025</v>
      </c>
      <c r="D38" s="2">
        <v>3</v>
      </c>
      <c r="E38" s="2"/>
      <c r="F38" s="39" t="s">
        <v>282</v>
      </c>
      <c r="G38" s="2">
        <f>DAY(EOMONTH(Spare[[#This Row],[Date]], 0))</f>
        <v>31</v>
      </c>
      <c r="H38" s="40">
        <v>45847</v>
      </c>
      <c r="I38" t="s">
        <v>941</v>
      </c>
      <c r="J38" s="6">
        <v>10</v>
      </c>
      <c r="K38" t="s">
        <v>36</v>
      </c>
      <c r="L38" t="s">
        <v>937</v>
      </c>
    </row>
    <row r="39" spans="1:12" hidden="1" x14ac:dyDescent="0.35">
      <c r="A39" s="2">
        <f t="shared" si="0"/>
        <v>38</v>
      </c>
      <c r="B39" s="2" t="s">
        <v>940</v>
      </c>
      <c r="C39" s="2">
        <v>2025</v>
      </c>
      <c r="D39" s="2">
        <v>3</v>
      </c>
      <c r="E39" s="2"/>
      <c r="F39" s="39" t="s">
        <v>282</v>
      </c>
      <c r="G39" s="2">
        <f>DAY(EOMONTH(Spare[[#This Row],[Date]], 0))</f>
        <v>31</v>
      </c>
      <c r="H39" s="40">
        <v>45847</v>
      </c>
      <c r="I39" t="s">
        <v>936</v>
      </c>
      <c r="J39" s="6">
        <v>460</v>
      </c>
      <c r="K39" t="s">
        <v>36</v>
      </c>
      <c r="L39" t="s">
        <v>937</v>
      </c>
    </row>
    <row r="40" spans="1:12" hidden="1" x14ac:dyDescent="0.35">
      <c r="A40" s="2">
        <f t="shared" si="0"/>
        <v>39</v>
      </c>
      <c r="B40" s="2" t="s">
        <v>940</v>
      </c>
      <c r="C40" s="2">
        <v>2025</v>
      </c>
      <c r="D40" s="2">
        <v>3</v>
      </c>
      <c r="E40" s="2"/>
      <c r="F40" s="39" t="s">
        <v>282</v>
      </c>
      <c r="G40" s="2">
        <f>DAY(EOMONTH(Spare[[#This Row],[Date]], 0))</f>
        <v>31</v>
      </c>
      <c r="H40" s="40">
        <v>45847</v>
      </c>
      <c r="I40" t="s">
        <v>942</v>
      </c>
      <c r="J40" s="6">
        <v>6</v>
      </c>
      <c r="K40" t="s">
        <v>36</v>
      </c>
      <c r="L40" t="s">
        <v>937</v>
      </c>
    </row>
    <row r="41" spans="1:12" hidden="1" x14ac:dyDescent="0.35">
      <c r="A41" s="2">
        <f t="shared" si="0"/>
        <v>40</v>
      </c>
      <c r="B41" s="2" t="s">
        <v>940</v>
      </c>
      <c r="C41" s="2">
        <v>2025</v>
      </c>
      <c r="D41" s="2">
        <v>3</v>
      </c>
      <c r="E41" s="2"/>
      <c r="F41" s="39" t="s">
        <v>282</v>
      </c>
      <c r="G41" s="2">
        <f>DAY(EOMONTH(Spare[[#This Row],[Date]], 0))</f>
        <v>31</v>
      </c>
      <c r="H41" s="40">
        <v>45850</v>
      </c>
      <c r="I41" t="s">
        <v>941</v>
      </c>
      <c r="J41" s="6">
        <v>2</v>
      </c>
      <c r="K41" t="s">
        <v>36</v>
      </c>
      <c r="L41" t="s">
        <v>937</v>
      </c>
    </row>
    <row r="42" spans="1:12" hidden="1" x14ac:dyDescent="0.35">
      <c r="A42" s="2">
        <f t="shared" si="0"/>
        <v>41</v>
      </c>
      <c r="B42" s="2" t="s">
        <v>940</v>
      </c>
      <c r="C42" s="2">
        <v>2025</v>
      </c>
      <c r="D42" s="2">
        <v>3</v>
      </c>
      <c r="E42" s="2"/>
      <c r="F42" s="39" t="s">
        <v>282</v>
      </c>
      <c r="G42" s="2">
        <f>DAY(EOMONTH(Spare[[#This Row],[Date]], 0))</f>
        <v>31</v>
      </c>
      <c r="H42" s="40">
        <v>45850</v>
      </c>
      <c r="I42" t="s">
        <v>936</v>
      </c>
      <c r="J42" s="6">
        <v>30</v>
      </c>
      <c r="K42" t="s">
        <v>36</v>
      </c>
      <c r="L42" t="s">
        <v>937</v>
      </c>
    </row>
    <row r="43" spans="1:12" hidden="1" x14ac:dyDescent="0.35">
      <c r="A43" s="2">
        <f t="shared" si="0"/>
        <v>42</v>
      </c>
      <c r="B43" s="2" t="s">
        <v>940</v>
      </c>
      <c r="C43" s="2">
        <v>2025</v>
      </c>
      <c r="D43" s="2">
        <v>3</v>
      </c>
      <c r="E43" s="2"/>
      <c r="F43" s="39" t="s">
        <v>282</v>
      </c>
      <c r="G43" s="2">
        <f>DAY(EOMONTH(Spare[[#This Row],[Date]], 0))</f>
        <v>31</v>
      </c>
      <c r="H43" s="40">
        <v>45851</v>
      </c>
      <c r="I43" t="s">
        <v>942</v>
      </c>
      <c r="J43" s="6">
        <v>4</v>
      </c>
      <c r="K43" t="s">
        <v>36</v>
      </c>
      <c r="L43" t="s">
        <v>937</v>
      </c>
    </row>
    <row r="44" spans="1:12" hidden="1" x14ac:dyDescent="0.35">
      <c r="A44" s="2">
        <f t="shared" si="0"/>
        <v>43</v>
      </c>
      <c r="B44" s="2" t="s">
        <v>940</v>
      </c>
      <c r="C44" s="2">
        <v>2025</v>
      </c>
      <c r="D44" s="2">
        <v>3</v>
      </c>
      <c r="E44" s="2"/>
      <c r="F44" s="39" t="s">
        <v>282</v>
      </c>
      <c r="G44" s="2">
        <f>DAY(EOMONTH(Spare[[#This Row],[Date]], 0))</f>
        <v>31</v>
      </c>
      <c r="H44" s="40">
        <v>45851</v>
      </c>
      <c r="I44" t="s">
        <v>941</v>
      </c>
      <c r="J44" s="6">
        <v>5</v>
      </c>
      <c r="K44" t="s">
        <v>36</v>
      </c>
      <c r="L44" t="s">
        <v>937</v>
      </c>
    </row>
    <row r="45" spans="1:12" hidden="1" x14ac:dyDescent="0.35">
      <c r="A45" s="2">
        <f t="shared" si="0"/>
        <v>44</v>
      </c>
      <c r="B45" s="2" t="s">
        <v>940</v>
      </c>
      <c r="C45" s="2">
        <v>2025</v>
      </c>
      <c r="D45" s="2">
        <v>3</v>
      </c>
      <c r="E45" s="2"/>
      <c r="F45" s="39" t="s">
        <v>282</v>
      </c>
      <c r="G45" s="2">
        <f>DAY(EOMONTH(Spare[[#This Row],[Date]], 0))</f>
        <v>31</v>
      </c>
      <c r="H45" s="40">
        <v>45851</v>
      </c>
      <c r="I45" t="s">
        <v>936</v>
      </c>
      <c r="J45" s="6">
        <v>390</v>
      </c>
      <c r="K45" t="s">
        <v>36</v>
      </c>
      <c r="L45" t="s">
        <v>937</v>
      </c>
    </row>
    <row r="46" spans="1:12" x14ac:dyDescent="0.35">
      <c r="A46" s="2">
        <f t="shared" si="0"/>
        <v>45</v>
      </c>
      <c r="B46" s="2" t="s">
        <v>940</v>
      </c>
      <c r="C46" s="2">
        <v>2025</v>
      </c>
      <c r="D46" s="2">
        <v>3</v>
      </c>
      <c r="E46" s="2"/>
      <c r="F46" s="39" t="s">
        <v>282</v>
      </c>
      <c r="G46" s="2">
        <f>DAY(EOMONTH(Spare[[#This Row],[Date]], 0))</f>
        <v>31</v>
      </c>
      <c r="H46" s="40">
        <v>45852</v>
      </c>
      <c r="I46" t="s">
        <v>943</v>
      </c>
      <c r="J46" s="6">
        <v>3</v>
      </c>
      <c r="K46" t="s">
        <v>36</v>
      </c>
      <c r="L46" t="s">
        <v>937</v>
      </c>
    </row>
    <row r="47" spans="1:12" x14ac:dyDescent="0.35">
      <c r="A47" s="2">
        <f t="shared" si="0"/>
        <v>46</v>
      </c>
      <c r="B47" s="2" t="s">
        <v>940</v>
      </c>
      <c r="C47" s="2">
        <v>2025</v>
      </c>
      <c r="D47" s="2">
        <v>3</v>
      </c>
      <c r="E47" s="2"/>
      <c r="F47" s="39" t="s">
        <v>282</v>
      </c>
      <c r="G47" s="2">
        <f>DAY(EOMONTH(Spare[[#This Row],[Date]], 0))</f>
        <v>31</v>
      </c>
      <c r="H47" s="40">
        <v>45852</v>
      </c>
      <c r="I47" t="s">
        <v>942</v>
      </c>
      <c r="J47" s="6">
        <v>10</v>
      </c>
      <c r="K47" t="s">
        <v>36</v>
      </c>
      <c r="L47" t="s">
        <v>937</v>
      </c>
    </row>
    <row r="48" spans="1:12" x14ac:dyDescent="0.35">
      <c r="A48" s="2">
        <f t="shared" si="0"/>
        <v>47</v>
      </c>
      <c r="B48" s="2" t="s">
        <v>940</v>
      </c>
      <c r="C48" s="2">
        <v>2025</v>
      </c>
      <c r="D48" s="2">
        <v>3</v>
      </c>
      <c r="E48" s="2"/>
      <c r="F48" s="39" t="s">
        <v>282</v>
      </c>
      <c r="G48" s="2">
        <f>DAY(EOMONTH(Spare[[#This Row],[Date]], 0))</f>
        <v>31</v>
      </c>
      <c r="H48" s="40">
        <v>45852</v>
      </c>
      <c r="I48" t="s">
        <v>941</v>
      </c>
      <c r="J48" s="6">
        <v>12</v>
      </c>
      <c r="K48" t="s">
        <v>36</v>
      </c>
      <c r="L48" t="s">
        <v>937</v>
      </c>
    </row>
    <row r="49" spans="1:12" x14ac:dyDescent="0.35">
      <c r="A49" s="2">
        <f t="shared" si="0"/>
        <v>48</v>
      </c>
      <c r="B49" s="2" t="s">
        <v>940</v>
      </c>
      <c r="C49" s="2">
        <v>2025</v>
      </c>
      <c r="D49" s="2">
        <v>3</v>
      </c>
      <c r="E49" s="2"/>
      <c r="F49" s="39" t="s">
        <v>282</v>
      </c>
      <c r="G49" s="2">
        <f>DAY(EOMONTH(Spare[[#This Row],[Date]], 0))</f>
        <v>31</v>
      </c>
      <c r="H49" s="40">
        <v>45852</v>
      </c>
      <c r="I49" t="s">
        <v>936</v>
      </c>
      <c r="J49" s="6">
        <v>430</v>
      </c>
      <c r="K49" t="s">
        <v>36</v>
      </c>
      <c r="L49" t="s">
        <v>937</v>
      </c>
    </row>
    <row r="50" spans="1:12" x14ac:dyDescent="0.35">
      <c r="A50" s="2">
        <f t="shared" si="0"/>
        <v>49</v>
      </c>
      <c r="B50" s="2" t="s">
        <v>940</v>
      </c>
      <c r="C50" s="2">
        <v>2025</v>
      </c>
      <c r="D50" s="2">
        <v>3</v>
      </c>
      <c r="E50" s="2"/>
      <c r="F50" s="39" t="s">
        <v>282</v>
      </c>
      <c r="G50" s="2">
        <f>DAY(EOMONTH(Spare[[#This Row],[Date]], 0))</f>
        <v>31</v>
      </c>
      <c r="H50" s="40">
        <v>45855</v>
      </c>
      <c r="I50" t="s">
        <v>943</v>
      </c>
      <c r="J50" s="6">
        <v>8</v>
      </c>
      <c r="K50" t="s">
        <v>36</v>
      </c>
      <c r="L50" t="s">
        <v>937</v>
      </c>
    </row>
    <row r="51" spans="1:12" x14ac:dyDescent="0.35">
      <c r="A51" s="2">
        <f t="shared" si="0"/>
        <v>50</v>
      </c>
      <c r="B51" s="2" t="s">
        <v>940</v>
      </c>
      <c r="C51" s="2">
        <v>2025</v>
      </c>
      <c r="D51" s="2">
        <v>3</v>
      </c>
      <c r="E51" s="2"/>
      <c r="F51" s="39" t="s">
        <v>282</v>
      </c>
      <c r="G51" s="2">
        <f>DAY(EOMONTH(Spare[[#This Row],[Date]], 0))</f>
        <v>31</v>
      </c>
      <c r="H51" s="40">
        <v>45855</v>
      </c>
      <c r="I51" t="s">
        <v>942</v>
      </c>
      <c r="J51" s="6">
        <v>12</v>
      </c>
      <c r="K51" t="s">
        <v>36</v>
      </c>
      <c r="L51" t="s">
        <v>937</v>
      </c>
    </row>
    <row r="52" spans="1:12" x14ac:dyDescent="0.35">
      <c r="A52" s="2">
        <f t="shared" si="0"/>
        <v>51</v>
      </c>
      <c r="B52" s="2" t="s">
        <v>940</v>
      </c>
      <c r="C52" s="2">
        <v>2025</v>
      </c>
      <c r="D52" s="2">
        <v>3</v>
      </c>
      <c r="E52" s="2"/>
      <c r="F52" s="39" t="s">
        <v>282</v>
      </c>
      <c r="G52" s="2">
        <f>DAY(EOMONTH(Spare[[#This Row],[Date]], 0))</f>
        <v>31</v>
      </c>
      <c r="H52" s="40">
        <v>45855</v>
      </c>
      <c r="I52" t="s">
        <v>941</v>
      </c>
      <c r="J52" s="6">
        <v>16</v>
      </c>
      <c r="K52" t="s">
        <v>36</v>
      </c>
      <c r="L52" t="s">
        <v>937</v>
      </c>
    </row>
    <row r="53" spans="1:12" x14ac:dyDescent="0.35">
      <c r="A53" s="2">
        <f t="shared" si="0"/>
        <v>52</v>
      </c>
      <c r="B53" s="2" t="s">
        <v>940</v>
      </c>
      <c r="C53" s="2">
        <v>2025</v>
      </c>
      <c r="D53" s="2">
        <v>3</v>
      </c>
      <c r="E53" s="2"/>
      <c r="F53" s="39" t="s">
        <v>282</v>
      </c>
      <c r="G53" s="2">
        <f>DAY(EOMONTH(Spare[[#This Row],[Date]], 0))</f>
        <v>31</v>
      </c>
      <c r="H53" s="40">
        <v>45855</v>
      </c>
      <c r="I53" t="s">
        <v>936</v>
      </c>
      <c r="J53" s="6">
        <v>680</v>
      </c>
      <c r="K53" t="s">
        <v>36</v>
      </c>
      <c r="L53" t="s">
        <v>937</v>
      </c>
    </row>
    <row r="54" spans="1:12" x14ac:dyDescent="0.35">
      <c r="A54" s="2">
        <f t="shared" si="0"/>
        <v>53</v>
      </c>
      <c r="B54" s="2" t="s">
        <v>940</v>
      </c>
      <c r="C54" s="2">
        <v>2025</v>
      </c>
      <c r="D54" s="2">
        <v>3</v>
      </c>
      <c r="E54" s="2"/>
      <c r="F54" s="39" t="s">
        <v>282</v>
      </c>
      <c r="G54" s="2">
        <f>DAY(EOMONTH(Spare[[#This Row],[Date]], 0))</f>
        <v>31</v>
      </c>
      <c r="H54" s="40">
        <v>45857</v>
      </c>
      <c r="I54" t="s">
        <v>943</v>
      </c>
      <c r="J54" s="6">
        <v>4</v>
      </c>
      <c r="K54" t="s">
        <v>36</v>
      </c>
      <c r="L54" t="s">
        <v>937</v>
      </c>
    </row>
    <row r="55" spans="1:12" x14ac:dyDescent="0.35">
      <c r="A55" s="2">
        <f t="shared" si="0"/>
        <v>54</v>
      </c>
      <c r="B55" s="2" t="s">
        <v>940</v>
      </c>
      <c r="C55" s="2">
        <v>2025</v>
      </c>
      <c r="D55" s="2">
        <v>3</v>
      </c>
      <c r="E55" s="2"/>
      <c r="F55" s="39" t="s">
        <v>282</v>
      </c>
      <c r="G55" s="2">
        <f>DAY(EOMONTH(Spare[[#This Row],[Date]], 0))</f>
        <v>31</v>
      </c>
      <c r="H55" s="40">
        <v>45857</v>
      </c>
      <c r="I55" t="s">
        <v>942</v>
      </c>
      <c r="J55" s="6">
        <v>2</v>
      </c>
      <c r="K55" t="s">
        <v>36</v>
      </c>
      <c r="L55" t="s">
        <v>937</v>
      </c>
    </row>
    <row r="56" spans="1:12" x14ac:dyDescent="0.35">
      <c r="A56" s="2">
        <f t="shared" si="0"/>
        <v>55</v>
      </c>
      <c r="B56" s="2" t="s">
        <v>940</v>
      </c>
      <c r="C56" s="2">
        <v>2025</v>
      </c>
      <c r="D56" s="2">
        <v>3</v>
      </c>
      <c r="E56" s="2"/>
      <c r="F56" s="39" t="s">
        <v>282</v>
      </c>
      <c r="G56" s="2">
        <f>DAY(EOMONTH(Spare[[#This Row],[Date]], 0))</f>
        <v>31</v>
      </c>
      <c r="H56" s="40">
        <v>45857</v>
      </c>
      <c r="I56" t="s">
        <v>941</v>
      </c>
      <c r="J56" s="6">
        <v>1</v>
      </c>
      <c r="K56" t="s">
        <v>36</v>
      </c>
      <c r="L56" t="s">
        <v>937</v>
      </c>
    </row>
    <row r="57" spans="1:12" x14ac:dyDescent="0.35">
      <c r="A57" s="2">
        <f t="shared" si="0"/>
        <v>56</v>
      </c>
      <c r="B57" s="2" t="s">
        <v>940</v>
      </c>
      <c r="C57" s="2">
        <v>2025</v>
      </c>
      <c r="D57" s="2">
        <v>3</v>
      </c>
      <c r="E57" s="2"/>
      <c r="F57" s="39" t="s">
        <v>282</v>
      </c>
      <c r="G57" s="2">
        <f>DAY(EOMONTH(Spare[[#This Row],[Date]], 0))</f>
        <v>31</v>
      </c>
      <c r="H57" s="40">
        <v>45859</v>
      </c>
      <c r="I57" t="s">
        <v>936</v>
      </c>
      <c r="J57" s="6">
        <v>560</v>
      </c>
      <c r="K57" t="s">
        <v>36</v>
      </c>
      <c r="L57" t="s">
        <v>937</v>
      </c>
    </row>
    <row r="58" spans="1:12" x14ac:dyDescent="0.35">
      <c r="A58" s="2">
        <f t="shared" si="0"/>
        <v>57</v>
      </c>
      <c r="B58" s="2" t="s">
        <v>940</v>
      </c>
      <c r="C58" s="2">
        <v>2025</v>
      </c>
      <c r="D58" s="2">
        <v>3</v>
      </c>
      <c r="E58" s="2"/>
      <c r="F58" s="39" t="s">
        <v>282</v>
      </c>
      <c r="G58" s="2">
        <f>DAY(EOMONTH(Spare[[#This Row],[Date]], 0))</f>
        <v>31</v>
      </c>
      <c r="H58" s="40">
        <v>45859</v>
      </c>
      <c r="I58" t="s">
        <v>943</v>
      </c>
      <c r="J58" s="6">
        <v>5</v>
      </c>
      <c r="K58" t="s">
        <v>36</v>
      </c>
      <c r="L58" t="s">
        <v>937</v>
      </c>
    </row>
    <row r="59" spans="1:12" x14ac:dyDescent="0.35">
      <c r="A59" s="2">
        <f t="shared" si="0"/>
        <v>58</v>
      </c>
      <c r="B59" s="2" t="s">
        <v>940</v>
      </c>
      <c r="C59" s="2">
        <v>2025</v>
      </c>
      <c r="D59" s="2">
        <v>3</v>
      </c>
      <c r="E59" s="2"/>
      <c r="F59" s="39" t="s">
        <v>282</v>
      </c>
      <c r="G59" s="2">
        <f>DAY(EOMONTH(Spare[[#This Row],[Date]], 0))</f>
        <v>31</v>
      </c>
      <c r="H59" s="40">
        <v>45859</v>
      </c>
      <c r="I59" t="s">
        <v>942</v>
      </c>
      <c r="J59" s="6">
        <v>8</v>
      </c>
      <c r="K59" t="s">
        <v>36</v>
      </c>
      <c r="L59" t="s">
        <v>937</v>
      </c>
    </row>
    <row r="60" spans="1:12" x14ac:dyDescent="0.35">
      <c r="A60" s="2">
        <f t="shared" si="0"/>
        <v>59</v>
      </c>
      <c r="B60" s="2" t="s">
        <v>940</v>
      </c>
      <c r="C60" s="2">
        <v>2025</v>
      </c>
      <c r="D60" s="2">
        <v>3</v>
      </c>
      <c r="E60" s="2"/>
      <c r="F60" s="39" t="s">
        <v>282</v>
      </c>
      <c r="G60" s="2">
        <f>DAY(EOMONTH(Spare[[#This Row],[Date]], 0))</f>
        <v>31</v>
      </c>
      <c r="H60" s="40">
        <v>45859</v>
      </c>
      <c r="I60" t="s">
        <v>941</v>
      </c>
      <c r="J60" s="6">
        <v>12</v>
      </c>
      <c r="K60" t="s">
        <v>36</v>
      </c>
      <c r="L60" t="s">
        <v>937</v>
      </c>
    </row>
    <row r="61" spans="1:12" x14ac:dyDescent="0.35">
      <c r="A61" s="2">
        <f t="shared" si="0"/>
        <v>60</v>
      </c>
      <c r="B61" s="2" t="s">
        <v>940</v>
      </c>
      <c r="C61" s="2">
        <v>2025</v>
      </c>
      <c r="D61" s="2">
        <v>3</v>
      </c>
      <c r="E61" s="2"/>
      <c r="F61" s="39" t="s">
        <v>282</v>
      </c>
      <c r="G61" s="2">
        <f>DAY(EOMONTH(Spare[[#This Row],[Date]], 0))</f>
        <v>31</v>
      </c>
      <c r="H61" s="40">
        <v>45868</v>
      </c>
      <c r="I61" t="s">
        <v>936</v>
      </c>
      <c r="J61" s="6">
        <v>430</v>
      </c>
      <c r="K61" t="s">
        <v>36</v>
      </c>
      <c r="L61" t="s">
        <v>937</v>
      </c>
    </row>
    <row r="62" spans="1:12" x14ac:dyDescent="0.35">
      <c r="A62" s="2">
        <f t="shared" si="0"/>
        <v>61</v>
      </c>
      <c r="B62" s="2" t="s">
        <v>940</v>
      </c>
      <c r="C62" s="2">
        <v>2025</v>
      </c>
      <c r="D62" s="2">
        <v>3</v>
      </c>
      <c r="E62" s="2"/>
      <c r="F62" s="39" t="s">
        <v>282</v>
      </c>
      <c r="G62" s="2">
        <f>DAY(EOMONTH(Spare[[#This Row],[Date]], 0))</f>
        <v>31</v>
      </c>
      <c r="H62" s="40">
        <v>45868</v>
      </c>
      <c r="I62" t="s">
        <v>943</v>
      </c>
      <c r="J62" s="6">
        <v>2</v>
      </c>
      <c r="K62" t="s">
        <v>36</v>
      </c>
      <c r="L62" t="s">
        <v>937</v>
      </c>
    </row>
    <row r="63" spans="1:12" hidden="1" x14ac:dyDescent="0.35">
      <c r="A63" s="2">
        <f t="shared" si="0"/>
        <v>62</v>
      </c>
      <c r="B63" s="2" t="s">
        <v>940</v>
      </c>
      <c r="C63" s="2">
        <v>2025</v>
      </c>
      <c r="D63" s="2">
        <v>3</v>
      </c>
      <c r="E63" s="2"/>
      <c r="F63" s="39" t="s">
        <v>282</v>
      </c>
      <c r="G63" s="2">
        <f>DAY(EOMONTH(Spare[[#This Row],[Date]], 0))</f>
        <v>31</v>
      </c>
      <c r="H63" s="40">
        <v>45868</v>
      </c>
      <c r="I63" t="s">
        <v>942</v>
      </c>
      <c r="J63" s="6">
        <v>6</v>
      </c>
      <c r="K63" t="s">
        <v>36</v>
      </c>
      <c r="L63" t="s">
        <v>937</v>
      </c>
    </row>
    <row r="64" spans="1:12" hidden="1" x14ac:dyDescent="0.35">
      <c r="A64" s="2">
        <f t="shared" si="0"/>
        <v>63</v>
      </c>
      <c r="B64" s="2" t="s">
        <v>940</v>
      </c>
      <c r="C64" s="2">
        <v>2025</v>
      </c>
      <c r="D64" s="2">
        <v>3</v>
      </c>
      <c r="E64" s="2"/>
      <c r="F64" s="39" t="s">
        <v>282</v>
      </c>
      <c r="G64" s="2">
        <f>DAY(EOMONTH(Spare[[#This Row],[Date]], 0))</f>
        <v>31</v>
      </c>
      <c r="H64" s="40">
        <v>45868</v>
      </c>
      <c r="I64" t="s">
        <v>941</v>
      </c>
      <c r="J64" s="6">
        <v>16</v>
      </c>
      <c r="K64" t="s">
        <v>36</v>
      </c>
      <c r="L64" t="s">
        <v>937</v>
      </c>
    </row>
    <row r="65" spans="1:12" hidden="1" x14ac:dyDescent="0.35">
      <c r="A65" s="2">
        <f t="shared" si="0"/>
        <v>64</v>
      </c>
      <c r="B65" s="2" t="s">
        <v>940</v>
      </c>
      <c r="C65" s="2">
        <v>2025</v>
      </c>
      <c r="D65" s="2">
        <v>3</v>
      </c>
      <c r="E65" s="2"/>
      <c r="F65" s="39" t="s">
        <v>282</v>
      </c>
      <c r="G65" s="2">
        <f>DAY(EOMONTH(Spare[[#This Row],[Date]], 0))</f>
        <v>31</v>
      </c>
      <c r="H65" s="40">
        <v>45868</v>
      </c>
      <c r="I65" t="s">
        <v>936</v>
      </c>
      <c r="J65" s="6">
        <v>220</v>
      </c>
      <c r="K65" t="s">
        <v>36</v>
      </c>
      <c r="L65" t="s">
        <v>937</v>
      </c>
    </row>
    <row r="66" spans="1:12" hidden="1" x14ac:dyDescent="0.35">
      <c r="A66" s="2">
        <f t="shared" si="0"/>
        <v>65</v>
      </c>
      <c r="B66" s="2" t="s">
        <v>940</v>
      </c>
      <c r="C66" s="2">
        <v>2025</v>
      </c>
      <c r="D66" s="2">
        <v>3</v>
      </c>
      <c r="E66" s="2"/>
      <c r="F66" s="39" t="s">
        <v>282</v>
      </c>
      <c r="G66" s="2">
        <f>DAY(EOMONTH(Spare[[#This Row],[Date]], 0))</f>
        <v>31</v>
      </c>
      <c r="H66" s="40">
        <v>45869</v>
      </c>
      <c r="I66" t="s">
        <v>941</v>
      </c>
      <c r="J66" s="6">
        <v>8</v>
      </c>
      <c r="K66" t="s">
        <v>36</v>
      </c>
      <c r="L66" t="s">
        <v>937</v>
      </c>
    </row>
    <row r="67" spans="1:12" hidden="1" x14ac:dyDescent="0.35">
      <c r="A67" s="2">
        <f t="shared" si="0"/>
        <v>66</v>
      </c>
      <c r="B67" s="2" t="s">
        <v>940</v>
      </c>
      <c r="C67" s="2">
        <v>2025</v>
      </c>
      <c r="D67" s="2">
        <v>3</v>
      </c>
      <c r="E67" s="2"/>
      <c r="F67" s="39" t="s">
        <v>282</v>
      </c>
      <c r="G67" s="2">
        <f>DAY(EOMONTH(Spare[[#This Row],[Date]], 0))</f>
        <v>31</v>
      </c>
      <c r="H67" s="40">
        <v>45869</v>
      </c>
      <c r="I67" t="s">
        <v>942</v>
      </c>
      <c r="J67" s="6">
        <v>4</v>
      </c>
      <c r="K67" t="s">
        <v>36</v>
      </c>
      <c r="L67" t="s">
        <v>937</v>
      </c>
    </row>
    <row r="68" spans="1:12" hidden="1" x14ac:dyDescent="0.35">
      <c r="A68" s="2">
        <f t="shared" ref="A68:A131" si="1">A67+1</f>
        <v>67</v>
      </c>
      <c r="B68" s="2"/>
      <c r="C68" s="2"/>
      <c r="D68" s="2"/>
      <c r="E68" s="2"/>
      <c r="F68" s="39"/>
      <c r="G68" s="2">
        <f>DAY(EOMONTH(Spare[[#This Row],[Date]], 0))</f>
        <v>31</v>
      </c>
      <c r="H68" s="40"/>
      <c r="J68" s="6"/>
    </row>
    <row r="69" spans="1:12" hidden="1" x14ac:dyDescent="0.35">
      <c r="A69" s="2">
        <f t="shared" si="1"/>
        <v>68</v>
      </c>
      <c r="B69" s="2"/>
      <c r="C69" s="2"/>
      <c r="D69" s="2"/>
      <c r="E69" s="2"/>
      <c r="F69" s="39"/>
      <c r="G69" s="2">
        <f>DAY(EOMONTH(Spare[[#This Row],[Date]], 0))</f>
        <v>31</v>
      </c>
      <c r="H69" s="40"/>
      <c r="J69" s="6"/>
    </row>
    <row r="70" spans="1:12" hidden="1" x14ac:dyDescent="0.35">
      <c r="A70" s="2">
        <f t="shared" si="1"/>
        <v>69</v>
      </c>
      <c r="B70" s="2"/>
      <c r="C70" s="2"/>
      <c r="D70" s="2"/>
      <c r="E70" s="2"/>
      <c r="F70" s="39"/>
      <c r="G70" s="2">
        <f>DAY(EOMONTH(Spare[[#This Row],[Date]], 0))</f>
        <v>31</v>
      </c>
      <c r="H70" s="40"/>
      <c r="J70" s="6"/>
    </row>
    <row r="71" spans="1:12" hidden="1" x14ac:dyDescent="0.35">
      <c r="A71" s="2">
        <f t="shared" si="1"/>
        <v>70</v>
      </c>
      <c r="B71" s="2"/>
      <c r="C71" s="2"/>
      <c r="D71" s="2"/>
      <c r="E71" s="2"/>
      <c r="F71" s="39"/>
      <c r="G71" s="2">
        <f>DAY(EOMONTH(Spare[[#This Row],[Date]], 0))</f>
        <v>31</v>
      </c>
      <c r="H71" s="40"/>
      <c r="J71" s="6"/>
    </row>
    <row r="72" spans="1:12" hidden="1" x14ac:dyDescent="0.35">
      <c r="A72" s="2">
        <f t="shared" si="1"/>
        <v>71</v>
      </c>
      <c r="B72" s="2"/>
      <c r="C72" s="2"/>
      <c r="D72" s="2"/>
      <c r="E72" s="2"/>
      <c r="F72" s="39"/>
      <c r="G72" s="2">
        <f>DAY(EOMONTH(Spare[[#This Row],[Date]], 0))</f>
        <v>31</v>
      </c>
      <c r="H72" s="40"/>
      <c r="J72" s="6"/>
    </row>
    <row r="73" spans="1:12" hidden="1" x14ac:dyDescent="0.35">
      <c r="A73" s="2">
        <f t="shared" si="1"/>
        <v>72</v>
      </c>
      <c r="B73" s="2"/>
      <c r="C73" s="2"/>
      <c r="D73" s="2"/>
      <c r="E73" s="2"/>
      <c r="F73" s="39"/>
      <c r="G73" s="2">
        <f>DAY(EOMONTH(Spare[[#This Row],[Date]], 0))</f>
        <v>31</v>
      </c>
      <c r="H73" s="40"/>
      <c r="J73" s="6"/>
    </row>
    <row r="74" spans="1:12" hidden="1" x14ac:dyDescent="0.35">
      <c r="A74" s="2">
        <f t="shared" si="1"/>
        <v>73</v>
      </c>
      <c r="B74" s="2"/>
      <c r="C74" s="2"/>
      <c r="D74" s="2"/>
      <c r="E74" s="2"/>
      <c r="F74" s="39"/>
      <c r="G74" s="2">
        <f>DAY(EOMONTH(Spare[[#This Row],[Date]], 0))</f>
        <v>31</v>
      </c>
      <c r="H74" s="40"/>
      <c r="J74" s="6"/>
    </row>
    <row r="75" spans="1:12" hidden="1" x14ac:dyDescent="0.35">
      <c r="A75" s="2">
        <f t="shared" si="1"/>
        <v>74</v>
      </c>
      <c r="B75" s="2"/>
      <c r="C75" s="2"/>
      <c r="D75" s="2"/>
      <c r="E75" s="2"/>
      <c r="F75" s="39"/>
      <c r="G75" s="2">
        <f>DAY(EOMONTH(Spare[[#This Row],[Date]], 0))</f>
        <v>31</v>
      </c>
      <c r="H75" s="40"/>
      <c r="J75" s="6"/>
    </row>
    <row r="76" spans="1:12" hidden="1" x14ac:dyDescent="0.35">
      <c r="A76" s="2">
        <f t="shared" si="1"/>
        <v>75</v>
      </c>
      <c r="B76" s="2"/>
      <c r="C76" s="2"/>
      <c r="D76" s="2"/>
      <c r="E76" s="2"/>
      <c r="F76" s="39"/>
      <c r="G76" s="2">
        <f>DAY(EOMONTH(Spare[[#This Row],[Date]], 0))</f>
        <v>31</v>
      </c>
      <c r="H76" s="40"/>
      <c r="J76" s="6"/>
    </row>
    <row r="77" spans="1:12" hidden="1" x14ac:dyDescent="0.35">
      <c r="A77" s="2">
        <f t="shared" si="1"/>
        <v>76</v>
      </c>
      <c r="B77" s="2"/>
      <c r="C77" s="2"/>
      <c r="D77" s="2"/>
      <c r="E77" s="2"/>
      <c r="F77" s="39"/>
      <c r="G77" s="2">
        <f>DAY(EOMONTH(Spare[[#This Row],[Date]], 0))</f>
        <v>31</v>
      </c>
      <c r="H77" s="40"/>
      <c r="J77" s="6"/>
    </row>
    <row r="78" spans="1:12" hidden="1" x14ac:dyDescent="0.35">
      <c r="A78" s="2">
        <f t="shared" si="1"/>
        <v>77</v>
      </c>
      <c r="B78" s="2"/>
      <c r="C78" s="2"/>
      <c r="D78" s="2"/>
      <c r="E78" s="2"/>
      <c r="F78" s="39"/>
      <c r="G78" s="2">
        <f>DAY(EOMONTH(Spare[[#This Row],[Date]], 0))</f>
        <v>31</v>
      </c>
      <c r="H78" s="40"/>
      <c r="J78" s="6"/>
    </row>
    <row r="79" spans="1:12" hidden="1" x14ac:dyDescent="0.35">
      <c r="A79" s="2">
        <f t="shared" si="1"/>
        <v>78</v>
      </c>
      <c r="B79" s="2"/>
      <c r="C79" s="2"/>
      <c r="D79" s="2"/>
      <c r="E79" s="2"/>
      <c r="F79" s="39"/>
      <c r="G79" s="2">
        <f>DAY(EOMONTH(Spare[[#This Row],[Date]], 0))</f>
        <v>31</v>
      </c>
      <c r="H79" s="40"/>
      <c r="J79" s="6"/>
    </row>
    <row r="80" spans="1:12" hidden="1" x14ac:dyDescent="0.35">
      <c r="A80" s="2">
        <f t="shared" si="1"/>
        <v>79</v>
      </c>
      <c r="B80" s="2"/>
      <c r="C80" s="2"/>
      <c r="D80" s="2"/>
      <c r="E80" s="2"/>
      <c r="F80" s="39"/>
      <c r="G80" s="2">
        <f>DAY(EOMONTH(Spare[[#This Row],[Date]], 0))</f>
        <v>31</v>
      </c>
      <c r="H80" s="40"/>
      <c r="J80" s="6"/>
    </row>
    <row r="81" spans="1:10" hidden="1" x14ac:dyDescent="0.35">
      <c r="A81" s="2">
        <f t="shared" si="1"/>
        <v>80</v>
      </c>
      <c r="B81" s="2"/>
      <c r="C81" s="2"/>
      <c r="D81" s="2"/>
      <c r="E81" s="2"/>
      <c r="F81" s="39"/>
      <c r="G81" s="2">
        <f>DAY(EOMONTH(Spare[[#This Row],[Date]], 0))</f>
        <v>31</v>
      </c>
      <c r="H81" s="40"/>
      <c r="J81" s="6"/>
    </row>
    <row r="82" spans="1:10" hidden="1" x14ac:dyDescent="0.35">
      <c r="A82" s="2">
        <f t="shared" si="1"/>
        <v>81</v>
      </c>
      <c r="B82" s="2"/>
      <c r="C82" s="2"/>
      <c r="D82" s="2"/>
      <c r="E82" s="2"/>
      <c r="F82" s="39"/>
      <c r="G82" s="2">
        <f>DAY(EOMONTH(Spare[[#This Row],[Date]], 0))</f>
        <v>31</v>
      </c>
      <c r="H82" s="40"/>
      <c r="J82" s="6"/>
    </row>
    <row r="83" spans="1:10" hidden="1" x14ac:dyDescent="0.35">
      <c r="A83" s="2">
        <f t="shared" si="1"/>
        <v>82</v>
      </c>
      <c r="B83" s="2"/>
      <c r="C83" s="2"/>
      <c r="D83" s="2"/>
      <c r="E83" s="2"/>
      <c r="F83" s="39"/>
      <c r="G83" s="2">
        <f>DAY(EOMONTH(Spare[[#This Row],[Date]], 0))</f>
        <v>31</v>
      </c>
      <c r="H83" s="40"/>
      <c r="J83" s="6"/>
    </row>
    <row r="84" spans="1:10" hidden="1" x14ac:dyDescent="0.35">
      <c r="A84" s="2">
        <f t="shared" si="1"/>
        <v>83</v>
      </c>
      <c r="B84" s="2"/>
      <c r="C84" s="2"/>
      <c r="D84" s="2"/>
      <c r="E84" s="2"/>
      <c r="F84" s="39"/>
      <c r="G84" s="2">
        <f>DAY(EOMONTH(Spare[[#This Row],[Date]], 0))</f>
        <v>31</v>
      </c>
      <c r="H84" s="40"/>
      <c r="J84" s="6"/>
    </row>
    <row r="85" spans="1:10" hidden="1" x14ac:dyDescent="0.35">
      <c r="A85" s="2">
        <f t="shared" si="1"/>
        <v>84</v>
      </c>
      <c r="B85" s="2"/>
      <c r="C85" s="2"/>
      <c r="D85" s="2"/>
      <c r="E85" s="2"/>
      <c r="F85" s="39"/>
      <c r="G85" s="2">
        <f>DAY(EOMONTH(Spare[[#This Row],[Date]], 0))</f>
        <v>31</v>
      </c>
      <c r="H85" s="40"/>
      <c r="J85" s="6"/>
    </row>
    <row r="86" spans="1:10" hidden="1" x14ac:dyDescent="0.35">
      <c r="A86" s="2">
        <f t="shared" si="1"/>
        <v>85</v>
      </c>
      <c r="B86" s="2"/>
      <c r="C86" s="2"/>
      <c r="D86" s="2"/>
      <c r="E86" s="2"/>
      <c r="F86" s="39"/>
      <c r="G86" s="2">
        <f>DAY(EOMONTH(Spare[[#This Row],[Date]], 0))</f>
        <v>31</v>
      </c>
      <c r="H86" s="40"/>
      <c r="J86" s="6"/>
    </row>
    <row r="87" spans="1:10" hidden="1" x14ac:dyDescent="0.35">
      <c r="A87" s="2">
        <f t="shared" si="1"/>
        <v>86</v>
      </c>
      <c r="B87" s="2"/>
      <c r="C87" s="2"/>
      <c r="D87" s="2"/>
      <c r="E87" s="2"/>
      <c r="F87" s="39"/>
      <c r="G87" s="2">
        <f>DAY(EOMONTH(Spare[[#This Row],[Date]], 0))</f>
        <v>31</v>
      </c>
      <c r="H87" s="40"/>
      <c r="J87" s="6"/>
    </row>
    <row r="88" spans="1:10" hidden="1" x14ac:dyDescent="0.35">
      <c r="A88" s="2">
        <f t="shared" si="1"/>
        <v>87</v>
      </c>
      <c r="B88" s="2"/>
      <c r="C88" s="2"/>
      <c r="D88" s="2"/>
      <c r="E88" s="2"/>
      <c r="F88" s="39"/>
      <c r="G88" s="2">
        <f>DAY(EOMONTH(Spare[[#This Row],[Date]], 0))</f>
        <v>31</v>
      </c>
      <c r="H88" s="40"/>
      <c r="J88" s="6"/>
    </row>
    <row r="89" spans="1:10" hidden="1" x14ac:dyDescent="0.35">
      <c r="A89" s="2">
        <f t="shared" si="1"/>
        <v>88</v>
      </c>
      <c r="B89" s="2"/>
      <c r="C89" s="2"/>
      <c r="D89" s="2"/>
      <c r="E89" s="2"/>
      <c r="F89" s="39"/>
      <c r="G89" s="2">
        <f>DAY(EOMONTH(Spare[[#This Row],[Date]], 0))</f>
        <v>31</v>
      </c>
      <c r="H89" s="40"/>
      <c r="J89" s="6"/>
    </row>
    <row r="90" spans="1:10" hidden="1" x14ac:dyDescent="0.35">
      <c r="A90" s="2">
        <f t="shared" si="1"/>
        <v>89</v>
      </c>
      <c r="B90" s="2"/>
      <c r="C90" s="2"/>
      <c r="D90" s="2"/>
      <c r="E90" s="2"/>
      <c r="F90" s="39"/>
      <c r="G90" s="2">
        <f>DAY(EOMONTH(Spare[[#This Row],[Date]], 0))</f>
        <v>31</v>
      </c>
      <c r="H90" s="40"/>
      <c r="J90" s="6"/>
    </row>
    <row r="91" spans="1:10" hidden="1" x14ac:dyDescent="0.35">
      <c r="A91" s="2">
        <f t="shared" si="1"/>
        <v>90</v>
      </c>
      <c r="B91" s="2"/>
      <c r="C91" s="2"/>
      <c r="D91" s="2"/>
      <c r="E91" s="2"/>
      <c r="F91" s="39"/>
      <c r="G91" s="2">
        <f>DAY(EOMONTH(Spare[[#This Row],[Date]], 0))</f>
        <v>31</v>
      </c>
      <c r="H91" s="40"/>
      <c r="J91" s="6"/>
    </row>
    <row r="92" spans="1:10" hidden="1" x14ac:dyDescent="0.35">
      <c r="A92" s="2">
        <f t="shared" si="1"/>
        <v>91</v>
      </c>
      <c r="B92" s="2"/>
      <c r="C92" s="2"/>
      <c r="D92" s="2"/>
      <c r="E92" s="2"/>
      <c r="F92" s="39"/>
      <c r="G92" s="2">
        <f>DAY(EOMONTH(Spare[[#This Row],[Date]], 0))</f>
        <v>31</v>
      </c>
      <c r="H92" s="40"/>
      <c r="J92" s="6"/>
    </row>
    <row r="93" spans="1:10" hidden="1" x14ac:dyDescent="0.35">
      <c r="A93" s="2">
        <f t="shared" si="1"/>
        <v>92</v>
      </c>
      <c r="B93" s="2"/>
      <c r="C93" s="2"/>
      <c r="D93" s="2"/>
      <c r="E93" s="2"/>
      <c r="F93" s="39"/>
      <c r="G93" s="2">
        <f>DAY(EOMONTH(Spare[[#This Row],[Date]], 0))</f>
        <v>31</v>
      </c>
      <c r="H93" s="40"/>
      <c r="J93" s="6"/>
    </row>
    <row r="94" spans="1:10" hidden="1" x14ac:dyDescent="0.35">
      <c r="A94" s="2">
        <f t="shared" si="1"/>
        <v>93</v>
      </c>
      <c r="B94" s="2"/>
      <c r="C94" s="2"/>
      <c r="D94" s="2"/>
      <c r="E94" s="2"/>
      <c r="F94" s="39"/>
      <c r="G94" s="2">
        <f>DAY(EOMONTH(Spare[[#This Row],[Date]], 0))</f>
        <v>31</v>
      </c>
      <c r="H94" s="40"/>
      <c r="J94" s="6"/>
    </row>
    <row r="95" spans="1:10" hidden="1" x14ac:dyDescent="0.35">
      <c r="A95" s="2">
        <f t="shared" si="1"/>
        <v>94</v>
      </c>
      <c r="B95" s="2"/>
      <c r="C95" s="2"/>
      <c r="D95" s="2"/>
      <c r="E95" s="2"/>
      <c r="F95" s="39"/>
      <c r="G95" s="2">
        <f>DAY(EOMONTH(Spare[[#This Row],[Date]], 0))</f>
        <v>31</v>
      </c>
      <c r="H95" s="40"/>
      <c r="J95" s="6"/>
    </row>
    <row r="96" spans="1:10" hidden="1" x14ac:dyDescent="0.35">
      <c r="A96" s="2">
        <f t="shared" si="1"/>
        <v>95</v>
      </c>
      <c r="B96" s="2"/>
      <c r="C96" s="2"/>
      <c r="D96" s="2"/>
      <c r="E96" s="2"/>
      <c r="F96" s="39"/>
      <c r="G96" s="2">
        <f>DAY(EOMONTH(Spare[[#This Row],[Date]], 0))</f>
        <v>31</v>
      </c>
      <c r="H96" s="40"/>
      <c r="J96" s="6"/>
    </row>
    <row r="97" spans="1:10" hidden="1" x14ac:dyDescent="0.35">
      <c r="A97" s="2">
        <f t="shared" si="1"/>
        <v>96</v>
      </c>
      <c r="B97" s="2"/>
      <c r="C97" s="2"/>
      <c r="D97" s="2"/>
      <c r="E97" s="2"/>
      <c r="F97" s="39"/>
      <c r="G97" s="2">
        <f>DAY(EOMONTH(Spare[[#This Row],[Date]], 0))</f>
        <v>31</v>
      </c>
      <c r="H97" s="40"/>
      <c r="J97" s="6"/>
    </row>
    <row r="98" spans="1:10" hidden="1" x14ac:dyDescent="0.35">
      <c r="A98" s="2">
        <f t="shared" si="1"/>
        <v>97</v>
      </c>
      <c r="B98" s="2"/>
      <c r="C98" s="2"/>
      <c r="D98" s="2"/>
      <c r="E98" s="2"/>
      <c r="F98" s="39"/>
      <c r="G98" s="2">
        <f>DAY(EOMONTH(Spare[[#This Row],[Date]], 0))</f>
        <v>31</v>
      </c>
      <c r="H98" s="40"/>
      <c r="J98" s="6"/>
    </row>
    <row r="99" spans="1:10" hidden="1" x14ac:dyDescent="0.35">
      <c r="A99" s="2">
        <f t="shared" si="1"/>
        <v>98</v>
      </c>
      <c r="B99" s="2"/>
      <c r="C99" s="2"/>
      <c r="D99" s="2"/>
      <c r="E99" s="2"/>
      <c r="F99" s="39"/>
      <c r="G99" s="2">
        <f>DAY(EOMONTH(Spare[[#This Row],[Date]], 0))</f>
        <v>31</v>
      </c>
      <c r="H99" s="40"/>
      <c r="J99" s="6"/>
    </row>
    <row r="100" spans="1:10" hidden="1" x14ac:dyDescent="0.35">
      <c r="A100" s="2">
        <f t="shared" si="1"/>
        <v>99</v>
      </c>
      <c r="B100" s="2"/>
      <c r="C100" s="2"/>
      <c r="D100" s="2"/>
      <c r="E100" s="2"/>
      <c r="F100" s="39"/>
      <c r="G100" s="2">
        <f>DAY(EOMONTH(Spare[[#This Row],[Date]], 0))</f>
        <v>31</v>
      </c>
      <c r="H100" s="40"/>
      <c r="J100" s="6"/>
    </row>
    <row r="101" spans="1:10" hidden="1" x14ac:dyDescent="0.35">
      <c r="A101" s="2">
        <f t="shared" si="1"/>
        <v>100</v>
      </c>
      <c r="B101" s="2"/>
      <c r="C101" s="2"/>
      <c r="D101" s="2"/>
      <c r="E101" s="2"/>
      <c r="F101" s="39"/>
      <c r="G101" s="2">
        <f>DAY(EOMONTH(Spare[[#This Row],[Date]], 0))</f>
        <v>31</v>
      </c>
      <c r="H101" s="40"/>
      <c r="J101" s="6"/>
    </row>
    <row r="102" spans="1:10" hidden="1" x14ac:dyDescent="0.35">
      <c r="A102" s="2">
        <f t="shared" si="1"/>
        <v>101</v>
      </c>
      <c r="B102" s="2"/>
      <c r="C102" s="2"/>
      <c r="D102" s="2"/>
      <c r="E102" s="2"/>
      <c r="F102" s="39"/>
      <c r="G102" s="2">
        <f>DAY(EOMONTH(Spare[[#This Row],[Date]], 0))</f>
        <v>31</v>
      </c>
      <c r="H102" s="40"/>
      <c r="J102" s="6"/>
    </row>
    <row r="103" spans="1:10" hidden="1" x14ac:dyDescent="0.35">
      <c r="A103" s="2">
        <f t="shared" si="1"/>
        <v>102</v>
      </c>
      <c r="B103" s="2"/>
      <c r="C103" s="2"/>
      <c r="D103" s="2"/>
      <c r="E103" s="2"/>
      <c r="F103" s="39"/>
      <c r="G103" s="2">
        <f>DAY(EOMONTH(Spare[[#This Row],[Date]], 0))</f>
        <v>31</v>
      </c>
      <c r="H103" s="40"/>
      <c r="J103" s="6"/>
    </row>
    <row r="104" spans="1:10" hidden="1" x14ac:dyDescent="0.35">
      <c r="A104" s="2">
        <f t="shared" si="1"/>
        <v>103</v>
      </c>
      <c r="B104" s="2"/>
      <c r="C104" s="2"/>
      <c r="D104" s="2"/>
      <c r="E104" s="2"/>
      <c r="F104" s="39"/>
      <c r="G104" s="2">
        <f>DAY(EOMONTH(Spare[[#This Row],[Date]], 0))</f>
        <v>31</v>
      </c>
      <c r="H104" s="40"/>
      <c r="J104" s="6"/>
    </row>
    <row r="105" spans="1:10" hidden="1" x14ac:dyDescent="0.35">
      <c r="A105" s="2">
        <f t="shared" si="1"/>
        <v>104</v>
      </c>
      <c r="B105" s="2"/>
      <c r="C105" s="2"/>
      <c r="D105" s="2"/>
      <c r="E105" s="2"/>
      <c r="F105" s="39"/>
      <c r="G105" s="2">
        <f>DAY(EOMONTH(Spare[[#This Row],[Date]], 0))</f>
        <v>31</v>
      </c>
      <c r="H105" s="40"/>
      <c r="J105" s="6"/>
    </row>
    <row r="106" spans="1:10" hidden="1" x14ac:dyDescent="0.35">
      <c r="A106" s="2">
        <f t="shared" si="1"/>
        <v>105</v>
      </c>
      <c r="B106" s="2"/>
      <c r="C106" s="2"/>
      <c r="D106" s="2"/>
      <c r="E106" s="2"/>
      <c r="F106" s="39"/>
      <c r="G106" s="2">
        <f>DAY(EOMONTH(Spare[[#This Row],[Date]], 0))</f>
        <v>31</v>
      </c>
      <c r="H106" s="40"/>
      <c r="J106" s="6"/>
    </row>
    <row r="107" spans="1:10" hidden="1" x14ac:dyDescent="0.35">
      <c r="A107" s="2">
        <f t="shared" si="1"/>
        <v>106</v>
      </c>
      <c r="B107" s="2"/>
      <c r="C107" s="2"/>
      <c r="D107" s="2"/>
      <c r="E107" s="2"/>
      <c r="F107" s="39"/>
      <c r="G107" s="2">
        <f>DAY(EOMONTH(Spare[[#This Row],[Date]], 0))</f>
        <v>31</v>
      </c>
      <c r="H107" s="40"/>
      <c r="J107" s="6"/>
    </row>
    <row r="108" spans="1:10" hidden="1" x14ac:dyDescent="0.35">
      <c r="A108" s="2">
        <f t="shared" si="1"/>
        <v>107</v>
      </c>
      <c r="B108" s="2"/>
      <c r="C108" s="2"/>
      <c r="D108" s="2"/>
      <c r="E108" s="2"/>
      <c r="F108" s="39"/>
      <c r="G108" s="2">
        <f>DAY(EOMONTH(Spare[[#This Row],[Date]], 0))</f>
        <v>31</v>
      </c>
      <c r="H108" s="40"/>
      <c r="J108" s="6"/>
    </row>
    <row r="109" spans="1:10" hidden="1" x14ac:dyDescent="0.35">
      <c r="A109" s="2">
        <f t="shared" si="1"/>
        <v>108</v>
      </c>
      <c r="B109" s="2"/>
      <c r="C109" s="2"/>
      <c r="D109" s="2"/>
      <c r="E109" s="2"/>
      <c r="F109" s="39"/>
      <c r="G109" s="2">
        <f>DAY(EOMONTH(Spare[[#This Row],[Date]], 0))</f>
        <v>31</v>
      </c>
      <c r="H109" s="40"/>
      <c r="J109" s="6"/>
    </row>
    <row r="110" spans="1:10" hidden="1" x14ac:dyDescent="0.35">
      <c r="A110" s="2">
        <f t="shared" si="1"/>
        <v>109</v>
      </c>
      <c r="B110" s="2"/>
      <c r="C110" s="2"/>
      <c r="D110" s="2"/>
      <c r="E110" s="2"/>
      <c r="F110" s="39"/>
      <c r="G110" s="2">
        <f>DAY(EOMONTH(Spare[[#This Row],[Date]], 0))</f>
        <v>31</v>
      </c>
      <c r="H110" s="40"/>
      <c r="J110" s="6"/>
    </row>
    <row r="111" spans="1:10" hidden="1" x14ac:dyDescent="0.35">
      <c r="A111" s="2">
        <f t="shared" si="1"/>
        <v>110</v>
      </c>
      <c r="B111" s="2"/>
      <c r="C111" s="2"/>
      <c r="D111" s="2"/>
      <c r="E111" s="2"/>
      <c r="F111" s="39"/>
      <c r="G111" s="2">
        <f>DAY(EOMONTH(Spare[[#This Row],[Date]], 0))</f>
        <v>31</v>
      </c>
      <c r="H111" s="40"/>
      <c r="J111" s="6"/>
    </row>
    <row r="112" spans="1:10" hidden="1" x14ac:dyDescent="0.35">
      <c r="A112" s="2">
        <f t="shared" si="1"/>
        <v>111</v>
      </c>
      <c r="B112" s="2"/>
      <c r="C112" s="2"/>
      <c r="D112" s="2"/>
      <c r="E112" s="2"/>
      <c r="F112" s="39"/>
      <c r="G112" s="2">
        <f>DAY(EOMONTH(Spare[[#This Row],[Date]], 0))</f>
        <v>31</v>
      </c>
      <c r="H112" s="40"/>
      <c r="J112" s="6"/>
    </row>
    <row r="113" spans="1:10" hidden="1" x14ac:dyDescent="0.35">
      <c r="A113" s="2">
        <f t="shared" si="1"/>
        <v>112</v>
      </c>
      <c r="B113" s="2"/>
      <c r="C113" s="2"/>
      <c r="D113" s="2"/>
      <c r="E113" s="2"/>
      <c r="F113" s="39"/>
      <c r="G113" s="2">
        <f>DAY(EOMONTH(Spare[[#This Row],[Date]], 0))</f>
        <v>31</v>
      </c>
      <c r="H113" s="40"/>
      <c r="J113" s="6"/>
    </row>
    <row r="114" spans="1:10" hidden="1" x14ac:dyDescent="0.35">
      <c r="A114" s="2">
        <f t="shared" si="1"/>
        <v>113</v>
      </c>
      <c r="B114" s="2"/>
      <c r="C114" s="2"/>
      <c r="D114" s="2"/>
      <c r="E114" s="2"/>
      <c r="F114" s="39"/>
      <c r="G114" s="2">
        <f>DAY(EOMONTH(Spare[[#This Row],[Date]], 0))</f>
        <v>31</v>
      </c>
      <c r="H114" s="40"/>
      <c r="J114" s="6"/>
    </row>
    <row r="115" spans="1:10" hidden="1" x14ac:dyDescent="0.35">
      <c r="A115" s="2">
        <f t="shared" si="1"/>
        <v>114</v>
      </c>
      <c r="B115" s="2"/>
      <c r="C115" s="2"/>
      <c r="D115" s="2"/>
      <c r="E115" s="2"/>
      <c r="F115" s="39"/>
      <c r="G115" s="2">
        <f>DAY(EOMONTH(Spare[[#This Row],[Date]], 0))</f>
        <v>31</v>
      </c>
      <c r="H115" s="40"/>
      <c r="J115" s="6"/>
    </row>
    <row r="116" spans="1:10" hidden="1" x14ac:dyDescent="0.35">
      <c r="A116" s="2">
        <f t="shared" si="1"/>
        <v>115</v>
      </c>
      <c r="B116" s="2"/>
      <c r="C116" s="2"/>
      <c r="D116" s="2"/>
      <c r="E116" s="2"/>
      <c r="F116" s="39"/>
      <c r="G116" s="2">
        <f>DAY(EOMONTH(Spare[[#This Row],[Date]], 0))</f>
        <v>31</v>
      </c>
      <c r="H116" s="40"/>
      <c r="J116" s="6"/>
    </row>
    <row r="117" spans="1:10" hidden="1" x14ac:dyDescent="0.35">
      <c r="A117" s="2">
        <f t="shared" si="1"/>
        <v>116</v>
      </c>
      <c r="B117" s="2"/>
      <c r="C117" s="2"/>
      <c r="D117" s="2"/>
      <c r="E117" s="2"/>
      <c r="F117" s="39"/>
      <c r="G117" s="2">
        <f>DAY(EOMONTH(Spare[[#This Row],[Date]], 0))</f>
        <v>31</v>
      </c>
      <c r="H117" s="40"/>
      <c r="J117" s="6"/>
    </row>
    <row r="118" spans="1:10" hidden="1" x14ac:dyDescent="0.35">
      <c r="A118" s="2">
        <f t="shared" si="1"/>
        <v>117</v>
      </c>
      <c r="B118" s="2"/>
      <c r="C118" s="2"/>
      <c r="D118" s="2"/>
      <c r="E118" s="2"/>
      <c r="F118" s="39"/>
      <c r="G118" s="2">
        <f>DAY(EOMONTH(Spare[[#This Row],[Date]], 0))</f>
        <v>31</v>
      </c>
      <c r="H118" s="40"/>
      <c r="J118" s="6"/>
    </row>
    <row r="119" spans="1:10" hidden="1" x14ac:dyDescent="0.35">
      <c r="A119" s="2">
        <f t="shared" si="1"/>
        <v>118</v>
      </c>
      <c r="B119" s="2"/>
      <c r="C119" s="2"/>
      <c r="D119" s="2"/>
      <c r="E119" s="2"/>
      <c r="F119" s="39"/>
      <c r="G119" s="2">
        <f>DAY(EOMONTH(Spare[[#This Row],[Date]], 0))</f>
        <v>31</v>
      </c>
      <c r="H119" s="40"/>
      <c r="J119" s="6"/>
    </row>
    <row r="120" spans="1:10" hidden="1" x14ac:dyDescent="0.35">
      <c r="A120" s="2">
        <f t="shared" si="1"/>
        <v>119</v>
      </c>
      <c r="B120" s="2"/>
      <c r="C120" s="2"/>
      <c r="D120" s="2"/>
      <c r="E120" s="2"/>
      <c r="F120" s="39"/>
      <c r="G120" s="2">
        <f>DAY(EOMONTH(Spare[[#This Row],[Date]], 0))</f>
        <v>31</v>
      </c>
      <c r="H120" s="40"/>
      <c r="J120" s="6"/>
    </row>
    <row r="121" spans="1:10" hidden="1" x14ac:dyDescent="0.35">
      <c r="A121" s="2">
        <f t="shared" si="1"/>
        <v>120</v>
      </c>
      <c r="B121" s="2"/>
      <c r="C121" s="2"/>
      <c r="D121" s="2"/>
      <c r="E121" s="2"/>
      <c r="F121" s="39"/>
      <c r="G121" s="2">
        <f>DAY(EOMONTH(Spare[[#This Row],[Date]], 0))</f>
        <v>31</v>
      </c>
      <c r="H121" s="40"/>
      <c r="J121" s="6"/>
    </row>
    <row r="122" spans="1:10" hidden="1" x14ac:dyDescent="0.35">
      <c r="A122" s="2">
        <f t="shared" si="1"/>
        <v>121</v>
      </c>
      <c r="B122" s="2"/>
      <c r="C122" s="2"/>
      <c r="D122" s="2"/>
      <c r="E122" s="2"/>
      <c r="F122" s="39"/>
      <c r="G122" s="2">
        <f>DAY(EOMONTH(Spare[[#This Row],[Date]], 0))</f>
        <v>31</v>
      </c>
      <c r="H122" s="40"/>
      <c r="J122" s="6"/>
    </row>
    <row r="123" spans="1:10" hidden="1" x14ac:dyDescent="0.35">
      <c r="A123" s="2">
        <f t="shared" si="1"/>
        <v>122</v>
      </c>
      <c r="B123" s="2"/>
      <c r="C123" s="2"/>
      <c r="D123" s="2"/>
      <c r="E123" s="2"/>
      <c r="F123" s="39"/>
      <c r="G123" s="2">
        <f>DAY(EOMONTH(Spare[[#This Row],[Date]], 0))</f>
        <v>31</v>
      </c>
      <c r="H123" s="40"/>
      <c r="J123" s="6"/>
    </row>
    <row r="124" spans="1:10" hidden="1" x14ac:dyDescent="0.35">
      <c r="A124" s="2">
        <f t="shared" si="1"/>
        <v>123</v>
      </c>
      <c r="B124" s="2"/>
      <c r="C124" s="2"/>
      <c r="D124" s="2"/>
      <c r="E124" s="2"/>
      <c r="F124" s="39"/>
      <c r="G124" s="2">
        <f>DAY(EOMONTH(Spare[[#This Row],[Date]], 0))</f>
        <v>31</v>
      </c>
      <c r="H124" s="40"/>
      <c r="J124" s="6"/>
    </row>
    <row r="125" spans="1:10" hidden="1" x14ac:dyDescent="0.35">
      <c r="A125" s="2">
        <f t="shared" si="1"/>
        <v>124</v>
      </c>
      <c r="B125" s="2"/>
      <c r="C125" s="2"/>
      <c r="D125" s="2"/>
      <c r="E125" s="2"/>
      <c r="F125" s="39"/>
      <c r="G125" s="2">
        <f>DAY(EOMONTH(Spare[[#This Row],[Date]], 0))</f>
        <v>31</v>
      </c>
      <c r="H125" s="40"/>
      <c r="J125" s="6"/>
    </row>
    <row r="126" spans="1:10" hidden="1" x14ac:dyDescent="0.35">
      <c r="A126" s="2">
        <f t="shared" si="1"/>
        <v>125</v>
      </c>
      <c r="B126" s="2"/>
      <c r="C126" s="2"/>
      <c r="D126" s="2"/>
      <c r="E126" s="2"/>
      <c r="F126" s="39"/>
      <c r="G126" s="2">
        <f>DAY(EOMONTH(Spare[[#This Row],[Date]], 0))</f>
        <v>31</v>
      </c>
      <c r="H126" s="40"/>
      <c r="J126" s="6"/>
    </row>
    <row r="127" spans="1:10" hidden="1" x14ac:dyDescent="0.35">
      <c r="A127" s="2">
        <f t="shared" si="1"/>
        <v>126</v>
      </c>
      <c r="B127" s="2"/>
      <c r="C127" s="2"/>
      <c r="D127" s="2"/>
      <c r="E127" s="2"/>
      <c r="F127" s="39"/>
      <c r="G127" s="2">
        <f>DAY(EOMONTH(Spare[[#This Row],[Date]], 0))</f>
        <v>31</v>
      </c>
      <c r="H127" s="40"/>
      <c r="J127" s="6"/>
    </row>
    <row r="128" spans="1:10" hidden="1" x14ac:dyDescent="0.35">
      <c r="A128" s="2">
        <f t="shared" si="1"/>
        <v>127</v>
      </c>
      <c r="B128" s="2"/>
      <c r="C128" s="2"/>
      <c r="D128" s="2"/>
      <c r="E128" s="2"/>
      <c r="F128" s="39"/>
      <c r="G128" s="2">
        <f>DAY(EOMONTH(Spare[[#This Row],[Date]], 0))</f>
        <v>31</v>
      </c>
      <c r="H128" s="40"/>
      <c r="J128" s="6"/>
    </row>
    <row r="129" spans="1:10" hidden="1" x14ac:dyDescent="0.35">
      <c r="A129" s="2">
        <f t="shared" si="1"/>
        <v>128</v>
      </c>
      <c r="B129" s="2"/>
      <c r="C129" s="2"/>
      <c r="D129" s="2"/>
      <c r="E129" s="2"/>
      <c r="F129" s="39"/>
      <c r="G129" s="2">
        <f>DAY(EOMONTH(Spare[[#This Row],[Date]], 0))</f>
        <v>31</v>
      </c>
      <c r="H129" s="40"/>
      <c r="J129" s="6"/>
    </row>
    <row r="130" spans="1:10" hidden="1" x14ac:dyDescent="0.35">
      <c r="A130" s="2">
        <f t="shared" si="1"/>
        <v>129</v>
      </c>
      <c r="B130" s="2"/>
      <c r="C130" s="2"/>
      <c r="D130" s="2"/>
      <c r="E130" s="2"/>
      <c r="F130" s="39"/>
      <c r="G130" s="2">
        <f>DAY(EOMONTH(Spare[[#This Row],[Date]], 0))</f>
        <v>31</v>
      </c>
      <c r="H130" s="40"/>
      <c r="J130" s="6"/>
    </row>
    <row r="131" spans="1:10" hidden="1" x14ac:dyDescent="0.35">
      <c r="A131" s="2">
        <f t="shared" si="1"/>
        <v>130</v>
      </c>
      <c r="B131" s="2"/>
      <c r="C131" s="2"/>
      <c r="D131" s="2"/>
      <c r="E131" s="2"/>
      <c r="F131" s="39"/>
      <c r="G131" s="2">
        <f>DAY(EOMONTH(Spare[[#This Row],[Date]], 0))</f>
        <v>31</v>
      </c>
      <c r="H131" s="40"/>
      <c r="J131" s="6"/>
    </row>
    <row r="132" spans="1:10" hidden="1" x14ac:dyDescent="0.35">
      <c r="A132" s="2">
        <f t="shared" ref="A132:A195" si="2">A131+1</f>
        <v>131</v>
      </c>
      <c r="B132" s="2"/>
      <c r="C132" s="2"/>
      <c r="D132" s="2"/>
      <c r="E132" s="2"/>
      <c r="F132" s="39"/>
      <c r="G132" s="2">
        <f>DAY(EOMONTH(Spare[[#This Row],[Date]], 0))</f>
        <v>31</v>
      </c>
      <c r="H132" s="40"/>
      <c r="J132" s="6"/>
    </row>
    <row r="133" spans="1:10" hidden="1" x14ac:dyDescent="0.35">
      <c r="A133" s="2">
        <f t="shared" si="2"/>
        <v>132</v>
      </c>
      <c r="B133" s="2"/>
      <c r="C133" s="2"/>
      <c r="D133" s="2"/>
      <c r="E133" s="2"/>
      <c r="F133" s="39"/>
      <c r="G133" s="2">
        <f>DAY(EOMONTH(Spare[[#This Row],[Date]], 0))</f>
        <v>31</v>
      </c>
      <c r="H133" s="40"/>
      <c r="J133" s="6"/>
    </row>
    <row r="134" spans="1:10" hidden="1" x14ac:dyDescent="0.35">
      <c r="A134" s="2">
        <f t="shared" si="2"/>
        <v>133</v>
      </c>
      <c r="B134" s="2"/>
      <c r="C134" s="2"/>
      <c r="D134" s="2"/>
      <c r="E134" s="2"/>
      <c r="F134" s="39"/>
      <c r="G134" s="2">
        <f>DAY(EOMONTH(Spare[[#This Row],[Date]], 0))</f>
        <v>31</v>
      </c>
      <c r="H134" s="40"/>
      <c r="J134" s="6"/>
    </row>
    <row r="135" spans="1:10" hidden="1" x14ac:dyDescent="0.35">
      <c r="A135" s="2">
        <f t="shared" si="2"/>
        <v>134</v>
      </c>
      <c r="B135" s="2"/>
      <c r="C135" s="2"/>
      <c r="D135" s="2"/>
      <c r="E135" s="2"/>
      <c r="F135" s="39"/>
      <c r="G135" s="2">
        <f>DAY(EOMONTH(Spare[[#This Row],[Date]], 0))</f>
        <v>31</v>
      </c>
      <c r="H135" s="40"/>
      <c r="J135" s="6"/>
    </row>
    <row r="136" spans="1:10" hidden="1" x14ac:dyDescent="0.35">
      <c r="A136" s="2">
        <f t="shared" si="2"/>
        <v>135</v>
      </c>
      <c r="B136" s="2"/>
      <c r="C136" s="2"/>
      <c r="D136" s="2"/>
      <c r="E136" s="2"/>
      <c r="F136" s="39"/>
      <c r="G136" s="2">
        <f>DAY(EOMONTH(Spare[[#This Row],[Date]], 0))</f>
        <v>31</v>
      </c>
      <c r="H136" s="40"/>
      <c r="J136" s="6"/>
    </row>
    <row r="137" spans="1:10" hidden="1" x14ac:dyDescent="0.35">
      <c r="A137" s="2">
        <f t="shared" si="2"/>
        <v>136</v>
      </c>
      <c r="B137" s="2"/>
      <c r="C137" s="2"/>
      <c r="D137" s="2"/>
      <c r="E137" s="2"/>
      <c r="F137" s="39"/>
      <c r="G137" s="2">
        <f>DAY(EOMONTH(Spare[[#This Row],[Date]], 0))</f>
        <v>31</v>
      </c>
      <c r="H137" s="40"/>
      <c r="J137" s="6"/>
    </row>
    <row r="138" spans="1:10" hidden="1" x14ac:dyDescent="0.35">
      <c r="A138" s="2">
        <f t="shared" si="2"/>
        <v>137</v>
      </c>
      <c r="B138" s="2"/>
      <c r="C138" s="2"/>
      <c r="D138" s="2"/>
      <c r="E138" s="2"/>
      <c r="F138" s="39"/>
      <c r="G138" s="2">
        <f>DAY(EOMONTH(Spare[[#This Row],[Date]], 0))</f>
        <v>31</v>
      </c>
      <c r="H138" s="40"/>
      <c r="J138" s="6"/>
    </row>
    <row r="139" spans="1:10" hidden="1" x14ac:dyDescent="0.35">
      <c r="A139" s="2">
        <f t="shared" si="2"/>
        <v>138</v>
      </c>
      <c r="B139" s="2"/>
      <c r="C139" s="2"/>
      <c r="D139" s="2"/>
      <c r="E139" s="2"/>
      <c r="F139" s="39"/>
      <c r="G139" s="2">
        <f>DAY(EOMONTH(Spare[[#This Row],[Date]], 0))</f>
        <v>31</v>
      </c>
      <c r="H139" s="40"/>
      <c r="J139" s="6"/>
    </row>
    <row r="140" spans="1:10" hidden="1" x14ac:dyDescent="0.35">
      <c r="A140" s="2">
        <f t="shared" si="2"/>
        <v>139</v>
      </c>
      <c r="B140" s="2"/>
      <c r="C140" s="2"/>
      <c r="D140" s="2"/>
      <c r="E140" s="2"/>
      <c r="F140" s="39"/>
      <c r="G140" s="2">
        <f>DAY(EOMONTH(Spare[[#This Row],[Date]], 0))</f>
        <v>31</v>
      </c>
      <c r="H140" s="40"/>
      <c r="J140" s="6"/>
    </row>
    <row r="141" spans="1:10" hidden="1" x14ac:dyDescent="0.35">
      <c r="A141" s="2">
        <f t="shared" si="2"/>
        <v>140</v>
      </c>
      <c r="B141" s="2"/>
      <c r="C141" s="2"/>
      <c r="D141" s="2"/>
      <c r="E141" s="2"/>
      <c r="F141" s="39"/>
      <c r="G141" s="2">
        <f>DAY(EOMONTH(Spare[[#This Row],[Date]], 0))</f>
        <v>31</v>
      </c>
      <c r="H141" s="40"/>
      <c r="J141" s="6"/>
    </row>
    <row r="142" spans="1:10" hidden="1" x14ac:dyDescent="0.35">
      <c r="A142" s="2">
        <f t="shared" si="2"/>
        <v>141</v>
      </c>
      <c r="B142" s="2"/>
      <c r="C142" s="2"/>
      <c r="D142" s="2"/>
      <c r="E142" s="2"/>
      <c r="F142" s="39"/>
      <c r="G142" s="2">
        <f>DAY(EOMONTH(Spare[[#This Row],[Date]], 0))</f>
        <v>31</v>
      </c>
      <c r="H142" s="40"/>
      <c r="J142" s="6"/>
    </row>
    <row r="143" spans="1:10" hidden="1" x14ac:dyDescent="0.35">
      <c r="A143" s="2">
        <f t="shared" si="2"/>
        <v>142</v>
      </c>
      <c r="B143" s="2"/>
      <c r="C143" s="2"/>
      <c r="D143" s="2"/>
      <c r="E143" s="2"/>
      <c r="F143" s="39"/>
      <c r="G143" s="2">
        <f>DAY(EOMONTH(Spare[[#This Row],[Date]], 0))</f>
        <v>31</v>
      </c>
      <c r="H143" s="40"/>
      <c r="J143" s="6"/>
    </row>
    <row r="144" spans="1:10" hidden="1" x14ac:dyDescent="0.35">
      <c r="A144" s="2">
        <f t="shared" si="2"/>
        <v>143</v>
      </c>
      <c r="B144" s="2"/>
      <c r="C144" s="2"/>
      <c r="D144" s="2"/>
      <c r="E144" s="2"/>
      <c r="F144" s="39"/>
      <c r="G144" s="2">
        <f>DAY(EOMONTH(Spare[[#This Row],[Date]], 0))</f>
        <v>31</v>
      </c>
      <c r="H144" s="40"/>
      <c r="J144" s="6"/>
    </row>
    <row r="145" spans="1:10" hidden="1" x14ac:dyDescent="0.35">
      <c r="A145" s="2">
        <f t="shared" si="2"/>
        <v>144</v>
      </c>
      <c r="B145" s="2"/>
      <c r="C145" s="2"/>
      <c r="D145" s="2"/>
      <c r="E145" s="2"/>
      <c r="F145" s="39"/>
      <c r="G145" s="2">
        <f>DAY(EOMONTH(Spare[[#This Row],[Date]], 0))</f>
        <v>31</v>
      </c>
      <c r="H145" s="40"/>
      <c r="J145" s="6"/>
    </row>
    <row r="146" spans="1:10" hidden="1" x14ac:dyDescent="0.35">
      <c r="A146" s="2">
        <f t="shared" si="2"/>
        <v>145</v>
      </c>
      <c r="B146" s="2"/>
      <c r="C146" s="2"/>
      <c r="D146" s="2"/>
      <c r="E146" s="2"/>
      <c r="F146" s="39"/>
      <c r="G146" s="2">
        <f>DAY(EOMONTH(Spare[[#This Row],[Date]], 0))</f>
        <v>31</v>
      </c>
      <c r="H146" s="40"/>
      <c r="J146" s="6"/>
    </row>
    <row r="147" spans="1:10" hidden="1" x14ac:dyDescent="0.35">
      <c r="A147" s="2">
        <f t="shared" si="2"/>
        <v>146</v>
      </c>
      <c r="B147" s="2"/>
      <c r="C147" s="2"/>
      <c r="D147" s="2"/>
      <c r="E147" s="2"/>
      <c r="F147" s="39"/>
      <c r="G147" s="2">
        <f>DAY(EOMONTH(Spare[[#This Row],[Date]], 0))</f>
        <v>31</v>
      </c>
      <c r="H147" s="40"/>
      <c r="J147" s="6"/>
    </row>
    <row r="148" spans="1:10" hidden="1" x14ac:dyDescent="0.35">
      <c r="A148" s="2">
        <f t="shared" si="2"/>
        <v>147</v>
      </c>
      <c r="B148" s="2"/>
      <c r="C148" s="2"/>
      <c r="D148" s="2"/>
      <c r="E148" s="2"/>
      <c r="F148" s="39"/>
      <c r="G148" s="2">
        <f>DAY(EOMONTH(Spare[[#This Row],[Date]], 0))</f>
        <v>31</v>
      </c>
      <c r="H148" s="40"/>
      <c r="J148" s="6"/>
    </row>
    <row r="149" spans="1:10" hidden="1" x14ac:dyDescent="0.35">
      <c r="A149" s="2">
        <f t="shared" si="2"/>
        <v>148</v>
      </c>
      <c r="B149" s="2"/>
      <c r="C149" s="2"/>
      <c r="D149" s="2"/>
      <c r="E149" s="2"/>
      <c r="F149" s="39"/>
      <c r="G149" s="2">
        <f>DAY(EOMONTH(Spare[[#This Row],[Date]], 0))</f>
        <v>31</v>
      </c>
      <c r="H149" s="40"/>
      <c r="J149" s="6"/>
    </row>
    <row r="150" spans="1:10" hidden="1" x14ac:dyDescent="0.35">
      <c r="A150" s="2">
        <f t="shared" si="2"/>
        <v>149</v>
      </c>
      <c r="B150" s="2"/>
      <c r="C150" s="2"/>
      <c r="D150" s="2"/>
      <c r="E150" s="2"/>
      <c r="F150" s="39"/>
      <c r="G150" s="2">
        <f>DAY(EOMONTH(Spare[[#This Row],[Date]], 0))</f>
        <v>31</v>
      </c>
      <c r="H150" s="40"/>
      <c r="J150" s="6"/>
    </row>
    <row r="151" spans="1:10" hidden="1" x14ac:dyDescent="0.35">
      <c r="A151" s="2">
        <f t="shared" si="2"/>
        <v>150</v>
      </c>
      <c r="B151" s="2"/>
      <c r="C151" s="2"/>
      <c r="D151" s="2"/>
      <c r="E151" s="2"/>
      <c r="F151" s="39"/>
      <c r="G151" s="2">
        <f>DAY(EOMONTH(Spare[[#This Row],[Date]], 0))</f>
        <v>31</v>
      </c>
      <c r="H151" s="40"/>
      <c r="J151" s="6"/>
    </row>
    <row r="152" spans="1:10" hidden="1" x14ac:dyDescent="0.35">
      <c r="A152" s="2">
        <f t="shared" si="2"/>
        <v>151</v>
      </c>
      <c r="B152" s="2"/>
      <c r="C152" s="2"/>
      <c r="D152" s="2"/>
      <c r="E152" s="2"/>
      <c r="F152" s="39"/>
      <c r="G152" s="2">
        <f>DAY(EOMONTH(Spare[[#This Row],[Date]], 0))</f>
        <v>31</v>
      </c>
      <c r="H152" s="40"/>
      <c r="J152" s="6"/>
    </row>
    <row r="153" spans="1:10" hidden="1" x14ac:dyDescent="0.35">
      <c r="A153" s="2">
        <f t="shared" si="2"/>
        <v>152</v>
      </c>
      <c r="B153" s="2"/>
      <c r="C153" s="2"/>
      <c r="D153" s="2"/>
      <c r="E153" s="2"/>
      <c r="F153" s="39"/>
      <c r="G153" s="2">
        <f>DAY(EOMONTH(Spare[[#This Row],[Date]], 0))</f>
        <v>31</v>
      </c>
      <c r="H153" s="40"/>
      <c r="J153" s="6"/>
    </row>
    <row r="154" spans="1:10" hidden="1" x14ac:dyDescent="0.35">
      <c r="A154" s="2">
        <f t="shared" si="2"/>
        <v>153</v>
      </c>
      <c r="B154" s="2"/>
      <c r="C154" s="2"/>
      <c r="D154" s="2"/>
      <c r="E154" s="2"/>
      <c r="F154" s="39"/>
      <c r="G154" s="2">
        <f>DAY(EOMONTH(Spare[[#This Row],[Date]], 0))</f>
        <v>31</v>
      </c>
      <c r="H154" s="40"/>
      <c r="J154" s="6"/>
    </row>
    <row r="155" spans="1:10" hidden="1" x14ac:dyDescent="0.35">
      <c r="A155" s="2">
        <f t="shared" si="2"/>
        <v>154</v>
      </c>
      <c r="B155" s="2"/>
      <c r="C155" s="2"/>
      <c r="D155" s="2"/>
      <c r="E155" s="2"/>
      <c r="F155" s="39"/>
      <c r="G155" s="2">
        <f>DAY(EOMONTH(Spare[[#This Row],[Date]], 0))</f>
        <v>31</v>
      </c>
      <c r="H155" s="40"/>
      <c r="J155" s="6"/>
    </row>
    <row r="156" spans="1:10" hidden="1" x14ac:dyDescent="0.35">
      <c r="A156" s="2">
        <f t="shared" si="2"/>
        <v>155</v>
      </c>
      <c r="B156" s="2"/>
      <c r="C156" s="2"/>
      <c r="D156" s="2"/>
      <c r="E156" s="2"/>
      <c r="F156" s="39"/>
      <c r="G156" s="2">
        <f>DAY(EOMONTH(Spare[[#This Row],[Date]], 0))</f>
        <v>31</v>
      </c>
      <c r="H156" s="40"/>
      <c r="J156" s="6"/>
    </row>
    <row r="157" spans="1:10" hidden="1" x14ac:dyDescent="0.35">
      <c r="A157" s="2">
        <f t="shared" si="2"/>
        <v>156</v>
      </c>
      <c r="B157" s="2"/>
      <c r="C157" s="2"/>
      <c r="D157" s="2"/>
      <c r="E157" s="2"/>
      <c r="F157" s="39"/>
      <c r="G157" s="2">
        <f>DAY(EOMONTH(Spare[[#This Row],[Date]], 0))</f>
        <v>31</v>
      </c>
      <c r="H157" s="40"/>
      <c r="J157" s="6"/>
    </row>
    <row r="158" spans="1:10" hidden="1" x14ac:dyDescent="0.35">
      <c r="A158" s="2">
        <f t="shared" si="2"/>
        <v>157</v>
      </c>
      <c r="B158" s="2"/>
      <c r="C158" s="2"/>
      <c r="D158" s="2"/>
      <c r="E158" s="2"/>
      <c r="F158" s="39"/>
      <c r="G158" s="2">
        <f>DAY(EOMONTH(Spare[[#This Row],[Date]], 0))</f>
        <v>31</v>
      </c>
      <c r="H158" s="40"/>
      <c r="J158" s="6"/>
    </row>
    <row r="159" spans="1:10" hidden="1" x14ac:dyDescent="0.35">
      <c r="A159" s="2">
        <f t="shared" si="2"/>
        <v>158</v>
      </c>
      <c r="B159" s="2"/>
      <c r="C159" s="2"/>
      <c r="D159" s="2"/>
      <c r="E159" s="2"/>
      <c r="F159" s="39"/>
      <c r="G159" s="2">
        <f>DAY(EOMONTH(Spare[[#This Row],[Date]], 0))</f>
        <v>31</v>
      </c>
      <c r="H159" s="40"/>
      <c r="J159" s="6"/>
    </row>
    <row r="160" spans="1:10" hidden="1" x14ac:dyDescent="0.35">
      <c r="A160" s="2">
        <f t="shared" si="2"/>
        <v>159</v>
      </c>
      <c r="B160" s="2"/>
      <c r="C160" s="2"/>
      <c r="D160" s="2"/>
      <c r="E160" s="2"/>
      <c r="F160" s="39"/>
      <c r="G160" s="2">
        <f>DAY(EOMONTH(Spare[[#This Row],[Date]], 0))</f>
        <v>31</v>
      </c>
      <c r="H160" s="40"/>
      <c r="J160" s="6"/>
    </row>
    <row r="161" spans="1:10" hidden="1" x14ac:dyDescent="0.35">
      <c r="A161" s="2">
        <f t="shared" si="2"/>
        <v>160</v>
      </c>
      <c r="B161" s="2"/>
      <c r="C161" s="2"/>
      <c r="D161" s="2"/>
      <c r="E161" s="2"/>
      <c r="F161" s="39"/>
      <c r="G161" s="2">
        <f>DAY(EOMONTH(Spare[[#This Row],[Date]], 0))</f>
        <v>31</v>
      </c>
      <c r="H161" s="40"/>
      <c r="J161" s="6"/>
    </row>
    <row r="162" spans="1:10" hidden="1" x14ac:dyDescent="0.35">
      <c r="A162" s="2">
        <f t="shared" si="2"/>
        <v>161</v>
      </c>
      <c r="B162" s="2"/>
      <c r="C162" s="2"/>
      <c r="D162" s="2"/>
      <c r="E162" s="2"/>
      <c r="F162" s="39"/>
      <c r="G162" s="2">
        <f>DAY(EOMONTH(Spare[[#This Row],[Date]], 0))</f>
        <v>31</v>
      </c>
      <c r="H162" s="40"/>
      <c r="J162" s="6"/>
    </row>
    <row r="163" spans="1:10" hidden="1" x14ac:dyDescent="0.35">
      <c r="A163" s="2">
        <f t="shared" si="2"/>
        <v>162</v>
      </c>
      <c r="B163" s="2"/>
      <c r="C163" s="2"/>
      <c r="D163" s="2"/>
      <c r="E163" s="2"/>
      <c r="F163" s="39"/>
      <c r="G163" s="2">
        <f>DAY(EOMONTH(Spare[[#This Row],[Date]], 0))</f>
        <v>31</v>
      </c>
      <c r="H163" s="40"/>
      <c r="J163" s="6"/>
    </row>
    <row r="164" spans="1:10" hidden="1" x14ac:dyDescent="0.35">
      <c r="A164" s="2">
        <f t="shared" si="2"/>
        <v>163</v>
      </c>
      <c r="B164" s="2"/>
      <c r="C164" s="2"/>
      <c r="D164" s="2"/>
      <c r="E164" s="2"/>
      <c r="F164" s="39"/>
      <c r="G164" s="2">
        <f>DAY(EOMONTH(Spare[[#This Row],[Date]], 0))</f>
        <v>31</v>
      </c>
      <c r="H164" s="40"/>
      <c r="J164" s="6"/>
    </row>
    <row r="165" spans="1:10" hidden="1" x14ac:dyDescent="0.35">
      <c r="A165" s="2">
        <f t="shared" si="2"/>
        <v>164</v>
      </c>
      <c r="B165" s="2"/>
      <c r="C165" s="2"/>
      <c r="D165" s="2"/>
      <c r="E165" s="2"/>
      <c r="F165" s="39"/>
      <c r="G165" s="2">
        <f>DAY(EOMONTH(Spare[[#This Row],[Date]], 0))</f>
        <v>31</v>
      </c>
      <c r="H165" s="40"/>
      <c r="J165" s="6"/>
    </row>
    <row r="166" spans="1:10" hidden="1" x14ac:dyDescent="0.35">
      <c r="A166" s="2">
        <f t="shared" si="2"/>
        <v>165</v>
      </c>
      <c r="B166" s="2"/>
      <c r="C166" s="2"/>
      <c r="D166" s="2"/>
      <c r="E166" s="2"/>
      <c r="F166" s="39"/>
      <c r="G166" s="2">
        <f>DAY(EOMONTH(Spare[[#This Row],[Date]], 0))</f>
        <v>31</v>
      </c>
      <c r="H166" s="40"/>
      <c r="J166" s="6"/>
    </row>
    <row r="167" spans="1:10" hidden="1" x14ac:dyDescent="0.35">
      <c r="A167" s="2">
        <f t="shared" si="2"/>
        <v>166</v>
      </c>
      <c r="B167" s="2"/>
      <c r="C167" s="2"/>
      <c r="D167" s="2"/>
      <c r="E167" s="2"/>
      <c r="F167" s="39"/>
      <c r="G167" s="2">
        <f>DAY(EOMONTH(Spare[[#This Row],[Date]], 0))</f>
        <v>31</v>
      </c>
      <c r="H167" s="40"/>
      <c r="J167" s="6"/>
    </row>
    <row r="168" spans="1:10" hidden="1" x14ac:dyDescent="0.35">
      <c r="A168" s="2">
        <f t="shared" si="2"/>
        <v>167</v>
      </c>
      <c r="B168" s="2"/>
      <c r="C168" s="2"/>
      <c r="D168" s="2"/>
      <c r="E168" s="2"/>
      <c r="F168" s="39"/>
      <c r="G168" s="2">
        <f>DAY(EOMONTH(Spare[[#This Row],[Date]], 0))</f>
        <v>31</v>
      </c>
      <c r="H168" s="40"/>
      <c r="J168" s="6"/>
    </row>
    <row r="169" spans="1:10" hidden="1" x14ac:dyDescent="0.35">
      <c r="A169" s="2">
        <f t="shared" si="2"/>
        <v>168</v>
      </c>
      <c r="B169" s="2"/>
      <c r="C169" s="2"/>
      <c r="D169" s="2"/>
      <c r="E169" s="2"/>
      <c r="F169" s="39"/>
      <c r="G169" s="2">
        <f>DAY(EOMONTH(Spare[[#This Row],[Date]], 0))</f>
        <v>31</v>
      </c>
      <c r="H169" s="40"/>
      <c r="J169" s="6"/>
    </row>
    <row r="170" spans="1:10" hidden="1" x14ac:dyDescent="0.35">
      <c r="A170" s="2">
        <f t="shared" si="2"/>
        <v>169</v>
      </c>
      <c r="B170" s="2"/>
      <c r="C170" s="2"/>
      <c r="D170" s="2"/>
      <c r="E170" s="2"/>
      <c r="F170" s="39"/>
      <c r="G170" s="2">
        <f>DAY(EOMONTH(Spare[[#This Row],[Date]], 0))</f>
        <v>31</v>
      </c>
      <c r="H170" s="40"/>
      <c r="J170" s="6"/>
    </row>
    <row r="171" spans="1:10" hidden="1" x14ac:dyDescent="0.35">
      <c r="A171" s="2">
        <f t="shared" si="2"/>
        <v>170</v>
      </c>
      <c r="B171" s="2"/>
      <c r="C171" s="2"/>
      <c r="D171" s="2"/>
      <c r="E171" s="2"/>
      <c r="F171" s="39"/>
      <c r="G171" s="2">
        <f>DAY(EOMONTH(Spare[[#This Row],[Date]], 0))</f>
        <v>31</v>
      </c>
      <c r="H171" s="40"/>
      <c r="J171" s="6"/>
    </row>
    <row r="172" spans="1:10" hidden="1" x14ac:dyDescent="0.35">
      <c r="A172" s="2">
        <f t="shared" si="2"/>
        <v>171</v>
      </c>
      <c r="B172" s="2"/>
      <c r="C172" s="2"/>
      <c r="D172" s="2"/>
      <c r="E172" s="2"/>
      <c r="F172" s="39"/>
      <c r="G172" s="2">
        <f>DAY(EOMONTH(Spare[[#This Row],[Date]], 0))</f>
        <v>31</v>
      </c>
      <c r="H172" s="40"/>
      <c r="J172" s="6"/>
    </row>
    <row r="173" spans="1:10" hidden="1" x14ac:dyDescent="0.35">
      <c r="A173" s="2">
        <f t="shared" si="2"/>
        <v>172</v>
      </c>
      <c r="B173" s="2"/>
      <c r="C173" s="2"/>
      <c r="D173" s="2"/>
      <c r="E173" s="2"/>
      <c r="F173" s="39"/>
      <c r="G173" s="2">
        <f>DAY(EOMONTH(Spare[[#This Row],[Date]], 0))</f>
        <v>31</v>
      </c>
      <c r="H173" s="40"/>
      <c r="J173" s="6"/>
    </row>
    <row r="174" spans="1:10" hidden="1" x14ac:dyDescent="0.35">
      <c r="A174" s="2">
        <f t="shared" si="2"/>
        <v>173</v>
      </c>
      <c r="B174" s="2"/>
      <c r="C174" s="2"/>
      <c r="D174" s="2"/>
      <c r="E174" s="2"/>
      <c r="F174" s="39"/>
      <c r="G174" s="2">
        <f>DAY(EOMONTH(Spare[[#This Row],[Date]], 0))</f>
        <v>31</v>
      </c>
      <c r="H174" s="40"/>
      <c r="J174" s="6"/>
    </row>
    <row r="175" spans="1:10" hidden="1" x14ac:dyDescent="0.35">
      <c r="A175" s="2">
        <f t="shared" si="2"/>
        <v>174</v>
      </c>
      <c r="B175" s="2"/>
      <c r="C175" s="2"/>
      <c r="D175" s="2"/>
      <c r="E175" s="2"/>
      <c r="F175" s="39"/>
      <c r="G175" s="2">
        <f>DAY(EOMONTH(Spare[[#This Row],[Date]], 0))</f>
        <v>31</v>
      </c>
      <c r="H175" s="40"/>
      <c r="J175" s="6"/>
    </row>
    <row r="176" spans="1:10" hidden="1" x14ac:dyDescent="0.35">
      <c r="A176" s="2">
        <f t="shared" si="2"/>
        <v>175</v>
      </c>
      <c r="B176" s="2"/>
      <c r="C176" s="2"/>
      <c r="D176" s="2"/>
      <c r="E176" s="2"/>
      <c r="F176" s="39"/>
      <c r="G176" s="2">
        <f>DAY(EOMONTH(Spare[[#This Row],[Date]], 0))</f>
        <v>31</v>
      </c>
      <c r="H176" s="40"/>
      <c r="J176" s="6"/>
    </row>
    <row r="177" spans="1:10" hidden="1" x14ac:dyDescent="0.35">
      <c r="A177" s="2">
        <f t="shared" si="2"/>
        <v>176</v>
      </c>
      <c r="B177" s="2"/>
      <c r="C177" s="2"/>
      <c r="D177" s="2"/>
      <c r="E177" s="2"/>
      <c r="F177" s="39"/>
      <c r="G177" s="2">
        <f>DAY(EOMONTH(Spare[[#This Row],[Date]], 0))</f>
        <v>31</v>
      </c>
      <c r="H177" s="40"/>
      <c r="J177" s="6"/>
    </row>
    <row r="178" spans="1:10" hidden="1" x14ac:dyDescent="0.35">
      <c r="A178" s="2">
        <f t="shared" si="2"/>
        <v>177</v>
      </c>
      <c r="B178" s="2"/>
      <c r="C178" s="2"/>
      <c r="D178" s="2"/>
      <c r="E178" s="2"/>
      <c r="F178" s="39"/>
      <c r="G178" s="2">
        <f>DAY(EOMONTH(Spare[[#This Row],[Date]], 0))</f>
        <v>31</v>
      </c>
      <c r="H178" s="40"/>
      <c r="J178" s="6"/>
    </row>
    <row r="179" spans="1:10" hidden="1" x14ac:dyDescent="0.35">
      <c r="A179" s="2">
        <f t="shared" si="2"/>
        <v>178</v>
      </c>
      <c r="B179" s="2"/>
      <c r="C179" s="2"/>
      <c r="D179" s="2"/>
      <c r="E179" s="2"/>
      <c r="F179" s="39"/>
      <c r="G179" s="2">
        <f>DAY(EOMONTH(Spare[[#This Row],[Date]], 0))</f>
        <v>31</v>
      </c>
      <c r="H179" s="40"/>
      <c r="J179" s="6"/>
    </row>
    <row r="180" spans="1:10" hidden="1" x14ac:dyDescent="0.35">
      <c r="A180" s="2">
        <f t="shared" si="2"/>
        <v>179</v>
      </c>
      <c r="B180" s="2"/>
      <c r="C180" s="2"/>
      <c r="D180" s="2"/>
      <c r="E180" s="2"/>
      <c r="F180" s="39"/>
      <c r="G180" s="2">
        <f>DAY(EOMONTH(Spare[[#This Row],[Date]], 0))</f>
        <v>31</v>
      </c>
      <c r="H180" s="40"/>
      <c r="J180" s="6"/>
    </row>
    <row r="181" spans="1:10" hidden="1" x14ac:dyDescent="0.35">
      <c r="A181" s="2">
        <f t="shared" si="2"/>
        <v>180</v>
      </c>
      <c r="B181" s="2"/>
      <c r="C181" s="2"/>
      <c r="D181" s="2"/>
      <c r="E181" s="2"/>
      <c r="F181" s="39"/>
      <c r="G181" s="2">
        <f>DAY(EOMONTH(Spare[[#This Row],[Date]], 0))</f>
        <v>31</v>
      </c>
      <c r="H181" s="40"/>
      <c r="J181" s="6"/>
    </row>
    <row r="182" spans="1:10" hidden="1" x14ac:dyDescent="0.35">
      <c r="A182" s="2">
        <f t="shared" si="2"/>
        <v>181</v>
      </c>
      <c r="B182" s="2"/>
      <c r="C182" s="2"/>
      <c r="D182" s="2"/>
      <c r="E182" s="2"/>
      <c r="F182" s="39"/>
      <c r="G182" s="2">
        <f>DAY(EOMONTH(Spare[[#This Row],[Date]], 0))</f>
        <v>31</v>
      </c>
      <c r="H182" s="40"/>
      <c r="J182" s="6"/>
    </row>
    <row r="183" spans="1:10" hidden="1" x14ac:dyDescent="0.35">
      <c r="A183" s="2">
        <f t="shared" si="2"/>
        <v>182</v>
      </c>
      <c r="B183" s="2"/>
      <c r="C183" s="2"/>
      <c r="D183" s="2"/>
      <c r="E183" s="2"/>
      <c r="F183" s="39"/>
      <c r="G183" s="2">
        <f>DAY(EOMONTH(Spare[[#This Row],[Date]], 0))</f>
        <v>31</v>
      </c>
      <c r="H183" s="40"/>
      <c r="J183" s="6"/>
    </row>
    <row r="184" spans="1:10" hidden="1" x14ac:dyDescent="0.35">
      <c r="A184" s="2">
        <f t="shared" si="2"/>
        <v>183</v>
      </c>
      <c r="B184" s="2"/>
      <c r="C184" s="2"/>
      <c r="D184" s="2"/>
      <c r="E184" s="2"/>
      <c r="F184" s="39"/>
      <c r="G184" s="2">
        <f>DAY(EOMONTH(Spare[[#This Row],[Date]], 0))</f>
        <v>31</v>
      </c>
      <c r="H184" s="40"/>
      <c r="J184" s="6"/>
    </row>
    <row r="185" spans="1:10" hidden="1" x14ac:dyDescent="0.35">
      <c r="A185" s="2">
        <f t="shared" si="2"/>
        <v>184</v>
      </c>
      <c r="B185" s="2"/>
      <c r="C185" s="2"/>
      <c r="D185" s="2"/>
      <c r="E185" s="2"/>
      <c r="F185" s="39"/>
      <c r="G185" s="2">
        <f>DAY(EOMONTH(Spare[[#This Row],[Date]], 0))</f>
        <v>31</v>
      </c>
      <c r="H185" s="40"/>
      <c r="J185" s="6"/>
    </row>
    <row r="186" spans="1:10" hidden="1" x14ac:dyDescent="0.35">
      <c r="A186" s="2">
        <f t="shared" si="2"/>
        <v>185</v>
      </c>
      <c r="B186" s="2"/>
      <c r="C186" s="2"/>
      <c r="D186" s="2"/>
      <c r="E186" s="2"/>
      <c r="F186" s="39"/>
      <c r="G186" s="2">
        <f>DAY(EOMONTH(Spare[[#This Row],[Date]], 0))</f>
        <v>31</v>
      </c>
      <c r="H186" s="40"/>
      <c r="J186" s="6"/>
    </row>
    <row r="187" spans="1:10" hidden="1" x14ac:dyDescent="0.35">
      <c r="A187" s="2">
        <f t="shared" si="2"/>
        <v>186</v>
      </c>
      <c r="B187" s="2"/>
      <c r="C187" s="2"/>
      <c r="D187" s="2"/>
      <c r="E187" s="2"/>
      <c r="F187" s="39"/>
      <c r="G187" s="2">
        <f>DAY(EOMONTH(Spare[[#This Row],[Date]], 0))</f>
        <v>31</v>
      </c>
      <c r="H187" s="40"/>
      <c r="J187" s="6"/>
    </row>
    <row r="188" spans="1:10" hidden="1" x14ac:dyDescent="0.35">
      <c r="A188" s="2">
        <f t="shared" si="2"/>
        <v>187</v>
      </c>
      <c r="B188" s="2"/>
      <c r="C188" s="2"/>
      <c r="D188" s="2"/>
      <c r="E188" s="2"/>
      <c r="F188" s="39"/>
      <c r="G188" s="2">
        <f>DAY(EOMONTH(Spare[[#This Row],[Date]], 0))</f>
        <v>31</v>
      </c>
      <c r="H188" s="40"/>
      <c r="J188" s="6"/>
    </row>
    <row r="189" spans="1:10" hidden="1" x14ac:dyDescent="0.35">
      <c r="A189" s="2">
        <f t="shared" si="2"/>
        <v>188</v>
      </c>
      <c r="B189" s="2"/>
      <c r="C189" s="2"/>
      <c r="D189" s="2"/>
      <c r="E189" s="2"/>
      <c r="F189" s="39"/>
      <c r="G189" s="2">
        <f>DAY(EOMONTH(Spare[[#This Row],[Date]], 0))</f>
        <v>31</v>
      </c>
      <c r="H189" s="40"/>
      <c r="J189" s="6"/>
    </row>
    <row r="190" spans="1:10" hidden="1" x14ac:dyDescent="0.35">
      <c r="A190" s="2">
        <f t="shared" si="2"/>
        <v>189</v>
      </c>
      <c r="B190" s="2"/>
      <c r="C190" s="2"/>
      <c r="D190" s="2"/>
      <c r="E190" s="2"/>
      <c r="F190" s="39"/>
      <c r="G190" s="2">
        <f>DAY(EOMONTH(Spare[[#This Row],[Date]], 0))</f>
        <v>31</v>
      </c>
      <c r="H190" s="40"/>
      <c r="J190" s="6"/>
    </row>
    <row r="191" spans="1:10" hidden="1" x14ac:dyDescent="0.35">
      <c r="A191" s="2">
        <f t="shared" si="2"/>
        <v>190</v>
      </c>
      <c r="B191" s="2"/>
      <c r="C191" s="2"/>
      <c r="D191" s="2"/>
      <c r="E191" s="2"/>
      <c r="F191" s="39"/>
      <c r="G191" s="2">
        <f>DAY(EOMONTH(Spare[[#This Row],[Date]], 0))</f>
        <v>31</v>
      </c>
      <c r="H191" s="40"/>
      <c r="J191" s="6"/>
    </row>
    <row r="192" spans="1:10" hidden="1" x14ac:dyDescent="0.35">
      <c r="A192" s="2">
        <f t="shared" si="2"/>
        <v>191</v>
      </c>
      <c r="B192" s="2"/>
      <c r="C192" s="2"/>
      <c r="D192" s="2"/>
      <c r="E192" s="2"/>
      <c r="F192" s="39"/>
      <c r="G192" s="2">
        <f>DAY(EOMONTH(Spare[[#This Row],[Date]], 0))</f>
        <v>31</v>
      </c>
      <c r="H192" s="40"/>
      <c r="J192" s="6"/>
    </row>
    <row r="193" spans="1:10" hidden="1" x14ac:dyDescent="0.35">
      <c r="A193" s="2">
        <f t="shared" si="2"/>
        <v>192</v>
      </c>
      <c r="B193" s="2"/>
      <c r="C193" s="2"/>
      <c r="D193" s="2"/>
      <c r="E193" s="2"/>
      <c r="F193" s="39"/>
      <c r="G193" s="2">
        <f>DAY(EOMONTH(Spare[[#This Row],[Date]], 0))</f>
        <v>31</v>
      </c>
      <c r="H193" s="40"/>
      <c r="J193" s="6"/>
    </row>
    <row r="194" spans="1:10" hidden="1" x14ac:dyDescent="0.35">
      <c r="A194" s="2">
        <f t="shared" si="2"/>
        <v>193</v>
      </c>
      <c r="B194" s="2"/>
      <c r="C194" s="2"/>
      <c r="D194" s="2"/>
      <c r="E194" s="2"/>
      <c r="F194" s="39"/>
      <c r="G194" s="2">
        <f>DAY(EOMONTH(Spare[[#This Row],[Date]], 0))</f>
        <v>31</v>
      </c>
      <c r="H194" s="40"/>
      <c r="J194" s="6"/>
    </row>
    <row r="195" spans="1:10" hidden="1" x14ac:dyDescent="0.35">
      <c r="A195" s="2">
        <f t="shared" si="2"/>
        <v>194</v>
      </c>
      <c r="B195" s="2"/>
      <c r="C195" s="2"/>
      <c r="D195" s="2"/>
      <c r="E195" s="2"/>
      <c r="F195" s="39"/>
      <c r="G195" s="2">
        <f>DAY(EOMONTH(Spare[[#This Row],[Date]], 0))</f>
        <v>31</v>
      </c>
      <c r="H195" s="40"/>
      <c r="J195" s="6"/>
    </row>
    <row r="196" spans="1:10" hidden="1" x14ac:dyDescent="0.35">
      <c r="A196" s="2">
        <f t="shared" ref="A196:A259" si="3">A195+1</f>
        <v>195</v>
      </c>
      <c r="B196" s="2"/>
      <c r="C196" s="2"/>
      <c r="D196" s="2"/>
      <c r="E196" s="2"/>
      <c r="F196" s="39"/>
      <c r="G196" s="2">
        <f>DAY(EOMONTH(Spare[[#This Row],[Date]], 0))</f>
        <v>31</v>
      </c>
      <c r="H196" s="40"/>
      <c r="J196" s="6"/>
    </row>
    <row r="197" spans="1:10" hidden="1" x14ac:dyDescent="0.35">
      <c r="A197" s="2">
        <f t="shared" si="3"/>
        <v>196</v>
      </c>
      <c r="B197" s="2"/>
      <c r="C197" s="2"/>
      <c r="D197" s="2"/>
      <c r="E197" s="2"/>
      <c r="F197" s="39"/>
      <c r="G197" s="2">
        <f>DAY(EOMONTH(Spare[[#This Row],[Date]], 0))</f>
        <v>31</v>
      </c>
      <c r="H197" s="40"/>
      <c r="J197" s="6"/>
    </row>
    <row r="198" spans="1:10" hidden="1" x14ac:dyDescent="0.35">
      <c r="A198" s="2">
        <f t="shared" si="3"/>
        <v>197</v>
      </c>
      <c r="B198" s="2"/>
      <c r="C198" s="2"/>
      <c r="D198" s="2"/>
      <c r="E198" s="2"/>
      <c r="F198" s="39"/>
      <c r="G198" s="2">
        <f>DAY(EOMONTH(Spare[[#This Row],[Date]], 0))</f>
        <v>31</v>
      </c>
      <c r="H198" s="40"/>
      <c r="J198" s="6"/>
    </row>
    <row r="199" spans="1:10" hidden="1" x14ac:dyDescent="0.35">
      <c r="A199" s="2">
        <f t="shared" si="3"/>
        <v>198</v>
      </c>
      <c r="B199" s="2"/>
      <c r="C199" s="2"/>
      <c r="D199" s="2"/>
      <c r="E199" s="2"/>
      <c r="F199" s="39"/>
      <c r="G199" s="2">
        <f>DAY(EOMONTH(Spare[[#This Row],[Date]], 0))</f>
        <v>31</v>
      </c>
      <c r="H199" s="40"/>
      <c r="J199" s="6"/>
    </row>
    <row r="200" spans="1:10" hidden="1" x14ac:dyDescent="0.35">
      <c r="A200" s="2">
        <f t="shared" si="3"/>
        <v>199</v>
      </c>
      <c r="B200" s="2"/>
      <c r="C200" s="2"/>
      <c r="D200" s="2"/>
      <c r="E200" s="2"/>
      <c r="F200" s="39"/>
      <c r="G200" s="2">
        <f>DAY(EOMONTH(Spare[[#This Row],[Date]], 0))</f>
        <v>31</v>
      </c>
      <c r="H200" s="40"/>
      <c r="J200" s="6"/>
    </row>
    <row r="201" spans="1:10" hidden="1" x14ac:dyDescent="0.35">
      <c r="A201" s="2">
        <f t="shared" si="3"/>
        <v>200</v>
      </c>
      <c r="B201" s="2"/>
      <c r="C201" s="2"/>
      <c r="D201" s="2"/>
      <c r="E201" s="2"/>
      <c r="F201" s="39"/>
      <c r="G201" s="2">
        <f>DAY(EOMONTH(Spare[[#This Row],[Date]], 0))</f>
        <v>31</v>
      </c>
      <c r="H201" s="40"/>
      <c r="J201" s="6"/>
    </row>
    <row r="202" spans="1:10" hidden="1" x14ac:dyDescent="0.35">
      <c r="A202" s="2">
        <f t="shared" si="3"/>
        <v>201</v>
      </c>
      <c r="B202" s="2"/>
      <c r="C202" s="2"/>
      <c r="D202" s="2"/>
      <c r="E202" s="2"/>
      <c r="F202" s="39"/>
      <c r="G202" s="2">
        <f>DAY(EOMONTH(Spare[[#This Row],[Date]], 0))</f>
        <v>31</v>
      </c>
      <c r="H202" s="40"/>
      <c r="J202" s="6"/>
    </row>
    <row r="203" spans="1:10" hidden="1" x14ac:dyDescent="0.35">
      <c r="A203" s="2">
        <f t="shared" si="3"/>
        <v>202</v>
      </c>
      <c r="B203" s="2"/>
      <c r="C203" s="2"/>
      <c r="D203" s="2"/>
      <c r="E203" s="2"/>
      <c r="F203" s="39"/>
      <c r="G203" s="2">
        <f>DAY(EOMONTH(Spare[[#This Row],[Date]], 0))</f>
        <v>31</v>
      </c>
      <c r="H203" s="40"/>
      <c r="J203" s="6"/>
    </row>
    <row r="204" spans="1:10" hidden="1" x14ac:dyDescent="0.35">
      <c r="A204" s="2">
        <f t="shared" si="3"/>
        <v>203</v>
      </c>
      <c r="B204" s="2"/>
      <c r="C204" s="2"/>
      <c r="D204" s="2"/>
      <c r="E204" s="2"/>
      <c r="F204" s="39"/>
      <c r="G204" s="2">
        <f>DAY(EOMONTH(Spare[[#This Row],[Date]], 0))</f>
        <v>31</v>
      </c>
      <c r="H204" s="40"/>
      <c r="J204" s="6"/>
    </row>
    <row r="205" spans="1:10" hidden="1" x14ac:dyDescent="0.35">
      <c r="A205" s="2">
        <f t="shared" si="3"/>
        <v>204</v>
      </c>
      <c r="B205" s="2"/>
      <c r="C205" s="2"/>
      <c r="D205" s="2"/>
      <c r="E205" s="2"/>
      <c r="F205" s="39"/>
      <c r="G205" s="2">
        <f>DAY(EOMONTH(Spare[[#This Row],[Date]], 0))</f>
        <v>31</v>
      </c>
      <c r="H205" s="40"/>
      <c r="J205" s="6"/>
    </row>
    <row r="206" spans="1:10" hidden="1" x14ac:dyDescent="0.35">
      <c r="A206" s="2">
        <f t="shared" si="3"/>
        <v>205</v>
      </c>
      <c r="B206" s="2"/>
      <c r="C206" s="2"/>
      <c r="D206" s="2"/>
      <c r="E206" s="2"/>
      <c r="F206" s="39"/>
      <c r="G206" s="2">
        <f>DAY(EOMONTH(Spare[[#This Row],[Date]], 0))</f>
        <v>31</v>
      </c>
      <c r="H206" s="40"/>
      <c r="J206" s="6"/>
    </row>
    <row r="207" spans="1:10" hidden="1" x14ac:dyDescent="0.35">
      <c r="A207" s="2">
        <f t="shared" si="3"/>
        <v>206</v>
      </c>
      <c r="B207" s="2"/>
      <c r="C207" s="2"/>
      <c r="D207" s="2"/>
      <c r="E207" s="2"/>
      <c r="F207" s="39"/>
      <c r="G207" s="2">
        <f>DAY(EOMONTH(Spare[[#This Row],[Date]], 0))</f>
        <v>31</v>
      </c>
      <c r="H207" s="40"/>
      <c r="J207" s="6"/>
    </row>
    <row r="208" spans="1:10" hidden="1" x14ac:dyDescent="0.35">
      <c r="A208" s="2">
        <f t="shared" si="3"/>
        <v>207</v>
      </c>
      <c r="B208" s="2"/>
      <c r="C208" s="2"/>
      <c r="D208" s="2"/>
      <c r="E208" s="2"/>
      <c r="F208" s="39"/>
      <c r="G208" s="2">
        <f>DAY(EOMONTH(Spare[[#This Row],[Date]], 0))</f>
        <v>31</v>
      </c>
      <c r="H208" s="40"/>
      <c r="J208" s="6"/>
    </row>
    <row r="209" spans="1:10" hidden="1" x14ac:dyDescent="0.35">
      <c r="A209" s="2">
        <f t="shared" si="3"/>
        <v>208</v>
      </c>
      <c r="B209" s="2"/>
      <c r="C209" s="2"/>
      <c r="D209" s="2"/>
      <c r="E209" s="2"/>
      <c r="F209" s="39"/>
      <c r="G209" s="2">
        <f>DAY(EOMONTH(Spare[[#This Row],[Date]], 0))</f>
        <v>31</v>
      </c>
      <c r="H209" s="40"/>
      <c r="J209" s="6"/>
    </row>
    <row r="210" spans="1:10" hidden="1" x14ac:dyDescent="0.35">
      <c r="A210" s="2">
        <f t="shared" si="3"/>
        <v>209</v>
      </c>
      <c r="B210" s="2"/>
      <c r="C210" s="2"/>
      <c r="D210" s="2"/>
      <c r="E210" s="2"/>
      <c r="F210" s="39"/>
      <c r="G210" s="2">
        <f>DAY(EOMONTH(Spare[[#This Row],[Date]], 0))</f>
        <v>31</v>
      </c>
      <c r="H210" s="40"/>
      <c r="J210" s="6"/>
    </row>
    <row r="211" spans="1:10" hidden="1" x14ac:dyDescent="0.35">
      <c r="A211" s="2">
        <f t="shared" si="3"/>
        <v>210</v>
      </c>
      <c r="B211" s="2"/>
      <c r="C211" s="2"/>
      <c r="D211" s="2"/>
      <c r="E211" s="2"/>
      <c r="F211" s="39"/>
      <c r="G211" s="2">
        <f>DAY(EOMONTH(Spare[[#This Row],[Date]], 0))</f>
        <v>31</v>
      </c>
      <c r="H211" s="40"/>
      <c r="J211" s="6"/>
    </row>
    <row r="212" spans="1:10" hidden="1" x14ac:dyDescent="0.35">
      <c r="A212" s="2">
        <f t="shared" si="3"/>
        <v>211</v>
      </c>
      <c r="B212" s="2"/>
      <c r="C212" s="2"/>
      <c r="D212" s="2"/>
      <c r="E212" s="2"/>
      <c r="F212" s="39"/>
      <c r="G212" s="2">
        <f>DAY(EOMONTH(Spare[[#This Row],[Date]], 0))</f>
        <v>31</v>
      </c>
      <c r="H212" s="40"/>
      <c r="J212" s="6"/>
    </row>
    <row r="213" spans="1:10" hidden="1" x14ac:dyDescent="0.35">
      <c r="A213" s="2">
        <f t="shared" si="3"/>
        <v>212</v>
      </c>
      <c r="B213" s="2"/>
      <c r="C213" s="2"/>
      <c r="D213" s="2"/>
      <c r="E213" s="2"/>
      <c r="F213" s="39"/>
      <c r="G213" s="2">
        <f>DAY(EOMONTH(Spare[[#This Row],[Date]], 0))</f>
        <v>31</v>
      </c>
      <c r="H213" s="40"/>
      <c r="J213" s="6"/>
    </row>
    <row r="214" spans="1:10" hidden="1" x14ac:dyDescent="0.35">
      <c r="A214" s="2">
        <f t="shared" si="3"/>
        <v>213</v>
      </c>
      <c r="B214" s="2"/>
      <c r="C214" s="2"/>
      <c r="D214" s="2"/>
      <c r="E214" s="2"/>
      <c r="F214" s="39"/>
      <c r="G214" s="2">
        <f>DAY(EOMONTH(Spare[[#This Row],[Date]], 0))</f>
        <v>31</v>
      </c>
      <c r="H214" s="40"/>
      <c r="J214" s="6"/>
    </row>
    <row r="215" spans="1:10" hidden="1" x14ac:dyDescent="0.35">
      <c r="A215" s="2">
        <f t="shared" si="3"/>
        <v>214</v>
      </c>
      <c r="B215" s="2"/>
      <c r="C215" s="2"/>
      <c r="D215" s="2"/>
      <c r="E215" s="2"/>
      <c r="F215" s="39"/>
      <c r="G215" s="2">
        <f>DAY(EOMONTH(Spare[[#This Row],[Date]], 0))</f>
        <v>31</v>
      </c>
      <c r="H215" s="40"/>
      <c r="J215" s="6"/>
    </row>
    <row r="216" spans="1:10" hidden="1" x14ac:dyDescent="0.35">
      <c r="A216" s="2">
        <f t="shared" si="3"/>
        <v>215</v>
      </c>
      <c r="B216" s="2"/>
      <c r="C216" s="2"/>
      <c r="D216" s="2"/>
      <c r="E216" s="2"/>
      <c r="F216" s="39"/>
      <c r="G216" s="2">
        <f>DAY(EOMONTH(Spare[[#This Row],[Date]], 0))</f>
        <v>31</v>
      </c>
      <c r="H216" s="40"/>
      <c r="J216" s="6"/>
    </row>
    <row r="217" spans="1:10" hidden="1" x14ac:dyDescent="0.35">
      <c r="A217" s="2">
        <f t="shared" si="3"/>
        <v>216</v>
      </c>
      <c r="B217" s="2"/>
      <c r="C217" s="2"/>
      <c r="D217" s="2"/>
      <c r="E217" s="2"/>
      <c r="F217" s="39"/>
      <c r="G217" s="2">
        <f>DAY(EOMONTH(Spare[[#This Row],[Date]], 0))</f>
        <v>31</v>
      </c>
      <c r="H217" s="40"/>
      <c r="J217" s="6"/>
    </row>
    <row r="218" spans="1:10" hidden="1" x14ac:dyDescent="0.35">
      <c r="A218" s="2">
        <f t="shared" si="3"/>
        <v>217</v>
      </c>
      <c r="B218" s="2"/>
      <c r="C218" s="2"/>
      <c r="D218" s="2"/>
      <c r="E218" s="2"/>
      <c r="F218" s="39"/>
      <c r="G218" s="2">
        <f>DAY(EOMONTH(Spare[[#This Row],[Date]], 0))</f>
        <v>31</v>
      </c>
      <c r="H218" s="40"/>
      <c r="J218" s="6"/>
    </row>
    <row r="219" spans="1:10" hidden="1" x14ac:dyDescent="0.35">
      <c r="A219" s="2">
        <f t="shared" si="3"/>
        <v>218</v>
      </c>
      <c r="B219" s="2"/>
      <c r="C219" s="2"/>
      <c r="D219" s="2"/>
      <c r="E219" s="2"/>
      <c r="F219" s="39"/>
      <c r="G219" s="2">
        <f>DAY(EOMONTH(Spare[[#This Row],[Date]], 0))</f>
        <v>31</v>
      </c>
      <c r="H219" s="40"/>
      <c r="J219" s="6"/>
    </row>
    <row r="220" spans="1:10" hidden="1" x14ac:dyDescent="0.35">
      <c r="A220" s="2">
        <f t="shared" si="3"/>
        <v>219</v>
      </c>
      <c r="B220" s="2"/>
      <c r="C220" s="2"/>
      <c r="D220" s="2"/>
      <c r="E220" s="2"/>
      <c r="F220" s="39"/>
      <c r="G220" s="2">
        <f>DAY(EOMONTH(Spare[[#This Row],[Date]], 0))</f>
        <v>31</v>
      </c>
      <c r="H220" s="40"/>
      <c r="J220" s="6"/>
    </row>
    <row r="221" spans="1:10" hidden="1" x14ac:dyDescent="0.35">
      <c r="A221" s="2">
        <f t="shared" si="3"/>
        <v>220</v>
      </c>
      <c r="B221" s="2"/>
      <c r="C221" s="2"/>
      <c r="D221" s="2"/>
      <c r="E221" s="2"/>
      <c r="F221" s="39"/>
      <c r="G221" s="2">
        <f>DAY(EOMONTH(Spare[[#This Row],[Date]], 0))</f>
        <v>31</v>
      </c>
      <c r="H221" s="40"/>
      <c r="J221" s="6"/>
    </row>
    <row r="222" spans="1:10" hidden="1" x14ac:dyDescent="0.35">
      <c r="A222" s="2">
        <f t="shared" si="3"/>
        <v>221</v>
      </c>
      <c r="B222" s="2"/>
      <c r="C222" s="2"/>
      <c r="D222" s="2"/>
      <c r="E222" s="2"/>
      <c r="F222" s="39"/>
      <c r="G222" s="2">
        <f>DAY(EOMONTH(Spare[[#This Row],[Date]], 0))</f>
        <v>31</v>
      </c>
      <c r="H222" s="40"/>
      <c r="J222" s="6"/>
    </row>
    <row r="223" spans="1:10" hidden="1" x14ac:dyDescent="0.35">
      <c r="A223" s="2">
        <f t="shared" si="3"/>
        <v>222</v>
      </c>
      <c r="B223" s="2"/>
      <c r="C223" s="2"/>
      <c r="D223" s="2"/>
      <c r="E223" s="2"/>
      <c r="F223" s="39"/>
      <c r="G223" s="2">
        <f>DAY(EOMONTH(Spare[[#This Row],[Date]], 0))</f>
        <v>31</v>
      </c>
      <c r="H223" s="40"/>
      <c r="J223" s="6"/>
    </row>
    <row r="224" spans="1:10" hidden="1" x14ac:dyDescent="0.35">
      <c r="A224" s="2">
        <f t="shared" si="3"/>
        <v>223</v>
      </c>
      <c r="B224" s="2"/>
      <c r="C224" s="2"/>
      <c r="D224" s="2"/>
      <c r="E224" s="2"/>
      <c r="F224" s="39"/>
      <c r="G224" s="2">
        <f>DAY(EOMONTH(Spare[[#This Row],[Date]], 0))</f>
        <v>31</v>
      </c>
      <c r="H224" s="40"/>
      <c r="J224" s="6"/>
    </row>
    <row r="225" spans="1:10" hidden="1" x14ac:dyDescent="0.35">
      <c r="A225" s="2">
        <f t="shared" si="3"/>
        <v>224</v>
      </c>
      <c r="B225" s="2"/>
      <c r="C225" s="2"/>
      <c r="D225" s="2"/>
      <c r="E225" s="2"/>
      <c r="F225" s="39"/>
      <c r="G225" s="2">
        <f>DAY(EOMONTH(Spare[[#This Row],[Date]], 0))</f>
        <v>31</v>
      </c>
      <c r="H225" s="40"/>
      <c r="J225" s="6"/>
    </row>
    <row r="226" spans="1:10" hidden="1" x14ac:dyDescent="0.35">
      <c r="A226" s="2">
        <f t="shared" si="3"/>
        <v>225</v>
      </c>
      <c r="B226" s="2"/>
      <c r="C226" s="2"/>
      <c r="D226" s="2"/>
      <c r="E226" s="2"/>
      <c r="F226" s="39"/>
      <c r="G226" s="2">
        <f>DAY(EOMONTH(Spare[[#This Row],[Date]], 0))</f>
        <v>31</v>
      </c>
      <c r="H226" s="40"/>
      <c r="J226" s="6"/>
    </row>
    <row r="227" spans="1:10" hidden="1" x14ac:dyDescent="0.35">
      <c r="A227" s="2">
        <f t="shared" si="3"/>
        <v>226</v>
      </c>
      <c r="B227" s="2"/>
      <c r="C227" s="2"/>
      <c r="D227" s="2"/>
      <c r="E227" s="2"/>
      <c r="F227" s="39"/>
      <c r="G227" s="2">
        <f>DAY(EOMONTH(Spare[[#This Row],[Date]], 0))</f>
        <v>31</v>
      </c>
      <c r="H227" s="40"/>
      <c r="J227" s="6"/>
    </row>
    <row r="228" spans="1:10" hidden="1" x14ac:dyDescent="0.35">
      <c r="A228" s="2">
        <f t="shared" si="3"/>
        <v>227</v>
      </c>
      <c r="B228" s="2"/>
      <c r="C228" s="2"/>
      <c r="D228" s="2"/>
      <c r="E228" s="2"/>
      <c r="F228" s="39"/>
      <c r="G228" s="2">
        <f>DAY(EOMONTH(Spare[[#This Row],[Date]], 0))</f>
        <v>31</v>
      </c>
      <c r="H228" s="40"/>
      <c r="J228" s="6"/>
    </row>
    <row r="229" spans="1:10" hidden="1" x14ac:dyDescent="0.35">
      <c r="A229" s="2">
        <f t="shared" si="3"/>
        <v>228</v>
      </c>
      <c r="B229" s="2"/>
      <c r="C229" s="2"/>
      <c r="D229" s="2"/>
      <c r="E229" s="2"/>
      <c r="F229" s="39"/>
      <c r="G229" s="2">
        <f>DAY(EOMONTH(Spare[[#This Row],[Date]], 0))</f>
        <v>31</v>
      </c>
      <c r="H229" s="40"/>
      <c r="J229" s="6"/>
    </row>
    <row r="230" spans="1:10" hidden="1" x14ac:dyDescent="0.35">
      <c r="A230" s="2">
        <f t="shared" si="3"/>
        <v>229</v>
      </c>
      <c r="B230" s="2"/>
      <c r="C230" s="2"/>
      <c r="D230" s="2"/>
      <c r="E230" s="2"/>
      <c r="F230" s="39"/>
      <c r="G230" s="2">
        <f>DAY(EOMONTH(Spare[[#This Row],[Date]], 0))</f>
        <v>31</v>
      </c>
      <c r="H230" s="40"/>
      <c r="J230" s="6"/>
    </row>
    <row r="231" spans="1:10" hidden="1" x14ac:dyDescent="0.35">
      <c r="A231" s="2">
        <f t="shared" si="3"/>
        <v>230</v>
      </c>
      <c r="B231" s="2"/>
      <c r="C231" s="2"/>
      <c r="D231" s="2"/>
      <c r="E231" s="2"/>
      <c r="F231" s="39"/>
      <c r="G231" s="2">
        <f>DAY(EOMONTH(Spare[[#This Row],[Date]], 0))</f>
        <v>31</v>
      </c>
      <c r="H231" s="40"/>
      <c r="J231" s="6"/>
    </row>
    <row r="232" spans="1:10" hidden="1" x14ac:dyDescent="0.35">
      <c r="A232" s="2">
        <f t="shared" si="3"/>
        <v>231</v>
      </c>
      <c r="B232" s="2"/>
      <c r="C232" s="2"/>
      <c r="D232" s="2"/>
      <c r="E232" s="2"/>
      <c r="F232" s="39"/>
      <c r="G232" s="2">
        <f>DAY(EOMONTH(Spare[[#This Row],[Date]], 0))</f>
        <v>31</v>
      </c>
      <c r="H232" s="40"/>
      <c r="J232" s="6"/>
    </row>
    <row r="233" spans="1:10" hidden="1" x14ac:dyDescent="0.35">
      <c r="A233" s="2">
        <f t="shared" si="3"/>
        <v>232</v>
      </c>
      <c r="B233" s="2"/>
      <c r="C233" s="2"/>
      <c r="D233" s="2"/>
      <c r="E233" s="2"/>
      <c r="F233" s="39"/>
      <c r="G233" s="2">
        <f>DAY(EOMONTH(Spare[[#This Row],[Date]], 0))</f>
        <v>31</v>
      </c>
      <c r="H233" s="40"/>
      <c r="J233" s="6"/>
    </row>
    <row r="234" spans="1:10" hidden="1" x14ac:dyDescent="0.35">
      <c r="A234" s="2">
        <f t="shared" si="3"/>
        <v>233</v>
      </c>
      <c r="B234" s="2"/>
      <c r="C234" s="2"/>
      <c r="D234" s="2"/>
      <c r="E234" s="2"/>
      <c r="F234" s="39"/>
      <c r="G234" s="2">
        <f>DAY(EOMONTH(Spare[[#This Row],[Date]], 0))</f>
        <v>31</v>
      </c>
      <c r="H234" s="40"/>
      <c r="J234" s="6"/>
    </row>
    <row r="235" spans="1:10" hidden="1" x14ac:dyDescent="0.35">
      <c r="A235" s="2">
        <f t="shared" si="3"/>
        <v>234</v>
      </c>
      <c r="B235" s="2"/>
      <c r="C235" s="2"/>
      <c r="D235" s="2"/>
      <c r="E235" s="2"/>
      <c r="F235" s="39"/>
      <c r="G235" s="2">
        <f>DAY(EOMONTH(Spare[[#This Row],[Date]], 0))</f>
        <v>31</v>
      </c>
      <c r="H235" s="40"/>
      <c r="J235" s="6"/>
    </row>
    <row r="236" spans="1:10" hidden="1" x14ac:dyDescent="0.35">
      <c r="A236" s="2">
        <f t="shared" si="3"/>
        <v>235</v>
      </c>
      <c r="B236" s="2"/>
      <c r="C236" s="2"/>
      <c r="D236" s="2"/>
      <c r="E236" s="2"/>
      <c r="F236" s="39"/>
      <c r="G236" s="2">
        <f>DAY(EOMONTH(Spare[[#This Row],[Date]], 0))</f>
        <v>31</v>
      </c>
      <c r="H236" s="40"/>
      <c r="J236" s="6"/>
    </row>
    <row r="237" spans="1:10" hidden="1" x14ac:dyDescent="0.35">
      <c r="A237" s="2">
        <f t="shared" si="3"/>
        <v>236</v>
      </c>
      <c r="B237" s="2"/>
      <c r="C237" s="2"/>
      <c r="D237" s="2"/>
      <c r="E237" s="2"/>
      <c r="F237" s="39"/>
      <c r="G237" s="2">
        <f>DAY(EOMONTH(Spare[[#This Row],[Date]], 0))</f>
        <v>31</v>
      </c>
      <c r="H237" s="40"/>
      <c r="J237" s="6"/>
    </row>
    <row r="238" spans="1:10" hidden="1" x14ac:dyDescent="0.35">
      <c r="A238" s="2">
        <f t="shared" si="3"/>
        <v>237</v>
      </c>
      <c r="B238" s="2"/>
      <c r="C238" s="2"/>
      <c r="D238" s="2"/>
      <c r="E238" s="2"/>
      <c r="F238" s="39"/>
      <c r="G238" s="2">
        <f>DAY(EOMONTH(Spare[[#This Row],[Date]], 0))</f>
        <v>31</v>
      </c>
      <c r="H238" s="40"/>
      <c r="J238" s="6"/>
    </row>
    <row r="239" spans="1:10" hidden="1" x14ac:dyDescent="0.35">
      <c r="A239" s="2">
        <f t="shared" si="3"/>
        <v>238</v>
      </c>
      <c r="B239" s="2"/>
      <c r="C239" s="2"/>
      <c r="D239" s="2"/>
      <c r="E239" s="2"/>
      <c r="F239" s="39"/>
      <c r="G239" s="2">
        <f>DAY(EOMONTH(Spare[[#This Row],[Date]], 0))</f>
        <v>31</v>
      </c>
      <c r="H239" s="40"/>
      <c r="J239" s="6"/>
    </row>
    <row r="240" spans="1:10" hidden="1" x14ac:dyDescent="0.35">
      <c r="A240" s="2">
        <f t="shared" si="3"/>
        <v>239</v>
      </c>
      <c r="B240" s="2"/>
      <c r="C240" s="2"/>
      <c r="D240" s="2"/>
      <c r="E240" s="2"/>
      <c r="F240" s="39"/>
      <c r="G240" s="2">
        <f>DAY(EOMONTH(Spare[[#This Row],[Date]], 0))</f>
        <v>31</v>
      </c>
      <c r="H240" s="40"/>
      <c r="J240" s="6"/>
    </row>
    <row r="241" spans="1:10" hidden="1" x14ac:dyDescent="0.35">
      <c r="A241" s="2">
        <f t="shared" si="3"/>
        <v>240</v>
      </c>
      <c r="B241" s="2"/>
      <c r="C241" s="2"/>
      <c r="D241" s="2"/>
      <c r="E241" s="2"/>
      <c r="F241" s="39"/>
      <c r="G241" s="2">
        <f>DAY(EOMONTH(Spare[[#This Row],[Date]], 0))</f>
        <v>31</v>
      </c>
      <c r="H241" s="40"/>
      <c r="J241" s="6"/>
    </row>
    <row r="242" spans="1:10" hidden="1" x14ac:dyDescent="0.35">
      <c r="A242" s="2">
        <f t="shared" si="3"/>
        <v>241</v>
      </c>
      <c r="B242" s="2"/>
      <c r="C242" s="2"/>
      <c r="D242" s="2"/>
      <c r="E242" s="2"/>
      <c r="F242" s="39"/>
      <c r="G242" s="2">
        <f>DAY(EOMONTH(Spare[[#This Row],[Date]], 0))</f>
        <v>31</v>
      </c>
      <c r="H242" s="40"/>
      <c r="J242" s="6"/>
    </row>
    <row r="243" spans="1:10" hidden="1" x14ac:dyDescent="0.35">
      <c r="A243" s="2">
        <f t="shared" si="3"/>
        <v>242</v>
      </c>
      <c r="B243" s="2"/>
      <c r="C243" s="2"/>
      <c r="D243" s="2"/>
      <c r="E243" s="2"/>
      <c r="F243" s="39"/>
      <c r="G243" s="2">
        <f>DAY(EOMONTH(Spare[[#This Row],[Date]], 0))</f>
        <v>31</v>
      </c>
      <c r="H243" s="40"/>
      <c r="J243" s="6"/>
    </row>
    <row r="244" spans="1:10" hidden="1" x14ac:dyDescent="0.35">
      <c r="A244" s="2">
        <f t="shared" si="3"/>
        <v>243</v>
      </c>
      <c r="B244" s="2"/>
      <c r="C244" s="2"/>
      <c r="D244" s="2"/>
      <c r="E244" s="2"/>
      <c r="F244" s="39"/>
      <c r="G244" s="2">
        <f>DAY(EOMONTH(Spare[[#This Row],[Date]], 0))</f>
        <v>31</v>
      </c>
      <c r="H244" s="40"/>
      <c r="J244" s="6"/>
    </row>
    <row r="245" spans="1:10" hidden="1" x14ac:dyDescent="0.35">
      <c r="A245" s="2">
        <f t="shared" si="3"/>
        <v>244</v>
      </c>
      <c r="B245" s="2"/>
      <c r="C245" s="2"/>
      <c r="D245" s="2"/>
      <c r="E245" s="2"/>
      <c r="F245" s="39"/>
      <c r="G245" s="2">
        <f>DAY(EOMONTH(Spare[[#This Row],[Date]], 0))</f>
        <v>31</v>
      </c>
      <c r="H245" s="40"/>
      <c r="J245" s="6"/>
    </row>
    <row r="246" spans="1:10" hidden="1" x14ac:dyDescent="0.35">
      <c r="A246" s="2">
        <f t="shared" si="3"/>
        <v>245</v>
      </c>
      <c r="B246" s="2"/>
      <c r="C246" s="2"/>
      <c r="D246" s="2"/>
      <c r="E246" s="2"/>
      <c r="F246" s="39"/>
      <c r="G246" s="2">
        <f>DAY(EOMONTH(Spare[[#This Row],[Date]], 0))</f>
        <v>31</v>
      </c>
      <c r="H246" s="40"/>
      <c r="J246" s="6"/>
    </row>
    <row r="247" spans="1:10" hidden="1" x14ac:dyDescent="0.35">
      <c r="A247" s="2">
        <f t="shared" si="3"/>
        <v>246</v>
      </c>
      <c r="B247" s="2"/>
      <c r="C247" s="2"/>
      <c r="D247" s="2"/>
      <c r="E247" s="2"/>
      <c r="F247" s="39"/>
      <c r="G247" s="2">
        <f>DAY(EOMONTH(Spare[[#This Row],[Date]], 0))</f>
        <v>31</v>
      </c>
      <c r="H247" s="40"/>
      <c r="J247" s="6"/>
    </row>
    <row r="248" spans="1:10" hidden="1" x14ac:dyDescent="0.35">
      <c r="A248" s="2">
        <f t="shared" si="3"/>
        <v>247</v>
      </c>
      <c r="B248" s="2"/>
      <c r="C248" s="2"/>
      <c r="D248" s="2"/>
      <c r="E248" s="2"/>
      <c r="F248" s="39"/>
      <c r="G248" s="2">
        <f>DAY(EOMONTH(Spare[[#This Row],[Date]], 0))</f>
        <v>31</v>
      </c>
      <c r="H248" s="40"/>
      <c r="J248" s="6"/>
    </row>
    <row r="249" spans="1:10" hidden="1" x14ac:dyDescent="0.35">
      <c r="A249" s="2">
        <f t="shared" si="3"/>
        <v>248</v>
      </c>
      <c r="B249" s="2"/>
      <c r="C249" s="2"/>
      <c r="D249" s="2"/>
      <c r="E249" s="2"/>
      <c r="F249" s="39"/>
      <c r="G249" s="2">
        <f>DAY(EOMONTH(Spare[[#This Row],[Date]], 0))</f>
        <v>31</v>
      </c>
      <c r="H249" s="40"/>
      <c r="J249" s="6"/>
    </row>
    <row r="250" spans="1:10" hidden="1" x14ac:dyDescent="0.35">
      <c r="A250" s="2">
        <f t="shared" si="3"/>
        <v>249</v>
      </c>
      <c r="B250" s="2"/>
      <c r="C250" s="2"/>
      <c r="D250" s="2"/>
      <c r="E250" s="2"/>
      <c r="F250" s="39"/>
      <c r="G250" s="2">
        <f>DAY(EOMONTH(Spare[[#This Row],[Date]], 0))</f>
        <v>31</v>
      </c>
      <c r="H250" s="40"/>
      <c r="J250" s="6"/>
    </row>
    <row r="251" spans="1:10" hidden="1" x14ac:dyDescent="0.35">
      <c r="A251" s="2">
        <f t="shared" si="3"/>
        <v>250</v>
      </c>
      <c r="B251" s="2"/>
      <c r="C251" s="2"/>
      <c r="D251" s="2"/>
      <c r="E251" s="2"/>
      <c r="F251" s="39"/>
      <c r="G251" s="2">
        <f>DAY(EOMONTH(Spare[[#This Row],[Date]], 0))</f>
        <v>31</v>
      </c>
      <c r="H251" s="40"/>
      <c r="J251" s="6"/>
    </row>
    <row r="252" spans="1:10" hidden="1" x14ac:dyDescent="0.35">
      <c r="A252" s="2">
        <f t="shared" si="3"/>
        <v>251</v>
      </c>
      <c r="B252" s="2"/>
      <c r="C252" s="2"/>
      <c r="D252" s="2"/>
      <c r="E252" s="2"/>
      <c r="F252" s="39"/>
      <c r="G252" s="2">
        <f>DAY(EOMONTH(Spare[[#This Row],[Date]], 0))</f>
        <v>31</v>
      </c>
      <c r="H252" s="40"/>
      <c r="J252" s="6"/>
    </row>
    <row r="253" spans="1:10" hidden="1" x14ac:dyDescent="0.35">
      <c r="A253" s="2">
        <f t="shared" si="3"/>
        <v>252</v>
      </c>
      <c r="B253" s="2"/>
      <c r="C253" s="2"/>
      <c r="D253" s="2"/>
      <c r="E253" s="2"/>
      <c r="F253" s="39"/>
      <c r="G253" s="2">
        <f>DAY(EOMONTH(Spare[[#This Row],[Date]], 0))</f>
        <v>31</v>
      </c>
      <c r="H253" s="40"/>
      <c r="J253" s="6"/>
    </row>
    <row r="254" spans="1:10" hidden="1" x14ac:dyDescent="0.35">
      <c r="A254" s="2">
        <f t="shared" si="3"/>
        <v>253</v>
      </c>
      <c r="B254" s="2"/>
      <c r="C254" s="2"/>
      <c r="D254" s="2"/>
      <c r="E254" s="2"/>
      <c r="F254" s="39"/>
      <c r="G254" s="2">
        <f>DAY(EOMONTH(Spare[[#This Row],[Date]], 0))</f>
        <v>31</v>
      </c>
      <c r="H254" s="40"/>
      <c r="J254" s="6"/>
    </row>
    <row r="255" spans="1:10" hidden="1" x14ac:dyDescent="0.35">
      <c r="A255" s="2">
        <f t="shared" si="3"/>
        <v>254</v>
      </c>
      <c r="B255" s="2"/>
      <c r="C255" s="2"/>
      <c r="D255" s="2"/>
      <c r="E255" s="2"/>
      <c r="F255" s="39"/>
      <c r="G255" s="2">
        <f>DAY(EOMONTH(Spare[[#This Row],[Date]], 0))</f>
        <v>31</v>
      </c>
      <c r="H255" s="40"/>
      <c r="J255" s="6"/>
    </row>
    <row r="256" spans="1:10" hidden="1" x14ac:dyDescent="0.35">
      <c r="A256" s="2">
        <f t="shared" si="3"/>
        <v>255</v>
      </c>
      <c r="B256" s="2"/>
      <c r="C256" s="2"/>
      <c r="D256" s="2"/>
      <c r="E256" s="2"/>
      <c r="F256" s="39"/>
      <c r="G256" s="2">
        <f>DAY(EOMONTH(Spare[[#This Row],[Date]], 0))</f>
        <v>31</v>
      </c>
      <c r="H256" s="40"/>
      <c r="J256" s="6"/>
    </row>
    <row r="257" spans="1:10" hidden="1" x14ac:dyDescent="0.35">
      <c r="A257" s="2">
        <f t="shared" si="3"/>
        <v>256</v>
      </c>
      <c r="B257" s="2"/>
      <c r="C257" s="2"/>
      <c r="D257" s="2"/>
      <c r="E257" s="2"/>
      <c r="F257" s="39"/>
      <c r="G257" s="2">
        <f>DAY(EOMONTH(Spare[[#This Row],[Date]], 0))</f>
        <v>31</v>
      </c>
      <c r="H257" s="40"/>
      <c r="J257" s="6"/>
    </row>
    <row r="258" spans="1:10" hidden="1" x14ac:dyDescent="0.35">
      <c r="A258" s="2">
        <f t="shared" si="3"/>
        <v>257</v>
      </c>
      <c r="B258" s="2"/>
      <c r="C258" s="2"/>
      <c r="D258" s="2"/>
      <c r="E258" s="2"/>
      <c r="F258" s="39"/>
      <c r="G258" s="2">
        <f>DAY(EOMONTH(Spare[[#This Row],[Date]], 0))</f>
        <v>31</v>
      </c>
      <c r="H258" s="40"/>
      <c r="J258" s="6"/>
    </row>
    <row r="259" spans="1:10" hidden="1" x14ac:dyDescent="0.35">
      <c r="A259" s="2">
        <f t="shared" si="3"/>
        <v>258</v>
      </c>
      <c r="B259" s="2"/>
      <c r="C259" s="2"/>
      <c r="D259" s="2"/>
      <c r="E259" s="2"/>
      <c r="F259" s="39"/>
      <c r="G259" s="2">
        <f>DAY(EOMONTH(Spare[[#This Row],[Date]], 0))</f>
        <v>31</v>
      </c>
      <c r="H259" s="40"/>
      <c r="J259" s="6"/>
    </row>
    <row r="260" spans="1:10" hidden="1" x14ac:dyDescent="0.35">
      <c r="A260" s="2">
        <f t="shared" ref="A260:A323" si="4">A259+1</f>
        <v>259</v>
      </c>
      <c r="B260" s="2"/>
      <c r="C260" s="2"/>
      <c r="D260" s="2"/>
      <c r="E260" s="2"/>
      <c r="F260" s="39"/>
      <c r="G260" s="2">
        <f>DAY(EOMONTH(Spare[[#This Row],[Date]], 0))</f>
        <v>31</v>
      </c>
      <c r="H260" s="40"/>
      <c r="J260" s="6"/>
    </row>
    <row r="261" spans="1:10" hidden="1" x14ac:dyDescent="0.35">
      <c r="A261" s="2">
        <f t="shared" si="4"/>
        <v>260</v>
      </c>
      <c r="B261" s="2"/>
      <c r="C261" s="2"/>
      <c r="D261" s="2"/>
      <c r="E261" s="2"/>
      <c r="F261" s="39"/>
      <c r="G261" s="2">
        <f>DAY(EOMONTH(Spare[[#This Row],[Date]], 0))</f>
        <v>31</v>
      </c>
      <c r="H261" s="40"/>
      <c r="J261" s="6"/>
    </row>
    <row r="262" spans="1:10" hidden="1" x14ac:dyDescent="0.35">
      <c r="A262" s="2">
        <f t="shared" si="4"/>
        <v>261</v>
      </c>
      <c r="B262" s="2"/>
      <c r="C262" s="2"/>
      <c r="D262" s="2"/>
      <c r="E262" s="2"/>
      <c r="F262" s="39"/>
      <c r="G262" s="2">
        <f>DAY(EOMONTH(Spare[[#This Row],[Date]], 0))</f>
        <v>31</v>
      </c>
      <c r="H262" s="40"/>
      <c r="J262" s="6"/>
    </row>
    <row r="263" spans="1:10" hidden="1" x14ac:dyDescent="0.35">
      <c r="A263" s="2">
        <f t="shared" si="4"/>
        <v>262</v>
      </c>
      <c r="B263" s="2"/>
      <c r="C263" s="2"/>
      <c r="D263" s="2"/>
      <c r="E263" s="2"/>
      <c r="F263" s="39"/>
      <c r="G263" s="2">
        <f>DAY(EOMONTH(Spare[[#This Row],[Date]], 0))</f>
        <v>31</v>
      </c>
      <c r="H263" s="40"/>
      <c r="J263" s="6"/>
    </row>
    <row r="264" spans="1:10" hidden="1" x14ac:dyDescent="0.35">
      <c r="A264" s="2">
        <f t="shared" si="4"/>
        <v>263</v>
      </c>
      <c r="B264" s="2"/>
      <c r="C264" s="2"/>
      <c r="D264" s="2"/>
      <c r="E264" s="2"/>
      <c r="F264" s="39"/>
      <c r="G264" s="2">
        <f>DAY(EOMONTH(Spare[[#This Row],[Date]], 0))</f>
        <v>31</v>
      </c>
      <c r="H264" s="40"/>
      <c r="J264" s="6"/>
    </row>
    <row r="265" spans="1:10" hidden="1" x14ac:dyDescent="0.35">
      <c r="A265" s="2">
        <f t="shared" si="4"/>
        <v>264</v>
      </c>
      <c r="B265" s="2"/>
      <c r="C265" s="2"/>
      <c r="D265" s="2"/>
      <c r="E265" s="2"/>
      <c r="F265" s="39"/>
      <c r="G265" s="2">
        <f>DAY(EOMONTH(Spare[[#This Row],[Date]], 0))</f>
        <v>31</v>
      </c>
      <c r="H265" s="40"/>
      <c r="J265" s="6"/>
    </row>
    <row r="266" spans="1:10" hidden="1" x14ac:dyDescent="0.35">
      <c r="A266" s="2">
        <f t="shared" si="4"/>
        <v>265</v>
      </c>
      <c r="B266" s="2"/>
      <c r="C266" s="2"/>
      <c r="D266" s="2"/>
      <c r="E266" s="2"/>
      <c r="F266" s="39"/>
      <c r="G266" s="2">
        <f>DAY(EOMONTH(Spare[[#This Row],[Date]], 0))</f>
        <v>31</v>
      </c>
      <c r="H266" s="40"/>
      <c r="J266" s="6"/>
    </row>
    <row r="267" spans="1:10" hidden="1" x14ac:dyDescent="0.35">
      <c r="A267" s="2">
        <f t="shared" si="4"/>
        <v>266</v>
      </c>
      <c r="B267" s="2"/>
      <c r="C267" s="2"/>
      <c r="D267" s="2"/>
      <c r="E267" s="2"/>
      <c r="F267" s="39"/>
      <c r="G267" s="2">
        <f>DAY(EOMONTH(Spare[[#This Row],[Date]], 0))</f>
        <v>31</v>
      </c>
      <c r="H267" s="40"/>
      <c r="J267" s="6"/>
    </row>
    <row r="268" spans="1:10" hidden="1" x14ac:dyDescent="0.35">
      <c r="A268" s="2">
        <f t="shared" si="4"/>
        <v>267</v>
      </c>
      <c r="B268" s="2"/>
      <c r="C268" s="2"/>
      <c r="D268" s="2"/>
      <c r="E268" s="2"/>
      <c r="F268" s="39"/>
      <c r="G268" s="2">
        <f>DAY(EOMONTH(Spare[[#This Row],[Date]], 0))</f>
        <v>31</v>
      </c>
      <c r="H268" s="40"/>
      <c r="J268" s="6"/>
    </row>
    <row r="269" spans="1:10" hidden="1" x14ac:dyDescent="0.35">
      <c r="A269" s="2">
        <f t="shared" si="4"/>
        <v>268</v>
      </c>
      <c r="B269" s="2"/>
      <c r="C269" s="2"/>
      <c r="D269" s="2"/>
      <c r="E269" s="2"/>
      <c r="F269" s="39"/>
      <c r="G269" s="2">
        <f>DAY(EOMONTH(Spare[[#This Row],[Date]], 0))</f>
        <v>31</v>
      </c>
      <c r="H269" s="40"/>
      <c r="J269" s="6"/>
    </row>
    <row r="270" spans="1:10" hidden="1" x14ac:dyDescent="0.35">
      <c r="A270" s="2">
        <f t="shared" si="4"/>
        <v>269</v>
      </c>
      <c r="B270" s="2"/>
      <c r="C270" s="2"/>
      <c r="D270" s="2"/>
      <c r="E270" s="2"/>
      <c r="F270" s="39"/>
      <c r="G270" s="2">
        <f>DAY(EOMONTH(Spare[[#This Row],[Date]], 0))</f>
        <v>31</v>
      </c>
      <c r="H270" s="40"/>
      <c r="J270" s="6"/>
    </row>
    <row r="271" spans="1:10" hidden="1" x14ac:dyDescent="0.35">
      <c r="A271" s="2">
        <f t="shared" si="4"/>
        <v>270</v>
      </c>
      <c r="B271" s="2"/>
      <c r="C271" s="2"/>
      <c r="D271" s="2"/>
      <c r="E271" s="2"/>
      <c r="F271" s="39"/>
      <c r="G271" s="2">
        <f>DAY(EOMONTH(Spare[[#This Row],[Date]], 0))</f>
        <v>31</v>
      </c>
      <c r="H271" s="40"/>
      <c r="J271" s="6"/>
    </row>
    <row r="272" spans="1:10" hidden="1" x14ac:dyDescent="0.35">
      <c r="A272" s="2">
        <f t="shared" si="4"/>
        <v>271</v>
      </c>
      <c r="B272" s="2"/>
      <c r="C272" s="2"/>
      <c r="D272" s="2"/>
      <c r="E272" s="2"/>
      <c r="F272" s="39"/>
      <c r="G272" s="2">
        <f>DAY(EOMONTH(Spare[[#This Row],[Date]], 0))</f>
        <v>31</v>
      </c>
      <c r="H272" s="40"/>
      <c r="J272" s="6"/>
    </row>
    <row r="273" spans="1:10" hidden="1" x14ac:dyDescent="0.35">
      <c r="A273" s="2">
        <f t="shared" si="4"/>
        <v>272</v>
      </c>
      <c r="B273" s="2"/>
      <c r="C273" s="2"/>
      <c r="D273" s="2"/>
      <c r="E273" s="2"/>
      <c r="F273" s="39"/>
      <c r="G273" s="2">
        <f>DAY(EOMONTH(Spare[[#This Row],[Date]], 0))</f>
        <v>31</v>
      </c>
      <c r="H273" s="40"/>
      <c r="J273" s="6"/>
    </row>
    <row r="274" spans="1:10" hidden="1" x14ac:dyDescent="0.35">
      <c r="A274" s="2">
        <f t="shared" si="4"/>
        <v>273</v>
      </c>
      <c r="B274" s="2"/>
      <c r="C274" s="2"/>
      <c r="D274" s="2"/>
      <c r="E274" s="2"/>
      <c r="F274" s="39"/>
      <c r="G274" s="2">
        <f>DAY(EOMONTH(Spare[[#This Row],[Date]], 0))</f>
        <v>31</v>
      </c>
      <c r="H274" s="40"/>
      <c r="J274" s="6"/>
    </row>
    <row r="275" spans="1:10" hidden="1" x14ac:dyDescent="0.35">
      <c r="A275" s="2">
        <f t="shared" si="4"/>
        <v>274</v>
      </c>
      <c r="B275" s="2"/>
      <c r="C275" s="2"/>
      <c r="D275" s="2"/>
      <c r="E275" s="2"/>
      <c r="F275" s="39"/>
      <c r="G275" s="2">
        <f>DAY(EOMONTH(Spare[[#This Row],[Date]], 0))</f>
        <v>31</v>
      </c>
      <c r="H275" s="40"/>
      <c r="J275" s="6"/>
    </row>
    <row r="276" spans="1:10" hidden="1" x14ac:dyDescent="0.35">
      <c r="A276" s="2">
        <f t="shared" si="4"/>
        <v>275</v>
      </c>
      <c r="B276" s="2"/>
      <c r="C276" s="2"/>
      <c r="D276" s="2"/>
      <c r="E276" s="2"/>
      <c r="F276" s="39"/>
      <c r="G276" s="2">
        <f>DAY(EOMONTH(Spare[[#This Row],[Date]], 0))</f>
        <v>31</v>
      </c>
      <c r="H276" s="40"/>
      <c r="J276" s="6"/>
    </row>
    <row r="277" spans="1:10" hidden="1" x14ac:dyDescent="0.35">
      <c r="A277" s="2">
        <f t="shared" si="4"/>
        <v>276</v>
      </c>
      <c r="B277" s="2"/>
      <c r="C277" s="2"/>
      <c r="D277" s="2"/>
      <c r="E277" s="2"/>
      <c r="F277" s="39"/>
      <c r="G277" s="2">
        <f>DAY(EOMONTH(Spare[[#This Row],[Date]], 0))</f>
        <v>31</v>
      </c>
      <c r="H277" s="40"/>
      <c r="J277" s="6"/>
    </row>
    <row r="278" spans="1:10" hidden="1" x14ac:dyDescent="0.35">
      <c r="A278" s="2">
        <f t="shared" si="4"/>
        <v>277</v>
      </c>
      <c r="B278" s="2"/>
      <c r="C278" s="2"/>
      <c r="D278" s="2"/>
      <c r="E278" s="2"/>
      <c r="F278" s="39"/>
      <c r="G278" s="2">
        <f>DAY(EOMONTH(Spare[[#This Row],[Date]], 0))</f>
        <v>31</v>
      </c>
      <c r="H278" s="40"/>
      <c r="J278" s="6"/>
    </row>
    <row r="279" spans="1:10" hidden="1" x14ac:dyDescent="0.35">
      <c r="A279" s="2">
        <f t="shared" si="4"/>
        <v>278</v>
      </c>
      <c r="B279" s="2"/>
      <c r="C279" s="2"/>
      <c r="D279" s="2"/>
      <c r="E279" s="2"/>
      <c r="F279" s="39"/>
      <c r="G279" s="2">
        <f>DAY(EOMONTH(Spare[[#This Row],[Date]], 0))</f>
        <v>31</v>
      </c>
      <c r="H279" s="40"/>
      <c r="J279" s="6"/>
    </row>
    <row r="280" spans="1:10" hidden="1" x14ac:dyDescent="0.35">
      <c r="A280" s="2">
        <f t="shared" si="4"/>
        <v>279</v>
      </c>
      <c r="B280" s="2"/>
      <c r="C280" s="2"/>
      <c r="D280" s="2"/>
      <c r="E280" s="2"/>
      <c r="F280" s="39"/>
      <c r="G280" s="2">
        <f>DAY(EOMONTH(Spare[[#This Row],[Date]], 0))</f>
        <v>31</v>
      </c>
      <c r="H280" s="40"/>
      <c r="J280" s="6"/>
    </row>
    <row r="281" spans="1:10" hidden="1" x14ac:dyDescent="0.35">
      <c r="A281" s="2">
        <f t="shared" si="4"/>
        <v>280</v>
      </c>
      <c r="B281" s="2"/>
      <c r="C281" s="2"/>
      <c r="D281" s="2"/>
      <c r="E281" s="2"/>
      <c r="F281" s="39"/>
      <c r="G281" s="2">
        <f>DAY(EOMONTH(Spare[[#This Row],[Date]], 0))</f>
        <v>31</v>
      </c>
      <c r="H281" s="40"/>
      <c r="J281" s="6"/>
    </row>
    <row r="282" spans="1:10" hidden="1" x14ac:dyDescent="0.35">
      <c r="A282" s="2">
        <f t="shared" si="4"/>
        <v>281</v>
      </c>
      <c r="B282" s="2"/>
      <c r="C282" s="2"/>
      <c r="D282" s="2"/>
      <c r="E282" s="2"/>
      <c r="F282" s="39"/>
      <c r="G282" s="2">
        <f>DAY(EOMONTH(Spare[[#This Row],[Date]], 0))</f>
        <v>31</v>
      </c>
      <c r="H282" s="40"/>
      <c r="J282" s="6"/>
    </row>
    <row r="283" spans="1:10" hidden="1" x14ac:dyDescent="0.35">
      <c r="A283" s="2">
        <f t="shared" si="4"/>
        <v>282</v>
      </c>
      <c r="B283" s="2"/>
      <c r="C283" s="2"/>
      <c r="D283" s="2"/>
      <c r="E283" s="2"/>
      <c r="F283" s="39"/>
      <c r="G283" s="2">
        <f>DAY(EOMONTH(Spare[[#This Row],[Date]], 0))</f>
        <v>31</v>
      </c>
      <c r="H283" s="40"/>
      <c r="J283" s="6"/>
    </row>
    <row r="284" spans="1:10" hidden="1" x14ac:dyDescent="0.35">
      <c r="A284" s="2">
        <f t="shared" si="4"/>
        <v>283</v>
      </c>
      <c r="B284" s="2"/>
      <c r="C284" s="2"/>
      <c r="D284" s="2"/>
      <c r="E284" s="2"/>
      <c r="F284" s="39"/>
      <c r="G284" s="2">
        <f>DAY(EOMONTH(Spare[[#This Row],[Date]], 0))</f>
        <v>31</v>
      </c>
      <c r="H284" s="40"/>
      <c r="J284" s="6"/>
    </row>
    <row r="285" spans="1:10" hidden="1" x14ac:dyDescent="0.35">
      <c r="A285" s="2">
        <f t="shared" si="4"/>
        <v>284</v>
      </c>
      <c r="B285" s="2"/>
      <c r="C285" s="2"/>
      <c r="D285" s="2"/>
      <c r="E285" s="2"/>
      <c r="F285" s="39"/>
      <c r="G285" s="2">
        <f>DAY(EOMONTH(Spare[[#This Row],[Date]], 0))</f>
        <v>31</v>
      </c>
      <c r="H285" s="40"/>
      <c r="J285" s="6"/>
    </row>
    <row r="286" spans="1:10" hidden="1" x14ac:dyDescent="0.35">
      <c r="A286" s="2">
        <f t="shared" si="4"/>
        <v>285</v>
      </c>
      <c r="B286" s="2"/>
      <c r="C286" s="2"/>
      <c r="D286" s="2"/>
      <c r="E286" s="2"/>
      <c r="F286" s="39"/>
      <c r="G286" s="2">
        <f>DAY(EOMONTH(Spare[[#This Row],[Date]], 0))</f>
        <v>31</v>
      </c>
      <c r="H286" s="40"/>
      <c r="J286" s="6"/>
    </row>
    <row r="287" spans="1:10" hidden="1" x14ac:dyDescent="0.35">
      <c r="A287" s="2">
        <f t="shared" si="4"/>
        <v>286</v>
      </c>
      <c r="B287" s="2"/>
      <c r="C287" s="2"/>
      <c r="D287" s="2"/>
      <c r="E287" s="2"/>
      <c r="F287" s="39"/>
      <c r="G287" s="2">
        <f>DAY(EOMONTH(Spare[[#This Row],[Date]], 0))</f>
        <v>31</v>
      </c>
      <c r="H287" s="40"/>
      <c r="J287" s="6"/>
    </row>
    <row r="288" spans="1:10" hidden="1" x14ac:dyDescent="0.35">
      <c r="A288" s="2">
        <f t="shared" si="4"/>
        <v>287</v>
      </c>
      <c r="B288" s="2"/>
      <c r="C288" s="2"/>
      <c r="D288" s="2"/>
      <c r="E288" s="2"/>
      <c r="F288" s="39"/>
      <c r="G288" s="2">
        <f>DAY(EOMONTH(Spare[[#This Row],[Date]], 0))</f>
        <v>31</v>
      </c>
      <c r="H288" s="40"/>
      <c r="J288" s="6"/>
    </row>
    <row r="289" spans="1:10" hidden="1" x14ac:dyDescent="0.35">
      <c r="A289" s="2">
        <f t="shared" si="4"/>
        <v>288</v>
      </c>
      <c r="B289" s="2"/>
      <c r="C289" s="2"/>
      <c r="D289" s="2"/>
      <c r="E289" s="2"/>
      <c r="F289" s="39"/>
      <c r="G289" s="2">
        <f>DAY(EOMONTH(Spare[[#This Row],[Date]], 0))</f>
        <v>31</v>
      </c>
      <c r="H289" s="40"/>
      <c r="J289" s="6"/>
    </row>
    <row r="290" spans="1:10" hidden="1" x14ac:dyDescent="0.35">
      <c r="A290" s="2">
        <f t="shared" si="4"/>
        <v>289</v>
      </c>
      <c r="B290" s="2"/>
      <c r="C290" s="2"/>
      <c r="D290" s="2"/>
      <c r="E290" s="2"/>
      <c r="F290" s="39"/>
      <c r="G290" s="2">
        <f>DAY(EOMONTH(Spare[[#This Row],[Date]], 0))</f>
        <v>31</v>
      </c>
      <c r="H290" s="40"/>
      <c r="J290" s="6"/>
    </row>
    <row r="291" spans="1:10" hidden="1" x14ac:dyDescent="0.35">
      <c r="A291" s="2">
        <f t="shared" si="4"/>
        <v>290</v>
      </c>
      <c r="B291" s="2"/>
      <c r="C291" s="2"/>
      <c r="D291" s="2"/>
      <c r="E291" s="2"/>
      <c r="F291" s="39"/>
      <c r="G291" s="2">
        <f>DAY(EOMONTH(Spare[[#This Row],[Date]], 0))</f>
        <v>31</v>
      </c>
      <c r="H291" s="40"/>
      <c r="J291" s="6"/>
    </row>
    <row r="292" spans="1:10" hidden="1" x14ac:dyDescent="0.35">
      <c r="A292" s="2">
        <f t="shared" si="4"/>
        <v>291</v>
      </c>
      <c r="B292" s="2"/>
      <c r="C292" s="2"/>
      <c r="D292" s="2"/>
      <c r="E292" s="2"/>
      <c r="F292" s="39"/>
      <c r="G292" s="2">
        <f>DAY(EOMONTH(Spare[[#This Row],[Date]], 0))</f>
        <v>31</v>
      </c>
      <c r="H292" s="40"/>
      <c r="J292" s="6"/>
    </row>
    <row r="293" spans="1:10" hidden="1" x14ac:dyDescent="0.35">
      <c r="A293" s="2">
        <f t="shared" si="4"/>
        <v>292</v>
      </c>
      <c r="B293" s="2"/>
      <c r="C293" s="2"/>
      <c r="D293" s="2"/>
      <c r="E293" s="2"/>
      <c r="F293" s="39"/>
      <c r="G293" s="2">
        <f>DAY(EOMONTH(Spare[[#This Row],[Date]], 0))</f>
        <v>31</v>
      </c>
      <c r="H293" s="40"/>
      <c r="J293" s="6"/>
    </row>
    <row r="294" spans="1:10" hidden="1" x14ac:dyDescent="0.35">
      <c r="A294" s="2">
        <f t="shared" si="4"/>
        <v>293</v>
      </c>
      <c r="B294" s="2"/>
      <c r="C294" s="2"/>
      <c r="D294" s="2"/>
      <c r="E294" s="2"/>
      <c r="F294" s="39"/>
      <c r="G294" s="2">
        <f>DAY(EOMONTH(Spare[[#This Row],[Date]], 0))</f>
        <v>31</v>
      </c>
      <c r="H294" s="40"/>
      <c r="J294" s="6"/>
    </row>
    <row r="295" spans="1:10" hidden="1" x14ac:dyDescent="0.35">
      <c r="A295" s="2">
        <f t="shared" si="4"/>
        <v>294</v>
      </c>
      <c r="B295" s="2"/>
      <c r="C295" s="2"/>
      <c r="D295" s="2"/>
      <c r="E295" s="2"/>
      <c r="F295" s="39"/>
      <c r="G295" s="2">
        <f>DAY(EOMONTH(Spare[[#This Row],[Date]], 0))</f>
        <v>31</v>
      </c>
      <c r="H295" s="40"/>
      <c r="J295" s="6"/>
    </row>
    <row r="296" spans="1:10" hidden="1" x14ac:dyDescent="0.35">
      <c r="A296" s="2">
        <f t="shared" si="4"/>
        <v>295</v>
      </c>
      <c r="B296" s="2"/>
      <c r="C296" s="2"/>
      <c r="D296" s="2"/>
      <c r="E296" s="2"/>
      <c r="F296" s="39"/>
      <c r="G296" s="2">
        <f>DAY(EOMONTH(Spare[[#This Row],[Date]], 0))</f>
        <v>31</v>
      </c>
      <c r="H296" s="40"/>
      <c r="J296" s="6"/>
    </row>
    <row r="297" spans="1:10" hidden="1" x14ac:dyDescent="0.35">
      <c r="A297" s="2">
        <f t="shared" si="4"/>
        <v>296</v>
      </c>
      <c r="B297" s="2"/>
      <c r="C297" s="2"/>
      <c r="D297" s="2"/>
      <c r="E297" s="2"/>
      <c r="F297" s="39"/>
      <c r="G297" s="2">
        <f>DAY(EOMONTH(Spare[[#This Row],[Date]], 0))</f>
        <v>31</v>
      </c>
      <c r="H297" s="40"/>
      <c r="J297" s="6"/>
    </row>
    <row r="298" spans="1:10" hidden="1" x14ac:dyDescent="0.35">
      <c r="A298" s="2">
        <f t="shared" si="4"/>
        <v>297</v>
      </c>
      <c r="B298" s="2"/>
      <c r="C298" s="2"/>
      <c r="D298" s="2"/>
      <c r="E298" s="2"/>
      <c r="F298" s="39"/>
      <c r="G298" s="2">
        <f>DAY(EOMONTH(Spare[[#This Row],[Date]], 0))</f>
        <v>31</v>
      </c>
      <c r="H298" s="40"/>
      <c r="J298" s="6"/>
    </row>
    <row r="299" spans="1:10" hidden="1" x14ac:dyDescent="0.35">
      <c r="A299" s="2">
        <f t="shared" si="4"/>
        <v>298</v>
      </c>
      <c r="B299" s="2"/>
      <c r="C299" s="2"/>
      <c r="D299" s="2"/>
      <c r="E299" s="2"/>
      <c r="F299" s="39"/>
      <c r="G299" s="2">
        <f>DAY(EOMONTH(Spare[[#This Row],[Date]], 0))</f>
        <v>31</v>
      </c>
      <c r="H299" s="40"/>
      <c r="J299" s="6"/>
    </row>
    <row r="300" spans="1:10" hidden="1" x14ac:dyDescent="0.35">
      <c r="A300" s="2">
        <f t="shared" si="4"/>
        <v>299</v>
      </c>
      <c r="B300" s="2"/>
      <c r="C300" s="2"/>
      <c r="D300" s="2"/>
      <c r="E300" s="2"/>
      <c r="F300" s="39"/>
      <c r="G300" s="2">
        <f>DAY(EOMONTH(Spare[[#This Row],[Date]], 0))</f>
        <v>31</v>
      </c>
      <c r="H300" s="40"/>
      <c r="J300" s="6"/>
    </row>
    <row r="301" spans="1:10" hidden="1" x14ac:dyDescent="0.35">
      <c r="A301" s="2">
        <f t="shared" si="4"/>
        <v>300</v>
      </c>
      <c r="B301" s="2"/>
      <c r="C301" s="2"/>
      <c r="D301" s="2"/>
      <c r="E301" s="2"/>
      <c r="F301" s="39"/>
      <c r="G301" s="2">
        <f>DAY(EOMONTH(Spare[[#This Row],[Date]], 0))</f>
        <v>31</v>
      </c>
      <c r="H301" s="40"/>
      <c r="J301" s="6"/>
    </row>
    <row r="302" spans="1:10" hidden="1" x14ac:dyDescent="0.35">
      <c r="A302" s="2">
        <f t="shared" si="4"/>
        <v>301</v>
      </c>
      <c r="B302" s="2"/>
      <c r="C302" s="2"/>
      <c r="D302" s="2"/>
      <c r="E302" s="2"/>
      <c r="F302" s="39"/>
      <c r="G302" s="2">
        <f>DAY(EOMONTH(Spare[[#This Row],[Date]], 0))</f>
        <v>31</v>
      </c>
      <c r="H302" s="40"/>
      <c r="J302" s="6"/>
    </row>
    <row r="303" spans="1:10" hidden="1" x14ac:dyDescent="0.35">
      <c r="A303" s="2">
        <f t="shared" si="4"/>
        <v>302</v>
      </c>
      <c r="B303" s="2"/>
      <c r="C303" s="2"/>
      <c r="D303" s="2"/>
      <c r="E303" s="2"/>
      <c r="F303" s="39"/>
      <c r="G303" s="2">
        <f>DAY(EOMONTH(Spare[[#This Row],[Date]], 0))</f>
        <v>31</v>
      </c>
      <c r="H303" s="40"/>
      <c r="J303" s="6"/>
    </row>
    <row r="304" spans="1:10" hidden="1" x14ac:dyDescent="0.35">
      <c r="A304" s="2">
        <f t="shared" si="4"/>
        <v>303</v>
      </c>
      <c r="B304" s="2"/>
      <c r="C304" s="2"/>
      <c r="D304" s="2"/>
      <c r="E304" s="2"/>
      <c r="F304" s="39"/>
      <c r="G304" s="2">
        <f>DAY(EOMONTH(Spare[[#This Row],[Date]], 0))</f>
        <v>31</v>
      </c>
      <c r="H304" s="40"/>
      <c r="J304" s="6"/>
    </row>
    <row r="305" spans="1:10" hidden="1" x14ac:dyDescent="0.35">
      <c r="A305" s="2">
        <f t="shared" si="4"/>
        <v>304</v>
      </c>
      <c r="B305" s="2"/>
      <c r="C305" s="2"/>
      <c r="D305" s="2"/>
      <c r="E305" s="2"/>
      <c r="F305" s="39"/>
      <c r="G305" s="2">
        <f>DAY(EOMONTH(Spare[[#This Row],[Date]], 0))</f>
        <v>31</v>
      </c>
      <c r="H305" s="40"/>
      <c r="J305" s="6"/>
    </row>
    <row r="306" spans="1:10" hidden="1" x14ac:dyDescent="0.35">
      <c r="A306" s="2">
        <f t="shared" si="4"/>
        <v>305</v>
      </c>
      <c r="B306" s="2"/>
      <c r="C306" s="2"/>
      <c r="D306" s="2"/>
      <c r="E306" s="2"/>
      <c r="F306" s="39"/>
      <c r="G306" s="2">
        <f>DAY(EOMONTH(Spare[[#This Row],[Date]], 0))</f>
        <v>31</v>
      </c>
      <c r="H306" s="40"/>
      <c r="J306" s="6"/>
    </row>
    <row r="307" spans="1:10" hidden="1" x14ac:dyDescent="0.35">
      <c r="A307" s="2">
        <f t="shared" si="4"/>
        <v>306</v>
      </c>
      <c r="B307" s="2"/>
      <c r="C307" s="2"/>
      <c r="D307" s="2"/>
      <c r="E307" s="2"/>
      <c r="F307" s="39"/>
      <c r="G307" s="2">
        <f>DAY(EOMONTH(Spare[[#This Row],[Date]], 0))</f>
        <v>31</v>
      </c>
      <c r="H307" s="40"/>
      <c r="J307" s="6"/>
    </row>
    <row r="308" spans="1:10" hidden="1" x14ac:dyDescent="0.35">
      <c r="A308" s="2">
        <f t="shared" si="4"/>
        <v>307</v>
      </c>
      <c r="B308" s="2"/>
      <c r="C308" s="2"/>
      <c r="D308" s="2"/>
      <c r="E308" s="2"/>
      <c r="F308" s="39"/>
      <c r="G308" s="2">
        <f>DAY(EOMONTH(Spare[[#This Row],[Date]], 0))</f>
        <v>31</v>
      </c>
      <c r="H308" s="40"/>
      <c r="J308" s="6"/>
    </row>
    <row r="309" spans="1:10" hidden="1" x14ac:dyDescent="0.35">
      <c r="A309" s="2">
        <f t="shared" si="4"/>
        <v>308</v>
      </c>
      <c r="B309" s="2"/>
      <c r="C309" s="2"/>
      <c r="D309" s="2"/>
      <c r="E309" s="2"/>
      <c r="F309" s="39"/>
      <c r="G309" s="2">
        <f>DAY(EOMONTH(Spare[[#This Row],[Date]], 0))</f>
        <v>31</v>
      </c>
      <c r="H309" s="40"/>
      <c r="J309" s="6"/>
    </row>
    <row r="310" spans="1:10" hidden="1" x14ac:dyDescent="0.35">
      <c r="A310" s="2">
        <f t="shared" si="4"/>
        <v>309</v>
      </c>
      <c r="B310" s="2"/>
      <c r="C310" s="2"/>
      <c r="D310" s="2"/>
      <c r="E310" s="2"/>
      <c r="F310" s="39"/>
      <c r="G310" s="2">
        <f>DAY(EOMONTH(Spare[[#This Row],[Date]], 0))</f>
        <v>31</v>
      </c>
      <c r="H310" s="40"/>
      <c r="J310" s="6"/>
    </row>
    <row r="311" spans="1:10" hidden="1" x14ac:dyDescent="0.35">
      <c r="A311" s="2">
        <f t="shared" si="4"/>
        <v>310</v>
      </c>
      <c r="B311" s="2"/>
      <c r="C311" s="2"/>
      <c r="D311" s="2"/>
      <c r="E311" s="2"/>
      <c r="F311" s="39"/>
      <c r="G311" s="2">
        <f>DAY(EOMONTH(Spare[[#This Row],[Date]], 0))</f>
        <v>31</v>
      </c>
      <c r="H311" s="40"/>
      <c r="J311" s="6"/>
    </row>
    <row r="312" spans="1:10" hidden="1" x14ac:dyDescent="0.35">
      <c r="A312" s="2">
        <f t="shared" si="4"/>
        <v>311</v>
      </c>
      <c r="B312" s="2"/>
      <c r="C312" s="2"/>
      <c r="D312" s="2"/>
      <c r="E312" s="2"/>
      <c r="F312" s="39"/>
      <c r="G312" s="2">
        <f>DAY(EOMONTH(Spare[[#This Row],[Date]], 0))</f>
        <v>31</v>
      </c>
      <c r="H312" s="40"/>
      <c r="J312" s="6"/>
    </row>
    <row r="313" spans="1:10" hidden="1" x14ac:dyDescent="0.35">
      <c r="A313" s="2">
        <f t="shared" si="4"/>
        <v>312</v>
      </c>
      <c r="B313" s="2"/>
      <c r="C313" s="2"/>
      <c r="D313" s="2"/>
      <c r="E313" s="2"/>
      <c r="F313" s="39"/>
      <c r="G313" s="2">
        <f>DAY(EOMONTH(Spare[[#This Row],[Date]], 0))</f>
        <v>31</v>
      </c>
      <c r="H313" s="40"/>
      <c r="J313" s="6"/>
    </row>
    <row r="314" spans="1:10" hidden="1" x14ac:dyDescent="0.35">
      <c r="A314" s="2">
        <f t="shared" si="4"/>
        <v>313</v>
      </c>
      <c r="B314" s="2"/>
      <c r="C314" s="2"/>
      <c r="D314" s="2"/>
      <c r="E314" s="2"/>
      <c r="F314" s="39"/>
      <c r="G314" s="2">
        <f>DAY(EOMONTH(Spare[[#This Row],[Date]], 0))</f>
        <v>31</v>
      </c>
      <c r="H314" s="40"/>
      <c r="J314" s="6"/>
    </row>
    <row r="315" spans="1:10" hidden="1" x14ac:dyDescent="0.35">
      <c r="A315" s="2">
        <f t="shared" si="4"/>
        <v>314</v>
      </c>
      <c r="B315" s="2"/>
      <c r="C315" s="2"/>
      <c r="D315" s="2"/>
      <c r="E315" s="2"/>
      <c r="F315" s="39"/>
      <c r="G315" s="2">
        <f>DAY(EOMONTH(Spare[[#This Row],[Date]], 0))</f>
        <v>31</v>
      </c>
      <c r="H315" s="40"/>
      <c r="J315" s="6"/>
    </row>
    <row r="316" spans="1:10" hidden="1" x14ac:dyDescent="0.35">
      <c r="A316" s="2">
        <f t="shared" si="4"/>
        <v>315</v>
      </c>
      <c r="B316" s="2"/>
      <c r="C316" s="2"/>
      <c r="D316" s="2"/>
      <c r="E316" s="2"/>
      <c r="F316" s="39"/>
      <c r="G316" s="2">
        <f>DAY(EOMONTH(Spare[[#This Row],[Date]], 0))</f>
        <v>31</v>
      </c>
      <c r="H316" s="40"/>
      <c r="J316" s="6"/>
    </row>
    <row r="317" spans="1:10" hidden="1" x14ac:dyDescent="0.35">
      <c r="A317" s="2">
        <f t="shared" si="4"/>
        <v>316</v>
      </c>
      <c r="B317" s="2"/>
      <c r="C317" s="2"/>
      <c r="D317" s="2"/>
      <c r="E317" s="2"/>
      <c r="F317" s="39"/>
      <c r="G317" s="2">
        <f>DAY(EOMONTH(Spare[[#This Row],[Date]], 0))</f>
        <v>31</v>
      </c>
      <c r="H317" s="40"/>
      <c r="J317" s="6"/>
    </row>
    <row r="318" spans="1:10" hidden="1" x14ac:dyDescent="0.35">
      <c r="A318" s="2">
        <f t="shared" si="4"/>
        <v>317</v>
      </c>
      <c r="B318" s="2"/>
      <c r="C318" s="2"/>
      <c r="D318" s="2"/>
      <c r="E318" s="2"/>
      <c r="F318" s="39"/>
      <c r="G318" s="2">
        <f>DAY(EOMONTH(Spare[[#This Row],[Date]], 0))</f>
        <v>31</v>
      </c>
      <c r="H318" s="40"/>
      <c r="J318" s="6"/>
    </row>
    <row r="319" spans="1:10" hidden="1" x14ac:dyDescent="0.35">
      <c r="A319" s="2">
        <f t="shared" si="4"/>
        <v>318</v>
      </c>
      <c r="B319" s="2"/>
      <c r="C319" s="2"/>
      <c r="D319" s="2"/>
      <c r="E319" s="2"/>
      <c r="F319" s="39"/>
      <c r="G319" s="2">
        <f>DAY(EOMONTH(Spare[[#This Row],[Date]], 0))</f>
        <v>31</v>
      </c>
      <c r="H319" s="40"/>
      <c r="J319" s="6"/>
    </row>
    <row r="320" spans="1:10" hidden="1" x14ac:dyDescent="0.35">
      <c r="A320" s="2">
        <f t="shared" si="4"/>
        <v>319</v>
      </c>
      <c r="B320" s="2"/>
      <c r="C320" s="2"/>
      <c r="D320" s="2"/>
      <c r="E320" s="2"/>
      <c r="F320" s="39"/>
      <c r="G320" s="2">
        <f>DAY(EOMONTH(Spare[[#This Row],[Date]], 0))</f>
        <v>31</v>
      </c>
      <c r="H320" s="40"/>
      <c r="J320" s="6"/>
    </row>
    <row r="321" spans="1:10" hidden="1" x14ac:dyDescent="0.35">
      <c r="A321" s="2">
        <f t="shared" si="4"/>
        <v>320</v>
      </c>
      <c r="B321" s="2"/>
      <c r="C321" s="2"/>
      <c r="D321" s="2"/>
      <c r="E321" s="2"/>
      <c r="F321" s="39"/>
      <c r="G321" s="2">
        <f>DAY(EOMONTH(Spare[[#This Row],[Date]], 0))</f>
        <v>31</v>
      </c>
      <c r="H321" s="40"/>
      <c r="J321" s="6"/>
    </row>
    <row r="322" spans="1:10" hidden="1" x14ac:dyDescent="0.35">
      <c r="A322" s="2">
        <f t="shared" si="4"/>
        <v>321</v>
      </c>
      <c r="B322" s="2"/>
      <c r="C322" s="2"/>
      <c r="D322" s="2"/>
      <c r="E322" s="2"/>
      <c r="F322" s="39"/>
      <c r="G322" s="2">
        <f>DAY(EOMONTH(Spare[[#This Row],[Date]], 0))</f>
        <v>31</v>
      </c>
      <c r="H322" s="40"/>
      <c r="J322" s="6"/>
    </row>
    <row r="323" spans="1:10" hidden="1" x14ac:dyDescent="0.35">
      <c r="A323" s="2">
        <f t="shared" si="4"/>
        <v>322</v>
      </c>
      <c r="B323" s="2"/>
      <c r="C323" s="2"/>
      <c r="D323" s="2"/>
      <c r="E323" s="2"/>
      <c r="F323" s="39"/>
      <c r="G323" s="2">
        <f>DAY(EOMONTH(Spare[[#This Row],[Date]], 0))</f>
        <v>31</v>
      </c>
      <c r="H323" s="40"/>
      <c r="J323" s="6"/>
    </row>
    <row r="324" spans="1:10" hidden="1" x14ac:dyDescent="0.35">
      <c r="A324" s="2">
        <f t="shared" ref="A324:A387" si="5">A323+1</f>
        <v>323</v>
      </c>
      <c r="B324" s="2"/>
      <c r="C324" s="2"/>
      <c r="D324" s="2"/>
      <c r="E324" s="2"/>
      <c r="F324" s="39"/>
      <c r="G324" s="2">
        <f>DAY(EOMONTH(Spare[[#This Row],[Date]], 0))</f>
        <v>31</v>
      </c>
      <c r="H324" s="40"/>
      <c r="J324" s="6"/>
    </row>
    <row r="325" spans="1:10" hidden="1" x14ac:dyDescent="0.35">
      <c r="A325" s="2">
        <f t="shared" si="5"/>
        <v>324</v>
      </c>
      <c r="B325" s="2"/>
      <c r="C325" s="2"/>
      <c r="D325" s="2"/>
      <c r="E325" s="2"/>
      <c r="F325" s="39"/>
      <c r="G325" s="2">
        <f>DAY(EOMONTH(Spare[[#This Row],[Date]], 0))</f>
        <v>31</v>
      </c>
      <c r="H325" s="40"/>
      <c r="J325" s="6"/>
    </row>
    <row r="326" spans="1:10" hidden="1" x14ac:dyDescent="0.35">
      <c r="A326" s="2">
        <f t="shared" si="5"/>
        <v>325</v>
      </c>
      <c r="B326" s="2"/>
      <c r="C326" s="2"/>
      <c r="D326" s="2"/>
      <c r="E326" s="2"/>
      <c r="F326" s="39"/>
      <c r="G326" s="2">
        <f>DAY(EOMONTH(Spare[[#This Row],[Date]], 0))</f>
        <v>31</v>
      </c>
      <c r="H326" s="40"/>
      <c r="J326" s="6"/>
    </row>
    <row r="327" spans="1:10" hidden="1" x14ac:dyDescent="0.35">
      <c r="A327" s="2">
        <f t="shared" si="5"/>
        <v>326</v>
      </c>
      <c r="B327" s="2"/>
      <c r="C327" s="2"/>
      <c r="D327" s="2"/>
      <c r="E327" s="2"/>
      <c r="F327" s="39"/>
      <c r="G327" s="2">
        <f>DAY(EOMONTH(Spare[[#This Row],[Date]], 0))</f>
        <v>31</v>
      </c>
      <c r="H327" s="40"/>
      <c r="J327" s="6"/>
    </row>
    <row r="328" spans="1:10" hidden="1" x14ac:dyDescent="0.35">
      <c r="A328" s="2">
        <f t="shared" si="5"/>
        <v>327</v>
      </c>
      <c r="B328" s="2"/>
      <c r="C328" s="2"/>
      <c r="D328" s="2"/>
      <c r="E328" s="2"/>
      <c r="F328" s="39"/>
      <c r="G328" s="2">
        <f>DAY(EOMONTH(Spare[[#This Row],[Date]], 0))</f>
        <v>31</v>
      </c>
      <c r="H328" s="40"/>
      <c r="J328" s="6"/>
    </row>
    <row r="329" spans="1:10" hidden="1" x14ac:dyDescent="0.35">
      <c r="A329" s="2">
        <f t="shared" si="5"/>
        <v>328</v>
      </c>
      <c r="B329" s="2"/>
      <c r="C329" s="2"/>
      <c r="D329" s="2"/>
      <c r="E329" s="2"/>
      <c r="F329" s="39"/>
      <c r="G329" s="2">
        <f>DAY(EOMONTH(Spare[[#This Row],[Date]], 0))</f>
        <v>31</v>
      </c>
      <c r="H329" s="40"/>
      <c r="J329" s="6"/>
    </row>
    <row r="330" spans="1:10" hidden="1" x14ac:dyDescent="0.35">
      <c r="A330" s="2">
        <f t="shared" si="5"/>
        <v>329</v>
      </c>
      <c r="B330" s="2"/>
      <c r="C330" s="2"/>
      <c r="D330" s="2"/>
      <c r="E330" s="2"/>
      <c r="F330" s="39"/>
      <c r="G330" s="2">
        <f>DAY(EOMONTH(Spare[[#This Row],[Date]], 0))</f>
        <v>31</v>
      </c>
      <c r="H330" s="40"/>
      <c r="J330" s="6"/>
    </row>
    <row r="331" spans="1:10" hidden="1" x14ac:dyDescent="0.35">
      <c r="A331" s="2">
        <f t="shared" si="5"/>
        <v>330</v>
      </c>
      <c r="B331" s="2"/>
      <c r="C331" s="2"/>
      <c r="D331" s="2"/>
      <c r="E331" s="2"/>
      <c r="F331" s="39"/>
      <c r="G331" s="2">
        <f>DAY(EOMONTH(Spare[[#This Row],[Date]], 0))</f>
        <v>31</v>
      </c>
      <c r="H331" s="40"/>
      <c r="J331" s="6"/>
    </row>
    <row r="332" spans="1:10" hidden="1" x14ac:dyDescent="0.35">
      <c r="A332" s="2">
        <f t="shared" si="5"/>
        <v>331</v>
      </c>
      <c r="B332" s="2"/>
      <c r="C332" s="2"/>
      <c r="D332" s="2"/>
      <c r="E332" s="2"/>
      <c r="F332" s="39"/>
      <c r="G332" s="2">
        <f>DAY(EOMONTH(Spare[[#This Row],[Date]], 0))</f>
        <v>31</v>
      </c>
      <c r="H332" s="40"/>
      <c r="J332" s="6"/>
    </row>
    <row r="333" spans="1:10" hidden="1" x14ac:dyDescent="0.35">
      <c r="A333" s="2">
        <f t="shared" si="5"/>
        <v>332</v>
      </c>
      <c r="B333" s="2"/>
      <c r="C333" s="2"/>
      <c r="D333" s="2"/>
      <c r="E333" s="2"/>
      <c r="F333" s="39"/>
      <c r="G333" s="2">
        <f>DAY(EOMONTH(Spare[[#This Row],[Date]], 0))</f>
        <v>31</v>
      </c>
      <c r="H333" s="40"/>
      <c r="J333" s="6"/>
    </row>
    <row r="334" spans="1:10" hidden="1" x14ac:dyDescent="0.35">
      <c r="A334" s="2">
        <f t="shared" si="5"/>
        <v>333</v>
      </c>
      <c r="B334" s="2"/>
      <c r="C334" s="2"/>
      <c r="D334" s="2"/>
      <c r="E334" s="2"/>
      <c r="F334" s="39"/>
      <c r="G334" s="2">
        <f>DAY(EOMONTH(Spare[[#This Row],[Date]], 0))</f>
        <v>31</v>
      </c>
      <c r="H334" s="40"/>
      <c r="J334" s="6"/>
    </row>
    <row r="335" spans="1:10" hidden="1" x14ac:dyDescent="0.35">
      <c r="A335" s="2">
        <f t="shared" si="5"/>
        <v>334</v>
      </c>
      <c r="B335" s="2"/>
      <c r="C335" s="2"/>
      <c r="D335" s="2"/>
      <c r="E335" s="2"/>
      <c r="F335" s="39"/>
      <c r="G335" s="2">
        <f>DAY(EOMONTH(Spare[[#This Row],[Date]], 0))</f>
        <v>31</v>
      </c>
      <c r="H335" s="40"/>
      <c r="J335" s="6"/>
    </row>
    <row r="336" spans="1:10" hidden="1" x14ac:dyDescent="0.35">
      <c r="A336" s="2">
        <f t="shared" si="5"/>
        <v>335</v>
      </c>
      <c r="B336" s="2"/>
      <c r="C336" s="2"/>
      <c r="D336" s="2"/>
      <c r="E336" s="2"/>
      <c r="F336" s="39"/>
      <c r="G336" s="2">
        <f>DAY(EOMONTH(Spare[[#This Row],[Date]], 0))</f>
        <v>31</v>
      </c>
      <c r="H336" s="40"/>
      <c r="J336" s="6"/>
    </row>
    <row r="337" spans="1:10" hidden="1" x14ac:dyDescent="0.35">
      <c r="A337" s="2">
        <f t="shared" si="5"/>
        <v>336</v>
      </c>
      <c r="B337" s="2"/>
      <c r="C337" s="2"/>
      <c r="D337" s="2"/>
      <c r="E337" s="2"/>
      <c r="F337" s="39"/>
      <c r="G337" s="2">
        <f>DAY(EOMONTH(Spare[[#This Row],[Date]], 0))</f>
        <v>31</v>
      </c>
      <c r="H337" s="40"/>
      <c r="J337" s="6"/>
    </row>
    <row r="338" spans="1:10" hidden="1" x14ac:dyDescent="0.35">
      <c r="A338" s="2">
        <f t="shared" si="5"/>
        <v>337</v>
      </c>
      <c r="B338" s="2"/>
      <c r="C338" s="2"/>
      <c r="D338" s="2"/>
      <c r="E338" s="2"/>
      <c r="F338" s="39"/>
      <c r="G338" s="2">
        <f>DAY(EOMONTH(Spare[[#This Row],[Date]], 0))</f>
        <v>31</v>
      </c>
      <c r="H338" s="40"/>
      <c r="J338" s="6"/>
    </row>
    <row r="339" spans="1:10" hidden="1" x14ac:dyDescent="0.35">
      <c r="A339" s="2">
        <f t="shared" si="5"/>
        <v>338</v>
      </c>
      <c r="B339" s="2"/>
      <c r="C339" s="2"/>
      <c r="D339" s="2"/>
      <c r="E339" s="2"/>
      <c r="F339" s="39"/>
      <c r="G339" s="2">
        <f>DAY(EOMONTH(Spare[[#This Row],[Date]], 0))</f>
        <v>31</v>
      </c>
      <c r="H339" s="40"/>
      <c r="J339" s="6"/>
    </row>
    <row r="340" spans="1:10" hidden="1" x14ac:dyDescent="0.35">
      <c r="A340" s="2">
        <f t="shared" si="5"/>
        <v>339</v>
      </c>
      <c r="B340" s="2"/>
      <c r="C340" s="2"/>
      <c r="D340" s="2"/>
      <c r="E340" s="2"/>
      <c r="F340" s="39"/>
      <c r="G340" s="2">
        <f>DAY(EOMONTH(Spare[[#This Row],[Date]], 0))</f>
        <v>31</v>
      </c>
      <c r="H340" s="40"/>
      <c r="J340" s="6"/>
    </row>
    <row r="341" spans="1:10" hidden="1" x14ac:dyDescent="0.35">
      <c r="A341" s="2">
        <f t="shared" si="5"/>
        <v>340</v>
      </c>
      <c r="B341" s="2"/>
      <c r="C341" s="2"/>
      <c r="D341" s="2"/>
      <c r="E341" s="2"/>
      <c r="F341" s="39"/>
      <c r="G341" s="2">
        <f>DAY(EOMONTH(Spare[[#This Row],[Date]], 0))</f>
        <v>31</v>
      </c>
      <c r="H341" s="40"/>
      <c r="J341" s="6"/>
    </row>
    <row r="342" spans="1:10" hidden="1" x14ac:dyDescent="0.35">
      <c r="A342" s="2">
        <f t="shared" si="5"/>
        <v>341</v>
      </c>
      <c r="B342" s="2"/>
      <c r="C342" s="2"/>
      <c r="D342" s="2"/>
      <c r="E342" s="2"/>
      <c r="F342" s="39"/>
      <c r="G342" s="2">
        <f>DAY(EOMONTH(Spare[[#This Row],[Date]], 0))</f>
        <v>31</v>
      </c>
      <c r="H342" s="40"/>
      <c r="J342" s="6"/>
    </row>
    <row r="343" spans="1:10" hidden="1" x14ac:dyDescent="0.35">
      <c r="A343" s="2">
        <f t="shared" si="5"/>
        <v>342</v>
      </c>
      <c r="B343" s="2"/>
      <c r="C343" s="2"/>
      <c r="D343" s="2"/>
      <c r="E343" s="2"/>
      <c r="F343" s="39"/>
      <c r="G343" s="2">
        <f>DAY(EOMONTH(Spare[[#This Row],[Date]], 0))</f>
        <v>31</v>
      </c>
      <c r="H343" s="40"/>
      <c r="J343" s="6"/>
    </row>
    <row r="344" spans="1:10" hidden="1" x14ac:dyDescent="0.35">
      <c r="A344" s="2">
        <f t="shared" si="5"/>
        <v>343</v>
      </c>
      <c r="B344" s="2"/>
      <c r="C344" s="2"/>
      <c r="D344" s="2"/>
      <c r="E344" s="2"/>
      <c r="F344" s="39"/>
      <c r="G344" s="2">
        <f>DAY(EOMONTH(Spare[[#This Row],[Date]], 0))</f>
        <v>31</v>
      </c>
      <c r="H344" s="40"/>
      <c r="J344" s="6"/>
    </row>
    <row r="345" spans="1:10" hidden="1" x14ac:dyDescent="0.35">
      <c r="A345" s="2">
        <f t="shared" si="5"/>
        <v>344</v>
      </c>
      <c r="B345" s="2"/>
      <c r="C345" s="2"/>
      <c r="D345" s="2"/>
      <c r="E345" s="2"/>
      <c r="F345" s="39"/>
      <c r="G345" s="2">
        <f>DAY(EOMONTH(Spare[[#This Row],[Date]], 0))</f>
        <v>31</v>
      </c>
      <c r="H345" s="40"/>
      <c r="J345" s="6"/>
    </row>
    <row r="346" spans="1:10" hidden="1" x14ac:dyDescent="0.35">
      <c r="A346" s="2">
        <f t="shared" si="5"/>
        <v>345</v>
      </c>
      <c r="B346" s="2"/>
      <c r="C346" s="2"/>
      <c r="D346" s="2"/>
      <c r="E346" s="2"/>
      <c r="F346" s="39"/>
      <c r="G346" s="2">
        <f>DAY(EOMONTH(Spare[[#This Row],[Date]], 0))</f>
        <v>31</v>
      </c>
      <c r="H346" s="40"/>
      <c r="J346" s="6"/>
    </row>
    <row r="347" spans="1:10" hidden="1" x14ac:dyDescent="0.35">
      <c r="A347" s="2">
        <f t="shared" si="5"/>
        <v>346</v>
      </c>
      <c r="B347" s="2"/>
      <c r="C347" s="2"/>
      <c r="D347" s="2"/>
      <c r="E347" s="2"/>
      <c r="F347" s="39"/>
      <c r="G347" s="2">
        <f>DAY(EOMONTH(Spare[[#This Row],[Date]], 0))</f>
        <v>31</v>
      </c>
      <c r="H347" s="40"/>
      <c r="J347" s="6"/>
    </row>
    <row r="348" spans="1:10" hidden="1" x14ac:dyDescent="0.35">
      <c r="A348" s="2">
        <f t="shared" si="5"/>
        <v>347</v>
      </c>
      <c r="B348" s="2"/>
      <c r="C348" s="2"/>
      <c r="D348" s="2"/>
      <c r="E348" s="2"/>
      <c r="F348" s="39"/>
      <c r="G348" s="2">
        <f>DAY(EOMONTH(Spare[[#This Row],[Date]], 0))</f>
        <v>31</v>
      </c>
      <c r="H348" s="40"/>
      <c r="J348" s="6"/>
    </row>
    <row r="349" spans="1:10" hidden="1" x14ac:dyDescent="0.35">
      <c r="A349" s="2">
        <f t="shared" si="5"/>
        <v>348</v>
      </c>
      <c r="B349" s="2"/>
      <c r="C349" s="2"/>
      <c r="D349" s="2"/>
      <c r="E349" s="2"/>
      <c r="F349" s="39"/>
      <c r="G349" s="2">
        <f>DAY(EOMONTH(Spare[[#This Row],[Date]], 0))</f>
        <v>31</v>
      </c>
      <c r="H349" s="40"/>
      <c r="J349" s="6"/>
    </row>
    <row r="350" spans="1:10" hidden="1" x14ac:dyDescent="0.35">
      <c r="A350" s="2">
        <f t="shared" si="5"/>
        <v>349</v>
      </c>
      <c r="B350" s="2"/>
      <c r="C350" s="2"/>
      <c r="D350" s="2"/>
      <c r="E350" s="2"/>
      <c r="F350" s="39"/>
      <c r="G350" s="2">
        <f>DAY(EOMONTH(Spare[[#This Row],[Date]], 0))</f>
        <v>31</v>
      </c>
      <c r="H350" s="40"/>
      <c r="J350" s="6"/>
    </row>
    <row r="351" spans="1:10" hidden="1" x14ac:dyDescent="0.35">
      <c r="A351" s="2">
        <f t="shared" si="5"/>
        <v>350</v>
      </c>
      <c r="B351" s="2"/>
      <c r="C351" s="2"/>
      <c r="D351" s="2"/>
      <c r="E351" s="2"/>
      <c r="F351" s="39"/>
      <c r="G351" s="2">
        <f>DAY(EOMONTH(Spare[[#This Row],[Date]], 0))</f>
        <v>31</v>
      </c>
      <c r="H351" s="40"/>
      <c r="J351" s="6"/>
    </row>
    <row r="352" spans="1:10" hidden="1" x14ac:dyDescent="0.35">
      <c r="A352" s="2">
        <f t="shared" si="5"/>
        <v>351</v>
      </c>
      <c r="B352" s="2"/>
      <c r="C352" s="2"/>
      <c r="D352" s="2"/>
      <c r="E352" s="2"/>
      <c r="F352" s="39"/>
      <c r="G352" s="2">
        <f>DAY(EOMONTH(Spare[[#This Row],[Date]], 0))</f>
        <v>31</v>
      </c>
      <c r="H352" s="40"/>
      <c r="J352" s="6"/>
    </row>
    <row r="353" spans="1:10" hidden="1" x14ac:dyDescent="0.35">
      <c r="A353" s="2">
        <f t="shared" si="5"/>
        <v>352</v>
      </c>
      <c r="B353" s="2"/>
      <c r="C353" s="2"/>
      <c r="D353" s="2"/>
      <c r="E353" s="2"/>
      <c r="F353" s="39"/>
      <c r="G353" s="2">
        <f>DAY(EOMONTH(Spare[[#This Row],[Date]], 0))</f>
        <v>31</v>
      </c>
      <c r="H353" s="40"/>
      <c r="J353" s="6"/>
    </row>
    <row r="354" spans="1:10" hidden="1" x14ac:dyDescent="0.35">
      <c r="A354" s="2">
        <f t="shared" si="5"/>
        <v>353</v>
      </c>
      <c r="B354" s="2"/>
      <c r="C354" s="2"/>
      <c r="D354" s="2"/>
      <c r="E354" s="2"/>
      <c r="F354" s="39"/>
      <c r="G354" s="2">
        <f>DAY(EOMONTH(Spare[[#This Row],[Date]], 0))</f>
        <v>31</v>
      </c>
      <c r="H354" s="40"/>
      <c r="J354" s="6"/>
    </row>
    <row r="355" spans="1:10" hidden="1" x14ac:dyDescent="0.35">
      <c r="A355" s="2">
        <f t="shared" si="5"/>
        <v>354</v>
      </c>
      <c r="B355" s="2"/>
      <c r="C355" s="2"/>
      <c r="D355" s="2"/>
      <c r="E355" s="2"/>
      <c r="F355" s="39"/>
      <c r="G355" s="2">
        <f>DAY(EOMONTH(Spare[[#This Row],[Date]], 0))</f>
        <v>31</v>
      </c>
      <c r="H355" s="40"/>
      <c r="J355" s="6"/>
    </row>
    <row r="356" spans="1:10" hidden="1" x14ac:dyDescent="0.35">
      <c r="A356" s="2">
        <f t="shared" si="5"/>
        <v>355</v>
      </c>
      <c r="B356" s="2"/>
      <c r="C356" s="2"/>
      <c r="D356" s="2"/>
      <c r="E356" s="2"/>
      <c r="F356" s="39"/>
      <c r="G356" s="2">
        <f>DAY(EOMONTH(Spare[[#This Row],[Date]], 0))</f>
        <v>31</v>
      </c>
      <c r="H356" s="40"/>
      <c r="J356" s="6"/>
    </row>
    <row r="357" spans="1:10" hidden="1" x14ac:dyDescent="0.35">
      <c r="A357" s="2">
        <f t="shared" si="5"/>
        <v>356</v>
      </c>
      <c r="B357" s="2"/>
      <c r="C357" s="2"/>
      <c r="D357" s="2"/>
      <c r="E357" s="2"/>
      <c r="F357" s="39"/>
      <c r="G357" s="2">
        <f>DAY(EOMONTH(Spare[[#This Row],[Date]], 0))</f>
        <v>31</v>
      </c>
      <c r="H357" s="40"/>
      <c r="J357" s="6"/>
    </row>
    <row r="358" spans="1:10" hidden="1" x14ac:dyDescent="0.35">
      <c r="A358" s="2">
        <f t="shared" si="5"/>
        <v>357</v>
      </c>
      <c r="B358" s="2"/>
      <c r="C358" s="2"/>
      <c r="D358" s="2"/>
      <c r="E358" s="2"/>
      <c r="F358" s="39"/>
      <c r="G358" s="2">
        <f>DAY(EOMONTH(Spare[[#This Row],[Date]], 0))</f>
        <v>31</v>
      </c>
      <c r="H358" s="40"/>
      <c r="J358" s="6"/>
    </row>
    <row r="359" spans="1:10" hidden="1" x14ac:dyDescent="0.35">
      <c r="A359" s="2">
        <f t="shared" si="5"/>
        <v>358</v>
      </c>
      <c r="B359" s="2"/>
      <c r="C359" s="2"/>
      <c r="D359" s="2"/>
      <c r="E359" s="2"/>
      <c r="F359" s="39"/>
      <c r="G359" s="2">
        <f>DAY(EOMONTH(Spare[[#This Row],[Date]], 0))</f>
        <v>31</v>
      </c>
      <c r="H359" s="40"/>
      <c r="J359" s="6"/>
    </row>
    <row r="360" spans="1:10" hidden="1" x14ac:dyDescent="0.35">
      <c r="A360" s="2">
        <f t="shared" si="5"/>
        <v>359</v>
      </c>
      <c r="B360" s="2"/>
      <c r="C360" s="2"/>
      <c r="D360" s="2"/>
      <c r="E360" s="2"/>
      <c r="F360" s="39"/>
      <c r="G360" s="2">
        <f>DAY(EOMONTH(Spare[[#This Row],[Date]], 0))</f>
        <v>31</v>
      </c>
      <c r="H360" s="40"/>
      <c r="J360" s="6"/>
    </row>
    <row r="361" spans="1:10" hidden="1" x14ac:dyDescent="0.35">
      <c r="A361" s="2">
        <f t="shared" si="5"/>
        <v>360</v>
      </c>
      <c r="B361" s="2"/>
      <c r="C361" s="2"/>
      <c r="D361" s="2"/>
      <c r="E361" s="2"/>
      <c r="F361" s="39"/>
      <c r="G361" s="2">
        <f>DAY(EOMONTH(Spare[[#This Row],[Date]], 0))</f>
        <v>31</v>
      </c>
      <c r="H361" s="40"/>
      <c r="J361" s="6"/>
    </row>
    <row r="362" spans="1:10" hidden="1" x14ac:dyDescent="0.35">
      <c r="A362" s="2">
        <f t="shared" si="5"/>
        <v>361</v>
      </c>
      <c r="B362" s="2"/>
      <c r="C362" s="2"/>
      <c r="D362" s="2"/>
      <c r="E362" s="2"/>
      <c r="F362" s="39"/>
      <c r="G362" s="2">
        <f>DAY(EOMONTH(Spare[[#This Row],[Date]], 0))</f>
        <v>31</v>
      </c>
      <c r="H362" s="40"/>
      <c r="J362" s="6"/>
    </row>
    <row r="363" spans="1:10" hidden="1" x14ac:dyDescent="0.35">
      <c r="A363" s="2">
        <f t="shared" si="5"/>
        <v>362</v>
      </c>
      <c r="B363" s="2"/>
      <c r="C363" s="2"/>
      <c r="D363" s="2"/>
      <c r="E363" s="2"/>
      <c r="F363" s="39"/>
      <c r="G363" s="2">
        <f>DAY(EOMONTH(Spare[[#This Row],[Date]], 0))</f>
        <v>31</v>
      </c>
      <c r="H363" s="40"/>
      <c r="J363" s="6"/>
    </row>
    <row r="364" spans="1:10" hidden="1" x14ac:dyDescent="0.35">
      <c r="A364" s="2">
        <f t="shared" si="5"/>
        <v>363</v>
      </c>
      <c r="B364" s="2"/>
      <c r="C364" s="2"/>
      <c r="D364" s="2"/>
      <c r="E364" s="2"/>
      <c r="F364" s="39"/>
      <c r="G364" s="2">
        <f>DAY(EOMONTH(Spare[[#This Row],[Date]], 0))</f>
        <v>31</v>
      </c>
      <c r="H364" s="40"/>
      <c r="J364" s="6"/>
    </row>
    <row r="365" spans="1:10" hidden="1" x14ac:dyDescent="0.35">
      <c r="A365" s="2">
        <f t="shared" si="5"/>
        <v>364</v>
      </c>
      <c r="B365" s="2"/>
      <c r="C365" s="2"/>
      <c r="D365" s="2"/>
      <c r="E365" s="2"/>
      <c r="F365" s="39"/>
      <c r="G365" s="2">
        <f>DAY(EOMONTH(Spare[[#This Row],[Date]], 0))</f>
        <v>31</v>
      </c>
      <c r="H365" s="40"/>
      <c r="J365" s="6"/>
    </row>
    <row r="366" spans="1:10" hidden="1" x14ac:dyDescent="0.35">
      <c r="A366" s="2">
        <f t="shared" si="5"/>
        <v>365</v>
      </c>
      <c r="B366" s="2"/>
      <c r="C366" s="2"/>
      <c r="D366" s="2"/>
      <c r="E366" s="2"/>
      <c r="F366" s="39"/>
      <c r="G366" s="2">
        <f>DAY(EOMONTH(Spare[[#This Row],[Date]], 0))</f>
        <v>31</v>
      </c>
      <c r="H366" s="40"/>
      <c r="J366" s="6"/>
    </row>
    <row r="367" spans="1:10" hidden="1" x14ac:dyDescent="0.35">
      <c r="A367" s="2">
        <f t="shared" si="5"/>
        <v>366</v>
      </c>
      <c r="B367" s="2"/>
      <c r="C367" s="2"/>
      <c r="D367" s="2"/>
      <c r="E367" s="2"/>
      <c r="F367" s="39"/>
      <c r="G367" s="2">
        <f>DAY(EOMONTH(Spare[[#This Row],[Date]], 0))</f>
        <v>31</v>
      </c>
      <c r="H367" s="40"/>
      <c r="J367" s="6"/>
    </row>
    <row r="368" spans="1:10" hidden="1" x14ac:dyDescent="0.35">
      <c r="A368" s="2">
        <f t="shared" si="5"/>
        <v>367</v>
      </c>
      <c r="B368" s="2"/>
      <c r="C368" s="2"/>
      <c r="D368" s="2"/>
      <c r="E368" s="2"/>
      <c r="F368" s="39"/>
      <c r="G368" s="2">
        <f>DAY(EOMONTH(Spare[[#This Row],[Date]], 0))</f>
        <v>31</v>
      </c>
      <c r="H368" s="40"/>
      <c r="J368" s="6"/>
    </row>
    <row r="369" spans="1:10" hidden="1" x14ac:dyDescent="0.35">
      <c r="A369" s="2">
        <f t="shared" si="5"/>
        <v>368</v>
      </c>
      <c r="B369" s="2"/>
      <c r="C369" s="2"/>
      <c r="D369" s="2"/>
      <c r="E369" s="2"/>
      <c r="F369" s="39"/>
      <c r="G369" s="2">
        <f>DAY(EOMONTH(Spare[[#This Row],[Date]], 0))</f>
        <v>31</v>
      </c>
      <c r="H369" s="40"/>
      <c r="J369" s="6"/>
    </row>
    <row r="370" spans="1:10" hidden="1" x14ac:dyDescent="0.35">
      <c r="A370" s="2">
        <f t="shared" si="5"/>
        <v>369</v>
      </c>
      <c r="B370" s="2"/>
      <c r="C370" s="2"/>
      <c r="D370" s="2"/>
      <c r="E370" s="2"/>
      <c r="F370" s="39"/>
      <c r="G370" s="2">
        <f>DAY(EOMONTH(Spare[[#This Row],[Date]], 0))</f>
        <v>31</v>
      </c>
      <c r="H370" s="40"/>
      <c r="J370" s="6"/>
    </row>
    <row r="371" spans="1:10" hidden="1" x14ac:dyDescent="0.35">
      <c r="A371" s="2">
        <f t="shared" si="5"/>
        <v>370</v>
      </c>
      <c r="B371" s="2"/>
      <c r="C371" s="2"/>
      <c r="D371" s="2"/>
      <c r="E371" s="2"/>
      <c r="F371" s="39"/>
      <c r="G371" s="2">
        <f>DAY(EOMONTH(Spare[[#This Row],[Date]], 0))</f>
        <v>31</v>
      </c>
      <c r="H371" s="40"/>
      <c r="J371" s="6"/>
    </row>
    <row r="372" spans="1:10" hidden="1" x14ac:dyDescent="0.35">
      <c r="A372" s="2">
        <f t="shared" si="5"/>
        <v>371</v>
      </c>
      <c r="B372" s="2"/>
      <c r="C372" s="2"/>
      <c r="D372" s="2"/>
      <c r="E372" s="2"/>
      <c r="F372" s="39"/>
      <c r="G372" s="2">
        <f>DAY(EOMONTH(Spare[[#This Row],[Date]], 0))</f>
        <v>31</v>
      </c>
      <c r="H372" s="40"/>
      <c r="J372" s="6"/>
    </row>
    <row r="373" spans="1:10" hidden="1" x14ac:dyDescent="0.35">
      <c r="A373" s="2">
        <f t="shared" si="5"/>
        <v>372</v>
      </c>
      <c r="B373" s="2"/>
      <c r="C373" s="2"/>
      <c r="D373" s="2"/>
      <c r="E373" s="2"/>
      <c r="F373" s="39"/>
      <c r="G373" s="2">
        <f>DAY(EOMONTH(Spare[[#This Row],[Date]], 0))</f>
        <v>31</v>
      </c>
      <c r="H373" s="40"/>
      <c r="J373" s="6"/>
    </row>
    <row r="374" spans="1:10" hidden="1" x14ac:dyDescent="0.35">
      <c r="A374" s="2">
        <f t="shared" si="5"/>
        <v>373</v>
      </c>
      <c r="B374" s="2"/>
      <c r="C374" s="2"/>
      <c r="D374" s="2"/>
      <c r="E374" s="2"/>
      <c r="F374" s="39"/>
      <c r="G374" s="2">
        <f>DAY(EOMONTH(Spare[[#This Row],[Date]], 0))</f>
        <v>31</v>
      </c>
      <c r="H374" s="40"/>
      <c r="J374" s="6"/>
    </row>
    <row r="375" spans="1:10" hidden="1" x14ac:dyDescent="0.35">
      <c r="A375" s="2">
        <f t="shared" si="5"/>
        <v>374</v>
      </c>
      <c r="B375" s="2"/>
      <c r="C375" s="2"/>
      <c r="D375" s="2"/>
      <c r="E375" s="2"/>
      <c r="F375" s="39"/>
      <c r="G375" s="2">
        <f>DAY(EOMONTH(Spare[[#This Row],[Date]], 0))</f>
        <v>31</v>
      </c>
      <c r="H375" s="40"/>
      <c r="J375" s="6"/>
    </row>
    <row r="376" spans="1:10" hidden="1" x14ac:dyDescent="0.35">
      <c r="A376" s="2">
        <f t="shared" si="5"/>
        <v>375</v>
      </c>
      <c r="B376" s="2"/>
      <c r="C376" s="2"/>
      <c r="D376" s="2"/>
      <c r="E376" s="2"/>
      <c r="F376" s="39"/>
      <c r="G376" s="2">
        <f>DAY(EOMONTH(Spare[[#This Row],[Date]], 0))</f>
        <v>31</v>
      </c>
      <c r="H376" s="40"/>
      <c r="J376" s="6"/>
    </row>
    <row r="377" spans="1:10" hidden="1" x14ac:dyDescent="0.35">
      <c r="A377" s="2">
        <f t="shared" si="5"/>
        <v>376</v>
      </c>
      <c r="B377" s="2"/>
      <c r="C377" s="2"/>
      <c r="D377" s="2"/>
      <c r="E377" s="2"/>
      <c r="F377" s="39"/>
      <c r="G377" s="2">
        <f>DAY(EOMONTH(Spare[[#This Row],[Date]], 0))</f>
        <v>31</v>
      </c>
      <c r="H377" s="40"/>
      <c r="J377" s="6"/>
    </row>
    <row r="378" spans="1:10" hidden="1" x14ac:dyDescent="0.35">
      <c r="A378" s="2">
        <f t="shared" si="5"/>
        <v>377</v>
      </c>
      <c r="B378" s="2"/>
      <c r="C378" s="2"/>
      <c r="D378" s="2"/>
      <c r="E378" s="2"/>
      <c r="F378" s="39"/>
      <c r="G378" s="2">
        <f>DAY(EOMONTH(Spare[[#This Row],[Date]], 0))</f>
        <v>31</v>
      </c>
      <c r="H378" s="40"/>
      <c r="J378" s="6"/>
    </row>
    <row r="379" spans="1:10" hidden="1" x14ac:dyDescent="0.35">
      <c r="A379" s="2">
        <f t="shared" si="5"/>
        <v>378</v>
      </c>
      <c r="B379" s="2"/>
      <c r="C379" s="2"/>
      <c r="D379" s="2"/>
      <c r="E379" s="2"/>
      <c r="F379" s="39"/>
      <c r="G379" s="2">
        <f>DAY(EOMONTH(Spare[[#This Row],[Date]], 0))</f>
        <v>31</v>
      </c>
      <c r="H379" s="40"/>
      <c r="J379" s="6"/>
    </row>
    <row r="380" spans="1:10" hidden="1" x14ac:dyDescent="0.35">
      <c r="A380" s="2">
        <f t="shared" si="5"/>
        <v>379</v>
      </c>
      <c r="B380" s="2"/>
      <c r="C380" s="2"/>
      <c r="D380" s="2"/>
      <c r="E380" s="2"/>
      <c r="F380" s="39"/>
      <c r="G380" s="2">
        <f>DAY(EOMONTH(Spare[[#This Row],[Date]], 0))</f>
        <v>31</v>
      </c>
      <c r="H380" s="40"/>
      <c r="J380" s="6"/>
    </row>
    <row r="381" spans="1:10" hidden="1" x14ac:dyDescent="0.35">
      <c r="A381" s="2">
        <f t="shared" si="5"/>
        <v>380</v>
      </c>
      <c r="B381" s="2"/>
      <c r="C381" s="2"/>
      <c r="D381" s="2"/>
      <c r="E381" s="2"/>
      <c r="F381" s="39"/>
      <c r="G381" s="2">
        <f>DAY(EOMONTH(Spare[[#This Row],[Date]], 0))</f>
        <v>31</v>
      </c>
      <c r="H381" s="40"/>
      <c r="J381" s="6"/>
    </row>
    <row r="382" spans="1:10" hidden="1" x14ac:dyDescent="0.35">
      <c r="A382" s="2">
        <f t="shared" si="5"/>
        <v>381</v>
      </c>
      <c r="B382" s="2"/>
      <c r="C382" s="2"/>
      <c r="D382" s="2"/>
      <c r="E382" s="2"/>
      <c r="F382" s="39"/>
      <c r="G382" s="2">
        <f>DAY(EOMONTH(Spare[[#This Row],[Date]], 0))</f>
        <v>31</v>
      </c>
      <c r="H382" s="40"/>
      <c r="J382" s="6"/>
    </row>
    <row r="383" spans="1:10" hidden="1" x14ac:dyDescent="0.35">
      <c r="A383" s="2">
        <f t="shared" si="5"/>
        <v>382</v>
      </c>
      <c r="B383" s="2"/>
      <c r="C383" s="2"/>
      <c r="D383" s="2"/>
      <c r="E383" s="2"/>
      <c r="F383" s="39"/>
      <c r="G383" s="2">
        <f>DAY(EOMONTH(Spare[[#This Row],[Date]], 0))</f>
        <v>31</v>
      </c>
      <c r="H383" s="40"/>
      <c r="J383" s="6"/>
    </row>
    <row r="384" spans="1:10" hidden="1" x14ac:dyDescent="0.35">
      <c r="A384" s="2">
        <f t="shared" si="5"/>
        <v>383</v>
      </c>
      <c r="B384" s="2"/>
      <c r="C384" s="2"/>
      <c r="D384" s="2"/>
      <c r="E384" s="2"/>
      <c r="F384" s="39"/>
      <c r="G384" s="2">
        <f>DAY(EOMONTH(Spare[[#This Row],[Date]], 0))</f>
        <v>31</v>
      </c>
      <c r="H384" s="40"/>
      <c r="J384" s="6"/>
    </row>
    <row r="385" spans="1:10" hidden="1" x14ac:dyDescent="0.35">
      <c r="A385" s="2">
        <f t="shared" si="5"/>
        <v>384</v>
      </c>
      <c r="B385" s="2"/>
      <c r="C385" s="2"/>
      <c r="D385" s="2"/>
      <c r="E385" s="2"/>
      <c r="F385" s="39"/>
      <c r="G385" s="2">
        <f>DAY(EOMONTH(Spare[[#This Row],[Date]], 0))</f>
        <v>31</v>
      </c>
      <c r="H385" s="40"/>
      <c r="J385" s="6"/>
    </row>
    <row r="386" spans="1:10" hidden="1" x14ac:dyDescent="0.35">
      <c r="A386" s="2">
        <f t="shared" si="5"/>
        <v>385</v>
      </c>
      <c r="B386" s="2"/>
      <c r="C386" s="2"/>
      <c r="D386" s="2"/>
      <c r="E386" s="2"/>
      <c r="F386" s="39"/>
      <c r="G386" s="2">
        <f>DAY(EOMONTH(Spare[[#This Row],[Date]], 0))</f>
        <v>31</v>
      </c>
      <c r="H386" s="40"/>
      <c r="J386" s="6"/>
    </row>
    <row r="387" spans="1:10" hidden="1" x14ac:dyDescent="0.35">
      <c r="A387" s="2">
        <f t="shared" si="5"/>
        <v>386</v>
      </c>
      <c r="B387" s="2"/>
      <c r="C387" s="2"/>
      <c r="D387" s="2"/>
      <c r="E387" s="2"/>
      <c r="F387" s="39"/>
      <c r="G387" s="2">
        <f>DAY(EOMONTH(Spare[[#This Row],[Date]], 0))</f>
        <v>31</v>
      </c>
      <c r="H387" s="40"/>
      <c r="J387" s="6"/>
    </row>
    <row r="388" spans="1:10" hidden="1" x14ac:dyDescent="0.35">
      <c r="A388" s="2">
        <f t="shared" ref="A388:A451" si="6">A387+1</f>
        <v>387</v>
      </c>
      <c r="B388" s="2"/>
      <c r="C388" s="2"/>
      <c r="D388" s="2"/>
      <c r="E388" s="2"/>
      <c r="F388" s="39"/>
      <c r="G388" s="2">
        <f>DAY(EOMONTH(Spare[[#This Row],[Date]], 0))</f>
        <v>31</v>
      </c>
      <c r="H388" s="40"/>
      <c r="J388" s="6"/>
    </row>
    <row r="389" spans="1:10" hidden="1" x14ac:dyDescent="0.35">
      <c r="A389" s="2">
        <f t="shared" si="6"/>
        <v>388</v>
      </c>
      <c r="B389" s="2"/>
      <c r="C389" s="2"/>
      <c r="D389" s="2"/>
      <c r="E389" s="2"/>
      <c r="F389" s="39"/>
      <c r="G389" s="2">
        <f>DAY(EOMONTH(Spare[[#This Row],[Date]], 0))</f>
        <v>31</v>
      </c>
      <c r="H389" s="40"/>
      <c r="J389" s="6"/>
    </row>
    <row r="390" spans="1:10" hidden="1" x14ac:dyDescent="0.35">
      <c r="A390" s="2">
        <f t="shared" si="6"/>
        <v>389</v>
      </c>
      <c r="B390" s="2"/>
      <c r="C390" s="2"/>
      <c r="D390" s="2"/>
      <c r="E390" s="2"/>
      <c r="F390" s="39"/>
      <c r="G390" s="2">
        <f>DAY(EOMONTH(Spare[[#This Row],[Date]], 0))</f>
        <v>31</v>
      </c>
      <c r="H390" s="40"/>
      <c r="J390" s="6"/>
    </row>
    <row r="391" spans="1:10" hidden="1" x14ac:dyDescent="0.35">
      <c r="A391" s="2">
        <f t="shared" si="6"/>
        <v>390</v>
      </c>
      <c r="B391" s="2"/>
      <c r="C391" s="2"/>
      <c r="D391" s="2"/>
      <c r="E391" s="2"/>
      <c r="F391" s="39"/>
      <c r="G391" s="2">
        <f>DAY(EOMONTH(Spare[[#This Row],[Date]], 0))</f>
        <v>31</v>
      </c>
      <c r="H391" s="40"/>
      <c r="J391" s="6"/>
    </row>
    <row r="392" spans="1:10" hidden="1" x14ac:dyDescent="0.35">
      <c r="A392" s="2">
        <f t="shared" si="6"/>
        <v>391</v>
      </c>
      <c r="B392" s="2"/>
      <c r="C392" s="2"/>
      <c r="D392" s="2"/>
      <c r="E392" s="2"/>
      <c r="F392" s="39"/>
      <c r="G392" s="2">
        <f>DAY(EOMONTH(Spare[[#This Row],[Date]], 0))</f>
        <v>31</v>
      </c>
      <c r="H392" s="40"/>
      <c r="J392" s="6"/>
    </row>
    <row r="393" spans="1:10" hidden="1" x14ac:dyDescent="0.35">
      <c r="A393" s="2">
        <f t="shared" si="6"/>
        <v>392</v>
      </c>
      <c r="B393" s="2"/>
      <c r="C393" s="2"/>
      <c r="D393" s="2"/>
      <c r="E393" s="2"/>
      <c r="F393" s="39"/>
      <c r="G393" s="2">
        <f>DAY(EOMONTH(Spare[[#This Row],[Date]], 0))</f>
        <v>31</v>
      </c>
      <c r="H393" s="40"/>
      <c r="J393" s="6"/>
    </row>
    <row r="394" spans="1:10" hidden="1" x14ac:dyDescent="0.35">
      <c r="A394" s="2">
        <f t="shared" si="6"/>
        <v>393</v>
      </c>
      <c r="B394" s="2"/>
      <c r="C394" s="2"/>
      <c r="D394" s="2"/>
      <c r="E394" s="2"/>
      <c r="F394" s="39"/>
      <c r="G394" s="2">
        <f>DAY(EOMONTH(Spare[[#This Row],[Date]], 0))</f>
        <v>31</v>
      </c>
      <c r="H394" s="40"/>
      <c r="J394" s="6"/>
    </row>
    <row r="395" spans="1:10" hidden="1" x14ac:dyDescent="0.35">
      <c r="A395" s="2">
        <f t="shared" si="6"/>
        <v>394</v>
      </c>
      <c r="B395" s="2"/>
      <c r="C395" s="2"/>
      <c r="D395" s="2"/>
      <c r="E395" s="2"/>
      <c r="F395" s="39"/>
      <c r="G395" s="2">
        <f>DAY(EOMONTH(Spare[[#This Row],[Date]], 0))</f>
        <v>31</v>
      </c>
      <c r="H395" s="40"/>
      <c r="J395" s="6"/>
    </row>
    <row r="396" spans="1:10" hidden="1" x14ac:dyDescent="0.35">
      <c r="A396" s="2">
        <f t="shared" si="6"/>
        <v>395</v>
      </c>
      <c r="B396" s="2"/>
      <c r="C396" s="2"/>
      <c r="D396" s="2"/>
      <c r="E396" s="2"/>
      <c r="F396" s="39"/>
      <c r="G396" s="2">
        <f>DAY(EOMONTH(Spare[[#This Row],[Date]], 0))</f>
        <v>31</v>
      </c>
      <c r="H396" s="40"/>
      <c r="J396" s="6"/>
    </row>
    <row r="397" spans="1:10" hidden="1" x14ac:dyDescent="0.35">
      <c r="A397" s="2">
        <f t="shared" si="6"/>
        <v>396</v>
      </c>
      <c r="B397" s="2"/>
      <c r="C397" s="2"/>
      <c r="D397" s="2"/>
      <c r="E397" s="2"/>
      <c r="F397" s="39"/>
      <c r="G397" s="2">
        <f>DAY(EOMONTH(Spare[[#This Row],[Date]], 0))</f>
        <v>31</v>
      </c>
      <c r="H397" s="40"/>
      <c r="J397" s="6"/>
    </row>
    <row r="398" spans="1:10" hidden="1" x14ac:dyDescent="0.35">
      <c r="A398" s="2">
        <f t="shared" si="6"/>
        <v>397</v>
      </c>
      <c r="B398" s="2"/>
      <c r="C398" s="2"/>
      <c r="D398" s="2"/>
      <c r="E398" s="2"/>
      <c r="F398" s="39"/>
      <c r="G398" s="2">
        <f>DAY(EOMONTH(Spare[[#This Row],[Date]], 0))</f>
        <v>31</v>
      </c>
      <c r="H398" s="40"/>
      <c r="J398" s="6"/>
    </row>
    <row r="399" spans="1:10" hidden="1" x14ac:dyDescent="0.35">
      <c r="A399" s="2">
        <f t="shared" si="6"/>
        <v>398</v>
      </c>
      <c r="B399" s="2"/>
      <c r="C399" s="2"/>
      <c r="D399" s="2"/>
      <c r="E399" s="2"/>
      <c r="F399" s="39"/>
      <c r="G399" s="2">
        <f>DAY(EOMONTH(Spare[[#This Row],[Date]], 0))</f>
        <v>31</v>
      </c>
      <c r="H399" s="40"/>
      <c r="J399" s="6"/>
    </row>
    <row r="400" spans="1:10" hidden="1" x14ac:dyDescent="0.35">
      <c r="A400" s="2">
        <f t="shared" si="6"/>
        <v>399</v>
      </c>
      <c r="B400" s="2"/>
      <c r="C400" s="2"/>
      <c r="D400" s="2"/>
      <c r="E400" s="2"/>
      <c r="F400" s="39"/>
      <c r="G400" s="2">
        <f>DAY(EOMONTH(Spare[[#This Row],[Date]], 0))</f>
        <v>31</v>
      </c>
      <c r="H400" s="40"/>
      <c r="J400" s="6"/>
    </row>
    <row r="401" spans="1:10" hidden="1" x14ac:dyDescent="0.35">
      <c r="A401" s="2">
        <f t="shared" si="6"/>
        <v>400</v>
      </c>
      <c r="B401" s="2"/>
      <c r="C401" s="2"/>
      <c r="D401" s="2"/>
      <c r="E401" s="2"/>
      <c r="F401" s="39"/>
      <c r="G401" s="2">
        <f>DAY(EOMONTH(Spare[[#This Row],[Date]], 0))</f>
        <v>31</v>
      </c>
      <c r="H401" s="40"/>
      <c r="J401" s="6"/>
    </row>
    <row r="402" spans="1:10" hidden="1" x14ac:dyDescent="0.35">
      <c r="A402" s="2">
        <f t="shared" si="6"/>
        <v>401</v>
      </c>
      <c r="B402" s="2"/>
      <c r="C402" s="2"/>
      <c r="D402" s="2"/>
      <c r="E402" s="2"/>
      <c r="F402" s="39"/>
      <c r="G402" s="2">
        <f>DAY(EOMONTH(Spare[[#This Row],[Date]], 0))</f>
        <v>31</v>
      </c>
      <c r="H402" s="40"/>
      <c r="J402" s="6"/>
    </row>
    <row r="403" spans="1:10" hidden="1" x14ac:dyDescent="0.35">
      <c r="A403" s="2">
        <f t="shared" si="6"/>
        <v>402</v>
      </c>
      <c r="B403" s="2"/>
      <c r="C403" s="2"/>
      <c r="D403" s="2"/>
      <c r="E403" s="2"/>
      <c r="F403" s="39"/>
      <c r="G403" s="2">
        <f>DAY(EOMONTH(Spare[[#This Row],[Date]], 0))</f>
        <v>31</v>
      </c>
      <c r="H403" s="40"/>
      <c r="J403" s="6"/>
    </row>
    <row r="404" spans="1:10" hidden="1" x14ac:dyDescent="0.35">
      <c r="A404" s="2">
        <f t="shared" si="6"/>
        <v>403</v>
      </c>
      <c r="B404" s="2"/>
      <c r="C404" s="2"/>
      <c r="D404" s="2"/>
      <c r="E404" s="2"/>
      <c r="F404" s="39"/>
      <c r="G404" s="2">
        <f>DAY(EOMONTH(Spare[[#This Row],[Date]], 0))</f>
        <v>31</v>
      </c>
      <c r="H404" s="40"/>
      <c r="J404" s="6"/>
    </row>
    <row r="405" spans="1:10" hidden="1" x14ac:dyDescent="0.35">
      <c r="A405" s="2">
        <f t="shared" si="6"/>
        <v>404</v>
      </c>
      <c r="B405" s="2"/>
      <c r="C405" s="2"/>
      <c r="D405" s="2"/>
      <c r="E405" s="2"/>
      <c r="F405" s="39"/>
      <c r="G405" s="2">
        <f>DAY(EOMONTH(Spare[[#This Row],[Date]], 0))</f>
        <v>31</v>
      </c>
      <c r="H405" s="40"/>
      <c r="J405" s="6"/>
    </row>
    <row r="406" spans="1:10" hidden="1" x14ac:dyDescent="0.35">
      <c r="A406" s="2">
        <f t="shared" si="6"/>
        <v>405</v>
      </c>
      <c r="B406" s="2"/>
      <c r="C406" s="2"/>
      <c r="D406" s="2"/>
      <c r="E406" s="2"/>
      <c r="F406" s="39"/>
      <c r="G406" s="2">
        <f>DAY(EOMONTH(Spare[[#This Row],[Date]], 0))</f>
        <v>31</v>
      </c>
      <c r="H406" s="40"/>
      <c r="J406" s="6"/>
    </row>
    <row r="407" spans="1:10" hidden="1" x14ac:dyDescent="0.35">
      <c r="A407" s="2">
        <f t="shared" si="6"/>
        <v>406</v>
      </c>
      <c r="B407" s="2"/>
      <c r="C407" s="2"/>
      <c r="D407" s="2"/>
      <c r="E407" s="2"/>
      <c r="F407" s="39"/>
      <c r="G407" s="2">
        <f>DAY(EOMONTH(Spare[[#This Row],[Date]], 0))</f>
        <v>31</v>
      </c>
      <c r="H407" s="40"/>
      <c r="J407" s="6"/>
    </row>
    <row r="408" spans="1:10" hidden="1" x14ac:dyDescent="0.35">
      <c r="A408" s="2">
        <f t="shared" si="6"/>
        <v>407</v>
      </c>
      <c r="B408" s="2"/>
      <c r="C408" s="2"/>
      <c r="D408" s="2"/>
      <c r="E408" s="2"/>
      <c r="F408" s="39"/>
      <c r="G408" s="2">
        <f>DAY(EOMONTH(Spare[[#This Row],[Date]], 0))</f>
        <v>31</v>
      </c>
      <c r="H408" s="40"/>
      <c r="J408" s="6"/>
    </row>
    <row r="409" spans="1:10" hidden="1" x14ac:dyDescent="0.35">
      <c r="A409" s="2">
        <f t="shared" si="6"/>
        <v>408</v>
      </c>
      <c r="B409" s="2"/>
      <c r="C409" s="2"/>
      <c r="D409" s="2"/>
      <c r="E409" s="2"/>
      <c r="F409" s="39"/>
      <c r="G409" s="2">
        <f>DAY(EOMONTH(Spare[[#This Row],[Date]], 0))</f>
        <v>31</v>
      </c>
      <c r="H409" s="40"/>
      <c r="J409" s="6"/>
    </row>
    <row r="410" spans="1:10" hidden="1" x14ac:dyDescent="0.35">
      <c r="A410" s="2">
        <f t="shared" si="6"/>
        <v>409</v>
      </c>
      <c r="B410" s="2"/>
      <c r="C410" s="2"/>
      <c r="D410" s="2"/>
      <c r="E410" s="2"/>
      <c r="F410" s="39"/>
      <c r="G410" s="2">
        <f>DAY(EOMONTH(Spare[[#This Row],[Date]], 0))</f>
        <v>31</v>
      </c>
      <c r="H410" s="40"/>
      <c r="J410" s="6"/>
    </row>
    <row r="411" spans="1:10" hidden="1" x14ac:dyDescent="0.35">
      <c r="A411" s="2">
        <f t="shared" si="6"/>
        <v>410</v>
      </c>
      <c r="B411" s="2"/>
      <c r="C411" s="2"/>
      <c r="D411" s="2"/>
      <c r="E411" s="2"/>
      <c r="F411" s="39"/>
      <c r="G411" s="2">
        <f>DAY(EOMONTH(Spare[[#This Row],[Date]], 0))</f>
        <v>31</v>
      </c>
      <c r="H411" s="40"/>
      <c r="J411" s="6"/>
    </row>
    <row r="412" spans="1:10" hidden="1" x14ac:dyDescent="0.35">
      <c r="A412" s="2">
        <f t="shared" si="6"/>
        <v>411</v>
      </c>
      <c r="B412" s="2"/>
      <c r="C412" s="2"/>
      <c r="D412" s="2"/>
      <c r="E412" s="2"/>
      <c r="F412" s="39"/>
      <c r="G412" s="2">
        <f>DAY(EOMONTH(Spare[[#This Row],[Date]], 0))</f>
        <v>31</v>
      </c>
      <c r="H412" s="40"/>
      <c r="J412" s="6"/>
    </row>
    <row r="413" spans="1:10" hidden="1" x14ac:dyDescent="0.35">
      <c r="A413" s="2">
        <f t="shared" si="6"/>
        <v>412</v>
      </c>
      <c r="B413" s="2"/>
      <c r="C413" s="2"/>
      <c r="D413" s="2"/>
      <c r="E413" s="2"/>
      <c r="F413" s="39"/>
      <c r="G413" s="2">
        <f>DAY(EOMONTH(Spare[[#This Row],[Date]], 0))</f>
        <v>31</v>
      </c>
      <c r="H413" s="40"/>
      <c r="J413" s="6"/>
    </row>
    <row r="414" spans="1:10" hidden="1" x14ac:dyDescent="0.35">
      <c r="A414" s="2">
        <f t="shared" si="6"/>
        <v>413</v>
      </c>
      <c r="B414" s="2"/>
      <c r="C414" s="2"/>
      <c r="D414" s="2"/>
      <c r="E414" s="2"/>
      <c r="F414" s="39"/>
      <c r="G414" s="2">
        <f>DAY(EOMONTH(Spare[[#This Row],[Date]], 0))</f>
        <v>31</v>
      </c>
      <c r="H414" s="40"/>
      <c r="J414" s="6"/>
    </row>
    <row r="415" spans="1:10" hidden="1" x14ac:dyDescent="0.35">
      <c r="A415" s="2">
        <f t="shared" si="6"/>
        <v>414</v>
      </c>
      <c r="B415" s="2"/>
      <c r="C415" s="2"/>
      <c r="D415" s="2"/>
      <c r="E415" s="2"/>
      <c r="F415" s="39"/>
      <c r="G415" s="2">
        <f>DAY(EOMONTH(Spare[[#This Row],[Date]], 0))</f>
        <v>31</v>
      </c>
      <c r="H415" s="40"/>
      <c r="J415" s="6"/>
    </row>
    <row r="416" spans="1:10" hidden="1" x14ac:dyDescent="0.35">
      <c r="A416" s="2">
        <f t="shared" si="6"/>
        <v>415</v>
      </c>
      <c r="B416" s="2"/>
      <c r="C416" s="2"/>
      <c r="D416" s="2"/>
      <c r="E416" s="2"/>
      <c r="F416" s="39"/>
      <c r="G416" s="2">
        <f>DAY(EOMONTH(Spare[[#This Row],[Date]], 0))</f>
        <v>31</v>
      </c>
      <c r="H416" s="40"/>
      <c r="J416" s="6"/>
    </row>
    <row r="417" spans="1:10" hidden="1" x14ac:dyDescent="0.35">
      <c r="A417" s="2">
        <f t="shared" si="6"/>
        <v>416</v>
      </c>
      <c r="B417" s="2"/>
      <c r="C417" s="2"/>
      <c r="D417" s="2"/>
      <c r="E417" s="2"/>
      <c r="F417" s="39"/>
      <c r="G417" s="2">
        <f>DAY(EOMONTH(Spare[[#This Row],[Date]], 0))</f>
        <v>31</v>
      </c>
      <c r="H417" s="40"/>
      <c r="J417" s="6"/>
    </row>
    <row r="418" spans="1:10" hidden="1" x14ac:dyDescent="0.35">
      <c r="A418" s="2">
        <f t="shared" si="6"/>
        <v>417</v>
      </c>
      <c r="B418" s="2"/>
      <c r="C418" s="2"/>
      <c r="D418" s="2"/>
      <c r="E418" s="2"/>
      <c r="F418" s="39"/>
      <c r="G418" s="2">
        <f>DAY(EOMONTH(Spare[[#This Row],[Date]], 0))</f>
        <v>31</v>
      </c>
      <c r="H418" s="40"/>
      <c r="J418" s="6"/>
    </row>
    <row r="419" spans="1:10" hidden="1" x14ac:dyDescent="0.35">
      <c r="A419" s="2">
        <f t="shared" si="6"/>
        <v>418</v>
      </c>
      <c r="B419" s="2"/>
      <c r="C419" s="2"/>
      <c r="D419" s="2"/>
      <c r="E419" s="2"/>
      <c r="F419" s="39"/>
      <c r="G419" s="2">
        <f>DAY(EOMONTH(Spare[[#This Row],[Date]], 0))</f>
        <v>31</v>
      </c>
      <c r="H419" s="40"/>
      <c r="J419" s="6"/>
    </row>
    <row r="420" spans="1:10" hidden="1" x14ac:dyDescent="0.35">
      <c r="A420" s="2">
        <f t="shared" si="6"/>
        <v>419</v>
      </c>
      <c r="B420" s="2"/>
      <c r="C420" s="2"/>
      <c r="D420" s="2"/>
      <c r="E420" s="2"/>
      <c r="F420" s="39"/>
      <c r="G420" s="2">
        <f>DAY(EOMONTH(Spare[[#This Row],[Date]], 0))</f>
        <v>31</v>
      </c>
      <c r="H420" s="40"/>
      <c r="J420" s="6"/>
    </row>
    <row r="421" spans="1:10" hidden="1" x14ac:dyDescent="0.35">
      <c r="A421" s="2">
        <f t="shared" si="6"/>
        <v>420</v>
      </c>
      <c r="B421" s="2"/>
      <c r="C421" s="2"/>
      <c r="D421" s="2"/>
      <c r="E421" s="2"/>
      <c r="F421" s="39"/>
      <c r="G421" s="2">
        <f>DAY(EOMONTH(Spare[[#This Row],[Date]], 0))</f>
        <v>31</v>
      </c>
      <c r="H421" s="40"/>
      <c r="J421" s="6"/>
    </row>
    <row r="422" spans="1:10" hidden="1" x14ac:dyDescent="0.35">
      <c r="A422" s="2">
        <f t="shared" si="6"/>
        <v>421</v>
      </c>
      <c r="B422" s="2"/>
      <c r="C422" s="2"/>
      <c r="D422" s="2"/>
      <c r="E422" s="2"/>
      <c r="F422" s="39"/>
      <c r="G422" s="2">
        <f>DAY(EOMONTH(Spare[[#This Row],[Date]], 0))</f>
        <v>31</v>
      </c>
      <c r="H422" s="40"/>
      <c r="J422" s="6"/>
    </row>
    <row r="423" spans="1:10" hidden="1" x14ac:dyDescent="0.35">
      <c r="A423" s="2">
        <f t="shared" si="6"/>
        <v>422</v>
      </c>
      <c r="B423" s="2"/>
      <c r="C423" s="2"/>
      <c r="D423" s="2"/>
      <c r="E423" s="2"/>
      <c r="F423" s="39"/>
      <c r="G423" s="2">
        <f>DAY(EOMONTH(Spare[[#This Row],[Date]], 0))</f>
        <v>31</v>
      </c>
      <c r="H423" s="40"/>
      <c r="J423" s="6"/>
    </row>
    <row r="424" spans="1:10" hidden="1" x14ac:dyDescent="0.35">
      <c r="A424" s="2">
        <f t="shared" si="6"/>
        <v>423</v>
      </c>
      <c r="B424" s="2"/>
      <c r="C424" s="2"/>
      <c r="D424" s="2"/>
      <c r="E424" s="2"/>
      <c r="F424" s="39"/>
      <c r="G424" s="2">
        <f>DAY(EOMONTH(Spare[[#This Row],[Date]], 0))</f>
        <v>31</v>
      </c>
      <c r="H424" s="40"/>
      <c r="J424" s="6"/>
    </row>
    <row r="425" spans="1:10" hidden="1" x14ac:dyDescent="0.35">
      <c r="A425" s="2">
        <f t="shared" si="6"/>
        <v>424</v>
      </c>
      <c r="B425" s="2"/>
      <c r="C425" s="2"/>
      <c r="D425" s="2"/>
      <c r="E425" s="2"/>
      <c r="F425" s="39"/>
      <c r="G425" s="2">
        <f>DAY(EOMONTH(Spare[[#This Row],[Date]], 0))</f>
        <v>31</v>
      </c>
      <c r="H425" s="40"/>
      <c r="J425" s="6"/>
    </row>
    <row r="426" spans="1:10" hidden="1" x14ac:dyDescent="0.35">
      <c r="A426" s="2">
        <f t="shared" si="6"/>
        <v>425</v>
      </c>
      <c r="B426" s="2"/>
      <c r="C426" s="2"/>
      <c r="D426" s="2"/>
      <c r="E426" s="2"/>
      <c r="F426" s="39"/>
      <c r="G426" s="2">
        <f>DAY(EOMONTH(Spare[[#This Row],[Date]], 0))</f>
        <v>31</v>
      </c>
      <c r="H426" s="40"/>
      <c r="J426" s="6"/>
    </row>
    <row r="427" spans="1:10" hidden="1" x14ac:dyDescent="0.35">
      <c r="A427" s="2">
        <f t="shared" si="6"/>
        <v>426</v>
      </c>
      <c r="B427" s="2"/>
      <c r="C427" s="2"/>
      <c r="D427" s="2"/>
      <c r="E427" s="2"/>
      <c r="F427" s="39"/>
      <c r="G427" s="2">
        <f>DAY(EOMONTH(Spare[[#This Row],[Date]], 0))</f>
        <v>31</v>
      </c>
      <c r="H427" s="40"/>
      <c r="J427" s="6"/>
    </row>
    <row r="428" spans="1:10" hidden="1" x14ac:dyDescent="0.35">
      <c r="A428" s="2">
        <f t="shared" si="6"/>
        <v>427</v>
      </c>
      <c r="B428" s="2"/>
      <c r="C428" s="2"/>
      <c r="D428" s="2"/>
      <c r="E428" s="2"/>
      <c r="F428" s="39"/>
      <c r="G428" s="2">
        <f>DAY(EOMONTH(Spare[[#This Row],[Date]], 0))</f>
        <v>31</v>
      </c>
      <c r="H428" s="40"/>
      <c r="J428" s="6"/>
    </row>
    <row r="429" spans="1:10" hidden="1" x14ac:dyDescent="0.35">
      <c r="A429" s="2">
        <f t="shared" si="6"/>
        <v>428</v>
      </c>
      <c r="B429" s="2"/>
      <c r="C429" s="2"/>
      <c r="D429" s="2"/>
      <c r="E429" s="2"/>
      <c r="F429" s="39"/>
      <c r="G429" s="2">
        <f>DAY(EOMONTH(Spare[[#This Row],[Date]], 0))</f>
        <v>31</v>
      </c>
      <c r="H429" s="40"/>
      <c r="J429" s="6"/>
    </row>
    <row r="430" spans="1:10" hidden="1" x14ac:dyDescent="0.35">
      <c r="A430" s="2">
        <f t="shared" si="6"/>
        <v>429</v>
      </c>
      <c r="B430" s="2"/>
      <c r="C430" s="2"/>
      <c r="D430" s="2"/>
      <c r="E430" s="2"/>
      <c r="F430" s="39"/>
      <c r="G430" s="2">
        <f>DAY(EOMONTH(Spare[[#This Row],[Date]], 0))</f>
        <v>31</v>
      </c>
      <c r="H430" s="40"/>
      <c r="J430" s="6"/>
    </row>
    <row r="431" spans="1:10" hidden="1" x14ac:dyDescent="0.35">
      <c r="A431" s="2">
        <f t="shared" si="6"/>
        <v>430</v>
      </c>
      <c r="B431" s="2"/>
      <c r="C431" s="2"/>
      <c r="D431" s="2"/>
      <c r="E431" s="2"/>
      <c r="F431" s="39"/>
      <c r="G431" s="2">
        <f>DAY(EOMONTH(Spare[[#This Row],[Date]], 0))</f>
        <v>31</v>
      </c>
      <c r="H431" s="40"/>
      <c r="J431" s="6"/>
    </row>
    <row r="432" spans="1:10" hidden="1" x14ac:dyDescent="0.35">
      <c r="A432" s="2">
        <f t="shared" si="6"/>
        <v>431</v>
      </c>
      <c r="B432" s="2"/>
      <c r="C432" s="2"/>
      <c r="D432" s="2"/>
      <c r="E432" s="2"/>
      <c r="F432" s="39"/>
      <c r="G432" s="2">
        <f>DAY(EOMONTH(Spare[[#This Row],[Date]], 0))</f>
        <v>31</v>
      </c>
      <c r="H432" s="40"/>
      <c r="J432" s="6"/>
    </row>
    <row r="433" spans="1:10" hidden="1" x14ac:dyDescent="0.35">
      <c r="A433" s="2">
        <f t="shared" si="6"/>
        <v>432</v>
      </c>
      <c r="B433" s="2"/>
      <c r="C433" s="2"/>
      <c r="D433" s="2"/>
      <c r="E433" s="2"/>
      <c r="F433" s="39"/>
      <c r="G433" s="2">
        <f>DAY(EOMONTH(Spare[[#This Row],[Date]], 0))</f>
        <v>31</v>
      </c>
      <c r="H433" s="40"/>
      <c r="J433" s="6"/>
    </row>
    <row r="434" spans="1:10" hidden="1" x14ac:dyDescent="0.35">
      <c r="A434" s="2">
        <f t="shared" si="6"/>
        <v>433</v>
      </c>
      <c r="B434" s="2"/>
      <c r="C434" s="2"/>
      <c r="D434" s="2"/>
      <c r="E434" s="2"/>
      <c r="F434" s="39"/>
      <c r="G434" s="2">
        <f>DAY(EOMONTH(Spare[[#This Row],[Date]], 0))</f>
        <v>31</v>
      </c>
      <c r="H434" s="40"/>
      <c r="J434" s="6"/>
    </row>
    <row r="435" spans="1:10" hidden="1" x14ac:dyDescent="0.35">
      <c r="A435" s="2">
        <f t="shared" si="6"/>
        <v>434</v>
      </c>
      <c r="B435" s="2"/>
      <c r="C435" s="2"/>
      <c r="D435" s="2"/>
      <c r="E435" s="2"/>
      <c r="F435" s="39"/>
      <c r="G435" s="2">
        <f>DAY(EOMONTH(Spare[[#This Row],[Date]], 0))</f>
        <v>31</v>
      </c>
      <c r="H435" s="40"/>
      <c r="J435" s="6"/>
    </row>
    <row r="436" spans="1:10" hidden="1" x14ac:dyDescent="0.35">
      <c r="A436" s="2">
        <f t="shared" si="6"/>
        <v>435</v>
      </c>
      <c r="B436" s="2"/>
      <c r="C436" s="2"/>
      <c r="D436" s="2"/>
      <c r="E436" s="2"/>
      <c r="F436" s="39"/>
      <c r="G436" s="2">
        <f>DAY(EOMONTH(Spare[[#This Row],[Date]], 0))</f>
        <v>31</v>
      </c>
      <c r="H436" s="40"/>
      <c r="J436" s="6"/>
    </row>
    <row r="437" spans="1:10" hidden="1" x14ac:dyDescent="0.35">
      <c r="A437" s="2">
        <f t="shared" si="6"/>
        <v>436</v>
      </c>
      <c r="B437" s="2"/>
      <c r="C437" s="2"/>
      <c r="D437" s="2"/>
      <c r="E437" s="2"/>
      <c r="F437" s="39"/>
      <c r="G437" s="2">
        <f>DAY(EOMONTH(Spare[[#This Row],[Date]], 0))</f>
        <v>31</v>
      </c>
      <c r="H437" s="40"/>
      <c r="J437" s="6"/>
    </row>
    <row r="438" spans="1:10" hidden="1" x14ac:dyDescent="0.35">
      <c r="A438" s="2">
        <f t="shared" si="6"/>
        <v>437</v>
      </c>
      <c r="B438" s="2"/>
      <c r="C438" s="2"/>
      <c r="D438" s="2"/>
      <c r="E438" s="2"/>
      <c r="F438" s="39"/>
      <c r="G438" s="2">
        <f>DAY(EOMONTH(Spare[[#This Row],[Date]], 0))</f>
        <v>31</v>
      </c>
      <c r="H438" s="40"/>
      <c r="J438" s="6"/>
    </row>
    <row r="439" spans="1:10" hidden="1" x14ac:dyDescent="0.35">
      <c r="A439" s="2">
        <f t="shared" si="6"/>
        <v>438</v>
      </c>
      <c r="B439" s="2"/>
      <c r="C439" s="2"/>
      <c r="D439" s="2"/>
      <c r="E439" s="2"/>
      <c r="F439" s="39"/>
      <c r="G439" s="2">
        <f>DAY(EOMONTH(Spare[[#This Row],[Date]], 0))</f>
        <v>31</v>
      </c>
      <c r="H439" s="40"/>
      <c r="J439" s="6"/>
    </row>
    <row r="440" spans="1:10" hidden="1" x14ac:dyDescent="0.35">
      <c r="A440" s="2">
        <f t="shared" si="6"/>
        <v>439</v>
      </c>
      <c r="B440" s="2"/>
      <c r="C440" s="2"/>
      <c r="D440" s="2"/>
      <c r="E440" s="2"/>
      <c r="F440" s="39"/>
      <c r="G440" s="2">
        <f>DAY(EOMONTH(Spare[[#This Row],[Date]], 0))</f>
        <v>31</v>
      </c>
      <c r="H440" s="40"/>
      <c r="J440" s="6"/>
    </row>
    <row r="441" spans="1:10" hidden="1" x14ac:dyDescent="0.35">
      <c r="A441" s="2">
        <f t="shared" si="6"/>
        <v>440</v>
      </c>
      <c r="B441" s="2"/>
      <c r="C441" s="2"/>
      <c r="D441" s="2"/>
      <c r="E441" s="2"/>
      <c r="F441" s="39"/>
      <c r="G441" s="2">
        <f>DAY(EOMONTH(Spare[[#This Row],[Date]], 0))</f>
        <v>31</v>
      </c>
      <c r="H441" s="40"/>
      <c r="J441" s="6"/>
    </row>
    <row r="442" spans="1:10" hidden="1" x14ac:dyDescent="0.35">
      <c r="A442" s="2">
        <f t="shared" si="6"/>
        <v>441</v>
      </c>
      <c r="B442" s="2"/>
      <c r="C442" s="2"/>
      <c r="D442" s="2"/>
      <c r="E442" s="2"/>
      <c r="F442" s="39"/>
      <c r="G442" s="2">
        <f>DAY(EOMONTH(Spare[[#This Row],[Date]], 0))</f>
        <v>31</v>
      </c>
      <c r="H442" s="40"/>
      <c r="J442" s="6"/>
    </row>
    <row r="443" spans="1:10" hidden="1" x14ac:dyDescent="0.35">
      <c r="A443" s="2">
        <f t="shared" si="6"/>
        <v>442</v>
      </c>
      <c r="B443" s="2"/>
      <c r="C443" s="2"/>
      <c r="D443" s="2"/>
      <c r="E443" s="2"/>
      <c r="F443" s="39"/>
      <c r="G443" s="2">
        <f>DAY(EOMONTH(Spare[[#This Row],[Date]], 0))</f>
        <v>31</v>
      </c>
      <c r="H443" s="40"/>
      <c r="J443" s="6"/>
    </row>
    <row r="444" spans="1:10" hidden="1" x14ac:dyDescent="0.35">
      <c r="A444" s="2">
        <f t="shared" si="6"/>
        <v>443</v>
      </c>
      <c r="B444" s="2"/>
      <c r="C444" s="2"/>
      <c r="D444" s="2"/>
      <c r="E444" s="2"/>
      <c r="F444" s="39"/>
      <c r="G444" s="2">
        <f>DAY(EOMONTH(Spare[[#This Row],[Date]], 0))</f>
        <v>31</v>
      </c>
      <c r="H444" s="40"/>
      <c r="J444" s="6"/>
    </row>
    <row r="445" spans="1:10" hidden="1" x14ac:dyDescent="0.35">
      <c r="A445" s="2">
        <f t="shared" si="6"/>
        <v>444</v>
      </c>
      <c r="B445" s="2"/>
      <c r="C445" s="2"/>
      <c r="D445" s="2"/>
      <c r="E445" s="2"/>
      <c r="F445" s="39"/>
      <c r="G445" s="2">
        <f>DAY(EOMONTH(Spare[[#This Row],[Date]], 0))</f>
        <v>31</v>
      </c>
      <c r="H445" s="40"/>
      <c r="J445" s="6"/>
    </row>
    <row r="446" spans="1:10" hidden="1" x14ac:dyDescent="0.35">
      <c r="A446" s="2">
        <f t="shared" si="6"/>
        <v>445</v>
      </c>
      <c r="B446" s="2"/>
      <c r="C446" s="2"/>
      <c r="D446" s="2"/>
      <c r="E446" s="2"/>
      <c r="F446" s="39"/>
      <c r="G446" s="2">
        <f>DAY(EOMONTH(Spare[[#This Row],[Date]], 0))</f>
        <v>31</v>
      </c>
      <c r="H446" s="40"/>
      <c r="J446" s="6"/>
    </row>
    <row r="447" spans="1:10" hidden="1" x14ac:dyDescent="0.35">
      <c r="A447" s="2">
        <f t="shared" si="6"/>
        <v>446</v>
      </c>
      <c r="B447" s="2"/>
      <c r="C447" s="2"/>
      <c r="D447" s="2"/>
      <c r="E447" s="2"/>
      <c r="F447" s="39"/>
      <c r="G447" s="2">
        <f>DAY(EOMONTH(Spare[[#This Row],[Date]], 0))</f>
        <v>31</v>
      </c>
      <c r="H447" s="40"/>
      <c r="J447" s="6"/>
    </row>
    <row r="448" spans="1:10" hidden="1" x14ac:dyDescent="0.35">
      <c r="A448" s="2">
        <f t="shared" si="6"/>
        <v>447</v>
      </c>
      <c r="B448" s="2"/>
      <c r="C448" s="2"/>
      <c r="D448" s="2"/>
      <c r="E448" s="2"/>
      <c r="F448" s="39"/>
      <c r="G448" s="2">
        <f>DAY(EOMONTH(Spare[[#This Row],[Date]], 0))</f>
        <v>31</v>
      </c>
      <c r="H448" s="40"/>
      <c r="J448" s="6"/>
    </row>
    <row r="449" spans="1:10" hidden="1" x14ac:dyDescent="0.35">
      <c r="A449" s="2">
        <f t="shared" si="6"/>
        <v>448</v>
      </c>
      <c r="B449" s="2"/>
      <c r="C449" s="2"/>
      <c r="D449" s="2"/>
      <c r="E449" s="2"/>
      <c r="F449" s="39"/>
      <c r="G449" s="2">
        <f>DAY(EOMONTH(Spare[[#This Row],[Date]], 0))</f>
        <v>31</v>
      </c>
      <c r="H449" s="40"/>
      <c r="J449" s="6"/>
    </row>
    <row r="450" spans="1:10" hidden="1" x14ac:dyDescent="0.35">
      <c r="A450" s="2">
        <f t="shared" si="6"/>
        <v>449</v>
      </c>
      <c r="B450" s="2"/>
      <c r="C450" s="2"/>
      <c r="D450" s="2"/>
      <c r="E450" s="2"/>
      <c r="F450" s="39"/>
      <c r="G450" s="2">
        <f>DAY(EOMONTH(Spare[[#This Row],[Date]], 0))</f>
        <v>31</v>
      </c>
      <c r="H450" s="40"/>
      <c r="J450" s="6"/>
    </row>
    <row r="451" spans="1:10" hidden="1" x14ac:dyDescent="0.35">
      <c r="A451" s="2">
        <f t="shared" si="6"/>
        <v>450</v>
      </c>
      <c r="B451" s="2"/>
      <c r="C451" s="2"/>
      <c r="D451" s="2"/>
      <c r="E451" s="2"/>
      <c r="F451" s="39"/>
      <c r="G451" s="2">
        <f>DAY(EOMONTH(Spare[[#This Row],[Date]], 0))</f>
        <v>31</v>
      </c>
      <c r="H451" s="40"/>
      <c r="J451" s="6"/>
    </row>
    <row r="452" spans="1:10" hidden="1" x14ac:dyDescent="0.35">
      <c r="A452" s="2">
        <f t="shared" ref="A452:A489" si="7">A451+1</f>
        <v>451</v>
      </c>
      <c r="B452" s="2"/>
      <c r="C452" s="2"/>
      <c r="D452" s="2"/>
      <c r="E452" s="2"/>
      <c r="F452" s="39"/>
      <c r="G452" s="2">
        <f>DAY(EOMONTH(Spare[[#This Row],[Date]], 0))</f>
        <v>31</v>
      </c>
      <c r="H452" s="40"/>
      <c r="J452" s="6"/>
    </row>
    <row r="453" spans="1:10" hidden="1" x14ac:dyDescent="0.35">
      <c r="A453" s="2">
        <f t="shared" si="7"/>
        <v>452</v>
      </c>
      <c r="B453" s="2"/>
      <c r="C453" s="2"/>
      <c r="D453" s="2"/>
      <c r="E453" s="2"/>
      <c r="F453" s="39"/>
      <c r="G453" s="2">
        <f>DAY(EOMONTH(Spare[[#This Row],[Date]], 0))</f>
        <v>31</v>
      </c>
      <c r="H453" s="40"/>
      <c r="J453" s="6"/>
    </row>
    <row r="454" spans="1:10" hidden="1" x14ac:dyDescent="0.35">
      <c r="A454" s="2">
        <f t="shared" si="7"/>
        <v>453</v>
      </c>
      <c r="B454" s="2"/>
      <c r="C454" s="2"/>
      <c r="D454" s="2"/>
      <c r="E454" s="2"/>
      <c r="F454" s="39"/>
      <c r="G454" s="2">
        <f>DAY(EOMONTH(Spare[[#This Row],[Date]], 0))</f>
        <v>31</v>
      </c>
      <c r="H454" s="40"/>
      <c r="J454" s="6"/>
    </row>
    <row r="455" spans="1:10" hidden="1" x14ac:dyDescent="0.35">
      <c r="A455" s="2">
        <f t="shared" si="7"/>
        <v>454</v>
      </c>
      <c r="B455" s="2"/>
      <c r="C455" s="2"/>
      <c r="D455" s="2"/>
      <c r="E455" s="2"/>
      <c r="F455" s="39"/>
      <c r="G455" s="2">
        <f>DAY(EOMONTH(Spare[[#This Row],[Date]], 0))</f>
        <v>31</v>
      </c>
      <c r="H455" s="40"/>
      <c r="J455" s="6"/>
    </row>
    <row r="456" spans="1:10" hidden="1" x14ac:dyDescent="0.35">
      <c r="A456" s="2">
        <f t="shared" si="7"/>
        <v>455</v>
      </c>
      <c r="B456" s="2"/>
      <c r="C456" s="2"/>
      <c r="D456" s="2"/>
      <c r="E456" s="2"/>
      <c r="F456" s="39"/>
      <c r="G456" s="2">
        <f>DAY(EOMONTH(Spare[[#This Row],[Date]], 0))</f>
        <v>31</v>
      </c>
      <c r="H456" s="40"/>
      <c r="J456" s="6"/>
    </row>
    <row r="457" spans="1:10" hidden="1" x14ac:dyDescent="0.35">
      <c r="A457" s="2">
        <f t="shared" si="7"/>
        <v>456</v>
      </c>
      <c r="B457" s="2"/>
      <c r="C457" s="2"/>
      <c r="D457" s="2"/>
      <c r="E457" s="2"/>
      <c r="F457" s="39"/>
      <c r="G457" s="2">
        <f>DAY(EOMONTH(Spare[[#This Row],[Date]], 0))</f>
        <v>31</v>
      </c>
      <c r="H457" s="40"/>
      <c r="J457" s="6"/>
    </row>
    <row r="458" spans="1:10" hidden="1" x14ac:dyDescent="0.35">
      <c r="A458" s="2">
        <f t="shared" si="7"/>
        <v>457</v>
      </c>
      <c r="B458" s="2"/>
      <c r="C458" s="2"/>
      <c r="D458" s="2"/>
      <c r="E458" s="2"/>
      <c r="F458" s="39"/>
      <c r="G458" s="2">
        <f>DAY(EOMONTH(Spare[[#This Row],[Date]], 0))</f>
        <v>31</v>
      </c>
      <c r="H458" s="40"/>
      <c r="J458" s="6"/>
    </row>
    <row r="459" spans="1:10" hidden="1" x14ac:dyDescent="0.35">
      <c r="A459" s="2">
        <f t="shared" si="7"/>
        <v>458</v>
      </c>
      <c r="B459" s="2"/>
      <c r="C459" s="2"/>
      <c r="D459" s="2"/>
      <c r="E459" s="2"/>
      <c r="F459" s="39"/>
      <c r="G459" s="2">
        <f>DAY(EOMONTH(Spare[[#This Row],[Date]], 0))</f>
        <v>31</v>
      </c>
      <c r="H459" s="40"/>
      <c r="J459" s="6"/>
    </row>
    <row r="460" spans="1:10" hidden="1" x14ac:dyDescent="0.35">
      <c r="A460" s="2">
        <f t="shared" si="7"/>
        <v>459</v>
      </c>
      <c r="B460" s="2"/>
      <c r="C460" s="2"/>
      <c r="D460" s="2"/>
      <c r="E460" s="2"/>
      <c r="F460" s="39"/>
      <c r="G460" s="2">
        <f>DAY(EOMONTH(Spare[[#This Row],[Date]], 0))</f>
        <v>31</v>
      </c>
      <c r="H460" s="40"/>
      <c r="J460" s="6"/>
    </row>
    <row r="461" spans="1:10" hidden="1" x14ac:dyDescent="0.35">
      <c r="A461" s="2">
        <f t="shared" si="7"/>
        <v>460</v>
      </c>
      <c r="B461" s="2"/>
      <c r="C461" s="2"/>
      <c r="D461" s="2"/>
      <c r="E461" s="2"/>
      <c r="F461" s="39"/>
      <c r="G461" s="2">
        <f>DAY(EOMONTH(Spare[[#This Row],[Date]], 0))</f>
        <v>31</v>
      </c>
      <c r="H461" s="40"/>
      <c r="J461" s="6"/>
    </row>
    <row r="462" spans="1:10" hidden="1" x14ac:dyDescent="0.35">
      <c r="A462" s="2">
        <f t="shared" si="7"/>
        <v>461</v>
      </c>
      <c r="B462" s="2"/>
      <c r="C462" s="2"/>
      <c r="D462" s="2"/>
      <c r="E462" s="2"/>
      <c r="F462" s="39"/>
      <c r="G462" s="2">
        <f>DAY(EOMONTH(Spare[[#This Row],[Date]], 0))</f>
        <v>31</v>
      </c>
      <c r="H462" s="40"/>
      <c r="J462" s="6"/>
    </row>
    <row r="463" spans="1:10" hidden="1" x14ac:dyDescent="0.35">
      <c r="A463" s="2">
        <f t="shared" si="7"/>
        <v>462</v>
      </c>
      <c r="B463" s="2"/>
      <c r="C463" s="2"/>
      <c r="D463" s="2"/>
      <c r="E463" s="2"/>
      <c r="F463" s="39"/>
      <c r="G463" s="2">
        <f>DAY(EOMONTH(Spare[[#This Row],[Date]], 0))</f>
        <v>31</v>
      </c>
      <c r="H463" s="40"/>
      <c r="J463" s="6"/>
    </row>
    <row r="464" spans="1:10" hidden="1" x14ac:dyDescent="0.35">
      <c r="A464" s="2">
        <f t="shared" si="7"/>
        <v>463</v>
      </c>
      <c r="B464" s="2"/>
      <c r="C464" s="2"/>
      <c r="D464" s="2"/>
      <c r="E464" s="2"/>
      <c r="F464" s="39"/>
      <c r="G464" s="2">
        <f>DAY(EOMONTH(Spare[[#This Row],[Date]], 0))</f>
        <v>31</v>
      </c>
      <c r="H464" s="40"/>
      <c r="J464" s="6"/>
    </row>
    <row r="465" spans="1:10" hidden="1" x14ac:dyDescent="0.35">
      <c r="A465" s="2">
        <f t="shared" si="7"/>
        <v>464</v>
      </c>
      <c r="B465" s="2"/>
      <c r="C465" s="2"/>
      <c r="D465" s="2"/>
      <c r="E465" s="2"/>
      <c r="F465" s="39"/>
      <c r="G465" s="2">
        <f>DAY(EOMONTH(Spare[[#This Row],[Date]], 0))</f>
        <v>31</v>
      </c>
      <c r="H465" s="40"/>
      <c r="J465" s="6"/>
    </row>
    <row r="466" spans="1:10" hidden="1" x14ac:dyDescent="0.35">
      <c r="A466" s="2">
        <f t="shared" si="7"/>
        <v>465</v>
      </c>
      <c r="B466" s="2"/>
      <c r="C466" s="2"/>
      <c r="D466" s="2"/>
      <c r="E466" s="2"/>
      <c r="F466" s="39"/>
      <c r="G466" s="2">
        <f>DAY(EOMONTH(Spare[[#This Row],[Date]], 0))</f>
        <v>31</v>
      </c>
      <c r="H466" s="40"/>
      <c r="J466" s="6"/>
    </row>
    <row r="467" spans="1:10" hidden="1" x14ac:dyDescent="0.35">
      <c r="A467" s="2">
        <f t="shared" si="7"/>
        <v>466</v>
      </c>
      <c r="B467" s="2"/>
      <c r="C467" s="2"/>
      <c r="D467" s="2"/>
      <c r="E467" s="2"/>
      <c r="F467" s="39"/>
      <c r="G467" s="2">
        <f>DAY(EOMONTH(Spare[[#This Row],[Date]], 0))</f>
        <v>31</v>
      </c>
      <c r="H467" s="40"/>
      <c r="J467" s="6"/>
    </row>
    <row r="468" spans="1:10" hidden="1" x14ac:dyDescent="0.35">
      <c r="A468" s="2">
        <f t="shared" si="7"/>
        <v>467</v>
      </c>
      <c r="B468" s="2"/>
      <c r="C468" s="2"/>
      <c r="D468" s="2"/>
      <c r="E468" s="2"/>
      <c r="F468" s="39"/>
      <c r="G468" s="2">
        <f>DAY(EOMONTH(Spare[[#This Row],[Date]], 0))</f>
        <v>31</v>
      </c>
      <c r="H468" s="40"/>
      <c r="J468" s="6"/>
    </row>
    <row r="469" spans="1:10" hidden="1" x14ac:dyDescent="0.35">
      <c r="A469" s="2">
        <f t="shared" si="7"/>
        <v>468</v>
      </c>
      <c r="B469" s="2"/>
      <c r="C469" s="2"/>
      <c r="D469" s="2"/>
      <c r="E469" s="2"/>
      <c r="F469" s="39"/>
      <c r="G469" s="2">
        <f>DAY(EOMONTH(Spare[[#This Row],[Date]], 0))</f>
        <v>31</v>
      </c>
      <c r="H469" s="40"/>
      <c r="J469" s="6"/>
    </row>
    <row r="470" spans="1:10" hidden="1" x14ac:dyDescent="0.35">
      <c r="A470" s="2">
        <f t="shared" si="7"/>
        <v>469</v>
      </c>
      <c r="B470" s="2"/>
      <c r="C470" s="2"/>
      <c r="D470" s="2"/>
      <c r="E470" s="2"/>
      <c r="F470" s="39"/>
      <c r="G470" s="2">
        <f>DAY(EOMONTH(Spare[[#This Row],[Date]], 0))</f>
        <v>31</v>
      </c>
      <c r="H470" s="40"/>
      <c r="J470" s="6"/>
    </row>
    <row r="471" spans="1:10" hidden="1" x14ac:dyDescent="0.35">
      <c r="A471" s="2">
        <f t="shared" si="7"/>
        <v>470</v>
      </c>
      <c r="B471" s="2"/>
      <c r="C471" s="2"/>
      <c r="D471" s="2"/>
      <c r="E471" s="2"/>
      <c r="F471" s="39"/>
      <c r="G471" s="2">
        <f>DAY(EOMONTH(Spare[[#This Row],[Date]], 0))</f>
        <v>31</v>
      </c>
      <c r="H471" s="40"/>
      <c r="J471" s="6"/>
    </row>
    <row r="472" spans="1:10" hidden="1" x14ac:dyDescent="0.35">
      <c r="A472" s="2">
        <f t="shared" si="7"/>
        <v>471</v>
      </c>
      <c r="B472" s="2"/>
      <c r="C472" s="2"/>
      <c r="D472" s="2"/>
      <c r="E472" s="2"/>
      <c r="F472" s="39"/>
      <c r="G472" s="2">
        <f>DAY(EOMONTH(Spare[[#This Row],[Date]], 0))</f>
        <v>31</v>
      </c>
      <c r="H472" s="40"/>
      <c r="J472" s="6"/>
    </row>
    <row r="473" spans="1:10" hidden="1" x14ac:dyDescent="0.35">
      <c r="A473" s="2">
        <f t="shared" si="7"/>
        <v>472</v>
      </c>
      <c r="B473" s="2"/>
      <c r="C473" s="2"/>
      <c r="D473" s="2"/>
      <c r="E473" s="2"/>
      <c r="F473" s="39"/>
      <c r="G473" s="2">
        <f>DAY(EOMONTH(Spare[[#This Row],[Date]], 0))</f>
        <v>31</v>
      </c>
      <c r="H473" s="40"/>
      <c r="J473" s="6"/>
    </row>
    <row r="474" spans="1:10" hidden="1" x14ac:dyDescent="0.35">
      <c r="A474" s="2">
        <f t="shared" si="7"/>
        <v>473</v>
      </c>
      <c r="B474" s="2"/>
      <c r="C474" s="2"/>
      <c r="D474" s="2"/>
      <c r="E474" s="2"/>
      <c r="F474" s="39"/>
      <c r="G474" s="2">
        <f>DAY(EOMONTH(Spare[[#This Row],[Date]], 0))</f>
        <v>31</v>
      </c>
      <c r="H474" s="40"/>
      <c r="J474" s="6"/>
    </row>
    <row r="475" spans="1:10" hidden="1" x14ac:dyDescent="0.35">
      <c r="A475" s="2">
        <f t="shared" si="7"/>
        <v>474</v>
      </c>
      <c r="B475" s="2"/>
      <c r="C475" s="2"/>
      <c r="D475" s="2"/>
      <c r="E475" s="2"/>
      <c r="F475" s="39"/>
      <c r="G475" s="2">
        <f>DAY(EOMONTH(Spare[[#This Row],[Date]], 0))</f>
        <v>31</v>
      </c>
      <c r="H475" s="40"/>
      <c r="J475" s="6"/>
    </row>
    <row r="476" spans="1:10" hidden="1" x14ac:dyDescent="0.35">
      <c r="A476" s="2">
        <f t="shared" si="7"/>
        <v>475</v>
      </c>
      <c r="B476" s="2"/>
      <c r="C476" s="2"/>
      <c r="D476" s="2"/>
      <c r="E476" s="2"/>
      <c r="F476" s="39"/>
      <c r="G476" s="2">
        <f>DAY(EOMONTH(Spare[[#This Row],[Date]], 0))</f>
        <v>31</v>
      </c>
      <c r="H476" s="40"/>
      <c r="J476" s="6"/>
    </row>
    <row r="477" spans="1:10" hidden="1" x14ac:dyDescent="0.35">
      <c r="A477" s="2">
        <f t="shared" si="7"/>
        <v>476</v>
      </c>
      <c r="B477" s="2"/>
      <c r="C477" s="2"/>
      <c r="D477" s="2"/>
      <c r="E477" s="2"/>
      <c r="F477" s="39"/>
      <c r="G477" s="2">
        <f>DAY(EOMONTH(Spare[[#This Row],[Date]], 0))</f>
        <v>31</v>
      </c>
      <c r="H477" s="40"/>
      <c r="J477" s="6"/>
    </row>
    <row r="478" spans="1:10" hidden="1" x14ac:dyDescent="0.35">
      <c r="A478" s="2">
        <f t="shared" si="7"/>
        <v>477</v>
      </c>
      <c r="B478" s="2"/>
      <c r="C478" s="2"/>
      <c r="D478" s="2"/>
      <c r="E478" s="2"/>
      <c r="F478" s="39"/>
      <c r="G478" s="2">
        <f>DAY(EOMONTH(Spare[[#This Row],[Date]], 0))</f>
        <v>31</v>
      </c>
      <c r="H478" s="40"/>
      <c r="J478" s="6"/>
    </row>
    <row r="479" spans="1:10" hidden="1" x14ac:dyDescent="0.35">
      <c r="A479" s="2">
        <f t="shared" si="7"/>
        <v>478</v>
      </c>
      <c r="B479" s="2"/>
      <c r="C479" s="2"/>
      <c r="D479" s="2"/>
      <c r="E479" s="2"/>
      <c r="F479" s="39"/>
      <c r="G479" s="2">
        <f>DAY(EOMONTH(Spare[[#This Row],[Date]], 0))</f>
        <v>31</v>
      </c>
      <c r="H479" s="40"/>
      <c r="J479" s="6"/>
    </row>
    <row r="480" spans="1:10" hidden="1" x14ac:dyDescent="0.35">
      <c r="A480" s="2">
        <f t="shared" si="7"/>
        <v>479</v>
      </c>
      <c r="B480" s="2"/>
      <c r="C480" s="2"/>
      <c r="D480" s="2"/>
      <c r="E480" s="2"/>
      <c r="F480" s="39"/>
      <c r="G480" s="2">
        <f>DAY(EOMONTH(Spare[[#This Row],[Date]], 0))</f>
        <v>31</v>
      </c>
      <c r="H480" s="40"/>
      <c r="J480" s="6"/>
    </row>
    <row r="481" spans="1:10" hidden="1" x14ac:dyDescent="0.35">
      <c r="A481" s="2">
        <f t="shared" si="7"/>
        <v>480</v>
      </c>
      <c r="B481" s="2"/>
      <c r="C481" s="2"/>
      <c r="D481" s="2"/>
      <c r="E481" s="2"/>
      <c r="F481" s="39"/>
      <c r="G481" s="2">
        <f>DAY(EOMONTH(Spare[[#This Row],[Date]], 0))</f>
        <v>31</v>
      </c>
      <c r="H481" s="40"/>
      <c r="J481" s="6"/>
    </row>
    <row r="482" spans="1:10" hidden="1" x14ac:dyDescent="0.35">
      <c r="A482" s="2">
        <f t="shared" si="7"/>
        <v>481</v>
      </c>
      <c r="B482" s="2"/>
      <c r="C482" s="2"/>
      <c r="D482" s="2"/>
      <c r="E482" s="2"/>
      <c r="F482" s="39"/>
      <c r="G482" s="2">
        <f>DAY(EOMONTH(Spare[[#This Row],[Date]], 0))</f>
        <v>31</v>
      </c>
      <c r="H482" s="40"/>
      <c r="J482" s="6"/>
    </row>
    <row r="483" spans="1:10" hidden="1" x14ac:dyDescent="0.35">
      <c r="A483" s="2">
        <f t="shared" si="7"/>
        <v>482</v>
      </c>
      <c r="B483" s="2"/>
      <c r="C483" s="2"/>
      <c r="D483" s="2"/>
      <c r="E483" s="2"/>
      <c r="F483" s="39"/>
      <c r="G483" s="2">
        <f>DAY(EOMONTH(Spare[[#This Row],[Date]], 0))</f>
        <v>31</v>
      </c>
      <c r="H483" s="40"/>
      <c r="J483" s="6"/>
    </row>
    <row r="484" spans="1:10" hidden="1" x14ac:dyDescent="0.35">
      <c r="A484" s="2">
        <f t="shared" si="7"/>
        <v>483</v>
      </c>
      <c r="B484" s="2"/>
      <c r="C484" s="2"/>
      <c r="D484" s="2"/>
      <c r="E484" s="2"/>
      <c r="F484" s="39"/>
      <c r="G484" s="2">
        <f>DAY(EOMONTH(Spare[[#This Row],[Date]], 0))</f>
        <v>31</v>
      </c>
      <c r="H484" s="40"/>
      <c r="J484" s="6"/>
    </row>
    <row r="485" spans="1:10" hidden="1" x14ac:dyDescent="0.35">
      <c r="A485" s="2">
        <f t="shared" si="7"/>
        <v>484</v>
      </c>
      <c r="B485" s="2"/>
      <c r="C485" s="2"/>
      <c r="D485" s="2"/>
      <c r="E485" s="2"/>
      <c r="F485" s="39"/>
      <c r="G485" s="2">
        <f>DAY(EOMONTH(Spare[[#This Row],[Date]], 0))</f>
        <v>31</v>
      </c>
      <c r="H485" s="40"/>
      <c r="J485" s="6"/>
    </row>
    <row r="486" spans="1:10" hidden="1" x14ac:dyDescent="0.35">
      <c r="A486" s="2">
        <f t="shared" si="7"/>
        <v>485</v>
      </c>
      <c r="B486" s="2"/>
      <c r="C486" s="2"/>
      <c r="D486" s="2"/>
      <c r="E486" s="2"/>
      <c r="F486" s="39"/>
      <c r="G486" s="2">
        <f>DAY(EOMONTH(Spare[[#This Row],[Date]], 0))</f>
        <v>31</v>
      </c>
      <c r="H486" s="40"/>
      <c r="J486" s="6"/>
    </row>
    <row r="487" spans="1:10" hidden="1" x14ac:dyDescent="0.35">
      <c r="A487" s="2">
        <f t="shared" si="7"/>
        <v>486</v>
      </c>
      <c r="B487" s="2"/>
      <c r="C487" s="2"/>
      <c r="D487" s="2"/>
      <c r="E487" s="2"/>
      <c r="F487" s="39"/>
      <c r="G487" s="2">
        <f>DAY(EOMONTH(Spare[[#This Row],[Date]], 0))</f>
        <v>31</v>
      </c>
      <c r="H487" s="40"/>
      <c r="J487" s="6"/>
    </row>
    <row r="488" spans="1:10" hidden="1" x14ac:dyDescent="0.35">
      <c r="A488" s="2">
        <f t="shared" si="7"/>
        <v>487</v>
      </c>
      <c r="B488" s="2"/>
      <c r="C488" s="2"/>
      <c r="D488" s="2"/>
      <c r="E488" s="2"/>
      <c r="F488" s="39"/>
      <c r="G488" s="2">
        <f>DAY(EOMONTH(Spare[[#This Row],[Date]], 0))</f>
        <v>31</v>
      </c>
      <c r="H488" s="40"/>
      <c r="J488" s="6"/>
    </row>
    <row r="489" spans="1:10" hidden="1" x14ac:dyDescent="0.35">
      <c r="A489" s="2">
        <f t="shared" si="7"/>
        <v>488</v>
      </c>
      <c r="B489" s="2"/>
      <c r="C489" s="2"/>
      <c r="D489" s="2"/>
      <c r="E489" s="2"/>
      <c r="F489" s="39"/>
      <c r="G489" s="2">
        <f>DAY(EOMONTH(Spare[[#This Row],[Date]], 0))</f>
        <v>31</v>
      </c>
      <c r="H489" s="40"/>
      <c r="J489" s="6"/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B85C-6BD2-444D-AA8A-36A82235C421}">
  <sheetPr codeName="Sheet12"/>
  <dimension ref="A1:AL64"/>
  <sheetViews>
    <sheetView topLeftCell="A2" zoomScale="70" zoomScaleNormal="70" workbookViewId="0">
      <pane xSplit="8" ySplit="1" topLeftCell="I3" activePane="bottomRight" state="frozen"/>
      <selection pane="topRight" activeCell="I2" sqref="I2"/>
      <selection pane="bottomLeft" activeCell="A3" sqref="A3"/>
      <selection pane="bottomRight" activeCell="G4" sqref="G4"/>
    </sheetView>
  </sheetViews>
  <sheetFormatPr defaultColWidth="8.81640625" defaultRowHeight="14.5" x14ac:dyDescent="0.35"/>
  <cols>
    <col min="1" max="5" width="13.453125" customWidth="1"/>
    <col min="6" max="6" width="10.81640625" style="2" customWidth="1"/>
    <col min="7" max="7" width="9.1796875" style="2"/>
    <col min="8" max="8" width="11.453125" customWidth="1"/>
    <col min="9" max="27" width="13.453125" customWidth="1"/>
    <col min="28" max="30" width="18.453125" customWidth="1"/>
    <col min="31" max="31" width="11.1796875" style="2" customWidth="1"/>
    <col min="32" max="37" width="13.453125" customWidth="1"/>
    <col min="38" max="38" width="40.453125" bestFit="1" customWidth="1"/>
  </cols>
  <sheetData>
    <row r="1" spans="1:38" hidden="1" x14ac:dyDescent="0.35"/>
    <row r="2" spans="1:38" s="11" customFormat="1" ht="39" x14ac:dyDescent="0.35">
      <c r="A2" s="69" t="s">
        <v>7</v>
      </c>
      <c r="B2" s="69" t="s">
        <v>116</v>
      </c>
      <c r="C2" s="69" t="s">
        <v>118</v>
      </c>
      <c r="D2" s="69" t="s">
        <v>119</v>
      </c>
      <c r="E2" s="69" t="s">
        <v>120</v>
      </c>
      <c r="F2" s="69" t="s">
        <v>75</v>
      </c>
      <c r="G2" s="69" t="s">
        <v>40</v>
      </c>
      <c r="H2" s="71" t="s">
        <v>72</v>
      </c>
      <c r="I2" s="69" t="s">
        <v>944</v>
      </c>
      <c r="J2" s="69" t="s">
        <v>945</v>
      </c>
      <c r="K2" s="76" t="s">
        <v>121</v>
      </c>
      <c r="L2" s="76" t="s">
        <v>122</v>
      </c>
      <c r="M2" s="76" t="s">
        <v>123</v>
      </c>
      <c r="N2" s="76" t="s">
        <v>124</v>
      </c>
      <c r="O2" s="76" t="s">
        <v>125</v>
      </c>
      <c r="P2" s="76" t="s">
        <v>126</v>
      </c>
      <c r="Q2" s="76" t="s">
        <v>127</v>
      </c>
      <c r="R2" s="76" t="s">
        <v>128</v>
      </c>
      <c r="S2" s="76" t="s">
        <v>129</v>
      </c>
      <c r="T2" s="76" t="s">
        <v>130</v>
      </c>
      <c r="U2" s="76" t="s">
        <v>946</v>
      </c>
      <c r="V2" s="76" t="s">
        <v>947</v>
      </c>
      <c r="W2" s="76" t="s">
        <v>948</v>
      </c>
      <c r="X2" s="76" t="s">
        <v>949</v>
      </c>
      <c r="Y2" s="76" t="s">
        <v>950</v>
      </c>
      <c r="Z2" s="76" t="s">
        <v>951</v>
      </c>
      <c r="AA2" s="76" t="s">
        <v>952</v>
      </c>
      <c r="AB2" s="76" t="s">
        <v>953</v>
      </c>
      <c r="AC2" s="167" t="s">
        <v>954</v>
      </c>
      <c r="AD2" s="167" t="s">
        <v>955</v>
      </c>
      <c r="AE2" s="69" t="s">
        <v>956</v>
      </c>
      <c r="AF2" s="69" t="s">
        <v>957</v>
      </c>
      <c r="AG2" s="69" t="s">
        <v>958</v>
      </c>
      <c r="AH2" s="69" t="s">
        <v>959</v>
      </c>
      <c r="AI2" s="69" t="s">
        <v>960</v>
      </c>
      <c r="AJ2" s="69" t="s">
        <v>961</v>
      </c>
      <c r="AK2" s="69" t="s">
        <v>962</v>
      </c>
      <c r="AL2" s="69" t="s">
        <v>933</v>
      </c>
    </row>
    <row r="3" spans="1:38" x14ac:dyDescent="0.35">
      <c r="A3" s="65">
        <v>1</v>
      </c>
      <c r="B3" s="65" t="s">
        <v>352</v>
      </c>
      <c r="C3" s="65">
        <f>YEAR(Mod_CL[[#This Row],[Date]])</f>
        <v>2025</v>
      </c>
      <c r="D3" s="65" t="s">
        <v>4</v>
      </c>
      <c r="E3" s="65" t="s">
        <v>4</v>
      </c>
      <c r="F3" s="63" t="str">
        <f>TEXT(Mod_CL[[#This Row],[Date]],"mmm-yy")</f>
        <v>Jul-25</v>
      </c>
      <c r="G3" s="63">
        <f>DAY(EOMONTH(Mod_CL[[#This Row],[Month Year]],0))</f>
        <v>31</v>
      </c>
      <c r="H3" s="66">
        <v>45839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2">
        <f>SUM(Mod_CL[[#This Row],[G1 Inv1]:[IS1_Inv2 Unit 4]])</f>
        <v>0</v>
      </c>
      <c r="AF3" s="94"/>
      <c r="AG3" s="94"/>
      <c r="AH3" s="94"/>
      <c r="AI3" s="94"/>
      <c r="AJ3" s="93"/>
      <c r="AK3" s="93"/>
      <c r="AL3" s="72"/>
    </row>
    <row r="4" spans="1:38" x14ac:dyDescent="0.35">
      <c r="A4" s="62">
        <f>A3+1</f>
        <v>2</v>
      </c>
      <c r="B4" s="65" t="s">
        <v>352</v>
      </c>
      <c r="C4" s="65">
        <f>YEAR(Mod_CL[[#This Row],[Date]])</f>
        <v>2025</v>
      </c>
      <c r="D4" s="65" t="s">
        <v>4</v>
      </c>
      <c r="E4" s="65" t="s">
        <v>4</v>
      </c>
      <c r="F4" s="63" t="str">
        <f>TEXT(Mod_CL[[#This Row],[Date]],"mmm-yy")</f>
        <v>Jul-25</v>
      </c>
      <c r="G4" s="63">
        <f>DAY(EOMONTH(Mod_CL[[#This Row],[Month Year]],0))</f>
        <v>31</v>
      </c>
      <c r="H4" s="64">
        <f>H3+1</f>
        <v>45840</v>
      </c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5"/>
      <c r="AD4" s="65"/>
      <c r="AE4" s="2">
        <f>SUM(Mod_CL[[#This Row],[G1 Inv1]:[IS1_Inv2 Unit 4]])</f>
        <v>0</v>
      </c>
      <c r="AF4" s="94"/>
      <c r="AG4" s="94"/>
      <c r="AH4" s="94"/>
      <c r="AI4" s="94"/>
      <c r="AJ4" s="93"/>
      <c r="AK4" s="93"/>
      <c r="AL4" s="62"/>
    </row>
    <row r="5" spans="1:38" x14ac:dyDescent="0.35">
      <c r="A5" s="62">
        <f t="shared" ref="A5:A64" si="0">A4+1</f>
        <v>3</v>
      </c>
      <c r="B5" s="65" t="s">
        <v>352</v>
      </c>
      <c r="C5" s="65">
        <f>YEAR(Mod_CL[[#This Row],[Date]])</f>
        <v>2025</v>
      </c>
      <c r="D5" s="65" t="s">
        <v>4</v>
      </c>
      <c r="E5" s="65" t="s">
        <v>4</v>
      </c>
      <c r="F5" s="2" t="str">
        <f>TEXT(Mod_CL[[#This Row],[Date]],"mmm-yy")</f>
        <v>Jul-25</v>
      </c>
      <c r="G5" s="2">
        <f>DAY(EOMONTH(Mod_CL[[#This Row],[Month Year]],0))</f>
        <v>31</v>
      </c>
      <c r="H5" s="64">
        <f t="shared" ref="H5:H64" si="1">H4+1</f>
        <v>45841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65"/>
      <c r="AD5" s="65"/>
      <c r="AE5" s="2">
        <f>SUM(Mod_CL[[#This Row],[G1 Inv1]:[IS1_Inv2 Unit 4]])</f>
        <v>0</v>
      </c>
      <c r="AF5" s="94"/>
      <c r="AG5" s="94"/>
      <c r="AH5" s="94"/>
      <c r="AI5" s="94"/>
      <c r="AJ5" s="93"/>
      <c r="AK5" s="93"/>
      <c r="AL5" s="62"/>
    </row>
    <row r="6" spans="1:38" x14ac:dyDescent="0.35">
      <c r="A6" s="62">
        <f t="shared" si="0"/>
        <v>4</v>
      </c>
      <c r="B6" s="65" t="s">
        <v>352</v>
      </c>
      <c r="C6" s="65">
        <f>YEAR(Mod_CL[[#This Row],[Date]])</f>
        <v>2025</v>
      </c>
      <c r="D6" s="65" t="s">
        <v>4</v>
      </c>
      <c r="E6" s="65" t="s">
        <v>4</v>
      </c>
      <c r="F6" s="2" t="str">
        <f>TEXT(Mod_CL[[#This Row],[Date]],"mmm-yy")</f>
        <v>Jul-25</v>
      </c>
      <c r="G6" s="2">
        <f>DAY(EOMONTH(Mod_CL[[#This Row],[Month Year]],0))</f>
        <v>31</v>
      </c>
      <c r="H6" s="64">
        <f t="shared" si="1"/>
        <v>45842</v>
      </c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65"/>
      <c r="AD6" s="65"/>
      <c r="AE6" s="2">
        <f>SUM(Mod_CL[[#This Row],[G1 Inv1]:[IS1_Inv2 Unit 4]])</f>
        <v>0</v>
      </c>
      <c r="AF6" s="94"/>
      <c r="AG6" s="94"/>
      <c r="AH6" s="94"/>
      <c r="AI6" s="94"/>
      <c r="AJ6" s="93"/>
      <c r="AK6" s="93"/>
      <c r="AL6" s="62"/>
    </row>
    <row r="7" spans="1:38" x14ac:dyDescent="0.35">
      <c r="A7" s="62">
        <f t="shared" si="0"/>
        <v>5</v>
      </c>
      <c r="B7" s="65" t="s">
        <v>352</v>
      </c>
      <c r="C7" s="65">
        <f>YEAR(Mod_CL[[#This Row],[Date]])</f>
        <v>2025</v>
      </c>
      <c r="D7" s="65" t="s">
        <v>4</v>
      </c>
      <c r="E7" s="65" t="s">
        <v>4</v>
      </c>
      <c r="F7" s="2" t="str">
        <f>TEXT(Mod_CL[[#This Row],[Date]],"mmm-yy")</f>
        <v>Jul-25</v>
      </c>
      <c r="G7" s="2">
        <f>DAY(EOMONTH(Mod_CL[[#This Row],[Month Year]],0))</f>
        <v>31</v>
      </c>
      <c r="H7" s="64">
        <f t="shared" si="1"/>
        <v>45843</v>
      </c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65"/>
      <c r="AD7" s="65"/>
      <c r="AE7" s="2">
        <f>SUM(Mod_CL[[#This Row],[G1 Inv1]:[IS1_Inv2 Unit 4]])</f>
        <v>0</v>
      </c>
      <c r="AF7" s="94"/>
      <c r="AG7" s="94"/>
      <c r="AH7" s="94"/>
      <c r="AI7" s="94"/>
      <c r="AJ7" s="93"/>
      <c r="AK7" s="93"/>
      <c r="AL7" s="62"/>
    </row>
    <row r="8" spans="1:38" x14ac:dyDescent="0.35">
      <c r="A8" s="62">
        <f t="shared" si="0"/>
        <v>6</v>
      </c>
      <c r="B8" s="65" t="s">
        <v>352</v>
      </c>
      <c r="C8" s="65">
        <f>YEAR(Mod_CL[[#This Row],[Date]])</f>
        <v>2025</v>
      </c>
      <c r="D8" s="65" t="s">
        <v>4</v>
      </c>
      <c r="E8" s="65" t="s">
        <v>4</v>
      </c>
      <c r="F8" s="2" t="str">
        <f>TEXT(Mod_CL[[#This Row],[Date]],"mmm-yy")</f>
        <v>Jul-25</v>
      </c>
      <c r="G8" s="2">
        <f>DAY(EOMONTH(Mod_CL[[#This Row],[Month Year]],0))</f>
        <v>31</v>
      </c>
      <c r="H8" s="64">
        <f t="shared" si="1"/>
        <v>45844</v>
      </c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65"/>
      <c r="AD8" s="65"/>
      <c r="AE8" s="2">
        <f>SUM(Mod_CL[[#This Row],[G1 Inv1]:[IS1_Inv2 Unit 4]])</f>
        <v>0</v>
      </c>
      <c r="AF8" s="94"/>
      <c r="AG8" s="94"/>
      <c r="AH8" s="94"/>
      <c r="AI8" s="94"/>
      <c r="AJ8" s="93"/>
      <c r="AK8" s="93"/>
      <c r="AL8" s="62"/>
    </row>
    <row r="9" spans="1:38" x14ac:dyDescent="0.35">
      <c r="A9" s="62">
        <f t="shared" si="0"/>
        <v>7</v>
      </c>
      <c r="B9" s="65" t="s">
        <v>352</v>
      </c>
      <c r="C9" s="65">
        <f>YEAR(Mod_CL[[#This Row],[Date]])</f>
        <v>2025</v>
      </c>
      <c r="D9" s="65" t="s">
        <v>4</v>
      </c>
      <c r="E9" s="65" t="s">
        <v>4</v>
      </c>
      <c r="F9" s="2" t="str">
        <f>TEXT(Mod_CL[[#This Row],[Date]],"mmm-yy")</f>
        <v>Jul-25</v>
      </c>
      <c r="G9" s="2">
        <f>DAY(EOMONTH(Mod_CL[[#This Row],[Month Year]],0))</f>
        <v>31</v>
      </c>
      <c r="H9" s="64">
        <f t="shared" si="1"/>
        <v>45845</v>
      </c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5"/>
      <c r="AD9" s="65"/>
      <c r="AE9" s="2">
        <f>SUM(Mod_CL[[#This Row],[G1 Inv1]:[IS1_Inv2 Unit 4]])</f>
        <v>0</v>
      </c>
      <c r="AF9" s="94"/>
      <c r="AG9" s="94"/>
      <c r="AH9" s="94"/>
      <c r="AI9" s="94"/>
      <c r="AJ9" s="93"/>
      <c r="AK9" s="93"/>
      <c r="AL9" s="62"/>
    </row>
    <row r="10" spans="1:38" x14ac:dyDescent="0.35">
      <c r="A10" s="62">
        <f t="shared" si="0"/>
        <v>8</v>
      </c>
      <c r="B10" s="65" t="s">
        <v>352</v>
      </c>
      <c r="C10" s="65">
        <f>YEAR(Mod_CL[[#This Row],[Date]])</f>
        <v>2025</v>
      </c>
      <c r="D10" s="65" t="s">
        <v>4</v>
      </c>
      <c r="E10" s="65" t="s">
        <v>4</v>
      </c>
      <c r="F10" s="2" t="str">
        <f>TEXT(Mod_CL[[#This Row],[Date]],"mmm-yy")</f>
        <v>Jul-25</v>
      </c>
      <c r="G10" s="2">
        <f>DAY(EOMONTH(Mod_CL[[#This Row],[Month Year]],0))</f>
        <v>31</v>
      </c>
      <c r="H10" s="64">
        <f t="shared" si="1"/>
        <v>45846</v>
      </c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65"/>
      <c r="AD10" s="65"/>
      <c r="AE10" s="2">
        <f>SUM(Mod_CL[[#This Row],[G1 Inv1]:[IS1_Inv2 Unit 4]])</f>
        <v>0</v>
      </c>
      <c r="AF10" s="94"/>
      <c r="AG10" s="94"/>
      <c r="AH10" s="94"/>
      <c r="AI10" s="94"/>
      <c r="AJ10" s="93"/>
      <c r="AK10" s="93"/>
      <c r="AL10" s="62"/>
    </row>
    <row r="11" spans="1:38" x14ac:dyDescent="0.35">
      <c r="A11" s="62">
        <f t="shared" si="0"/>
        <v>9</v>
      </c>
      <c r="B11" s="65" t="s">
        <v>352</v>
      </c>
      <c r="C11" s="65">
        <f>YEAR(Mod_CL[[#This Row],[Date]])</f>
        <v>2025</v>
      </c>
      <c r="D11" s="65" t="s">
        <v>4</v>
      </c>
      <c r="E11" s="65" t="s">
        <v>4</v>
      </c>
      <c r="F11" s="2" t="str">
        <f>TEXT(Mod_CL[[#This Row],[Date]],"mmm-yy")</f>
        <v>Jul-25</v>
      </c>
      <c r="G11" s="2">
        <f>DAY(EOMONTH(Mod_CL[[#This Row],[Month Year]],0))</f>
        <v>31</v>
      </c>
      <c r="H11" s="64">
        <f t="shared" si="1"/>
        <v>45847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65"/>
      <c r="AD11" s="65"/>
      <c r="AE11" s="2">
        <f>SUM(Mod_CL[[#This Row],[G1 Inv1]:[IS1_Inv2 Unit 4]])</f>
        <v>0</v>
      </c>
      <c r="AF11" s="94"/>
      <c r="AG11" s="94"/>
      <c r="AH11" s="94"/>
      <c r="AI11" s="94"/>
      <c r="AJ11" s="93"/>
      <c r="AK11" s="93"/>
      <c r="AL11" s="62"/>
    </row>
    <row r="12" spans="1:38" x14ac:dyDescent="0.35">
      <c r="A12" s="62">
        <f t="shared" si="0"/>
        <v>10</v>
      </c>
      <c r="B12" s="65" t="s">
        <v>352</v>
      </c>
      <c r="C12" s="65">
        <f>YEAR(Mod_CL[[#This Row],[Date]])</f>
        <v>2025</v>
      </c>
      <c r="D12" s="65" t="s">
        <v>4</v>
      </c>
      <c r="E12" s="65" t="s">
        <v>4</v>
      </c>
      <c r="F12" s="2" t="str">
        <f>TEXT(Mod_CL[[#This Row],[Date]],"mmm-yy")</f>
        <v>Jul-25</v>
      </c>
      <c r="G12" s="2">
        <f>DAY(EOMONTH(Mod_CL[[#This Row],[Month Year]],0))</f>
        <v>31</v>
      </c>
      <c r="H12" s="64">
        <f t="shared" si="1"/>
        <v>45848</v>
      </c>
      <c r="I12" s="93"/>
      <c r="J12" s="93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5"/>
      <c r="AD12" s="65"/>
      <c r="AE12" s="2">
        <f>SUM(Mod_CL[[#This Row],[G1 Inv1]:[IS1_Inv2 Unit 4]])</f>
        <v>0</v>
      </c>
      <c r="AF12" s="94"/>
      <c r="AG12" s="94"/>
      <c r="AH12" s="94"/>
      <c r="AI12" s="94"/>
      <c r="AJ12" s="93"/>
      <c r="AK12" s="93"/>
      <c r="AL12" s="62"/>
    </row>
    <row r="13" spans="1:38" x14ac:dyDescent="0.35">
      <c r="A13" s="62">
        <f t="shared" si="0"/>
        <v>11</v>
      </c>
      <c r="B13" s="65" t="s">
        <v>352</v>
      </c>
      <c r="C13" s="65">
        <f>YEAR(Mod_CL[[#This Row],[Date]])</f>
        <v>2025</v>
      </c>
      <c r="D13" s="65" t="s">
        <v>4</v>
      </c>
      <c r="E13" s="65" t="s">
        <v>4</v>
      </c>
      <c r="F13" s="2" t="str">
        <f>TEXT(Mod_CL[[#This Row],[Date]],"mmm-yy")</f>
        <v>Jul-25</v>
      </c>
      <c r="G13" s="2">
        <f>DAY(EOMONTH(Mod_CL[[#This Row],[Month Year]],0))</f>
        <v>31</v>
      </c>
      <c r="H13" s="64">
        <f t="shared" si="1"/>
        <v>45849</v>
      </c>
      <c r="I13" s="93"/>
      <c r="J13" s="93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5"/>
      <c r="AD13" s="65"/>
      <c r="AE13" s="2">
        <f>SUM(Mod_CL[[#This Row],[G1 Inv1]:[IS1_Inv2 Unit 4]])</f>
        <v>0</v>
      </c>
      <c r="AF13" s="94"/>
      <c r="AG13" s="94"/>
      <c r="AH13" s="94"/>
      <c r="AI13" s="94"/>
      <c r="AJ13" s="93"/>
      <c r="AK13" s="93"/>
      <c r="AL13" s="62"/>
    </row>
    <row r="14" spans="1:38" x14ac:dyDescent="0.35">
      <c r="A14" s="62">
        <f t="shared" si="0"/>
        <v>12</v>
      </c>
      <c r="B14" s="65" t="s">
        <v>352</v>
      </c>
      <c r="C14" s="65">
        <f>YEAR(Mod_CL[[#This Row],[Date]])</f>
        <v>2025</v>
      </c>
      <c r="D14" s="65" t="s">
        <v>4</v>
      </c>
      <c r="E14" s="65" t="s">
        <v>4</v>
      </c>
      <c r="F14" s="2" t="str">
        <f>TEXT(Mod_CL[[#This Row],[Date]],"mmm-yy")</f>
        <v>Jul-25</v>
      </c>
      <c r="G14" s="2">
        <f>DAY(EOMONTH(Mod_CL[[#This Row],[Month Year]],0))</f>
        <v>31</v>
      </c>
      <c r="H14" s="64">
        <f t="shared" si="1"/>
        <v>45850</v>
      </c>
      <c r="I14" s="93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5"/>
      <c r="AD14" s="65"/>
      <c r="AE14" s="2">
        <f>SUM(Mod_CL[[#This Row],[G1 Inv1]:[IS1_Inv2 Unit 4]])</f>
        <v>0</v>
      </c>
      <c r="AF14" s="94"/>
      <c r="AG14" s="94"/>
      <c r="AH14" s="94"/>
      <c r="AI14" s="94"/>
      <c r="AJ14" s="93"/>
      <c r="AK14" s="93"/>
      <c r="AL14" s="62"/>
    </row>
    <row r="15" spans="1:38" x14ac:dyDescent="0.35">
      <c r="A15" s="62">
        <f t="shared" si="0"/>
        <v>13</v>
      </c>
      <c r="B15" s="65" t="s">
        <v>352</v>
      </c>
      <c r="C15" s="65">
        <f>YEAR(Mod_CL[[#This Row],[Date]])</f>
        <v>2025</v>
      </c>
      <c r="D15" s="65" t="s">
        <v>4</v>
      </c>
      <c r="E15" s="65" t="s">
        <v>4</v>
      </c>
      <c r="F15" s="2" t="str">
        <f>TEXT(Mod_CL[[#This Row],[Date]],"mmm-yy")</f>
        <v>Jul-25</v>
      </c>
      <c r="G15" s="2">
        <f>DAY(EOMONTH(Mod_CL[[#This Row],[Month Year]],0))</f>
        <v>31</v>
      </c>
      <c r="H15" s="64">
        <f t="shared" si="1"/>
        <v>45851</v>
      </c>
      <c r="I15" s="93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5"/>
      <c r="AD15" s="65"/>
      <c r="AE15" s="2">
        <f>SUM(Mod_CL[[#This Row],[G1 Inv1]:[IS1_Inv2 Unit 4]])</f>
        <v>0</v>
      </c>
      <c r="AF15" s="94"/>
      <c r="AG15" s="94"/>
      <c r="AH15" s="94"/>
      <c r="AI15" s="94"/>
      <c r="AJ15" s="93"/>
      <c r="AK15" s="93"/>
      <c r="AL15" s="62"/>
    </row>
    <row r="16" spans="1:38" x14ac:dyDescent="0.35">
      <c r="A16" s="62">
        <f t="shared" si="0"/>
        <v>14</v>
      </c>
      <c r="B16" s="65" t="s">
        <v>352</v>
      </c>
      <c r="C16" s="65">
        <f>YEAR(Mod_CL[[#This Row],[Date]])</f>
        <v>2025</v>
      </c>
      <c r="D16" s="65" t="s">
        <v>4</v>
      </c>
      <c r="E16" s="65" t="s">
        <v>4</v>
      </c>
      <c r="F16" s="2" t="str">
        <f>TEXT(Mod_CL[[#This Row],[Date]],"mmm-yy")</f>
        <v>Jul-25</v>
      </c>
      <c r="G16" s="2">
        <f>DAY(EOMONTH(Mod_CL[[#This Row],[Month Year]],0))</f>
        <v>31</v>
      </c>
      <c r="H16" s="64">
        <f t="shared" si="1"/>
        <v>45852</v>
      </c>
      <c r="I16" s="93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5"/>
      <c r="AD16" s="65"/>
      <c r="AE16" s="2">
        <f>SUM(Mod_CL[[#This Row],[G1 Inv1]:[IS1_Inv2 Unit 4]])</f>
        <v>0</v>
      </c>
      <c r="AF16" s="94"/>
      <c r="AG16" s="94"/>
      <c r="AH16" s="94"/>
      <c r="AI16" s="94"/>
      <c r="AJ16" s="93"/>
      <c r="AK16" s="93"/>
      <c r="AL16" s="62"/>
    </row>
    <row r="17" spans="1:38" x14ac:dyDescent="0.35">
      <c r="A17" s="62">
        <f t="shared" si="0"/>
        <v>15</v>
      </c>
      <c r="B17" s="65" t="s">
        <v>352</v>
      </c>
      <c r="C17" s="65">
        <f>YEAR(Mod_CL[[#This Row],[Date]])</f>
        <v>2025</v>
      </c>
      <c r="D17" s="65" t="s">
        <v>4</v>
      </c>
      <c r="E17" s="65" t="s">
        <v>4</v>
      </c>
      <c r="F17" s="2" t="str">
        <f>TEXT(Mod_CL[[#This Row],[Date]],"mmm-yy")</f>
        <v>Jul-25</v>
      </c>
      <c r="G17" s="2">
        <f>DAY(EOMONTH(Mod_CL[[#This Row],[Month Year]],0))</f>
        <v>31</v>
      </c>
      <c r="H17" s="64">
        <f t="shared" si="1"/>
        <v>45853</v>
      </c>
      <c r="I17" s="93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5"/>
      <c r="AD17" s="65"/>
      <c r="AE17" s="2">
        <f>SUM(Mod_CL[[#This Row],[G1 Inv1]:[IS1_Inv2 Unit 4]])</f>
        <v>0</v>
      </c>
      <c r="AF17" s="94"/>
      <c r="AG17" s="94"/>
      <c r="AH17" s="94"/>
      <c r="AI17" s="94"/>
      <c r="AJ17" s="93"/>
      <c r="AK17" s="93"/>
      <c r="AL17" s="62"/>
    </row>
    <row r="18" spans="1:38" x14ac:dyDescent="0.35">
      <c r="A18" s="62">
        <f t="shared" si="0"/>
        <v>16</v>
      </c>
      <c r="B18" s="65" t="s">
        <v>352</v>
      </c>
      <c r="C18" s="65">
        <f>YEAR(Mod_CL[[#This Row],[Date]])</f>
        <v>2025</v>
      </c>
      <c r="D18" s="65" t="s">
        <v>4</v>
      </c>
      <c r="E18" s="65" t="s">
        <v>4</v>
      </c>
      <c r="F18" s="2" t="str">
        <f>TEXT(Mod_CL[[#This Row],[Date]],"mmm-yy")</f>
        <v>Jul-25</v>
      </c>
      <c r="G18" s="2">
        <f>DAY(EOMONTH(Mod_CL[[#This Row],[Month Year]],0))</f>
        <v>31</v>
      </c>
      <c r="H18" s="64">
        <f t="shared" si="1"/>
        <v>45854</v>
      </c>
      <c r="I18" s="93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5"/>
      <c r="AD18" s="65"/>
      <c r="AE18" s="2">
        <f>SUM(Mod_CL[[#This Row],[G1 Inv1]:[IS1_Inv2 Unit 4]])</f>
        <v>0</v>
      </c>
      <c r="AF18" s="94"/>
      <c r="AG18" s="94"/>
      <c r="AH18" s="94"/>
      <c r="AI18" s="94"/>
      <c r="AJ18" s="93"/>
      <c r="AK18" s="93"/>
      <c r="AL18" s="62"/>
    </row>
    <row r="19" spans="1:38" x14ac:dyDescent="0.35">
      <c r="A19" s="62">
        <f t="shared" si="0"/>
        <v>17</v>
      </c>
      <c r="B19" s="65" t="s">
        <v>352</v>
      </c>
      <c r="C19" s="65">
        <f>YEAR(Mod_CL[[#This Row],[Date]])</f>
        <v>2025</v>
      </c>
      <c r="D19" s="65" t="s">
        <v>4</v>
      </c>
      <c r="E19" s="65" t="s">
        <v>4</v>
      </c>
      <c r="F19" s="2" t="str">
        <f>TEXT(Mod_CL[[#This Row],[Date]],"mmm-yy")</f>
        <v>Jul-25</v>
      </c>
      <c r="G19" s="2">
        <f>DAY(EOMONTH(Mod_CL[[#This Row],[Month Year]],0))</f>
        <v>31</v>
      </c>
      <c r="H19" s="64">
        <f t="shared" si="1"/>
        <v>45855</v>
      </c>
      <c r="I19" s="93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5"/>
      <c r="AD19" s="65"/>
      <c r="AE19" s="2">
        <f>SUM(Mod_CL[[#This Row],[G1 Inv1]:[IS1_Inv2 Unit 4]])</f>
        <v>0</v>
      </c>
      <c r="AF19" s="94"/>
      <c r="AG19" s="94"/>
      <c r="AH19" s="94"/>
      <c r="AI19" s="94"/>
      <c r="AJ19" s="93"/>
      <c r="AK19" s="93"/>
      <c r="AL19" s="62"/>
    </row>
    <row r="20" spans="1:38" x14ac:dyDescent="0.35">
      <c r="A20" s="62">
        <f t="shared" si="0"/>
        <v>18</v>
      </c>
      <c r="B20" s="65" t="s">
        <v>352</v>
      </c>
      <c r="C20" s="65">
        <f>YEAR(Mod_CL[[#This Row],[Date]])</f>
        <v>2025</v>
      </c>
      <c r="D20" s="65" t="s">
        <v>4</v>
      </c>
      <c r="E20" s="65" t="s">
        <v>4</v>
      </c>
      <c r="F20" s="2" t="str">
        <f>TEXT(Mod_CL[[#This Row],[Date]],"mmm-yy")</f>
        <v>Jul-25</v>
      </c>
      <c r="G20" s="2">
        <f>DAY(EOMONTH(Mod_CL[[#This Row],[Month Year]],0))</f>
        <v>31</v>
      </c>
      <c r="H20" s="64">
        <f t="shared" si="1"/>
        <v>45856</v>
      </c>
      <c r="I20" s="93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5"/>
      <c r="AD20" s="65"/>
      <c r="AE20" s="2">
        <f>SUM(Mod_CL[[#This Row],[G1 Inv1]:[IS1_Inv2 Unit 4]])</f>
        <v>0</v>
      </c>
      <c r="AF20" s="94"/>
      <c r="AG20" s="94"/>
      <c r="AH20" s="94"/>
      <c r="AI20" s="94"/>
      <c r="AJ20" s="93"/>
      <c r="AK20" s="93"/>
      <c r="AL20" s="62"/>
    </row>
    <row r="21" spans="1:38" x14ac:dyDescent="0.35">
      <c r="A21" s="62">
        <f t="shared" si="0"/>
        <v>19</v>
      </c>
      <c r="B21" s="65" t="s">
        <v>352</v>
      </c>
      <c r="C21" s="65">
        <f>YEAR(Mod_CL[[#This Row],[Date]])</f>
        <v>2025</v>
      </c>
      <c r="D21" s="65" t="s">
        <v>4</v>
      </c>
      <c r="E21" s="65" t="s">
        <v>4</v>
      </c>
      <c r="F21" s="2" t="str">
        <f>TEXT(Mod_CL[[#This Row],[Date]],"mmm-yy")</f>
        <v>Jul-25</v>
      </c>
      <c r="G21" s="2">
        <f>DAY(EOMONTH(Mod_CL[[#This Row],[Month Year]],0))</f>
        <v>31</v>
      </c>
      <c r="H21" s="64">
        <f t="shared" si="1"/>
        <v>45857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65"/>
      <c r="AD21" s="65"/>
      <c r="AE21" s="2">
        <f>SUM(Mod_CL[[#This Row],[G1 Inv1]:[IS1_Inv2 Unit 4]])</f>
        <v>0</v>
      </c>
      <c r="AF21" s="94"/>
      <c r="AG21" s="94"/>
      <c r="AH21" s="94"/>
      <c r="AI21" s="94"/>
      <c r="AJ21" s="93"/>
      <c r="AK21" s="93"/>
      <c r="AL21" s="93"/>
    </row>
    <row r="22" spans="1:38" x14ac:dyDescent="0.35">
      <c r="A22" s="62">
        <f t="shared" si="0"/>
        <v>20</v>
      </c>
      <c r="B22" s="65" t="s">
        <v>352</v>
      </c>
      <c r="C22" s="65">
        <f>YEAR(Mod_CL[[#This Row],[Date]])</f>
        <v>2025</v>
      </c>
      <c r="D22" s="65" t="s">
        <v>4</v>
      </c>
      <c r="E22" s="65" t="s">
        <v>4</v>
      </c>
      <c r="F22" s="2" t="str">
        <f>TEXT(Mod_CL[[#This Row],[Date]],"mmm-yy")</f>
        <v>Jul-25</v>
      </c>
      <c r="G22" s="2">
        <f>DAY(EOMONTH(Mod_CL[[#This Row],[Month Year]],0))</f>
        <v>31</v>
      </c>
      <c r="H22" s="64">
        <f t="shared" si="1"/>
        <v>45858</v>
      </c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65"/>
      <c r="AD22" s="65"/>
      <c r="AE22" s="2">
        <f>SUM(Mod_CL[[#This Row],[G1 Inv1]:[IS1_Inv2 Unit 4]])</f>
        <v>0</v>
      </c>
      <c r="AF22" s="94"/>
      <c r="AG22" s="94"/>
      <c r="AH22" s="94"/>
      <c r="AI22" s="94"/>
      <c r="AJ22" s="93"/>
      <c r="AK22" s="93"/>
      <c r="AL22" s="93"/>
    </row>
    <row r="23" spans="1:38" x14ac:dyDescent="0.35">
      <c r="A23" s="62">
        <f t="shared" si="0"/>
        <v>21</v>
      </c>
      <c r="B23" s="65" t="s">
        <v>352</v>
      </c>
      <c r="C23" s="65">
        <f>YEAR(Mod_CL[[#This Row],[Date]])</f>
        <v>2025</v>
      </c>
      <c r="D23" s="65" t="s">
        <v>4</v>
      </c>
      <c r="E23" s="65" t="s">
        <v>4</v>
      </c>
      <c r="F23" s="2" t="str">
        <f>TEXT(Mod_CL[[#This Row],[Date]],"mmm-yy")</f>
        <v>Jul-25</v>
      </c>
      <c r="G23" s="2">
        <f>DAY(EOMONTH(Mod_CL[[#This Row],[Month Year]],0))</f>
        <v>31</v>
      </c>
      <c r="H23" s="64">
        <f t="shared" si="1"/>
        <v>45859</v>
      </c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65"/>
      <c r="AD23" s="65"/>
      <c r="AE23" s="2">
        <f>SUM(Mod_CL[[#This Row],[G1 Inv1]:[IS1_Inv2 Unit 4]])</f>
        <v>0</v>
      </c>
      <c r="AF23" s="94"/>
      <c r="AG23" s="94"/>
      <c r="AH23" s="94"/>
      <c r="AI23" s="94"/>
      <c r="AJ23" s="93"/>
      <c r="AK23" s="93"/>
      <c r="AL23" s="93"/>
    </row>
    <row r="24" spans="1:38" x14ac:dyDescent="0.35">
      <c r="A24" s="62">
        <f t="shared" si="0"/>
        <v>22</v>
      </c>
      <c r="B24" s="65" t="s">
        <v>352</v>
      </c>
      <c r="C24" s="65">
        <f>YEAR(Mod_CL[[#This Row],[Date]])</f>
        <v>2025</v>
      </c>
      <c r="D24" s="65" t="s">
        <v>4</v>
      </c>
      <c r="E24" s="65" t="s">
        <v>4</v>
      </c>
      <c r="F24" s="2" t="str">
        <f>TEXT(Mod_CL[[#This Row],[Date]],"mmm-yy")</f>
        <v>Jul-25</v>
      </c>
      <c r="G24" s="2">
        <f>DAY(EOMONTH(Mod_CL[[#This Row],[Month Year]],0))</f>
        <v>31</v>
      </c>
      <c r="H24" s="64">
        <f t="shared" si="1"/>
        <v>45860</v>
      </c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65"/>
      <c r="AD24" s="65"/>
      <c r="AE24" s="2">
        <f>SUM(Mod_CL[[#This Row],[G1 Inv1]:[IS1_Inv2 Unit 4]])</f>
        <v>0</v>
      </c>
      <c r="AF24" s="94"/>
      <c r="AG24" s="94"/>
      <c r="AH24" s="94"/>
      <c r="AI24" s="94"/>
      <c r="AJ24" s="93"/>
      <c r="AK24" s="93"/>
      <c r="AL24" s="93"/>
    </row>
    <row r="25" spans="1:38" x14ac:dyDescent="0.35">
      <c r="A25" s="62">
        <f t="shared" si="0"/>
        <v>23</v>
      </c>
      <c r="B25" s="65" t="s">
        <v>352</v>
      </c>
      <c r="C25" s="65">
        <f>YEAR(Mod_CL[[#This Row],[Date]])</f>
        <v>2025</v>
      </c>
      <c r="D25" s="65" t="s">
        <v>4</v>
      </c>
      <c r="E25" s="65" t="s">
        <v>4</v>
      </c>
      <c r="F25" s="2" t="str">
        <f>TEXT(Mod_CL[[#This Row],[Date]],"mmm-yy")</f>
        <v>Jul-25</v>
      </c>
      <c r="G25" s="2">
        <f>DAY(EOMONTH(Mod_CL[[#This Row],[Month Year]],0))</f>
        <v>31</v>
      </c>
      <c r="H25" s="64">
        <f t="shared" si="1"/>
        <v>45861</v>
      </c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65"/>
      <c r="AD25" s="65"/>
      <c r="AE25" s="2">
        <f>SUM(Mod_CL[[#This Row],[G1 Inv1]:[IS1_Inv2 Unit 4]])</f>
        <v>0</v>
      </c>
      <c r="AF25" s="94"/>
      <c r="AG25" s="94"/>
      <c r="AH25" s="94"/>
      <c r="AI25" s="94"/>
      <c r="AJ25" s="93"/>
      <c r="AK25" s="93"/>
      <c r="AL25" s="93"/>
    </row>
    <row r="26" spans="1:38" x14ac:dyDescent="0.35">
      <c r="A26" s="62">
        <f t="shared" si="0"/>
        <v>24</v>
      </c>
      <c r="B26" s="65" t="s">
        <v>352</v>
      </c>
      <c r="C26" s="65">
        <f>YEAR(Mod_CL[[#This Row],[Date]])</f>
        <v>2025</v>
      </c>
      <c r="D26" s="65" t="s">
        <v>4</v>
      </c>
      <c r="E26" s="65" t="s">
        <v>4</v>
      </c>
      <c r="F26" s="2" t="str">
        <f>TEXT(Mod_CL[[#This Row],[Date]],"mmm-yy")</f>
        <v>Jul-25</v>
      </c>
      <c r="G26" s="2">
        <f>DAY(EOMONTH(Mod_CL[[#This Row],[Month Year]],0))</f>
        <v>31</v>
      </c>
      <c r="H26" s="64">
        <f t="shared" si="1"/>
        <v>45862</v>
      </c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65"/>
      <c r="AD26" s="65"/>
      <c r="AE26" s="2">
        <f>SUM(Mod_CL[[#This Row],[G1 Inv1]:[IS1_Inv2 Unit 4]])</f>
        <v>0</v>
      </c>
      <c r="AF26" s="94"/>
      <c r="AG26" s="94"/>
      <c r="AH26" s="94"/>
      <c r="AI26" s="94"/>
      <c r="AJ26" s="93"/>
      <c r="AK26" s="93"/>
      <c r="AL26" s="93"/>
    </row>
    <row r="27" spans="1:38" x14ac:dyDescent="0.35">
      <c r="A27" s="62">
        <f t="shared" si="0"/>
        <v>25</v>
      </c>
      <c r="B27" s="65" t="s">
        <v>352</v>
      </c>
      <c r="C27" s="65">
        <f>YEAR(Mod_CL[[#This Row],[Date]])</f>
        <v>2025</v>
      </c>
      <c r="D27" s="65" t="s">
        <v>4</v>
      </c>
      <c r="E27" s="65" t="s">
        <v>4</v>
      </c>
      <c r="F27" s="2" t="str">
        <f>TEXT(Mod_CL[[#This Row],[Date]],"mmm-yy")</f>
        <v>Jul-25</v>
      </c>
      <c r="G27" s="2">
        <f>DAY(EOMONTH(Mod_CL[[#This Row],[Month Year]],0))</f>
        <v>31</v>
      </c>
      <c r="H27" s="64">
        <f t="shared" si="1"/>
        <v>45863</v>
      </c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65"/>
      <c r="AD27" s="65"/>
      <c r="AE27" s="2">
        <f>SUM(Mod_CL[[#This Row],[G1 Inv1]:[IS1_Inv2 Unit 4]])</f>
        <v>0</v>
      </c>
      <c r="AF27" s="94"/>
      <c r="AG27" s="94"/>
      <c r="AH27" s="94"/>
      <c r="AI27" s="94"/>
      <c r="AJ27" s="93"/>
      <c r="AK27" s="93"/>
      <c r="AL27" s="93"/>
    </row>
    <row r="28" spans="1:38" x14ac:dyDescent="0.35">
      <c r="A28" s="62">
        <f t="shared" si="0"/>
        <v>26</v>
      </c>
      <c r="B28" s="65" t="s">
        <v>352</v>
      </c>
      <c r="C28" s="65">
        <f>YEAR(Mod_CL[[#This Row],[Date]])</f>
        <v>2025</v>
      </c>
      <c r="D28" s="65" t="s">
        <v>4</v>
      </c>
      <c r="E28" s="65" t="s">
        <v>4</v>
      </c>
      <c r="F28" s="2" t="str">
        <f>TEXT(Mod_CL[[#This Row],[Date]],"mmm-yy")</f>
        <v>Jul-25</v>
      </c>
      <c r="G28" s="2">
        <f>DAY(EOMONTH(Mod_CL[[#This Row],[Month Year]],0))</f>
        <v>31</v>
      </c>
      <c r="H28" s="64">
        <f t="shared" si="1"/>
        <v>45864</v>
      </c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65"/>
      <c r="AD28" s="65"/>
      <c r="AE28" s="2">
        <f>SUM(Mod_CL[[#This Row],[G1 Inv1]:[IS1_Inv2 Unit 4]])</f>
        <v>0</v>
      </c>
      <c r="AF28" s="94"/>
      <c r="AG28" s="94"/>
      <c r="AH28" s="94"/>
      <c r="AI28" s="94"/>
      <c r="AJ28" s="93"/>
      <c r="AK28" s="93"/>
      <c r="AL28" s="93"/>
    </row>
    <row r="29" spans="1:38" x14ac:dyDescent="0.35">
      <c r="A29" s="62">
        <f t="shared" si="0"/>
        <v>27</v>
      </c>
      <c r="B29" s="65" t="s">
        <v>352</v>
      </c>
      <c r="C29" s="65">
        <f>YEAR(Mod_CL[[#This Row],[Date]])</f>
        <v>2025</v>
      </c>
      <c r="D29" s="65" t="s">
        <v>4</v>
      </c>
      <c r="E29" s="65" t="s">
        <v>4</v>
      </c>
      <c r="F29" s="2" t="str">
        <f>TEXT(Mod_CL[[#This Row],[Date]],"mmm-yy")</f>
        <v>Jul-25</v>
      </c>
      <c r="G29" s="2">
        <f>DAY(EOMONTH(Mod_CL[[#This Row],[Month Year]],0))</f>
        <v>31</v>
      </c>
      <c r="H29" s="64">
        <f t="shared" si="1"/>
        <v>45865</v>
      </c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65"/>
      <c r="AD29" s="65"/>
      <c r="AE29" s="2">
        <f>SUM(Mod_CL[[#This Row],[G1 Inv1]:[IS1_Inv2 Unit 4]])</f>
        <v>0</v>
      </c>
      <c r="AF29" s="94"/>
      <c r="AG29" s="94"/>
      <c r="AH29" s="94"/>
      <c r="AI29" s="94"/>
      <c r="AJ29" s="93"/>
      <c r="AK29" s="93"/>
      <c r="AL29" s="93"/>
    </row>
    <row r="30" spans="1:38" x14ac:dyDescent="0.35">
      <c r="A30" s="62">
        <f t="shared" si="0"/>
        <v>28</v>
      </c>
      <c r="B30" s="65" t="s">
        <v>352</v>
      </c>
      <c r="C30" s="65">
        <f>YEAR(Mod_CL[[#This Row],[Date]])</f>
        <v>2025</v>
      </c>
      <c r="D30" s="65" t="s">
        <v>4</v>
      </c>
      <c r="E30" s="65" t="s">
        <v>4</v>
      </c>
      <c r="F30" s="2" t="str">
        <f>TEXT(Mod_CL[[#This Row],[Date]],"mmm-yy")</f>
        <v>Jul-25</v>
      </c>
      <c r="G30" s="2">
        <f>DAY(EOMONTH(Mod_CL[[#This Row],[Month Year]],0))</f>
        <v>31</v>
      </c>
      <c r="H30" s="64">
        <f t="shared" si="1"/>
        <v>45866</v>
      </c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65"/>
      <c r="AD30" s="65"/>
      <c r="AE30" s="2">
        <f>SUM(Mod_CL[[#This Row],[G1 Inv1]:[IS1_Inv2 Unit 4]])</f>
        <v>0</v>
      </c>
      <c r="AF30" s="94"/>
      <c r="AG30" s="94"/>
      <c r="AH30" s="94"/>
      <c r="AI30" s="94"/>
      <c r="AJ30" s="93"/>
      <c r="AK30" s="93"/>
      <c r="AL30" s="93"/>
    </row>
    <row r="31" spans="1:38" x14ac:dyDescent="0.35">
      <c r="A31" s="62">
        <f t="shared" si="0"/>
        <v>29</v>
      </c>
      <c r="B31" s="65" t="s">
        <v>352</v>
      </c>
      <c r="C31" s="65">
        <f>YEAR(Mod_CL[[#This Row],[Date]])</f>
        <v>2025</v>
      </c>
      <c r="D31" s="65" t="s">
        <v>4</v>
      </c>
      <c r="E31" s="65" t="s">
        <v>4</v>
      </c>
      <c r="F31" s="2" t="str">
        <f>TEXT(Mod_CL[[#This Row],[Date]],"mmm-yy")</f>
        <v>Jul-25</v>
      </c>
      <c r="G31" s="2">
        <f>DAY(EOMONTH(Mod_CL[[#This Row],[Month Year]],0))</f>
        <v>31</v>
      </c>
      <c r="H31" s="64">
        <f t="shared" si="1"/>
        <v>45867</v>
      </c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65"/>
      <c r="AD31" s="65"/>
      <c r="AE31" s="2">
        <f>SUM(Mod_CL[[#This Row],[G1 Inv1]:[IS1_Inv2 Unit 4]])</f>
        <v>0</v>
      </c>
      <c r="AF31" s="94"/>
      <c r="AG31" s="94"/>
      <c r="AH31" s="94"/>
      <c r="AI31" s="94"/>
      <c r="AJ31" s="93"/>
      <c r="AK31" s="93"/>
      <c r="AL31" s="93"/>
    </row>
    <row r="32" spans="1:38" x14ac:dyDescent="0.35">
      <c r="A32" s="62">
        <f t="shared" si="0"/>
        <v>30</v>
      </c>
      <c r="B32" s="65" t="s">
        <v>352</v>
      </c>
      <c r="C32" s="65">
        <f>YEAR(Mod_CL[[#This Row],[Date]])</f>
        <v>2025</v>
      </c>
      <c r="D32" s="65" t="s">
        <v>4</v>
      </c>
      <c r="E32" s="65" t="s">
        <v>4</v>
      </c>
      <c r="F32" s="2" t="str">
        <f>TEXT(Mod_CL[[#This Row],[Date]],"mmm-yy")</f>
        <v>Jul-25</v>
      </c>
      <c r="G32" s="2">
        <f>DAY(EOMONTH(Mod_CL[[#This Row],[Month Year]],0))</f>
        <v>31</v>
      </c>
      <c r="H32" s="64">
        <f t="shared" si="1"/>
        <v>45868</v>
      </c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65"/>
      <c r="AD32" s="65"/>
      <c r="AE32" s="2">
        <f>SUM(Mod_CL[[#This Row],[G1 Inv1]:[IS1_Inv2 Unit 4]])</f>
        <v>0</v>
      </c>
      <c r="AF32" s="94"/>
      <c r="AG32" s="94"/>
      <c r="AH32" s="94"/>
      <c r="AI32" s="94"/>
      <c r="AJ32" s="93"/>
      <c r="AK32" s="93"/>
      <c r="AL32" s="93"/>
    </row>
    <row r="33" spans="1:38" x14ac:dyDescent="0.35">
      <c r="A33" s="62">
        <f t="shared" si="0"/>
        <v>31</v>
      </c>
      <c r="B33" s="65" t="s">
        <v>352</v>
      </c>
      <c r="C33" s="65">
        <f>YEAR(Mod_CL[[#This Row],[Date]])</f>
        <v>2025</v>
      </c>
      <c r="D33" s="65" t="s">
        <v>4</v>
      </c>
      <c r="E33" s="65" t="s">
        <v>4</v>
      </c>
      <c r="F33" s="2" t="str">
        <f>TEXT(Mod_CL[[#This Row],[Date]],"mmm-yy")</f>
        <v>Jul-25</v>
      </c>
      <c r="G33" s="2">
        <f>DAY(EOMONTH(Mod_CL[[#This Row],[Month Year]],0))</f>
        <v>31</v>
      </c>
      <c r="H33" s="64">
        <f t="shared" si="1"/>
        <v>45869</v>
      </c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65"/>
      <c r="AD33" s="65"/>
      <c r="AE33" s="2">
        <f>SUM(Mod_CL[[#This Row],[G1 Inv1]:[IS1_Inv2 Unit 4]])</f>
        <v>0</v>
      </c>
      <c r="AF33" s="94"/>
      <c r="AG33" s="94"/>
      <c r="AH33" s="94"/>
      <c r="AI33" s="94"/>
      <c r="AJ33" s="93"/>
      <c r="AK33" s="93"/>
      <c r="AL33" s="93"/>
    </row>
    <row r="34" spans="1:38" x14ac:dyDescent="0.35">
      <c r="A34" s="62">
        <f t="shared" si="0"/>
        <v>32</v>
      </c>
      <c r="B34" s="65" t="s">
        <v>352</v>
      </c>
      <c r="C34" s="65">
        <f>YEAR(Mod_CL[[#This Row],[Date]])</f>
        <v>2025</v>
      </c>
      <c r="D34" s="65" t="s">
        <v>4</v>
      </c>
      <c r="E34" s="65" t="s">
        <v>4</v>
      </c>
      <c r="F34" s="2" t="str">
        <f>TEXT(Mod_CL[[#This Row],[Date]],"mmm-yy")</f>
        <v>Aug-25</v>
      </c>
      <c r="G34" s="2">
        <f>DAY(EOMONTH(Mod_CL[[#This Row],[Month Year]],0))</f>
        <v>31</v>
      </c>
      <c r="H34" s="64">
        <f t="shared" si="1"/>
        <v>45870</v>
      </c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65"/>
      <c r="AD34" s="65"/>
      <c r="AE34" s="2">
        <f>SUM(Mod_CL[[#This Row],[G1 Inv1]:[IS1_Inv2 Unit 4]])</f>
        <v>0</v>
      </c>
      <c r="AF34" s="94"/>
      <c r="AG34" s="94"/>
      <c r="AH34" s="94"/>
      <c r="AI34" s="94"/>
      <c r="AJ34" s="93"/>
      <c r="AK34" s="93"/>
      <c r="AL34" s="93"/>
    </row>
    <row r="35" spans="1:38" x14ac:dyDescent="0.35">
      <c r="A35" s="62">
        <f t="shared" si="0"/>
        <v>33</v>
      </c>
      <c r="B35" s="65" t="s">
        <v>352</v>
      </c>
      <c r="C35" s="65">
        <f>YEAR(Mod_CL[[#This Row],[Date]])</f>
        <v>2025</v>
      </c>
      <c r="D35" s="65" t="s">
        <v>4</v>
      </c>
      <c r="E35" s="65" t="s">
        <v>4</v>
      </c>
      <c r="F35" s="2" t="str">
        <f>TEXT(Mod_CL[[#This Row],[Date]],"mmm-yy")</f>
        <v>Aug-25</v>
      </c>
      <c r="G35" s="2">
        <f>DAY(EOMONTH(Mod_CL[[#This Row],[Month Year]],0))</f>
        <v>31</v>
      </c>
      <c r="H35" s="64">
        <f t="shared" si="1"/>
        <v>45871</v>
      </c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65"/>
      <c r="AD35" s="65"/>
      <c r="AE35" s="2">
        <f>SUM(Mod_CL[[#This Row],[G1 Inv1]:[IS1_Inv2 Unit 4]])</f>
        <v>0</v>
      </c>
      <c r="AF35" s="94"/>
      <c r="AG35" s="94"/>
      <c r="AH35" s="94"/>
      <c r="AI35" s="94"/>
      <c r="AJ35" s="93"/>
      <c r="AK35" s="93"/>
      <c r="AL35" s="93"/>
    </row>
    <row r="36" spans="1:38" x14ac:dyDescent="0.35">
      <c r="A36" s="62">
        <f t="shared" si="0"/>
        <v>34</v>
      </c>
      <c r="B36" s="65" t="s">
        <v>352</v>
      </c>
      <c r="C36" s="65">
        <f>YEAR(Mod_CL[[#This Row],[Date]])</f>
        <v>2025</v>
      </c>
      <c r="D36" s="65" t="s">
        <v>4</v>
      </c>
      <c r="E36" s="65" t="s">
        <v>4</v>
      </c>
      <c r="F36" s="2" t="str">
        <f>TEXT(Mod_CL[[#This Row],[Date]],"mmm-yy")</f>
        <v>Aug-25</v>
      </c>
      <c r="G36" s="2">
        <f>DAY(EOMONTH(Mod_CL[[#This Row],[Month Year]],0))</f>
        <v>31</v>
      </c>
      <c r="H36" s="64">
        <f t="shared" si="1"/>
        <v>45872</v>
      </c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65"/>
      <c r="AD36" s="65"/>
      <c r="AE36" s="2">
        <f>SUM(Mod_CL[[#This Row],[G1 Inv1]:[IS1_Inv2 Unit 4]])</f>
        <v>0</v>
      </c>
      <c r="AF36" s="94"/>
      <c r="AG36" s="94"/>
      <c r="AH36" s="94"/>
      <c r="AI36" s="94"/>
      <c r="AJ36" s="93"/>
      <c r="AK36" s="93"/>
      <c r="AL36" s="93"/>
    </row>
    <row r="37" spans="1:38" x14ac:dyDescent="0.35">
      <c r="A37" s="62">
        <f t="shared" si="0"/>
        <v>35</v>
      </c>
      <c r="B37" s="65" t="s">
        <v>352</v>
      </c>
      <c r="C37" s="65">
        <f>YEAR(Mod_CL[[#This Row],[Date]])</f>
        <v>2025</v>
      </c>
      <c r="D37" s="65" t="s">
        <v>4</v>
      </c>
      <c r="E37" s="65" t="s">
        <v>4</v>
      </c>
      <c r="F37" s="2" t="str">
        <f>TEXT(Mod_CL[[#This Row],[Date]],"mmm-yy")</f>
        <v>Aug-25</v>
      </c>
      <c r="G37" s="2">
        <f>DAY(EOMONTH(Mod_CL[[#This Row],[Month Year]],0))</f>
        <v>31</v>
      </c>
      <c r="H37" s="64">
        <f t="shared" si="1"/>
        <v>45873</v>
      </c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65"/>
      <c r="AD37" s="65"/>
      <c r="AE37" s="2">
        <f>SUM(Mod_CL[[#This Row],[G1 Inv1]:[IS1_Inv2 Unit 4]])</f>
        <v>0</v>
      </c>
      <c r="AF37" s="94"/>
      <c r="AG37" s="94"/>
      <c r="AH37" s="94"/>
      <c r="AI37" s="94"/>
      <c r="AJ37" s="93"/>
      <c r="AK37" s="93"/>
      <c r="AL37" s="93"/>
    </row>
    <row r="38" spans="1:38" x14ac:dyDescent="0.35">
      <c r="A38" s="62">
        <f t="shared" si="0"/>
        <v>36</v>
      </c>
      <c r="B38" s="65" t="s">
        <v>352</v>
      </c>
      <c r="C38" s="65">
        <f>YEAR(Mod_CL[[#This Row],[Date]])</f>
        <v>2025</v>
      </c>
      <c r="D38" s="65" t="s">
        <v>4</v>
      </c>
      <c r="E38" s="65" t="s">
        <v>4</v>
      </c>
      <c r="F38" s="2" t="str">
        <f>TEXT(Mod_CL[[#This Row],[Date]],"mmm-yy")</f>
        <v>Aug-25</v>
      </c>
      <c r="G38" s="2">
        <f>DAY(EOMONTH(Mod_CL[[#This Row],[Month Year]],0))</f>
        <v>31</v>
      </c>
      <c r="H38" s="64">
        <f t="shared" si="1"/>
        <v>45874</v>
      </c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65"/>
      <c r="AD38" s="65"/>
      <c r="AE38" s="2">
        <f>SUM(Mod_CL[[#This Row],[G1 Inv1]:[IS1_Inv2 Unit 4]])</f>
        <v>0</v>
      </c>
      <c r="AF38" s="94"/>
      <c r="AG38" s="94"/>
      <c r="AH38" s="94"/>
      <c r="AI38" s="94"/>
      <c r="AJ38" s="93"/>
      <c r="AK38" s="93"/>
      <c r="AL38" s="93"/>
    </row>
    <row r="39" spans="1:38" x14ac:dyDescent="0.35">
      <c r="A39" s="62">
        <f t="shared" si="0"/>
        <v>37</v>
      </c>
      <c r="B39" s="65" t="s">
        <v>352</v>
      </c>
      <c r="C39" s="65">
        <f>YEAR(Mod_CL[[#This Row],[Date]])</f>
        <v>2025</v>
      </c>
      <c r="D39" s="65" t="s">
        <v>4</v>
      </c>
      <c r="E39" s="65" t="s">
        <v>4</v>
      </c>
      <c r="F39" s="2" t="str">
        <f>TEXT(Mod_CL[[#This Row],[Date]],"mmm-yy")</f>
        <v>Aug-25</v>
      </c>
      <c r="G39" s="2">
        <f>DAY(EOMONTH(Mod_CL[[#This Row],[Month Year]],0))</f>
        <v>31</v>
      </c>
      <c r="H39" s="64">
        <f t="shared" si="1"/>
        <v>45875</v>
      </c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65"/>
      <c r="AD39" s="65"/>
      <c r="AE39" s="2">
        <f>SUM(Mod_CL[[#This Row],[G1 Inv1]:[IS1_Inv2 Unit 4]])</f>
        <v>0</v>
      </c>
      <c r="AF39" s="94"/>
      <c r="AG39" s="94"/>
      <c r="AH39" s="94"/>
      <c r="AI39" s="94"/>
      <c r="AJ39" s="93"/>
      <c r="AK39" s="93"/>
      <c r="AL39" s="93"/>
    </row>
    <row r="40" spans="1:38" x14ac:dyDescent="0.35">
      <c r="A40" s="62">
        <f t="shared" si="0"/>
        <v>38</v>
      </c>
      <c r="B40" s="65" t="s">
        <v>352</v>
      </c>
      <c r="C40" s="65">
        <f>YEAR(Mod_CL[[#This Row],[Date]])</f>
        <v>2025</v>
      </c>
      <c r="D40" s="65" t="s">
        <v>4</v>
      </c>
      <c r="E40" s="65" t="s">
        <v>4</v>
      </c>
      <c r="F40" s="2" t="str">
        <f>TEXT(Mod_CL[[#This Row],[Date]],"mmm-yy")</f>
        <v>Aug-25</v>
      </c>
      <c r="G40" s="2">
        <f>DAY(EOMONTH(Mod_CL[[#This Row],[Month Year]],0))</f>
        <v>31</v>
      </c>
      <c r="H40" s="64">
        <f t="shared" si="1"/>
        <v>45876</v>
      </c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65"/>
      <c r="AD40" s="65"/>
      <c r="AE40" s="2">
        <f>SUM(Mod_CL[[#This Row],[G1 Inv1]:[IS1_Inv2 Unit 4]])</f>
        <v>0</v>
      </c>
      <c r="AF40" s="94"/>
      <c r="AG40" s="94"/>
      <c r="AH40" s="94"/>
      <c r="AI40" s="94"/>
      <c r="AJ40" s="93"/>
      <c r="AK40" s="93"/>
      <c r="AL40" s="93"/>
    </row>
    <row r="41" spans="1:38" x14ac:dyDescent="0.35">
      <c r="A41" s="62">
        <f t="shared" si="0"/>
        <v>39</v>
      </c>
      <c r="B41" s="65" t="s">
        <v>352</v>
      </c>
      <c r="C41" s="65">
        <f>YEAR(Mod_CL[[#This Row],[Date]])</f>
        <v>2025</v>
      </c>
      <c r="D41" s="65" t="s">
        <v>4</v>
      </c>
      <c r="E41" s="65" t="s">
        <v>4</v>
      </c>
      <c r="F41" s="2" t="str">
        <f>TEXT(Mod_CL[[#This Row],[Date]],"mmm-yy")</f>
        <v>Aug-25</v>
      </c>
      <c r="G41" s="2">
        <f>DAY(EOMONTH(Mod_CL[[#This Row],[Month Year]],0))</f>
        <v>31</v>
      </c>
      <c r="H41" s="64">
        <f t="shared" si="1"/>
        <v>45877</v>
      </c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65"/>
      <c r="AD41" s="65"/>
      <c r="AE41" s="2">
        <f>SUM(Mod_CL[[#This Row],[G1 Inv1]:[IS1_Inv2 Unit 4]])</f>
        <v>0</v>
      </c>
      <c r="AF41" s="94"/>
      <c r="AG41" s="94"/>
      <c r="AH41" s="94"/>
      <c r="AI41" s="94"/>
      <c r="AJ41" s="93"/>
      <c r="AK41" s="93"/>
      <c r="AL41" s="93"/>
    </row>
    <row r="42" spans="1:38" x14ac:dyDescent="0.35">
      <c r="A42" s="62">
        <f t="shared" si="0"/>
        <v>40</v>
      </c>
      <c r="B42" s="65" t="s">
        <v>352</v>
      </c>
      <c r="C42" s="65">
        <f>YEAR(Mod_CL[[#This Row],[Date]])</f>
        <v>2025</v>
      </c>
      <c r="D42" s="65" t="s">
        <v>4</v>
      </c>
      <c r="E42" s="65" t="s">
        <v>4</v>
      </c>
      <c r="F42" s="2" t="str">
        <f>TEXT(Mod_CL[[#This Row],[Date]],"mmm-yy")</f>
        <v>Aug-25</v>
      </c>
      <c r="G42" s="2">
        <f>DAY(EOMONTH(Mod_CL[[#This Row],[Month Year]],0))</f>
        <v>31</v>
      </c>
      <c r="H42" s="64">
        <f t="shared" si="1"/>
        <v>45878</v>
      </c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65"/>
      <c r="AD42" s="65"/>
      <c r="AE42" s="2">
        <f>SUM(Mod_CL[[#This Row],[G1 Inv1]:[IS1_Inv2 Unit 4]])</f>
        <v>0</v>
      </c>
      <c r="AF42" s="94"/>
      <c r="AG42" s="94"/>
      <c r="AH42" s="94"/>
      <c r="AI42" s="94"/>
      <c r="AJ42" s="93"/>
      <c r="AK42" s="93"/>
      <c r="AL42" s="93"/>
    </row>
    <row r="43" spans="1:38" x14ac:dyDescent="0.35">
      <c r="A43" s="62">
        <f t="shared" si="0"/>
        <v>41</v>
      </c>
      <c r="B43" s="65" t="s">
        <v>352</v>
      </c>
      <c r="C43" s="65">
        <f>YEAR(Mod_CL[[#This Row],[Date]])</f>
        <v>2025</v>
      </c>
      <c r="D43" s="65" t="s">
        <v>4</v>
      </c>
      <c r="E43" s="65" t="s">
        <v>4</v>
      </c>
      <c r="F43" s="2" t="str">
        <f>TEXT(Mod_CL[[#This Row],[Date]],"mmm-yy")</f>
        <v>Aug-25</v>
      </c>
      <c r="G43" s="2">
        <f>DAY(EOMONTH(Mod_CL[[#This Row],[Month Year]],0))</f>
        <v>31</v>
      </c>
      <c r="H43" s="64">
        <f t="shared" si="1"/>
        <v>45879</v>
      </c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65"/>
      <c r="AD43" s="65"/>
      <c r="AE43" s="2">
        <f>SUM(Mod_CL[[#This Row],[G1 Inv1]:[IS1_Inv2 Unit 4]])</f>
        <v>0</v>
      </c>
      <c r="AF43" s="94"/>
      <c r="AG43" s="94"/>
      <c r="AH43" s="94"/>
      <c r="AI43" s="94"/>
      <c r="AJ43" s="93"/>
      <c r="AK43" s="93"/>
      <c r="AL43" s="93"/>
    </row>
    <row r="44" spans="1:38" x14ac:dyDescent="0.35">
      <c r="A44" s="62">
        <f t="shared" si="0"/>
        <v>42</v>
      </c>
      <c r="B44" s="65" t="s">
        <v>352</v>
      </c>
      <c r="C44" s="65">
        <f>YEAR(Mod_CL[[#This Row],[Date]])</f>
        <v>2025</v>
      </c>
      <c r="D44" s="65" t="s">
        <v>4</v>
      </c>
      <c r="E44" s="65" t="s">
        <v>4</v>
      </c>
      <c r="F44" s="2" t="str">
        <f>TEXT(Mod_CL[[#This Row],[Date]],"mmm-yy")</f>
        <v>Aug-25</v>
      </c>
      <c r="G44" s="2">
        <f>DAY(EOMONTH(Mod_CL[[#This Row],[Month Year]],0))</f>
        <v>31</v>
      </c>
      <c r="H44" s="64">
        <f t="shared" si="1"/>
        <v>45880</v>
      </c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65"/>
      <c r="AD44" s="65"/>
      <c r="AE44" s="2">
        <f>SUM(Mod_CL[[#This Row],[G1 Inv1]:[IS1_Inv2 Unit 4]])</f>
        <v>0</v>
      </c>
      <c r="AF44" s="94"/>
      <c r="AG44" s="94"/>
      <c r="AH44" s="94"/>
      <c r="AI44" s="94"/>
      <c r="AJ44" s="93"/>
      <c r="AK44" s="93"/>
      <c r="AL44" s="93"/>
    </row>
    <row r="45" spans="1:38" x14ac:dyDescent="0.35">
      <c r="A45" s="62">
        <f t="shared" si="0"/>
        <v>43</v>
      </c>
      <c r="B45" s="65" t="s">
        <v>352</v>
      </c>
      <c r="C45" s="65">
        <f>YEAR(Mod_CL[[#This Row],[Date]])</f>
        <v>2025</v>
      </c>
      <c r="D45" s="65" t="s">
        <v>4</v>
      </c>
      <c r="E45" s="65" t="s">
        <v>4</v>
      </c>
      <c r="F45" s="2" t="str">
        <f>TEXT(Mod_CL[[#This Row],[Date]],"mmm-yy")</f>
        <v>Aug-25</v>
      </c>
      <c r="G45" s="2">
        <f>DAY(EOMONTH(Mod_CL[[#This Row],[Month Year]],0))</f>
        <v>31</v>
      </c>
      <c r="H45" s="64">
        <f t="shared" si="1"/>
        <v>45881</v>
      </c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65"/>
      <c r="AD45" s="65"/>
      <c r="AE45" s="2">
        <f>SUM(Mod_CL[[#This Row],[G1 Inv1]:[IS1_Inv2 Unit 4]])</f>
        <v>0</v>
      </c>
      <c r="AF45" s="94"/>
      <c r="AG45" s="94"/>
      <c r="AH45" s="94"/>
      <c r="AI45" s="94"/>
      <c r="AJ45" s="93"/>
      <c r="AK45" s="93"/>
      <c r="AL45" s="93"/>
    </row>
    <row r="46" spans="1:38" x14ac:dyDescent="0.35">
      <c r="A46" s="62">
        <f t="shared" si="0"/>
        <v>44</v>
      </c>
      <c r="B46" s="65" t="s">
        <v>352</v>
      </c>
      <c r="C46" s="65">
        <f>YEAR(Mod_CL[[#This Row],[Date]])</f>
        <v>2025</v>
      </c>
      <c r="D46" s="65" t="s">
        <v>4</v>
      </c>
      <c r="E46" s="65" t="s">
        <v>4</v>
      </c>
      <c r="F46" s="2" t="str">
        <f>TEXT(Mod_CL[[#This Row],[Date]],"mmm-yy")</f>
        <v>Aug-25</v>
      </c>
      <c r="G46" s="2">
        <f>DAY(EOMONTH(Mod_CL[[#This Row],[Month Year]],0))</f>
        <v>31</v>
      </c>
      <c r="H46" s="64">
        <f t="shared" si="1"/>
        <v>45882</v>
      </c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65"/>
      <c r="AD46" s="65"/>
      <c r="AE46" s="2">
        <f>SUM(Mod_CL[[#This Row],[G1 Inv1]:[IS1_Inv2 Unit 4]])</f>
        <v>0</v>
      </c>
      <c r="AF46" s="94"/>
      <c r="AG46" s="94"/>
      <c r="AH46" s="94"/>
      <c r="AI46" s="94"/>
      <c r="AJ46" s="93"/>
      <c r="AK46" s="93"/>
      <c r="AL46" s="93"/>
    </row>
    <row r="47" spans="1:38" x14ac:dyDescent="0.35">
      <c r="A47" s="62">
        <f t="shared" si="0"/>
        <v>45</v>
      </c>
      <c r="B47" s="65" t="s">
        <v>352</v>
      </c>
      <c r="C47" s="65">
        <f>YEAR(Mod_CL[[#This Row],[Date]])</f>
        <v>2025</v>
      </c>
      <c r="D47" s="65" t="s">
        <v>4</v>
      </c>
      <c r="E47" s="65" t="s">
        <v>4</v>
      </c>
      <c r="F47" s="2" t="str">
        <f>TEXT(Mod_CL[[#This Row],[Date]],"mmm-yy")</f>
        <v>Aug-25</v>
      </c>
      <c r="G47" s="2">
        <f>DAY(EOMONTH(Mod_CL[[#This Row],[Month Year]],0))</f>
        <v>31</v>
      </c>
      <c r="H47" s="64">
        <f t="shared" si="1"/>
        <v>45883</v>
      </c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65"/>
      <c r="AD47" s="65"/>
      <c r="AE47" s="2">
        <f>SUM(Mod_CL[[#This Row],[G1 Inv1]:[IS1_Inv2 Unit 4]])</f>
        <v>0</v>
      </c>
      <c r="AF47" s="94"/>
      <c r="AG47" s="94"/>
      <c r="AH47" s="94"/>
      <c r="AI47" s="94"/>
      <c r="AJ47" s="93"/>
      <c r="AK47" s="93"/>
      <c r="AL47" s="93"/>
    </row>
    <row r="48" spans="1:38" x14ac:dyDescent="0.35">
      <c r="A48" s="62">
        <f t="shared" si="0"/>
        <v>46</v>
      </c>
      <c r="B48" s="65" t="s">
        <v>352</v>
      </c>
      <c r="C48" s="65">
        <f>YEAR(Mod_CL[[#This Row],[Date]])</f>
        <v>2025</v>
      </c>
      <c r="D48" s="65" t="s">
        <v>4</v>
      </c>
      <c r="E48" s="65" t="s">
        <v>4</v>
      </c>
      <c r="F48" s="2" t="str">
        <f>TEXT(Mod_CL[[#This Row],[Date]],"mmm-yy")</f>
        <v>Aug-25</v>
      </c>
      <c r="G48" s="2">
        <f>DAY(EOMONTH(Mod_CL[[#This Row],[Month Year]],0))</f>
        <v>31</v>
      </c>
      <c r="H48" s="64">
        <f t="shared" si="1"/>
        <v>45884</v>
      </c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65"/>
      <c r="AD48" s="65"/>
      <c r="AE48" s="2">
        <f>SUM(Mod_CL[[#This Row],[G1 Inv1]:[IS1_Inv2 Unit 4]])</f>
        <v>0</v>
      </c>
      <c r="AF48" s="94"/>
      <c r="AG48" s="94"/>
      <c r="AH48" s="94"/>
      <c r="AI48" s="94"/>
      <c r="AJ48" s="93"/>
      <c r="AK48" s="93"/>
      <c r="AL48" s="93"/>
    </row>
    <row r="49" spans="1:38" x14ac:dyDescent="0.35">
      <c r="A49" s="62">
        <f t="shared" si="0"/>
        <v>47</v>
      </c>
      <c r="B49" s="65" t="s">
        <v>352</v>
      </c>
      <c r="C49" s="65">
        <f>YEAR(Mod_CL[[#This Row],[Date]])</f>
        <v>2025</v>
      </c>
      <c r="D49" s="65" t="s">
        <v>4</v>
      </c>
      <c r="E49" s="65" t="s">
        <v>4</v>
      </c>
      <c r="F49" s="2" t="str">
        <f>TEXT(Mod_CL[[#This Row],[Date]],"mmm-yy")</f>
        <v>Aug-25</v>
      </c>
      <c r="G49" s="2">
        <f>DAY(EOMONTH(Mod_CL[[#This Row],[Month Year]],0))</f>
        <v>31</v>
      </c>
      <c r="H49" s="64">
        <f t="shared" si="1"/>
        <v>45885</v>
      </c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65"/>
      <c r="AD49" s="65"/>
      <c r="AE49" s="2">
        <f>SUM(Mod_CL[[#This Row],[G1 Inv1]:[IS1_Inv2 Unit 4]])</f>
        <v>0</v>
      </c>
      <c r="AF49" s="94"/>
      <c r="AG49" s="94"/>
      <c r="AH49" s="94"/>
      <c r="AI49" s="94"/>
      <c r="AJ49" s="93"/>
      <c r="AK49" s="93"/>
      <c r="AL49" s="93"/>
    </row>
    <row r="50" spans="1:38" x14ac:dyDescent="0.35">
      <c r="A50" s="62">
        <f t="shared" si="0"/>
        <v>48</v>
      </c>
      <c r="B50" s="65" t="s">
        <v>352</v>
      </c>
      <c r="C50" s="65">
        <f>YEAR(Mod_CL[[#This Row],[Date]])</f>
        <v>2025</v>
      </c>
      <c r="D50" s="65" t="s">
        <v>4</v>
      </c>
      <c r="E50" s="65" t="s">
        <v>4</v>
      </c>
      <c r="F50" s="2" t="str">
        <f>TEXT(Mod_CL[[#This Row],[Date]],"mmm-yy")</f>
        <v>Aug-25</v>
      </c>
      <c r="G50" s="2">
        <f>DAY(EOMONTH(Mod_CL[[#This Row],[Month Year]],0))</f>
        <v>31</v>
      </c>
      <c r="H50" s="64">
        <f t="shared" si="1"/>
        <v>45886</v>
      </c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65"/>
      <c r="AD50" s="65"/>
      <c r="AE50" s="2">
        <f>SUM(Mod_CL[[#This Row],[G1 Inv1]:[IS1_Inv2 Unit 4]])</f>
        <v>0</v>
      </c>
      <c r="AF50" s="94"/>
      <c r="AG50" s="94"/>
      <c r="AH50" s="94"/>
      <c r="AI50" s="94"/>
      <c r="AJ50" s="93"/>
      <c r="AK50" s="93"/>
      <c r="AL50" s="93"/>
    </row>
    <row r="51" spans="1:38" x14ac:dyDescent="0.35">
      <c r="A51" s="62">
        <f t="shared" si="0"/>
        <v>49</v>
      </c>
      <c r="B51" s="65" t="s">
        <v>352</v>
      </c>
      <c r="C51" s="65">
        <f>YEAR(Mod_CL[[#This Row],[Date]])</f>
        <v>2025</v>
      </c>
      <c r="D51" s="65" t="s">
        <v>4</v>
      </c>
      <c r="E51" s="65" t="s">
        <v>4</v>
      </c>
      <c r="F51" s="2" t="str">
        <f>TEXT(Mod_CL[[#This Row],[Date]],"mmm-yy")</f>
        <v>Aug-25</v>
      </c>
      <c r="G51" s="2">
        <f>DAY(EOMONTH(Mod_CL[[#This Row],[Month Year]],0))</f>
        <v>31</v>
      </c>
      <c r="H51" s="64">
        <f t="shared" si="1"/>
        <v>45887</v>
      </c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65"/>
      <c r="AD51" s="65"/>
      <c r="AE51" s="2">
        <f>SUM(Mod_CL[[#This Row],[G1 Inv1]:[IS1_Inv2 Unit 4]])</f>
        <v>0</v>
      </c>
      <c r="AF51" s="94"/>
      <c r="AG51" s="94"/>
      <c r="AH51" s="94"/>
      <c r="AI51" s="94"/>
      <c r="AJ51" s="93"/>
      <c r="AK51" s="93"/>
      <c r="AL51" s="93"/>
    </row>
    <row r="52" spans="1:38" x14ac:dyDescent="0.35">
      <c r="A52" s="62">
        <f t="shared" si="0"/>
        <v>50</v>
      </c>
      <c r="B52" s="65" t="s">
        <v>352</v>
      </c>
      <c r="C52" s="65">
        <f>YEAR(Mod_CL[[#This Row],[Date]])</f>
        <v>2025</v>
      </c>
      <c r="D52" s="65" t="s">
        <v>4</v>
      </c>
      <c r="E52" s="65" t="s">
        <v>4</v>
      </c>
      <c r="F52" s="2" t="str">
        <f>TEXT(Mod_CL[[#This Row],[Date]],"mmm-yy")</f>
        <v>Aug-25</v>
      </c>
      <c r="G52" s="2">
        <f>DAY(EOMONTH(Mod_CL[[#This Row],[Month Year]],0))</f>
        <v>31</v>
      </c>
      <c r="H52" s="64">
        <f t="shared" si="1"/>
        <v>45888</v>
      </c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65"/>
      <c r="AD52" s="65"/>
      <c r="AE52" s="2">
        <f>SUM(Mod_CL[[#This Row],[G1 Inv1]:[IS1_Inv2 Unit 4]])</f>
        <v>0</v>
      </c>
      <c r="AF52" s="94"/>
      <c r="AG52" s="94"/>
      <c r="AH52" s="94"/>
      <c r="AI52" s="94"/>
      <c r="AJ52" s="93"/>
      <c r="AK52" s="93"/>
      <c r="AL52" s="93"/>
    </row>
    <row r="53" spans="1:38" x14ac:dyDescent="0.35">
      <c r="A53" s="62">
        <f t="shared" si="0"/>
        <v>51</v>
      </c>
      <c r="B53" s="65" t="s">
        <v>352</v>
      </c>
      <c r="C53" s="65">
        <f>YEAR(Mod_CL[[#This Row],[Date]])</f>
        <v>2025</v>
      </c>
      <c r="D53" s="65" t="s">
        <v>4</v>
      </c>
      <c r="E53" s="65" t="s">
        <v>4</v>
      </c>
      <c r="F53" s="2" t="str">
        <f>TEXT(Mod_CL[[#This Row],[Date]],"mmm-yy")</f>
        <v>Aug-25</v>
      </c>
      <c r="G53" s="2">
        <f>DAY(EOMONTH(Mod_CL[[#This Row],[Month Year]],0))</f>
        <v>31</v>
      </c>
      <c r="H53" s="64">
        <f t="shared" si="1"/>
        <v>45889</v>
      </c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65"/>
      <c r="AD53" s="65"/>
      <c r="AE53" s="2">
        <f>SUM(Mod_CL[[#This Row],[G1 Inv1]:[IS1_Inv2 Unit 4]])</f>
        <v>0</v>
      </c>
      <c r="AF53" s="94"/>
      <c r="AG53" s="94"/>
      <c r="AH53" s="94"/>
      <c r="AI53" s="94"/>
      <c r="AJ53" s="93"/>
      <c r="AK53" s="93"/>
      <c r="AL53" s="93"/>
    </row>
    <row r="54" spans="1:38" x14ac:dyDescent="0.35">
      <c r="A54" s="62">
        <f t="shared" si="0"/>
        <v>52</v>
      </c>
      <c r="B54" s="65" t="s">
        <v>352</v>
      </c>
      <c r="C54" s="65">
        <f>YEAR(Mod_CL[[#This Row],[Date]])</f>
        <v>2025</v>
      </c>
      <c r="D54" s="65" t="s">
        <v>4</v>
      </c>
      <c r="E54" s="65" t="s">
        <v>4</v>
      </c>
      <c r="F54" s="2" t="str">
        <f>TEXT(Mod_CL[[#This Row],[Date]],"mmm-yy")</f>
        <v>Aug-25</v>
      </c>
      <c r="G54" s="2">
        <f>DAY(EOMONTH(Mod_CL[[#This Row],[Month Year]],0))</f>
        <v>31</v>
      </c>
      <c r="H54" s="64">
        <f t="shared" si="1"/>
        <v>45890</v>
      </c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65"/>
      <c r="AD54" s="65"/>
      <c r="AE54" s="2">
        <f>SUM(Mod_CL[[#This Row],[G1 Inv1]:[IS1_Inv2 Unit 4]])</f>
        <v>0</v>
      </c>
      <c r="AF54" s="94"/>
      <c r="AG54" s="94"/>
      <c r="AH54" s="94"/>
      <c r="AI54" s="94"/>
      <c r="AJ54" s="93"/>
      <c r="AK54" s="93"/>
      <c r="AL54" s="93"/>
    </row>
    <row r="55" spans="1:38" x14ac:dyDescent="0.35">
      <c r="A55" s="62">
        <f t="shared" si="0"/>
        <v>53</v>
      </c>
      <c r="B55" s="65" t="s">
        <v>352</v>
      </c>
      <c r="C55" s="65">
        <f>YEAR(Mod_CL[[#This Row],[Date]])</f>
        <v>2025</v>
      </c>
      <c r="D55" s="65" t="s">
        <v>4</v>
      </c>
      <c r="E55" s="65" t="s">
        <v>4</v>
      </c>
      <c r="F55" s="2" t="str">
        <f>TEXT(Mod_CL[[#This Row],[Date]],"mmm-yy")</f>
        <v>Aug-25</v>
      </c>
      <c r="G55" s="2">
        <f>DAY(EOMONTH(Mod_CL[[#This Row],[Month Year]],0))</f>
        <v>31</v>
      </c>
      <c r="H55" s="64">
        <f t="shared" si="1"/>
        <v>45891</v>
      </c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65"/>
      <c r="AD55" s="65"/>
      <c r="AE55" s="2">
        <f>SUM(Mod_CL[[#This Row],[G1 Inv1]:[IS1_Inv2 Unit 4]])</f>
        <v>0</v>
      </c>
      <c r="AF55" s="94"/>
      <c r="AG55" s="94"/>
      <c r="AH55" s="94"/>
      <c r="AI55" s="94"/>
      <c r="AJ55" s="93"/>
      <c r="AK55" s="93"/>
      <c r="AL55" s="93"/>
    </row>
    <row r="56" spans="1:38" x14ac:dyDescent="0.35">
      <c r="A56" s="62">
        <f t="shared" si="0"/>
        <v>54</v>
      </c>
      <c r="B56" s="65" t="s">
        <v>352</v>
      </c>
      <c r="C56" s="65">
        <f>YEAR(Mod_CL[[#This Row],[Date]])</f>
        <v>2025</v>
      </c>
      <c r="D56" s="65" t="s">
        <v>4</v>
      </c>
      <c r="E56" s="65" t="s">
        <v>4</v>
      </c>
      <c r="F56" s="2" t="str">
        <f>TEXT(Mod_CL[[#This Row],[Date]],"mmm-yy")</f>
        <v>Aug-25</v>
      </c>
      <c r="G56" s="2">
        <f>DAY(EOMONTH(Mod_CL[[#This Row],[Month Year]],0))</f>
        <v>31</v>
      </c>
      <c r="H56" s="64">
        <f t="shared" si="1"/>
        <v>45892</v>
      </c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65"/>
      <c r="AD56" s="65"/>
      <c r="AE56" s="2">
        <f>SUM(Mod_CL[[#This Row],[G1 Inv1]:[IS1_Inv2 Unit 4]])</f>
        <v>0</v>
      </c>
      <c r="AF56" s="94"/>
      <c r="AG56" s="94"/>
      <c r="AH56" s="94"/>
      <c r="AI56" s="94"/>
      <c r="AJ56" s="93"/>
      <c r="AK56" s="93"/>
      <c r="AL56" s="93"/>
    </row>
    <row r="57" spans="1:38" x14ac:dyDescent="0.35">
      <c r="A57" s="62">
        <f t="shared" si="0"/>
        <v>55</v>
      </c>
      <c r="B57" s="65" t="s">
        <v>352</v>
      </c>
      <c r="C57" s="65">
        <f>YEAR(Mod_CL[[#This Row],[Date]])</f>
        <v>2025</v>
      </c>
      <c r="D57" s="65" t="s">
        <v>4</v>
      </c>
      <c r="E57" s="65" t="s">
        <v>4</v>
      </c>
      <c r="F57" s="2" t="str">
        <f>TEXT(Mod_CL[[#This Row],[Date]],"mmm-yy")</f>
        <v>Aug-25</v>
      </c>
      <c r="G57" s="2">
        <f>DAY(EOMONTH(Mod_CL[[#This Row],[Month Year]],0))</f>
        <v>31</v>
      </c>
      <c r="H57" s="64">
        <f t="shared" si="1"/>
        <v>45893</v>
      </c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5"/>
      <c r="AD57" s="65"/>
      <c r="AE57" s="2">
        <f>SUM(Mod_CL[[#This Row],[G1 Inv1]:[IS1_Inv2 Unit 4]])</f>
        <v>0</v>
      </c>
      <c r="AF57" s="94"/>
      <c r="AG57" s="94"/>
      <c r="AH57" s="94"/>
      <c r="AI57" s="94"/>
      <c r="AJ57" s="93"/>
      <c r="AK57" s="93"/>
      <c r="AL57" s="62"/>
    </row>
    <row r="58" spans="1:38" x14ac:dyDescent="0.35">
      <c r="A58" s="62">
        <f t="shared" si="0"/>
        <v>56</v>
      </c>
      <c r="B58" s="65" t="s">
        <v>352</v>
      </c>
      <c r="C58" s="65">
        <f>YEAR(Mod_CL[[#This Row],[Date]])</f>
        <v>2025</v>
      </c>
      <c r="D58" s="65" t="s">
        <v>4</v>
      </c>
      <c r="E58" s="65" t="s">
        <v>4</v>
      </c>
      <c r="F58" s="2" t="str">
        <f>TEXT(Mod_CL[[#This Row],[Date]],"mmm-yy")</f>
        <v>Aug-25</v>
      </c>
      <c r="G58" s="2">
        <f>DAY(EOMONTH(Mod_CL[[#This Row],[Month Year]],0))</f>
        <v>31</v>
      </c>
      <c r="H58" s="64">
        <f t="shared" si="1"/>
        <v>45894</v>
      </c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5"/>
      <c r="AD58" s="65"/>
      <c r="AE58" s="2">
        <f>SUM(Mod_CL[[#This Row],[G1 Inv1]:[IS1_Inv2 Unit 4]])</f>
        <v>0</v>
      </c>
      <c r="AF58" s="94"/>
      <c r="AG58" s="94"/>
      <c r="AH58" s="94"/>
      <c r="AI58" s="94"/>
      <c r="AJ58" s="93"/>
      <c r="AK58" s="93"/>
      <c r="AL58" s="62"/>
    </row>
    <row r="59" spans="1:38" x14ac:dyDescent="0.35">
      <c r="A59" s="62">
        <f t="shared" si="0"/>
        <v>57</v>
      </c>
      <c r="B59" s="65" t="s">
        <v>352</v>
      </c>
      <c r="C59" s="65">
        <f>YEAR(Mod_CL[[#This Row],[Date]])</f>
        <v>2025</v>
      </c>
      <c r="D59" s="65" t="s">
        <v>4</v>
      </c>
      <c r="E59" s="65" t="s">
        <v>4</v>
      </c>
      <c r="F59" s="2" t="str">
        <f>TEXT(Mod_CL[[#This Row],[Date]],"mmm-yy")</f>
        <v>Aug-25</v>
      </c>
      <c r="G59" s="2">
        <f>DAY(EOMONTH(Mod_CL[[#This Row],[Month Year]],0))</f>
        <v>31</v>
      </c>
      <c r="H59" s="64">
        <f t="shared" si="1"/>
        <v>45895</v>
      </c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5"/>
      <c r="AD59" s="65"/>
      <c r="AE59" s="2">
        <f>SUM(Mod_CL[[#This Row],[G1 Inv1]:[IS1_Inv2 Unit 4]])</f>
        <v>0</v>
      </c>
      <c r="AF59" s="94"/>
      <c r="AG59" s="94"/>
      <c r="AH59" s="94"/>
      <c r="AI59" s="94"/>
      <c r="AJ59" s="93"/>
      <c r="AK59" s="93"/>
      <c r="AL59" s="62"/>
    </row>
    <row r="60" spans="1:38" x14ac:dyDescent="0.35">
      <c r="A60" s="62">
        <f t="shared" si="0"/>
        <v>58</v>
      </c>
      <c r="B60" s="65" t="s">
        <v>352</v>
      </c>
      <c r="C60" s="65">
        <f>YEAR(Mod_CL[[#This Row],[Date]])</f>
        <v>2025</v>
      </c>
      <c r="D60" s="65" t="s">
        <v>4</v>
      </c>
      <c r="E60" s="65" t="s">
        <v>4</v>
      </c>
      <c r="F60" s="2" t="str">
        <f>TEXT(Mod_CL[[#This Row],[Date]],"mmm-yy")</f>
        <v>Aug-25</v>
      </c>
      <c r="G60" s="2">
        <f>DAY(EOMONTH(Mod_CL[[#This Row],[Month Year]],0))</f>
        <v>31</v>
      </c>
      <c r="H60" s="64">
        <f t="shared" si="1"/>
        <v>45896</v>
      </c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5"/>
      <c r="AD60" s="65"/>
      <c r="AE60" s="2">
        <f>SUM(Mod_CL[[#This Row],[G1 Inv1]:[IS1_Inv2 Unit 4]])</f>
        <v>0</v>
      </c>
      <c r="AF60" s="94"/>
      <c r="AG60" s="94"/>
      <c r="AH60" s="94"/>
      <c r="AI60" s="94"/>
      <c r="AJ60" s="93"/>
      <c r="AK60" s="93"/>
      <c r="AL60" s="62"/>
    </row>
    <row r="61" spans="1:38" x14ac:dyDescent="0.35">
      <c r="A61" s="62">
        <f t="shared" si="0"/>
        <v>59</v>
      </c>
      <c r="B61" s="65" t="s">
        <v>352</v>
      </c>
      <c r="C61" s="65">
        <f>YEAR(Mod_CL[[#This Row],[Date]])</f>
        <v>2025</v>
      </c>
      <c r="D61" s="65" t="s">
        <v>4</v>
      </c>
      <c r="E61" s="65" t="s">
        <v>4</v>
      </c>
      <c r="F61" s="2" t="str">
        <f>TEXT(Mod_CL[[#This Row],[Date]],"mmm-yy")</f>
        <v>Aug-25</v>
      </c>
      <c r="G61" s="2">
        <f>DAY(EOMONTH(Mod_CL[[#This Row],[Month Year]],0))</f>
        <v>31</v>
      </c>
      <c r="H61" s="64">
        <f t="shared" si="1"/>
        <v>45897</v>
      </c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5"/>
      <c r="AD61" s="65"/>
      <c r="AE61" s="2">
        <f>SUM(Mod_CL[[#This Row],[G1 Inv1]:[IS1_Inv2 Unit 4]])</f>
        <v>0</v>
      </c>
      <c r="AF61" s="94"/>
      <c r="AG61" s="94"/>
      <c r="AH61" s="94"/>
      <c r="AI61" s="94"/>
      <c r="AJ61" s="93"/>
      <c r="AK61" s="93"/>
      <c r="AL61" s="62"/>
    </row>
    <row r="62" spans="1:38" x14ac:dyDescent="0.35">
      <c r="A62" s="62">
        <f t="shared" si="0"/>
        <v>60</v>
      </c>
      <c r="B62" s="65" t="s">
        <v>352</v>
      </c>
      <c r="C62" s="65">
        <f>YEAR(Mod_CL[[#This Row],[Date]])</f>
        <v>2025</v>
      </c>
      <c r="D62" s="65" t="s">
        <v>4</v>
      </c>
      <c r="E62" s="65" t="s">
        <v>4</v>
      </c>
      <c r="F62" s="2" t="str">
        <f>TEXT(Mod_CL[[#This Row],[Date]],"mmm-yy")</f>
        <v>Aug-25</v>
      </c>
      <c r="G62" s="2">
        <f>DAY(EOMONTH(Mod_CL[[#This Row],[Month Year]],0))</f>
        <v>31</v>
      </c>
      <c r="H62" s="64">
        <f t="shared" si="1"/>
        <v>45898</v>
      </c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5"/>
      <c r="AD62" s="65"/>
      <c r="AE62" s="2">
        <f>SUM(Mod_CL[[#This Row],[G1 Inv1]:[IS1_Inv2 Unit 4]])</f>
        <v>0</v>
      </c>
      <c r="AF62" s="94"/>
      <c r="AG62" s="94"/>
      <c r="AH62" s="94"/>
      <c r="AI62" s="94"/>
      <c r="AJ62" s="93"/>
      <c r="AK62" s="93"/>
      <c r="AL62" s="62"/>
    </row>
    <row r="63" spans="1:38" x14ac:dyDescent="0.35">
      <c r="A63" s="62">
        <f t="shared" si="0"/>
        <v>61</v>
      </c>
      <c r="B63" s="65" t="s">
        <v>352</v>
      </c>
      <c r="C63" s="65">
        <f>YEAR(Mod_CL[[#This Row],[Date]])</f>
        <v>2025</v>
      </c>
      <c r="D63" s="65" t="s">
        <v>4</v>
      </c>
      <c r="E63" s="65" t="s">
        <v>4</v>
      </c>
      <c r="F63" s="2" t="str">
        <f>TEXT(Mod_CL[[#This Row],[Date]],"mmm-yy")</f>
        <v>Aug-25</v>
      </c>
      <c r="G63" s="2">
        <f>DAY(EOMONTH(Mod_CL[[#This Row],[Month Year]],0))</f>
        <v>31</v>
      </c>
      <c r="H63" s="64">
        <f t="shared" si="1"/>
        <v>45899</v>
      </c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5"/>
      <c r="AD63" s="65"/>
      <c r="AE63" s="2">
        <f>SUM(Mod_CL[[#This Row],[G1 Inv1]:[IS1_Inv2 Unit 4]])</f>
        <v>0</v>
      </c>
      <c r="AF63" s="94"/>
      <c r="AG63" s="94"/>
      <c r="AH63" s="94"/>
      <c r="AI63" s="94"/>
      <c r="AJ63" s="93"/>
      <c r="AK63" s="93"/>
      <c r="AL63" s="62"/>
    </row>
    <row r="64" spans="1:38" x14ac:dyDescent="0.35">
      <c r="A64" s="62">
        <f t="shared" si="0"/>
        <v>62</v>
      </c>
      <c r="B64" s="65" t="s">
        <v>352</v>
      </c>
      <c r="C64" s="65">
        <f>YEAR(Mod_CL[[#This Row],[Date]])</f>
        <v>2025</v>
      </c>
      <c r="D64" s="65" t="s">
        <v>4</v>
      </c>
      <c r="E64" s="65" t="s">
        <v>4</v>
      </c>
      <c r="F64" s="2" t="str">
        <f>TEXT(Mod_CL[[#This Row],[Date]],"mmm-yy")</f>
        <v>Aug-25</v>
      </c>
      <c r="G64" s="2">
        <f>DAY(EOMONTH(Mod_CL[[#This Row],[Month Year]],0))</f>
        <v>31</v>
      </c>
      <c r="H64" s="64">
        <f t="shared" si="1"/>
        <v>45900</v>
      </c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5"/>
      <c r="AD64" s="65"/>
      <c r="AE64" s="2">
        <f>SUM(Mod_CL[[#This Row],[G1 Inv1]:[IS1_Inv2 Unit 4]])</f>
        <v>0</v>
      </c>
      <c r="AF64" s="94"/>
      <c r="AG64" s="94"/>
      <c r="AH64" s="94"/>
      <c r="AI64" s="94"/>
      <c r="AJ64" s="93"/>
      <c r="AK64" s="93"/>
      <c r="AL64" s="62"/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V64"/>
  <sheetViews>
    <sheetView topLeftCell="A2" zoomScale="70" zoomScaleNormal="70" workbookViewId="0">
      <pane xSplit="7" ySplit="1" topLeftCell="H3" activePane="bottomRight" state="frozen"/>
      <selection pane="topRight" activeCell="H2" sqref="H2"/>
      <selection pane="bottomLeft" activeCell="A3" sqref="A3"/>
      <selection pane="bottomRight" activeCell="B3" sqref="B3:H3"/>
    </sheetView>
  </sheetViews>
  <sheetFormatPr defaultColWidth="8.81640625" defaultRowHeight="14.5" x14ac:dyDescent="0.35"/>
  <cols>
    <col min="1" max="4" width="13.453125" customWidth="1"/>
    <col min="5" max="5" width="10.81640625" style="2" customWidth="1"/>
    <col min="6" max="7" width="9.1796875" style="2"/>
    <col min="8" max="8" width="10.1796875" customWidth="1"/>
    <col min="10" max="10" width="10.453125" customWidth="1"/>
    <col min="11" max="11" width="20" customWidth="1"/>
    <col min="12" max="12" width="10.453125" customWidth="1"/>
    <col min="13" max="13" width="20.81640625" customWidth="1"/>
    <col min="14" max="20" width="12.453125" customWidth="1"/>
    <col min="21" max="21" width="18.81640625" bestFit="1" customWidth="1"/>
    <col min="22" max="22" width="45.81640625" customWidth="1"/>
    <col min="23" max="23" width="19.81640625" customWidth="1"/>
  </cols>
  <sheetData>
    <row r="1" spans="1:22" hidden="1" x14ac:dyDescent="0.35"/>
    <row r="2" spans="1:22" ht="26" x14ac:dyDescent="0.35">
      <c r="A2" s="70" t="s">
        <v>7</v>
      </c>
      <c r="B2" s="70" t="s">
        <v>116</v>
      </c>
      <c r="C2" s="70" t="s">
        <v>118</v>
      </c>
      <c r="D2" s="70" t="s">
        <v>119</v>
      </c>
      <c r="E2" s="70" t="s">
        <v>120</v>
      </c>
      <c r="F2" s="70" t="s">
        <v>75</v>
      </c>
      <c r="G2" s="69" t="s">
        <v>40</v>
      </c>
      <c r="H2" s="70" t="s">
        <v>72</v>
      </c>
      <c r="I2" s="70" t="s">
        <v>944</v>
      </c>
      <c r="J2" s="70" t="s">
        <v>945</v>
      </c>
      <c r="K2" s="76" t="s">
        <v>121</v>
      </c>
      <c r="L2" s="76" t="s">
        <v>122</v>
      </c>
      <c r="M2" s="76" t="s">
        <v>123</v>
      </c>
      <c r="N2" s="76" t="s">
        <v>124</v>
      </c>
      <c r="O2" s="76" t="s">
        <v>125</v>
      </c>
      <c r="P2" s="76" t="s">
        <v>126</v>
      </c>
      <c r="Q2" s="76" t="s">
        <v>963</v>
      </c>
      <c r="R2" s="76" t="s">
        <v>964</v>
      </c>
      <c r="S2" s="76" t="s">
        <v>965</v>
      </c>
      <c r="T2" s="76" t="s">
        <v>966</v>
      </c>
      <c r="U2" s="70" t="s">
        <v>967</v>
      </c>
      <c r="V2" s="70" t="s">
        <v>933</v>
      </c>
    </row>
    <row r="3" spans="1:22" ht="14.15" customHeight="1" x14ac:dyDescent="0.35">
      <c r="A3" s="65">
        <v>1</v>
      </c>
      <c r="B3" s="65" t="s">
        <v>352</v>
      </c>
      <c r="C3" s="65">
        <f>YEAR(Grass_Cutting[[#This Row],[Date]])</f>
        <v>2025</v>
      </c>
      <c r="D3" s="65" t="s">
        <v>4</v>
      </c>
      <c r="E3" s="63" t="s">
        <v>4</v>
      </c>
      <c r="F3" s="63" t="str">
        <f>TEXT(Grass_Cutting[[#This Row],[Date]],"mmm-yy")</f>
        <v>Jul-25</v>
      </c>
      <c r="G3" s="63">
        <f>DAY(EOMONTH(Grass_Cutting[[#This Row],[Month Year]],0))</f>
        <v>31</v>
      </c>
      <c r="H3" s="66">
        <v>45839</v>
      </c>
      <c r="I3" s="65"/>
      <c r="J3" s="65"/>
      <c r="K3" s="65"/>
      <c r="L3" s="65"/>
      <c r="M3" s="2"/>
      <c r="N3" s="2"/>
      <c r="O3" s="2"/>
      <c r="P3" s="2"/>
      <c r="Q3" s="2"/>
      <c r="R3" s="2"/>
      <c r="S3" s="2"/>
      <c r="T3" s="2"/>
      <c r="U3" s="2">
        <f>SUM(Grass_Cutting[[#This Row],[G1 Inv1]:[G3 Inv10]])</f>
        <v>0</v>
      </c>
      <c r="V3" s="65"/>
    </row>
    <row r="4" spans="1:22" x14ac:dyDescent="0.35">
      <c r="A4" s="62">
        <f>A3+1</f>
        <v>2</v>
      </c>
      <c r="B4" s="65" t="s">
        <v>352</v>
      </c>
      <c r="C4" s="62">
        <f>YEAR(Grass_Cutting[[#This Row],[Date]])</f>
        <v>2025</v>
      </c>
      <c r="D4" s="65" t="s">
        <v>4</v>
      </c>
      <c r="E4" s="63" t="s">
        <v>4</v>
      </c>
      <c r="F4" s="2" t="str">
        <f>TEXT(Grass_Cutting[[#This Row],[Date]],"mmm-yy")</f>
        <v>Jul-25</v>
      </c>
      <c r="G4" s="2">
        <f>DAY(EOMONTH(Grass_Cutting[[#This Row],[Month Year]],0))</f>
        <v>31</v>
      </c>
      <c r="H4" s="66">
        <f>H3+1</f>
        <v>45840</v>
      </c>
      <c r="I4" s="65"/>
      <c r="J4" s="62"/>
      <c r="K4" s="62"/>
      <c r="L4" s="62"/>
      <c r="M4" s="2"/>
      <c r="N4" s="2"/>
      <c r="O4" s="2"/>
      <c r="P4" s="2"/>
      <c r="Q4" s="2"/>
      <c r="R4" s="2"/>
      <c r="S4" s="2"/>
      <c r="T4" s="2"/>
      <c r="U4" s="2">
        <f>SUM(Grass_Cutting[[#This Row],[G1 Inv1]:[G3 Inv10]])</f>
        <v>0</v>
      </c>
      <c r="V4" s="65"/>
    </row>
    <row r="5" spans="1:22" x14ac:dyDescent="0.35">
      <c r="A5" s="62">
        <f t="shared" ref="A5:A64" si="0">A4+1</f>
        <v>3</v>
      </c>
      <c r="B5" s="65" t="s">
        <v>352</v>
      </c>
      <c r="C5" s="62">
        <f>YEAR(Grass_Cutting[[#This Row],[Date]])</f>
        <v>2025</v>
      </c>
      <c r="D5" s="65" t="s">
        <v>4</v>
      </c>
      <c r="E5" s="63" t="s">
        <v>4</v>
      </c>
      <c r="F5" s="2" t="str">
        <f>TEXT(Grass_Cutting[[#This Row],[Date]],"mmm-yy")</f>
        <v>Jul-25</v>
      </c>
      <c r="G5" s="95">
        <f>DAY(EOMONTH(Grass_Cutting[[#This Row],[Month Year]],0))</f>
        <v>31</v>
      </c>
      <c r="H5" s="66">
        <f t="shared" ref="H5:H64" si="1">H4+1</f>
        <v>45841</v>
      </c>
      <c r="I5" s="65"/>
      <c r="J5" s="62"/>
      <c r="K5" s="62"/>
      <c r="L5" s="62"/>
      <c r="N5" s="2"/>
      <c r="O5" s="2"/>
      <c r="P5" s="2"/>
      <c r="Q5" s="2"/>
      <c r="R5" s="2"/>
      <c r="S5" s="2"/>
      <c r="T5" s="2"/>
      <c r="U5" s="2">
        <f>SUM(Grass_Cutting[[#This Row],[G1 Inv1]:[G3 Inv10]])</f>
        <v>0</v>
      </c>
      <c r="V5" s="65"/>
    </row>
    <row r="6" spans="1:22" x14ac:dyDescent="0.35">
      <c r="A6" s="62">
        <f t="shared" si="0"/>
        <v>4</v>
      </c>
      <c r="B6" s="65" t="s">
        <v>352</v>
      </c>
      <c r="C6" s="62">
        <f>YEAR(Grass_Cutting[[#This Row],[Date]])</f>
        <v>2025</v>
      </c>
      <c r="D6" s="65" t="s">
        <v>4</v>
      </c>
      <c r="E6" s="63" t="s">
        <v>4</v>
      </c>
      <c r="F6" s="2" t="str">
        <f>TEXT(Grass_Cutting[[#This Row],[Date]],"mmm-yy")</f>
        <v>Jul-25</v>
      </c>
      <c r="G6" s="95">
        <f>DAY(EOMONTH(Grass_Cutting[[#This Row],[Month Year]],0))</f>
        <v>31</v>
      </c>
      <c r="H6" s="66">
        <f t="shared" si="1"/>
        <v>45842</v>
      </c>
      <c r="I6" s="65"/>
      <c r="J6" s="62"/>
      <c r="K6" s="62"/>
      <c r="L6" s="62"/>
      <c r="N6" s="2"/>
      <c r="O6" s="2"/>
      <c r="P6" s="2"/>
      <c r="Q6" s="2"/>
      <c r="R6" s="2"/>
      <c r="S6" s="2"/>
      <c r="T6" s="2"/>
      <c r="U6" s="2">
        <f>SUM(Grass_Cutting[[#This Row],[G1 Inv1]:[G3 Inv10]])</f>
        <v>0</v>
      </c>
      <c r="V6" s="65"/>
    </row>
    <row r="7" spans="1:22" x14ac:dyDescent="0.35">
      <c r="A7" s="62">
        <f t="shared" si="0"/>
        <v>5</v>
      </c>
      <c r="B7" s="65" t="s">
        <v>352</v>
      </c>
      <c r="C7" s="62">
        <f>YEAR(Grass_Cutting[[#This Row],[Date]])</f>
        <v>2025</v>
      </c>
      <c r="D7" s="65" t="s">
        <v>4</v>
      </c>
      <c r="E7" s="63" t="s">
        <v>4</v>
      </c>
      <c r="F7" s="2" t="str">
        <f>TEXT(Grass_Cutting[[#This Row],[Date]],"mmm-yy")</f>
        <v>Jul-25</v>
      </c>
      <c r="G7" s="95">
        <f>DAY(EOMONTH(Grass_Cutting[[#This Row],[Month Year]],0))</f>
        <v>31</v>
      </c>
      <c r="H7" s="66">
        <f t="shared" si="1"/>
        <v>45843</v>
      </c>
      <c r="I7" s="65"/>
      <c r="J7" s="62"/>
      <c r="K7" s="62"/>
      <c r="L7" s="62"/>
      <c r="N7" s="2"/>
      <c r="O7" s="2"/>
      <c r="P7" s="2"/>
      <c r="Q7" s="2"/>
      <c r="R7" s="2"/>
      <c r="S7" s="2"/>
      <c r="T7" s="2"/>
      <c r="U7" s="2">
        <f>SUM(Grass_Cutting[[#This Row],[G1 Inv1]:[G3 Inv10]])</f>
        <v>0</v>
      </c>
      <c r="V7" s="62"/>
    </row>
    <row r="8" spans="1:22" x14ac:dyDescent="0.35">
      <c r="A8" s="62">
        <f t="shared" si="0"/>
        <v>6</v>
      </c>
      <c r="B8" s="65" t="s">
        <v>352</v>
      </c>
      <c r="C8" s="62">
        <f>YEAR(Grass_Cutting[[#This Row],[Date]])</f>
        <v>2025</v>
      </c>
      <c r="D8" s="65" t="s">
        <v>4</v>
      </c>
      <c r="E8" s="63" t="s">
        <v>4</v>
      </c>
      <c r="F8" s="2" t="str">
        <f>TEXT(Grass_Cutting[[#This Row],[Date]],"mmm-yy")</f>
        <v>Jul-25</v>
      </c>
      <c r="G8" s="95">
        <f>DAY(EOMONTH(Grass_Cutting[[#This Row],[Month Year]],0))</f>
        <v>31</v>
      </c>
      <c r="H8" s="66">
        <f t="shared" si="1"/>
        <v>45844</v>
      </c>
      <c r="I8" s="65"/>
      <c r="J8" s="62"/>
      <c r="K8" s="62"/>
      <c r="L8" s="62"/>
      <c r="N8" s="2"/>
      <c r="O8" s="2"/>
      <c r="P8" s="2"/>
      <c r="Q8" s="2"/>
      <c r="R8" s="2"/>
      <c r="S8" s="2"/>
      <c r="T8" s="2"/>
      <c r="U8" s="2">
        <f>SUM(Grass_Cutting[[#This Row],[G1 Inv1]:[G3 Inv10]])</f>
        <v>0</v>
      </c>
      <c r="V8" s="62"/>
    </row>
    <row r="9" spans="1:22" x14ac:dyDescent="0.35">
      <c r="A9" s="62">
        <f t="shared" si="0"/>
        <v>7</v>
      </c>
      <c r="B9" s="65" t="s">
        <v>352</v>
      </c>
      <c r="C9" s="62">
        <f>YEAR(Grass_Cutting[[#This Row],[Date]])</f>
        <v>2025</v>
      </c>
      <c r="D9" s="65" t="s">
        <v>4</v>
      </c>
      <c r="E9" s="63" t="s">
        <v>4</v>
      </c>
      <c r="F9" s="2" t="str">
        <f>TEXT(Grass_Cutting[[#This Row],[Date]],"mmm-yy")</f>
        <v>Jul-25</v>
      </c>
      <c r="G9" s="95">
        <f>DAY(EOMONTH(Grass_Cutting[[#This Row],[Month Year]],0))</f>
        <v>31</v>
      </c>
      <c r="H9" s="66">
        <f t="shared" si="1"/>
        <v>45845</v>
      </c>
      <c r="I9" s="65"/>
      <c r="J9" s="62"/>
      <c r="K9" s="62"/>
      <c r="L9" s="62"/>
      <c r="N9" s="2"/>
      <c r="O9" s="2"/>
      <c r="P9" s="2"/>
      <c r="Q9" s="2"/>
      <c r="R9" s="2"/>
      <c r="S9" s="2"/>
      <c r="T9" s="2"/>
      <c r="U9" s="2">
        <f>SUM(Grass_Cutting[[#This Row],[G1 Inv1]:[G3 Inv10]])</f>
        <v>0</v>
      </c>
      <c r="V9" s="62"/>
    </row>
    <row r="10" spans="1:22" x14ac:dyDescent="0.35">
      <c r="A10" s="62">
        <f t="shared" si="0"/>
        <v>8</v>
      </c>
      <c r="B10" s="65" t="s">
        <v>352</v>
      </c>
      <c r="C10" s="62">
        <f>YEAR(Grass_Cutting[[#This Row],[Date]])</f>
        <v>2025</v>
      </c>
      <c r="D10" s="65" t="s">
        <v>4</v>
      </c>
      <c r="E10" s="63" t="s">
        <v>4</v>
      </c>
      <c r="F10" s="2" t="str">
        <f>TEXT(Grass_Cutting[[#This Row],[Date]],"mmm-yy")</f>
        <v>Jul-25</v>
      </c>
      <c r="G10" s="95">
        <f>DAY(EOMONTH(Grass_Cutting[[#This Row],[Month Year]],0))</f>
        <v>31</v>
      </c>
      <c r="H10" s="66">
        <f t="shared" si="1"/>
        <v>45846</v>
      </c>
      <c r="I10" s="65"/>
      <c r="J10" s="62"/>
      <c r="K10" s="62"/>
      <c r="L10" s="62"/>
      <c r="N10" s="2"/>
      <c r="O10" s="2"/>
      <c r="P10" s="2"/>
      <c r="Q10" s="2"/>
      <c r="R10" s="2"/>
      <c r="S10" s="2"/>
      <c r="T10" s="2"/>
      <c r="U10" s="2">
        <f>SUM(Grass_Cutting[[#This Row],[G1 Inv1]:[G3 Inv10]])</f>
        <v>0</v>
      </c>
      <c r="V10" s="62"/>
    </row>
    <row r="11" spans="1:22" x14ac:dyDescent="0.35">
      <c r="A11" s="62">
        <f t="shared" si="0"/>
        <v>9</v>
      </c>
      <c r="B11" s="65" t="s">
        <v>352</v>
      </c>
      <c r="C11" s="93">
        <f>YEAR(Grass_Cutting[[#This Row],[Date]])</f>
        <v>2025</v>
      </c>
      <c r="D11" s="65" t="s">
        <v>4</v>
      </c>
      <c r="E11" s="63" t="s">
        <v>4</v>
      </c>
      <c r="F11" s="2" t="str">
        <f>TEXT(Grass_Cutting[[#This Row],[Date]],"mmm-yy")</f>
        <v>Jul-25</v>
      </c>
      <c r="G11" s="97">
        <f>DAY(EOMONTH(Grass_Cutting[[#This Row],[Month Year]],0))</f>
        <v>31</v>
      </c>
      <c r="H11" s="66">
        <f t="shared" si="1"/>
        <v>45847</v>
      </c>
      <c r="I11" s="93"/>
      <c r="J11" s="93"/>
      <c r="K11" s="93"/>
      <c r="L11" s="93"/>
      <c r="N11" s="2"/>
      <c r="O11" s="2"/>
      <c r="P11" s="2"/>
      <c r="Q11" s="2"/>
      <c r="R11" s="2"/>
      <c r="S11" s="2"/>
      <c r="T11" s="2"/>
      <c r="U11" s="2">
        <f>SUM(Grass_Cutting[[#This Row],[G1 Inv1]:[G3 Inv10]])</f>
        <v>0</v>
      </c>
      <c r="V11" s="93"/>
    </row>
    <row r="12" spans="1:22" x14ac:dyDescent="0.35">
      <c r="A12" s="62">
        <f t="shared" si="0"/>
        <v>10</v>
      </c>
      <c r="B12" s="65" t="s">
        <v>352</v>
      </c>
      <c r="C12" s="93">
        <f>YEAR(Grass_Cutting[[#This Row],[Date]])</f>
        <v>2025</v>
      </c>
      <c r="D12" s="65" t="s">
        <v>4</v>
      </c>
      <c r="E12" s="63" t="s">
        <v>4</v>
      </c>
      <c r="F12" s="2" t="str">
        <f>TEXT(Grass_Cutting[[#This Row],[Date]],"mmm-yy")</f>
        <v>Jul-25</v>
      </c>
      <c r="G12" s="97">
        <f>DAY(EOMONTH(Grass_Cutting[[#This Row],[Month Year]],0))</f>
        <v>31</v>
      </c>
      <c r="H12" s="66">
        <f t="shared" si="1"/>
        <v>45848</v>
      </c>
      <c r="I12" s="93"/>
      <c r="J12" s="93"/>
      <c r="K12" s="93"/>
      <c r="L12" s="93"/>
      <c r="N12" s="2"/>
      <c r="O12" s="2"/>
      <c r="P12" s="2"/>
      <c r="Q12" s="2"/>
      <c r="R12" s="2"/>
      <c r="S12" s="2"/>
      <c r="T12" s="2"/>
      <c r="U12" s="2">
        <f>SUM(Grass_Cutting[[#This Row],[G1 Inv1]:[G3 Inv10]])</f>
        <v>0</v>
      </c>
      <c r="V12" s="93"/>
    </row>
    <row r="13" spans="1:22" x14ac:dyDescent="0.35">
      <c r="A13" s="62">
        <f t="shared" si="0"/>
        <v>11</v>
      </c>
      <c r="B13" s="65" t="s">
        <v>352</v>
      </c>
      <c r="C13" s="93">
        <f>YEAR(Grass_Cutting[[#This Row],[Date]])</f>
        <v>2025</v>
      </c>
      <c r="D13" s="65" t="s">
        <v>4</v>
      </c>
      <c r="E13" s="63" t="s">
        <v>4</v>
      </c>
      <c r="F13" s="2" t="str">
        <f>TEXT(Grass_Cutting[[#This Row],[Date]],"mmm-yy")</f>
        <v>Jul-25</v>
      </c>
      <c r="G13" s="97">
        <f>DAY(EOMONTH(Grass_Cutting[[#This Row],[Month Year]],0))</f>
        <v>31</v>
      </c>
      <c r="H13" s="66">
        <f t="shared" si="1"/>
        <v>45849</v>
      </c>
      <c r="I13" s="93"/>
      <c r="J13" s="93"/>
      <c r="K13" s="93"/>
      <c r="L13" s="93"/>
      <c r="N13" s="2"/>
      <c r="O13" s="2"/>
      <c r="P13" s="2"/>
      <c r="Q13" s="2"/>
      <c r="R13" s="2"/>
      <c r="S13" s="2"/>
      <c r="T13" s="2"/>
      <c r="U13" s="2">
        <f>SUM(Grass_Cutting[[#This Row],[G1 Inv1]:[G3 Inv10]])</f>
        <v>0</v>
      </c>
      <c r="V13" s="93"/>
    </row>
    <row r="14" spans="1:22" x14ac:dyDescent="0.35">
      <c r="A14" s="62">
        <f t="shared" si="0"/>
        <v>12</v>
      </c>
      <c r="B14" s="65" t="s">
        <v>352</v>
      </c>
      <c r="C14" s="93">
        <f>YEAR(Grass_Cutting[[#This Row],[Date]])</f>
        <v>2025</v>
      </c>
      <c r="D14" s="65" t="s">
        <v>4</v>
      </c>
      <c r="E14" s="63" t="s">
        <v>4</v>
      </c>
      <c r="F14" s="2" t="str">
        <f>TEXT(Grass_Cutting[[#This Row],[Date]],"mmm-yy")</f>
        <v>Jul-25</v>
      </c>
      <c r="G14" s="97">
        <f>DAY(EOMONTH(Grass_Cutting[[#This Row],[Month Year]],0))</f>
        <v>31</v>
      </c>
      <c r="H14" s="66">
        <f t="shared" si="1"/>
        <v>45850</v>
      </c>
      <c r="I14" s="93"/>
      <c r="J14" s="93"/>
      <c r="K14" s="93"/>
      <c r="L14" s="93"/>
      <c r="N14" s="2"/>
      <c r="O14" s="2"/>
      <c r="P14" s="2"/>
      <c r="Q14" s="2"/>
      <c r="R14" s="2"/>
      <c r="S14" s="2"/>
      <c r="T14" s="2"/>
      <c r="U14" s="2">
        <f>SUM(Grass_Cutting[[#This Row],[G1 Inv1]:[G3 Inv10]])</f>
        <v>0</v>
      </c>
      <c r="V14" s="93"/>
    </row>
    <row r="15" spans="1:22" x14ac:dyDescent="0.35">
      <c r="A15" s="62">
        <f t="shared" si="0"/>
        <v>13</v>
      </c>
      <c r="B15" s="65" t="s">
        <v>352</v>
      </c>
      <c r="C15" s="93">
        <f>YEAR(Grass_Cutting[[#This Row],[Date]])</f>
        <v>2025</v>
      </c>
      <c r="D15" s="65" t="s">
        <v>4</v>
      </c>
      <c r="E15" s="63" t="s">
        <v>4</v>
      </c>
      <c r="F15" s="2" t="str">
        <f>TEXT(Grass_Cutting[[#This Row],[Date]],"mmm-yy")</f>
        <v>Jul-25</v>
      </c>
      <c r="G15" s="97">
        <f>DAY(EOMONTH(Grass_Cutting[[#This Row],[Month Year]],0))</f>
        <v>31</v>
      </c>
      <c r="H15" s="66">
        <f t="shared" si="1"/>
        <v>45851</v>
      </c>
      <c r="I15" s="93"/>
      <c r="J15" s="93"/>
      <c r="K15" s="93"/>
      <c r="L15" s="93"/>
      <c r="N15" s="2"/>
      <c r="O15" s="2"/>
      <c r="P15" s="2"/>
      <c r="Q15" s="2"/>
      <c r="R15" s="2"/>
      <c r="S15" s="2"/>
      <c r="T15" s="2"/>
      <c r="U15" s="2">
        <f>SUM(Grass_Cutting[[#This Row],[G1 Inv1]:[G3 Inv10]])</f>
        <v>0</v>
      </c>
      <c r="V15" s="93"/>
    </row>
    <row r="16" spans="1:22" x14ac:dyDescent="0.35">
      <c r="A16" s="62">
        <f t="shared" si="0"/>
        <v>14</v>
      </c>
      <c r="B16" s="65" t="s">
        <v>352</v>
      </c>
      <c r="C16" s="93">
        <f>YEAR(Grass_Cutting[[#This Row],[Date]])</f>
        <v>2025</v>
      </c>
      <c r="D16" s="65" t="s">
        <v>4</v>
      </c>
      <c r="E16" s="63" t="s">
        <v>4</v>
      </c>
      <c r="F16" s="2" t="str">
        <f>TEXT(Grass_Cutting[[#This Row],[Date]],"mmm-yy")</f>
        <v>Jul-25</v>
      </c>
      <c r="G16" s="97">
        <f>DAY(EOMONTH(Grass_Cutting[[#This Row],[Month Year]],0))</f>
        <v>31</v>
      </c>
      <c r="H16" s="66">
        <f t="shared" si="1"/>
        <v>45852</v>
      </c>
      <c r="I16" s="93"/>
      <c r="J16" s="93"/>
      <c r="K16" s="93"/>
      <c r="L16" s="93"/>
      <c r="N16" s="2"/>
      <c r="O16" s="2"/>
      <c r="P16" s="2"/>
      <c r="Q16" s="2"/>
      <c r="R16" s="2"/>
      <c r="S16" s="2"/>
      <c r="T16" s="2"/>
      <c r="U16" s="2">
        <f>SUM(Grass_Cutting[[#This Row],[G1 Inv1]:[G3 Inv10]])</f>
        <v>0</v>
      </c>
      <c r="V16" s="93"/>
    </row>
    <row r="17" spans="1:22" x14ac:dyDescent="0.35">
      <c r="A17" s="62">
        <f t="shared" si="0"/>
        <v>15</v>
      </c>
      <c r="B17" s="65" t="s">
        <v>352</v>
      </c>
      <c r="C17" s="93">
        <f>YEAR(Grass_Cutting[[#This Row],[Date]])</f>
        <v>2025</v>
      </c>
      <c r="D17" s="65" t="s">
        <v>4</v>
      </c>
      <c r="E17" s="63" t="s">
        <v>4</v>
      </c>
      <c r="F17" s="2" t="str">
        <f>TEXT(Grass_Cutting[[#This Row],[Date]],"mmm-yy")</f>
        <v>Jul-25</v>
      </c>
      <c r="G17" s="97">
        <f>DAY(EOMONTH(Grass_Cutting[[#This Row],[Month Year]],0))</f>
        <v>31</v>
      </c>
      <c r="H17" s="66">
        <f t="shared" si="1"/>
        <v>45853</v>
      </c>
      <c r="I17" s="93"/>
      <c r="J17" s="93"/>
      <c r="K17" s="93"/>
      <c r="L17" s="93"/>
      <c r="N17" s="2"/>
      <c r="O17" s="2"/>
      <c r="P17" s="2"/>
      <c r="Q17" s="2"/>
      <c r="R17" s="2"/>
      <c r="S17" s="2"/>
      <c r="T17" s="2"/>
      <c r="U17" s="2">
        <f>SUM(Grass_Cutting[[#This Row],[G1 Inv1]:[G3 Inv10]])</f>
        <v>0</v>
      </c>
      <c r="V17" s="93"/>
    </row>
    <row r="18" spans="1:22" x14ac:dyDescent="0.35">
      <c r="A18" s="62">
        <f t="shared" si="0"/>
        <v>16</v>
      </c>
      <c r="B18" s="65" t="s">
        <v>352</v>
      </c>
      <c r="C18" s="93">
        <f>YEAR(Grass_Cutting[[#This Row],[Date]])</f>
        <v>2025</v>
      </c>
      <c r="D18" s="65" t="s">
        <v>4</v>
      </c>
      <c r="E18" s="63" t="s">
        <v>4</v>
      </c>
      <c r="F18" s="2" t="str">
        <f>TEXT(Grass_Cutting[[#This Row],[Date]],"mmm-yy")</f>
        <v>Jul-25</v>
      </c>
      <c r="G18" s="97">
        <f>DAY(EOMONTH(Grass_Cutting[[#This Row],[Month Year]],0))</f>
        <v>31</v>
      </c>
      <c r="H18" s="66">
        <f t="shared" si="1"/>
        <v>45854</v>
      </c>
      <c r="I18" s="93"/>
      <c r="J18" s="93"/>
      <c r="K18" s="93"/>
      <c r="L18" s="93"/>
      <c r="N18" s="2"/>
      <c r="O18" s="2"/>
      <c r="P18" s="2"/>
      <c r="Q18" s="2"/>
      <c r="R18" s="2"/>
      <c r="S18" s="2"/>
      <c r="T18" s="2"/>
      <c r="U18" s="2">
        <f>SUM(Grass_Cutting[[#This Row],[G1 Inv1]:[G3 Inv10]])</f>
        <v>0</v>
      </c>
      <c r="V18" s="93"/>
    </row>
    <row r="19" spans="1:22" x14ac:dyDescent="0.35">
      <c r="A19" s="62">
        <f t="shared" si="0"/>
        <v>17</v>
      </c>
      <c r="B19" s="65" t="s">
        <v>352</v>
      </c>
      <c r="C19" s="62">
        <f>YEAR(Grass_Cutting[[#This Row],[Date]])</f>
        <v>2025</v>
      </c>
      <c r="D19" s="65" t="s">
        <v>4</v>
      </c>
      <c r="E19" s="63" t="s">
        <v>4</v>
      </c>
      <c r="F19" s="2" t="str">
        <f>TEXT(Grass_Cutting[[#This Row],[Date]],"mmm-yy")</f>
        <v>Jul-25</v>
      </c>
      <c r="G19" s="95">
        <f>DAY(EOMONTH(Grass_Cutting[[#This Row],[Month Year]],0))</f>
        <v>31</v>
      </c>
      <c r="H19" s="66">
        <f t="shared" si="1"/>
        <v>45855</v>
      </c>
      <c r="I19" s="62"/>
      <c r="J19" s="62"/>
      <c r="K19" s="62"/>
      <c r="L19" s="62"/>
      <c r="N19" s="2"/>
      <c r="O19" s="2"/>
      <c r="P19" s="2"/>
      <c r="Q19" s="2"/>
      <c r="R19" s="2"/>
      <c r="S19" s="2"/>
      <c r="T19" s="2"/>
      <c r="U19" s="2">
        <f>SUM(Grass_Cutting[[#This Row],[G1 Inv1]:[G3 Inv10]])</f>
        <v>0</v>
      </c>
      <c r="V19" s="62"/>
    </row>
    <row r="20" spans="1:22" x14ac:dyDescent="0.35">
      <c r="A20" s="62">
        <f t="shared" si="0"/>
        <v>18</v>
      </c>
      <c r="B20" s="65" t="s">
        <v>352</v>
      </c>
      <c r="C20" s="62">
        <f>YEAR(Grass_Cutting[[#This Row],[Date]])</f>
        <v>2025</v>
      </c>
      <c r="D20" s="65" t="s">
        <v>4</v>
      </c>
      <c r="E20" s="63" t="s">
        <v>4</v>
      </c>
      <c r="F20" s="2" t="str">
        <f>TEXT(Grass_Cutting[[#This Row],[Date]],"mmm-yy")</f>
        <v>Jul-25</v>
      </c>
      <c r="G20" s="97">
        <f>DAY(EOMONTH(Grass_Cutting[[#This Row],[Month Year]],0))</f>
        <v>31</v>
      </c>
      <c r="H20" s="66">
        <f t="shared" si="1"/>
        <v>45856</v>
      </c>
      <c r="I20" s="93"/>
      <c r="J20" s="93"/>
      <c r="K20" s="93"/>
      <c r="L20" s="93"/>
      <c r="N20" s="2"/>
      <c r="O20" s="2"/>
      <c r="P20" s="2"/>
      <c r="Q20" s="2"/>
      <c r="R20" s="2"/>
      <c r="S20" s="2"/>
      <c r="T20" s="2"/>
      <c r="U20" s="2">
        <f>SUM(Grass_Cutting[[#This Row],[G1 Inv1]:[G3 Inv10]])</f>
        <v>0</v>
      </c>
      <c r="V20" s="93"/>
    </row>
    <row r="21" spans="1:22" x14ac:dyDescent="0.35">
      <c r="A21" s="62">
        <f t="shared" si="0"/>
        <v>19</v>
      </c>
      <c r="B21" s="65" t="s">
        <v>352</v>
      </c>
      <c r="C21" s="62">
        <f>YEAR(Grass_Cutting[[#This Row],[Date]])</f>
        <v>2025</v>
      </c>
      <c r="D21" s="65" t="s">
        <v>4</v>
      </c>
      <c r="E21" s="63" t="s">
        <v>4</v>
      </c>
      <c r="F21" s="2" t="str">
        <f>TEXT(Grass_Cutting[[#This Row],[Date]],"mmm-yy")</f>
        <v>Jul-25</v>
      </c>
      <c r="G21" s="95">
        <f>DAY(EOMONTH(Grass_Cutting[[#This Row],[Month Year]],0))</f>
        <v>31</v>
      </c>
      <c r="H21" s="66">
        <f t="shared" si="1"/>
        <v>45857</v>
      </c>
      <c r="I21" s="62"/>
      <c r="J21" s="62"/>
      <c r="K21" s="62"/>
      <c r="L21" s="62"/>
      <c r="N21" s="2"/>
      <c r="O21" s="2"/>
      <c r="P21" s="2"/>
      <c r="Q21" s="2"/>
      <c r="R21" s="2"/>
      <c r="S21" s="2"/>
      <c r="T21" s="2"/>
      <c r="U21" s="2">
        <f>SUM(Grass_Cutting[[#This Row],[G1 Inv1]:[G3 Inv10]])</f>
        <v>0</v>
      </c>
      <c r="V21" s="62"/>
    </row>
    <row r="22" spans="1:22" x14ac:dyDescent="0.35">
      <c r="A22" s="62">
        <f t="shared" si="0"/>
        <v>20</v>
      </c>
      <c r="B22" s="65" t="s">
        <v>352</v>
      </c>
      <c r="C22" s="93">
        <f>YEAR(Grass_Cutting[[#This Row],[Date]])</f>
        <v>2025</v>
      </c>
      <c r="D22" s="65" t="s">
        <v>4</v>
      </c>
      <c r="E22" s="63" t="s">
        <v>4</v>
      </c>
      <c r="F22" s="2" t="str">
        <f>TEXT(Grass_Cutting[[#This Row],[Date]],"mmm-yy")</f>
        <v>Jul-25</v>
      </c>
      <c r="G22" s="97">
        <f>DAY(EOMONTH(Grass_Cutting[[#This Row],[Month Year]],0))</f>
        <v>31</v>
      </c>
      <c r="H22" s="66">
        <f t="shared" si="1"/>
        <v>45858</v>
      </c>
      <c r="I22" s="93"/>
      <c r="J22" s="93"/>
      <c r="K22" s="93"/>
      <c r="L22" s="93"/>
      <c r="N22" s="2"/>
      <c r="O22" s="2"/>
      <c r="P22" s="2"/>
      <c r="Q22" s="2"/>
      <c r="R22" s="2"/>
      <c r="S22" s="2"/>
      <c r="T22" s="2"/>
      <c r="U22" s="2">
        <f>SUM(Grass_Cutting[[#This Row],[G1 Inv1]:[G3 Inv10]])</f>
        <v>0</v>
      </c>
      <c r="V22" s="93"/>
    </row>
    <row r="23" spans="1:22" x14ac:dyDescent="0.35">
      <c r="A23" s="62">
        <f t="shared" si="0"/>
        <v>21</v>
      </c>
      <c r="B23" s="65" t="s">
        <v>352</v>
      </c>
      <c r="C23" s="93">
        <f>YEAR(Grass_Cutting[[#This Row],[Date]])</f>
        <v>2025</v>
      </c>
      <c r="D23" s="65" t="s">
        <v>4</v>
      </c>
      <c r="E23" s="63" t="s">
        <v>4</v>
      </c>
      <c r="F23" s="2" t="str">
        <f>TEXT(Grass_Cutting[[#This Row],[Date]],"mmm-yy")</f>
        <v>Jul-25</v>
      </c>
      <c r="G23" s="97">
        <f>DAY(EOMONTH(Grass_Cutting[[#This Row],[Month Year]],0))</f>
        <v>31</v>
      </c>
      <c r="H23" s="66">
        <f t="shared" si="1"/>
        <v>45859</v>
      </c>
      <c r="I23" s="93"/>
      <c r="J23" s="93"/>
      <c r="K23" s="93"/>
      <c r="L23" s="93"/>
      <c r="N23" s="2"/>
      <c r="O23" s="2"/>
      <c r="P23" s="2"/>
      <c r="Q23" s="2"/>
      <c r="R23" s="2"/>
      <c r="S23" s="2"/>
      <c r="T23" s="2"/>
      <c r="U23" s="2">
        <f>SUM(Grass_Cutting[[#This Row],[G1 Inv1]:[G3 Inv10]])</f>
        <v>0</v>
      </c>
      <c r="V23" s="93"/>
    </row>
    <row r="24" spans="1:22" x14ac:dyDescent="0.35">
      <c r="A24" s="62">
        <f t="shared" si="0"/>
        <v>22</v>
      </c>
      <c r="B24" s="65" t="s">
        <v>352</v>
      </c>
      <c r="C24" s="93">
        <f>YEAR(Grass_Cutting[[#This Row],[Date]])</f>
        <v>2025</v>
      </c>
      <c r="D24" s="65" t="s">
        <v>4</v>
      </c>
      <c r="E24" s="63" t="s">
        <v>4</v>
      </c>
      <c r="F24" s="2" t="str">
        <f>TEXT(Grass_Cutting[[#This Row],[Date]],"mmm-yy")</f>
        <v>Jul-25</v>
      </c>
      <c r="G24" s="97">
        <f>DAY(EOMONTH(Grass_Cutting[[#This Row],[Month Year]],0))</f>
        <v>31</v>
      </c>
      <c r="H24" s="66">
        <f t="shared" si="1"/>
        <v>45860</v>
      </c>
      <c r="I24" s="93"/>
      <c r="J24" s="93"/>
      <c r="K24" s="93"/>
      <c r="L24" s="93"/>
      <c r="N24" s="2"/>
      <c r="O24" s="2"/>
      <c r="P24" s="2"/>
      <c r="Q24" s="2"/>
      <c r="R24" s="2"/>
      <c r="S24" s="2"/>
      <c r="T24" s="2"/>
      <c r="U24" s="2">
        <f>SUM(Grass_Cutting[[#This Row],[G1 Inv1]:[G3 Inv10]])</f>
        <v>0</v>
      </c>
      <c r="V24" s="93"/>
    </row>
    <row r="25" spans="1:22" x14ac:dyDescent="0.35">
      <c r="A25" s="62">
        <f t="shared" si="0"/>
        <v>23</v>
      </c>
      <c r="B25" s="65" t="s">
        <v>352</v>
      </c>
      <c r="C25" s="93">
        <f>YEAR(Grass_Cutting[[#This Row],[Date]])</f>
        <v>2025</v>
      </c>
      <c r="D25" s="65" t="s">
        <v>4</v>
      </c>
      <c r="E25" s="63" t="s">
        <v>4</v>
      </c>
      <c r="F25" s="2" t="str">
        <f>TEXT(Grass_Cutting[[#This Row],[Date]],"mmm-yy")</f>
        <v>Jul-25</v>
      </c>
      <c r="G25" s="97">
        <f>DAY(EOMONTH(Grass_Cutting[[#This Row],[Month Year]],0))</f>
        <v>31</v>
      </c>
      <c r="H25" s="66">
        <f t="shared" si="1"/>
        <v>45861</v>
      </c>
      <c r="I25" s="93"/>
      <c r="J25" s="93"/>
      <c r="K25" s="93"/>
      <c r="L25" s="93"/>
      <c r="R25" s="2"/>
      <c r="S25" s="2"/>
      <c r="T25" s="2"/>
      <c r="U25" s="2">
        <f>SUM(Grass_Cutting[[#This Row],[G1 Inv1]:[G3 Inv10]])</f>
        <v>0</v>
      </c>
      <c r="V25" s="93"/>
    </row>
    <row r="26" spans="1:22" x14ac:dyDescent="0.35">
      <c r="A26" s="62">
        <f t="shared" si="0"/>
        <v>24</v>
      </c>
      <c r="B26" s="65" t="s">
        <v>352</v>
      </c>
      <c r="C26" s="93">
        <f>YEAR(Grass_Cutting[[#This Row],[Date]])</f>
        <v>2025</v>
      </c>
      <c r="D26" s="65" t="s">
        <v>4</v>
      </c>
      <c r="E26" s="63" t="s">
        <v>4</v>
      </c>
      <c r="F26" s="2" t="str">
        <f>TEXT(Grass_Cutting[[#This Row],[Date]],"mmm-yy")</f>
        <v>Jul-25</v>
      </c>
      <c r="G26" s="97">
        <f>DAY(EOMONTH(Grass_Cutting[[#This Row],[Month Year]],0))</f>
        <v>31</v>
      </c>
      <c r="H26" s="66">
        <f t="shared" si="1"/>
        <v>45862</v>
      </c>
      <c r="I26" s="93"/>
      <c r="J26" s="93"/>
      <c r="K26" s="93"/>
      <c r="L26" s="93"/>
      <c r="R26" s="2"/>
      <c r="S26" s="2"/>
      <c r="T26" s="2"/>
      <c r="U26" s="2">
        <f>SUM(Grass_Cutting[[#This Row],[G1 Inv1]:[G3 Inv10]])</f>
        <v>0</v>
      </c>
      <c r="V26" s="93"/>
    </row>
    <row r="27" spans="1:22" x14ac:dyDescent="0.35">
      <c r="A27" s="62">
        <f t="shared" si="0"/>
        <v>25</v>
      </c>
      <c r="B27" s="65" t="s">
        <v>352</v>
      </c>
      <c r="C27" s="93">
        <f>YEAR(Grass_Cutting[[#This Row],[Date]])</f>
        <v>2025</v>
      </c>
      <c r="D27" s="65" t="s">
        <v>4</v>
      </c>
      <c r="E27" s="63" t="s">
        <v>4</v>
      </c>
      <c r="F27" s="2" t="str">
        <f>TEXT(Grass_Cutting[[#This Row],[Date]],"mmm-yy")</f>
        <v>Jul-25</v>
      </c>
      <c r="G27" s="97">
        <f>DAY(EOMONTH(Grass_Cutting[[#This Row],[Month Year]],0))</f>
        <v>31</v>
      </c>
      <c r="H27" s="66">
        <f t="shared" si="1"/>
        <v>45863</v>
      </c>
      <c r="I27" s="93"/>
      <c r="J27" s="93"/>
      <c r="K27" s="93"/>
      <c r="L27" s="93"/>
      <c r="R27" s="2"/>
      <c r="S27" s="2"/>
      <c r="T27" s="2"/>
      <c r="U27" s="2">
        <f>SUM(Grass_Cutting[[#This Row],[G1 Inv1]:[G3 Inv10]])</f>
        <v>0</v>
      </c>
      <c r="V27" s="93"/>
    </row>
    <row r="28" spans="1:22" x14ac:dyDescent="0.35">
      <c r="A28" s="62">
        <f t="shared" si="0"/>
        <v>26</v>
      </c>
      <c r="B28" s="65" t="s">
        <v>352</v>
      </c>
      <c r="C28" s="93">
        <f>YEAR(Grass_Cutting[[#This Row],[Date]])</f>
        <v>2025</v>
      </c>
      <c r="D28" s="65" t="s">
        <v>4</v>
      </c>
      <c r="E28" s="63" t="s">
        <v>4</v>
      </c>
      <c r="F28" s="2" t="str">
        <f>TEXT(Grass_Cutting[[#This Row],[Date]],"mmm-yy")</f>
        <v>Jul-25</v>
      </c>
      <c r="G28" s="97">
        <f>DAY(EOMONTH(Grass_Cutting[[#This Row],[Month Year]],0))</f>
        <v>31</v>
      </c>
      <c r="H28" s="66">
        <f t="shared" si="1"/>
        <v>45864</v>
      </c>
      <c r="I28" s="93"/>
      <c r="J28" s="93"/>
      <c r="K28" s="93"/>
      <c r="L28" s="93"/>
      <c r="R28" s="2"/>
      <c r="S28" s="2"/>
      <c r="T28" s="2"/>
      <c r="U28" s="2">
        <f>SUM(Grass_Cutting[[#This Row],[G1 Inv1]:[G3 Inv10]])</f>
        <v>0</v>
      </c>
      <c r="V28" s="93"/>
    </row>
    <row r="29" spans="1:22" x14ac:dyDescent="0.35">
      <c r="A29" s="62">
        <f t="shared" si="0"/>
        <v>27</v>
      </c>
      <c r="B29" s="65" t="s">
        <v>352</v>
      </c>
      <c r="C29" s="93">
        <f>YEAR(Grass_Cutting[[#This Row],[Date]])</f>
        <v>2025</v>
      </c>
      <c r="D29" s="65" t="s">
        <v>4</v>
      </c>
      <c r="E29" s="63" t="s">
        <v>4</v>
      </c>
      <c r="F29" s="2" t="str">
        <f>TEXT(Grass_Cutting[[#This Row],[Date]],"mmm-yy")</f>
        <v>Jul-25</v>
      </c>
      <c r="G29" s="97">
        <f>DAY(EOMONTH(Grass_Cutting[[#This Row],[Month Year]],0))</f>
        <v>31</v>
      </c>
      <c r="H29" s="66">
        <f t="shared" si="1"/>
        <v>45865</v>
      </c>
      <c r="I29" s="93"/>
      <c r="J29" s="93"/>
      <c r="K29" s="93"/>
      <c r="L29" s="93"/>
      <c r="R29" s="2"/>
      <c r="S29" s="2"/>
      <c r="T29" s="2"/>
      <c r="U29" s="2">
        <f>SUM(Grass_Cutting[[#This Row],[G1 Inv1]:[G3 Inv10]])</f>
        <v>0</v>
      </c>
      <c r="V29" s="93"/>
    </row>
    <row r="30" spans="1:22" x14ac:dyDescent="0.35">
      <c r="A30" s="62">
        <f t="shared" si="0"/>
        <v>28</v>
      </c>
      <c r="B30" s="65" t="s">
        <v>352</v>
      </c>
      <c r="C30" s="93">
        <f>YEAR(Grass_Cutting[[#This Row],[Date]])</f>
        <v>2025</v>
      </c>
      <c r="D30" s="65" t="s">
        <v>4</v>
      </c>
      <c r="E30" s="63" t="s">
        <v>4</v>
      </c>
      <c r="F30" s="2" t="str">
        <f>TEXT(Grass_Cutting[[#This Row],[Date]],"mmm-yy")</f>
        <v>Jul-25</v>
      </c>
      <c r="G30" s="95">
        <f>DAY(EOMONTH(Grass_Cutting[[#This Row],[Month Year]],0))</f>
        <v>31</v>
      </c>
      <c r="H30" s="66">
        <f t="shared" si="1"/>
        <v>45866</v>
      </c>
      <c r="I30" s="62"/>
      <c r="J30" s="62"/>
      <c r="K30" s="62"/>
      <c r="L30" s="62"/>
      <c r="R30" s="2"/>
      <c r="S30" s="2"/>
      <c r="T30" s="2"/>
      <c r="U30" s="2">
        <f>SUM(Grass_Cutting[[#This Row],[G1 Inv1]:[G3 Inv10]])</f>
        <v>0</v>
      </c>
      <c r="V30" s="62"/>
    </row>
    <row r="31" spans="1:22" x14ac:dyDescent="0.35">
      <c r="A31" s="62">
        <f t="shared" si="0"/>
        <v>29</v>
      </c>
      <c r="B31" s="65" t="s">
        <v>352</v>
      </c>
      <c r="C31" s="93">
        <f>YEAR(Grass_Cutting[[#This Row],[Date]])</f>
        <v>2025</v>
      </c>
      <c r="D31" s="65" t="s">
        <v>4</v>
      </c>
      <c r="E31" s="63" t="s">
        <v>4</v>
      </c>
      <c r="F31" s="2" t="str">
        <f>TEXT(Grass_Cutting[[#This Row],[Date]],"mmm-yy")</f>
        <v>Jul-25</v>
      </c>
      <c r="G31" s="95">
        <f>DAY(EOMONTH(Grass_Cutting[[#This Row],[Month Year]],0))</f>
        <v>31</v>
      </c>
      <c r="H31" s="66">
        <f t="shared" si="1"/>
        <v>45867</v>
      </c>
      <c r="I31" s="62"/>
      <c r="J31" s="62"/>
      <c r="K31" s="62"/>
      <c r="L31" s="62"/>
      <c r="R31" s="2"/>
      <c r="S31" s="2"/>
      <c r="T31" s="2"/>
      <c r="U31" s="2">
        <f>SUM(Grass_Cutting[[#This Row],[G1 Inv1]:[G3 Inv10]])</f>
        <v>0</v>
      </c>
      <c r="V31" s="62"/>
    </row>
    <row r="32" spans="1:22" x14ac:dyDescent="0.35">
      <c r="A32" s="62">
        <f t="shared" si="0"/>
        <v>30</v>
      </c>
      <c r="B32" s="65" t="s">
        <v>352</v>
      </c>
      <c r="C32" s="93">
        <f>YEAR(Grass_Cutting[[#This Row],[Date]])</f>
        <v>2025</v>
      </c>
      <c r="D32" s="65" t="s">
        <v>4</v>
      </c>
      <c r="E32" s="63" t="s">
        <v>4</v>
      </c>
      <c r="F32" s="2" t="str">
        <f>TEXT(Grass_Cutting[[#This Row],[Date]],"mmm-yy")</f>
        <v>Jul-25</v>
      </c>
      <c r="G32" s="95">
        <f>DAY(EOMONTH(Grass_Cutting[[#This Row],[Month Year]],0))</f>
        <v>31</v>
      </c>
      <c r="H32" s="66">
        <f t="shared" si="1"/>
        <v>45868</v>
      </c>
      <c r="I32" s="62"/>
      <c r="J32" s="62"/>
      <c r="K32" s="93"/>
      <c r="L32" s="93"/>
      <c r="R32" s="2"/>
      <c r="S32" s="2"/>
      <c r="T32" s="2"/>
      <c r="U32" s="2">
        <f>SUM(Grass_Cutting[[#This Row],[G1 Inv1]:[G3 Inv10]])</f>
        <v>0</v>
      </c>
      <c r="V32" s="62"/>
    </row>
    <row r="33" spans="1:22" x14ac:dyDescent="0.35">
      <c r="A33" s="62">
        <f t="shared" si="0"/>
        <v>31</v>
      </c>
      <c r="B33" s="65" t="s">
        <v>352</v>
      </c>
      <c r="C33" s="93">
        <f>YEAR(Grass_Cutting[[#This Row],[Date]])</f>
        <v>2025</v>
      </c>
      <c r="D33" s="65" t="s">
        <v>4</v>
      </c>
      <c r="E33" s="63" t="s">
        <v>4</v>
      </c>
      <c r="F33" s="2" t="str">
        <f>TEXT(Grass_Cutting[[#This Row],[Date]],"mmm-yy")</f>
        <v>Jul-25</v>
      </c>
      <c r="G33" s="95">
        <f>DAY(EOMONTH(Grass_Cutting[[#This Row],[Month Year]],0))</f>
        <v>31</v>
      </c>
      <c r="H33" s="66">
        <f t="shared" si="1"/>
        <v>45869</v>
      </c>
      <c r="I33" s="62"/>
      <c r="J33" s="62"/>
      <c r="K33" s="62"/>
      <c r="L33" s="62"/>
      <c r="N33" s="2"/>
      <c r="O33" s="2"/>
      <c r="P33" s="2"/>
      <c r="Q33" s="2"/>
      <c r="R33" s="2"/>
      <c r="S33" s="2"/>
      <c r="T33" s="2"/>
      <c r="U33" s="2">
        <f>SUM(Grass_Cutting[[#This Row],[G1 Inv1]:[G3 Inv10]])</f>
        <v>0</v>
      </c>
      <c r="V33" s="62"/>
    </row>
    <row r="34" spans="1:22" x14ac:dyDescent="0.35">
      <c r="A34" s="62">
        <f t="shared" si="0"/>
        <v>32</v>
      </c>
      <c r="B34" s="65" t="s">
        <v>352</v>
      </c>
      <c r="C34" s="93">
        <f>YEAR(Grass_Cutting[[#This Row],[Date]])</f>
        <v>2025</v>
      </c>
      <c r="D34" s="65" t="s">
        <v>4</v>
      </c>
      <c r="E34" s="63" t="s">
        <v>4</v>
      </c>
      <c r="F34" s="2" t="str">
        <f>TEXT(Grass_Cutting[[#This Row],[Date]],"mmm-yy")</f>
        <v>Aug-25</v>
      </c>
      <c r="G34" s="95">
        <f>DAY(EOMONTH(Grass_Cutting[[#This Row],[Month Year]],0))</f>
        <v>31</v>
      </c>
      <c r="H34" s="66">
        <f t="shared" si="1"/>
        <v>45870</v>
      </c>
      <c r="I34" s="62"/>
      <c r="J34" s="62"/>
      <c r="K34" s="62"/>
      <c r="L34" s="62"/>
      <c r="N34" s="2"/>
      <c r="O34" s="2"/>
      <c r="P34" s="2"/>
      <c r="Q34" s="2"/>
      <c r="R34" s="2"/>
      <c r="S34" s="2"/>
      <c r="T34" s="2"/>
      <c r="U34" s="2">
        <f>SUM(Grass_Cutting[[#This Row],[G1 Inv1]:[G3 Inv10]])</f>
        <v>0</v>
      </c>
      <c r="V34" s="62"/>
    </row>
    <row r="35" spans="1:22" x14ac:dyDescent="0.35">
      <c r="A35" s="62">
        <f t="shared" si="0"/>
        <v>33</v>
      </c>
      <c r="B35" s="65" t="s">
        <v>352</v>
      </c>
      <c r="C35" s="93">
        <f>YEAR(Grass_Cutting[[#This Row],[Date]])</f>
        <v>2025</v>
      </c>
      <c r="D35" s="65" t="s">
        <v>4</v>
      </c>
      <c r="E35" s="63" t="s">
        <v>4</v>
      </c>
      <c r="F35" s="2" t="str">
        <f>TEXT(Grass_Cutting[[#This Row],[Date]],"mmm-yy")</f>
        <v>Aug-25</v>
      </c>
      <c r="G35" s="95">
        <f>DAY(EOMONTH(Grass_Cutting[[#This Row],[Month Year]],0))</f>
        <v>31</v>
      </c>
      <c r="H35" s="66">
        <f t="shared" si="1"/>
        <v>45871</v>
      </c>
      <c r="I35" s="62"/>
      <c r="J35" s="62"/>
      <c r="K35" s="62"/>
      <c r="L35" s="62"/>
      <c r="N35" s="2"/>
      <c r="O35" s="2"/>
      <c r="P35" s="2"/>
      <c r="Q35" s="2"/>
      <c r="R35" s="2"/>
      <c r="S35" s="2"/>
      <c r="T35" s="2"/>
      <c r="U35" s="2">
        <f>SUM(Grass_Cutting[[#This Row],[G1 Inv1]:[G3 Inv10]])</f>
        <v>0</v>
      </c>
      <c r="V35" s="62"/>
    </row>
    <row r="36" spans="1:22" x14ac:dyDescent="0.35">
      <c r="A36" s="62">
        <f t="shared" si="0"/>
        <v>34</v>
      </c>
      <c r="B36" s="65" t="s">
        <v>352</v>
      </c>
      <c r="C36" s="93">
        <f>YEAR(Grass_Cutting[[#This Row],[Date]])</f>
        <v>2025</v>
      </c>
      <c r="D36" s="65" t="s">
        <v>4</v>
      </c>
      <c r="E36" s="63" t="s">
        <v>4</v>
      </c>
      <c r="F36" s="2" t="str">
        <f>TEXT(Grass_Cutting[[#This Row],[Date]],"mmm-yy")</f>
        <v>Aug-25</v>
      </c>
      <c r="G36" s="95">
        <f>DAY(EOMONTH(Grass_Cutting[[#This Row],[Month Year]],0))</f>
        <v>31</v>
      </c>
      <c r="H36" s="66">
        <f t="shared" si="1"/>
        <v>45872</v>
      </c>
      <c r="I36" s="62"/>
      <c r="J36" s="62"/>
      <c r="K36" s="62"/>
      <c r="L36" s="62"/>
      <c r="N36" s="2"/>
      <c r="O36" s="2"/>
      <c r="P36" s="2"/>
      <c r="Q36" s="2"/>
      <c r="R36" s="2"/>
      <c r="S36" s="2"/>
      <c r="T36" s="2"/>
      <c r="U36" s="2">
        <f>SUM(Grass_Cutting[[#This Row],[G1 Inv1]:[G3 Inv10]])</f>
        <v>0</v>
      </c>
      <c r="V36" s="62"/>
    </row>
    <row r="37" spans="1:22" x14ac:dyDescent="0.35">
      <c r="A37" s="62">
        <f t="shared" si="0"/>
        <v>35</v>
      </c>
      <c r="B37" s="65" t="s">
        <v>352</v>
      </c>
      <c r="C37" s="93">
        <f>YEAR(Grass_Cutting[[#This Row],[Date]])</f>
        <v>2025</v>
      </c>
      <c r="D37" s="65" t="s">
        <v>4</v>
      </c>
      <c r="E37" s="63" t="s">
        <v>4</v>
      </c>
      <c r="F37" s="2" t="str">
        <f>TEXT(Grass_Cutting[[#This Row],[Date]],"mmm-yy")</f>
        <v>Aug-25</v>
      </c>
      <c r="G37" s="95">
        <f>DAY(EOMONTH(Grass_Cutting[[#This Row],[Month Year]],0))</f>
        <v>31</v>
      </c>
      <c r="H37" s="66">
        <f t="shared" si="1"/>
        <v>45873</v>
      </c>
      <c r="I37" s="62"/>
      <c r="J37" s="62"/>
      <c r="K37" s="62"/>
      <c r="L37" s="62"/>
      <c r="N37" s="2"/>
      <c r="O37" s="2"/>
      <c r="P37" s="2"/>
      <c r="Q37" s="2"/>
      <c r="R37" s="2"/>
      <c r="S37" s="2"/>
      <c r="T37" s="2"/>
      <c r="U37" s="2">
        <f>SUM(Grass_Cutting[[#This Row],[G1 Inv1]:[G3 Inv10]])</f>
        <v>0</v>
      </c>
      <c r="V37" s="62"/>
    </row>
    <row r="38" spans="1:22" x14ac:dyDescent="0.35">
      <c r="A38" s="62">
        <f t="shared" si="0"/>
        <v>36</v>
      </c>
      <c r="B38" s="65" t="s">
        <v>352</v>
      </c>
      <c r="C38" s="93">
        <f>YEAR(Grass_Cutting[[#This Row],[Date]])</f>
        <v>2025</v>
      </c>
      <c r="D38" s="65" t="s">
        <v>4</v>
      </c>
      <c r="E38" s="63" t="s">
        <v>4</v>
      </c>
      <c r="F38" s="2" t="str">
        <f>TEXT(Grass_Cutting[[#This Row],[Date]],"mmm-yy")</f>
        <v>Aug-25</v>
      </c>
      <c r="G38" s="95">
        <f>DAY(EOMONTH(Grass_Cutting[[#This Row],[Month Year]],0))</f>
        <v>31</v>
      </c>
      <c r="H38" s="66">
        <f t="shared" si="1"/>
        <v>45874</v>
      </c>
      <c r="I38" s="62"/>
      <c r="J38" s="62"/>
      <c r="K38" s="62"/>
      <c r="L38" s="62"/>
      <c r="N38" s="2"/>
      <c r="O38" s="2"/>
      <c r="P38" s="2"/>
      <c r="Q38" s="2"/>
      <c r="R38" s="2"/>
      <c r="S38" s="2"/>
      <c r="T38" s="2"/>
      <c r="U38" s="2">
        <f>SUM(Grass_Cutting[[#This Row],[G1 Inv1]:[G3 Inv10]])</f>
        <v>0</v>
      </c>
      <c r="V38" s="62"/>
    </row>
    <row r="39" spans="1:22" x14ac:dyDescent="0.35">
      <c r="A39" s="62">
        <f t="shared" si="0"/>
        <v>37</v>
      </c>
      <c r="B39" s="65" t="s">
        <v>352</v>
      </c>
      <c r="C39" s="93">
        <f>YEAR(Grass_Cutting[[#This Row],[Date]])</f>
        <v>2025</v>
      </c>
      <c r="D39" s="65" t="s">
        <v>4</v>
      </c>
      <c r="E39" s="63" t="s">
        <v>4</v>
      </c>
      <c r="F39" s="2" t="str">
        <f>TEXT(Grass_Cutting[[#This Row],[Date]],"mmm-yy")</f>
        <v>Aug-25</v>
      </c>
      <c r="G39" s="95">
        <f>DAY(EOMONTH(Grass_Cutting[[#This Row],[Month Year]],0))</f>
        <v>31</v>
      </c>
      <c r="H39" s="66">
        <f t="shared" si="1"/>
        <v>45875</v>
      </c>
      <c r="I39" s="62"/>
      <c r="J39" s="62"/>
      <c r="K39" s="62"/>
      <c r="L39" s="62"/>
      <c r="N39" s="2"/>
      <c r="O39" s="2"/>
      <c r="P39" s="2"/>
      <c r="Q39" s="2"/>
      <c r="R39" s="2"/>
      <c r="S39" s="2"/>
      <c r="T39" s="2"/>
      <c r="U39" s="2">
        <f>SUM(Grass_Cutting[[#This Row],[G1 Inv1]:[G3 Inv10]])</f>
        <v>0</v>
      </c>
      <c r="V39" s="62"/>
    </row>
    <row r="40" spans="1:22" x14ac:dyDescent="0.35">
      <c r="A40" s="62">
        <f t="shared" si="0"/>
        <v>38</v>
      </c>
      <c r="B40" s="65" t="s">
        <v>352</v>
      </c>
      <c r="C40" s="93">
        <f>YEAR(Grass_Cutting[[#This Row],[Date]])</f>
        <v>2025</v>
      </c>
      <c r="D40" s="65" t="s">
        <v>4</v>
      </c>
      <c r="E40" s="63" t="s">
        <v>4</v>
      </c>
      <c r="F40" s="2" t="str">
        <f>TEXT(Grass_Cutting[[#This Row],[Date]],"mmm-yy")</f>
        <v>Aug-25</v>
      </c>
      <c r="G40" s="95">
        <f>DAY(EOMONTH(Grass_Cutting[[#This Row],[Month Year]],0))</f>
        <v>31</v>
      </c>
      <c r="H40" s="66">
        <f t="shared" si="1"/>
        <v>45876</v>
      </c>
      <c r="I40" s="62"/>
      <c r="J40" s="62"/>
      <c r="K40" s="62"/>
      <c r="L40" s="62"/>
      <c r="N40" s="2"/>
      <c r="O40" s="2"/>
      <c r="P40" s="2"/>
      <c r="Q40" s="2"/>
      <c r="R40" s="2"/>
      <c r="S40" s="2"/>
      <c r="T40" s="2"/>
      <c r="U40" s="2">
        <f>SUM(Grass_Cutting[[#This Row],[G1 Inv1]:[G3 Inv10]])</f>
        <v>0</v>
      </c>
      <c r="V40" s="62"/>
    </row>
    <row r="41" spans="1:22" x14ac:dyDescent="0.35">
      <c r="A41" s="62">
        <f t="shared" si="0"/>
        <v>39</v>
      </c>
      <c r="B41" s="65" t="s">
        <v>352</v>
      </c>
      <c r="C41" s="93">
        <f>YEAR(Grass_Cutting[[#This Row],[Date]])</f>
        <v>2025</v>
      </c>
      <c r="D41" s="65" t="s">
        <v>4</v>
      </c>
      <c r="E41" s="63" t="s">
        <v>4</v>
      </c>
      <c r="F41" s="2" t="str">
        <f>TEXT(Grass_Cutting[[#This Row],[Date]],"mmm-yy")</f>
        <v>Aug-25</v>
      </c>
      <c r="G41" s="95">
        <f>DAY(EOMONTH(Grass_Cutting[[#This Row],[Month Year]],0))</f>
        <v>31</v>
      </c>
      <c r="H41" s="66">
        <f t="shared" si="1"/>
        <v>45877</v>
      </c>
      <c r="I41" s="62"/>
      <c r="J41" s="62"/>
      <c r="K41" s="62"/>
      <c r="L41" s="62"/>
      <c r="N41" s="2"/>
      <c r="O41" s="2"/>
      <c r="P41" s="2"/>
      <c r="Q41" s="2"/>
      <c r="R41" s="2"/>
      <c r="S41" s="2"/>
      <c r="T41" s="2"/>
      <c r="U41" s="2">
        <f>SUM(Grass_Cutting[[#This Row],[G1 Inv1]:[G3 Inv10]])</f>
        <v>0</v>
      </c>
      <c r="V41" s="62"/>
    </row>
    <row r="42" spans="1:22" x14ac:dyDescent="0.35">
      <c r="A42" s="62">
        <f t="shared" si="0"/>
        <v>40</v>
      </c>
      <c r="B42" s="65" t="s">
        <v>352</v>
      </c>
      <c r="C42" s="62">
        <f>YEAR(Grass_Cutting[[#This Row],[Date]])</f>
        <v>2025</v>
      </c>
      <c r="D42" s="65" t="s">
        <v>4</v>
      </c>
      <c r="E42" s="63" t="s">
        <v>4</v>
      </c>
      <c r="F42" s="2" t="str">
        <f>TEXT(Grass_Cutting[[#This Row],[Date]],"mmm-yy")</f>
        <v>Aug-25</v>
      </c>
      <c r="G42" s="95">
        <f>DAY(EOMONTH(Grass_Cutting[[#This Row],[Month Year]],0))</f>
        <v>31</v>
      </c>
      <c r="H42" s="66">
        <f t="shared" si="1"/>
        <v>45878</v>
      </c>
      <c r="I42" s="62"/>
      <c r="J42" s="62"/>
      <c r="K42" s="62"/>
      <c r="L42" s="62"/>
      <c r="N42" s="2"/>
      <c r="O42" s="2"/>
      <c r="P42" s="2"/>
      <c r="Q42" s="2"/>
      <c r="R42" s="2"/>
      <c r="S42" s="2"/>
      <c r="T42" s="2"/>
      <c r="U42" s="2">
        <f>SUM(Grass_Cutting[[#This Row],[G1 Inv1]:[G3 Inv10]])</f>
        <v>0</v>
      </c>
      <c r="V42" s="62"/>
    </row>
    <row r="43" spans="1:22" x14ac:dyDescent="0.35">
      <c r="A43" s="62">
        <f t="shared" si="0"/>
        <v>41</v>
      </c>
      <c r="B43" s="65" t="s">
        <v>352</v>
      </c>
      <c r="C43" s="62">
        <f>YEAR(Grass_Cutting[[#This Row],[Date]])</f>
        <v>2025</v>
      </c>
      <c r="D43" s="65" t="s">
        <v>4</v>
      </c>
      <c r="E43" s="63" t="s">
        <v>4</v>
      </c>
      <c r="F43" s="2" t="str">
        <f>TEXT(Grass_Cutting[[#This Row],[Date]],"mmm-yy")</f>
        <v>Aug-25</v>
      </c>
      <c r="G43" s="95">
        <f>DAY(EOMONTH(Grass_Cutting[[#This Row],[Month Year]],0))</f>
        <v>31</v>
      </c>
      <c r="H43" s="66">
        <f t="shared" si="1"/>
        <v>45879</v>
      </c>
      <c r="I43" s="62"/>
      <c r="J43" s="62"/>
      <c r="K43" s="62"/>
      <c r="L43" s="62"/>
      <c r="N43" s="2"/>
      <c r="O43" s="2"/>
      <c r="P43" s="2"/>
      <c r="Q43" s="2"/>
      <c r="R43" s="2"/>
      <c r="S43" s="2"/>
      <c r="T43" s="2"/>
      <c r="U43" s="2">
        <f>SUM(Grass_Cutting[[#This Row],[G1 Inv1]:[G3 Inv10]])</f>
        <v>0</v>
      </c>
      <c r="V43" s="62"/>
    </row>
    <row r="44" spans="1:22" x14ac:dyDescent="0.35">
      <c r="A44" s="62">
        <f t="shared" si="0"/>
        <v>42</v>
      </c>
      <c r="B44" s="65" t="s">
        <v>352</v>
      </c>
      <c r="C44" s="62">
        <f>YEAR(Grass_Cutting[[#This Row],[Date]])</f>
        <v>2025</v>
      </c>
      <c r="D44" s="65" t="s">
        <v>4</v>
      </c>
      <c r="E44" s="63" t="s">
        <v>4</v>
      </c>
      <c r="F44" s="2" t="str">
        <f>TEXT(Grass_Cutting[[#This Row],[Date]],"mmm-yy")</f>
        <v>Aug-25</v>
      </c>
      <c r="G44" s="95">
        <f>DAY(EOMONTH(Grass_Cutting[[#This Row],[Month Year]],0))</f>
        <v>31</v>
      </c>
      <c r="H44" s="66">
        <f t="shared" si="1"/>
        <v>45880</v>
      </c>
      <c r="I44" s="62"/>
      <c r="J44" s="62"/>
      <c r="K44" s="62"/>
      <c r="L44" s="62"/>
      <c r="N44" s="2"/>
      <c r="O44" s="2"/>
      <c r="P44" s="2"/>
      <c r="Q44" s="2"/>
      <c r="R44" s="2"/>
      <c r="S44" s="2"/>
      <c r="T44" s="2"/>
      <c r="U44" s="2">
        <f>SUM(Grass_Cutting[[#This Row],[G1 Inv1]:[G3 Inv10]])</f>
        <v>0</v>
      </c>
      <c r="V44" s="62"/>
    </row>
    <row r="45" spans="1:22" x14ac:dyDescent="0.35">
      <c r="A45" s="62">
        <f t="shared" si="0"/>
        <v>43</v>
      </c>
      <c r="B45" s="65" t="s">
        <v>352</v>
      </c>
      <c r="C45" s="62">
        <f>YEAR(Grass_Cutting[[#This Row],[Date]])</f>
        <v>2025</v>
      </c>
      <c r="D45" s="65" t="s">
        <v>4</v>
      </c>
      <c r="E45" s="63" t="s">
        <v>4</v>
      </c>
      <c r="F45" s="2" t="str">
        <f>TEXT(Grass_Cutting[[#This Row],[Date]],"mmm-yy")</f>
        <v>Aug-25</v>
      </c>
      <c r="G45" s="95">
        <f>DAY(EOMONTH(Grass_Cutting[[#This Row],[Month Year]],0))</f>
        <v>31</v>
      </c>
      <c r="H45" s="66">
        <f t="shared" si="1"/>
        <v>45881</v>
      </c>
      <c r="I45" s="62"/>
      <c r="J45" s="62"/>
      <c r="K45" s="62"/>
      <c r="L45" s="62"/>
      <c r="N45" s="2"/>
      <c r="O45" s="2"/>
      <c r="P45" s="2"/>
      <c r="Q45" s="2"/>
      <c r="R45" s="2"/>
      <c r="S45" s="2"/>
      <c r="T45" s="2"/>
      <c r="U45" s="2">
        <f>SUM(Grass_Cutting[[#This Row],[G1 Inv1]:[G3 Inv10]])</f>
        <v>0</v>
      </c>
      <c r="V45" s="62"/>
    </row>
    <row r="46" spans="1:22" x14ac:dyDescent="0.35">
      <c r="A46" s="62">
        <f t="shared" si="0"/>
        <v>44</v>
      </c>
      <c r="B46" s="65" t="s">
        <v>352</v>
      </c>
      <c r="C46" s="62">
        <f>YEAR(Grass_Cutting[[#This Row],[Date]])</f>
        <v>2025</v>
      </c>
      <c r="D46" s="65" t="s">
        <v>4</v>
      </c>
      <c r="E46" s="63" t="s">
        <v>4</v>
      </c>
      <c r="F46" s="2" t="str">
        <f>TEXT(Grass_Cutting[[#This Row],[Date]],"mmm-yy")</f>
        <v>Aug-25</v>
      </c>
      <c r="G46" s="95">
        <f>DAY(EOMONTH(Grass_Cutting[[#This Row],[Month Year]],0))</f>
        <v>31</v>
      </c>
      <c r="H46" s="66">
        <f t="shared" si="1"/>
        <v>45882</v>
      </c>
      <c r="I46" s="62"/>
      <c r="J46" s="62"/>
      <c r="K46" s="62"/>
      <c r="L46" s="62"/>
      <c r="N46" s="2"/>
      <c r="O46" s="2"/>
      <c r="P46" s="2"/>
      <c r="Q46" s="2"/>
      <c r="R46" s="2"/>
      <c r="S46" s="2"/>
      <c r="T46" s="2"/>
      <c r="U46" s="2">
        <f>SUM(Grass_Cutting[[#This Row],[G1 Inv1]:[G3 Inv10]])</f>
        <v>0</v>
      </c>
      <c r="V46" s="62"/>
    </row>
    <row r="47" spans="1:22" x14ac:dyDescent="0.35">
      <c r="A47" s="62">
        <f t="shared" si="0"/>
        <v>45</v>
      </c>
      <c r="B47" s="65" t="s">
        <v>352</v>
      </c>
      <c r="C47" s="62">
        <f>YEAR(Grass_Cutting[[#This Row],[Date]])</f>
        <v>2025</v>
      </c>
      <c r="D47" s="65" t="s">
        <v>4</v>
      </c>
      <c r="E47" s="63" t="s">
        <v>4</v>
      </c>
      <c r="F47" s="2" t="str">
        <f>TEXT(Grass_Cutting[[#This Row],[Date]],"mmm-yy")</f>
        <v>Aug-25</v>
      </c>
      <c r="G47" s="95">
        <f>DAY(EOMONTH(Grass_Cutting[[#This Row],[Month Year]],0))</f>
        <v>31</v>
      </c>
      <c r="H47" s="66">
        <f t="shared" si="1"/>
        <v>45883</v>
      </c>
      <c r="I47" s="62"/>
      <c r="J47" s="62"/>
      <c r="K47" s="62"/>
      <c r="L47" s="62"/>
      <c r="N47" s="2"/>
      <c r="O47" s="2"/>
      <c r="P47" s="2"/>
      <c r="Q47" s="2"/>
      <c r="R47" s="2"/>
      <c r="S47" s="2"/>
      <c r="T47" s="2"/>
      <c r="U47" s="2">
        <f>SUM(Grass_Cutting[[#This Row],[G1 Inv1]:[G3 Inv10]])</f>
        <v>0</v>
      </c>
      <c r="V47" s="62"/>
    </row>
    <row r="48" spans="1:22" x14ac:dyDescent="0.35">
      <c r="A48" s="62">
        <f t="shared" si="0"/>
        <v>46</v>
      </c>
      <c r="B48" s="65" t="s">
        <v>352</v>
      </c>
      <c r="C48" s="62">
        <f>YEAR(Grass_Cutting[[#This Row],[Date]])</f>
        <v>2025</v>
      </c>
      <c r="D48" s="65" t="s">
        <v>4</v>
      </c>
      <c r="E48" s="63" t="s">
        <v>4</v>
      </c>
      <c r="F48" s="2" t="str">
        <f>TEXT(Grass_Cutting[[#This Row],[Date]],"mmm-yy")</f>
        <v>Aug-25</v>
      </c>
      <c r="G48" s="95">
        <f>DAY(EOMONTH(Grass_Cutting[[#This Row],[Month Year]],0))</f>
        <v>31</v>
      </c>
      <c r="H48" s="66">
        <f t="shared" si="1"/>
        <v>45884</v>
      </c>
      <c r="I48" s="62"/>
      <c r="J48" s="62"/>
      <c r="K48" s="62"/>
      <c r="L48" s="62"/>
      <c r="N48" s="2"/>
      <c r="O48" s="2"/>
      <c r="P48" s="2"/>
      <c r="Q48" s="2"/>
      <c r="R48" s="2"/>
      <c r="S48" s="2"/>
      <c r="T48" s="2"/>
      <c r="U48" s="2">
        <f>SUM(Grass_Cutting[[#This Row],[G1 Inv1]:[G3 Inv10]])</f>
        <v>0</v>
      </c>
      <c r="V48" s="62"/>
    </row>
    <row r="49" spans="1:22" x14ac:dyDescent="0.35">
      <c r="A49" s="62">
        <f t="shared" si="0"/>
        <v>47</v>
      </c>
      <c r="B49" s="65" t="s">
        <v>352</v>
      </c>
      <c r="C49" s="62">
        <f>YEAR(Grass_Cutting[[#This Row],[Date]])</f>
        <v>2025</v>
      </c>
      <c r="D49" s="65" t="s">
        <v>4</v>
      </c>
      <c r="E49" s="63" t="s">
        <v>4</v>
      </c>
      <c r="F49" s="2" t="str">
        <f>TEXT(Grass_Cutting[[#This Row],[Date]],"mmm-yy")</f>
        <v>Aug-25</v>
      </c>
      <c r="G49" s="95">
        <f>DAY(EOMONTH(Grass_Cutting[[#This Row],[Month Year]],0))</f>
        <v>31</v>
      </c>
      <c r="H49" s="66">
        <f t="shared" si="1"/>
        <v>45885</v>
      </c>
      <c r="I49" s="62"/>
      <c r="J49" s="62"/>
      <c r="K49" s="62"/>
      <c r="L49" s="62"/>
      <c r="N49" s="2"/>
      <c r="O49" s="2"/>
      <c r="P49" s="2"/>
      <c r="Q49" s="2"/>
      <c r="R49" s="2"/>
      <c r="S49" s="2"/>
      <c r="T49" s="2"/>
      <c r="U49" s="2">
        <f>SUM(Grass_Cutting[[#This Row],[G1 Inv1]:[G3 Inv10]])</f>
        <v>0</v>
      </c>
      <c r="V49" s="62"/>
    </row>
    <row r="50" spans="1:22" x14ac:dyDescent="0.35">
      <c r="A50" s="62">
        <f t="shared" si="0"/>
        <v>48</v>
      </c>
      <c r="B50" s="65" t="s">
        <v>352</v>
      </c>
      <c r="C50" s="62">
        <f>YEAR(Grass_Cutting[[#This Row],[Date]])</f>
        <v>2025</v>
      </c>
      <c r="D50" s="65" t="s">
        <v>4</v>
      </c>
      <c r="E50" s="63" t="s">
        <v>4</v>
      </c>
      <c r="F50" s="2" t="str">
        <f>TEXT(Grass_Cutting[[#This Row],[Date]],"mmm-yy")</f>
        <v>Aug-25</v>
      </c>
      <c r="G50" s="95">
        <f>DAY(EOMONTH(Grass_Cutting[[#This Row],[Month Year]],0))</f>
        <v>31</v>
      </c>
      <c r="H50" s="66">
        <f t="shared" si="1"/>
        <v>45886</v>
      </c>
      <c r="I50" s="62"/>
      <c r="J50" s="62"/>
      <c r="K50" s="62"/>
      <c r="L50" s="62"/>
      <c r="N50" s="2"/>
      <c r="O50" s="2"/>
      <c r="P50" s="2"/>
      <c r="Q50" s="2"/>
      <c r="R50" s="2"/>
      <c r="S50" s="2"/>
      <c r="T50" s="2"/>
      <c r="U50" s="2">
        <f>SUM(Grass_Cutting[[#This Row],[G1 Inv1]:[G3 Inv10]])</f>
        <v>0</v>
      </c>
      <c r="V50" s="62"/>
    </row>
    <row r="51" spans="1:22" x14ac:dyDescent="0.35">
      <c r="A51" s="62">
        <f t="shared" si="0"/>
        <v>49</v>
      </c>
      <c r="B51" s="65" t="s">
        <v>352</v>
      </c>
      <c r="C51" s="62">
        <f>YEAR(Grass_Cutting[[#This Row],[Date]])</f>
        <v>2025</v>
      </c>
      <c r="D51" s="65" t="s">
        <v>4</v>
      </c>
      <c r="E51" s="63" t="s">
        <v>4</v>
      </c>
      <c r="F51" s="2" t="str">
        <f>TEXT(Grass_Cutting[[#This Row],[Date]],"mmm-yy")</f>
        <v>Aug-25</v>
      </c>
      <c r="G51" s="95">
        <f>DAY(EOMONTH(Grass_Cutting[[#This Row],[Month Year]],0))</f>
        <v>31</v>
      </c>
      <c r="H51" s="66">
        <f t="shared" si="1"/>
        <v>45887</v>
      </c>
      <c r="I51" s="62"/>
      <c r="J51" s="62"/>
      <c r="K51" s="62"/>
      <c r="L51" s="62"/>
      <c r="N51" s="2"/>
      <c r="O51" s="2"/>
      <c r="P51" s="2"/>
      <c r="Q51" s="2"/>
      <c r="R51" s="2"/>
      <c r="S51" s="2"/>
      <c r="T51" s="2"/>
      <c r="U51" s="2">
        <f>SUM(Grass_Cutting[[#This Row],[G1 Inv1]:[G3 Inv10]])</f>
        <v>0</v>
      </c>
      <c r="V51" s="62"/>
    </row>
    <row r="52" spans="1:22" x14ac:dyDescent="0.35">
      <c r="A52" s="62">
        <f t="shared" si="0"/>
        <v>50</v>
      </c>
      <c r="B52" s="65" t="s">
        <v>352</v>
      </c>
      <c r="C52" s="62">
        <f>YEAR(Grass_Cutting[[#This Row],[Date]])</f>
        <v>2025</v>
      </c>
      <c r="D52" s="65" t="s">
        <v>4</v>
      </c>
      <c r="E52" s="63" t="s">
        <v>4</v>
      </c>
      <c r="F52" s="2" t="str">
        <f>TEXT(Grass_Cutting[[#This Row],[Date]],"mmm-yy")</f>
        <v>Aug-25</v>
      </c>
      <c r="G52" s="95">
        <f>DAY(EOMONTH(Grass_Cutting[[#This Row],[Month Year]],0))</f>
        <v>31</v>
      </c>
      <c r="H52" s="66">
        <f t="shared" si="1"/>
        <v>45888</v>
      </c>
      <c r="I52" s="62"/>
      <c r="J52" s="62"/>
      <c r="K52" s="62"/>
      <c r="L52" s="62"/>
      <c r="N52" s="2"/>
      <c r="O52" s="2"/>
      <c r="P52" s="2"/>
      <c r="Q52" s="2"/>
      <c r="R52" s="2"/>
      <c r="S52" s="2"/>
      <c r="T52" s="2"/>
      <c r="U52" s="2">
        <f>SUM(Grass_Cutting[[#This Row],[G1 Inv1]:[G3 Inv10]])</f>
        <v>0</v>
      </c>
      <c r="V52" s="62"/>
    </row>
    <row r="53" spans="1:22" x14ac:dyDescent="0.35">
      <c r="A53" s="62">
        <f t="shared" si="0"/>
        <v>51</v>
      </c>
      <c r="B53" s="65" t="s">
        <v>352</v>
      </c>
      <c r="C53" s="62">
        <f>YEAR(Grass_Cutting[[#This Row],[Date]])</f>
        <v>2025</v>
      </c>
      <c r="D53" s="65" t="s">
        <v>4</v>
      </c>
      <c r="E53" s="63" t="s">
        <v>4</v>
      </c>
      <c r="F53" s="2" t="str">
        <f>TEXT(Grass_Cutting[[#This Row],[Date]],"mmm-yy")</f>
        <v>Aug-25</v>
      </c>
      <c r="G53" s="95">
        <f>DAY(EOMONTH(Grass_Cutting[[#This Row],[Month Year]],0))</f>
        <v>31</v>
      </c>
      <c r="H53" s="66">
        <f t="shared" si="1"/>
        <v>45889</v>
      </c>
      <c r="I53" s="62"/>
      <c r="J53" s="62"/>
      <c r="K53" s="62"/>
      <c r="L53" s="62"/>
      <c r="N53" s="2"/>
      <c r="O53" s="2"/>
      <c r="P53" s="2"/>
      <c r="Q53" s="2"/>
      <c r="R53" s="2"/>
      <c r="S53" s="2"/>
      <c r="T53" s="2"/>
      <c r="U53" s="2">
        <f>SUM(Grass_Cutting[[#This Row],[G1 Inv1]:[G3 Inv10]])</f>
        <v>0</v>
      </c>
      <c r="V53" s="62"/>
    </row>
    <row r="54" spans="1:22" x14ac:dyDescent="0.35">
      <c r="A54" s="62">
        <f t="shared" si="0"/>
        <v>52</v>
      </c>
      <c r="B54" s="65" t="s">
        <v>352</v>
      </c>
      <c r="C54" s="62">
        <f>YEAR(Grass_Cutting[[#This Row],[Date]])</f>
        <v>2025</v>
      </c>
      <c r="D54" s="65" t="s">
        <v>4</v>
      </c>
      <c r="E54" s="63" t="s">
        <v>4</v>
      </c>
      <c r="F54" s="2" t="str">
        <f>TEXT(Grass_Cutting[[#This Row],[Date]],"mmm-yy")</f>
        <v>Aug-25</v>
      </c>
      <c r="G54" s="95">
        <f>DAY(EOMONTH(Grass_Cutting[[#This Row],[Month Year]],0))</f>
        <v>31</v>
      </c>
      <c r="H54" s="66">
        <f t="shared" si="1"/>
        <v>45890</v>
      </c>
      <c r="I54" s="62"/>
      <c r="J54" s="62"/>
      <c r="K54" s="62"/>
      <c r="L54" s="62"/>
      <c r="N54" s="2"/>
      <c r="O54" s="2"/>
      <c r="P54" s="2"/>
      <c r="Q54" s="2"/>
      <c r="R54" s="2"/>
      <c r="S54" s="2"/>
      <c r="T54" s="2"/>
      <c r="U54" s="2">
        <f>SUM(Grass_Cutting[[#This Row],[G1 Inv1]:[G3 Inv10]])</f>
        <v>0</v>
      </c>
      <c r="V54" s="62"/>
    </row>
    <row r="55" spans="1:22" x14ac:dyDescent="0.35">
      <c r="A55" s="62">
        <f t="shared" si="0"/>
        <v>53</v>
      </c>
      <c r="B55" s="65" t="s">
        <v>352</v>
      </c>
      <c r="C55" s="62">
        <f>YEAR(Grass_Cutting[[#This Row],[Date]])</f>
        <v>2025</v>
      </c>
      <c r="D55" s="65" t="s">
        <v>4</v>
      </c>
      <c r="E55" s="63" t="s">
        <v>4</v>
      </c>
      <c r="F55" s="2" t="str">
        <f>TEXT(Grass_Cutting[[#This Row],[Date]],"mmm-yy")</f>
        <v>Aug-25</v>
      </c>
      <c r="G55" s="95">
        <f>DAY(EOMONTH(Grass_Cutting[[#This Row],[Month Year]],0))</f>
        <v>31</v>
      </c>
      <c r="H55" s="66">
        <f t="shared" si="1"/>
        <v>45891</v>
      </c>
      <c r="I55" s="62"/>
      <c r="J55" s="62"/>
      <c r="K55" s="62"/>
      <c r="L55" s="62"/>
      <c r="N55" s="2"/>
      <c r="O55" s="2"/>
      <c r="P55" s="2"/>
      <c r="Q55" s="2"/>
      <c r="R55" s="2"/>
      <c r="S55" s="2"/>
      <c r="T55" s="2"/>
      <c r="U55" s="2">
        <f>SUM(Grass_Cutting[[#This Row],[G1 Inv1]:[G3 Inv10]])</f>
        <v>0</v>
      </c>
      <c r="V55" s="62"/>
    </row>
    <row r="56" spans="1:22" x14ac:dyDescent="0.35">
      <c r="A56" s="62">
        <f t="shared" si="0"/>
        <v>54</v>
      </c>
      <c r="B56" s="65" t="s">
        <v>352</v>
      </c>
      <c r="C56" s="62">
        <f>YEAR(Grass_Cutting[[#This Row],[Date]])</f>
        <v>2025</v>
      </c>
      <c r="D56" s="65" t="s">
        <v>4</v>
      </c>
      <c r="E56" s="63" t="s">
        <v>4</v>
      </c>
      <c r="F56" s="2" t="str">
        <f>TEXT(Grass_Cutting[[#This Row],[Date]],"mmm-yy")</f>
        <v>Aug-25</v>
      </c>
      <c r="G56" s="95">
        <f>DAY(EOMONTH(Grass_Cutting[[#This Row],[Month Year]],0))</f>
        <v>31</v>
      </c>
      <c r="H56" s="66">
        <f t="shared" si="1"/>
        <v>45892</v>
      </c>
      <c r="I56" s="62"/>
      <c r="J56" s="62"/>
      <c r="K56" s="62"/>
      <c r="L56" s="62"/>
      <c r="N56" s="2"/>
      <c r="O56" s="2"/>
      <c r="P56" s="2"/>
      <c r="Q56" s="2"/>
      <c r="R56" s="2"/>
      <c r="S56" s="2"/>
      <c r="T56" s="2"/>
      <c r="U56" s="2">
        <f>SUM(Grass_Cutting[[#This Row],[G1 Inv1]:[G3 Inv10]])</f>
        <v>0</v>
      </c>
      <c r="V56" s="62"/>
    </row>
    <row r="57" spans="1:22" x14ac:dyDescent="0.35">
      <c r="A57" s="62">
        <f t="shared" si="0"/>
        <v>55</v>
      </c>
      <c r="B57" s="65" t="s">
        <v>352</v>
      </c>
      <c r="C57" s="62">
        <f>YEAR(Grass_Cutting[[#This Row],[Date]])</f>
        <v>2025</v>
      </c>
      <c r="D57" s="65" t="s">
        <v>4</v>
      </c>
      <c r="E57" s="63" t="s">
        <v>4</v>
      </c>
      <c r="F57" s="2" t="str">
        <f>TEXT(Grass_Cutting[[#This Row],[Date]],"mmm-yy")</f>
        <v>Aug-25</v>
      </c>
      <c r="G57" s="95">
        <f>DAY(EOMONTH(Grass_Cutting[[#This Row],[Month Year]],0))</f>
        <v>31</v>
      </c>
      <c r="H57" s="66">
        <f t="shared" si="1"/>
        <v>45893</v>
      </c>
      <c r="I57" s="62"/>
      <c r="J57" s="62"/>
      <c r="K57" s="62"/>
      <c r="L57" s="62"/>
      <c r="N57" s="2"/>
      <c r="O57" s="2"/>
      <c r="P57" s="2"/>
      <c r="Q57" s="2"/>
      <c r="R57" s="2"/>
      <c r="S57" s="2"/>
      <c r="T57" s="2"/>
      <c r="U57" s="2">
        <f>SUM(Grass_Cutting[[#This Row],[G1 Inv1]:[G3 Inv10]])</f>
        <v>0</v>
      </c>
      <c r="V57" s="62"/>
    </row>
    <row r="58" spans="1:22" x14ac:dyDescent="0.35">
      <c r="A58" s="62">
        <f t="shared" si="0"/>
        <v>56</v>
      </c>
      <c r="B58" s="65" t="s">
        <v>352</v>
      </c>
      <c r="C58" s="62">
        <f>YEAR(Grass_Cutting[[#This Row],[Date]])</f>
        <v>2025</v>
      </c>
      <c r="D58" s="65" t="s">
        <v>4</v>
      </c>
      <c r="E58" s="63" t="s">
        <v>4</v>
      </c>
      <c r="F58" s="2" t="str">
        <f>TEXT(Grass_Cutting[[#This Row],[Date]],"mmm-yy")</f>
        <v>Aug-25</v>
      </c>
      <c r="G58" s="95">
        <f>DAY(EOMONTH(Grass_Cutting[[#This Row],[Month Year]],0))</f>
        <v>31</v>
      </c>
      <c r="H58" s="66">
        <f t="shared" si="1"/>
        <v>45894</v>
      </c>
      <c r="I58" s="62"/>
      <c r="J58" s="62"/>
      <c r="K58" s="62"/>
      <c r="L58" s="62"/>
      <c r="N58" s="2"/>
      <c r="O58" s="2"/>
      <c r="P58" s="2"/>
      <c r="Q58" s="2"/>
      <c r="R58" s="2"/>
      <c r="S58" s="2"/>
      <c r="T58" s="2"/>
      <c r="U58" s="2">
        <f>SUM(Grass_Cutting[[#This Row],[G1 Inv1]:[G3 Inv10]])</f>
        <v>0</v>
      </c>
      <c r="V58" s="62"/>
    </row>
    <row r="59" spans="1:22" x14ac:dyDescent="0.35">
      <c r="A59" s="62">
        <f t="shared" si="0"/>
        <v>57</v>
      </c>
      <c r="B59" s="65" t="s">
        <v>352</v>
      </c>
      <c r="C59" s="62">
        <f>YEAR(Grass_Cutting[[#This Row],[Date]])</f>
        <v>2025</v>
      </c>
      <c r="D59" s="65" t="s">
        <v>4</v>
      </c>
      <c r="E59" s="63" t="s">
        <v>4</v>
      </c>
      <c r="F59" s="2" t="str">
        <f>TEXT(Grass_Cutting[[#This Row],[Date]],"mmm-yy")</f>
        <v>Aug-25</v>
      </c>
      <c r="G59" s="95">
        <f>DAY(EOMONTH(Grass_Cutting[[#This Row],[Month Year]],0))</f>
        <v>31</v>
      </c>
      <c r="H59" s="66">
        <f t="shared" si="1"/>
        <v>45895</v>
      </c>
      <c r="I59" s="62"/>
      <c r="J59" s="62"/>
      <c r="K59" s="62"/>
      <c r="L59" s="62"/>
      <c r="N59" s="2"/>
      <c r="O59" s="2"/>
      <c r="P59" s="2"/>
      <c r="Q59" s="2"/>
      <c r="R59" s="2"/>
      <c r="S59" s="2"/>
      <c r="T59" s="2"/>
      <c r="U59" s="2">
        <f>SUM(Grass_Cutting[[#This Row],[G1 Inv1]:[G3 Inv10]])</f>
        <v>0</v>
      </c>
      <c r="V59" s="62"/>
    </row>
    <row r="60" spans="1:22" x14ac:dyDescent="0.35">
      <c r="A60" s="62">
        <f t="shared" si="0"/>
        <v>58</v>
      </c>
      <c r="B60" s="65" t="s">
        <v>352</v>
      </c>
      <c r="C60" s="62">
        <f>YEAR(Grass_Cutting[[#This Row],[Date]])</f>
        <v>2025</v>
      </c>
      <c r="D60" s="65" t="s">
        <v>4</v>
      </c>
      <c r="E60" s="63" t="s">
        <v>4</v>
      </c>
      <c r="F60" s="2" t="str">
        <f>TEXT(Grass_Cutting[[#This Row],[Date]],"mmm-yy")</f>
        <v>Aug-25</v>
      </c>
      <c r="G60" s="95">
        <f>DAY(EOMONTH(Grass_Cutting[[#This Row],[Month Year]],0))</f>
        <v>31</v>
      </c>
      <c r="H60" s="66">
        <f t="shared" si="1"/>
        <v>45896</v>
      </c>
      <c r="I60" s="62"/>
      <c r="J60" s="62"/>
      <c r="K60" s="62"/>
      <c r="L60" s="62"/>
      <c r="N60" s="2"/>
      <c r="O60" s="2"/>
      <c r="P60" s="2"/>
      <c r="Q60" s="2"/>
      <c r="R60" s="2"/>
      <c r="S60" s="2"/>
      <c r="T60" s="2"/>
      <c r="U60" s="2">
        <f>SUM(Grass_Cutting[[#This Row],[G1 Inv1]:[G3 Inv10]])</f>
        <v>0</v>
      </c>
      <c r="V60" s="62"/>
    </row>
    <row r="61" spans="1:22" x14ac:dyDescent="0.35">
      <c r="A61" s="62">
        <f t="shared" si="0"/>
        <v>59</v>
      </c>
      <c r="B61" s="65" t="s">
        <v>352</v>
      </c>
      <c r="C61" s="62">
        <f>YEAR(Grass_Cutting[[#This Row],[Date]])</f>
        <v>2025</v>
      </c>
      <c r="D61" s="65" t="s">
        <v>4</v>
      </c>
      <c r="E61" s="63" t="s">
        <v>4</v>
      </c>
      <c r="F61" s="2" t="str">
        <f>TEXT(Grass_Cutting[[#This Row],[Date]],"mmm-yy")</f>
        <v>Aug-25</v>
      </c>
      <c r="G61" s="95">
        <f>DAY(EOMONTH(Grass_Cutting[[#This Row],[Month Year]],0))</f>
        <v>31</v>
      </c>
      <c r="H61" s="66">
        <f t="shared" si="1"/>
        <v>45897</v>
      </c>
      <c r="I61" s="62"/>
      <c r="J61" s="62"/>
      <c r="K61" s="62"/>
      <c r="L61" s="62"/>
      <c r="N61" s="2"/>
      <c r="O61" s="2"/>
      <c r="P61" s="2"/>
      <c r="Q61" s="2"/>
      <c r="R61" s="2"/>
      <c r="S61" s="2"/>
      <c r="T61" s="2"/>
      <c r="U61" s="2">
        <f>SUM(Grass_Cutting[[#This Row],[G1 Inv1]:[G3 Inv10]])</f>
        <v>0</v>
      </c>
      <c r="V61" s="62"/>
    </row>
    <row r="62" spans="1:22" x14ac:dyDescent="0.35">
      <c r="A62" s="62">
        <f t="shared" si="0"/>
        <v>60</v>
      </c>
      <c r="B62" s="65" t="s">
        <v>352</v>
      </c>
      <c r="C62" s="62">
        <f>YEAR(Grass_Cutting[[#This Row],[Date]])</f>
        <v>2025</v>
      </c>
      <c r="D62" s="65" t="s">
        <v>4</v>
      </c>
      <c r="E62" s="63" t="s">
        <v>4</v>
      </c>
      <c r="F62" s="2" t="str">
        <f>TEXT(Grass_Cutting[[#This Row],[Date]],"mmm-yy")</f>
        <v>Aug-25</v>
      </c>
      <c r="G62" s="95">
        <f>DAY(EOMONTH(Grass_Cutting[[#This Row],[Month Year]],0))</f>
        <v>31</v>
      </c>
      <c r="H62" s="66">
        <f t="shared" si="1"/>
        <v>45898</v>
      </c>
      <c r="I62" s="62"/>
      <c r="J62" s="62"/>
      <c r="K62" s="62"/>
      <c r="L62" s="62"/>
      <c r="N62" s="2"/>
      <c r="O62" s="2"/>
      <c r="P62" s="2"/>
      <c r="Q62" s="2"/>
      <c r="R62" s="2"/>
      <c r="S62" s="2"/>
      <c r="T62" s="2"/>
      <c r="U62" s="2">
        <f>SUM(Grass_Cutting[[#This Row],[G1 Inv1]:[G3 Inv10]])</f>
        <v>0</v>
      </c>
      <c r="V62" s="62"/>
    </row>
    <row r="63" spans="1:22" x14ac:dyDescent="0.35">
      <c r="A63" s="62">
        <f t="shared" si="0"/>
        <v>61</v>
      </c>
      <c r="B63" s="65" t="s">
        <v>352</v>
      </c>
      <c r="C63" s="62">
        <f>YEAR(Grass_Cutting[[#This Row],[Date]])</f>
        <v>2025</v>
      </c>
      <c r="D63" s="65" t="s">
        <v>4</v>
      </c>
      <c r="E63" s="63" t="s">
        <v>4</v>
      </c>
      <c r="F63" s="2" t="str">
        <f>TEXT(Grass_Cutting[[#This Row],[Date]],"mmm-yy")</f>
        <v>Aug-25</v>
      </c>
      <c r="G63" s="95">
        <f>DAY(EOMONTH(Grass_Cutting[[#This Row],[Month Year]],0))</f>
        <v>31</v>
      </c>
      <c r="H63" s="66">
        <f t="shared" si="1"/>
        <v>45899</v>
      </c>
      <c r="I63" s="62"/>
      <c r="J63" s="62"/>
      <c r="K63" s="62"/>
      <c r="L63" s="62"/>
      <c r="N63" s="2"/>
      <c r="O63" s="2"/>
      <c r="P63" s="2"/>
      <c r="Q63" s="2"/>
      <c r="R63" s="2"/>
      <c r="S63" s="2"/>
      <c r="T63" s="2"/>
      <c r="U63" s="2">
        <f>SUM(Grass_Cutting[[#This Row],[G1 Inv1]:[G3 Inv10]])</f>
        <v>0</v>
      </c>
      <c r="V63" s="62"/>
    </row>
    <row r="64" spans="1:22" x14ac:dyDescent="0.35">
      <c r="A64" s="62">
        <f t="shared" si="0"/>
        <v>62</v>
      </c>
      <c r="B64" s="65" t="s">
        <v>352</v>
      </c>
      <c r="C64" s="62">
        <f>YEAR(Grass_Cutting[[#This Row],[Date]])</f>
        <v>2025</v>
      </c>
      <c r="D64" s="65" t="s">
        <v>4</v>
      </c>
      <c r="E64" s="63" t="s">
        <v>4</v>
      </c>
      <c r="F64" s="2" t="str">
        <f>TEXT(Grass_Cutting[[#This Row],[Date]],"mmm-yy")</f>
        <v>Aug-25</v>
      </c>
      <c r="G64" s="95">
        <f>DAY(EOMONTH(Grass_Cutting[[#This Row],[Month Year]],0))</f>
        <v>31</v>
      </c>
      <c r="H64" s="66">
        <f t="shared" si="1"/>
        <v>45900</v>
      </c>
      <c r="I64" s="62"/>
      <c r="J64" s="62"/>
      <c r="K64" s="62"/>
      <c r="L64" s="62"/>
      <c r="N64" s="2"/>
      <c r="O64" s="2"/>
      <c r="P64" s="2"/>
      <c r="Q64" s="2"/>
      <c r="R64" s="2"/>
      <c r="S64" s="2"/>
      <c r="T64" s="2"/>
      <c r="U64" s="2">
        <f>SUM(Grass_Cutting[[#This Row],[G1 Inv1]:[G3 Inv10]])</f>
        <v>0</v>
      </c>
      <c r="V64" s="62"/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B3DC3D7EEBD4E965C95B4B8FA3504" ma:contentTypeVersion="6" ma:contentTypeDescription="Create a new document." ma:contentTypeScope="" ma:versionID="8aa82a68bd214f7d3d0f7f88fc697f2b">
  <xsd:schema xmlns:xsd="http://www.w3.org/2001/XMLSchema" xmlns:xs="http://www.w3.org/2001/XMLSchema" xmlns:p="http://schemas.microsoft.com/office/2006/metadata/properties" xmlns:ns2="fc7a6a76-1c0e-42c8-b8bb-e7dae130d739" xmlns:ns3="d16c97b0-8c68-4a48-9e8f-dd7460dbc509" targetNamespace="http://schemas.microsoft.com/office/2006/metadata/properties" ma:root="true" ma:fieldsID="c7b3109e5368c8001190694a4a849b63" ns2:_="" ns3:_="">
    <xsd:import namespace="fc7a6a76-1c0e-42c8-b8bb-e7dae130d739"/>
    <xsd:import namespace="d16c97b0-8c68-4a48-9e8f-dd7460dbc5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6a76-1c0e-42c8-b8bb-e7dae130d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c97b0-8c68-4a48-9e8f-dd7460dbc5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16c97b0-8c68-4a48-9e8f-dd7460dbc509">
      <UserInfo>
        <DisplayName>Avinash Madhukar Bedse</DisplayName>
        <AccountId>2059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5D244F6-DEE9-44B8-A113-CE970F5718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a6a76-1c0e-42c8-b8bb-e7dae130d739"/>
    <ds:schemaRef ds:uri="d16c97b0-8c68-4a48-9e8f-dd7460dbc5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995FC6-D065-485F-A6BD-BE2315428C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D6D9F1-1E75-47F6-AD46-62495D96E488}">
  <ds:schemaRefs>
    <ds:schemaRef ds:uri="http://schemas.microsoft.com/office/2006/metadata/properties"/>
    <ds:schemaRef ds:uri="http://schemas.microsoft.com/office/infopath/2007/PartnerControls"/>
    <ds:schemaRef ds:uri="d16c97b0-8c68-4a48-9e8f-dd7460dbc5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Daily Dashboard</vt:lpstr>
      <vt:lpstr>Annual KPI</vt:lpstr>
      <vt:lpstr>Sheet1</vt:lpstr>
      <vt:lpstr>Monthly KPI</vt:lpstr>
      <vt:lpstr>Daily KPI</vt:lpstr>
      <vt:lpstr>Inv_SY_Dev</vt:lpstr>
      <vt:lpstr>Inv_SY</vt:lpstr>
      <vt:lpstr>Grid BD</vt:lpstr>
      <vt:lpstr>Basic Data</vt:lpstr>
      <vt:lpstr>Modelling New</vt:lpstr>
      <vt:lpstr>Modelling</vt:lpstr>
      <vt:lpstr>Raw Data</vt:lpstr>
      <vt:lpstr>Plant BD</vt:lpstr>
      <vt:lpstr>Spare_Consumable</vt:lpstr>
      <vt:lpstr>Mod_CL</vt:lpstr>
      <vt:lpstr>Grass_Cutting</vt:lpstr>
      <vt:lpstr>MF_Cap_HCCB</vt:lpstr>
      <vt:lpstr>MF_Cap_O2RE10</vt:lpstr>
      <vt:lpstr>MF_Cap_O2RE6</vt:lpstr>
      <vt:lpstr>MF_Cap_Pepsico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Kalpesh Umaretia</dc:creator>
  <cp:keywords/>
  <dc:description/>
  <cp:lastModifiedBy>Shweta Singh Rathore</cp:lastModifiedBy>
  <cp:revision/>
  <dcterms:created xsi:type="dcterms:W3CDTF">2015-06-05T18:17:20Z</dcterms:created>
  <dcterms:modified xsi:type="dcterms:W3CDTF">2025-08-04T09:29:41Z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0x01010052BB3DC3D7EEBD4E965C95B4B8FA3504</vt:lpwstr>
  </property>
</Properties>
</file>